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/>
  <bookViews>
    <workbookView xWindow="0" yWindow="0" windowWidth="22260" windowHeight="12645" activeTab="3"/>
  </bookViews>
  <sheets>
    <sheet name="VP Data" sheetId="2" r:id="rId1"/>
    <sheet name="Weather Data" sheetId="4" r:id="rId2"/>
    <sheet name="Lookups" sheetId="3" r:id="rId3"/>
    <sheet name="Simulation" sheetId="1" r:id="rId4"/>
    <sheet name="Results" sheetId="5" r:id="rId5"/>
  </sheets>
  <externalReferences>
    <externalReference r:id="rId6"/>
  </externalReferences>
  <definedNames>
    <definedName name="_xlchart.v1.0" hidden="1">Simulation!$D$3</definedName>
    <definedName name="_xlchart.v1.1" hidden="1">Simulation!$D$4:$D$204</definedName>
    <definedName name="_xlchart.v1.2" hidden="1">Simulation!$D$4:$D$40</definedName>
    <definedName name="_xlchart.v1.3" hidden="1">Simulation!$D$3</definedName>
    <definedName name="_xlchart.v1.4" hidden="1">Simulation!$D$4:$D$40</definedName>
    <definedName name="_xlchart.v1.5" hidden="1">Simulation!$D$4:$D$40</definedName>
    <definedName name="dens.input">Simulation!$B$4</definedName>
    <definedName name="mth.input">Simulation!$B$7</definedName>
    <definedName name="mth_num.list">Lookups!$B$2</definedName>
    <definedName name="mth_short.list">mthLkUp.tbl[Month]</definedName>
    <definedName name="sulf.input">Simulation!$B$5</definedName>
    <definedName name="temp.roll.input">Simulation!$B$6</definedName>
  </definedNames>
  <calcPr calcId="171027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49" i="2"/>
  <c r="AQ850" i="2"/>
  <c r="AQ851" i="2"/>
  <c r="AQ852" i="2"/>
  <c r="AQ853" i="2"/>
  <c r="AQ854" i="2"/>
  <c r="AQ855" i="2"/>
  <c r="AQ856" i="2"/>
  <c r="AQ857" i="2"/>
  <c r="AQ858" i="2"/>
  <c r="AQ859" i="2"/>
  <c r="AQ860" i="2"/>
  <c r="AQ861" i="2"/>
  <c r="AQ862" i="2"/>
  <c r="AQ863" i="2"/>
  <c r="AQ864" i="2"/>
  <c r="AQ865" i="2"/>
  <c r="AQ866" i="2"/>
  <c r="AQ867" i="2"/>
  <c r="AQ868" i="2"/>
  <c r="AQ869" i="2"/>
  <c r="AQ870" i="2"/>
  <c r="AQ871" i="2"/>
  <c r="AQ872" i="2"/>
  <c r="AQ873" i="2"/>
  <c r="AQ874" i="2"/>
  <c r="AQ875" i="2"/>
  <c r="AQ876" i="2"/>
  <c r="AQ877" i="2"/>
  <c r="AQ878" i="2"/>
  <c r="AQ879" i="2"/>
  <c r="AQ880" i="2"/>
  <c r="AQ881" i="2"/>
  <c r="AQ882" i="2"/>
  <c r="AQ883" i="2"/>
  <c r="AQ884" i="2"/>
  <c r="AQ885" i="2"/>
  <c r="AQ886" i="2"/>
  <c r="AQ887" i="2"/>
  <c r="AQ888" i="2"/>
  <c r="AQ889" i="2"/>
  <c r="AQ890" i="2"/>
  <c r="AQ891" i="2"/>
  <c r="AQ892" i="2"/>
  <c r="AQ893" i="2"/>
  <c r="AQ894" i="2"/>
  <c r="AQ895" i="2"/>
  <c r="AQ896" i="2"/>
  <c r="AQ897" i="2"/>
  <c r="AQ898" i="2"/>
  <c r="AQ899" i="2"/>
  <c r="AQ900" i="2"/>
  <c r="AQ901" i="2"/>
  <c r="AQ902" i="2"/>
  <c r="AQ903" i="2"/>
  <c r="AQ904" i="2"/>
  <c r="AQ905" i="2"/>
  <c r="AQ906" i="2"/>
  <c r="AQ907" i="2"/>
  <c r="AQ908" i="2"/>
  <c r="AQ909" i="2"/>
  <c r="AQ910" i="2"/>
  <c r="AQ911" i="2"/>
  <c r="AQ912" i="2"/>
  <c r="AQ913" i="2"/>
  <c r="AQ914" i="2"/>
  <c r="AQ915" i="2"/>
  <c r="AQ916" i="2"/>
  <c r="AQ917" i="2"/>
  <c r="AQ918" i="2"/>
  <c r="AQ919" i="2"/>
  <c r="AQ920" i="2"/>
  <c r="AQ921" i="2"/>
  <c r="AQ922" i="2"/>
  <c r="AQ923" i="2"/>
  <c r="AQ924" i="2"/>
  <c r="AQ925" i="2"/>
  <c r="AQ926" i="2"/>
  <c r="AQ927" i="2"/>
  <c r="AQ928" i="2"/>
  <c r="AQ929" i="2"/>
  <c r="AQ930" i="2"/>
  <c r="AQ931" i="2"/>
  <c r="AQ932" i="2"/>
  <c r="AQ933" i="2"/>
  <c r="AQ934" i="2"/>
  <c r="AQ935" i="2"/>
  <c r="AQ936" i="2"/>
  <c r="AQ937" i="2"/>
  <c r="AQ938" i="2"/>
  <c r="AQ939" i="2"/>
  <c r="AQ940" i="2"/>
  <c r="AQ941" i="2"/>
  <c r="AQ942" i="2"/>
  <c r="AQ943" i="2"/>
  <c r="AQ944" i="2"/>
  <c r="AQ945" i="2"/>
  <c r="AQ946" i="2"/>
  <c r="AQ947" i="2"/>
  <c r="AQ948" i="2"/>
  <c r="AQ949" i="2"/>
  <c r="AQ950" i="2"/>
  <c r="AQ951" i="2"/>
  <c r="AQ952" i="2"/>
  <c r="AQ953" i="2"/>
  <c r="AQ954" i="2"/>
  <c r="AQ955" i="2"/>
  <c r="AQ956" i="2"/>
  <c r="AQ957" i="2"/>
  <c r="AQ958" i="2"/>
  <c r="AQ959" i="2"/>
  <c r="AQ960" i="2"/>
  <c r="AQ961" i="2"/>
  <c r="AQ962" i="2"/>
  <c r="AQ963" i="2"/>
  <c r="AQ964" i="2"/>
  <c r="AQ965" i="2"/>
  <c r="AQ966" i="2"/>
  <c r="AQ967" i="2"/>
  <c r="AQ968" i="2"/>
  <c r="AQ969" i="2"/>
  <c r="AQ970" i="2"/>
  <c r="AQ971" i="2"/>
  <c r="AQ972" i="2"/>
  <c r="AQ973" i="2"/>
  <c r="AQ974" i="2"/>
  <c r="AQ975" i="2"/>
  <c r="AQ976" i="2"/>
  <c r="AQ977" i="2"/>
  <c r="AQ978" i="2"/>
  <c r="AQ979" i="2"/>
  <c r="AQ980" i="2"/>
  <c r="AQ981" i="2"/>
  <c r="AQ982" i="2"/>
  <c r="AQ983" i="2"/>
  <c r="AQ984" i="2"/>
  <c r="AQ985" i="2"/>
  <c r="AQ986" i="2"/>
  <c r="AQ987" i="2"/>
  <c r="AQ988" i="2"/>
  <c r="AQ989" i="2"/>
  <c r="AQ990" i="2"/>
  <c r="AQ991" i="2"/>
  <c r="AQ992" i="2"/>
  <c r="AQ993" i="2"/>
  <c r="AQ994" i="2"/>
  <c r="AQ995" i="2"/>
  <c r="AQ996" i="2"/>
  <c r="AQ997" i="2"/>
  <c r="AQ998" i="2"/>
  <c r="AQ999" i="2"/>
  <c r="AQ1000" i="2"/>
  <c r="AQ1001" i="2"/>
  <c r="AQ1002" i="2"/>
  <c r="AQ1003" i="2"/>
  <c r="AQ1004" i="2"/>
  <c r="AQ1005" i="2"/>
  <c r="AQ1006" i="2"/>
  <c r="AQ1007" i="2"/>
  <c r="AQ1008" i="2"/>
  <c r="AQ1009" i="2"/>
  <c r="AQ1010" i="2"/>
  <c r="AQ1011" i="2"/>
  <c r="AQ1012" i="2"/>
  <c r="AQ1013" i="2"/>
  <c r="AQ1014" i="2"/>
  <c r="AQ1015" i="2"/>
  <c r="AQ1016" i="2"/>
  <c r="AQ1017" i="2"/>
  <c r="AQ1018" i="2"/>
  <c r="AQ1019" i="2"/>
  <c r="AQ1020" i="2"/>
  <c r="AQ1021" i="2"/>
  <c r="AQ1022" i="2"/>
  <c r="AQ1023" i="2"/>
  <c r="AQ1024" i="2"/>
  <c r="AQ1025" i="2"/>
  <c r="AQ1026" i="2"/>
  <c r="AQ1027" i="2"/>
  <c r="AQ1028" i="2"/>
  <c r="AQ1029" i="2"/>
  <c r="AQ1030" i="2"/>
  <c r="AQ1031" i="2"/>
  <c r="AQ1032" i="2"/>
  <c r="AQ1033" i="2"/>
  <c r="AQ1034" i="2"/>
  <c r="AQ1035" i="2"/>
  <c r="AQ1036" i="2"/>
  <c r="AQ1037" i="2"/>
  <c r="AQ1038" i="2"/>
  <c r="AQ1039" i="2"/>
  <c r="AQ1040" i="2"/>
  <c r="AQ1041" i="2"/>
  <c r="AQ1042" i="2"/>
  <c r="AQ1043" i="2"/>
  <c r="AQ1044" i="2"/>
  <c r="AQ1045" i="2"/>
  <c r="AQ1046" i="2"/>
  <c r="AQ1047" i="2"/>
  <c r="AQ1048" i="2"/>
  <c r="AQ1049" i="2"/>
  <c r="AQ1050" i="2"/>
  <c r="AQ1051" i="2"/>
  <c r="AQ1052" i="2"/>
  <c r="AQ1053" i="2"/>
  <c r="AQ1054" i="2"/>
  <c r="AQ1055" i="2"/>
  <c r="AQ1056" i="2"/>
  <c r="AQ1057" i="2"/>
  <c r="AQ1058" i="2"/>
  <c r="AQ1059" i="2"/>
  <c r="AQ1060" i="2"/>
  <c r="AQ1061" i="2"/>
  <c r="AQ1062" i="2"/>
  <c r="AQ1063" i="2"/>
  <c r="AQ1064" i="2"/>
  <c r="AQ1065" i="2"/>
  <c r="AQ1066" i="2"/>
  <c r="AQ1067" i="2"/>
  <c r="AQ1068" i="2"/>
  <c r="AQ1069" i="2"/>
  <c r="AQ1070" i="2"/>
  <c r="AQ1071" i="2"/>
  <c r="AQ1072" i="2"/>
  <c r="AQ1073" i="2"/>
  <c r="AQ1074" i="2"/>
  <c r="AQ1075" i="2"/>
  <c r="AQ1076" i="2"/>
  <c r="AQ1077" i="2"/>
  <c r="AQ1078" i="2"/>
  <c r="AQ1079" i="2"/>
  <c r="AQ1080" i="2"/>
  <c r="AQ1081" i="2"/>
  <c r="AQ1082" i="2"/>
  <c r="AQ1083" i="2"/>
  <c r="AQ1084" i="2"/>
  <c r="AQ1085" i="2"/>
  <c r="AQ1086" i="2"/>
  <c r="AQ1087" i="2"/>
  <c r="AQ1088" i="2"/>
  <c r="AQ1089" i="2"/>
  <c r="AQ1090" i="2"/>
  <c r="AQ1091" i="2"/>
  <c r="AQ1092" i="2"/>
  <c r="AQ1093" i="2"/>
  <c r="AQ1094" i="2"/>
  <c r="AQ1095" i="2"/>
  <c r="AQ1096" i="2"/>
  <c r="AQ1097" i="2"/>
  <c r="AQ1098" i="2"/>
  <c r="AQ1099" i="2"/>
  <c r="AQ1100" i="2"/>
  <c r="AQ1101" i="2"/>
  <c r="AQ1102" i="2"/>
  <c r="AQ1103" i="2"/>
  <c r="AQ1104" i="2"/>
  <c r="AQ1105" i="2"/>
  <c r="AQ1106" i="2"/>
  <c r="AQ1107" i="2"/>
  <c r="AQ1108" i="2"/>
  <c r="AQ1109" i="2"/>
  <c r="AQ1110" i="2"/>
  <c r="AQ1111" i="2"/>
  <c r="AQ1112" i="2"/>
  <c r="AQ1113" i="2"/>
  <c r="AQ1114" i="2"/>
  <c r="AQ1115" i="2"/>
  <c r="AQ1116" i="2"/>
  <c r="AQ1117" i="2"/>
  <c r="AQ1118" i="2"/>
  <c r="AQ1119" i="2"/>
  <c r="AQ1120" i="2"/>
  <c r="AQ1121" i="2"/>
  <c r="AQ1122" i="2"/>
  <c r="AQ1123" i="2"/>
  <c r="AQ1124" i="2"/>
  <c r="AQ1125" i="2"/>
  <c r="AQ1126" i="2"/>
  <c r="AQ1127" i="2"/>
  <c r="AQ1128" i="2"/>
  <c r="AQ1129" i="2"/>
  <c r="AQ1130" i="2"/>
  <c r="AQ1131" i="2"/>
  <c r="AQ1132" i="2"/>
  <c r="AQ1133" i="2"/>
  <c r="AQ1134" i="2"/>
  <c r="AQ1135" i="2"/>
  <c r="AQ1136" i="2"/>
  <c r="AQ1137" i="2"/>
  <c r="AQ1138" i="2"/>
  <c r="AQ1139" i="2"/>
  <c r="AQ1140" i="2"/>
  <c r="AQ1141" i="2"/>
  <c r="AQ1142" i="2"/>
  <c r="AQ1143" i="2"/>
  <c r="AQ1144" i="2"/>
  <c r="AQ1145" i="2"/>
  <c r="AQ1146" i="2"/>
  <c r="AQ1147" i="2"/>
  <c r="AQ1148" i="2"/>
  <c r="AQ1149" i="2"/>
  <c r="AQ1150" i="2"/>
  <c r="AQ1151" i="2"/>
  <c r="AQ1152" i="2"/>
  <c r="AQ1153" i="2"/>
  <c r="AQ1154" i="2"/>
  <c r="AQ1155" i="2"/>
  <c r="AQ1156" i="2"/>
  <c r="AQ1157" i="2"/>
  <c r="AQ1158" i="2"/>
  <c r="AQ1159" i="2"/>
  <c r="AQ1160" i="2"/>
  <c r="AQ1161" i="2"/>
  <c r="AQ1162" i="2"/>
  <c r="AQ1163" i="2"/>
  <c r="AQ1164" i="2"/>
  <c r="AQ1165" i="2"/>
  <c r="AQ1166" i="2"/>
  <c r="AQ1167" i="2"/>
  <c r="AQ1168" i="2"/>
  <c r="AQ1169" i="2"/>
  <c r="AQ1170" i="2"/>
  <c r="AQ1171" i="2"/>
  <c r="AQ1172" i="2"/>
  <c r="AQ1173" i="2"/>
  <c r="AQ1174" i="2"/>
  <c r="AQ1175" i="2"/>
  <c r="AQ1176" i="2"/>
  <c r="AQ1177" i="2"/>
  <c r="AQ1178" i="2"/>
  <c r="AQ1179" i="2"/>
  <c r="AQ1180" i="2"/>
  <c r="AQ1181" i="2"/>
  <c r="AQ1182" i="2"/>
  <c r="AQ1183" i="2"/>
  <c r="AQ1184" i="2"/>
  <c r="AQ1185" i="2"/>
  <c r="AQ1186" i="2"/>
  <c r="AQ1187" i="2"/>
  <c r="AQ1188" i="2"/>
  <c r="AQ1189" i="2"/>
  <c r="AQ1190" i="2"/>
  <c r="AQ1191" i="2"/>
  <c r="AQ1192" i="2"/>
  <c r="AQ1193" i="2"/>
  <c r="AQ1194" i="2"/>
  <c r="AQ1195" i="2"/>
  <c r="AQ1196" i="2"/>
  <c r="AQ1197" i="2"/>
  <c r="AQ1198" i="2"/>
  <c r="AQ1199" i="2"/>
  <c r="AQ1200" i="2"/>
  <c r="AQ1201" i="2"/>
  <c r="AQ1202" i="2"/>
  <c r="AQ1203" i="2"/>
  <c r="AQ1204" i="2"/>
  <c r="AQ1205" i="2"/>
  <c r="AQ1206" i="2"/>
  <c r="AQ1207" i="2"/>
  <c r="AQ1208" i="2"/>
  <c r="AQ1209" i="2"/>
  <c r="AQ1210" i="2"/>
  <c r="AQ1211" i="2"/>
  <c r="AQ1212" i="2"/>
  <c r="AQ1213" i="2"/>
  <c r="AQ1214" i="2"/>
  <c r="AQ1215" i="2"/>
  <c r="AQ1216" i="2"/>
  <c r="AQ1217" i="2"/>
  <c r="AQ1218" i="2"/>
  <c r="AQ1219" i="2"/>
  <c r="AQ1220" i="2"/>
  <c r="AQ1221" i="2"/>
  <c r="AQ1222" i="2"/>
  <c r="AQ1223" i="2"/>
  <c r="AQ1224" i="2"/>
  <c r="AQ1225" i="2"/>
  <c r="AQ1226" i="2"/>
  <c r="AQ1227" i="2"/>
  <c r="AQ1228" i="2"/>
  <c r="AQ1229" i="2"/>
  <c r="AQ1230" i="2"/>
  <c r="AQ1231" i="2"/>
  <c r="AQ1232" i="2"/>
  <c r="AQ1233" i="2"/>
  <c r="AQ1234" i="2"/>
  <c r="AQ1235" i="2"/>
  <c r="AQ1236" i="2"/>
  <c r="AQ1237" i="2"/>
  <c r="AQ1238" i="2"/>
  <c r="AQ1239" i="2"/>
  <c r="AQ1240" i="2"/>
  <c r="AQ1241" i="2"/>
  <c r="AQ1242" i="2"/>
  <c r="AQ1243" i="2"/>
  <c r="AQ1244" i="2"/>
  <c r="AQ1245" i="2"/>
  <c r="AQ1246" i="2"/>
  <c r="AQ1247" i="2"/>
  <c r="AQ1248" i="2"/>
  <c r="AQ1249" i="2"/>
  <c r="AQ1250" i="2"/>
  <c r="AQ1251" i="2"/>
  <c r="AQ1252" i="2"/>
  <c r="AQ1253" i="2"/>
  <c r="AQ1254" i="2"/>
  <c r="AQ1255" i="2"/>
  <c r="AQ1256" i="2"/>
  <c r="AQ1257" i="2"/>
  <c r="AQ1258" i="2"/>
  <c r="AQ1259" i="2"/>
  <c r="AQ1260" i="2"/>
  <c r="AQ1261" i="2"/>
  <c r="AQ1262" i="2"/>
  <c r="AQ1263" i="2"/>
  <c r="AQ1264" i="2"/>
  <c r="AQ1265" i="2"/>
  <c r="AQ1266" i="2"/>
  <c r="AQ1267" i="2"/>
  <c r="AQ1268" i="2"/>
  <c r="AQ1269" i="2"/>
  <c r="AQ1270" i="2"/>
  <c r="AQ1271" i="2"/>
  <c r="AQ1272" i="2"/>
  <c r="AQ1273" i="2"/>
  <c r="AQ1274" i="2"/>
  <c r="AQ1275" i="2"/>
  <c r="AQ1276" i="2"/>
  <c r="AQ1277" i="2"/>
  <c r="AQ1278" i="2"/>
  <c r="AQ1279" i="2"/>
  <c r="AQ1280" i="2"/>
  <c r="AQ1281" i="2"/>
  <c r="AQ1282" i="2"/>
  <c r="AQ1283" i="2"/>
  <c r="AQ1284" i="2"/>
  <c r="AQ1285" i="2"/>
  <c r="AQ1286" i="2"/>
  <c r="AQ1287" i="2"/>
  <c r="AQ1288" i="2"/>
  <c r="AQ1289" i="2"/>
  <c r="AQ1290" i="2"/>
  <c r="AQ1291" i="2"/>
  <c r="AQ1292" i="2"/>
  <c r="AQ1293" i="2"/>
  <c r="AQ1294" i="2"/>
  <c r="AQ1295" i="2"/>
  <c r="AQ1296" i="2"/>
  <c r="AQ1297" i="2"/>
  <c r="AQ1298" i="2"/>
  <c r="AQ1299" i="2"/>
  <c r="AQ1300" i="2"/>
  <c r="AQ1301" i="2"/>
  <c r="AQ1302" i="2"/>
  <c r="AQ1303" i="2"/>
  <c r="AQ1304" i="2"/>
  <c r="AQ1305" i="2"/>
  <c r="AQ1306" i="2"/>
  <c r="AQ1307" i="2"/>
  <c r="AQ1308" i="2"/>
  <c r="AQ1309" i="2"/>
  <c r="AQ1310" i="2"/>
  <c r="AQ1311" i="2"/>
  <c r="AQ1312" i="2"/>
  <c r="AQ1313" i="2"/>
  <c r="AQ1314" i="2"/>
  <c r="AQ1315" i="2"/>
  <c r="AQ1316" i="2"/>
  <c r="AQ1317" i="2"/>
  <c r="AQ1318" i="2"/>
  <c r="AQ1319" i="2"/>
  <c r="AQ1320" i="2"/>
  <c r="AQ1321" i="2"/>
  <c r="AQ1322" i="2"/>
  <c r="AQ1323" i="2"/>
  <c r="AQ1324" i="2"/>
  <c r="AQ1325" i="2"/>
  <c r="AQ1326" i="2"/>
  <c r="AQ1327" i="2"/>
  <c r="AQ1328" i="2"/>
  <c r="AQ1329" i="2"/>
  <c r="AQ1330" i="2"/>
  <c r="AQ1331" i="2"/>
  <c r="AQ1332" i="2"/>
  <c r="AQ1333" i="2"/>
  <c r="AQ1334" i="2"/>
  <c r="AQ1335" i="2"/>
  <c r="AQ1336" i="2"/>
  <c r="AQ1337" i="2"/>
  <c r="AQ1338" i="2"/>
  <c r="AQ1339" i="2"/>
  <c r="AQ1340" i="2"/>
  <c r="AQ1341" i="2"/>
  <c r="AQ1342" i="2"/>
  <c r="AQ1343" i="2"/>
  <c r="AQ1344" i="2"/>
  <c r="AQ1345" i="2"/>
  <c r="AQ1346" i="2"/>
  <c r="AQ1347" i="2"/>
  <c r="AQ1348" i="2"/>
  <c r="AQ1349" i="2"/>
  <c r="AQ1350" i="2"/>
  <c r="AQ1351" i="2"/>
  <c r="AQ1352" i="2"/>
  <c r="AQ1353" i="2"/>
  <c r="AQ1354" i="2"/>
  <c r="AQ1355" i="2"/>
  <c r="AQ1356" i="2"/>
  <c r="AQ1357" i="2"/>
  <c r="AQ1358" i="2"/>
  <c r="AQ1359" i="2"/>
  <c r="AQ1360" i="2"/>
  <c r="AQ1361" i="2"/>
  <c r="AQ1362" i="2"/>
  <c r="AQ1363" i="2"/>
  <c r="AQ1364" i="2"/>
  <c r="AQ1365" i="2"/>
  <c r="AQ1366" i="2"/>
  <c r="AQ1367" i="2"/>
  <c r="AQ1368" i="2"/>
  <c r="AQ1369" i="2"/>
  <c r="AQ1370" i="2"/>
  <c r="AQ1371" i="2"/>
  <c r="AQ1372" i="2"/>
  <c r="AQ1373" i="2"/>
  <c r="AQ1374" i="2"/>
  <c r="AQ1375" i="2"/>
  <c r="AQ1376" i="2"/>
  <c r="AQ1377" i="2"/>
  <c r="AQ1378" i="2"/>
  <c r="AQ1379" i="2"/>
  <c r="AQ1380" i="2"/>
  <c r="AQ1381" i="2"/>
  <c r="AQ1382" i="2"/>
  <c r="AQ1383" i="2"/>
  <c r="AQ1384" i="2"/>
  <c r="AQ1385" i="2"/>
  <c r="AQ1386" i="2"/>
  <c r="AQ1387" i="2"/>
  <c r="AQ1388" i="2"/>
  <c r="AQ1389" i="2"/>
  <c r="AQ1390" i="2"/>
  <c r="AQ1391" i="2"/>
  <c r="AQ1392" i="2"/>
  <c r="AQ1393" i="2"/>
  <c r="AQ1394" i="2"/>
  <c r="AQ1395" i="2"/>
  <c r="AQ1396" i="2"/>
  <c r="AQ1397" i="2"/>
  <c r="AQ1398" i="2"/>
  <c r="AQ1399" i="2"/>
  <c r="AQ1400" i="2"/>
  <c r="AQ1401" i="2"/>
  <c r="AQ1402" i="2"/>
  <c r="AQ1403" i="2"/>
  <c r="AQ1404" i="2"/>
  <c r="AQ1405" i="2"/>
  <c r="AQ1406" i="2"/>
  <c r="AQ1407" i="2"/>
  <c r="AQ1408" i="2"/>
  <c r="AQ1409" i="2"/>
  <c r="AQ1410" i="2"/>
  <c r="AQ1411" i="2"/>
  <c r="AQ1412" i="2"/>
  <c r="AQ1413" i="2"/>
  <c r="AQ1414" i="2"/>
  <c r="AQ1415" i="2"/>
  <c r="AQ1416" i="2"/>
  <c r="AQ1417" i="2"/>
  <c r="AQ1418" i="2"/>
  <c r="AQ1419" i="2"/>
  <c r="AQ1420" i="2"/>
  <c r="AQ1421" i="2"/>
  <c r="AQ1422" i="2"/>
  <c r="AQ1423" i="2"/>
  <c r="AQ1424" i="2"/>
  <c r="AQ1425" i="2"/>
  <c r="AQ1426" i="2"/>
  <c r="AQ1427" i="2"/>
  <c r="AQ1428" i="2"/>
  <c r="AQ1429" i="2"/>
  <c r="AQ1430" i="2"/>
  <c r="AQ1431" i="2"/>
  <c r="AQ1432" i="2"/>
  <c r="AQ1433" i="2"/>
  <c r="AQ1434" i="2"/>
  <c r="AQ1435" i="2"/>
  <c r="AQ1436" i="2"/>
  <c r="AQ1437" i="2"/>
  <c r="AQ1438" i="2"/>
  <c r="AQ1439" i="2"/>
  <c r="AQ1440" i="2"/>
  <c r="AQ1441" i="2"/>
  <c r="AQ1442" i="2"/>
  <c r="AQ1443" i="2"/>
  <c r="AQ1444" i="2"/>
  <c r="AQ1445" i="2"/>
  <c r="AQ1446" i="2"/>
  <c r="AQ1447" i="2"/>
  <c r="AQ1448" i="2"/>
  <c r="AQ1449" i="2"/>
  <c r="AQ1450" i="2"/>
  <c r="AQ1451" i="2"/>
  <c r="AQ1452" i="2"/>
  <c r="AQ1453" i="2"/>
  <c r="AQ1454" i="2"/>
  <c r="AQ1455" i="2"/>
  <c r="AQ1456" i="2"/>
  <c r="AQ1457" i="2"/>
  <c r="AQ1458" i="2"/>
  <c r="AQ1459" i="2"/>
  <c r="AQ1460" i="2"/>
  <c r="AQ1461" i="2"/>
  <c r="AQ1462" i="2"/>
  <c r="AQ1463" i="2"/>
  <c r="AQ1464" i="2"/>
  <c r="AQ1465" i="2"/>
  <c r="AQ1466" i="2"/>
  <c r="AQ1467" i="2"/>
  <c r="AQ1468" i="2"/>
  <c r="AQ1469" i="2"/>
  <c r="AQ1470" i="2"/>
  <c r="AQ1471" i="2"/>
  <c r="AQ1472" i="2"/>
  <c r="AQ1473" i="2"/>
  <c r="AQ1474" i="2"/>
  <c r="AQ1475" i="2"/>
  <c r="AQ1476" i="2"/>
  <c r="AQ1477" i="2"/>
  <c r="AQ1478" i="2"/>
  <c r="AQ1479" i="2"/>
  <c r="AQ1480" i="2"/>
  <c r="AQ1481" i="2"/>
  <c r="AQ1482" i="2"/>
  <c r="AQ1483" i="2"/>
  <c r="AQ1484" i="2"/>
  <c r="AQ1485" i="2"/>
  <c r="AQ1486" i="2"/>
  <c r="AQ1487" i="2"/>
  <c r="AQ1488" i="2"/>
  <c r="AQ1489" i="2"/>
  <c r="AQ1490" i="2"/>
  <c r="AQ1491" i="2"/>
  <c r="AQ1492" i="2"/>
  <c r="AQ1493" i="2"/>
  <c r="AQ1494" i="2"/>
  <c r="AQ1495" i="2"/>
  <c r="AQ1496" i="2"/>
  <c r="AQ1497" i="2"/>
  <c r="AQ1498" i="2"/>
  <c r="AQ1499" i="2"/>
  <c r="AQ1500" i="2"/>
  <c r="AQ1501" i="2"/>
  <c r="AQ1502" i="2"/>
  <c r="AQ1503" i="2"/>
  <c r="AQ1504" i="2"/>
  <c r="AQ1505" i="2"/>
  <c r="AQ1506" i="2"/>
  <c r="AQ1507" i="2"/>
  <c r="AQ1508" i="2"/>
  <c r="AQ1509" i="2"/>
  <c r="AQ1510" i="2"/>
  <c r="AQ1511" i="2"/>
  <c r="AQ1512" i="2"/>
  <c r="AQ1513" i="2"/>
  <c r="AQ1514" i="2"/>
  <c r="AQ1515" i="2"/>
  <c r="AQ1516" i="2"/>
  <c r="AQ1517" i="2"/>
  <c r="AQ1518" i="2"/>
  <c r="AQ1519" i="2"/>
  <c r="AQ1520" i="2"/>
  <c r="AQ1521" i="2"/>
  <c r="AQ1522" i="2"/>
  <c r="AQ1523" i="2"/>
  <c r="AQ1524" i="2"/>
  <c r="AQ1525" i="2"/>
  <c r="AQ1526" i="2"/>
  <c r="AQ1527" i="2"/>
  <c r="AQ1528" i="2"/>
  <c r="AQ1529" i="2"/>
  <c r="AQ1530" i="2"/>
  <c r="AQ1531" i="2"/>
  <c r="AQ1532" i="2"/>
  <c r="AQ1533" i="2"/>
  <c r="AQ1534" i="2"/>
  <c r="AQ1535" i="2"/>
  <c r="AQ1536" i="2"/>
  <c r="AQ1537" i="2"/>
  <c r="AQ1538" i="2"/>
  <c r="AQ1539" i="2"/>
  <c r="AQ1540" i="2"/>
  <c r="AQ1541" i="2"/>
  <c r="AQ1542" i="2"/>
  <c r="AQ1543" i="2"/>
  <c r="AQ1544" i="2"/>
  <c r="AQ1545" i="2"/>
  <c r="AQ1546" i="2"/>
  <c r="AQ1547" i="2"/>
  <c r="AQ1548" i="2"/>
  <c r="AQ1549" i="2"/>
  <c r="AQ1550" i="2"/>
  <c r="AQ1551" i="2"/>
  <c r="AQ1552" i="2"/>
  <c r="AQ1553" i="2"/>
  <c r="AQ1554" i="2"/>
  <c r="AQ1555" i="2"/>
  <c r="AQ1556" i="2"/>
  <c r="AQ1557" i="2"/>
  <c r="AQ1558" i="2"/>
  <c r="AQ1559" i="2"/>
  <c r="AQ1560" i="2"/>
  <c r="AQ1561" i="2"/>
  <c r="AQ1562" i="2"/>
  <c r="AQ1563" i="2"/>
  <c r="AQ1564" i="2"/>
  <c r="AQ1565" i="2"/>
  <c r="AQ1566" i="2"/>
  <c r="AQ1567" i="2"/>
  <c r="AQ1568" i="2"/>
  <c r="AQ1569" i="2"/>
  <c r="AQ1570" i="2"/>
  <c r="AQ1571" i="2"/>
  <c r="AQ1572" i="2"/>
  <c r="AQ1573" i="2"/>
  <c r="AQ1574" i="2"/>
  <c r="AQ1575" i="2"/>
  <c r="AQ1576" i="2"/>
  <c r="AQ1577" i="2"/>
  <c r="AQ1578" i="2"/>
  <c r="AQ1579" i="2"/>
  <c r="AQ1580" i="2"/>
  <c r="AQ1581" i="2"/>
  <c r="AQ1582" i="2"/>
  <c r="AQ1583" i="2"/>
  <c r="AQ1584" i="2"/>
  <c r="AQ1585" i="2"/>
  <c r="AQ1586" i="2"/>
  <c r="AQ1587" i="2"/>
  <c r="AQ1588" i="2"/>
  <c r="AQ1589" i="2"/>
  <c r="AQ1590" i="2"/>
  <c r="AQ1591" i="2"/>
  <c r="AQ1592" i="2"/>
  <c r="AQ1593" i="2"/>
  <c r="AQ1594" i="2"/>
  <c r="AQ1595" i="2"/>
  <c r="AQ1596" i="2"/>
  <c r="AQ1597" i="2"/>
  <c r="AQ1598" i="2"/>
  <c r="AQ1599" i="2"/>
  <c r="AQ1600" i="2"/>
  <c r="AQ1601" i="2"/>
  <c r="AQ1602" i="2"/>
  <c r="AQ1603" i="2"/>
  <c r="AQ1604" i="2"/>
  <c r="AQ1605" i="2"/>
  <c r="AQ1606" i="2"/>
  <c r="AQ1607" i="2"/>
  <c r="AQ1608" i="2"/>
  <c r="AQ1609" i="2"/>
  <c r="AQ1610" i="2"/>
  <c r="AQ1611" i="2"/>
  <c r="AQ1612" i="2"/>
  <c r="AQ1613" i="2"/>
  <c r="AQ1614" i="2"/>
  <c r="AQ1615" i="2"/>
  <c r="AQ1616" i="2"/>
  <c r="AQ1617" i="2"/>
  <c r="AQ1618" i="2"/>
  <c r="AQ1619" i="2"/>
  <c r="AQ1620" i="2"/>
  <c r="AQ1621" i="2"/>
  <c r="AQ1622" i="2"/>
  <c r="AQ1623" i="2"/>
  <c r="AQ1624" i="2"/>
  <c r="AQ1625" i="2"/>
  <c r="AQ1626" i="2"/>
  <c r="AQ1627" i="2"/>
  <c r="AQ1628" i="2"/>
  <c r="AQ1629" i="2"/>
  <c r="AQ1630" i="2"/>
  <c r="AQ1631" i="2"/>
  <c r="AQ1632" i="2"/>
  <c r="AQ1633" i="2"/>
  <c r="AQ1634" i="2"/>
  <c r="AQ1635" i="2"/>
  <c r="AQ1636" i="2"/>
  <c r="AQ1637" i="2"/>
  <c r="AQ1638" i="2"/>
  <c r="AQ1639" i="2"/>
  <c r="AQ1640" i="2"/>
  <c r="AQ1641" i="2"/>
  <c r="AQ1642" i="2"/>
  <c r="AQ1643" i="2"/>
  <c r="AQ1644" i="2"/>
  <c r="AQ1645" i="2"/>
  <c r="AQ1646" i="2"/>
  <c r="AQ1647" i="2"/>
  <c r="AQ1648" i="2"/>
  <c r="AQ1649" i="2"/>
  <c r="AQ1650" i="2"/>
  <c r="AQ1651" i="2"/>
  <c r="AQ1652" i="2"/>
  <c r="AQ1653" i="2"/>
  <c r="AQ1654" i="2"/>
  <c r="AQ1655" i="2"/>
  <c r="AQ1656" i="2"/>
  <c r="AQ1657" i="2"/>
  <c r="AQ1658" i="2"/>
  <c r="AQ1659" i="2"/>
  <c r="AQ1660" i="2"/>
  <c r="AQ1661" i="2"/>
  <c r="AQ1662" i="2"/>
  <c r="AQ1663" i="2"/>
  <c r="AQ1664" i="2"/>
  <c r="AQ1665" i="2"/>
  <c r="AQ1666" i="2"/>
  <c r="AQ1667" i="2"/>
  <c r="AQ1668" i="2"/>
  <c r="AQ1669" i="2"/>
  <c r="AQ1670" i="2"/>
  <c r="AQ1671" i="2"/>
  <c r="AQ1672" i="2"/>
  <c r="AQ1673" i="2"/>
  <c r="AQ1674" i="2"/>
  <c r="AQ1675" i="2"/>
  <c r="AQ1676" i="2"/>
  <c r="AQ1677" i="2"/>
  <c r="AQ1678" i="2"/>
  <c r="AQ1679" i="2"/>
  <c r="AQ1680" i="2"/>
  <c r="AQ1681" i="2"/>
  <c r="AQ1682" i="2"/>
  <c r="AQ1683" i="2"/>
  <c r="AQ1684" i="2"/>
  <c r="AQ1685" i="2"/>
  <c r="AQ1686" i="2"/>
  <c r="AQ1687" i="2"/>
  <c r="AQ1688" i="2"/>
  <c r="AQ1689" i="2"/>
  <c r="AQ1690" i="2"/>
  <c r="AQ1691" i="2"/>
  <c r="AQ1692" i="2"/>
  <c r="AQ1693" i="2"/>
  <c r="AQ1694" i="2"/>
  <c r="AQ1695" i="2"/>
  <c r="AQ1696" i="2"/>
  <c r="AQ1697" i="2"/>
  <c r="AQ1698" i="2"/>
  <c r="AQ1699" i="2"/>
  <c r="AQ1700" i="2"/>
  <c r="AQ1701" i="2"/>
  <c r="AQ1702" i="2"/>
  <c r="AQ1703" i="2"/>
  <c r="AQ1704" i="2"/>
  <c r="AQ1705" i="2"/>
  <c r="AQ1706" i="2"/>
  <c r="AQ1707" i="2"/>
  <c r="AQ1708" i="2"/>
  <c r="AQ1709" i="2"/>
  <c r="AQ1710" i="2"/>
  <c r="AQ1711" i="2"/>
  <c r="AQ1712" i="2"/>
  <c r="AQ1713" i="2"/>
  <c r="AQ1714" i="2"/>
  <c r="AQ1715" i="2"/>
  <c r="AQ1716" i="2"/>
  <c r="AQ1717" i="2"/>
  <c r="AQ1718" i="2"/>
  <c r="AQ1719" i="2"/>
  <c r="AQ1720" i="2"/>
  <c r="AQ1721" i="2"/>
  <c r="AQ1722" i="2"/>
  <c r="AQ1723" i="2"/>
  <c r="AQ1724" i="2"/>
  <c r="AQ1725" i="2"/>
  <c r="AQ1726" i="2"/>
  <c r="AQ1727" i="2"/>
  <c r="AQ1728" i="2"/>
  <c r="AQ1729" i="2"/>
  <c r="AQ1730" i="2"/>
  <c r="AQ1731" i="2"/>
  <c r="AQ1732" i="2"/>
  <c r="AQ1733" i="2"/>
  <c r="D204" i="1" l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Q5" i="1"/>
  <c r="R5" i="1"/>
  <c r="S5" i="1"/>
  <c r="T5" i="1"/>
  <c r="U5" i="1"/>
  <c r="V5" i="1"/>
  <c r="W5" i="1"/>
  <c r="X5" i="1"/>
  <c r="Q6" i="1"/>
  <c r="R6" i="1"/>
  <c r="S6" i="1"/>
  <c r="T6" i="1"/>
  <c r="U6" i="1"/>
  <c r="V6" i="1"/>
  <c r="W6" i="1"/>
  <c r="X6" i="1"/>
  <c r="Q7" i="1"/>
  <c r="R7" i="1"/>
  <c r="S7" i="1"/>
  <c r="T7" i="1"/>
  <c r="U7" i="1"/>
  <c r="V7" i="1"/>
  <c r="W7" i="1"/>
  <c r="X7" i="1"/>
  <c r="Q8" i="1"/>
  <c r="R8" i="1"/>
  <c r="S8" i="1"/>
  <c r="T8" i="1"/>
  <c r="U8" i="1"/>
  <c r="V8" i="1"/>
  <c r="W8" i="1"/>
  <c r="X8" i="1"/>
  <c r="Q9" i="1"/>
  <c r="R9" i="1"/>
  <c r="S9" i="1"/>
  <c r="T9" i="1"/>
  <c r="U9" i="1"/>
  <c r="V9" i="1"/>
  <c r="W9" i="1"/>
  <c r="X9" i="1"/>
  <c r="Q10" i="1"/>
  <c r="R10" i="1"/>
  <c r="S10" i="1"/>
  <c r="T10" i="1"/>
  <c r="U10" i="1"/>
  <c r="V10" i="1"/>
  <c r="W10" i="1"/>
  <c r="X10" i="1"/>
  <c r="Q11" i="1"/>
  <c r="R11" i="1"/>
  <c r="S11" i="1"/>
  <c r="T11" i="1"/>
  <c r="U11" i="1"/>
  <c r="V11" i="1"/>
  <c r="W11" i="1"/>
  <c r="X11" i="1"/>
  <c r="Q12" i="1"/>
  <c r="R12" i="1"/>
  <c r="S12" i="1"/>
  <c r="T12" i="1"/>
  <c r="U12" i="1"/>
  <c r="V12" i="1"/>
  <c r="W12" i="1"/>
  <c r="X12" i="1"/>
  <c r="Q13" i="1"/>
  <c r="R13" i="1"/>
  <c r="S13" i="1"/>
  <c r="T13" i="1"/>
  <c r="U13" i="1"/>
  <c r="V13" i="1"/>
  <c r="W13" i="1"/>
  <c r="X13" i="1"/>
  <c r="Q14" i="1"/>
  <c r="R14" i="1"/>
  <c r="S14" i="1"/>
  <c r="T14" i="1"/>
  <c r="U14" i="1"/>
  <c r="V14" i="1"/>
  <c r="W14" i="1"/>
  <c r="X14" i="1"/>
  <c r="Q15" i="1"/>
  <c r="R15" i="1"/>
  <c r="S15" i="1"/>
  <c r="T15" i="1"/>
  <c r="U15" i="1"/>
  <c r="V15" i="1"/>
  <c r="W15" i="1"/>
  <c r="X15" i="1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/>
  <c r="W17" i="1"/>
  <c r="X17" i="1"/>
  <c r="Q18" i="1"/>
  <c r="R18" i="1"/>
  <c r="S18" i="1"/>
  <c r="T18" i="1"/>
  <c r="U18" i="1"/>
  <c r="V18" i="1"/>
  <c r="W18" i="1"/>
  <c r="X18" i="1"/>
  <c r="Q19" i="1"/>
  <c r="R19" i="1"/>
  <c r="S19" i="1"/>
  <c r="T19" i="1"/>
  <c r="U19" i="1"/>
  <c r="V19" i="1"/>
  <c r="W19" i="1"/>
  <c r="X19" i="1"/>
  <c r="Q20" i="1"/>
  <c r="R20" i="1"/>
  <c r="S20" i="1"/>
  <c r="T20" i="1"/>
  <c r="U20" i="1"/>
  <c r="V20" i="1"/>
  <c r="W20" i="1"/>
  <c r="X20" i="1"/>
  <c r="Q21" i="1"/>
  <c r="R21" i="1"/>
  <c r="S21" i="1"/>
  <c r="T21" i="1"/>
  <c r="U21" i="1"/>
  <c r="V21" i="1"/>
  <c r="W21" i="1"/>
  <c r="X21" i="1"/>
  <c r="Q22" i="1"/>
  <c r="R22" i="1"/>
  <c r="S22" i="1"/>
  <c r="T22" i="1"/>
  <c r="U22" i="1"/>
  <c r="V22" i="1"/>
  <c r="W22" i="1"/>
  <c r="X22" i="1"/>
  <c r="Q23" i="1"/>
  <c r="R23" i="1"/>
  <c r="S23" i="1"/>
  <c r="T23" i="1"/>
  <c r="U23" i="1"/>
  <c r="V23" i="1"/>
  <c r="W23" i="1"/>
  <c r="X23" i="1"/>
  <c r="Q24" i="1"/>
  <c r="R24" i="1"/>
  <c r="S24" i="1"/>
  <c r="T24" i="1"/>
  <c r="U24" i="1"/>
  <c r="V24" i="1"/>
  <c r="W24" i="1"/>
  <c r="X24" i="1"/>
  <c r="Q25" i="1"/>
  <c r="R25" i="1"/>
  <c r="S25" i="1"/>
  <c r="T25" i="1"/>
  <c r="U25" i="1"/>
  <c r="V25" i="1"/>
  <c r="W25" i="1"/>
  <c r="X25" i="1"/>
  <c r="Q26" i="1"/>
  <c r="R26" i="1"/>
  <c r="S26" i="1"/>
  <c r="T26" i="1"/>
  <c r="U26" i="1"/>
  <c r="V26" i="1"/>
  <c r="W26" i="1"/>
  <c r="X26" i="1"/>
  <c r="Q27" i="1"/>
  <c r="R27" i="1"/>
  <c r="S27" i="1"/>
  <c r="T27" i="1"/>
  <c r="U27" i="1"/>
  <c r="V27" i="1"/>
  <c r="W27" i="1"/>
  <c r="X27" i="1"/>
  <c r="Q28" i="1"/>
  <c r="R28" i="1"/>
  <c r="S28" i="1"/>
  <c r="T28" i="1"/>
  <c r="U28" i="1"/>
  <c r="V28" i="1"/>
  <c r="W28" i="1"/>
  <c r="X28" i="1"/>
  <c r="Q29" i="1"/>
  <c r="R29" i="1"/>
  <c r="S29" i="1"/>
  <c r="T29" i="1"/>
  <c r="U29" i="1"/>
  <c r="V29" i="1"/>
  <c r="W29" i="1"/>
  <c r="X29" i="1"/>
  <c r="Q30" i="1"/>
  <c r="R30" i="1"/>
  <c r="S30" i="1"/>
  <c r="T30" i="1"/>
  <c r="U30" i="1"/>
  <c r="V30" i="1"/>
  <c r="W30" i="1"/>
  <c r="X30" i="1"/>
  <c r="Q31" i="1"/>
  <c r="R31" i="1"/>
  <c r="S31" i="1"/>
  <c r="T31" i="1"/>
  <c r="U31" i="1"/>
  <c r="V31" i="1"/>
  <c r="W31" i="1"/>
  <c r="X31" i="1"/>
  <c r="Q32" i="1"/>
  <c r="R32" i="1"/>
  <c r="S32" i="1"/>
  <c r="T32" i="1"/>
  <c r="U32" i="1"/>
  <c r="V32" i="1"/>
  <c r="W32" i="1"/>
  <c r="X32" i="1"/>
  <c r="Q33" i="1"/>
  <c r="R33" i="1"/>
  <c r="S33" i="1"/>
  <c r="T33" i="1"/>
  <c r="U33" i="1"/>
  <c r="V33" i="1"/>
  <c r="W33" i="1"/>
  <c r="X33" i="1"/>
  <c r="Q34" i="1"/>
  <c r="R34" i="1"/>
  <c r="S34" i="1"/>
  <c r="T34" i="1"/>
  <c r="U34" i="1"/>
  <c r="V34" i="1"/>
  <c r="W34" i="1"/>
  <c r="X34" i="1"/>
  <c r="Q35" i="1"/>
  <c r="R35" i="1"/>
  <c r="S35" i="1"/>
  <c r="AN35" i="1" s="1"/>
  <c r="T35" i="1"/>
  <c r="AO35" i="1" s="1"/>
  <c r="U35" i="1"/>
  <c r="V35" i="1"/>
  <c r="W35" i="1"/>
  <c r="AR35" i="1" s="1"/>
  <c r="X35" i="1"/>
  <c r="BA35" i="1" s="1"/>
  <c r="Q36" i="1"/>
  <c r="R36" i="1"/>
  <c r="S36" i="1"/>
  <c r="AN36" i="1" s="1"/>
  <c r="T36" i="1"/>
  <c r="AO36" i="1" s="1"/>
  <c r="U36" i="1"/>
  <c r="V36" i="1"/>
  <c r="W36" i="1"/>
  <c r="AZ36" i="1" s="1"/>
  <c r="X36" i="1"/>
  <c r="BA36" i="1" s="1"/>
  <c r="Q37" i="1"/>
  <c r="R37" i="1"/>
  <c r="S37" i="1"/>
  <c r="AN37" i="1" s="1"/>
  <c r="T37" i="1"/>
  <c r="AO37" i="1" s="1"/>
  <c r="U37" i="1"/>
  <c r="V37" i="1"/>
  <c r="W37" i="1"/>
  <c r="AZ37" i="1" s="1"/>
  <c r="X37" i="1"/>
  <c r="AS37" i="1" s="1"/>
  <c r="Q38" i="1"/>
  <c r="R38" i="1"/>
  <c r="S38" i="1"/>
  <c r="AV38" i="1" s="1"/>
  <c r="T38" i="1"/>
  <c r="AW38" i="1" s="1"/>
  <c r="U38" i="1"/>
  <c r="V38" i="1"/>
  <c r="W38" i="1"/>
  <c r="X38" i="1"/>
  <c r="BA38" i="1" s="1"/>
  <c r="Q39" i="1"/>
  <c r="R39" i="1"/>
  <c r="S39" i="1"/>
  <c r="AN39" i="1" s="1"/>
  <c r="T39" i="1"/>
  <c r="BE39" i="1" s="1"/>
  <c r="U39" i="1"/>
  <c r="V39" i="1"/>
  <c r="AQ39" i="1" s="1"/>
  <c r="W39" i="1"/>
  <c r="AR39" i="1" s="1"/>
  <c r="X39" i="1"/>
  <c r="AS39" i="1" s="1"/>
  <c r="Q40" i="1"/>
  <c r="R40" i="1"/>
  <c r="AM40" i="1" s="1"/>
  <c r="S40" i="1"/>
  <c r="AV40" i="1" s="1"/>
  <c r="T40" i="1"/>
  <c r="AO40" i="1" s="1"/>
  <c r="U40" i="1"/>
  <c r="V40" i="1"/>
  <c r="W40" i="1"/>
  <c r="AZ40" i="1" s="1"/>
  <c r="X40" i="1"/>
  <c r="BA40" i="1" s="1"/>
  <c r="X4" i="1"/>
  <c r="U4" i="1"/>
  <c r="S4" i="1"/>
  <c r="W4" i="1"/>
  <c r="V4" i="1"/>
  <c r="T4" i="1"/>
  <c r="AM36" i="1"/>
  <c r="AM37" i="1"/>
  <c r="R4" i="1"/>
  <c r="Q4" i="1"/>
  <c r="AT35" i="1"/>
  <c r="AL38" i="1"/>
  <c r="BB39" i="1"/>
  <c r="E35" i="1"/>
  <c r="AC35" i="1" s="1"/>
  <c r="E36" i="1"/>
  <c r="Z36" i="1" s="1"/>
  <c r="E37" i="1"/>
  <c r="Z37" i="1" s="1"/>
  <c r="E38" i="1"/>
  <c r="Y38" i="1" s="1"/>
  <c r="E39" i="1"/>
  <c r="AA39" i="1" s="1"/>
  <c r="E40" i="1"/>
  <c r="Z40" i="1" s="1"/>
  <c r="F35" i="1"/>
  <c r="F36" i="1"/>
  <c r="F37" i="1"/>
  <c r="F38" i="1"/>
  <c r="F39" i="1"/>
  <c r="F40" i="1"/>
  <c r="AL35" i="1"/>
  <c r="AL36" i="1"/>
  <c r="AL37" i="1"/>
  <c r="AL40" i="1"/>
  <c r="AM35" i="1"/>
  <c r="AM38" i="1"/>
  <c r="AM39" i="1"/>
  <c r="AN38" i="1"/>
  <c r="AN40" i="1"/>
  <c r="AP35" i="1"/>
  <c r="AP36" i="1"/>
  <c r="AP37" i="1"/>
  <c r="AP38" i="1"/>
  <c r="AP39" i="1"/>
  <c r="AP40" i="1"/>
  <c r="AQ35" i="1"/>
  <c r="AQ36" i="1"/>
  <c r="AQ37" i="1"/>
  <c r="AQ38" i="1"/>
  <c r="AQ40" i="1"/>
  <c r="AR37" i="1"/>
  <c r="AR38" i="1"/>
  <c r="AT36" i="1"/>
  <c r="AT37" i="1"/>
  <c r="AT39" i="1"/>
  <c r="AT40" i="1"/>
  <c r="AU35" i="1"/>
  <c r="AU38" i="1"/>
  <c r="AU39" i="1"/>
  <c r="AV36" i="1"/>
  <c r="AV37" i="1"/>
  <c r="AX35" i="1"/>
  <c r="AX36" i="1"/>
  <c r="AX37" i="1"/>
  <c r="AX38" i="1"/>
  <c r="AX39" i="1"/>
  <c r="AX40" i="1"/>
  <c r="AY35" i="1"/>
  <c r="AY36" i="1"/>
  <c r="AY37" i="1"/>
  <c r="AY38" i="1"/>
  <c r="AY39" i="1"/>
  <c r="AY40" i="1"/>
  <c r="AZ35" i="1"/>
  <c r="AZ38" i="1"/>
  <c r="AZ39" i="1"/>
  <c r="BB36" i="1"/>
  <c r="BB37" i="1"/>
  <c r="BB40" i="1"/>
  <c r="BC35" i="1"/>
  <c r="BC37" i="1"/>
  <c r="BC38" i="1"/>
  <c r="BC39" i="1"/>
  <c r="BD37" i="1"/>
  <c r="BD38" i="1"/>
  <c r="BF35" i="1"/>
  <c r="BF36" i="1"/>
  <c r="BF37" i="1"/>
  <c r="BF38" i="1"/>
  <c r="BF39" i="1"/>
  <c r="BF40" i="1"/>
  <c r="BG35" i="1"/>
  <c r="BG36" i="1"/>
  <c r="BG37" i="1"/>
  <c r="BG38" i="1"/>
  <c r="BG39" i="1"/>
  <c r="BG40" i="1"/>
  <c r="BH35" i="1"/>
  <c r="BH38" i="1"/>
  <c r="BH39" i="1"/>
  <c r="BA39" i="1" l="1"/>
  <c r="AW36" i="1"/>
  <c r="AG35" i="1"/>
  <c r="AJ38" i="1"/>
  <c r="AD38" i="1"/>
  <c r="AG38" i="1"/>
  <c r="Y35" i="1"/>
  <c r="AJ35" i="1"/>
  <c r="AB38" i="1"/>
  <c r="AO39" i="1"/>
  <c r="BI37" i="1"/>
  <c r="BE36" i="1"/>
  <c r="AS38" i="1"/>
  <c r="AF35" i="1"/>
  <c r="AC39" i="1"/>
  <c r="AH39" i="1"/>
  <c r="Y36" i="1"/>
  <c r="AE38" i="1"/>
  <c r="AA38" i="1"/>
  <c r="AE39" i="1"/>
  <c r="AH38" i="1"/>
  <c r="AC38" i="1"/>
  <c r="AG40" i="1"/>
  <c r="AI35" i="1"/>
  <c r="BI40" i="1"/>
  <c r="BI36" i="1"/>
  <c r="BE40" i="1"/>
  <c r="BE35" i="1"/>
  <c r="BA37" i="1"/>
  <c r="AW40" i="1"/>
  <c r="AW35" i="1"/>
  <c r="AS36" i="1"/>
  <c r="AO38" i="1"/>
  <c r="BI39" i="1"/>
  <c r="BH37" i="1"/>
  <c r="BE38" i="1"/>
  <c r="AV39" i="1"/>
  <c r="AS35" i="1"/>
  <c r="AG37" i="1"/>
  <c r="BI35" i="1"/>
  <c r="BD40" i="1"/>
  <c r="BD36" i="1"/>
  <c r="AW39" i="1"/>
  <c r="AV35" i="1"/>
  <c r="AS40" i="1"/>
  <c r="AR36" i="1"/>
  <c r="BI38" i="1"/>
  <c r="BH40" i="1"/>
  <c r="BH36" i="1"/>
  <c r="BE37" i="1"/>
  <c r="BD39" i="1"/>
  <c r="BD35" i="1"/>
  <c r="AW37" i="1"/>
  <c r="AR40" i="1"/>
  <c r="AG36" i="1"/>
  <c r="AG39" i="1"/>
  <c r="AD39" i="1"/>
  <c r="AB39" i="1"/>
  <c r="Z35" i="1"/>
  <c r="AA35" i="1"/>
  <c r="Y40" i="1"/>
  <c r="AI39" i="1"/>
  <c r="AF39" i="1"/>
  <c r="AD35" i="1"/>
  <c r="AC36" i="1"/>
  <c r="AB35" i="1"/>
  <c r="Z39" i="1"/>
  <c r="Y39" i="1"/>
  <c r="AJ39" i="1"/>
  <c r="AI38" i="1"/>
  <c r="AH35" i="1"/>
  <c r="AF38" i="1"/>
  <c r="AE35" i="1"/>
  <c r="AC40" i="1"/>
  <c r="Z38" i="1"/>
  <c r="Y37" i="1"/>
  <c r="AU37" i="1"/>
  <c r="AL39" i="1"/>
  <c r="AF37" i="1"/>
  <c r="AE37" i="1"/>
  <c r="AD37" i="1"/>
  <c r="BB35" i="1"/>
  <c r="AC37" i="1"/>
  <c r="AJ37" i="1"/>
  <c r="AI37" i="1"/>
  <c r="AH37" i="1"/>
  <c r="AB37" i="1"/>
  <c r="AA37" i="1"/>
  <c r="BC40" i="1"/>
  <c r="BC36" i="1"/>
  <c r="BB38" i="1"/>
  <c r="AU40" i="1"/>
  <c r="AU36" i="1"/>
  <c r="AT38" i="1"/>
  <c r="AI40" i="1"/>
  <c r="AI36" i="1"/>
  <c r="AE40" i="1"/>
  <c r="AE36" i="1"/>
  <c r="AA40" i="1"/>
  <c r="AA36" i="1"/>
  <c r="AJ40" i="1"/>
  <c r="AJ36" i="1"/>
  <c r="AH40" i="1"/>
  <c r="AH36" i="1"/>
  <c r="AF40" i="1"/>
  <c r="AF36" i="1"/>
  <c r="AD40" i="1"/>
  <c r="AD36" i="1"/>
  <c r="AB40" i="1"/>
  <c r="AB36" i="1"/>
  <c r="E5" i="1"/>
  <c r="Z5" i="1" s="1"/>
  <c r="E6" i="1"/>
  <c r="AI6" i="1" s="1"/>
  <c r="E7" i="1"/>
  <c r="Z7" i="1" s="1"/>
  <c r="E8" i="1"/>
  <c r="AC8" i="1" s="1"/>
  <c r="E9" i="1"/>
  <c r="AD9" i="1" s="1"/>
  <c r="E10" i="1"/>
  <c r="Z10" i="1" s="1"/>
  <c r="E11" i="1"/>
  <c r="AF11" i="1" s="1"/>
  <c r="E12" i="1"/>
  <c r="Y12" i="1" s="1"/>
  <c r="E13" i="1"/>
  <c r="Z13" i="1" s="1"/>
  <c r="E14" i="1"/>
  <c r="Z14" i="1" s="1"/>
  <c r="E15" i="1"/>
  <c r="Z15" i="1" s="1"/>
  <c r="E16" i="1"/>
  <c r="Y16" i="1" s="1"/>
  <c r="E17" i="1"/>
  <c r="Z17" i="1" s="1"/>
  <c r="E18" i="1"/>
  <c r="Z18" i="1" s="1"/>
  <c r="E19" i="1"/>
  <c r="AE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AD27" i="1" s="1"/>
  <c r="E28" i="1"/>
  <c r="Y28" i="1" s="1"/>
  <c r="E29" i="1"/>
  <c r="Z29" i="1" s="1"/>
  <c r="E30" i="1"/>
  <c r="Z30" i="1" s="1"/>
  <c r="E31" i="1"/>
  <c r="Z31" i="1" s="1"/>
  <c r="E32" i="1"/>
  <c r="Y32" i="1" s="1"/>
  <c r="E33" i="1"/>
  <c r="Z33" i="1" s="1"/>
  <c r="E34" i="1"/>
  <c r="Z34" i="1" s="1"/>
  <c r="E4" i="1"/>
  <c r="AA4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F6" i="1"/>
  <c r="F7" i="1"/>
  <c r="F8" i="1"/>
  <c r="F9" i="1"/>
  <c r="F10" i="1"/>
  <c r="AL6" i="1"/>
  <c r="AL7" i="1"/>
  <c r="AL8" i="1"/>
  <c r="AL9" i="1"/>
  <c r="AL10" i="1"/>
  <c r="AM6" i="1"/>
  <c r="AM7" i="1"/>
  <c r="AM8" i="1"/>
  <c r="AM9" i="1"/>
  <c r="AM10" i="1"/>
  <c r="AN6" i="1"/>
  <c r="AN7" i="1"/>
  <c r="AN8" i="1"/>
  <c r="AN9" i="1"/>
  <c r="AN10" i="1"/>
  <c r="AO6" i="1"/>
  <c r="AO7" i="1"/>
  <c r="AO8" i="1"/>
  <c r="AO9" i="1"/>
  <c r="AO10" i="1"/>
  <c r="AP6" i="1"/>
  <c r="AP7" i="1"/>
  <c r="AP8" i="1"/>
  <c r="AP9" i="1"/>
  <c r="AP10" i="1"/>
  <c r="AQ6" i="1"/>
  <c r="AQ7" i="1"/>
  <c r="AQ8" i="1"/>
  <c r="AQ9" i="1"/>
  <c r="AQ10" i="1"/>
  <c r="AR6" i="1"/>
  <c r="AR7" i="1"/>
  <c r="AR8" i="1"/>
  <c r="AR9" i="1"/>
  <c r="AR10" i="1"/>
  <c r="AS6" i="1"/>
  <c r="AS7" i="1"/>
  <c r="AS8" i="1"/>
  <c r="AS9" i="1"/>
  <c r="AS10" i="1"/>
  <c r="AT6" i="1"/>
  <c r="AT7" i="1"/>
  <c r="AT8" i="1"/>
  <c r="AT9" i="1"/>
  <c r="AT10" i="1"/>
  <c r="AU6" i="1"/>
  <c r="AU7" i="1"/>
  <c r="AU8" i="1"/>
  <c r="AU9" i="1"/>
  <c r="AU10" i="1"/>
  <c r="AV6" i="1"/>
  <c r="AV7" i="1"/>
  <c r="AV8" i="1"/>
  <c r="AV9" i="1"/>
  <c r="AV10" i="1"/>
  <c r="AW6" i="1"/>
  <c r="AW7" i="1"/>
  <c r="AW8" i="1"/>
  <c r="AW9" i="1"/>
  <c r="AW10" i="1"/>
  <c r="AX6" i="1"/>
  <c r="AX7" i="1"/>
  <c r="AX8" i="1"/>
  <c r="AX9" i="1"/>
  <c r="AX10" i="1"/>
  <c r="AY6" i="1"/>
  <c r="AY7" i="1"/>
  <c r="AY8" i="1"/>
  <c r="AY9" i="1"/>
  <c r="AY10" i="1"/>
  <c r="AZ6" i="1"/>
  <c r="AZ7" i="1"/>
  <c r="AZ8" i="1"/>
  <c r="AZ9" i="1"/>
  <c r="AZ10" i="1"/>
  <c r="BA6" i="1"/>
  <c r="BA7" i="1"/>
  <c r="BA8" i="1"/>
  <c r="BA9" i="1"/>
  <c r="BA10" i="1"/>
  <c r="BB6" i="1"/>
  <c r="BB7" i="1"/>
  <c r="BB8" i="1"/>
  <c r="BB9" i="1"/>
  <c r="BB10" i="1"/>
  <c r="BC6" i="1"/>
  <c r="BC7" i="1"/>
  <c r="BC8" i="1"/>
  <c r="BC9" i="1"/>
  <c r="BC10" i="1"/>
  <c r="BD6" i="1"/>
  <c r="BD7" i="1"/>
  <c r="BD8" i="1"/>
  <c r="BD9" i="1"/>
  <c r="BD10" i="1"/>
  <c r="BE6" i="1"/>
  <c r="BE7" i="1"/>
  <c r="BE8" i="1"/>
  <c r="BE9" i="1"/>
  <c r="BE10" i="1"/>
  <c r="BF6" i="1"/>
  <c r="BF7" i="1"/>
  <c r="BF8" i="1"/>
  <c r="BF9" i="1"/>
  <c r="BF10" i="1"/>
  <c r="BG6" i="1"/>
  <c r="BG7" i="1"/>
  <c r="BG8" i="1"/>
  <c r="BG9" i="1"/>
  <c r="BG10" i="1"/>
  <c r="BH6" i="1"/>
  <c r="BH7" i="1"/>
  <c r="BH8" i="1"/>
  <c r="BH9" i="1"/>
  <c r="BH10" i="1"/>
  <c r="BI6" i="1"/>
  <c r="BI7" i="1"/>
  <c r="BI8" i="1"/>
  <c r="BI9" i="1"/>
  <c r="BI10" i="1"/>
  <c r="BB5" i="1"/>
  <c r="BC5" i="1"/>
  <c r="BD5" i="1"/>
  <c r="BE5" i="1"/>
  <c r="BF5" i="1"/>
  <c r="BG5" i="1"/>
  <c r="BH5" i="1"/>
  <c r="BI5" i="1"/>
  <c r="BI4" i="1"/>
  <c r="BH4" i="1"/>
  <c r="BG4" i="1"/>
  <c r="BF4" i="1"/>
  <c r="BE4" i="1"/>
  <c r="BD4" i="1"/>
  <c r="BC4" i="1"/>
  <c r="BB4" i="1"/>
  <c r="AT5" i="1"/>
  <c r="AU5" i="1"/>
  <c r="AV5" i="1"/>
  <c r="AW5" i="1"/>
  <c r="AX5" i="1"/>
  <c r="AY5" i="1"/>
  <c r="AZ5" i="1"/>
  <c r="BA5" i="1"/>
  <c r="BA4" i="1"/>
  <c r="AZ4" i="1"/>
  <c r="AY4" i="1"/>
  <c r="AX4" i="1"/>
  <c r="AW4" i="1"/>
  <c r="AV4" i="1"/>
  <c r="AU4" i="1"/>
  <c r="AT4" i="1"/>
  <c r="AL5" i="1"/>
  <c r="AM5" i="1"/>
  <c r="AN5" i="1"/>
  <c r="AO5" i="1"/>
  <c r="AP5" i="1"/>
  <c r="AQ5" i="1"/>
  <c r="AR5" i="1"/>
  <c r="AS5" i="1"/>
  <c r="AS4" i="1"/>
  <c r="AR4" i="1"/>
  <c r="AQ4" i="1"/>
  <c r="AP4" i="1"/>
  <c r="AO4" i="1"/>
  <c r="AN4" i="1"/>
  <c r="AM4" i="1"/>
  <c r="AL4" i="1"/>
  <c r="F5" i="1"/>
  <c r="F4" i="1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1527" i="2"/>
  <c r="AL1528" i="2"/>
  <c r="AL1529" i="2"/>
  <c r="AL1530" i="2"/>
  <c r="AL1531" i="2"/>
  <c r="AL1532" i="2"/>
  <c r="AL1533" i="2"/>
  <c r="AL1534" i="2"/>
  <c r="AL1535" i="2"/>
  <c r="AL1536" i="2"/>
  <c r="AL1537" i="2"/>
  <c r="AL1538" i="2"/>
  <c r="AL1539" i="2"/>
  <c r="AL1540" i="2"/>
  <c r="AL1541" i="2"/>
  <c r="AL1542" i="2"/>
  <c r="AL1543" i="2"/>
  <c r="AL1544" i="2"/>
  <c r="AL1545" i="2"/>
  <c r="AL1546" i="2"/>
  <c r="AL1547" i="2"/>
  <c r="AL1548" i="2"/>
  <c r="AL1549" i="2"/>
  <c r="AL1550" i="2"/>
  <c r="AL1551" i="2"/>
  <c r="AL1552" i="2"/>
  <c r="AL1553" i="2"/>
  <c r="AL1554" i="2"/>
  <c r="AL1555" i="2"/>
  <c r="AL1556" i="2"/>
  <c r="AL1557" i="2"/>
  <c r="AL1558" i="2"/>
  <c r="AL1559" i="2"/>
  <c r="AL1560" i="2"/>
  <c r="AL1561" i="2"/>
  <c r="AL1562" i="2"/>
  <c r="AL1563" i="2"/>
  <c r="AL1564" i="2"/>
  <c r="AL1565" i="2"/>
  <c r="AL1566" i="2"/>
  <c r="AL1567" i="2"/>
  <c r="AL1568" i="2"/>
  <c r="AL1569" i="2"/>
  <c r="AL1570" i="2"/>
  <c r="AL1571" i="2"/>
  <c r="AL1572" i="2"/>
  <c r="AL1573" i="2"/>
  <c r="AL1574" i="2"/>
  <c r="AL1575" i="2"/>
  <c r="AL1576" i="2"/>
  <c r="AL1577" i="2"/>
  <c r="AL1578" i="2"/>
  <c r="AL1579" i="2"/>
  <c r="AL1580" i="2"/>
  <c r="AL1581" i="2"/>
  <c r="AL1582" i="2"/>
  <c r="AL1583" i="2"/>
  <c r="AL1584" i="2"/>
  <c r="AL1585" i="2"/>
  <c r="AL1586" i="2"/>
  <c r="AL1587" i="2"/>
  <c r="AL1588" i="2"/>
  <c r="AL1589" i="2"/>
  <c r="AL1590" i="2"/>
  <c r="AL1591" i="2"/>
  <c r="AL1592" i="2"/>
  <c r="AL1593" i="2"/>
  <c r="AL1594" i="2"/>
  <c r="AL1595" i="2"/>
  <c r="AL1596" i="2"/>
  <c r="AL1597" i="2"/>
  <c r="AL1598" i="2"/>
  <c r="AL1599" i="2"/>
  <c r="AL1600" i="2"/>
  <c r="AL1601" i="2"/>
  <c r="AL1602" i="2"/>
  <c r="AL1603" i="2"/>
  <c r="AL1604" i="2"/>
  <c r="AL1605" i="2"/>
  <c r="AL1606" i="2"/>
  <c r="AL1607" i="2"/>
  <c r="AL1608" i="2"/>
  <c r="AL1609" i="2"/>
  <c r="AL1610" i="2"/>
  <c r="AL1611" i="2"/>
  <c r="AL1612" i="2"/>
  <c r="AL1613" i="2"/>
  <c r="AL1614" i="2"/>
  <c r="AL1615" i="2"/>
  <c r="AL1616" i="2"/>
  <c r="AL1617" i="2"/>
  <c r="AL1618" i="2"/>
  <c r="AL1619" i="2"/>
  <c r="AL1620" i="2"/>
  <c r="AL1621" i="2"/>
  <c r="AL1622" i="2"/>
  <c r="AL1623" i="2"/>
  <c r="AL1624" i="2"/>
  <c r="AL1625" i="2"/>
  <c r="AL1626" i="2"/>
  <c r="AL1627" i="2"/>
  <c r="AL1628" i="2"/>
  <c r="AL1629" i="2"/>
  <c r="AL1630" i="2"/>
  <c r="AL1631" i="2"/>
  <c r="AL1632" i="2"/>
  <c r="AL1633" i="2"/>
  <c r="AL1634" i="2"/>
  <c r="AL1635" i="2"/>
  <c r="AL1636" i="2"/>
  <c r="AL1637" i="2"/>
  <c r="AL1638" i="2"/>
  <c r="AL1639" i="2"/>
  <c r="AL1640" i="2"/>
  <c r="AL1641" i="2"/>
  <c r="AL1642" i="2"/>
  <c r="AL1643" i="2"/>
  <c r="AL1644" i="2"/>
  <c r="AL1645" i="2"/>
  <c r="AL1646" i="2"/>
  <c r="AL1647" i="2"/>
  <c r="AL1648" i="2"/>
  <c r="AL1649" i="2"/>
  <c r="AL1650" i="2"/>
  <c r="AL1651" i="2"/>
  <c r="AL1652" i="2"/>
  <c r="AL1653" i="2"/>
  <c r="AL1654" i="2"/>
  <c r="AL1655" i="2"/>
  <c r="AL1656" i="2"/>
  <c r="AL1657" i="2"/>
  <c r="AL1658" i="2"/>
  <c r="AL1659" i="2"/>
  <c r="AL1660" i="2"/>
  <c r="AL1661" i="2"/>
  <c r="AL1662" i="2"/>
  <c r="AL1663" i="2"/>
  <c r="AL1664" i="2"/>
  <c r="AL1665" i="2"/>
  <c r="AL1666" i="2"/>
  <c r="AL1667" i="2"/>
  <c r="AL1668" i="2"/>
  <c r="AL1669" i="2"/>
  <c r="AL1670" i="2"/>
  <c r="AL1671" i="2"/>
  <c r="AL1672" i="2"/>
  <c r="AL1673" i="2"/>
  <c r="AL1674" i="2"/>
  <c r="AL1675" i="2"/>
  <c r="AL1676" i="2"/>
  <c r="AL1677" i="2"/>
  <c r="AL1678" i="2"/>
  <c r="AL1679" i="2"/>
  <c r="AL1680" i="2"/>
  <c r="AL1681" i="2"/>
  <c r="AL1682" i="2"/>
  <c r="AL1683" i="2"/>
  <c r="AL1684" i="2"/>
  <c r="AL1685" i="2"/>
  <c r="AL1686" i="2"/>
  <c r="AL1687" i="2"/>
  <c r="AL1688" i="2"/>
  <c r="AL1689" i="2"/>
  <c r="AL1690" i="2"/>
  <c r="AL1691" i="2"/>
  <c r="AL1692" i="2"/>
  <c r="AL1693" i="2"/>
  <c r="AL1694" i="2"/>
  <c r="AL1695" i="2"/>
  <c r="AL1696" i="2"/>
  <c r="AL1697" i="2"/>
  <c r="AL1698" i="2"/>
  <c r="AL1699" i="2"/>
  <c r="AL1700" i="2"/>
  <c r="AL1701" i="2"/>
  <c r="AL1702" i="2"/>
  <c r="AL1703" i="2"/>
  <c r="AL1704" i="2"/>
  <c r="AL1705" i="2"/>
  <c r="AL1706" i="2"/>
  <c r="AL1707" i="2"/>
  <c r="AL1708" i="2"/>
  <c r="AL1709" i="2"/>
  <c r="AL1710" i="2"/>
  <c r="AL1711" i="2"/>
  <c r="AL1712" i="2"/>
  <c r="AL1713" i="2"/>
  <c r="AL1714" i="2"/>
  <c r="AL1715" i="2"/>
  <c r="AL1716" i="2"/>
  <c r="AL1717" i="2"/>
  <c r="AL1718" i="2"/>
  <c r="AL1719" i="2"/>
  <c r="AL1720" i="2"/>
  <c r="AL1721" i="2"/>
  <c r="AL1722" i="2"/>
  <c r="AL1723" i="2"/>
  <c r="AL1724" i="2"/>
  <c r="AL1725" i="2"/>
  <c r="AL1726" i="2"/>
  <c r="AL1727" i="2"/>
  <c r="AL1728" i="2"/>
  <c r="AL1729" i="2"/>
  <c r="AL1730" i="2"/>
  <c r="AL1731" i="2"/>
  <c r="AL1732" i="2"/>
  <c r="AL1733" i="2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1256" i="2"/>
  <c r="AK1257" i="2"/>
  <c r="AK1258" i="2"/>
  <c r="AK1259" i="2"/>
  <c r="AK1260" i="2"/>
  <c r="AK1261" i="2"/>
  <c r="AK1262" i="2"/>
  <c r="AK1263" i="2"/>
  <c r="AK1264" i="2"/>
  <c r="AK1265" i="2"/>
  <c r="AK1266" i="2"/>
  <c r="AK1267" i="2"/>
  <c r="AK1268" i="2"/>
  <c r="AK1269" i="2"/>
  <c r="AK1270" i="2"/>
  <c r="AK1271" i="2"/>
  <c r="AK1272" i="2"/>
  <c r="AK1273" i="2"/>
  <c r="AK1274" i="2"/>
  <c r="AK1275" i="2"/>
  <c r="AK1276" i="2"/>
  <c r="AK1277" i="2"/>
  <c r="AK1278" i="2"/>
  <c r="AK1279" i="2"/>
  <c r="AK1280" i="2"/>
  <c r="AK1281" i="2"/>
  <c r="AK1282" i="2"/>
  <c r="AK1283" i="2"/>
  <c r="AK1284" i="2"/>
  <c r="AK1285" i="2"/>
  <c r="AK1286" i="2"/>
  <c r="AK1287" i="2"/>
  <c r="AK1288" i="2"/>
  <c r="AK1289" i="2"/>
  <c r="AK1290" i="2"/>
  <c r="AK1291" i="2"/>
  <c r="AK1292" i="2"/>
  <c r="AK1293" i="2"/>
  <c r="AK1294" i="2"/>
  <c r="AK1295" i="2"/>
  <c r="AK1296" i="2"/>
  <c r="AK1297" i="2"/>
  <c r="AK1298" i="2"/>
  <c r="AK1299" i="2"/>
  <c r="AK1300" i="2"/>
  <c r="AK1301" i="2"/>
  <c r="AK1302" i="2"/>
  <c r="AK1303" i="2"/>
  <c r="AK1304" i="2"/>
  <c r="AK1305" i="2"/>
  <c r="AK1306" i="2"/>
  <c r="AK1307" i="2"/>
  <c r="AK1308" i="2"/>
  <c r="AK1309" i="2"/>
  <c r="AK1310" i="2"/>
  <c r="AK1311" i="2"/>
  <c r="AK1312" i="2"/>
  <c r="AK1313" i="2"/>
  <c r="AK1314" i="2"/>
  <c r="AK1315" i="2"/>
  <c r="AK1316" i="2"/>
  <c r="AK1317" i="2"/>
  <c r="AK1318" i="2"/>
  <c r="AK1319" i="2"/>
  <c r="AK1320" i="2"/>
  <c r="AK1321" i="2"/>
  <c r="AK1322" i="2"/>
  <c r="AK1323" i="2"/>
  <c r="AK1324" i="2"/>
  <c r="AK1325" i="2"/>
  <c r="AK1326" i="2"/>
  <c r="AK1327" i="2"/>
  <c r="AK1328" i="2"/>
  <c r="AK1329" i="2"/>
  <c r="AK1330" i="2"/>
  <c r="AK1331" i="2"/>
  <c r="AK1332" i="2"/>
  <c r="AK1333" i="2"/>
  <c r="AK1334" i="2"/>
  <c r="AK1335" i="2"/>
  <c r="AK1336" i="2"/>
  <c r="AK1337" i="2"/>
  <c r="AK1338" i="2"/>
  <c r="AK1339" i="2"/>
  <c r="AK1340" i="2"/>
  <c r="AK1341" i="2"/>
  <c r="AK1342" i="2"/>
  <c r="AK1343" i="2"/>
  <c r="AK1344" i="2"/>
  <c r="AK1345" i="2"/>
  <c r="AK1346" i="2"/>
  <c r="AK1347" i="2"/>
  <c r="AK1348" i="2"/>
  <c r="AK1349" i="2"/>
  <c r="AK1350" i="2"/>
  <c r="AK1351" i="2"/>
  <c r="AK1352" i="2"/>
  <c r="AK1353" i="2"/>
  <c r="AK1354" i="2"/>
  <c r="AK1355" i="2"/>
  <c r="AK1356" i="2"/>
  <c r="AK1357" i="2"/>
  <c r="AK1358" i="2"/>
  <c r="AK1359" i="2"/>
  <c r="AK1360" i="2"/>
  <c r="AK1361" i="2"/>
  <c r="AK1362" i="2"/>
  <c r="AK1363" i="2"/>
  <c r="AK1364" i="2"/>
  <c r="AK1365" i="2"/>
  <c r="AK1366" i="2"/>
  <c r="AK1367" i="2"/>
  <c r="AK1368" i="2"/>
  <c r="AK1369" i="2"/>
  <c r="AK1370" i="2"/>
  <c r="AK1371" i="2"/>
  <c r="AK1372" i="2"/>
  <c r="AK1373" i="2"/>
  <c r="AK1374" i="2"/>
  <c r="AK1375" i="2"/>
  <c r="AK1376" i="2"/>
  <c r="AK1377" i="2"/>
  <c r="AK1378" i="2"/>
  <c r="AK1379" i="2"/>
  <c r="AK1380" i="2"/>
  <c r="AK1381" i="2"/>
  <c r="AK1382" i="2"/>
  <c r="AK1383" i="2"/>
  <c r="AK1384" i="2"/>
  <c r="AK1385" i="2"/>
  <c r="AK1386" i="2"/>
  <c r="AK1387" i="2"/>
  <c r="AK1388" i="2"/>
  <c r="AK1389" i="2"/>
  <c r="AK1390" i="2"/>
  <c r="AK1391" i="2"/>
  <c r="AK1392" i="2"/>
  <c r="AK1393" i="2"/>
  <c r="AK1394" i="2"/>
  <c r="AK1395" i="2"/>
  <c r="AK1396" i="2"/>
  <c r="AK1397" i="2"/>
  <c r="AK1398" i="2"/>
  <c r="AK1399" i="2"/>
  <c r="AK1400" i="2"/>
  <c r="AK1401" i="2"/>
  <c r="AK1402" i="2"/>
  <c r="AK1403" i="2"/>
  <c r="AK1404" i="2"/>
  <c r="AK1405" i="2"/>
  <c r="AK1406" i="2"/>
  <c r="AK1407" i="2"/>
  <c r="AK1408" i="2"/>
  <c r="AK1409" i="2"/>
  <c r="AK1410" i="2"/>
  <c r="AK1411" i="2"/>
  <c r="AK1412" i="2"/>
  <c r="AK1413" i="2"/>
  <c r="AK1414" i="2"/>
  <c r="AK1415" i="2"/>
  <c r="AK1416" i="2"/>
  <c r="AK1417" i="2"/>
  <c r="AK1418" i="2"/>
  <c r="AK1419" i="2"/>
  <c r="AK1420" i="2"/>
  <c r="AK1421" i="2"/>
  <c r="AK1422" i="2"/>
  <c r="AK1423" i="2"/>
  <c r="AK1424" i="2"/>
  <c r="AK1425" i="2"/>
  <c r="AK1426" i="2"/>
  <c r="AK1427" i="2"/>
  <c r="AK1428" i="2"/>
  <c r="AK1429" i="2"/>
  <c r="AK1430" i="2"/>
  <c r="AK1431" i="2"/>
  <c r="AK1432" i="2"/>
  <c r="AK1433" i="2"/>
  <c r="AK1434" i="2"/>
  <c r="AK1435" i="2"/>
  <c r="AK1436" i="2"/>
  <c r="AK1437" i="2"/>
  <c r="AK1438" i="2"/>
  <c r="AK1439" i="2"/>
  <c r="AK1440" i="2"/>
  <c r="AK1441" i="2"/>
  <c r="AK1442" i="2"/>
  <c r="AK1443" i="2"/>
  <c r="AK1444" i="2"/>
  <c r="AK1445" i="2"/>
  <c r="AK1446" i="2"/>
  <c r="AK1447" i="2"/>
  <c r="AK1448" i="2"/>
  <c r="AK1449" i="2"/>
  <c r="AK1450" i="2"/>
  <c r="AK1451" i="2"/>
  <c r="AK1452" i="2"/>
  <c r="AK1453" i="2"/>
  <c r="AK1454" i="2"/>
  <c r="AK1455" i="2"/>
  <c r="AK1456" i="2"/>
  <c r="AK1457" i="2"/>
  <c r="AK1458" i="2"/>
  <c r="AK1459" i="2"/>
  <c r="AK1460" i="2"/>
  <c r="AK1461" i="2"/>
  <c r="AK1462" i="2"/>
  <c r="AK1463" i="2"/>
  <c r="AK1464" i="2"/>
  <c r="AK1465" i="2"/>
  <c r="AK1466" i="2"/>
  <c r="AK1467" i="2"/>
  <c r="AK1468" i="2"/>
  <c r="AK1469" i="2"/>
  <c r="AK1470" i="2"/>
  <c r="AK1471" i="2"/>
  <c r="AK1472" i="2"/>
  <c r="AK1473" i="2"/>
  <c r="AK1474" i="2"/>
  <c r="AK1475" i="2"/>
  <c r="AK1476" i="2"/>
  <c r="AK1477" i="2"/>
  <c r="AK1478" i="2"/>
  <c r="AK1479" i="2"/>
  <c r="AK1480" i="2"/>
  <c r="AK1481" i="2"/>
  <c r="AK1482" i="2"/>
  <c r="AK1483" i="2"/>
  <c r="AK1484" i="2"/>
  <c r="AK1485" i="2"/>
  <c r="AK1486" i="2"/>
  <c r="AK1487" i="2"/>
  <c r="AK1488" i="2"/>
  <c r="AK1489" i="2"/>
  <c r="AK1490" i="2"/>
  <c r="AK1491" i="2"/>
  <c r="AK1492" i="2"/>
  <c r="AK1493" i="2"/>
  <c r="AK1494" i="2"/>
  <c r="AK1495" i="2"/>
  <c r="AK1496" i="2"/>
  <c r="AK1497" i="2"/>
  <c r="AK1498" i="2"/>
  <c r="AK1499" i="2"/>
  <c r="AK1500" i="2"/>
  <c r="AK1501" i="2"/>
  <c r="AK1502" i="2"/>
  <c r="AK1503" i="2"/>
  <c r="AK1504" i="2"/>
  <c r="AK1505" i="2"/>
  <c r="AK1506" i="2"/>
  <c r="AK1507" i="2"/>
  <c r="AK1508" i="2"/>
  <c r="AK1509" i="2"/>
  <c r="AK1510" i="2"/>
  <c r="AK1511" i="2"/>
  <c r="AK1512" i="2"/>
  <c r="AK1513" i="2"/>
  <c r="AK1514" i="2"/>
  <c r="AK1515" i="2"/>
  <c r="AK1516" i="2"/>
  <c r="AK1517" i="2"/>
  <c r="AK1518" i="2"/>
  <c r="AK1519" i="2"/>
  <c r="AK1520" i="2"/>
  <c r="AK1521" i="2"/>
  <c r="AK1522" i="2"/>
  <c r="AK1523" i="2"/>
  <c r="AK1524" i="2"/>
  <c r="AK1525" i="2"/>
  <c r="AK1526" i="2"/>
  <c r="AK1527" i="2"/>
  <c r="AK1528" i="2"/>
  <c r="AK1529" i="2"/>
  <c r="AK1530" i="2"/>
  <c r="AK1531" i="2"/>
  <c r="AK1532" i="2"/>
  <c r="AK1533" i="2"/>
  <c r="AK1534" i="2"/>
  <c r="AK1535" i="2"/>
  <c r="AK1536" i="2"/>
  <c r="AK1537" i="2"/>
  <c r="AK1538" i="2"/>
  <c r="AK1539" i="2"/>
  <c r="AK1540" i="2"/>
  <c r="AK1541" i="2"/>
  <c r="AK1542" i="2"/>
  <c r="AK1543" i="2"/>
  <c r="AK1544" i="2"/>
  <c r="AK1545" i="2"/>
  <c r="AK1546" i="2"/>
  <c r="AK1547" i="2"/>
  <c r="AK1548" i="2"/>
  <c r="AK1549" i="2"/>
  <c r="AK1550" i="2"/>
  <c r="AK1551" i="2"/>
  <c r="AK1552" i="2"/>
  <c r="AK1553" i="2"/>
  <c r="AK1554" i="2"/>
  <c r="AK1555" i="2"/>
  <c r="AK1556" i="2"/>
  <c r="AK1557" i="2"/>
  <c r="AK1558" i="2"/>
  <c r="AK1559" i="2"/>
  <c r="AK1560" i="2"/>
  <c r="AK1561" i="2"/>
  <c r="AK1562" i="2"/>
  <c r="AK1563" i="2"/>
  <c r="AK1564" i="2"/>
  <c r="AK1565" i="2"/>
  <c r="AK1566" i="2"/>
  <c r="AK1567" i="2"/>
  <c r="AK1568" i="2"/>
  <c r="AK1569" i="2"/>
  <c r="AK1570" i="2"/>
  <c r="AK1571" i="2"/>
  <c r="AK1572" i="2"/>
  <c r="AK1573" i="2"/>
  <c r="AK1574" i="2"/>
  <c r="AK1575" i="2"/>
  <c r="AK1576" i="2"/>
  <c r="AK1577" i="2"/>
  <c r="AK1578" i="2"/>
  <c r="AK1579" i="2"/>
  <c r="AK1580" i="2"/>
  <c r="AK1581" i="2"/>
  <c r="AK1582" i="2"/>
  <c r="AK1583" i="2"/>
  <c r="AK1584" i="2"/>
  <c r="AK1585" i="2"/>
  <c r="AK1586" i="2"/>
  <c r="AK1587" i="2"/>
  <c r="AK1588" i="2"/>
  <c r="AK1589" i="2"/>
  <c r="AK1590" i="2"/>
  <c r="AK1591" i="2"/>
  <c r="AK1592" i="2"/>
  <c r="AK1593" i="2"/>
  <c r="AK1594" i="2"/>
  <c r="AK1595" i="2"/>
  <c r="AK1596" i="2"/>
  <c r="AK1597" i="2"/>
  <c r="AK1598" i="2"/>
  <c r="AK1599" i="2"/>
  <c r="AK1600" i="2"/>
  <c r="AK1601" i="2"/>
  <c r="AK1602" i="2"/>
  <c r="AK1603" i="2"/>
  <c r="AK1604" i="2"/>
  <c r="AK1605" i="2"/>
  <c r="AK1606" i="2"/>
  <c r="AK1607" i="2"/>
  <c r="AK1608" i="2"/>
  <c r="AK1609" i="2"/>
  <c r="AK1610" i="2"/>
  <c r="AK1611" i="2"/>
  <c r="AK1612" i="2"/>
  <c r="AK1613" i="2"/>
  <c r="AK1614" i="2"/>
  <c r="AK1615" i="2"/>
  <c r="AK1616" i="2"/>
  <c r="AK1617" i="2"/>
  <c r="AK1618" i="2"/>
  <c r="AK1619" i="2"/>
  <c r="AK1620" i="2"/>
  <c r="AK1621" i="2"/>
  <c r="AK1622" i="2"/>
  <c r="AK1623" i="2"/>
  <c r="AK1624" i="2"/>
  <c r="AK1625" i="2"/>
  <c r="AK1626" i="2"/>
  <c r="AK1627" i="2"/>
  <c r="AK1628" i="2"/>
  <c r="AK1629" i="2"/>
  <c r="AK1630" i="2"/>
  <c r="AK1631" i="2"/>
  <c r="AK1632" i="2"/>
  <c r="AK1633" i="2"/>
  <c r="AK1634" i="2"/>
  <c r="AK1635" i="2"/>
  <c r="AK1636" i="2"/>
  <c r="AK1637" i="2"/>
  <c r="AK1638" i="2"/>
  <c r="AK1639" i="2"/>
  <c r="AK1640" i="2"/>
  <c r="AK1641" i="2"/>
  <c r="AK1642" i="2"/>
  <c r="AK1643" i="2"/>
  <c r="AK1644" i="2"/>
  <c r="AK1645" i="2"/>
  <c r="AK1646" i="2"/>
  <c r="AK1647" i="2"/>
  <c r="AK1648" i="2"/>
  <c r="AK1649" i="2"/>
  <c r="AK1650" i="2"/>
  <c r="AK1651" i="2"/>
  <c r="AK1652" i="2"/>
  <c r="AK1653" i="2"/>
  <c r="AK1654" i="2"/>
  <c r="AK1655" i="2"/>
  <c r="AK1656" i="2"/>
  <c r="AK1657" i="2"/>
  <c r="AK1658" i="2"/>
  <c r="AK1659" i="2"/>
  <c r="AK1660" i="2"/>
  <c r="AK1661" i="2"/>
  <c r="AK1662" i="2"/>
  <c r="AK1663" i="2"/>
  <c r="AK1664" i="2"/>
  <c r="AK1665" i="2"/>
  <c r="AK1666" i="2"/>
  <c r="AK1667" i="2"/>
  <c r="AK1668" i="2"/>
  <c r="AK1669" i="2"/>
  <c r="AK1670" i="2"/>
  <c r="AK1671" i="2"/>
  <c r="AK1672" i="2"/>
  <c r="AK1673" i="2"/>
  <c r="AK1674" i="2"/>
  <c r="AK1675" i="2"/>
  <c r="AK1676" i="2"/>
  <c r="AK1677" i="2"/>
  <c r="AK1678" i="2"/>
  <c r="AK1679" i="2"/>
  <c r="AK1680" i="2"/>
  <c r="AK1681" i="2"/>
  <c r="AK1682" i="2"/>
  <c r="AK1683" i="2"/>
  <c r="AK1684" i="2"/>
  <c r="AK1685" i="2"/>
  <c r="AK1686" i="2"/>
  <c r="AK1687" i="2"/>
  <c r="AK1688" i="2"/>
  <c r="AK1689" i="2"/>
  <c r="AK1690" i="2"/>
  <c r="AK1691" i="2"/>
  <c r="AK1692" i="2"/>
  <c r="AK1693" i="2"/>
  <c r="AK1694" i="2"/>
  <c r="AK1695" i="2"/>
  <c r="AK1696" i="2"/>
  <c r="AK1697" i="2"/>
  <c r="AK1698" i="2"/>
  <c r="AK1699" i="2"/>
  <c r="AK1700" i="2"/>
  <c r="AK1701" i="2"/>
  <c r="AK1702" i="2"/>
  <c r="AK1703" i="2"/>
  <c r="AK1704" i="2"/>
  <c r="AK1705" i="2"/>
  <c r="AK1706" i="2"/>
  <c r="AK1707" i="2"/>
  <c r="AK1708" i="2"/>
  <c r="AK1709" i="2"/>
  <c r="AK1710" i="2"/>
  <c r="AK1711" i="2"/>
  <c r="AK1712" i="2"/>
  <c r="AK1713" i="2"/>
  <c r="AK1714" i="2"/>
  <c r="AK1715" i="2"/>
  <c r="AK1716" i="2"/>
  <c r="AK1717" i="2"/>
  <c r="AK1718" i="2"/>
  <c r="AK1719" i="2"/>
  <c r="AK1720" i="2"/>
  <c r="AK1721" i="2"/>
  <c r="AK1722" i="2"/>
  <c r="AK1723" i="2"/>
  <c r="AK1724" i="2"/>
  <c r="AK1725" i="2"/>
  <c r="AK1726" i="2"/>
  <c r="AK1727" i="2"/>
  <c r="AK1728" i="2"/>
  <c r="AK1729" i="2"/>
  <c r="AK1730" i="2"/>
  <c r="AK1731" i="2"/>
  <c r="AK1732" i="2"/>
  <c r="AK1733" i="2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J1686" i="2"/>
  <c r="AJ1687" i="2"/>
  <c r="AJ1688" i="2"/>
  <c r="AJ1689" i="2"/>
  <c r="AJ1690" i="2"/>
  <c r="AJ1691" i="2"/>
  <c r="AJ1692" i="2"/>
  <c r="AJ1693" i="2"/>
  <c r="AJ1694" i="2"/>
  <c r="AJ1695" i="2"/>
  <c r="AJ1696" i="2"/>
  <c r="AJ1697" i="2"/>
  <c r="AJ1698" i="2"/>
  <c r="AJ1699" i="2"/>
  <c r="AJ1700" i="2"/>
  <c r="AJ1701" i="2"/>
  <c r="AJ1702" i="2"/>
  <c r="AJ1703" i="2"/>
  <c r="AJ1704" i="2"/>
  <c r="AJ1705" i="2"/>
  <c r="AJ1706" i="2"/>
  <c r="AJ1707" i="2"/>
  <c r="AJ1708" i="2"/>
  <c r="AJ1709" i="2"/>
  <c r="AJ1710" i="2"/>
  <c r="AJ1711" i="2"/>
  <c r="AJ1712" i="2"/>
  <c r="AJ1713" i="2"/>
  <c r="AJ1714" i="2"/>
  <c r="AJ1715" i="2"/>
  <c r="AJ1716" i="2"/>
  <c r="AJ1717" i="2"/>
  <c r="AJ1718" i="2"/>
  <c r="AJ1719" i="2"/>
  <c r="AJ1720" i="2"/>
  <c r="AJ1721" i="2"/>
  <c r="AJ1722" i="2"/>
  <c r="AJ1723" i="2"/>
  <c r="AJ1724" i="2"/>
  <c r="AJ1725" i="2"/>
  <c r="AJ1726" i="2"/>
  <c r="AJ1727" i="2"/>
  <c r="AJ1728" i="2"/>
  <c r="AJ1729" i="2"/>
  <c r="AJ1730" i="2"/>
  <c r="AJ1731" i="2"/>
  <c r="AJ1732" i="2"/>
  <c r="AJ1733" i="2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1717" i="2"/>
  <c r="AP1718" i="2"/>
  <c r="AP1719" i="2"/>
  <c r="AP1720" i="2"/>
  <c r="AP1721" i="2"/>
  <c r="AP1722" i="2"/>
  <c r="AP1723" i="2"/>
  <c r="AP1724" i="2"/>
  <c r="AP1725" i="2"/>
  <c r="AP1726" i="2"/>
  <c r="AP1727" i="2"/>
  <c r="AP1728" i="2"/>
  <c r="AP1729" i="2"/>
  <c r="AP1730" i="2"/>
  <c r="AP1731" i="2"/>
  <c r="AP1732" i="2"/>
  <c r="AP1733" i="2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1031" i="2"/>
  <c r="AI1032" i="2"/>
  <c r="AI1033" i="2"/>
  <c r="AI1034" i="2"/>
  <c r="AI1035" i="2"/>
  <c r="AI1036" i="2"/>
  <c r="AI1037" i="2"/>
  <c r="AI1038" i="2"/>
  <c r="AI1039" i="2"/>
  <c r="AI1040" i="2"/>
  <c r="AI1041" i="2"/>
  <c r="AI1042" i="2"/>
  <c r="AI1043" i="2"/>
  <c r="AI1044" i="2"/>
  <c r="AI1045" i="2"/>
  <c r="AI1046" i="2"/>
  <c r="AI1047" i="2"/>
  <c r="AI1048" i="2"/>
  <c r="AI1049" i="2"/>
  <c r="AI1050" i="2"/>
  <c r="AI1051" i="2"/>
  <c r="AI1052" i="2"/>
  <c r="AI1053" i="2"/>
  <c r="AI1054" i="2"/>
  <c r="AI1055" i="2"/>
  <c r="AI1056" i="2"/>
  <c r="AI1057" i="2"/>
  <c r="AI1058" i="2"/>
  <c r="AI1059" i="2"/>
  <c r="AI1060" i="2"/>
  <c r="AI1061" i="2"/>
  <c r="AI1062" i="2"/>
  <c r="AI1063" i="2"/>
  <c r="AI1064" i="2"/>
  <c r="AI1065" i="2"/>
  <c r="AI1066" i="2"/>
  <c r="AI1067" i="2"/>
  <c r="AI1068" i="2"/>
  <c r="AI1069" i="2"/>
  <c r="AI1070" i="2"/>
  <c r="AI1071" i="2"/>
  <c r="AI1072" i="2"/>
  <c r="AI1073" i="2"/>
  <c r="AI1074" i="2"/>
  <c r="AI1075" i="2"/>
  <c r="AI1076" i="2"/>
  <c r="AI1077" i="2"/>
  <c r="AI1078" i="2"/>
  <c r="AI1079" i="2"/>
  <c r="AI1080" i="2"/>
  <c r="AI1081" i="2"/>
  <c r="AI1082" i="2"/>
  <c r="AI1083" i="2"/>
  <c r="AI1084" i="2"/>
  <c r="AI1085" i="2"/>
  <c r="AI1086" i="2"/>
  <c r="AI1087" i="2"/>
  <c r="AI1088" i="2"/>
  <c r="AI1089" i="2"/>
  <c r="AI1090" i="2"/>
  <c r="AI1091" i="2"/>
  <c r="AI1092" i="2"/>
  <c r="AI1093" i="2"/>
  <c r="AI1094" i="2"/>
  <c r="AI1095" i="2"/>
  <c r="AI1096" i="2"/>
  <c r="AI1097" i="2"/>
  <c r="AI1098" i="2"/>
  <c r="AI1099" i="2"/>
  <c r="AI1100" i="2"/>
  <c r="AI1101" i="2"/>
  <c r="AI1102" i="2"/>
  <c r="AI1103" i="2"/>
  <c r="AI1104" i="2"/>
  <c r="AI1105" i="2"/>
  <c r="AI1106" i="2"/>
  <c r="AI1107" i="2"/>
  <c r="AI1108" i="2"/>
  <c r="AI1109" i="2"/>
  <c r="AI1110" i="2"/>
  <c r="AI1111" i="2"/>
  <c r="AI1112" i="2"/>
  <c r="AI1113" i="2"/>
  <c r="AI1114" i="2"/>
  <c r="AI1115" i="2"/>
  <c r="AI1116" i="2"/>
  <c r="AI1117" i="2"/>
  <c r="AI1118" i="2"/>
  <c r="AI1119" i="2"/>
  <c r="AI1120" i="2"/>
  <c r="AI1121" i="2"/>
  <c r="AI1122" i="2"/>
  <c r="AI1123" i="2"/>
  <c r="AI1124" i="2"/>
  <c r="AI1125" i="2"/>
  <c r="AI1126" i="2"/>
  <c r="AI1127" i="2"/>
  <c r="AI1128" i="2"/>
  <c r="AI1129" i="2"/>
  <c r="AI1130" i="2"/>
  <c r="AI1131" i="2"/>
  <c r="AI1132" i="2"/>
  <c r="AI1133" i="2"/>
  <c r="AI1134" i="2"/>
  <c r="AI1135" i="2"/>
  <c r="AI1136" i="2"/>
  <c r="AI1137" i="2"/>
  <c r="AI1138" i="2"/>
  <c r="AI1139" i="2"/>
  <c r="AI1140" i="2"/>
  <c r="AI1141" i="2"/>
  <c r="AI1142" i="2"/>
  <c r="AI1143" i="2"/>
  <c r="AI1144" i="2"/>
  <c r="AI1145" i="2"/>
  <c r="AI1146" i="2"/>
  <c r="AI1147" i="2"/>
  <c r="AI1148" i="2"/>
  <c r="AI1149" i="2"/>
  <c r="AI1150" i="2"/>
  <c r="AI1151" i="2"/>
  <c r="AI1152" i="2"/>
  <c r="AI1153" i="2"/>
  <c r="AI1154" i="2"/>
  <c r="AI1155" i="2"/>
  <c r="AI1156" i="2"/>
  <c r="AI1157" i="2"/>
  <c r="AI1158" i="2"/>
  <c r="AI1159" i="2"/>
  <c r="AI1160" i="2"/>
  <c r="AI1161" i="2"/>
  <c r="AI1162" i="2"/>
  <c r="AI1163" i="2"/>
  <c r="AI1164" i="2"/>
  <c r="AI1165" i="2"/>
  <c r="AI1166" i="2"/>
  <c r="AI1167" i="2"/>
  <c r="AI1168" i="2"/>
  <c r="AI1169" i="2"/>
  <c r="AI1170" i="2"/>
  <c r="AI1171" i="2"/>
  <c r="AI1172" i="2"/>
  <c r="AI1173" i="2"/>
  <c r="AI1174" i="2"/>
  <c r="AI1175" i="2"/>
  <c r="AI1176" i="2"/>
  <c r="AI1177" i="2"/>
  <c r="AI1178" i="2"/>
  <c r="AI1179" i="2"/>
  <c r="AI1180" i="2"/>
  <c r="AI1181" i="2"/>
  <c r="AI1182" i="2"/>
  <c r="AI1183" i="2"/>
  <c r="AI1184" i="2"/>
  <c r="AI1185" i="2"/>
  <c r="AI1186" i="2"/>
  <c r="AI1187" i="2"/>
  <c r="AI1188" i="2"/>
  <c r="AI1189" i="2"/>
  <c r="AI1190" i="2"/>
  <c r="AI1191" i="2"/>
  <c r="AI1192" i="2"/>
  <c r="AI1193" i="2"/>
  <c r="AI1194" i="2"/>
  <c r="AI1195" i="2"/>
  <c r="AI1196" i="2"/>
  <c r="AI1197" i="2"/>
  <c r="AI1198" i="2"/>
  <c r="AI1199" i="2"/>
  <c r="AI1200" i="2"/>
  <c r="AI1201" i="2"/>
  <c r="AI1202" i="2"/>
  <c r="AI1203" i="2"/>
  <c r="AI1204" i="2"/>
  <c r="AI1205" i="2"/>
  <c r="AI1206" i="2"/>
  <c r="AI1207" i="2"/>
  <c r="AI1208" i="2"/>
  <c r="AI1209" i="2"/>
  <c r="AI1210" i="2"/>
  <c r="AI1211" i="2"/>
  <c r="AI1212" i="2"/>
  <c r="AI1213" i="2"/>
  <c r="AI1214" i="2"/>
  <c r="AI1215" i="2"/>
  <c r="AI1216" i="2"/>
  <c r="AI1217" i="2"/>
  <c r="AI1218" i="2"/>
  <c r="AI1219" i="2"/>
  <c r="AI1220" i="2"/>
  <c r="AI1221" i="2"/>
  <c r="AI1222" i="2"/>
  <c r="AI1223" i="2"/>
  <c r="AI1224" i="2"/>
  <c r="AI1225" i="2"/>
  <c r="AI1226" i="2"/>
  <c r="AI1227" i="2"/>
  <c r="AI1228" i="2"/>
  <c r="AI1229" i="2"/>
  <c r="AI1230" i="2"/>
  <c r="AI1231" i="2"/>
  <c r="AI1232" i="2"/>
  <c r="AI1233" i="2"/>
  <c r="AI1234" i="2"/>
  <c r="AI1235" i="2"/>
  <c r="AI1236" i="2"/>
  <c r="AI1237" i="2"/>
  <c r="AI1238" i="2"/>
  <c r="AI1239" i="2"/>
  <c r="AI1240" i="2"/>
  <c r="AI1241" i="2"/>
  <c r="AI1242" i="2"/>
  <c r="AI1243" i="2"/>
  <c r="AI1244" i="2"/>
  <c r="AI1245" i="2"/>
  <c r="AI1246" i="2"/>
  <c r="AI1247" i="2"/>
  <c r="AI1248" i="2"/>
  <c r="AI1249" i="2"/>
  <c r="AI1250" i="2"/>
  <c r="AI1251" i="2"/>
  <c r="AI1252" i="2"/>
  <c r="AI1253" i="2"/>
  <c r="AI1254" i="2"/>
  <c r="AI1255" i="2"/>
  <c r="AI1256" i="2"/>
  <c r="AI1257" i="2"/>
  <c r="AI1258" i="2"/>
  <c r="AI1259" i="2"/>
  <c r="AI1260" i="2"/>
  <c r="AI1261" i="2"/>
  <c r="AI1262" i="2"/>
  <c r="AI1263" i="2"/>
  <c r="AI1264" i="2"/>
  <c r="AI1265" i="2"/>
  <c r="AI1266" i="2"/>
  <c r="AI1267" i="2"/>
  <c r="AI1268" i="2"/>
  <c r="AI1269" i="2"/>
  <c r="AI1270" i="2"/>
  <c r="AI1271" i="2"/>
  <c r="AI1272" i="2"/>
  <c r="AI1273" i="2"/>
  <c r="AI1274" i="2"/>
  <c r="AI1275" i="2"/>
  <c r="AI1276" i="2"/>
  <c r="AI1277" i="2"/>
  <c r="AI1278" i="2"/>
  <c r="AI1279" i="2"/>
  <c r="AI1280" i="2"/>
  <c r="AI1281" i="2"/>
  <c r="AI1282" i="2"/>
  <c r="AI1283" i="2"/>
  <c r="AI1284" i="2"/>
  <c r="AI1285" i="2"/>
  <c r="AI1286" i="2"/>
  <c r="AI1287" i="2"/>
  <c r="AI1288" i="2"/>
  <c r="AI1289" i="2"/>
  <c r="AI1290" i="2"/>
  <c r="AI1291" i="2"/>
  <c r="AI1292" i="2"/>
  <c r="AI1293" i="2"/>
  <c r="AI1294" i="2"/>
  <c r="AI1295" i="2"/>
  <c r="AI1296" i="2"/>
  <c r="AI1297" i="2"/>
  <c r="AI1298" i="2"/>
  <c r="AI1299" i="2"/>
  <c r="AI1300" i="2"/>
  <c r="AI1301" i="2"/>
  <c r="AI1302" i="2"/>
  <c r="AI1303" i="2"/>
  <c r="AI1304" i="2"/>
  <c r="AI1305" i="2"/>
  <c r="AI1306" i="2"/>
  <c r="AI1307" i="2"/>
  <c r="AI1308" i="2"/>
  <c r="AI1309" i="2"/>
  <c r="AI1310" i="2"/>
  <c r="AI1311" i="2"/>
  <c r="AI1312" i="2"/>
  <c r="AI1313" i="2"/>
  <c r="AI1314" i="2"/>
  <c r="AI1315" i="2"/>
  <c r="AI1316" i="2"/>
  <c r="AI1317" i="2"/>
  <c r="AI1318" i="2"/>
  <c r="AI1319" i="2"/>
  <c r="AI1320" i="2"/>
  <c r="AI1321" i="2"/>
  <c r="AI1322" i="2"/>
  <c r="AI1323" i="2"/>
  <c r="AI1324" i="2"/>
  <c r="AI1325" i="2"/>
  <c r="AI1326" i="2"/>
  <c r="AI1327" i="2"/>
  <c r="AI1328" i="2"/>
  <c r="AI1329" i="2"/>
  <c r="AI1330" i="2"/>
  <c r="AI1331" i="2"/>
  <c r="AI1332" i="2"/>
  <c r="AI1333" i="2"/>
  <c r="AI1334" i="2"/>
  <c r="AI1335" i="2"/>
  <c r="AI1336" i="2"/>
  <c r="AI1337" i="2"/>
  <c r="AI1338" i="2"/>
  <c r="AI1339" i="2"/>
  <c r="AI1340" i="2"/>
  <c r="AI1341" i="2"/>
  <c r="AI1342" i="2"/>
  <c r="AI1343" i="2"/>
  <c r="AI1344" i="2"/>
  <c r="AI1345" i="2"/>
  <c r="AI1346" i="2"/>
  <c r="AI1347" i="2"/>
  <c r="AI1348" i="2"/>
  <c r="AI1349" i="2"/>
  <c r="AI1350" i="2"/>
  <c r="AI1351" i="2"/>
  <c r="AI1352" i="2"/>
  <c r="AI1353" i="2"/>
  <c r="AI1354" i="2"/>
  <c r="AI1355" i="2"/>
  <c r="AI1356" i="2"/>
  <c r="AI1357" i="2"/>
  <c r="AI1358" i="2"/>
  <c r="AI1359" i="2"/>
  <c r="AI1360" i="2"/>
  <c r="AI1361" i="2"/>
  <c r="AI1362" i="2"/>
  <c r="AI1363" i="2"/>
  <c r="AI1364" i="2"/>
  <c r="AI1365" i="2"/>
  <c r="AI1366" i="2"/>
  <c r="AI1367" i="2"/>
  <c r="AI1368" i="2"/>
  <c r="AI1369" i="2"/>
  <c r="AI1370" i="2"/>
  <c r="AI1371" i="2"/>
  <c r="AI1372" i="2"/>
  <c r="AI1373" i="2"/>
  <c r="AI1374" i="2"/>
  <c r="AI1375" i="2"/>
  <c r="AI1376" i="2"/>
  <c r="AI1377" i="2"/>
  <c r="AI1378" i="2"/>
  <c r="AI1379" i="2"/>
  <c r="AI1380" i="2"/>
  <c r="AI1381" i="2"/>
  <c r="AI1382" i="2"/>
  <c r="AI1383" i="2"/>
  <c r="AI1384" i="2"/>
  <c r="AI1385" i="2"/>
  <c r="AI1386" i="2"/>
  <c r="AI1387" i="2"/>
  <c r="AI1388" i="2"/>
  <c r="AI1389" i="2"/>
  <c r="AI1390" i="2"/>
  <c r="AI1391" i="2"/>
  <c r="AI1392" i="2"/>
  <c r="AI1393" i="2"/>
  <c r="AI1394" i="2"/>
  <c r="AI1395" i="2"/>
  <c r="AI1396" i="2"/>
  <c r="AI1397" i="2"/>
  <c r="AI1398" i="2"/>
  <c r="AI1399" i="2"/>
  <c r="AI1400" i="2"/>
  <c r="AI1401" i="2"/>
  <c r="AI1402" i="2"/>
  <c r="AI1403" i="2"/>
  <c r="AI1404" i="2"/>
  <c r="AI1405" i="2"/>
  <c r="AI1406" i="2"/>
  <c r="AI1407" i="2"/>
  <c r="AI1408" i="2"/>
  <c r="AI1409" i="2"/>
  <c r="AI1410" i="2"/>
  <c r="AI1411" i="2"/>
  <c r="AI1412" i="2"/>
  <c r="AI1413" i="2"/>
  <c r="AI1414" i="2"/>
  <c r="AI1415" i="2"/>
  <c r="AI1416" i="2"/>
  <c r="AI1417" i="2"/>
  <c r="AI1418" i="2"/>
  <c r="AI1419" i="2"/>
  <c r="AI1420" i="2"/>
  <c r="AI1421" i="2"/>
  <c r="AI1422" i="2"/>
  <c r="AI1423" i="2"/>
  <c r="AI1424" i="2"/>
  <c r="AI1425" i="2"/>
  <c r="AI1426" i="2"/>
  <c r="AI1427" i="2"/>
  <c r="AI1428" i="2"/>
  <c r="AI1429" i="2"/>
  <c r="AI1430" i="2"/>
  <c r="AI1431" i="2"/>
  <c r="AI1432" i="2"/>
  <c r="AI1433" i="2"/>
  <c r="AI1434" i="2"/>
  <c r="AI1435" i="2"/>
  <c r="AI1436" i="2"/>
  <c r="AI1437" i="2"/>
  <c r="AI1438" i="2"/>
  <c r="AI1439" i="2"/>
  <c r="AI1440" i="2"/>
  <c r="AI1441" i="2"/>
  <c r="AI1442" i="2"/>
  <c r="AI1443" i="2"/>
  <c r="AI1444" i="2"/>
  <c r="AI1445" i="2"/>
  <c r="AI1446" i="2"/>
  <c r="AI1447" i="2"/>
  <c r="AI1448" i="2"/>
  <c r="AI1449" i="2"/>
  <c r="AI1450" i="2"/>
  <c r="AI1451" i="2"/>
  <c r="AI1452" i="2"/>
  <c r="AI1453" i="2"/>
  <c r="AI1454" i="2"/>
  <c r="AI1455" i="2"/>
  <c r="AI1456" i="2"/>
  <c r="AI1457" i="2"/>
  <c r="AI1458" i="2"/>
  <c r="AI1459" i="2"/>
  <c r="AI1460" i="2"/>
  <c r="AI1461" i="2"/>
  <c r="AI1462" i="2"/>
  <c r="AI1463" i="2"/>
  <c r="AI1464" i="2"/>
  <c r="AI1465" i="2"/>
  <c r="AI1466" i="2"/>
  <c r="AI1467" i="2"/>
  <c r="AI1468" i="2"/>
  <c r="AI1469" i="2"/>
  <c r="AI1470" i="2"/>
  <c r="AI1471" i="2"/>
  <c r="AI1472" i="2"/>
  <c r="AI1473" i="2"/>
  <c r="AI1474" i="2"/>
  <c r="AI1475" i="2"/>
  <c r="AI1476" i="2"/>
  <c r="AI1477" i="2"/>
  <c r="AI1478" i="2"/>
  <c r="AI1479" i="2"/>
  <c r="AI1480" i="2"/>
  <c r="AI1481" i="2"/>
  <c r="AI1482" i="2"/>
  <c r="AI1483" i="2"/>
  <c r="AI1484" i="2"/>
  <c r="AI1485" i="2"/>
  <c r="AI1486" i="2"/>
  <c r="AI1487" i="2"/>
  <c r="AI1488" i="2"/>
  <c r="AI1489" i="2"/>
  <c r="AI1490" i="2"/>
  <c r="AI1491" i="2"/>
  <c r="AI1492" i="2"/>
  <c r="AI1493" i="2"/>
  <c r="AI1494" i="2"/>
  <c r="AI1495" i="2"/>
  <c r="AI1496" i="2"/>
  <c r="AI1497" i="2"/>
  <c r="AI1498" i="2"/>
  <c r="AI1499" i="2"/>
  <c r="AI1500" i="2"/>
  <c r="AI1501" i="2"/>
  <c r="AI1502" i="2"/>
  <c r="AI1503" i="2"/>
  <c r="AI1504" i="2"/>
  <c r="AI1505" i="2"/>
  <c r="AI1506" i="2"/>
  <c r="AI1507" i="2"/>
  <c r="AI1508" i="2"/>
  <c r="AI1509" i="2"/>
  <c r="AI1510" i="2"/>
  <c r="AI1511" i="2"/>
  <c r="AI1512" i="2"/>
  <c r="AI1513" i="2"/>
  <c r="AI1514" i="2"/>
  <c r="AI1515" i="2"/>
  <c r="AI1516" i="2"/>
  <c r="AI1517" i="2"/>
  <c r="AI1518" i="2"/>
  <c r="AI1519" i="2"/>
  <c r="AI1520" i="2"/>
  <c r="AI1521" i="2"/>
  <c r="AI1522" i="2"/>
  <c r="AI1523" i="2"/>
  <c r="AI1524" i="2"/>
  <c r="AI1525" i="2"/>
  <c r="AI1526" i="2"/>
  <c r="AI1527" i="2"/>
  <c r="AI1528" i="2"/>
  <c r="AI1529" i="2"/>
  <c r="AI1530" i="2"/>
  <c r="AI1531" i="2"/>
  <c r="AI1532" i="2"/>
  <c r="AI1533" i="2"/>
  <c r="AI1534" i="2"/>
  <c r="AI1535" i="2"/>
  <c r="AI1536" i="2"/>
  <c r="AI1537" i="2"/>
  <c r="AI1538" i="2"/>
  <c r="AI1539" i="2"/>
  <c r="AI1540" i="2"/>
  <c r="AI1541" i="2"/>
  <c r="AI1542" i="2"/>
  <c r="AI1543" i="2"/>
  <c r="AI1544" i="2"/>
  <c r="AI1545" i="2"/>
  <c r="AI1546" i="2"/>
  <c r="AI1547" i="2"/>
  <c r="AI1548" i="2"/>
  <c r="AI1549" i="2"/>
  <c r="AI1550" i="2"/>
  <c r="AI1551" i="2"/>
  <c r="AI1552" i="2"/>
  <c r="AI1553" i="2"/>
  <c r="AI1554" i="2"/>
  <c r="AI1555" i="2"/>
  <c r="AI1556" i="2"/>
  <c r="AI1557" i="2"/>
  <c r="AI1558" i="2"/>
  <c r="AI1559" i="2"/>
  <c r="AI1560" i="2"/>
  <c r="AI1561" i="2"/>
  <c r="AI1562" i="2"/>
  <c r="AI1563" i="2"/>
  <c r="AI1564" i="2"/>
  <c r="AI1565" i="2"/>
  <c r="AI1566" i="2"/>
  <c r="AI1567" i="2"/>
  <c r="AI1568" i="2"/>
  <c r="AI1569" i="2"/>
  <c r="AI1570" i="2"/>
  <c r="AI1571" i="2"/>
  <c r="AI1572" i="2"/>
  <c r="AI1573" i="2"/>
  <c r="AI1574" i="2"/>
  <c r="AI1575" i="2"/>
  <c r="AI1576" i="2"/>
  <c r="AI1577" i="2"/>
  <c r="AI1578" i="2"/>
  <c r="AI1579" i="2"/>
  <c r="AI1580" i="2"/>
  <c r="AI1581" i="2"/>
  <c r="AI1582" i="2"/>
  <c r="AI1583" i="2"/>
  <c r="AI1584" i="2"/>
  <c r="AI1585" i="2"/>
  <c r="AI1586" i="2"/>
  <c r="AI1587" i="2"/>
  <c r="AI1588" i="2"/>
  <c r="AI1589" i="2"/>
  <c r="AI1590" i="2"/>
  <c r="AI1591" i="2"/>
  <c r="AI1592" i="2"/>
  <c r="AI1593" i="2"/>
  <c r="AI1594" i="2"/>
  <c r="AI1595" i="2"/>
  <c r="AI1596" i="2"/>
  <c r="AI1597" i="2"/>
  <c r="AI1598" i="2"/>
  <c r="AI1599" i="2"/>
  <c r="AI1600" i="2"/>
  <c r="AI1601" i="2"/>
  <c r="AI1602" i="2"/>
  <c r="AI1603" i="2"/>
  <c r="AI1604" i="2"/>
  <c r="AI1605" i="2"/>
  <c r="AI1606" i="2"/>
  <c r="AI1607" i="2"/>
  <c r="AI1608" i="2"/>
  <c r="AI1609" i="2"/>
  <c r="AI1610" i="2"/>
  <c r="AI1611" i="2"/>
  <c r="AI1612" i="2"/>
  <c r="AI1613" i="2"/>
  <c r="AI1614" i="2"/>
  <c r="AI1615" i="2"/>
  <c r="AI1616" i="2"/>
  <c r="AI1617" i="2"/>
  <c r="AI1618" i="2"/>
  <c r="AI1619" i="2"/>
  <c r="AI1620" i="2"/>
  <c r="AI1621" i="2"/>
  <c r="AI1622" i="2"/>
  <c r="AI1623" i="2"/>
  <c r="AI1624" i="2"/>
  <c r="AI1625" i="2"/>
  <c r="AI1626" i="2"/>
  <c r="AI1627" i="2"/>
  <c r="AI1628" i="2"/>
  <c r="AI1629" i="2"/>
  <c r="AI1630" i="2"/>
  <c r="AI1631" i="2"/>
  <c r="AI1632" i="2"/>
  <c r="AI1633" i="2"/>
  <c r="AI1634" i="2"/>
  <c r="AI1635" i="2"/>
  <c r="AI1636" i="2"/>
  <c r="AI1637" i="2"/>
  <c r="AI1638" i="2"/>
  <c r="AI1639" i="2"/>
  <c r="AI1640" i="2"/>
  <c r="AI1641" i="2"/>
  <c r="AI1642" i="2"/>
  <c r="AI1643" i="2"/>
  <c r="AI1644" i="2"/>
  <c r="AI1645" i="2"/>
  <c r="AI1646" i="2"/>
  <c r="AI1647" i="2"/>
  <c r="AI1648" i="2"/>
  <c r="AI1649" i="2"/>
  <c r="AI1650" i="2"/>
  <c r="AI1651" i="2"/>
  <c r="AI1652" i="2"/>
  <c r="AI1653" i="2"/>
  <c r="AI1654" i="2"/>
  <c r="AI1655" i="2"/>
  <c r="AI1656" i="2"/>
  <c r="AI1657" i="2"/>
  <c r="AI1658" i="2"/>
  <c r="AI1659" i="2"/>
  <c r="AI1660" i="2"/>
  <c r="AI1661" i="2"/>
  <c r="AI1662" i="2"/>
  <c r="AI1663" i="2"/>
  <c r="AI1664" i="2"/>
  <c r="AI1665" i="2"/>
  <c r="AI1666" i="2"/>
  <c r="AI1667" i="2"/>
  <c r="AI1668" i="2"/>
  <c r="AI1669" i="2"/>
  <c r="AI1670" i="2"/>
  <c r="AI1671" i="2"/>
  <c r="AI1672" i="2"/>
  <c r="AI1673" i="2"/>
  <c r="AI1674" i="2"/>
  <c r="AI1675" i="2"/>
  <c r="AI1676" i="2"/>
  <c r="AI1677" i="2"/>
  <c r="AI1678" i="2"/>
  <c r="AI1679" i="2"/>
  <c r="AI1680" i="2"/>
  <c r="AI1681" i="2"/>
  <c r="AI1682" i="2"/>
  <c r="AI1683" i="2"/>
  <c r="AI1684" i="2"/>
  <c r="AI1685" i="2"/>
  <c r="AI1686" i="2"/>
  <c r="AI1687" i="2"/>
  <c r="AI1688" i="2"/>
  <c r="AI1689" i="2"/>
  <c r="AI1690" i="2"/>
  <c r="AI1691" i="2"/>
  <c r="AI1692" i="2"/>
  <c r="AI1693" i="2"/>
  <c r="AI1694" i="2"/>
  <c r="AI1695" i="2"/>
  <c r="AI1696" i="2"/>
  <c r="AI1697" i="2"/>
  <c r="AI1698" i="2"/>
  <c r="AI1699" i="2"/>
  <c r="AI1700" i="2"/>
  <c r="AI1701" i="2"/>
  <c r="AI1702" i="2"/>
  <c r="AI1703" i="2"/>
  <c r="AI1704" i="2"/>
  <c r="AI1705" i="2"/>
  <c r="AI1706" i="2"/>
  <c r="AI1707" i="2"/>
  <c r="AI1708" i="2"/>
  <c r="AI1709" i="2"/>
  <c r="AI1710" i="2"/>
  <c r="AI1711" i="2"/>
  <c r="AI1712" i="2"/>
  <c r="AI1713" i="2"/>
  <c r="AI1714" i="2"/>
  <c r="AI1715" i="2"/>
  <c r="AI1716" i="2"/>
  <c r="AI1717" i="2"/>
  <c r="AI1718" i="2"/>
  <c r="AI1719" i="2"/>
  <c r="AI1720" i="2"/>
  <c r="AI1721" i="2"/>
  <c r="AI1722" i="2"/>
  <c r="AI1723" i="2"/>
  <c r="AI1724" i="2"/>
  <c r="AI1725" i="2"/>
  <c r="AI1726" i="2"/>
  <c r="AI1727" i="2"/>
  <c r="AI1728" i="2"/>
  <c r="AI1729" i="2"/>
  <c r="AI1730" i="2"/>
  <c r="AI1731" i="2"/>
  <c r="AI1732" i="2"/>
  <c r="AI1733" i="2"/>
  <c r="X3" i="2"/>
  <c r="AC3" i="2" s="1"/>
  <c r="Y3" i="2"/>
  <c r="X4" i="2"/>
  <c r="AA4" i="2" s="1"/>
  <c r="Y4" i="2"/>
  <c r="X5" i="2"/>
  <c r="Y5" i="2"/>
  <c r="X6" i="2"/>
  <c r="Y6" i="2"/>
  <c r="X7" i="2"/>
  <c r="AA7" i="2" s="1"/>
  <c r="Y7" i="2"/>
  <c r="X8" i="2"/>
  <c r="AC8" i="2" s="1"/>
  <c r="Y8" i="2"/>
  <c r="AB8" i="2"/>
  <c r="X9" i="2"/>
  <c r="Y9" i="2"/>
  <c r="X10" i="2"/>
  <c r="AF10" i="2" s="1"/>
  <c r="Y10" i="2"/>
  <c r="X11" i="2"/>
  <c r="AB11" i="2" s="1"/>
  <c r="Y11" i="2"/>
  <c r="X12" i="2"/>
  <c r="Y12" i="2"/>
  <c r="X13" i="2"/>
  <c r="AB13" i="2" s="1"/>
  <c r="Y13" i="2"/>
  <c r="X14" i="2"/>
  <c r="Y14" i="2"/>
  <c r="X15" i="2"/>
  <c r="Z15" i="2" s="1"/>
  <c r="Y15" i="2"/>
  <c r="X16" i="2"/>
  <c r="AB16" i="2" s="1"/>
  <c r="Y16" i="2"/>
  <c r="X17" i="2"/>
  <c r="Y17" i="2"/>
  <c r="X18" i="2"/>
  <c r="AD18" i="2" s="1"/>
  <c r="Y18" i="2"/>
  <c r="X19" i="2"/>
  <c r="AC19" i="2" s="1"/>
  <c r="Y19" i="2"/>
  <c r="Z19" i="2"/>
  <c r="AE19" i="2"/>
  <c r="X20" i="2"/>
  <c r="Z20" i="2" s="1"/>
  <c r="Y20" i="2"/>
  <c r="X21" i="2"/>
  <c r="AB21" i="2" s="1"/>
  <c r="Y21" i="2"/>
  <c r="X22" i="2"/>
  <c r="Z22" i="2" s="1"/>
  <c r="Y22" i="2"/>
  <c r="X23" i="2"/>
  <c r="AC23" i="2" s="1"/>
  <c r="Y23" i="2"/>
  <c r="X24" i="2"/>
  <c r="AC24" i="2" s="1"/>
  <c r="Y24" i="2"/>
  <c r="X25" i="2"/>
  <c r="Y25" i="2"/>
  <c r="X26" i="2"/>
  <c r="AD26" i="2" s="1"/>
  <c r="Y26" i="2"/>
  <c r="X27" i="2"/>
  <c r="AA27" i="2" s="1"/>
  <c r="Y27" i="2"/>
  <c r="X28" i="2"/>
  <c r="AC28" i="2" s="1"/>
  <c r="Y28" i="2"/>
  <c r="X29" i="2"/>
  <c r="Y29" i="2"/>
  <c r="X30" i="2"/>
  <c r="Z30" i="2" s="1"/>
  <c r="Y30" i="2"/>
  <c r="X31" i="2"/>
  <c r="Z31" i="2" s="1"/>
  <c r="Y31" i="2"/>
  <c r="X32" i="2"/>
  <c r="AC32" i="2" s="1"/>
  <c r="Y32" i="2"/>
  <c r="X33" i="2"/>
  <c r="Y33" i="2"/>
  <c r="X34" i="2"/>
  <c r="AA34" i="2" s="1"/>
  <c r="Y34" i="2"/>
  <c r="X35" i="2"/>
  <c r="AC35" i="2" s="1"/>
  <c r="Y35" i="2"/>
  <c r="X36" i="2"/>
  <c r="AC36" i="2" s="1"/>
  <c r="Y36" i="2"/>
  <c r="X37" i="2"/>
  <c r="Y37" i="2"/>
  <c r="X38" i="2"/>
  <c r="AC38" i="2" s="1"/>
  <c r="Y38" i="2"/>
  <c r="X39" i="2"/>
  <c r="Z39" i="2" s="1"/>
  <c r="Y39" i="2"/>
  <c r="AC39" i="2"/>
  <c r="X40" i="2"/>
  <c r="AB40" i="2" s="1"/>
  <c r="Y40" i="2"/>
  <c r="X41" i="2"/>
  <c r="AF41" i="2" s="1"/>
  <c r="Y41" i="2"/>
  <c r="X42" i="2"/>
  <c r="AA42" i="2" s="1"/>
  <c r="Y42" i="2"/>
  <c r="X43" i="2"/>
  <c r="Y43" i="2"/>
  <c r="X44" i="2"/>
  <c r="AB44" i="2" s="1"/>
  <c r="Y44" i="2"/>
  <c r="X45" i="2"/>
  <c r="Y45" i="2"/>
  <c r="X46" i="2"/>
  <c r="AC46" i="2" s="1"/>
  <c r="Y46" i="2"/>
  <c r="X47" i="2"/>
  <c r="Z47" i="2" s="1"/>
  <c r="Y47" i="2"/>
  <c r="X48" i="2"/>
  <c r="AC48" i="2" s="1"/>
  <c r="Y48" i="2"/>
  <c r="X49" i="2"/>
  <c r="AB49" i="2" s="1"/>
  <c r="Y49" i="2"/>
  <c r="X50" i="2"/>
  <c r="AA50" i="2" s="1"/>
  <c r="Y50" i="2"/>
  <c r="X51" i="2"/>
  <c r="AB51" i="2" s="1"/>
  <c r="Y51" i="2"/>
  <c r="X52" i="2"/>
  <c r="Y52" i="2"/>
  <c r="X53" i="2"/>
  <c r="AB53" i="2" s="1"/>
  <c r="Y53" i="2"/>
  <c r="X54" i="2"/>
  <c r="AA54" i="2" s="1"/>
  <c r="Y54" i="2"/>
  <c r="AC54" i="2"/>
  <c r="X55" i="2"/>
  <c r="AB55" i="2" s="1"/>
  <c r="Y55" i="2"/>
  <c r="X56" i="2"/>
  <c r="AD56" i="2" s="1"/>
  <c r="Y56" i="2"/>
  <c r="X57" i="2"/>
  <c r="Y57" i="2"/>
  <c r="X58" i="2"/>
  <c r="Y58" i="2"/>
  <c r="X59" i="2"/>
  <c r="AC59" i="2" s="1"/>
  <c r="Y59" i="2"/>
  <c r="X60" i="2"/>
  <c r="Y60" i="2"/>
  <c r="X61" i="2"/>
  <c r="Y61" i="2"/>
  <c r="X62" i="2"/>
  <c r="AC62" i="2" s="1"/>
  <c r="Y62" i="2"/>
  <c r="X63" i="2"/>
  <c r="Y63" i="2"/>
  <c r="X64" i="2"/>
  <c r="AD64" i="2" s="1"/>
  <c r="Y64" i="2"/>
  <c r="X65" i="2"/>
  <c r="AF65" i="2" s="1"/>
  <c r="Y65" i="2"/>
  <c r="X66" i="2"/>
  <c r="AA66" i="2" s="1"/>
  <c r="Y66" i="2"/>
  <c r="X67" i="2"/>
  <c r="AC67" i="2" s="1"/>
  <c r="Y67" i="2"/>
  <c r="X68" i="2"/>
  <c r="AC68" i="2" s="1"/>
  <c r="Y68" i="2"/>
  <c r="X69" i="2"/>
  <c r="Y69" i="2"/>
  <c r="X70" i="2"/>
  <c r="AC70" i="2" s="1"/>
  <c r="Y70" i="2"/>
  <c r="X71" i="2"/>
  <c r="Y71" i="2"/>
  <c r="X72" i="2"/>
  <c r="AC72" i="2" s="1"/>
  <c r="Y72" i="2"/>
  <c r="X73" i="2"/>
  <c r="Y73" i="2"/>
  <c r="X74" i="2"/>
  <c r="Y74" i="2"/>
  <c r="X75" i="2"/>
  <c r="AB75" i="2" s="1"/>
  <c r="Y75" i="2"/>
  <c r="X76" i="2"/>
  <c r="AE76" i="2" s="1"/>
  <c r="Y76" i="2"/>
  <c r="X77" i="2"/>
  <c r="Y77" i="2"/>
  <c r="X78" i="2"/>
  <c r="AC78" i="2" s="1"/>
  <c r="Y78" i="2"/>
  <c r="X79" i="2"/>
  <c r="AC79" i="2" s="1"/>
  <c r="Y79" i="2"/>
  <c r="X80" i="2"/>
  <c r="AC80" i="2" s="1"/>
  <c r="Y80" i="2"/>
  <c r="X81" i="2"/>
  <c r="Y81" i="2"/>
  <c r="X82" i="2"/>
  <c r="AA82" i="2" s="1"/>
  <c r="Y82" i="2"/>
  <c r="X83" i="2"/>
  <c r="Y83" i="2"/>
  <c r="X84" i="2"/>
  <c r="AE84" i="2" s="1"/>
  <c r="Y84" i="2"/>
  <c r="X85" i="2"/>
  <c r="Y85" i="2"/>
  <c r="X86" i="2"/>
  <c r="Y86" i="2"/>
  <c r="X87" i="2"/>
  <c r="Z87" i="2" s="1"/>
  <c r="Y87" i="2"/>
  <c r="X88" i="2"/>
  <c r="AC88" i="2" s="1"/>
  <c r="Y88" i="2"/>
  <c r="X89" i="2"/>
  <c r="Y89" i="2"/>
  <c r="X90" i="2"/>
  <c r="AA90" i="2" s="1"/>
  <c r="Y90" i="2"/>
  <c r="X91" i="2"/>
  <c r="AB91" i="2" s="1"/>
  <c r="Y91" i="2"/>
  <c r="X92" i="2"/>
  <c r="AC92" i="2" s="1"/>
  <c r="Y92" i="2"/>
  <c r="X93" i="2"/>
  <c r="Y93" i="2"/>
  <c r="X94" i="2"/>
  <c r="AA94" i="2" s="1"/>
  <c r="Y94" i="2"/>
  <c r="X95" i="2"/>
  <c r="AC95" i="2" s="1"/>
  <c r="Y95" i="2"/>
  <c r="X96" i="2"/>
  <c r="AC96" i="2" s="1"/>
  <c r="Y96" i="2"/>
  <c r="X97" i="2"/>
  <c r="Y97" i="2"/>
  <c r="X98" i="2"/>
  <c r="Y98" i="2"/>
  <c r="X99" i="2"/>
  <c r="AB99" i="2" s="1"/>
  <c r="Y99" i="2"/>
  <c r="X100" i="2"/>
  <c r="Y100" i="2"/>
  <c r="X101" i="2"/>
  <c r="Y101" i="2"/>
  <c r="X102" i="2"/>
  <c r="AC102" i="2" s="1"/>
  <c r="Y102" i="2"/>
  <c r="X103" i="2"/>
  <c r="AC103" i="2" s="1"/>
  <c r="Y103" i="2"/>
  <c r="X104" i="2"/>
  <c r="AF104" i="2" s="1"/>
  <c r="Y104" i="2"/>
  <c r="X105" i="2"/>
  <c r="Z105" i="2" s="1"/>
  <c r="Y105" i="2"/>
  <c r="X106" i="2"/>
  <c r="Y106" i="2"/>
  <c r="X107" i="2"/>
  <c r="AC107" i="2" s="1"/>
  <c r="Y107" i="2"/>
  <c r="X108" i="2"/>
  <c r="Y108" i="2"/>
  <c r="X109" i="2"/>
  <c r="AF109" i="2" s="1"/>
  <c r="Y109" i="2"/>
  <c r="X110" i="2"/>
  <c r="AC110" i="2" s="1"/>
  <c r="Y110" i="2"/>
  <c r="X111" i="2"/>
  <c r="AC111" i="2" s="1"/>
  <c r="Y111" i="2"/>
  <c r="X112" i="2"/>
  <c r="AB112" i="2" s="1"/>
  <c r="Y112" i="2"/>
  <c r="X113" i="2"/>
  <c r="Y113" i="2"/>
  <c r="X114" i="2"/>
  <c r="Y114" i="2"/>
  <c r="X115" i="2"/>
  <c r="AC115" i="2" s="1"/>
  <c r="Y115" i="2"/>
  <c r="X116" i="2"/>
  <c r="AB116" i="2" s="1"/>
  <c r="Y116" i="2"/>
  <c r="X117" i="2"/>
  <c r="Z117" i="2" s="1"/>
  <c r="Y117" i="2"/>
  <c r="X118" i="2"/>
  <c r="Y118" i="2"/>
  <c r="AF118" i="2"/>
  <c r="X119" i="2"/>
  <c r="AF119" i="2" s="1"/>
  <c r="Y119" i="2"/>
  <c r="X120" i="2"/>
  <c r="AF120" i="2" s="1"/>
  <c r="Y120" i="2"/>
  <c r="X121" i="2"/>
  <c r="AC121" i="2" s="1"/>
  <c r="Y121" i="2"/>
  <c r="X122" i="2"/>
  <c r="Y122" i="2"/>
  <c r="X123" i="2"/>
  <c r="Y123" i="2"/>
  <c r="X124" i="2"/>
  <c r="Y124" i="2"/>
  <c r="X125" i="2"/>
  <c r="AF125" i="2" s="1"/>
  <c r="Y125" i="2"/>
  <c r="X126" i="2"/>
  <c r="AA126" i="2" s="1"/>
  <c r="Y126" i="2"/>
  <c r="X127" i="2"/>
  <c r="AB127" i="2" s="1"/>
  <c r="Y127" i="2"/>
  <c r="X128" i="2"/>
  <c r="Y128" i="2"/>
  <c r="X129" i="2"/>
  <c r="Y129" i="2"/>
  <c r="X130" i="2"/>
  <c r="AA130" i="2" s="1"/>
  <c r="Y130" i="2"/>
  <c r="X131" i="2"/>
  <c r="AB131" i="2" s="1"/>
  <c r="Y131" i="2"/>
  <c r="X132" i="2"/>
  <c r="Y132" i="2"/>
  <c r="X133" i="2"/>
  <c r="AF133" i="2" s="1"/>
  <c r="Y133" i="2"/>
  <c r="X134" i="2"/>
  <c r="Y134" i="2"/>
  <c r="X135" i="2"/>
  <c r="AB135" i="2" s="1"/>
  <c r="Y135" i="2"/>
  <c r="X136" i="2"/>
  <c r="Y136" i="2"/>
  <c r="X137" i="2"/>
  <c r="AF137" i="2" s="1"/>
  <c r="Y137" i="2"/>
  <c r="X138" i="2"/>
  <c r="AD138" i="2" s="1"/>
  <c r="Y138" i="2"/>
  <c r="X139" i="2"/>
  <c r="AB139" i="2" s="1"/>
  <c r="Y139" i="2"/>
  <c r="X140" i="2"/>
  <c r="Y140" i="2"/>
  <c r="X141" i="2"/>
  <c r="Y141" i="2"/>
  <c r="X142" i="2"/>
  <c r="AA142" i="2" s="1"/>
  <c r="Y142" i="2"/>
  <c r="X143" i="2"/>
  <c r="AB143" i="2" s="1"/>
  <c r="Y143" i="2"/>
  <c r="X144" i="2"/>
  <c r="Y144" i="2"/>
  <c r="X145" i="2"/>
  <c r="AF145" i="2" s="1"/>
  <c r="Y145" i="2"/>
  <c r="X146" i="2"/>
  <c r="AC146" i="2" s="1"/>
  <c r="Y146" i="2"/>
  <c r="AD146" i="2"/>
  <c r="X147" i="2"/>
  <c r="AC147" i="2" s="1"/>
  <c r="Y147" i="2"/>
  <c r="X148" i="2"/>
  <c r="AB148" i="2" s="1"/>
  <c r="Y148" i="2"/>
  <c r="X149" i="2"/>
  <c r="Y149" i="2"/>
  <c r="X150" i="2"/>
  <c r="AB150" i="2" s="1"/>
  <c r="Y150" i="2"/>
  <c r="X151" i="2"/>
  <c r="AC151" i="2" s="1"/>
  <c r="Y151" i="2"/>
  <c r="AF151" i="2"/>
  <c r="X152" i="2"/>
  <c r="AB152" i="2" s="1"/>
  <c r="Y152" i="2"/>
  <c r="X153" i="2"/>
  <c r="Z153" i="2" s="1"/>
  <c r="Y153" i="2"/>
  <c r="X154" i="2"/>
  <c r="AC154" i="2" s="1"/>
  <c r="Y154" i="2"/>
  <c r="X155" i="2"/>
  <c r="Y155" i="2"/>
  <c r="X156" i="2"/>
  <c r="AF156" i="2" s="1"/>
  <c r="Y156" i="2"/>
  <c r="X157" i="2"/>
  <c r="Y157" i="2"/>
  <c r="X158" i="2"/>
  <c r="AC158" i="2" s="1"/>
  <c r="Y158" i="2"/>
  <c r="X159" i="2"/>
  <c r="AC159" i="2" s="1"/>
  <c r="Y159" i="2"/>
  <c r="X160" i="2"/>
  <c r="AB160" i="2" s="1"/>
  <c r="Y160" i="2"/>
  <c r="X161" i="2"/>
  <c r="Y161" i="2"/>
  <c r="X162" i="2"/>
  <c r="AA162" i="2" s="1"/>
  <c r="Y162" i="2"/>
  <c r="X163" i="2"/>
  <c r="AB163" i="2" s="1"/>
  <c r="Y163" i="2"/>
  <c r="X164" i="2"/>
  <c r="Y164" i="2"/>
  <c r="X165" i="2"/>
  <c r="AF165" i="2" s="1"/>
  <c r="Y165" i="2"/>
  <c r="X166" i="2"/>
  <c r="AC166" i="2" s="1"/>
  <c r="Y166" i="2"/>
  <c r="X167" i="2"/>
  <c r="AC167" i="2" s="1"/>
  <c r="Y167" i="2"/>
  <c r="X168" i="2"/>
  <c r="AF168" i="2" s="1"/>
  <c r="Y168" i="2"/>
  <c r="X169" i="2"/>
  <c r="AF169" i="2" s="1"/>
  <c r="Y169" i="2"/>
  <c r="X170" i="2"/>
  <c r="AF170" i="2" s="1"/>
  <c r="Y170" i="2"/>
  <c r="X171" i="2"/>
  <c r="Y171" i="2"/>
  <c r="X172" i="2"/>
  <c r="AE172" i="2" s="1"/>
  <c r="Y172" i="2"/>
  <c r="X173" i="2"/>
  <c r="Y173" i="2"/>
  <c r="X174" i="2"/>
  <c r="Y174" i="2"/>
  <c r="X175" i="2"/>
  <c r="AC175" i="2" s="1"/>
  <c r="Y175" i="2"/>
  <c r="X176" i="2"/>
  <c r="AF176" i="2" s="1"/>
  <c r="Y176" i="2"/>
  <c r="X177" i="2"/>
  <c r="Y177" i="2"/>
  <c r="X178" i="2"/>
  <c r="AC178" i="2" s="1"/>
  <c r="Y178" i="2"/>
  <c r="X179" i="2"/>
  <c r="AC179" i="2" s="1"/>
  <c r="Y179" i="2"/>
  <c r="X180" i="2"/>
  <c r="AF180" i="2" s="1"/>
  <c r="Y180" i="2"/>
  <c r="X181" i="2"/>
  <c r="AF181" i="2" s="1"/>
  <c r="Y181" i="2"/>
  <c r="X182" i="2"/>
  <c r="AB182" i="2" s="1"/>
  <c r="Y182" i="2"/>
  <c r="X183" i="2"/>
  <c r="AC183" i="2" s="1"/>
  <c r="Y183" i="2"/>
  <c r="X184" i="2"/>
  <c r="AF184" i="2" s="1"/>
  <c r="Y184" i="2"/>
  <c r="X185" i="2"/>
  <c r="AF185" i="2" s="1"/>
  <c r="Y185" i="2"/>
  <c r="X186" i="2"/>
  <c r="Y186" i="2"/>
  <c r="X187" i="2"/>
  <c r="Y187" i="2"/>
  <c r="X188" i="2"/>
  <c r="AF188" i="2" s="1"/>
  <c r="Y188" i="2"/>
  <c r="X189" i="2"/>
  <c r="Y189" i="2"/>
  <c r="X190" i="2"/>
  <c r="AC190" i="2" s="1"/>
  <c r="Y190" i="2"/>
  <c r="X191" i="2"/>
  <c r="Y191" i="2"/>
  <c r="X192" i="2"/>
  <c r="Y192" i="2"/>
  <c r="X193" i="2"/>
  <c r="Y193" i="2"/>
  <c r="X194" i="2"/>
  <c r="AC194" i="2" s="1"/>
  <c r="Y194" i="2"/>
  <c r="X195" i="2"/>
  <c r="AB195" i="2" s="1"/>
  <c r="Y195" i="2"/>
  <c r="X196" i="2"/>
  <c r="AE196" i="2" s="1"/>
  <c r="Y196" i="2"/>
  <c r="X197" i="2"/>
  <c r="AF197" i="2" s="1"/>
  <c r="Y197" i="2"/>
  <c r="X198" i="2"/>
  <c r="AB198" i="2" s="1"/>
  <c r="Y198" i="2"/>
  <c r="X199" i="2"/>
  <c r="Y199" i="2"/>
  <c r="X200" i="2"/>
  <c r="Y200" i="2"/>
  <c r="X201" i="2"/>
  <c r="AF201" i="2" s="1"/>
  <c r="Y201" i="2"/>
  <c r="X202" i="2"/>
  <c r="Y202" i="2"/>
  <c r="X203" i="2"/>
  <c r="AC203" i="2" s="1"/>
  <c r="Y203" i="2"/>
  <c r="X204" i="2"/>
  <c r="AF204" i="2" s="1"/>
  <c r="Y204" i="2"/>
  <c r="X205" i="2"/>
  <c r="Y205" i="2"/>
  <c r="X206" i="2"/>
  <c r="Y206" i="2"/>
  <c r="X207" i="2"/>
  <c r="AC207" i="2" s="1"/>
  <c r="Y207" i="2"/>
  <c r="X208" i="2"/>
  <c r="AF208" i="2" s="1"/>
  <c r="Y208" i="2"/>
  <c r="X209" i="2"/>
  <c r="Y209" i="2"/>
  <c r="X210" i="2"/>
  <c r="AB210" i="2" s="1"/>
  <c r="Y210" i="2"/>
  <c r="X211" i="2"/>
  <c r="AB211" i="2" s="1"/>
  <c r="Y211" i="2"/>
  <c r="X212" i="2"/>
  <c r="Y212" i="2"/>
  <c r="X213" i="2"/>
  <c r="AF213" i="2" s="1"/>
  <c r="Y213" i="2"/>
  <c r="X214" i="2"/>
  <c r="Y214" i="2"/>
  <c r="X215" i="2"/>
  <c r="AF215" i="2" s="1"/>
  <c r="Y215" i="2"/>
  <c r="X216" i="2"/>
  <c r="AF216" i="2" s="1"/>
  <c r="Y216" i="2"/>
  <c r="X217" i="2"/>
  <c r="AF217" i="2" s="1"/>
  <c r="Y217" i="2"/>
  <c r="X218" i="2"/>
  <c r="AB218" i="2" s="1"/>
  <c r="Y218" i="2"/>
  <c r="X219" i="2"/>
  <c r="AB219" i="2" s="1"/>
  <c r="Y219" i="2"/>
  <c r="X220" i="2"/>
  <c r="AE220" i="2" s="1"/>
  <c r="Y220" i="2"/>
  <c r="X221" i="2"/>
  <c r="AD221" i="2" s="1"/>
  <c r="Y221" i="2"/>
  <c r="X222" i="2"/>
  <c r="AB222" i="2" s="1"/>
  <c r="Y222" i="2"/>
  <c r="X223" i="2"/>
  <c r="Y223" i="2"/>
  <c r="X224" i="2"/>
  <c r="AE224" i="2" s="1"/>
  <c r="Y224" i="2"/>
  <c r="X225" i="2"/>
  <c r="AD225" i="2" s="1"/>
  <c r="Y225" i="2"/>
  <c r="X226" i="2"/>
  <c r="AC226" i="2" s="1"/>
  <c r="Y226" i="2"/>
  <c r="X227" i="2"/>
  <c r="AD227" i="2" s="1"/>
  <c r="Y227" i="2"/>
  <c r="X228" i="2"/>
  <c r="AC228" i="2" s="1"/>
  <c r="Y228" i="2"/>
  <c r="X229" i="2"/>
  <c r="AC229" i="2" s="1"/>
  <c r="Y229" i="2"/>
  <c r="X230" i="2"/>
  <c r="AC230" i="2" s="1"/>
  <c r="Y230" i="2"/>
  <c r="X231" i="2"/>
  <c r="AB231" i="2" s="1"/>
  <c r="Y231" i="2"/>
  <c r="X232" i="2"/>
  <c r="Y232" i="2"/>
  <c r="X233" i="2"/>
  <c r="AD233" i="2" s="1"/>
  <c r="Y233" i="2"/>
  <c r="X234" i="2"/>
  <c r="AE234" i="2" s="1"/>
  <c r="Y234" i="2"/>
  <c r="X235" i="2"/>
  <c r="AD235" i="2" s="1"/>
  <c r="Y235" i="2"/>
  <c r="X236" i="2"/>
  <c r="Y236" i="2"/>
  <c r="X237" i="2"/>
  <c r="Y237" i="2"/>
  <c r="X238" i="2"/>
  <c r="AC238" i="2" s="1"/>
  <c r="Y238" i="2"/>
  <c r="X239" i="2"/>
  <c r="AF239" i="2" s="1"/>
  <c r="Y239" i="2"/>
  <c r="X240" i="2"/>
  <c r="Z240" i="2" s="1"/>
  <c r="Y240" i="2"/>
  <c r="X241" i="2"/>
  <c r="AF241" i="2" s="1"/>
  <c r="Y241" i="2"/>
  <c r="X242" i="2"/>
  <c r="AB242" i="2" s="1"/>
  <c r="Y242" i="2"/>
  <c r="X243" i="2"/>
  <c r="Y243" i="2"/>
  <c r="X244" i="2"/>
  <c r="AC244" i="2" s="1"/>
  <c r="Y244" i="2"/>
  <c r="X245" i="2"/>
  <c r="AC245" i="2" s="1"/>
  <c r="Y245" i="2"/>
  <c r="X246" i="2"/>
  <c r="AB246" i="2" s="1"/>
  <c r="Y246" i="2"/>
  <c r="X247" i="2"/>
  <c r="Z247" i="2" s="1"/>
  <c r="Y247" i="2"/>
  <c r="X248" i="2"/>
  <c r="Y248" i="2"/>
  <c r="X249" i="2"/>
  <c r="Y249" i="2"/>
  <c r="X250" i="2"/>
  <c r="AB250" i="2" s="1"/>
  <c r="Y250" i="2"/>
  <c r="X251" i="2"/>
  <c r="AF251" i="2" s="1"/>
  <c r="Y251" i="2"/>
  <c r="X252" i="2"/>
  <c r="Y252" i="2"/>
  <c r="X253" i="2"/>
  <c r="Y253" i="2"/>
  <c r="X254" i="2"/>
  <c r="AB254" i="2" s="1"/>
  <c r="Y254" i="2"/>
  <c r="X255" i="2"/>
  <c r="Z255" i="2" s="1"/>
  <c r="Y255" i="2"/>
  <c r="X256" i="2"/>
  <c r="AB256" i="2" s="1"/>
  <c r="Y256" i="2"/>
  <c r="X257" i="2"/>
  <c r="AC257" i="2" s="1"/>
  <c r="Y257" i="2"/>
  <c r="AF257" i="2"/>
  <c r="X258" i="2"/>
  <c r="AB258" i="2" s="1"/>
  <c r="Y258" i="2"/>
  <c r="X259" i="2"/>
  <c r="Y259" i="2"/>
  <c r="X260" i="2"/>
  <c r="AE260" i="2" s="1"/>
  <c r="Y260" i="2"/>
  <c r="X261" i="2"/>
  <c r="AC261" i="2" s="1"/>
  <c r="Y261" i="2"/>
  <c r="X262" i="2"/>
  <c r="AB262" i="2" s="1"/>
  <c r="Y262" i="2"/>
  <c r="X263" i="2"/>
  <c r="Y263" i="2"/>
  <c r="X264" i="2"/>
  <c r="AB264" i="2" s="1"/>
  <c r="Y264" i="2"/>
  <c r="X265" i="2"/>
  <c r="AB265" i="2" s="1"/>
  <c r="Y265" i="2"/>
  <c r="X266" i="2"/>
  <c r="AB266" i="2" s="1"/>
  <c r="Y266" i="2"/>
  <c r="X267" i="2"/>
  <c r="Y267" i="2"/>
  <c r="X268" i="2"/>
  <c r="AF268" i="2" s="1"/>
  <c r="Y268" i="2"/>
  <c r="X269" i="2"/>
  <c r="Y269" i="2"/>
  <c r="X270" i="2"/>
  <c r="AB270" i="2" s="1"/>
  <c r="Y270" i="2"/>
  <c r="X271" i="2"/>
  <c r="AC271" i="2" s="1"/>
  <c r="Y271" i="2"/>
  <c r="X272" i="2"/>
  <c r="AF272" i="2" s="1"/>
  <c r="Y272" i="2"/>
  <c r="X273" i="2"/>
  <c r="AC273" i="2" s="1"/>
  <c r="Y273" i="2"/>
  <c r="X274" i="2"/>
  <c r="AB274" i="2" s="1"/>
  <c r="Y274" i="2"/>
  <c r="X275" i="2"/>
  <c r="AF275" i="2" s="1"/>
  <c r="Y275" i="2"/>
  <c r="X276" i="2"/>
  <c r="AF276" i="2" s="1"/>
  <c r="Y276" i="2"/>
  <c r="X277" i="2"/>
  <c r="AC277" i="2" s="1"/>
  <c r="Y277" i="2"/>
  <c r="X278" i="2"/>
  <c r="AB278" i="2" s="1"/>
  <c r="Y278" i="2"/>
  <c r="X279" i="2"/>
  <c r="AC279" i="2" s="1"/>
  <c r="Y279" i="2"/>
  <c r="X280" i="2"/>
  <c r="AE280" i="2" s="1"/>
  <c r="Y280" i="2"/>
  <c r="X281" i="2"/>
  <c r="AC281" i="2" s="1"/>
  <c r="Y281" i="2"/>
  <c r="X282" i="2"/>
  <c r="AB282" i="2" s="1"/>
  <c r="Y282" i="2"/>
  <c r="X283" i="2"/>
  <c r="Z283" i="2" s="1"/>
  <c r="Y283" i="2"/>
  <c r="X284" i="2"/>
  <c r="AA284" i="2" s="1"/>
  <c r="Y284" i="2"/>
  <c r="AC284" i="2"/>
  <c r="X285" i="2"/>
  <c r="AB285" i="2" s="1"/>
  <c r="Y285" i="2"/>
  <c r="X286" i="2"/>
  <c r="AB286" i="2" s="1"/>
  <c r="Y286" i="2"/>
  <c r="X287" i="2"/>
  <c r="Z287" i="2" s="1"/>
  <c r="Y287" i="2"/>
  <c r="X288" i="2"/>
  <c r="Y288" i="2"/>
  <c r="X289" i="2"/>
  <c r="AC289" i="2" s="1"/>
  <c r="Y289" i="2"/>
  <c r="X290" i="2"/>
  <c r="AB290" i="2" s="1"/>
  <c r="Y290" i="2"/>
  <c r="X291" i="2"/>
  <c r="AF291" i="2" s="1"/>
  <c r="Y291" i="2"/>
  <c r="X292" i="2"/>
  <c r="AC292" i="2" s="1"/>
  <c r="Y292" i="2"/>
  <c r="X293" i="2"/>
  <c r="AC293" i="2" s="1"/>
  <c r="Y293" i="2"/>
  <c r="X294" i="2"/>
  <c r="AB294" i="2" s="1"/>
  <c r="Y294" i="2"/>
  <c r="X295" i="2"/>
  <c r="Y295" i="2"/>
  <c r="X296" i="2"/>
  <c r="AC296" i="2" s="1"/>
  <c r="Y296" i="2"/>
  <c r="X297" i="2"/>
  <c r="AC297" i="2" s="1"/>
  <c r="Y297" i="2"/>
  <c r="AE297" i="2"/>
  <c r="X298" i="2"/>
  <c r="AB298" i="2" s="1"/>
  <c r="Y298" i="2"/>
  <c r="X299" i="2"/>
  <c r="Z299" i="2" s="1"/>
  <c r="Y299" i="2"/>
  <c r="X300" i="2"/>
  <c r="AC300" i="2" s="1"/>
  <c r="Y300" i="2"/>
  <c r="X301" i="2"/>
  <c r="AB301" i="2" s="1"/>
  <c r="Y301" i="2"/>
  <c r="X302" i="2"/>
  <c r="AB302" i="2" s="1"/>
  <c r="Y302" i="2"/>
  <c r="X303" i="2"/>
  <c r="Y303" i="2"/>
  <c r="X304" i="2"/>
  <c r="Y304" i="2"/>
  <c r="X305" i="2"/>
  <c r="AC305" i="2" s="1"/>
  <c r="Y305" i="2"/>
  <c r="X306" i="2"/>
  <c r="AB306" i="2" s="1"/>
  <c r="Y306" i="2"/>
  <c r="X307" i="2"/>
  <c r="Z307" i="2" s="1"/>
  <c r="Y307" i="2"/>
  <c r="X308" i="2"/>
  <c r="AC308" i="2" s="1"/>
  <c r="Y308" i="2"/>
  <c r="X309" i="2"/>
  <c r="Y309" i="2"/>
  <c r="X310" i="2"/>
  <c r="Y310" i="2"/>
  <c r="X311" i="2"/>
  <c r="Z311" i="2" s="1"/>
  <c r="Y311" i="2"/>
  <c r="X312" i="2"/>
  <c r="Y312" i="2"/>
  <c r="X313" i="2"/>
  <c r="AC313" i="2" s="1"/>
  <c r="Y313" i="2"/>
  <c r="X314" i="2"/>
  <c r="AB314" i="2" s="1"/>
  <c r="Y314" i="2"/>
  <c r="X315" i="2"/>
  <c r="Z315" i="2" s="1"/>
  <c r="Y315" i="2"/>
  <c r="X316" i="2"/>
  <c r="AA316" i="2" s="1"/>
  <c r="Y316" i="2"/>
  <c r="X317" i="2"/>
  <c r="Y317" i="2"/>
  <c r="X318" i="2"/>
  <c r="AB318" i="2" s="1"/>
  <c r="Y318" i="2"/>
  <c r="X319" i="2"/>
  <c r="Z319" i="2" s="1"/>
  <c r="Y319" i="2"/>
  <c r="X320" i="2"/>
  <c r="AA320" i="2" s="1"/>
  <c r="Y320" i="2"/>
  <c r="X321" i="2"/>
  <c r="AA321" i="2" s="1"/>
  <c r="Y321" i="2"/>
  <c r="X322" i="2"/>
  <c r="Y322" i="2"/>
  <c r="X323" i="2"/>
  <c r="Z323" i="2" s="1"/>
  <c r="Y323" i="2"/>
  <c r="X324" i="2"/>
  <c r="AC324" i="2" s="1"/>
  <c r="Y324" i="2"/>
  <c r="X325" i="2"/>
  <c r="AB325" i="2" s="1"/>
  <c r="Y325" i="2"/>
  <c r="X326" i="2"/>
  <c r="AB326" i="2" s="1"/>
  <c r="Y326" i="2"/>
  <c r="X327" i="2"/>
  <c r="Y327" i="2"/>
  <c r="X328" i="2"/>
  <c r="AC328" i="2" s="1"/>
  <c r="Y328" i="2"/>
  <c r="X329" i="2"/>
  <c r="AA329" i="2" s="1"/>
  <c r="Y329" i="2"/>
  <c r="X330" i="2"/>
  <c r="AB330" i="2" s="1"/>
  <c r="Y330" i="2"/>
  <c r="X331" i="2"/>
  <c r="Z331" i="2" s="1"/>
  <c r="Y331" i="2"/>
  <c r="X332" i="2"/>
  <c r="Y332" i="2"/>
  <c r="X333" i="2"/>
  <c r="Y333" i="2"/>
  <c r="X334" i="2"/>
  <c r="AB334" i="2" s="1"/>
  <c r="Y334" i="2"/>
  <c r="X335" i="2"/>
  <c r="AF335" i="2" s="1"/>
  <c r="Y335" i="2"/>
  <c r="X336" i="2"/>
  <c r="AA336" i="2" s="1"/>
  <c r="Y336" i="2"/>
  <c r="X337" i="2"/>
  <c r="Y337" i="2"/>
  <c r="X338" i="2"/>
  <c r="AB338" i="2" s="1"/>
  <c r="Y338" i="2"/>
  <c r="X339" i="2"/>
  <c r="AF339" i="2" s="1"/>
  <c r="Y339" i="2"/>
  <c r="X340" i="2"/>
  <c r="AA340" i="2" s="1"/>
  <c r="Y340" i="2"/>
  <c r="X341" i="2"/>
  <c r="AC341" i="2" s="1"/>
  <c r="Y341" i="2"/>
  <c r="X342" i="2"/>
  <c r="AB342" i="2" s="1"/>
  <c r="Y342" i="2"/>
  <c r="X343" i="2"/>
  <c r="Z343" i="2" s="1"/>
  <c r="Y343" i="2"/>
  <c r="X344" i="2"/>
  <c r="AA344" i="2" s="1"/>
  <c r="Y344" i="2"/>
  <c r="X345" i="2"/>
  <c r="AC345" i="2" s="1"/>
  <c r="Y345" i="2"/>
  <c r="X346" i="2"/>
  <c r="AB346" i="2" s="1"/>
  <c r="Y346" i="2"/>
  <c r="X347" i="2"/>
  <c r="Z347" i="2" s="1"/>
  <c r="Y347" i="2"/>
  <c r="X348" i="2"/>
  <c r="AA348" i="2" s="1"/>
  <c r="Y348" i="2"/>
  <c r="X349" i="2"/>
  <c r="Z349" i="2" s="1"/>
  <c r="Y349" i="2"/>
  <c r="X350" i="2"/>
  <c r="Y350" i="2"/>
  <c r="X351" i="2"/>
  <c r="Z351" i="2" s="1"/>
  <c r="Y351" i="2"/>
  <c r="X352" i="2"/>
  <c r="AB352" i="2" s="1"/>
  <c r="Y352" i="2"/>
  <c r="X353" i="2"/>
  <c r="AB353" i="2" s="1"/>
  <c r="Y353" i="2"/>
  <c r="X354" i="2"/>
  <c r="AB354" i="2" s="1"/>
  <c r="Y354" i="2"/>
  <c r="X355" i="2"/>
  <c r="AF355" i="2" s="1"/>
  <c r="Y355" i="2"/>
  <c r="X356" i="2"/>
  <c r="AC356" i="2" s="1"/>
  <c r="Y356" i="2"/>
  <c r="X357" i="2"/>
  <c r="Y357" i="2"/>
  <c r="X358" i="2"/>
  <c r="Y358" i="2"/>
  <c r="X359" i="2"/>
  <c r="AB359" i="2" s="1"/>
  <c r="Y359" i="2"/>
  <c r="X360" i="2"/>
  <c r="Z360" i="2" s="1"/>
  <c r="Y360" i="2"/>
  <c r="X361" i="2"/>
  <c r="Y361" i="2"/>
  <c r="X362" i="2"/>
  <c r="AA362" i="2" s="1"/>
  <c r="Y362" i="2"/>
  <c r="X363" i="2"/>
  <c r="AB363" i="2" s="1"/>
  <c r="Y363" i="2"/>
  <c r="X364" i="2"/>
  <c r="Y364" i="2"/>
  <c r="X365" i="2"/>
  <c r="AC365" i="2" s="1"/>
  <c r="Y365" i="2"/>
  <c r="X366" i="2"/>
  <c r="AF366" i="2" s="1"/>
  <c r="Y366" i="2"/>
  <c r="X367" i="2"/>
  <c r="Y367" i="2"/>
  <c r="X368" i="2"/>
  <c r="Y368" i="2"/>
  <c r="X369" i="2"/>
  <c r="Y369" i="2"/>
  <c r="X370" i="2"/>
  <c r="AE370" i="2" s="1"/>
  <c r="Y370" i="2"/>
  <c r="X371" i="2"/>
  <c r="Y371" i="2"/>
  <c r="X372" i="2"/>
  <c r="AD372" i="2" s="1"/>
  <c r="Y372" i="2"/>
  <c r="X373" i="2"/>
  <c r="AB373" i="2" s="1"/>
  <c r="Y373" i="2"/>
  <c r="X374" i="2"/>
  <c r="AE374" i="2" s="1"/>
  <c r="Y374" i="2"/>
  <c r="X375" i="2"/>
  <c r="Y375" i="2"/>
  <c r="X376" i="2"/>
  <c r="AF376" i="2" s="1"/>
  <c r="Y376" i="2"/>
  <c r="X377" i="2"/>
  <c r="AC377" i="2" s="1"/>
  <c r="Y377" i="2"/>
  <c r="X378" i="2"/>
  <c r="AA378" i="2" s="1"/>
  <c r="Y378" i="2"/>
  <c r="X379" i="2"/>
  <c r="AB379" i="2" s="1"/>
  <c r="Y379" i="2"/>
  <c r="X380" i="2"/>
  <c r="AF380" i="2" s="1"/>
  <c r="Y380" i="2"/>
  <c r="X381" i="2"/>
  <c r="Y381" i="2"/>
  <c r="X382" i="2"/>
  <c r="AF382" i="2" s="1"/>
  <c r="Y382" i="2"/>
  <c r="X383" i="2"/>
  <c r="AF383" i="2" s="1"/>
  <c r="Y383" i="2"/>
  <c r="X384" i="2"/>
  <c r="Y384" i="2"/>
  <c r="X385" i="2"/>
  <c r="Z385" i="2" s="1"/>
  <c r="Y385" i="2"/>
  <c r="X386" i="2"/>
  <c r="Y386" i="2"/>
  <c r="X387" i="2"/>
  <c r="Z387" i="2" s="1"/>
  <c r="Y387" i="2"/>
  <c r="X388" i="2"/>
  <c r="AA388" i="2" s="1"/>
  <c r="Y388" i="2"/>
  <c r="X389" i="2"/>
  <c r="Z389" i="2" s="1"/>
  <c r="Y389" i="2"/>
  <c r="X390" i="2"/>
  <c r="AB390" i="2" s="1"/>
  <c r="Y390" i="2"/>
  <c r="X391" i="2"/>
  <c r="Y391" i="2"/>
  <c r="X392" i="2"/>
  <c r="AA392" i="2" s="1"/>
  <c r="Y392" i="2"/>
  <c r="X393" i="2"/>
  <c r="Z393" i="2" s="1"/>
  <c r="Y393" i="2"/>
  <c r="X394" i="2"/>
  <c r="Y394" i="2"/>
  <c r="X395" i="2"/>
  <c r="Z395" i="2" s="1"/>
  <c r="Y395" i="2"/>
  <c r="X396" i="2"/>
  <c r="Y396" i="2"/>
  <c r="X397" i="2"/>
  <c r="Z397" i="2" s="1"/>
  <c r="Y397" i="2"/>
  <c r="X398" i="2"/>
  <c r="AB398" i="2" s="1"/>
  <c r="Y398" i="2"/>
  <c r="X399" i="2"/>
  <c r="AF399" i="2" s="1"/>
  <c r="Y399" i="2"/>
  <c r="X400" i="2"/>
  <c r="AA400" i="2" s="1"/>
  <c r="Y400" i="2"/>
  <c r="X401" i="2"/>
  <c r="Z401" i="2" s="1"/>
  <c r="Y401" i="2"/>
  <c r="X402" i="2"/>
  <c r="Y402" i="2"/>
  <c r="X403" i="2"/>
  <c r="Z403" i="2" s="1"/>
  <c r="Y403" i="2"/>
  <c r="X404" i="2"/>
  <c r="AA404" i="2" s="1"/>
  <c r="Y404" i="2"/>
  <c r="X405" i="2"/>
  <c r="Z405" i="2" s="1"/>
  <c r="Y405" i="2"/>
  <c r="X406" i="2"/>
  <c r="AB406" i="2" s="1"/>
  <c r="Y406" i="2"/>
  <c r="X407" i="2"/>
  <c r="AC407" i="2" s="1"/>
  <c r="Y407" i="2"/>
  <c r="AD407" i="2"/>
  <c r="X408" i="2"/>
  <c r="AA408" i="2" s="1"/>
  <c r="Y408" i="2"/>
  <c r="X409" i="2"/>
  <c r="Z409" i="2" s="1"/>
  <c r="Y409" i="2"/>
  <c r="X410" i="2"/>
  <c r="Y410" i="2"/>
  <c r="X411" i="2"/>
  <c r="Z411" i="2" s="1"/>
  <c r="Y411" i="2"/>
  <c r="X412" i="2"/>
  <c r="AA412" i="2" s="1"/>
  <c r="Y412" i="2"/>
  <c r="X413" i="2"/>
  <c r="Z413" i="2" s="1"/>
  <c r="Y413" i="2"/>
  <c r="X414" i="2"/>
  <c r="AB414" i="2" s="1"/>
  <c r="Y414" i="2"/>
  <c r="X415" i="2"/>
  <c r="Y415" i="2"/>
  <c r="X416" i="2"/>
  <c r="Z416" i="2" s="1"/>
  <c r="Y416" i="2"/>
  <c r="X417" i="2"/>
  <c r="AF417" i="2" s="1"/>
  <c r="Y417" i="2"/>
  <c r="X418" i="2"/>
  <c r="Y418" i="2"/>
  <c r="X419" i="2"/>
  <c r="AD419" i="2" s="1"/>
  <c r="Y419" i="2"/>
  <c r="X420" i="2"/>
  <c r="Z420" i="2" s="1"/>
  <c r="Y420" i="2"/>
  <c r="X421" i="2"/>
  <c r="AC421" i="2" s="1"/>
  <c r="Y421" i="2"/>
  <c r="X422" i="2"/>
  <c r="AB422" i="2" s="1"/>
  <c r="Y422" i="2"/>
  <c r="X423" i="2"/>
  <c r="AA423" i="2" s="1"/>
  <c r="Y423" i="2"/>
  <c r="AF423" i="2"/>
  <c r="X424" i="2"/>
  <c r="AD424" i="2" s="1"/>
  <c r="Y424" i="2"/>
  <c r="X425" i="2"/>
  <c r="Z425" i="2" s="1"/>
  <c r="Y425" i="2"/>
  <c r="X426" i="2"/>
  <c r="AB426" i="2" s="1"/>
  <c r="Y426" i="2"/>
  <c r="X427" i="2"/>
  <c r="AB427" i="2" s="1"/>
  <c r="Y427" i="2"/>
  <c r="X428" i="2"/>
  <c r="AA428" i="2" s="1"/>
  <c r="Y428" i="2"/>
  <c r="X429" i="2"/>
  <c r="AC429" i="2" s="1"/>
  <c r="Y429" i="2"/>
  <c r="X430" i="2"/>
  <c r="Y430" i="2"/>
  <c r="X431" i="2"/>
  <c r="AB431" i="2" s="1"/>
  <c r="Y431" i="2"/>
  <c r="X432" i="2"/>
  <c r="AA432" i="2" s="1"/>
  <c r="Y432" i="2"/>
  <c r="X433" i="2"/>
  <c r="AC433" i="2" s="1"/>
  <c r="Y433" i="2"/>
  <c r="X434" i="2"/>
  <c r="AF434" i="2" s="1"/>
  <c r="Y434" i="2"/>
  <c r="X435" i="2"/>
  <c r="AA435" i="2" s="1"/>
  <c r="Y435" i="2"/>
  <c r="X436" i="2"/>
  <c r="AA436" i="2" s="1"/>
  <c r="Y436" i="2"/>
  <c r="X437" i="2"/>
  <c r="Z437" i="2" s="1"/>
  <c r="Y437" i="2"/>
  <c r="AE437" i="2"/>
  <c r="X438" i="2"/>
  <c r="AF438" i="2" s="1"/>
  <c r="Y438" i="2"/>
  <c r="X439" i="2"/>
  <c r="AA439" i="2" s="1"/>
  <c r="Y439" i="2"/>
  <c r="X440" i="2"/>
  <c r="AD440" i="2" s="1"/>
  <c r="Y440" i="2"/>
  <c r="X441" i="2"/>
  <c r="Y441" i="2"/>
  <c r="X442" i="2"/>
  <c r="AF442" i="2" s="1"/>
  <c r="Y442" i="2"/>
  <c r="X443" i="2"/>
  <c r="AC443" i="2" s="1"/>
  <c r="Y443" i="2"/>
  <c r="AB443" i="2"/>
  <c r="AD443" i="2"/>
  <c r="X444" i="2"/>
  <c r="AA444" i="2" s="1"/>
  <c r="Y444" i="2"/>
  <c r="X445" i="2"/>
  <c r="Z445" i="2" s="1"/>
  <c r="Y445" i="2"/>
  <c r="X446" i="2"/>
  <c r="Y446" i="2"/>
  <c r="X447" i="2"/>
  <c r="AC447" i="2" s="1"/>
  <c r="Y447" i="2"/>
  <c r="X448" i="2"/>
  <c r="AA448" i="2" s="1"/>
  <c r="Y448" i="2"/>
  <c r="X449" i="2"/>
  <c r="Z449" i="2" s="1"/>
  <c r="Y449" i="2"/>
  <c r="X450" i="2"/>
  <c r="Y450" i="2"/>
  <c r="X451" i="2"/>
  <c r="AC451" i="2" s="1"/>
  <c r="Y451" i="2"/>
  <c r="X452" i="2"/>
  <c r="AA452" i="2" s="1"/>
  <c r="Y452" i="2"/>
  <c r="X453" i="2"/>
  <c r="Z453" i="2" s="1"/>
  <c r="Y453" i="2"/>
  <c r="X454" i="2"/>
  <c r="AB454" i="2" s="1"/>
  <c r="Y454" i="2"/>
  <c r="X455" i="2"/>
  <c r="AC455" i="2" s="1"/>
  <c r="Y455" i="2"/>
  <c r="X456" i="2"/>
  <c r="AA456" i="2" s="1"/>
  <c r="Y456" i="2"/>
  <c r="X457" i="2"/>
  <c r="Z457" i="2" s="1"/>
  <c r="Y457" i="2"/>
  <c r="X458" i="2"/>
  <c r="AB458" i="2" s="1"/>
  <c r="Y458" i="2"/>
  <c r="X459" i="2"/>
  <c r="AC459" i="2" s="1"/>
  <c r="Y459" i="2"/>
  <c r="X460" i="2"/>
  <c r="AA460" i="2" s="1"/>
  <c r="Y460" i="2"/>
  <c r="X461" i="2"/>
  <c r="Z461" i="2" s="1"/>
  <c r="Y461" i="2"/>
  <c r="X462" i="2"/>
  <c r="Y462" i="2"/>
  <c r="X463" i="2"/>
  <c r="Z463" i="2" s="1"/>
  <c r="Y463" i="2"/>
  <c r="X464" i="2"/>
  <c r="AA464" i="2" s="1"/>
  <c r="Y464" i="2"/>
  <c r="X465" i="2"/>
  <c r="AC465" i="2" s="1"/>
  <c r="Y465" i="2"/>
  <c r="X466" i="2"/>
  <c r="Y466" i="2"/>
  <c r="X467" i="2"/>
  <c r="Y467" i="2"/>
  <c r="X468" i="2"/>
  <c r="AA468" i="2" s="1"/>
  <c r="Y468" i="2"/>
  <c r="X469" i="2"/>
  <c r="Y469" i="2"/>
  <c r="X470" i="2"/>
  <c r="Y470" i="2"/>
  <c r="X471" i="2"/>
  <c r="Z471" i="2" s="1"/>
  <c r="Y471" i="2"/>
  <c r="X472" i="2"/>
  <c r="AA472" i="2" s="1"/>
  <c r="Y472" i="2"/>
  <c r="X473" i="2"/>
  <c r="AC473" i="2" s="1"/>
  <c r="Y473" i="2"/>
  <c r="X474" i="2"/>
  <c r="Y474" i="2"/>
  <c r="X475" i="2"/>
  <c r="AB475" i="2" s="1"/>
  <c r="Y475" i="2"/>
  <c r="X476" i="2"/>
  <c r="AA476" i="2" s="1"/>
  <c r="Y476" i="2"/>
  <c r="X477" i="2"/>
  <c r="AB477" i="2" s="1"/>
  <c r="Y477" i="2"/>
  <c r="X478" i="2"/>
  <c r="Y478" i="2"/>
  <c r="X479" i="2"/>
  <c r="AC479" i="2" s="1"/>
  <c r="Y479" i="2"/>
  <c r="X480" i="2"/>
  <c r="AA480" i="2" s="1"/>
  <c r="Y480" i="2"/>
  <c r="X481" i="2"/>
  <c r="AC481" i="2" s="1"/>
  <c r="Y481" i="2"/>
  <c r="X482" i="2"/>
  <c r="AB482" i="2" s="1"/>
  <c r="Y482" i="2"/>
  <c r="X483" i="2"/>
  <c r="Z483" i="2" s="1"/>
  <c r="Y483" i="2"/>
  <c r="AD483" i="2"/>
  <c r="X484" i="2"/>
  <c r="AA484" i="2" s="1"/>
  <c r="Y484" i="2"/>
  <c r="X485" i="2"/>
  <c r="AC485" i="2" s="1"/>
  <c r="Y485" i="2"/>
  <c r="X486" i="2"/>
  <c r="AB486" i="2" s="1"/>
  <c r="Y486" i="2"/>
  <c r="X487" i="2"/>
  <c r="Z487" i="2" s="1"/>
  <c r="Y487" i="2"/>
  <c r="X488" i="2"/>
  <c r="AA488" i="2" s="1"/>
  <c r="Y488" i="2"/>
  <c r="X489" i="2"/>
  <c r="AC489" i="2" s="1"/>
  <c r="Y489" i="2"/>
  <c r="X490" i="2"/>
  <c r="Y490" i="2"/>
  <c r="X491" i="2"/>
  <c r="AA491" i="2" s="1"/>
  <c r="Y491" i="2"/>
  <c r="X492" i="2"/>
  <c r="AD492" i="2" s="1"/>
  <c r="Y492" i="2"/>
  <c r="X493" i="2"/>
  <c r="AA493" i="2" s="1"/>
  <c r="Y493" i="2"/>
  <c r="X494" i="2"/>
  <c r="AB494" i="2" s="1"/>
  <c r="Y494" i="2"/>
  <c r="X495" i="2"/>
  <c r="Z495" i="2" s="1"/>
  <c r="Y495" i="2"/>
  <c r="X496" i="2"/>
  <c r="AD496" i="2" s="1"/>
  <c r="Y496" i="2"/>
  <c r="X497" i="2"/>
  <c r="AA497" i="2" s="1"/>
  <c r="Y497" i="2"/>
  <c r="AF497" i="2"/>
  <c r="X498" i="2"/>
  <c r="AB498" i="2" s="1"/>
  <c r="Y498" i="2"/>
  <c r="X499" i="2"/>
  <c r="Z499" i="2" s="1"/>
  <c r="Y499" i="2"/>
  <c r="X500" i="2"/>
  <c r="AA500" i="2" s="1"/>
  <c r="Y500" i="2"/>
  <c r="X501" i="2"/>
  <c r="AC501" i="2" s="1"/>
  <c r="Y501" i="2"/>
  <c r="X502" i="2"/>
  <c r="Y502" i="2"/>
  <c r="X503" i="2"/>
  <c r="Y503" i="2"/>
  <c r="X504" i="2"/>
  <c r="AD504" i="2" s="1"/>
  <c r="Y504" i="2"/>
  <c r="X505" i="2"/>
  <c r="AA505" i="2" s="1"/>
  <c r="Y505" i="2"/>
  <c r="X506" i="2"/>
  <c r="Y506" i="2"/>
  <c r="X507" i="2"/>
  <c r="AF507" i="2" s="1"/>
  <c r="Y507" i="2"/>
  <c r="X508" i="2"/>
  <c r="AA508" i="2" s="1"/>
  <c r="Y508" i="2"/>
  <c r="X509" i="2"/>
  <c r="AF509" i="2" s="1"/>
  <c r="Y509" i="2"/>
  <c r="X510" i="2"/>
  <c r="Y510" i="2"/>
  <c r="X511" i="2"/>
  <c r="Z511" i="2" s="1"/>
  <c r="Y511" i="2"/>
  <c r="X512" i="2"/>
  <c r="AA512" i="2" s="1"/>
  <c r="Y512" i="2"/>
  <c r="X513" i="2"/>
  <c r="AC513" i="2" s="1"/>
  <c r="Y513" i="2"/>
  <c r="X514" i="2"/>
  <c r="Y514" i="2"/>
  <c r="X515" i="2"/>
  <c r="AF515" i="2" s="1"/>
  <c r="Y515" i="2"/>
  <c r="X516" i="2"/>
  <c r="AA516" i="2" s="1"/>
  <c r="Y516" i="2"/>
  <c r="X517" i="2"/>
  <c r="AF517" i="2" s="1"/>
  <c r="Y517" i="2"/>
  <c r="X518" i="2"/>
  <c r="Y518" i="2"/>
  <c r="X519" i="2"/>
  <c r="Y519" i="2"/>
  <c r="X520" i="2"/>
  <c r="AA520" i="2" s="1"/>
  <c r="Y520" i="2"/>
  <c r="Z520" i="2"/>
  <c r="X521" i="2"/>
  <c r="Y521" i="2"/>
  <c r="X522" i="2"/>
  <c r="Y522" i="2"/>
  <c r="X523" i="2"/>
  <c r="AF523" i="2" s="1"/>
  <c r="Y523" i="2"/>
  <c r="X524" i="2"/>
  <c r="AA524" i="2" s="1"/>
  <c r="Y524" i="2"/>
  <c r="X525" i="2"/>
  <c r="AF525" i="2" s="1"/>
  <c r="Y525" i="2"/>
  <c r="X526" i="2"/>
  <c r="AF526" i="2" s="1"/>
  <c r="Y526" i="2"/>
  <c r="X527" i="2"/>
  <c r="AC527" i="2" s="1"/>
  <c r="Y527" i="2"/>
  <c r="AF527" i="2"/>
  <c r="X528" i="2"/>
  <c r="AA528" i="2" s="1"/>
  <c r="Y528" i="2"/>
  <c r="X529" i="2"/>
  <c r="AC529" i="2" s="1"/>
  <c r="Y529" i="2"/>
  <c r="X530" i="2"/>
  <c r="Y530" i="2"/>
  <c r="X531" i="2"/>
  <c r="AC531" i="2" s="1"/>
  <c r="Y531" i="2"/>
  <c r="X532" i="2"/>
  <c r="AA532" i="2" s="1"/>
  <c r="Y532" i="2"/>
  <c r="X533" i="2"/>
  <c r="AC533" i="2" s="1"/>
  <c r="Y533" i="2"/>
  <c r="X534" i="2"/>
  <c r="Y534" i="2"/>
  <c r="X535" i="2"/>
  <c r="AC535" i="2" s="1"/>
  <c r="Y535" i="2"/>
  <c r="X536" i="2"/>
  <c r="AD536" i="2" s="1"/>
  <c r="Y536" i="2"/>
  <c r="X537" i="2"/>
  <c r="AC537" i="2" s="1"/>
  <c r="Y537" i="2"/>
  <c r="X538" i="2"/>
  <c r="Y538" i="2"/>
  <c r="X539" i="2"/>
  <c r="AF539" i="2" s="1"/>
  <c r="Y539" i="2"/>
  <c r="X540" i="2"/>
  <c r="AA540" i="2" s="1"/>
  <c r="Y540" i="2"/>
  <c r="X541" i="2"/>
  <c r="Y541" i="2"/>
  <c r="X542" i="2"/>
  <c r="Y542" i="2"/>
  <c r="X543" i="2"/>
  <c r="Z543" i="2" s="1"/>
  <c r="Y543" i="2"/>
  <c r="X544" i="2"/>
  <c r="AA544" i="2" s="1"/>
  <c r="Y544" i="2"/>
  <c r="X545" i="2"/>
  <c r="AC545" i="2" s="1"/>
  <c r="Y545" i="2"/>
  <c r="X546" i="2"/>
  <c r="Y546" i="2"/>
  <c r="X547" i="2"/>
  <c r="Y547" i="2"/>
  <c r="X548" i="2"/>
  <c r="AA548" i="2" s="1"/>
  <c r="Y548" i="2"/>
  <c r="X549" i="2"/>
  <c r="AB549" i="2" s="1"/>
  <c r="Y549" i="2"/>
  <c r="X550" i="2"/>
  <c r="Y550" i="2"/>
  <c r="X551" i="2"/>
  <c r="Y551" i="2"/>
  <c r="X552" i="2"/>
  <c r="AA552" i="2" s="1"/>
  <c r="Y552" i="2"/>
  <c r="X553" i="2"/>
  <c r="AB553" i="2" s="1"/>
  <c r="Y553" i="2"/>
  <c r="X554" i="2"/>
  <c r="AB554" i="2" s="1"/>
  <c r="Y554" i="2"/>
  <c r="X555" i="2"/>
  <c r="AC555" i="2" s="1"/>
  <c r="Y555" i="2"/>
  <c r="X556" i="2"/>
  <c r="AA556" i="2" s="1"/>
  <c r="Y556" i="2"/>
  <c r="X557" i="2"/>
  <c r="AC557" i="2" s="1"/>
  <c r="Y557" i="2"/>
  <c r="X558" i="2"/>
  <c r="Y558" i="2"/>
  <c r="X559" i="2"/>
  <c r="AC559" i="2" s="1"/>
  <c r="Y559" i="2"/>
  <c r="X560" i="2"/>
  <c r="AD560" i="2" s="1"/>
  <c r="Y560" i="2"/>
  <c r="X561" i="2"/>
  <c r="AC561" i="2" s="1"/>
  <c r="Y561" i="2"/>
  <c r="X562" i="2"/>
  <c r="AD562" i="2" s="1"/>
  <c r="Y562" i="2"/>
  <c r="X563" i="2"/>
  <c r="AC563" i="2" s="1"/>
  <c r="Y563" i="2"/>
  <c r="X564" i="2"/>
  <c r="AF564" i="2" s="1"/>
  <c r="Y564" i="2"/>
  <c r="X565" i="2"/>
  <c r="AB565" i="2" s="1"/>
  <c r="Y565" i="2"/>
  <c r="X566" i="2"/>
  <c r="AD566" i="2" s="1"/>
  <c r="Y566" i="2"/>
  <c r="X567" i="2"/>
  <c r="AC567" i="2" s="1"/>
  <c r="Y567" i="2"/>
  <c r="X568" i="2"/>
  <c r="AD568" i="2" s="1"/>
  <c r="Y568" i="2"/>
  <c r="X569" i="2"/>
  <c r="AC569" i="2" s="1"/>
  <c r="Y569" i="2"/>
  <c r="X570" i="2"/>
  <c r="AD570" i="2" s="1"/>
  <c r="Y570" i="2"/>
  <c r="X571" i="2"/>
  <c r="AC571" i="2" s="1"/>
  <c r="Y571" i="2"/>
  <c r="X572" i="2"/>
  <c r="AF572" i="2" s="1"/>
  <c r="Y572" i="2"/>
  <c r="X573" i="2"/>
  <c r="AB573" i="2" s="1"/>
  <c r="Y573" i="2"/>
  <c r="X574" i="2"/>
  <c r="AD574" i="2" s="1"/>
  <c r="Y574" i="2"/>
  <c r="X575" i="2"/>
  <c r="AC575" i="2" s="1"/>
  <c r="Y575" i="2"/>
  <c r="X576" i="2"/>
  <c r="Y576" i="2"/>
  <c r="X577" i="2"/>
  <c r="AC577" i="2" s="1"/>
  <c r="Y577" i="2"/>
  <c r="X578" i="2"/>
  <c r="AC578" i="2" s="1"/>
  <c r="Y578" i="2"/>
  <c r="X579" i="2"/>
  <c r="Y579" i="2"/>
  <c r="X580" i="2"/>
  <c r="Z580" i="2" s="1"/>
  <c r="Y580" i="2"/>
  <c r="AF580" i="2"/>
  <c r="X581" i="2"/>
  <c r="AC581" i="2" s="1"/>
  <c r="Y581" i="2"/>
  <c r="X582" i="2"/>
  <c r="AC582" i="2" s="1"/>
  <c r="Y582" i="2"/>
  <c r="X583" i="2"/>
  <c r="Y583" i="2"/>
  <c r="X584" i="2"/>
  <c r="Z584" i="2" s="1"/>
  <c r="Y584" i="2"/>
  <c r="X585" i="2"/>
  <c r="Z585" i="2" s="1"/>
  <c r="Y585" i="2"/>
  <c r="AB585" i="2"/>
  <c r="AE585" i="2"/>
  <c r="X586" i="2"/>
  <c r="AC586" i="2" s="1"/>
  <c r="Y586" i="2"/>
  <c r="X587" i="2"/>
  <c r="Y587" i="2"/>
  <c r="X588" i="2"/>
  <c r="Z588" i="2" s="1"/>
  <c r="Y588" i="2"/>
  <c r="X589" i="2"/>
  <c r="AC589" i="2" s="1"/>
  <c r="Y589" i="2"/>
  <c r="X590" i="2"/>
  <c r="AC590" i="2" s="1"/>
  <c r="Y590" i="2"/>
  <c r="X591" i="2"/>
  <c r="Y591" i="2"/>
  <c r="X592" i="2"/>
  <c r="Z592" i="2" s="1"/>
  <c r="Y592" i="2"/>
  <c r="X593" i="2"/>
  <c r="AC593" i="2" s="1"/>
  <c r="Y593" i="2"/>
  <c r="X594" i="2"/>
  <c r="AC594" i="2" s="1"/>
  <c r="Y594" i="2"/>
  <c r="X595" i="2"/>
  <c r="Y595" i="2"/>
  <c r="X596" i="2"/>
  <c r="Z596" i="2" s="1"/>
  <c r="Y596" i="2"/>
  <c r="X597" i="2"/>
  <c r="AC597" i="2" s="1"/>
  <c r="Y597" i="2"/>
  <c r="X598" i="2"/>
  <c r="AC598" i="2" s="1"/>
  <c r="Y598" i="2"/>
  <c r="X599" i="2"/>
  <c r="Y599" i="2"/>
  <c r="X600" i="2"/>
  <c r="Z600" i="2" s="1"/>
  <c r="Y600" i="2"/>
  <c r="X601" i="2"/>
  <c r="AC601" i="2" s="1"/>
  <c r="Y601" i="2"/>
  <c r="X602" i="2"/>
  <c r="AC602" i="2" s="1"/>
  <c r="Y602" i="2"/>
  <c r="X603" i="2"/>
  <c r="Y603" i="2"/>
  <c r="X604" i="2"/>
  <c r="Z604" i="2" s="1"/>
  <c r="Y604" i="2"/>
  <c r="X605" i="2"/>
  <c r="AC605" i="2" s="1"/>
  <c r="Y605" i="2"/>
  <c r="X606" i="2"/>
  <c r="AC606" i="2" s="1"/>
  <c r="Y606" i="2"/>
  <c r="X607" i="2"/>
  <c r="Y607" i="2"/>
  <c r="X608" i="2"/>
  <c r="Z608" i="2" s="1"/>
  <c r="Y608" i="2"/>
  <c r="X609" i="2"/>
  <c r="AC609" i="2" s="1"/>
  <c r="Y609" i="2"/>
  <c r="X610" i="2"/>
  <c r="AC610" i="2" s="1"/>
  <c r="Y610" i="2"/>
  <c r="X611" i="2"/>
  <c r="Y611" i="2"/>
  <c r="X612" i="2"/>
  <c r="Z612" i="2" s="1"/>
  <c r="Y612" i="2"/>
  <c r="X613" i="2"/>
  <c r="AC613" i="2" s="1"/>
  <c r="Y613" i="2"/>
  <c r="AD613" i="2"/>
  <c r="X614" i="2"/>
  <c r="AC614" i="2" s="1"/>
  <c r="Y614" i="2"/>
  <c r="X615" i="2"/>
  <c r="Y615" i="2"/>
  <c r="X616" i="2"/>
  <c r="Z616" i="2" s="1"/>
  <c r="Y616" i="2"/>
  <c r="X617" i="2"/>
  <c r="Z617" i="2" s="1"/>
  <c r="Y617" i="2"/>
  <c r="X618" i="2"/>
  <c r="AC618" i="2" s="1"/>
  <c r="Y618" i="2"/>
  <c r="X619" i="2"/>
  <c r="Y619" i="2"/>
  <c r="X620" i="2"/>
  <c r="Z620" i="2" s="1"/>
  <c r="Y620" i="2"/>
  <c r="X621" i="2"/>
  <c r="AC621" i="2" s="1"/>
  <c r="Y621" i="2"/>
  <c r="X622" i="2"/>
  <c r="AC622" i="2" s="1"/>
  <c r="Y622" i="2"/>
  <c r="X623" i="2"/>
  <c r="Y623" i="2"/>
  <c r="X624" i="2"/>
  <c r="Z624" i="2" s="1"/>
  <c r="Y624" i="2"/>
  <c r="X625" i="2"/>
  <c r="AC625" i="2" s="1"/>
  <c r="Y625" i="2"/>
  <c r="X626" i="2"/>
  <c r="AC626" i="2" s="1"/>
  <c r="Y626" i="2"/>
  <c r="X627" i="2"/>
  <c r="Y627" i="2"/>
  <c r="X628" i="2"/>
  <c r="Z628" i="2" s="1"/>
  <c r="Y628" i="2"/>
  <c r="X629" i="2"/>
  <c r="AC629" i="2" s="1"/>
  <c r="Y629" i="2"/>
  <c r="X630" i="2"/>
  <c r="AC630" i="2" s="1"/>
  <c r="Y630" i="2"/>
  <c r="X631" i="2"/>
  <c r="Y631" i="2"/>
  <c r="X632" i="2"/>
  <c r="Z632" i="2" s="1"/>
  <c r="Y632" i="2"/>
  <c r="X633" i="2"/>
  <c r="AA633" i="2" s="1"/>
  <c r="Y633" i="2"/>
  <c r="X634" i="2"/>
  <c r="Y634" i="2"/>
  <c r="X635" i="2"/>
  <c r="Y635" i="2"/>
  <c r="X636" i="2"/>
  <c r="Y636" i="2"/>
  <c r="X637" i="2"/>
  <c r="AB637" i="2" s="1"/>
  <c r="Y637" i="2"/>
  <c r="X638" i="2"/>
  <c r="AC638" i="2" s="1"/>
  <c r="Y638" i="2"/>
  <c r="X639" i="2"/>
  <c r="Y639" i="2"/>
  <c r="X640" i="2"/>
  <c r="Z640" i="2" s="1"/>
  <c r="Y640" i="2"/>
  <c r="X641" i="2"/>
  <c r="AC641" i="2" s="1"/>
  <c r="Y641" i="2"/>
  <c r="X642" i="2"/>
  <c r="AC642" i="2" s="1"/>
  <c r="Y642" i="2"/>
  <c r="X643" i="2"/>
  <c r="Y643" i="2"/>
  <c r="X644" i="2"/>
  <c r="Z644" i="2" s="1"/>
  <c r="Y644" i="2"/>
  <c r="X645" i="2"/>
  <c r="AC645" i="2" s="1"/>
  <c r="Y645" i="2"/>
  <c r="X646" i="2"/>
  <c r="AC646" i="2" s="1"/>
  <c r="Y646" i="2"/>
  <c r="X647" i="2"/>
  <c r="Y647" i="2"/>
  <c r="X648" i="2"/>
  <c r="Z648" i="2" s="1"/>
  <c r="Y648" i="2"/>
  <c r="X649" i="2"/>
  <c r="Z649" i="2" s="1"/>
  <c r="Y649" i="2"/>
  <c r="X650" i="2"/>
  <c r="AD650" i="2" s="1"/>
  <c r="Y650" i="2"/>
  <c r="X651" i="2"/>
  <c r="Y651" i="2"/>
  <c r="X652" i="2"/>
  <c r="Y652" i="2"/>
  <c r="X653" i="2"/>
  <c r="AF653" i="2" s="1"/>
  <c r="Y653" i="2"/>
  <c r="X654" i="2"/>
  <c r="AC654" i="2" s="1"/>
  <c r="Y654" i="2"/>
  <c r="X655" i="2"/>
  <c r="Y655" i="2"/>
  <c r="X656" i="2"/>
  <c r="Z656" i="2" s="1"/>
  <c r="Y656" i="2"/>
  <c r="X657" i="2"/>
  <c r="AC657" i="2" s="1"/>
  <c r="Y657" i="2"/>
  <c r="X658" i="2"/>
  <c r="AC658" i="2" s="1"/>
  <c r="Y658" i="2"/>
  <c r="X659" i="2"/>
  <c r="Y659" i="2"/>
  <c r="X660" i="2"/>
  <c r="Z660" i="2" s="1"/>
  <c r="Y660" i="2"/>
  <c r="X661" i="2"/>
  <c r="AC661" i="2" s="1"/>
  <c r="Y661" i="2"/>
  <c r="X662" i="2"/>
  <c r="AC662" i="2" s="1"/>
  <c r="Y662" i="2"/>
  <c r="X663" i="2"/>
  <c r="Y663" i="2"/>
  <c r="X664" i="2"/>
  <c r="Z664" i="2" s="1"/>
  <c r="Y664" i="2"/>
  <c r="X665" i="2"/>
  <c r="AA665" i="2" s="1"/>
  <c r="Y665" i="2"/>
  <c r="X666" i="2"/>
  <c r="Y666" i="2"/>
  <c r="X667" i="2"/>
  <c r="Y667" i="2"/>
  <c r="X668" i="2"/>
  <c r="Y668" i="2"/>
  <c r="X669" i="2"/>
  <c r="AB669" i="2" s="1"/>
  <c r="Y669" i="2"/>
  <c r="X670" i="2"/>
  <c r="AC670" i="2" s="1"/>
  <c r="Y670" i="2"/>
  <c r="X671" i="2"/>
  <c r="Y671" i="2"/>
  <c r="X672" i="2"/>
  <c r="Z672" i="2" s="1"/>
  <c r="Y672" i="2"/>
  <c r="X673" i="2"/>
  <c r="AC673" i="2" s="1"/>
  <c r="Y673" i="2"/>
  <c r="X674" i="2"/>
  <c r="AC674" i="2" s="1"/>
  <c r="Y674" i="2"/>
  <c r="X675" i="2"/>
  <c r="Y675" i="2"/>
  <c r="X676" i="2"/>
  <c r="Z676" i="2" s="1"/>
  <c r="Y676" i="2"/>
  <c r="X677" i="2"/>
  <c r="AC677" i="2" s="1"/>
  <c r="Y677" i="2"/>
  <c r="X678" i="2"/>
  <c r="AC678" i="2" s="1"/>
  <c r="Y678" i="2"/>
  <c r="X679" i="2"/>
  <c r="Y679" i="2"/>
  <c r="X680" i="2"/>
  <c r="Z680" i="2" s="1"/>
  <c r="Y680" i="2"/>
  <c r="X681" i="2"/>
  <c r="AA681" i="2" s="1"/>
  <c r="Y681" i="2"/>
  <c r="X682" i="2"/>
  <c r="AD682" i="2" s="1"/>
  <c r="Y682" i="2"/>
  <c r="X683" i="2"/>
  <c r="Y683" i="2"/>
  <c r="X684" i="2"/>
  <c r="Y684" i="2"/>
  <c r="X685" i="2"/>
  <c r="AF685" i="2" s="1"/>
  <c r="Y685" i="2"/>
  <c r="X686" i="2"/>
  <c r="AC686" i="2" s="1"/>
  <c r="Y686" i="2"/>
  <c r="X687" i="2"/>
  <c r="Y687" i="2"/>
  <c r="X688" i="2"/>
  <c r="Z688" i="2" s="1"/>
  <c r="Y688" i="2"/>
  <c r="X689" i="2"/>
  <c r="AC689" i="2" s="1"/>
  <c r="Y689" i="2"/>
  <c r="X690" i="2"/>
  <c r="AC690" i="2" s="1"/>
  <c r="Y690" i="2"/>
  <c r="X691" i="2"/>
  <c r="Y691" i="2"/>
  <c r="X692" i="2"/>
  <c r="Z692" i="2" s="1"/>
  <c r="Y692" i="2"/>
  <c r="X693" i="2"/>
  <c r="AC693" i="2" s="1"/>
  <c r="Y693" i="2"/>
  <c r="X694" i="2"/>
  <c r="AC694" i="2" s="1"/>
  <c r="Y694" i="2"/>
  <c r="X695" i="2"/>
  <c r="Y695" i="2"/>
  <c r="X696" i="2"/>
  <c r="Z696" i="2" s="1"/>
  <c r="Y696" i="2"/>
  <c r="X697" i="2"/>
  <c r="AC697" i="2" s="1"/>
  <c r="Y697" i="2"/>
  <c r="X698" i="2"/>
  <c r="Y698" i="2"/>
  <c r="X699" i="2"/>
  <c r="Y699" i="2"/>
  <c r="X700" i="2"/>
  <c r="Y700" i="2"/>
  <c r="X701" i="2"/>
  <c r="AB701" i="2" s="1"/>
  <c r="Y701" i="2"/>
  <c r="X702" i="2"/>
  <c r="AC702" i="2" s="1"/>
  <c r="Y702" i="2"/>
  <c r="X703" i="2"/>
  <c r="Y703" i="2"/>
  <c r="X704" i="2"/>
  <c r="Z704" i="2" s="1"/>
  <c r="Y704" i="2"/>
  <c r="X705" i="2"/>
  <c r="AC705" i="2" s="1"/>
  <c r="Y705" i="2"/>
  <c r="X706" i="2"/>
  <c r="AC706" i="2" s="1"/>
  <c r="Y706" i="2"/>
  <c r="X707" i="2"/>
  <c r="Y707" i="2"/>
  <c r="X708" i="2"/>
  <c r="AF708" i="2" s="1"/>
  <c r="Y708" i="2"/>
  <c r="X709" i="2"/>
  <c r="AA709" i="2" s="1"/>
  <c r="Y709" i="2"/>
  <c r="X710" i="2"/>
  <c r="AC710" i="2" s="1"/>
  <c r="Y710" i="2"/>
  <c r="X711" i="2"/>
  <c r="AA711" i="2" s="1"/>
  <c r="Y711" i="2"/>
  <c r="X712" i="2"/>
  <c r="AD712" i="2" s="1"/>
  <c r="Y712" i="2"/>
  <c r="X713" i="2"/>
  <c r="AB713" i="2" s="1"/>
  <c r="Y713" i="2"/>
  <c r="X714" i="2"/>
  <c r="AA714" i="2" s="1"/>
  <c r="Y714" i="2"/>
  <c r="X715" i="2"/>
  <c r="AE715" i="2" s="1"/>
  <c r="Y715" i="2"/>
  <c r="X716" i="2"/>
  <c r="AF716" i="2" s="1"/>
  <c r="Y716" i="2"/>
  <c r="X717" i="2"/>
  <c r="AA717" i="2" s="1"/>
  <c r="Y717" i="2"/>
  <c r="X718" i="2"/>
  <c r="AD718" i="2" s="1"/>
  <c r="Y718" i="2"/>
  <c r="X719" i="2"/>
  <c r="Y719" i="2"/>
  <c r="X720" i="2"/>
  <c r="Y720" i="2"/>
  <c r="X721" i="2"/>
  <c r="AA721" i="2" s="1"/>
  <c r="Y721" i="2"/>
  <c r="AC721" i="2"/>
  <c r="X722" i="2"/>
  <c r="Y722" i="2"/>
  <c r="X723" i="2"/>
  <c r="Y723" i="2"/>
  <c r="X724" i="2"/>
  <c r="AC724" i="2" s="1"/>
  <c r="Y724" i="2"/>
  <c r="X725" i="2"/>
  <c r="Y725" i="2"/>
  <c r="X726" i="2"/>
  <c r="Y726" i="2"/>
  <c r="X727" i="2"/>
  <c r="Y727" i="2"/>
  <c r="X728" i="2"/>
  <c r="AB728" i="2" s="1"/>
  <c r="Y728" i="2"/>
  <c r="X729" i="2"/>
  <c r="AE729" i="2" s="1"/>
  <c r="Y729" i="2"/>
  <c r="X730" i="2"/>
  <c r="AB730" i="2" s="1"/>
  <c r="Y730" i="2"/>
  <c r="X731" i="2"/>
  <c r="AE731" i="2" s="1"/>
  <c r="Y731" i="2"/>
  <c r="X732" i="2"/>
  <c r="AC732" i="2" s="1"/>
  <c r="Y732" i="2"/>
  <c r="X733" i="2"/>
  <c r="AB733" i="2" s="1"/>
  <c r="Y733" i="2"/>
  <c r="X734" i="2"/>
  <c r="Z734" i="2" s="1"/>
  <c r="Y734" i="2"/>
  <c r="X735" i="2"/>
  <c r="Y735" i="2"/>
  <c r="X736" i="2"/>
  <c r="Y736" i="2"/>
  <c r="X737" i="2"/>
  <c r="Y737" i="2"/>
  <c r="X738" i="2"/>
  <c r="Y738" i="2"/>
  <c r="X739" i="2"/>
  <c r="AC739" i="2" s="1"/>
  <c r="Y739" i="2"/>
  <c r="X740" i="2"/>
  <c r="AC740" i="2" s="1"/>
  <c r="Y740" i="2"/>
  <c r="X741" i="2"/>
  <c r="AD741" i="2" s="1"/>
  <c r="Y741" i="2"/>
  <c r="X742" i="2"/>
  <c r="AB742" i="2" s="1"/>
  <c r="Y742" i="2"/>
  <c r="X743" i="2"/>
  <c r="Z743" i="2" s="1"/>
  <c r="Y743" i="2"/>
  <c r="X744" i="2"/>
  <c r="AA744" i="2" s="1"/>
  <c r="Y744" i="2"/>
  <c r="X745" i="2"/>
  <c r="AC745" i="2" s="1"/>
  <c r="Y745" i="2"/>
  <c r="X746" i="2"/>
  <c r="AB746" i="2" s="1"/>
  <c r="Y746" i="2"/>
  <c r="X747" i="2"/>
  <c r="Z747" i="2" s="1"/>
  <c r="Y747" i="2"/>
  <c r="X748" i="2"/>
  <c r="AA748" i="2" s="1"/>
  <c r="Y748" i="2"/>
  <c r="X749" i="2"/>
  <c r="Z749" i="2" s="1"/>
  <c r="Y749" i="2"/>
  <c r="X750" i="2"/>
  <c r="AF750" i="2" s="1"/>
  <c r="Y750" i="2"/>
  <c r="X751" i="2"/>
  <c r="Z751" i="2" s="1"/>
  <c r="Y751" i="2"/>
  <c r="X752" i="2"/>
  <c r="Y752" i="2"/>
  <c r="X753" i="2"/>
  <c r="AA753" i="2" s="1"/>
  <c r="Y753" i="2"/>
  <c r="X754" i="2"/>
  <c r="Y754" i="2"/>
  <c r="X755" i="2"/>
  <c r="Z755" i="2" s="1"/>
  <c r="Y755" i="2"/>
  <c r="X756" i="2"/>
  <c r="AA756" i="2" s="1"/>
  <c r="Y756" i="2"/>
  <c r="X757" i="2"/>
  <c r="AA757" i="2" s="1"/>
  <c r="Y757" i="2"/>
  <c r="Z757" i="2"/>
  <c r="X758" i="2"/>
  <c r="AB758" i="2" s="1"/>
  <c r="Y758" i="2"/>
  <c r="X759" i="2"/>
  <c r="Z759" i="2" s="1"/>
  <c r="Y759" i="2"/>
  <c r="X760" i="2"/>
  <c r="AA760" i="2" s="1"/>
  <c r="Y760" i="2"/>
  <c r="X761" i="2"/>
  <c r="AC761" i="2" s="1"/>
  <c r="Y761" i="2"/>
  <c r="X762" i="2"/>
  <c r="AF762" i="2" s="1"/>
  <c r="Y762" i="2"/>
  <c r="X763" i="2"/>
  <c r="Z763" i="2" s="1"/>
  <c r="Y763" i="2"/>
  <c r="X764" i="2"/>
  <c r="AC764" i="2" s="1"/>
  <c r="Y764" i="2"/>
  <c r="X765" i="2"/>
  <c r="AB765" i="2" s="1"/>
  <c r="Y765" i="2"/>
  <c r="X766" i="2"/>
  <c r="AB766" i="2" s="1"/>
  <c r="Y766" i="2"/>
  <c r="X767" i="2"/>
  <c r="Y767" i="2"/>
  <c r="X768" i="2"/>
  <c r="AA768" i="2" s="1"/>
  <c r="Y768" i="2"/>
  <c r="X769" i="2"/>
  <c r="AB769" i="2" s="1"/>
  <c r="Y769" i="2"/>
  <c r="X770" i="2"/>
  <c r="Y770" i="2"/>
  <c r="X771" i="2"/>
  <c r="Z771" i="2" s="1"/>
  <c r="Y771" i="2"/>
  <c r="X772" i="2"/>
  <c r="Y772" i="2"/>
  <c r="X773" i="2"/>
  <c r="AA773" i="2" s="1"/>
  <c r="Y773" i="2"/>
  <c r="X774" i="2"/>
  <c r="AB774" i="2" s="1"/>
  <c r="Y774" i="2"/>
  <c r="X775" i="2"/>
  <c r="Z775" i="2" s="1"/>
  <c r="Y775" i="2"/>
  <c r="X776" i="2"/>
  <c r="Y776" i="2"/>
  <c r="X777" i="2"/>
  <c r="AA777" i="2" s="1"/>
  <c r="Y777" i="2"/>
  <c r="X778" i="2"/>
  <c r="Y778" i="2"/>
  <c r="X779" i="2"/>
  <c r="Y779" i="2"/>
  <c r="X780" i="2"/>
  <c r="AA780" i="2" s="1"/>
  <c r="Y780" i="2"/>
  <c r="X781" i="2"/>
  <c r="AC781" i="2" s="1"/>
  <c r="Y781" i="2"/>
  <c r="X782" i="2"/>
  <c r="AB782" i="2" s="1"/>
  <c r="Y782" i="2"/>
  <c r="X783" i="2"/>
  <c r="Z783" i="2" s="1"/>
  <c r="Y783" i="2"/>
  <c r="X784" i="2"/>
  <c r="AA784" i="2" s="1"/>
  <c r="Y784" i="2"/>
  <c r="X785" i="2"/>
  <c r="Z785" i="2" s="1"/>
  <c r="Y785" i="2"/>
  <c r="X786" i="2"/>
  <c r="Y786" i="2"/>
  <c r="X787" i="2"/>
  <c r="Z787" i="2" s="1"/>
  <c r="Y787" i="2"/>
  <c r="X788" i="2"/>
  <c r="AA788" i="2" s="1"/>
  <c r="Y788" i="2"/>
  <c r="X789" i="2"/>
  <c r="AC789" i="2" s="1"/>
  <c r="Y789" i="2"/>
  <c r="X790" i="2"/>
  <c r="AB790" i="2" s="1"/>
  <c r="Y790" i="2"/>
  <c r="X791" i="2"/>
  <c r="Z791" i="2" s="1"/>
  <c r="Y791" i="2"/>
  <c r="X792" i="2"/>
  <c r="AA792" i="2" s="1"/>
  <c r="Y792" i="2"/>
  <c r="X793" i="2"/>
  <c r="AA793" i="2" s="1"/>
  <c r="Y793" i="2"/>
  <c r="X794" i="2"/>
  <c r="Y794" i="2"/>
  <c r="X795" i="2"/>
  <c r="Y795" i="2"/>
  <c r="X796" i="2"/>
  <c r="AA796" i="2" s="1"/>
  <c r="Y796" i="2"/>
  <c r="X797" i="2"/>
  <c r="AB797" i="2" s="1"/>
  <c r="Y797" i="2"/>
  <c r="X798" i="2"/>
  <c r="AB798" i="2" s="1"/>
  <c r="Y798" i="2"/>
  <c r="X799" i="2"/>
  <c r="Y799" i="2"/>
  <c r="X800" i="2"/>
  <c r="AA800" i="2" s="1"/>
  <c r="Y800" i="2"/>
  <c r="X801" i="2"/>
  <c r="AF801" i="2" s="1"/>
  <c r="Y801" i="2"/>
  <c r="X802" i="2"/>
  <c r="Y802" i="2"/>
  <c r="X803" i="2"/>
  <c r="Z803" i="2" s="1"/>
  <c r="Y803" i="2"/>
  <c r="X804" i="2"/>
  <c r="AC804" i="2" s="1"/>
  <c r="Y804" i="2"/>
  <c r="X805" i="2"/>
  <c r="AA805" i="2" s="1"/>
  <c r="Y805" i="2"/>
  <c r="X806" i="2"/>
  <c r="AB806" i="2" s="1"/>
  <c r="Y806" i="2"/>
  <c r="X807" i="2"/>
  <c r="Z807" i="2" s="1"/>
  <c r="Y807" i="2"/>
  <c r="X808" i="2"/>
  <c r="AC808" i="2" s="1"/>
  <c r="Y808" i="2"/>
  <c r="X809" i="2"/>
  <c r="AA809" i="2" s="1"/>
  <c r="Y809" i="2"/>
  <c r="X810" i="2"/>
  <c r="Y810" i="2"/>
  <c r="X811" i="2"/>
  <c r="AF811" i="2" s="1"/>
  <c r="Y811" i="2"/>
  <c r="X812" i="2"/>
  <c r="Y812" i="2"/>
  <c r="X813" i="2"/>
  <c r="Y813" i="2"/>
  <c r="X814" i="2"/>
  <c r="Y814" i="2"/>
  <c r="X815" i="2"/>
  <c r="Y815" i="2"/>
  <c r="X816" i="2"/>
  <c r="AB816" i="2" s="1"/>
  <c r="Y816" i="2"/>
  <c r="X817" i="2"/>
  <c r="AB817" i="2" s="1"/>
  <c r="Y817" i="2"/>
  <c r="X818" i="2"/>
  <c r="Y818" i="2"/>
  <c r="X819" i="2"/>
  <c r="Z819" i="2" s="1"/>
  <c r="Y819" i="2"/>
  <c r="X820" i="2"/>
  <c r="AD820" i="2" s="1"/>
  <c r="Y820" i="2"/>
  <c r="X821" i="2"/>
  <c r="AA821" i="2" s="1"/>
  <c r="Y821" i="2"/>
  <c r="X822" i="2"/>
  <c r="AB822" i="2" s="1"/>
  <c r="Y822" i="2"/>
  <c r="X823" i="2"/>
  <c r="Z823" i="2" s="1"/>
  <c r="Y823" i="2"/>
  <c r="X824" i="2"/>
  <c r="AC824" i="2" s="1"/>
  <c r="Y824" i="2"/>
  <c r="X825" i="2"/>
  <c r="AA825" i="2" s="1"/>
  <c r="Y825" i="2"/>
  <c r="X826" i="2"/>
  <c r="Y826" i="2"/>
  <c r="X827" i="2"/>
  <c r="Y827" i="2"/>
  <c r="X828" i="2"/>
  <c r="AB828" i="2" s="1"/>
  <c r="Y828" i="2"/>
  <c r="X829" i="2"/>
  <c r="AB829" i="2" s="1"/>
  <c r="Y829" i="2"/>
  <c r="X830" i="2"/>
  <c r="Y830" i="2"/>
  <c r="X831" i="2"/>
  <c r="AF831" i="2" s="1"/>
  <c r="Y831" i="2"/>
  <c r="X832" i="2"/>
  <c r="Y832" i="2"/>
  <c r="X833" i="2"/>
  <c r="AE833" i="2" s="1"/>
  <c r="Y833" i="2"/>
  <c r="X834" i="2"/>
  <c r="Y834" i="2"/>
  <c r="X835" i="2"/>
  <c r="AF835" i="2" s="1"/>
  <c r="Y835" i="2"/>
  <c r="X836" i="2"/>
  <c r="AC836" i="2" s="1"/>
  <c r="Y836" i="2"/>
  <c r="X837" i="2"/>
  <c r="Y837" i="2"/>
  <c r="X838" i="2"/>
  <c r="AB838" i="2" s="1"/>
  <c r="Y838" i="2"/>
  <c r="X839" i="2"/>
  <c r="AB839" i="2" s="1"/>
  <c r="Y839" i="2"/>
  <c r="X840" i="2"/>
  <c r="AB840" i="2" s="1"/>
  <c r="Y840" i="2"/>
  <c r="X841" i="2"/>
  <c r="AC841" i="2" s="1"/>
  <c r="Y841" i="2"/>
  <c r="X842" i="2"/>
  <c r="Y842" i="2"/>
  <c r="X843" i="2"/>
  <c r="Y843" i="2"/>
  <c r="X844" i="2"/>
  <c r="Y844" i="2"/>
  <c r="X845" i="2"/>
  <c r="AB845" i="2" s="1"/>
  <c r="Y845" i="2"/>
  <c r="X846" i="2"/>
  <c r="Y846" i="2"/>
  <c r="X847" i="2"/>
  <c r="Y847" i="2"/>
  <c r="X848" i="2"/>
  <c r="AC848" i="2" s="1"/>
  <c r="Y848" i="2"/>
  <c r="X849" i="2"/>
  <c r="AA849" i="2" s="1"/>
  <c r="Y849" i="2"/>
  <c r="X850" i="2"/>
  <c r="AE850" i="2" s="1"/>
  <c r="Y850" i="2"/>
  <c r="X851" i="2"/>
  <c r="AF851" i="2" s="1"/>
  <c r="Y851" i="2"/>
  <c r="X852" i="2"/>
  <c r="AA852" i="2" s="1"/>
  <c r="Y852" i="2"/>
  <c r="X853" i="2"/>
  <c r="AF853" i="2" s="1"/>
  <c r="Y853" i="2"/>
  <c r="X854" i="2"/>
  <c r="AF854" i="2" s="1"/>
  <c r="Y854" i="2"/>
  <c r="X855" i="2"/>
  <c r="AB855" i="2" s="1"/>
  <c r="Y855" i="2"/>
  <c r="X856" i="2"/>
  <c r="AA856" i="2" s="1"/>
  <c r="Y856" i="2"/>
  <c r="X857" i="2"/>
  <c r="AC857" i="2" s="1"/>
  <c r="Y857" i="2"/>
  <c r="X858" i="2"/>
  <c r="AE858" i="2" s="1"/>
  <c r="Y858" i="2"/>
  <c r="X859" i="2"/>
  <c r="AC859" i="2" s="1"/>
  <c r="Y859" i="2"/>
  <c r="X860" i="2"/>
  <c r="AA860" i="2" s="1"/>
  <c r="Y860" i="2"/>
  <c r="X861" i="2"/>
  <c r="AC861" i="2" s="1"/>
  <c r="Y861" i="2"/>
  <c r="X862" i="2"/>
  <c r="AE862" i="2" s="1"/>
  <c r="Y862" i="2"/>
  <c r="X863" i="2"/>
  <c r="AC863" i="2" s="1"/>
  <c r="Y863" i="2"/>
  <c r="X864" i="2"/>
  <c r="AA864" i="2" s="1"/>
  <c r="Y864" i="2"/>
  <c r="X865" i="2"/>
  <c r="AA865" i="2" s="1"/>
  <c r="Y865" i="2"/>
  <c r="X866" i="2"/>
  <c r="Y866" i="2"/>
  <c r="X867" i="2"/>
  <c r="Y867" i="2"/>
  <c r="X868" i="2"/>
  <c r="AC868" i="2" s="1"/>
  <c r="Y868" i="2"/>
  <c r="X869" i="2"/>
  <c r="Z869" i="2" s="1"/>
  <c r="Y869" i="2"/>
  <c r="X870" i="2"/>
  <c r="AF870" i="2" s="1"/>
  <c r="Y870" i="2"/>
  <c r="X871" i="2"/>
  <c r="AB871" i="2" s="1"/>
  <c r="Y871" i="2"/>
  <c r="X872" i="2"/>
  <c r="AA872" i="2" s="1"/>
  <c r="Y872" i="2"/>
  <c r="X873" i="2"/>
  <c r="AC873" i="2" s="1"/>
  <c r="Y873" i="2"/>
  <c r="X874" i="2"/>
  <c r="AE874" i="2" s="1"/>
  <c r="Y874" i="2"/>
  <c r="X875" i="2"/>
  <c r="AB875" i="2" s="1"/>
  <c r="Y875" i="2"/>
  <c r="X876" i="2"/>
  <c r="AA876" i="2" s="1"/>
  <c r="Y876" i="2"/>
  <c r="X877" i="2"/>
  <c r="AC877" i="2" s="1"/>
  <c r="Y877" i="2"/>
  <c r="X878" i="2"/>
  <c r="AE878" i="2" s="1"/>
  <c r="Y878" i="2"/>
  <c r="X879" i="2"/>
  <c r="AC879" i="2" s="1"/>
  <c r="Y879" i="2"/>
  <c r="X880" i="2"/>
  <c r="AA880" i="2" s="1"/>
  <c r="Y880" i="2"/>
  <c r="X881" i="2"/>
  <c r="AA881" i="2" s="1"/>
  <c r="Y881" i="2"/>
  <c r="X882" i="2"/>
  <c r="AA882" i="2" s="1"/>
  <c r="Y882" i="2"/>
  <c r="X883" i="2"/>
  <c r="AF883" i="2" s="1"/>
  <c r="Y883" i="2"/>
  <c r="X884" i="2"/>
  <c r="Y884" i="2"/>
  <c r="X885" i="2"/>
  <c r="Z885" i="2" s="1"/>
  <c r="Y885" i="2"/>
  <c r="X886" i="2"/>
  <c r="AD886" i="2" s="1"/>
  <c r="Y886" i="2"/>
  <c r="X887" i="2"/>
  <c r="AF887" i="2" s="1"/>
  <c r="Y887" i="2"/>
  <c r="X888" i="2"/>
  <c r="Z888" i="2" s="1"/>
  <c r="Y888" i="2"/>
  <c r="X889" i="2"/>
  <c r="AB889" i="2" s="1"/>
  <c r="Y889" i="2"/>
  <c r="X890" i="2"/>
  <c r="Y890" i="2"/>
  <c r="X891" i="2"/>
  <c r="AA891" i="2" s="1"/>
  <c r="Y891" i="2"/>
  <c r="X892" i="2"/>
  <c r="AB892" i="2" s="1"/>
  <c r="Y892" i="2"/>
  <c r="X893" i="2"/>
  <c r="Y893" i="2"/>
  <c r="X894" i="2"/>
  <c r="Y894" i="2"/>
  <c r="X895" i="2"/>
  <c r="AA895" i="2" s="1"/>
  <c r="Y895" i="2"/>
  <c r="X896" i="2"/>
  <c r="AC896" i="2" s="1"/>
  <c r="Y896" i="2"/>
  <c r="X897" i="2"/>
  <c r="Y897" i="2"/>
  <c r="X898" i="2"/>
  <c r="Z898" i="2" s="1"/>
  <c r="Y898" i="2"/>
  <c r="X899" i="2"/>
  <c r="Z899" i="2" s="1"/>
  <c r="Y899" i="2"/>
  <c r="X900" i="2"/>
  <c r="AC900" i="2" s="1"/>
  <c r="Y900" i="2"/>
  <c r="X901" i="2"/>
  <c r="AB901" i="2" s="1"/>
  <c r="Y901" i="2"/>
  <c r="X902" i="2"/>
  <c r="Z902" i="2" s="1"/>
  <c r="Y902" i="2"/>
  <c r="X903" i="2"/>
  <c r="Z903" i="2" s="1"/>
  <c r="Y903" i="2"/>
  <c r="X904" i="2"/>
  <c r="Y904" i="2"/>
  <c r="X905" i="2"/>
  <c r="AB905" i="2" s="1"/>
  <c r="Y905" i="2"/>
  <c r="X906" i="2"/>
  <c r="Z906" i="2" s="1"/>
  <c r="Y906" i="2"/>
  <c r="X907" i="2"/>
  <c r="AA907" i="2" s="1"/>
  <c r="Y907" i="2"/>
  <c r="X908" i="2"/>
  <c r="Y908" i="2"/>
  <c r="X909" i="2"/>
  <c r="Y909" i="2"/>
  <c r="X910" i="2"/>
  <c r="Y910" i="2"/>
  <c r="X911" i="2"/>
  <c r="AA911" i="2" s="1"/>
  <c r="Y911" i="2"/>
  <c r="X912" i="2"/>
  <c r="AC912" i="2" s="1"/>
  <c r="Y912" i="2"/>
  <c r="X913" i="2"/>
  <c r="Y913" i="2"/>
  <c r="X914" i="2"/>
  <c r="Z914" i="2" s="1"/>
  <c r="Y914" i="2"/>
  <c r="X915" i="2"/>
  <c r="Z915" i="2" s="1"/>
  <c r="Y915" i="2"/>
  <c r="X916" i="2"/>
  <c r="AC916" i="2" s="1"/>
  <c r="Y916" i="2"/>
  <c r="X917" i="2"/>
  <c r="AB917" i="2" s="1"/>
  <c r="Y917" i="2"/>
  <c r="X918" i="2"/>
  <c r="Z918" i="2" s="1"/>
  <c r="Y918" i="2"/>
  <c r="X919" i="2"/>
  <c r="Z919" i="2" s="1"/>
  <c r="Y919" i="2"/>
  <c r="X920" i="2"/>
  <c r="AB920" i="2" s="1"/>
  <c r="Y920" i="2"/>
  <c r="X921" i="2"/>
  <c r="AB921" i="2" s="1"/>
  <c r="Y921" i="2"/>
  <c r="X922" i="2"/>
  <c r="Z922" i="2" s="1"/>
  <c r="Y922" i="2"/>
  <c r="X923" i="2"/>
  <c r="AC923" i="2" s="1"/>
  <c r="Y923" i="2"/>
  <c r="AD923" i="2"/>
  <c r="X924" i="2"/>
  <c r="AC924" i="2" s="1"/>
  <c r="Y924" i="2"/>
  <c r="X925" i="2"/>
  <c r="AB925" i="2" s="1"/>
  <c r="Y925" i="2"/>
  <c r="X926" i="2"/>
  <c r="Z926" i="2" s="1"/>
  <c r="Y926" i="2"/>
  <c r="X927" i="2"/>
  <c r="AC927" i="2" s="1"/>
  <c r="Y927" i="2"/>
  <c r="X928" i="2"/>
  <c r="AC928" i="2" s="1"/>
  <c r="Y928" i="2"/>
  <c r="X929" i="2"/>
  <c r="Y929" i="2"/>
  <c r="X930" i="2"/>
  <c r="AD930" i="2" s="1"/>
  <c r="Y930" i="2"/>
  <c r="X931" i="2"/>
  <c r="AA931" i="2" s="1"/>
  <c r="Y931" i="2"/>
  <c r="X932" i="2"/>
  <c r="Y932" i="2"/>
  <c r="X933" i="2"/>
  <c r="Y933" i="2"/>
  <c r="X934" i="2"/>
  <c r="AD934" i="2" s="1"/>
  <c r="Y934" i="2"/>
  <c r="X935" i="2"/>
  <c r="AA935" i="2" s="1"/>
  <c r="Y935" i="2"/>
  <c r="AB935" i="2"/>
  <c r="AC935" i="2"/>
  <c r="X936" i="2"/>
  <c r="AC936" i="2" s="1"/>
  <c r="Y936" i="2"/>
  <c r="X937" i="2"/>
  <c r="AB937" i="2" s="1"/>
  <c r="Y937" i="2"/>
  <c r="X938" i="2"/>
  <c r="Z938" i="2" s="1"/>
  <c r="Y938" i="2"/>
  <c r="X939" i="2"/>
  <c r="AB939" i="2" s="1"/>
  <c r="Y939" i="2"/>
  <c r="X940" i="2"/>
  <c r="AC940" i="2" s="1"/>
  <c r="Y940" i="2"/>
  <c r="X941" i="2"/>
  <c r="AF941" i="2" s="1"/>
  <c r="Y941" i="2"/>
  <c r="X942" i="2"/>
  <c r="Z942" i="2" s="1"/>
  <c r="Y942" i="2"/>
  <c r="X943" i="2"/>
  <c r="Y943" i="2"/>
  <c r="X944" i="2"/>
  <c r="AC944" i="2" s="1"/>
  <c r="Y944" i="2"/>
  <c r="X945" i="2"/>
  <c r="AF945" i="2" s="1"/>
  <c r="Y945" i="2"/>
  <c r="X946" i="2"/>
  <c r="Z946" i="2" s="1"/>
  <c r="Y946" i="2"/>
  <c r="X947" i="2"/>
  <c r="AA947" i="2" s="1"/>
  <c r="Y947" i="2"/>
  <c r="X948" i="2"/>
  <c r="AB948" i="2" s="1"/>
  <c r="Y948" i="2"/>
  <c r="X949" i="2"/>
  <c r="AF949" i="2" s="1"/>
  <c r="Y949" i="2"/>
  <c r="X950" i="2"/>
  <c r="Z950" i="2" s="1"/>
  <c r="Y950" i="2"/>
  <c r="X951" i="2"/>
  <c r="AB951" i="2" s="1"/>
  <c r="Y951" i="2"/>
  <c r="X952" i="2"/>
  <c r="AC952" i="2" s="1"/>
  <c r="Y952" i="2"/>
  <c r="X953" i="2"/>
  <c r="AF953" i="2" s="1"/>
  <c r="Y953" i="2"/>
  <c r="X954" i="2"/>
  <c r="Z954" i="2" s="1"/>
  <c r="Y954" i="2"/>
  <c r="X955" i="2"/>
  <c r="AA955" i="2" s="1"/>
  <c r="Y955" i="2"/>
  <c r="X956" i="2"/>
  <c r="AB956" i="2" s="1"/>
  <c r="Y956" i="2"/>
  <c r="X957" i="2"/>
  <c r="AF957" i="2" s="1"/>
  <c r="Y957" i="2"/>
  <c r="X958" i="2"/>
  <c r="Z958" i="2" s="1"/>
  <c r="Y958" i="2"/>
  <c r="X959" i="2"/>
  <c r="AF959" i="2" s="1"/>
  <c r="Y959" i="2"/>
  <c r="X960" i="2"/>
  <c r="AC960" i="2" s="1"/>
  <c r="Y960" i="2"/>
  <c r="X961" i="2"/>
  <c r="AF961" i="2" s="1"/>
  <c r="Y961" i="2"/>
  <c r="X962" i="2"/>
  <c r="Z962" i="2" s="1"/>
  <c r="Y962" i="2"/>
  <c r="AF962" i="2"/>
  <c r="X963" i="2"/>
  <c r="AA963" i="2" s="1"/>
  <c r="Y963" i="2"/>
  <c r="X964" i="2"/>
  <c r="AC964" i="2" s="1"/>
  <c r="Y964" i="2"/>
  <c r="X965" i="2"/>
  <c r="AF965" i="2" s="1"/>
  <c r="Y965" i="2"/>
  <c r="X966" i="2"/>
  <c r="Y966" i="2"/>
  <c r="X967" i="2"/>
  <c r="AC967" i="2" s="1"/>
  <c r="Y967" i="2"/>
  <c r="X968" i="2"/>
  <c r="AE968" i="2" s="1"/>
  <c r="Y968" i="2"/>
  <c r="X969" i="2"/>
  <c r="AF969" i="2" s="1"/>
  <c r="Y969" i="2"/>
  <c r="X970" i="2"/>
  <c r="Z970" i="2" s="1"/>
  <c r="Y970" i="2"/>
  <c r="X971" i="2"/>
  <c r="AC971" i="2" s="1"/>
  <c r="Y971" i="2"/>
  <c r="X972" i="2"/>
  <c r="AB972" i="2" s="1"/>
  <c r="Y972" i="2"/>
  <c r="X973" i="2"/>
  <c r="AF973" i="2" s="1"/>
  <c r="Y973" i="2"/>
  <c r="X974" i="2"/>
  <c r="AF974" i="2" s="1"/>
  <c r="Y974" i="2"/>
  <c r="X975" i="2"/>
  <c r="AC975" i="2" s="1"/>
  <c r="Y975" i="2"/>
  <c r="X976" i="2"/>
  <c r="AB976" i="2" s="1"/>
  <c r="Y976" i="2"/>
  <c r="X977" i="2"/>
  <c r="AF977" i="2" s="1"/>
  <c r="Y977" i="2"/>
  <c r="X978" i="2"/>
  <c r="Z978" i="2" s="1"/>
  <c r="Y978" i="2"/>
  <c r="X979" i="2"/>
  <c r="AB979" i="2" s="1"/>
  <c r="Y979" i="2"/>
  <c r="X980" i="2"/>
  <c r="AF980" i="2" s="1"/>
  <c r="Y980" i="2"/>
  <c r="X981" i="2"/>
  <c r="AF981" i="2" s="1"/>
  <c r="Y981" i="2"/>
  <c r="X982" i="2"/>
  <c r="Y982" i="2"/>
  <c r="AB982" i="2"/>
  <c r="X983" i="2"/>
  <c r="AC983" i="2" s="1"/>
  <c r="Y983" i="2"/>
  <c r="X984" i="2"/>
  <c r="AB984" i="2" s="1"/>
  <c r="Y984" i="2"/>
  <c r="X985" i="2"/>
  <c r="AF985" i="2" s="1"/>
  <c r="Y985" i="2"/>
  <c r="X986" i="2"/>
  <c r="Z986" i="2" s="1"/>
  <c r="Y986" i="2"/>
  <c r="X987" i="2"/>
  <c r="AD987" i="2" s="1"/>
  <c r="Y987" i="2"/>
  <c r="X988" i="2"/>
  <c r="Z988" i="2" s="1"/>
  <c r="Y988" i="2"/>
  <c r="X989" i="2"/>
  <c r="AF989" i="2" s="1"/>
  <c r="Y989" i="2"/>
  <c r="X990" i="2"/>
  <c r="AF990" i="2" s="1"/>
  <c r="Y990" i="2"/>
  <c r="X991" i="2"/>
  <c r="AC991" i="2" s="1"/>
  <c r="Y991" i="2"/>
  <c r="AD991" i="2"/>
  <c r="X992" i="2"/>
  <c r="AB992" i="2" s="1"/>
  <c r="Y992" i="2"/>
  <c r="X993" i="2"/>
  <c r="AF993" i="2" s="1"/>
  <c r="Y993" i="2"/>
  <c r="X994" i="2"/>
  <c r="Z994" i="2" s="1"/>
  <c r="Y994" i="2"/>
  <c r="X995" i="2"/>
  <c r="AD995" i="2" s="1"/>
  <c r="Y995" i="2"/>
  <c r="X996" i="2"/>
  <c r="Z996" i="2" s="1"/>
  <c r="Y996" i="2"/>
  <c r="X997" i="2"/>
  <c r="AF997" i="2" s="1"/>
  <c r="Y997" i="2"/>
  <c r="X998" i="2"/>
  <c r="Z998" i="2" s="1"/>
  <c r="Y998" i="2"/>
  <c r="X999" i="2"/>
  <c r="AA999" i="2" s="1"/>
  <c r="Y999" i="2"/>
  <c r="X1000" i="2"/>
  <c r="AC1000" i="2" s="1"/>
  <c r="Y1000" i="2"/>
  <c r="X1001" i="2"/>
  <c r="AF1001" i="2" s="1"/>
  <c r="Y1001" i="2"/>
  <c r="X1002" i="2"/>
  <c r="Z1002" i="2" s="1"/>
  <c r="Y1002" i="2"/>
  <c r="X1003" i="2"/>
  <c r="Z1003" i="2" s="1"/>
  <c r="Y1003" i="2"/>
  <c r="X1004" i="2"/>
  <c r="AC1004" i="2" s="1"/>
  <c r="Y1004" i="2"/>
  <c r="X1005" i="2"/>
  <c r="AF1005" i="2" s="1"/>
  <c r="Y1005" i="2"/>
  <c r="X1006" i="2"/>
  <c r="Y1006" i="2"/>
  <c r="X1007" i="2"/>
  <c r="Z1007" i="2" s="1"/>
  <c r="Y1007" i="2"/>
  <c r="X1008" i="2"/>
  <c r="AC1008" i="2" s="1"/>
  <c r="Y1008" i="2"/>
  <c r="X1009" i="2"/>
  <c r="AF1009" i="2" s="1"/>
  <c r="Y1009" i="2"/>
  <c r="X1010" i="2"/>
  <c r="Z1010" i="2" s="1"/>
  <c r="Y1010" i="2"/>
  <c r="X1011" i="2"/>
  <c r="Z1011" i="2" s="1"/>
  <c r="Y1011" i="2"/>
  <c r="X1012" i="2"/>
  <c r="AC1012" i="2" s="1"/>
  <c r="Y1012" i="2"/>
  <c r="X1013" i="2"/>
  <c r="AF1013" i="2" s="1"/>
  <c r="Y1013" i="2"/>
  <c r="X1014" i="2"/>
  <c r="AF1014" i="2" s="1"/>
  <c r="Y1014" i="2"/>
  <c r="X1015" i="2"/>
  <c r="AA1015" i="2" s="1"/>
  <c r="Y1015" i="2"/>
  <c r="X1016" i="2"/>
  <c r="AC1016" i="2" s="1"/>
  <c r="Y1016" i="2"/>
  <c r="X1017" i="2"/>
  <c r="AF1017" i="2" s="1"/>
  <c r="Y1017" i="2"/>
  <c r="X1018" i="2"/>
  <c r="Z1018" i="2" s="1"/>
  <c r="Y1018" i="2"/>
  <c r="X1019" i="2"/>
  <c r="Z1019" i="2" s="1"/>
  <c r="Y1019" i="2"/>
  <c r="X1020" i="2"/>
  <c r="AC1020" i="2" s="1"/>
  <c r="Y1020" i="2"/>
  <c r="X1021" i="2"/>
  <c r="Y1021" i="2"/>
  <c r="AF1021" i="2"/>
  <c r="X1022" i="2"/>
  <c r="AF1022" i="2" s="1"/>
  <c r="Y1022" i="2"/>
  <c r="X1023" i="2"/>
  <c r="AC1023" i="2" s="1"/>
  <c r="Y1023" i="2"/>
  <c r="X1024" i="2"/>
  <c r="AC1024" i="2" s="1"/>
  <c r="Y1024" i="2"/>
  <c r="X1025" i="2"/>
  <c r="AF1025" i="2" s="1"/>
  <c r="Y1025" i="2"/>
  <c r="X1026" i="2"/>
  <c r="Z1026" i="2" s="1"/>
  <c r="Y1026" i="2"/>
  <c r="X1027" i="2"/>
  <c r="Z1027" i="2" s="1"/>
  <c r="Y1027" i="2"/>
  <c r="X1028" i="2"/>
  <c r="AC1028" i="2" s="1"/>
  <c r="Y1028" i="2"/>
  <c r="X1029" i="2"/>
  <c r="AF1029" i="2" s="1"/>
  <c r="Y1029" i="2"/>
  <c r="X1030" i="2"/>
  <c r="AF1030" i="2" s="1"/>
  <c r="Y1030" i="2"/>
  <c r="X1031" i="2"/>
  <c r="AA1031" i="2" s="1"/>
  <c r="Y1031" i="2"/>
  <c r="X1032" i="2"/>
  <c r="Y1032" i="2"/>
  <c r="X1033" i="2"/>
  <c r="AF1033" i="2" s="1"/>
  <c r="Y1033" i="2"/>
  <c r="X1034" i="2"/>
  <c r="Z1034" i="2" s="1"/>
  <c r="Y1034" i="2"/>
  <c r="X1035" i="2"/>
  <c r="Y1035" i="2"/>
  <c r="X1036" i="2"/>
  <c r="AC1036" i="2" s="1"/>
  <c r="Y1036" i="2"/>
  <c r="AD1036" i="2"/>
  <c r="X1037" i="2"/>
  <c r="AF1037" i="2" s="1"/>
  <c r="Y1037" i="2"/>
  <c r="X1038" i="2"/>
  <c r="Z1038" i="2" s="1"/>
  <c r="Y1038" i="2"/>
  <c r="X1039" i="2"/>
  <c r="AA1039" i="2" s="1"/>
  <c r="Y1039" i="2"/>
  <c r="X1040" i="2"/>
  <c r="AB1040" i="2" s="1"/>
  <c r="Y1040" i="2"/>
  <c r="X1041" i="2"/>
  <c r="AF1041" i="2" s="1"/>
  <c r="Y1041" i="2"/>
  <c r="X1042" i="2"/>
  <c r="Z1042" i="2" s="1"/>
  <c r="Y1042" i="2"/>
  <c r="X1043" i="2"/>
  <c r="Y1043" i="2"/>
  <c r="X1044" i="2"/>
  <c r="AC1044" i="2" s="1"/>
  <c r="Y1044" i="2"/>
  <c r="X1045" i="2"/>
  <c r="AF1045" i="2" s="1"/>
  <c r="Y1045" i="2"/>
  <c r="X1046" i="2"/>
  <c r="Z1046" i="2" s="1"/>
  <c r="Y1046" i="2"/>
  <c r="X1047" i="2"/>
  <c r="AA1047" i="2" s="1"/>
  <c r="Y1047" i="2"/>
  <c r="X1048" i="2"/>
  <c r="AB1048" i="2" s="1"/>
  <c r="Y1048" i="2"/>
  <c r="X1049" i="2"/>
  <c r="AF1049" i="2" s="1"/>
  <c r="Y1049" i="2"/>
  <c r="X1050" i="2"/>
  <c r="Z1050" i="2" s="1"/>
  <c r="Y1050" i="2"/>
  <c r="X1051" i="2"/>
  <c r="AF1051" i="2" s="1"/>
  <c r="Y1051" i="2"/>
  <c r="X1052" i="2"/>
  <c r="AC1052" i="2" s="1"/>
  <c r="Y1052" i="2"/>
  <c r="X1053" i="2"/>
  <c r="AF1053" i="2" s="1"/>
  <c r="Y1053" i="2"/>
  <c r="X1054" i="2"/>
  <c r="Z1054" i="2" s="1"/>
  <c r="Y1054" i="2"/>
  <c r="X1055" i="2"/>
  <c r="AA1055" i="2" s="1"/>
  <c r="Y1055" i="2"/>
  <c r="X1056" i="2"/>
  <c r="Y1056" i="2"/>
  <c r="X1057" i="2"/>
  <c r="AF1057" i="2" s="1"/>
  <c r="Y1057" i="2"/>
  <c r="X1058" i="2"/>
  <c r="Z1058" i="2" s="1"/>
  <c r="Y1058" i="2"/>
  <c r="X1059" i="2"/>
  <c r="AC1059" i="2" s="1"/>
  <c r="Y1059" i="2"/>
  <c r="X1060" i="2"/>
  <c r="AC1060" i="2" s="1"/>
  <c r="Y1060" i="2"/>
  <c r="X1061" i="2"/>
  <c r="AF1061" i="2" s="1"/>
  <c r="Y1061" i="2"/>
  <c r="X1062" i="2"/>
  <c r="Z1062" i="2" s="1"/>
  <c r="Y1062" i="2"/>
  <c r="X1063" i="2"/>
  <c r="Z1063" i="2" s="1"/>
  <c r="Y1063" i="2"/>
  <c r="AE1063" i="2"/>
  <c r="X1064" i="2"/>
  <c r="AC1064" i="2" s="1"/>
  <c r="Y1064" i="2"/>
  <c r="X1065" i="2"/>
  <c r="AF1065" i="2" s="1"/>
  <c r="Y1065" i="2"/>
  <c r="X1066" i="2"/>
  <c r="AF1066" i="2" s="1"/>
  <c r="Y1066" i="2"/>
  <c r="X1067" i="2"/>
  <c r="Z1067" i="2" s="1"/>
  <c r="Y1067" i="2"/>
  <c r="AF1067" i="2"/>
  <c r="X1068" i="2"/>
  <c r="AC1068" i="2" s="1"/>
  <c r="Y1068" i="2"/>
  <c r="X1069" i="2"/>
  <c r="AF1069" i="2" s="1"/>
  <c r="Y1069" i="2"/>
  <c r="X1070" i="2"/>
  <c r="Z1070" i="2" s="1"/>
  <c r="Y1070" i="2"/>
  <c r="X1071" i="2"/>
  <c r="Z1071" i="2" s="1"/>
  <c r="Y1071" i="2"/>
  <c r="AF1071" i="2"/>
  <c r="X1072" i="2"/>
  <c r="AC1072" i="2" s="1"/>
  <c r="Y1072" i="2"/>
  <c r="X1073" i="2"/>
  <c r="AF1073" i="2" s="1"/>
  <c r="Y1073" i="2"/>
  <c r="X1074" i="2"/>
  <c r="AF1074" i="2" s="1"/>
  <c r="Y1074" i="2"/>
  <c r="X1075" i="2"/>
  <c r="AA1075" i="2" s="1"/>
  <c r="Y1075" i="2"/>
  <c r="X1076" i="2"/>
  <c r="AC1076" i="2" s="1"/>
  <c r="Y1076" i="2"/>
  <c r="X1077" i="2"/>
  <c r="AF1077" i="2" s="1"/>
  <c r="Y1077" i="2"/>
  <c r="X1078" i="2"/>
  <c r="Z1078" i="2" s="1"/>
  <c r="Y1078" i="2"/>
  <c r="X1079" i="2"/>
  <c r="Z1079" i="2" s="1"/>
  <c r="Y1079" i="2"/>
  <c r="X1080" i="2"/>
  <c r="AC1080" i="2" s="1"/>
  <c r="Y1080" i="2"/>
  <c r="X1081" i="2"/>
  <c r="AF1081" i="2" s="1"/>
  <c r="Y1081" i="2"/>
  <c r="X1082" i="2"/>
  <c r="AF1082" i="2" s="1"/>
  <c r="Y1082" i="2"/>
  <c r="X1083" i="2"/>
  <c r="AC1083" i="2" s="1"/>
  <c r="Y1083" i="2"/>
  <c r="X1084" i="2"/>
  <c r="AC1084" i="2" s="1"/>
  <c r="Y1084" i="2"/>
  <c r="X1085" i="2"/>
  <c r="AF1085" i="2" s="1"/>
  <c r="Y1085" i="2"/>
  <c r="X1086" i="2"/>
  <c r="Z1086" i="2" s="1"/>
  <c r="Y1086" i="2"/>
  <c r="X1087" i="2"/>
  <c r="Z1087" i="2" s="1"/>
  <c r="Y1087" i="2"/>
  <c r="X1088" i="2"/>
  <c r="AC1088" i="2" s="1"/>
  <c r="Y1088" i="2"/>
  <c r="X1089" i="2"/>
  <c r="AF1089" i="2" s="1"/>
  <c r="Y1089" i="2"/>
  <c r="X1090" i="2"/>
  <c r="Y1090" i="2"/>
  <c r="X1091" i="2"/>
  <c r="AC1091" i="2" s="1"/>
  <c r="Y1091" i="2"/>
  <c r="X1092" i="2"/>
  <c r="AC1092" i="2" s="1"/>
  <c r="Y1092" i="2"/>
  <c r="X1093" i="2"/>
  <c r="AF1093" i="2" s="1"/>
  <c r="Y1093" i="2"/>
  <c r="X1094" i="2"/>
  <c r="Z1094" i="2" s="1"/>
  <c r="Y1094" i="2"/>
  <c r="X1095" i="2"/>
  <c r="Z1095" i="2" s="1"/>
  <c r="Y1095" i="2"/>
  <c r="X1096" i="2"/>
  <c r="Y1096" i="2"/>
  <c r="X1097" i="2"/>
  <c r="AF1097" i="2" s="1"/>
  <c r="Y1097" i="2"/>
  <c r="X1098" i="2"/>
  <c r="Z1098" i="2" s="1"/>
  <c r="Y1098" i="2"/>
  <c r="X1099" i="2"/>
  <c r="Y1099" i="2"/>
  <c r="X1100" i="2"/>
  <c r="AC1100" i="2" s="1"/>
  <c r="Y1100" i="2"/>
  <c r="X1101" i="2"/>
  <c r="AF1101" i="2" s="1"/>
  <c r="Y1101" i="2"/>
  <c r="X1102" i="2"/>
  <c r="AF1102" i="2" s="1"/>
  <c r="Y1102" i="2"/>
  <c r="X1103" i="2"/>
  <c r="AC1103" i="2" s="1"/>
  <c r="Y1103" i="2"/>
  <c r="X1104" i="2"/>
  <c r="AC1104" i="2" s="1"/>
  <c r="Y1104" i="2"/>
  <c r="X1105" i="2"/>
  <c r="AF1105" i="2" s="1"/>
  <c r="Y1105" i="2"/>
  <c r="X1106" i="2"/>
  <c r="Z1106" i="2" s="1"/>
  <c r="Y1106" i="2"/>
  <c r="X1107" i="2"/>
  <c r="Z1107" i="2" s="1"/>
  <c r="Y1107" i="2"/>
  <c r="X1108" i="2"/>
  <c r="AC1108" i="2" s="1"/>
  <c r="Y1108" i="2"/>
  <c r="X1109" i="2"/>
  <c r="AF1109" i="2" s="1"/>
  <c r="Y1109" i="2"/>
  <c r="X1110" i="2"/>
  <c r="AF1110" i="2" s="1"/>
  <c r="Y1110" i="2"/>
  <c r="X1111" i="2"/>
  <c r="AA1111" i="2" s="1"/>
  <c r="Y1111" i="2"/>
  <c r="X1112" i="2"/>
  <c r="AC1112" i="2" s="1"/>
  <c r="Y1112" i="2"/>
  <c r="X1113" i="2"/>
  <c r="AF1113" i="2" s="1"/>
  <c r="Y1113" i="2"/>
  <c r="X1114" i="2"/>
  <c r="Z1114" i="2" s="1"/>
  <c r="Y1114" i="2"/>
  <c r="X1115" i="2"/>
  <c r="Z1115" i="2" s="1"/>
  <c r="Y1115" i="2"/>
  <c r="AF1115" i="2"/>
  <c r="X1116" i="2"/>
  <c r="AC1116" i="2" s="1"/>
  <c r="Y1116" i="2"/>
  <c r="X1117" i="2"/>
  <c r="AF1117" i="2" s="1"/>
  <c r="Y1117" i="2"/>
  <c r="X1118" i="2"/>
  <c r="Y1118" i="2"/>
  <c r="X1119" i="2"/>
  <c r="AA1119" i="2" s="1"/>
  <c r="Y1119" i="2"/>
  <c r="X1120" i="2"/>
  <c r="AB1120" i="2" s="1"/>
  <c r="Y1120" i="2"/>
  <c r="X1121" i="2"/>
  <c r="AF1121" i="2" s="1"/>
  <c r="Y1121" i="2"/>
  <c r="X1122" i="2"/>
  <c r="Z1122" i="2" s="1"/>
  <c r="Y1122" i="2"/>
  <c r="X1123" i="2"/>
  <c r="AA1123" i="2" s="1"/>
  <c r="Y1123" i="2"/>
  <c r="Z1123" i="2"/>
  <c r="AC1123" i="2"/>
  <c r="AE1123" i="2"/>
  <c r="X1124" i="2"/>
  <c r="AC1124" i="2" s="1"/>
  <c r="Y1124" i="2"/>
  <c r="X1125" i="2"/>
  <c r="AF1125" i="2" s="1"/>
  <c r="Y1125" i="2"/>
  <c r="X1126" i="2"/>
  <c r="Z1126" i="2" s="1"/>
  <c r="Y1126" i="2"/>
  <c r="AB1126" i="2"/>
  <c r="X1127" i="2"/>
  <c r="Z1127" i="2" s="1"/>
  <c r="Y1127" i="2"/>
  <c r="X1128" i="2"/>
  <c r="AC1128" i="2" s="1"/>
  <c r="Y1128" i="2"/>
  <c r="X1129" i="2"/>
  <c r="AF1129" i="2" s="1"/>
  <c r="Y1129" i="2"/>
  <c r="X1130" i="2"/>
  <c r="Y1130" i="2"/>
  <c r="X1131" i="2"/>
  <c r="Z1131" i="2" s="1"/>
  <c r="Y1131" i="2"/>
  <c r="X1132" i="2"/>
  <c r="AC1132" i="2" s="1"/>
  <c r="Y1132" i="2"/>
  <c r="X1133" i="2"/>
  <c r="AF1133" i="2" s="1"/>
  <c r="Y1133" i="2"/>
  <c r="X1134" i="2"/>
  <c r="Z1134" i="2" s="1"/>
  <c r="Y1134" i="2"/>
  <c r="X1135" i="2"/>
  <c r="Z1135" i="2" s="1"/>
  <c r="Y1135" i="2"/>
  <c r="X1136" i="2"/>
  <c r="AC1136" i="2" s="1"/>
  <c r="Y1136" i="2"/>
  <c r="X1137" i="2"/>
  <c r="AF1137" i="2" s="1"/>
  <c r="Y1137" i="2"/>
  <c r="X1138" i="2"/>
  <c r="AF1138" i="2" s="1"/>
  <c r="Y1138" i="2"/>
  <c r="X1139" i="2"/>
  <c r="AC1139" i="2" s="1"/>
  <c r="Y1139" i="2"/>
  <c r="AB1139" i="2"/>
  <c r="X1140" i="2"/>
  <c r="AC1140" i="2" s="1"/>
  <c r="Y1140" i="2"/>
  <c r="X1141" i="2"/>
  <c r="AF1141" i="2" s="1"/>
  <c r="Y1141" i="2"/>
  <c r="X1142" i="2"/>
  <c r="Z1142" i="2" s="1"/>
  <c r="Y1142" i="2"/>
  <c r="X1143" i="2"/>
  <c r="Z1143" i="2" s="1"/>
  <c r="Y1143" i="2"/>
  <c r="X1144" i="2"/>
  <c r="AC1144" i="2" s="1"/>
  <c r="Y1144" i="2"/>
  <c r="X1145" i="2"/>
  <c r="AF1145" i="2" s="1"/>
  <c r="Y1145" i="2"/>
  <c r="X1146" i="2"/>
  <c r="AF1146" i="2" s="1"/>
  <c r="Y1146" i="2"/>
  <c r="X1147" i="2"/>
  <c r="AC1147" i="2" s="1"/>
  <c r="Y1147" i="2"/>
  <c r="X1148" i="2"/>
  <c r="AC1148" i="2" s="1"/>
  <c r="Y1148" i="2"/>
  <c r="X1149" i="2"/>
  <c r="AF1149" i="2" s="1"/>
  <c r="Y1149" i="2"/>
  <c r="X1150" i="2"/>
  <c r="Z1150" i="2" s="1"/>
  <c r="Y1150" i="2"/>
  <c r="X1151" i="2"/>
  <c r="Z1151" i="2" s="1"/>
  <c r="Y1151" i="2"/>
  <c r="AF1151" i="2"/>
  <c r="X1152" i="2"/>
  <c r="AC1152" i="2" s="1"/>
  <c r="Y1152" i="2"/>
  <c r="AB1152" i="2"/>
  <c r="X1153" i="2"/>
  <c r="AF1153" i="2" s="1"/>
  <c r="Y1153" i="2"/>
  <c r="X1154" i="2"/>
  <c r="AF1154" i="2" s="1"/>
  <c r="Y1154" i="2"/>
  <c r="X1155" i="2"/>
  <c r="AC1155" i="2" s="1"/>
  <c r="Y1155" i="2"/>
  <c r="X1156" i="2"/>
  <c r="AC1156" i="2" s="1"/>
  <c r="Y1156" i="2"/>
  <c r="X1157" i="2"/>
  <c r="AF1157" i="2" s="1"/>
  <c r="Y1157" i="2"/>
  <c r="X1158" i="2"/>
  <c r="Z1158" i="2" s="1"/>
  <c r="Y1158" i="2"/>
  <c r="X1159" i="2"/>
  <c r="AB1159" i="2" s="1"/>
  <c r="Y1159" i="2"/>
  <c r="X1160" i="2"/>
  <c r="AC1160" i="2" s="1"/>
  <c r="Y1160" i="2"/>
  <c r="AE1160" i="2"/>
  <c r="X1161" i="2"/>
  <c r="AF1161" i="2" s="1"/>
  <c r="Y1161" i="2"/>
  <c r="X1162" i="2"/>
  <c r="Z1162" i="2" s="1"/>
  <c r="Y1162" i="2"/>
  <c r="X1163" i="2"/>
  <c r="AC1163" i="2" s="1"/>
  <c r="Y1163" i="2"/>
  <c r="X1164" i="2"/>
  <c r="AB1164" i="2" s="1"/>
  <c r="Y1164" i="2"/>
  <c r="X1165" i="2"/>
  <c r="AF1165" i="2" s="1"/>
  <c r="Y1165" i="2"/>
  <c r="X1166" i="2"/>
  <c r="Z1166" i="2" s="1"/>
  <c r="Y1166" i="2"/>
  <c r="X1167" i="2"/>
  <c r="AB1167" i="2" s="1"/>
  <c r="Y1167" i="2"/>
  <c r="X1168" i="2"/>
  <c r="AC1168" i="2" s="1"/>
  <c r="Y1168" i="2"/>
  <c r="X1169" i="2"/>
  <c r="AF1169" i="2" s="1"/>
  <c r="Y1169" i="2"/>
  <c r="X1170" i="2"/>
  <c r="Z1170" i="2" s="1"/>
  <c r="Y1170" i="2"/>
  <c r="X1171" i="2"/>
  <c r="Z1171" i="2" s="1"/>
  <c r="Y1171" i="2"/>
  <c r="X1172" i="2"/>
  <c r="AC1172" i="2" s="1"/>
  <c r="Y1172" i="2"/>
  <c r="X1173" i="2"/>
  <c r="AF1173" i="2" s="1"/>
  <c r="Y1173" i="2"/>
  <c r="X1174" i="2"/>
  <c r="Y1174" i="2"/>
  <c r="X1175" i="2"/>
  <c r="Z1175" i="2" s="1"/>
  <c r="Y1175" i="2"/>
  <c r="AC1175" i="2"/>
  <c r="X1176" i="2"/>
  <c r="AC1176" i="2" s="1"/>
  <c r="Y1176" i="2"/>
  <c r="X1177" i="2"/>
  <c r="AF1177" i="2" s="1"/>
  <c r="Y1177" i="2"/>
  <c r="X1178" i="2"/>
  <c r="Z1178" i="2" s="1"/>
  <c r="Y1178" i="2"/>
  <c r="X1179" i="2"/>
  <c r="Z1179" i="2" s="1"/>
  <c r="Y1179" i="2"/>
  <c r="X1180" i="2"/>
  <c r="AC1180" i="2" s="1"/>
  <c r="Y1180" i="2"/>
  <c r="X1181" i="2"/>
  <c r="AF1181" i="2" s="1"/>
  <c r="Y1181" i="2"/>
  <c r="X1182" i="2"/>
  <c r="Y1182" i="2"/>
  <c r="X1183" i="2"/>
  <c r="AC1183" i="2" s="1"/>
  <c r="Y1183" i="2"/>
  <c r="AF1183" i="2"/>
  <c r="X1184" i="2"/>
  <c r="AC1184" i="2" s="1"/>
  <c r="Y1184" i="2"/>
  <c r="X1185" i="2"/>
  <c r="AF1185" i="2" s="1"/>
  <c r="Y1185" i="2"/>
  <c r="X1186" i="2"/>
  <c r="Z1186" i="2" s="1"/>
  <c r="Y1186" i="2"/>
  <c r="AC1186" i="2"/>
  <c r="X1187" i="2"/>
  <c r="Z1187" i="2" s="1"/>
  <c r="Y1187" i="2"/>
  <c r="X1188" i="2"/>
  <c r="AC1188" i="2" s="1"/>
  <c r="Y1188" i="2"/>
  <c r="X1189" i="2"/>
  <c r="AF1189" i="2" s="1"/>
  <c r="Y1189" i="2"/>
  <c r="X1190" i="2"/>
  <c r="AF1190" i="2" s="1"/>
  <c r="Y1190" i="2"/>
  <c r="X1191" i="2"/>
  <c r="AC1191" i="2" s="1"/>
  <c r="Y1191" i="2"/>
  <c r="X1192" i="2"/>
  <c r="AC1192" i="2" s="1"/>
  <c r="Y1192" i="2"/>
  <c r="X1193" i="2"/>
  <c r="Y1193" i="2"/>
  <c r="X1194" i="2"/>
  <c r="Y1194" i="2"/>
  <c r="X1195" i="2"/>
  <c r="AC1195" i="2" s="1"/>
  <c r="Y1195" i="2"/>
  <c r="X1196" i="2"/>
  <c r="AC1196" i="2" s="1"/>
  <c r="Y1196" i="2"/>
  <c r="X1197" i="2"/>
  <c r="Y1197" i="2"/>
  <c r="X1198" i="2"/>
  <c r="Y1198" i="2"/>
  <c r="X1199" i="2"/>
  <c r="AC1199" i="2" s="1"/>
  <c r="Y1199" i="2"/>
  <c r="Z1199" i="2"/>
  <c r="AF1199" i="2"/>
  <c r="X1200" i="2"/>
  <c r="AC1200" i="2" s="1"/>
  <c r="Y1200" i="2"/>
  <c r="X1201" i="2"/>
  <c r="Y1201" i="2"/>
  <c r="X1202" i="2"/>
  <c r="AF1202" i="2" s="1"/>
  <c r="Y1202" i="2"/>
  <c r="X1203" i="2"/>
  <c r="AA1203" i="2" s="1"/>
  <c r="Y1203" i="2"/>
  <c r="X1204" i="2"/>
  <c r="AC1204" i="2" s="1"/>
  <c r="Y1204" i="2"/>
  <c r="X1205" i="2"/>
  <c r="AE1205" i="2" s="1"/>
  <c r="Y1205" i="2"/>
  <c r="X1206" i="2"/>
  <c r="AF1206" i="2" s="1"/>
  <c r="Y1206" i="2"/>
  <c r="X1207" i="2"/>
  <c r="AC1207" i="2" s="1"/>
  <c r="Y1207" i="2"/>
  <c r="X1208" i="2"/>
  <c r="AC1208" i="2" s="1"/>
  <c r="Y1208" i="2"/>
  <c r="X1209" i="2"/>
  <c r="AC1209" i="2" s="1"/>
  <c r="Y1209" i="2"/>
  <c r="X1210" i="2"/>
  <c r="AC1210" i="2" s="1"/>
  <c r="Y1210" i="2"/>
  <c r="X1211" i="2"/>
  <c r="AC1211" i="2" s="1"/>
  <c r="Y1211" i="2"/>
  <c r="X1212" i="2"/>
  <c r="AB1212" i="2" s="1"/>
  <c r="Y1212" i="2"/>
  <c r="X1213" i="2"/>
  <c r="AE1213" i="2" s="1"/>
  <c r="Y1213" i="2"/>
  <c r="X1214" i="2"/>
  <c r="AC1214" i="2" s="1"/>
  <c r="Y1214" i="2"/>
  <c r="X1215" i="2"/>
  <c r="AB1215" i="2" s="1"/>
  <c r="Y1215" i="2"/>
  <c r="X1216" i="2"/>
  <c r="AD1216" i="2" s="1"/>
  <c r="Y1216" i="2"/>
  <c r="X1217" i="2"/>
  <c r="AF1217" i="2" s="1"/>
  <c r="Y1217" i="2"/>
  <c r="X1218" i="2"/>
  <c r="Z1218" i="2" s="1"/>
  <c r="Y1218" i="2"/>
  <c r="X1219" i="2"/>
  <c r="AC1219" i="2" s="1"/>
  <c r="Y1219" i="2"/>
  <c r="X1220" i="2"/>
  <c r="Z1220" i="2" s="1"/>
  <c r="Y1220" i="2"/>
  <c r="X1221" i="2"/>
  <c r="AC1221" i="2" s="1"/>
  <c r="Y1221" i="2"/>
  <c r="X1222" i="2"/>
  <c r="AC1222" i="2" s="1"/>
  <c r="Y1222" i="2"/>
  <c r="X1223" i="2"/>
  <c r="AC1223" i="2" s="1"/>
  <c r="Y1223" i="2"/>
  <c r="X1224" i="2"/>
  <c r="AB1224" i="2" s="1"/>
  <c r="Y1224" i="2"/>
  <c r="X1225" i="2"/>
  <c r="AC1225" i="2" s="1"/>
  <c r="Y1225" i="2"/>
  <c r="X1226" i="2"/>
  <c r="AC1226" i="2" s="1"/>
  <c r="Y1226" i="2"/>
  <c r="X1227" i="2"/>
  <c r="Z1227" i="2" s="1"/>
  <c r="Y1227" i="2"/>
  <c r="X1228" i="2"/>
  <c r="AB1228" i="2" s="1"/>
  <c r="Y1228" i="2"/>
  <c r="X1229" i="2"/>
  <c r="AA1229" i="2" s="1"/>
  <c r="Y1229" i="2"/>
  <c r="X1230" i="2"/>
  <c r="AD1230" i="2" s="1"/>
  <c r="Y1230" i="2"/>
  <c r="X1231" i="2"/>
  <c r="AC1231" i="2" s="1"/>
  <c r="Y1231" i="2"/>
  <c r="Z1231" i="2"/>
  <c r="X1232" i="2"/>
  <c r="AA1232" i="2" s="1"/>
  <c r="Y1232" i="2"/>
  <c r="AE1232" i="2"/>
  <c r="X1233" i="2"/>
  <c r="AC1233" i="2" s="1"/>
  <c r="Y1233" i="2"/>
  <c r="X1234" i="2"/>
  <c r="AD1234" i="2" s="1"/>
  <c r="Y1234" i="2"/>
  <c r="X1235" i="2"/>
  <c r="AC1235" i="2" s="1"/>
  <c r="Y1235" i="2"/>
  <c r="X1236" i="2"/>
  <c r="AD1236" i="2" s="1"/>
  <c r="Y1236" i="2"/>
  <c r="X1237" i="2"/>
  <c r="Y1237" i="2"/>
  <c r="X1238" i="2"/>
  <c r="Y1238" i="2"/>
  <c r="X1239" i="2"/>
  <c r="AA1239" i="2" s="1"/>
  <c r="Y1239" i="2"/>
  <c r="X1240" i="2"/>
  <c r="AC1240" i="2" s="1"/>
  <c r="Y1240" i="2"/>
  <c r="X1241" i="2"/>
  <c r="AB1241" i="2" s="1"/>
  <c r="Y1241" i="2"/>
  <c r="X1242" i="2"/>
  <c r="Z1242" i="2" s="1"/>
  <c r="Y1242" i="2"/>
  <c r="X1243" i="2"/>
  <c r="AA1243" i="2" s="1"/>
  <c r="Y1243" i="2"/>
  <c r="X1244" i="2"/>
  <c r="AC1244" i="2" s="1"/>
  <c r="Y1244" i="2"/>
  <c r="X1245" i="2"/>
  <c r="AB1245" i="2" s="1"/>
  <c r="Y1245" i="2"/>
  <c r="X1246" i="2"/>
  <c r="Z1246" i="2" s="1"/>
  <c r="Y1246" i="2"/>
  <c r="X1247" i="2"/>
  <c r="AC1247" i="2" s="1"/>
  <c r="Y1247" i="2"/>
  <c r="X1248" i="2"/>
  <c r="Z1248" i="2" s="1"/>
  <c r="Y1248" i="2"/>
  <c r="X1249" i="2"/>
  <c r="AF1249" i="2" s="1"/>
  <c r="Y1249" i="2"/>
  <c r="X1250" i="2"/>
  <c r="Z1250" i="2" s="1"/>
  <c r="Y1250" i="2"/>
  <c r="X1251" i="2"/>
  <c r="AA1251" i="2" s="1"/>
  <c r="Y1251" i="2"/>
  <c r="X1252" i="2"/>
  <c r="AC1252" i="2" s="1"/>
  <c r="Y1252" i="2"/>
  <c r="X1253" i="2"/>
  <c r="Y1253" i="2"/>
  <c r="X1254" i="2"/>
  <c r="Z1254" i="2" s="1"/>
  <c r="Y1254" i="2"/>
  <c r="X1255" i="2"/>
  <c r="AA1255" i="2" s="1"/>
  <c r="Y1255" i="2"/>
  <c r="X1256" i="2"/>
  <c r="AC1256" i="2" s="1"/>
  <c r="Y1256" i="2"/>
  <c r="X1257" i="2"/>
  <c r="AB1257" i="2" s="1"/>
  <c r="Y1257" i="2"/>
  <c r="X1258" i="2"/>
  <c r="Z1258" i="2" s="1"/>
  <c r="Y1258" i="2"/>
  <c r="X1259" i="2"/>
  <c r="AA1259" i="2" s="1"/>
  <c r="Y1259" i="2"/>
  <c r="X1260" i="2"/>
  <c r="AC1260" i="2" s="1"/>
  <c r="Y1260" i="2"/>
  <c r="X1261" i="2"/>
  <c r="AB1261" i="2" s="1"/>
  <c r="Y1261" i="2"/>
  <c r="X1262" i="2"/>
  <c r="Z1262" i="2" s="1"/>
  <c r="Y1262" i="2"/>
  <c r="X1263" i="2"/>
  <c r="AC1263" i="2" s="1"/>
  <c r="Y1263" i="2"/>
  <c r="X1264" i="2"/>
  <c r="Z1264" i="2" s="1"/>
  <c r="Y1264" i="2"/>
  <c r="X1265" i="2"/>
  <c r="AF1265" i="2" s="1"/>
  <c r="Y1265" i="2"/>
  <c r="X1266" i="2"/>
  <c r="Z1266" i="2" s="1"/>
  <c r="Y1266" i="2"/>
  <c r="X1267" i="2"/>
  <c r="AA1267" i="2" s="1"/>
  <c r="Y1267" i="2"/>
  <c r="X1268" i="2"/>
  <c r="AC1268" i="2" s="1"/>
  <c r="Y1268" i="2"/>
  <c r="X1269" i="2"/>
  <c r="Y1269" i="2"/>
  <c r="X1270" i="2"/>
  <c r="Z1270" i="2" s="1"/>
  <c r="Y1270" i="2"/>
  <c r="X1271" i="2"/>
  <c r="AA1271" i="2" s="1"/>
  <c r="Y1271" i="2"/>
  <c r="X1272" i="2"/>
  <c r="AC1272" i="2" s="1"/>
  <c r="Y1272" i="2"/>
  <c r="X1273" i="2"/>
  <c r="AB1273" i="2" s="1"/>
  <c r="Y1273" i="2"/>
  <c r="X1274" i="2"/>
  <c r="Z1274" i="2" s="1"/>
  <c r="Y1274" i="2"/>
  <c r="X1275" i="2"/>
  <c r="AA1275" i="2" s="1"/>
  <c r="Y1275" i="2"/>
  <c r="X1276" i="2"/>
  <c r="AC1276" i="2" s="1"/>
  <c r="Y1276" i="2"/>
  <c r="X1277" i="2"/>
  <c r="AB1277" i="2" s="1"/>
  <c r="Y1277" i="2"/>
  <c r="X1278" i="2"/>
  <c r="Z1278" i="2" s="1"/>
  <c r="Y1278" i="2"/>
  <c r="X1279" i="2"/>
  <c r="AC1279" i="2" s="1"/>
  <c r="Y1279" i="2"/>
  <c r="X1280" i="2"/>
  <c r="Z1280" i="2" s="1"/>
  <c r="Y1280" i="2"/>
  <c r="X1281" i="2"/>
  <c r="AF1281" i="2" s="1"/>
  <c r="Y1281" i="2"/>
  <c r="X1282" i="2"/>
  <c r="Z1282" i="2" s="1"/>
  <c r="Y1282" i="2"/>
  <c r="X1283" i="2"/>
  <c r="AA1283" i="2" s="1"/>
  <c r="Y1283" i="2"/>
  <c r="X1284" i="2"/>
  <c r="AC1284" i="2" s="1"/>
  <c r="Y1284" i="2"/>
  <c r="X1285" i="2"/>
  <c r="Y1285" i="2"/>
  <c r="X1286" i="2"/>
  <c r="Z1286" i="2" s="1"/>
  <c r="Y1286" i="2"/>
  <c r="X1287" i="2"/>
  <c r="AA1287" i="2" s="1"/>
  <c r="Y1287" i="2"/>
  <c r="X1288" i="2"/>
  <c r="Z1288" i="2" s="1"/>
  <c r="Y1288" i="2"/>
  <c r="X1289" i="2"/>
  <c r="AB1289" i="2" s="1"/>
  <c r="Y1289" i="2"/>
  <c r="X1290" i="2"/>
  <c r="Z1290" i="2" s="1"/>
  <c r="Y1290" i="2"/>
  <c r="X1291" i="2"/>
  <c r="Y1291" i="2"/>
  <c r="X1292" i="2"/>
  <c r="AB1292" i="2" s="1"/>
  <c r="Y1292" i="2"/>
  <c r="X1293" i="2"/>
  <c r="AB1293" i="2" s="1"/>
  <c r="Y1293" i="2"/>
  <c r="X1294" i="2"/>
  <c r="Z1294" i="2" s="1"/>
  <c r="Y1294" i="2"/>
  <c r="X1295" i="2"/>
  <c r="AA1295" i="2" s="1"/>
  <c r="Y1295" i="2"/>
  <c r="X1296" i="2"/>
  <c r="AC1296" i="2" s="1"/>
  <c r="Y1296" i="2"/>
  <c r="X1297" i="2"/>
  <c r="AB1297" i="2" s="1"/>
  <c r="Y1297" i="2"/>
  <c r="X1298" i="2"/>
  <c r="Z1298" i="2" s="1"/>
  <c r="Y1298" i="2"/>
  <c r="X1299" i="2"/>
  <c r="AA1299" i="2" s="1"/>
  <c r="Y1299" i="2"/>
  <c r="X1300" i="2"/>
  <c r="AC1300" i="2" s="1"/>
  <c r="Y1300" i="2"/>
  <c r="X1301" i="2"/>
  <c r="AF1301" i="2" s="1"/>
  <c r="Y1301" i="2"/>
  <c r="X1302" i="2"/>
  <c r="Z1302" i="2" s="1"/>
  <c r="Y1302" i="2"/>
  <c r="X1303" i="2"/>
  <c r="AA1303" i="2" s="1"/>
  <c r="Y1303" i="2"/>
  <c r="X1304" i="2"/>
  <c r="AC1304" i="2" s="1"/>
  <c r="Y1304" i="2"/>
  <c r="X1305" i="2"/>
  <c r="AB1305" i="2" s="1"/>
  <c r="Y1305" i="2"/>
  <c r="X1306" i="2"/>
  <c r="AF1306" i="2" s="1"/>
  <c r="Y1306" i="2"/>
  <c r="X1307" i="2"/>
  <c r="AA1307" i="2" s="1"/>
  <c r="Y1307" i="2"/>
  <c r="X1308" i="2"/>
  <c r="Z1308" i="2" s="1"/>
  <c r="Y1308" i="2"/>
  <c r="X1309" i="2"/>
  <c r="AB1309" i="2" s="1"/>
  <c r="Y1309" i="2"/>
  <c r="X1310" i="2"/>
  <c r="Y1310" i="2"/>
  <c r="X1311" i="2"/>
  <c r="AA1311" i="2" s="1"/>
  <c r="Y1311" i="2"/>
  <c r="X1312" i="2"/>
  <c r="Z1312" i="2" s="1"/>
  <c r="Y1312" i="2"/>
  <c r="X1313" i="2"/>
  <c r="AB1313" i="2" s="1"/>
  <c r="Y1313" i="2"/>
  <c r="X1314" i="2"/>
  <c r="Z1314" i="2" s="1"/>
  <c r="Y1314" i="2"/>
  <c r="AF1314" i="2"/>
  <c r="X1315" i="2"/>
  <c r="AA1315" i="2" s="1"/>
  <c r="Y1315" i="2"/>
  <c r="X1316" i="2"/>
  <c r="Y1316" i="2"/>
  <c r="X1317" i="2"/>
  <c r="AB1317" i="2" s="1"/>
  <c r="Y1317" i="2"/>
  <c r="X1318" i="2"/>
  <c r="Z1318" i="2" s="1"/>
  <c r="Y1318" i="2"/>
  <c r="X1319" i="2"/>
  <c r="AA1319" i="2" s="1"/>
  <c r="Y1319" i="2"/>
  <c r="X1320" i="2"/>
  <c r="AB1320" i="2" s="1"/>
  <c r="Y1320" i="2"/>
  <c r="X1321" i="2"/>
  <c r="AB1321" i="2" s="1"/>
  <c r="Y1321" i="2"/>
  <c r="X1322" i="2"/>
  <c r="Z1322" i="2" s="1"/>
  <c r="Y1322" i="2"/>
  <c r="X1323" i="2"/>
  <c r="AC1323" i="2" s="1"/>
  <c r="Y1323" i="2"/>
  <c r="X1324" i="2"/>
  <c r="AC1324" i="2" s="1"/>
  <c r="Y1324" i="2"/>
  <c r="X1325" i="2"/>
  <c r="Y1325" i="2"/>
  <c r="X1326" i="2"/>
  <c r="Z1326" i="2" s="1"/>
  <c r="Y1326" i="2"/>
  <c r="X1327" i="2"/>
  <c r="AC1327" i="2" s="1"/>
  <c r="Y1327" i="2"/>
  <c r="X1328" i="2"/>
  <c r="AC1328" i="2" s="1"/>
  <c r="Y1328" i="2"/>
  <c r="X1329" i="2"/>
  <c r="AB1329" i="2" s="1"/>
  <c r="Y1329" i="2"/>
  <c r="X1330" i="2"/>
  <c r="Z1330" i="2" s="1"/>
  <c r="Y1330" i="2"/>
  <c r="X1331" i="2"/>
  <c r="AA1331" i="2" s="1"/>
  <c r="Y1331" i="2"/>
  <c r="X1332" i="2"/>
  <c r="AC1332" i="2" s="1"/>
  <c r="Y1332" i="2"/>
  <c r="X1333" i="2"/>
  <c r="AF1333" i="2" s="1"/>
  <c r="Y1333" i="2"/>
  <c r="X1334" i="2"/>
  <c r="Z1334" i="2" s="1"/>
  <c r="Y1334" i="2"/>
  <c r="X1335" i="2"/>
  <c r="AA1335" i="2" s="1"/>
  <c r="Y1335" i="2"/>
  <c r="AC1335" i="2"/>
  <c r="X1336" i="2"/>
  <c r="AB1336" i="2" s="1"/>
  <c r="Y1336" i="2"/>
  <c r="X1337" i="2"/>
  <c r="AB1337" i="2" s="1"/>
  <c r="Y1337" i="2"/>
  <c r="X1338" i="2"/>
  <c r="AF1338" i="2" s="1"/>
  <c r="Y1338" i="2"/>
  <c r="X1339" i="2"/>
  <c r="AA1339" i="2" s="1"/>
  <c r="Y1339" i="2"/>
  <c r="X1340" i="2"/>
  <c r="AF1340" i="2" s="1"/>
  <c r="Y1340" i="2"/>
  <c r="X1341" i="2"/>
  <c r="AF1341" i="2" s="1"/>
  <c r="Y1341" i="2"/>
  <c r="X1342" i="2"/>
  <c r="Y1342" i="2"/>
  <c r="X1343" i="2"/>
  <c r="AA1343" i="2" s="1"/>
  <c r="Y1343" i="2"/>
  <c r="X1344" i="2"/>
  <c r="AF1344" i="2" s="1"/>
  <c r="Y1344" i="2"/>
  <c r="X1345" i="2"/>
  <c r="AB1345" i="2" s="1"/>
  <c r="Y1345" i="2"/>
  <c r="X1346" i="2"/>
  <c r="Z1346" i="2" s="1"/>
  <c r="Y1346" i="2"/>
  <c r="X1347" i="2"/>
  <c r="AA1347" i="2" s="1"/>
  <c r="Y1347" i="2"/>
  <c r="AC1347" i="2"/>
  <c r="X1348" i="2"/>
  <c r="Y1348" i="2"/>
  <c r="X1349" i="2"/>
  <c r="AB1349" i="2" s="1"/>
  <c r="Y1349" i="2"/>
  <c r="X1350" i="2"/>
  <c r="Z1350" i="2" s="1"/>
  <c r="Y1350" i="2"/>
  <c r="AB1350" i="2"/>
  <c r="X1351" i="2"/>
  <c r="AA1351" i="2" s="1"/>
  <c r="Y1351" i="2"/>
  <c r="X1352" i="2"/>
  <c r="AB1352" i="2" s="1"/>
  <c r="Y1352" i="2"/>
  <c r="X1353" i="2"/>
  <c r="AB1353" i="2" s="1"/>
  <c r="Y1353" i="2"/>
  <c r="X1354" i="2"/>
  <c r="Z1354" i="2" s="1"/>
  <c r="Y1354" i="2"/>
  <c r="X1355" i="2"/>
  <c r="AC1355" i="2" s="1"/>
  <c r="Y1355" i="2"/>
  <c r="X1356" i="2"/>
  <c r="AC1356" i="2" s="1"/>
  <c r="Y1356" i="2"/>
  <c r="AB1356" i="2"/>
  <c r="X1357" i="2"/>
  <c r="AF1357" i="2" s="1"/>
  <c r="Y1357" i="2"/>
  <c r="X1358" i="2"/>
  <c r="AF1358" i="2" s="1"/>
  <c r="Y1358" i="2"/>
  <c r="X1359" i="2"/>
  <c r="AC1359" i="2" s="1"/>
  <c r="Y1359" i="2"/>
  <c r="X1360" i="2"/>
  <c r="AC1360" i="2" s="1"/>
  <c r="Y1360" i="2"/>
  <c r="X1361" i="2"/>
  <c r="AB1361" i="2" s="1"/>
  <c r="Y1361" i="2"/>
  <c r="X1362" i="2"/>
  <c r="Z1362" i="2" s="1"/>
  <c r="Y1362" i="2"/>
  <c r="X1363" i="2"/>
  <c r="Y1363" i="2"/>
  <c r="X1364" i="2"/>
  <c r="AF1364" i="2" s="1"/>
  <c r="Y1364" i="2"/>
  <c r="X1365" i="2"/>
  <c r="Y1365" i="2"/>
  <c r="X1366" i="2"/>
  <c r="AF1366" i="2" s="1"/>
  <c r="Y1366" i="2"/>
  <c r="X1367" i="2"/>
  <c r="AA1367" i="2" s="1"/>
  <c r="Y1367" i="2"/>
  <c r="X1368" i="2"/>
  <c r="Y1368" i="2"/>
  <c r="X1369" i="2"/>
  <c r="AB1369" i="2" s="1"/>
  <c r="Y1369" i="2"/>
  <c r="X1370" i="2"/>
  <c r="Z1370" i="2" s="1"/>
  <c r="Y1370" i="2"/>
  <c r="X1371" i="2"/>
  <c r="Y1371" i="2"/>
  <c r="X1372" i="2"/>
  <c r="Z1372" i="2" s="1"/>
  <c r="Y1372" i="2"/>
  <c r="X1373" i="2"/>
  <c r="Y1373" i="2"/>
  <c r="X1374" i="2"/>
  <c r="Z1374" i="2" s="1"/>
  <c r="Y1374" i="2"/>
  <c r="X1375" i="2"/>
  <c r="AA1375" i="2" s="1"/>
  <c r="Y1375" i="2"/>
  <c r="X1376" i="2"/>
  <c r="Z1376" i="2" s="1"/>
  <c r="Y1376" i="2"/>
  <c r="X1377" i="2"/>
  <c r="AB1377" i="2" s="1"/>
  <c r="Y1377" i="2"/>
  <c r="X1378" i="2"/>
  <c r="Z1378" i="2" s="1"/>
  <c r="Y1378" i="2"/>
  <c r="X1379" i="2"/>
  <c r="AA1379" i="2" s="1"/>
  <c r="Y1379" i="2"/>
  <c r="X1380" i="2"/>
  <c r="AC1380" i="2" s="1"/>
  <c r="Y1380" i="2"/>
  <c r="X1381" i="2"/>
  <c r="AB1381" i="2" s="1"/>
  <c r="Y1381" i="2"/>
  <c r="X1382" i="2"/>
  <c r="Z1382" i="2" s="1"/>
  <c r="Y1382" i="2"/>
  <c r="X1383" i="2"/>
  <c r="AA1383" i="2" s="1"/>
  <c r="Y1383" i="2"/>
  <c r="X1384" i="2"/>
  <c r="AC1384" i="2" s="1"/>
  <c r="Y1384" i="2"/>
  <c r="X1385" i="2"/>
  <c r="AF1385" i="2" s="1"/>
  <c r="Y1385" i="2"/>
  <c r="X1386" i="2"/>
  <c r="Z1386" i="2" s="1"/>
  <c r="Y1386" i="2"/>
  <c r="X1387" i="2"/>
  <c r="AA1387" i="2" s="1"/>
  <c r="Y1387" i="2"/>
  <c r="X1388" i="2"/>
  <c r="AC1388" i="2" s="1"/>
  <c r="Y1388" i="2"/>
  <c r="X1389" i="2"/>
  <c r="Y1389" i="2"/>
  <c r="X1390" i="2"/>
  <c r="AF1390" i="2" s="1"/>
  <c r="Y1390" i="2"/>
  <c r="X1391" i="2"/>
  <c r="AA1391" i="2" s="1"/>
  <c r="Y1391" i="2"/>
  <c r="X1392" i="2"/>
  <c r="Y1392" i="2"/>
  <c r="X1393" i="2"/>
  <c r="AB1393" i="2" s="1"/>
  <c r="Y1393" i="2"/>
  <c r="X1394" i="2"/>
  <c r="Z1394" i="2" s="1"/>
  <c r="Y1394" i="2"/>
  <c r="X1395" i="2"/>
  <c r="Y1395" i="2"/>
  <c r="X1396" i="2"/>
  <c r="Z1396" i="2" s="1"/>
  <c r="Y1396" i="2"/>
  <c r="X1397" i="2"/>
  <c r="AB1397" i="2" s="1"/>
  <c r="Y1397" i="2"/>
  <c r="X1398" i="2"/>
  <c r="Z1398" i="2" s="1"/>
  <c r="Y1398" i="2"/>
  <c r="X1399" i="2"/>
  <c r="AC1399" i="2" s="1"/>
  <c r="Y1399" i="2"/>
  <c r="X1400" i="2"/>
  <c r="Y1400" i="2"/>
  <c r="X1401" i="2"/>
  <c r="AF1401" i="2" s="1"/>
  <c r="Y1401" i="2"/>
  <c r="X1402" i="2"/>
  <c r="Z1402" i="2" s="1"/>
  <c r="Y1402" i="2"/>
  <c r="X1403" i="2"/>
  <c r="Y1403" i="2"/>
  <c r="X1404" i="2"/>
  <c r="AB1404" i="2" s="1"/>
  <c r="Y1404" i="2"/>
  <c r="X1405" i="2"/>
  <c r="Y1405" i="2"/>
  <c r="X1406" i="2"/>
  <c r="Z1406" i="2" s="1"/>
  <c r="Y1406" i="2"/>
  <c r="X1407" i="2"/>
  <c r="AC1407" i="2" s="1"/>
  <c r="Y1407" i="2"/>
  <c r="X1408" i="2"/>
  <c r="Z1408" i="2" s="1"/>
  <c r="Y1408" i="2"/>
  <c r="X1409" i="2"/>
  <c r="AB1409" i="2" s="1"/>
  <c r="Y1409" i="2"/>
  <c r="X1410" i="2"/>
  <c r="Z1410" i="2" s="1"/>
  <c r="Y1410" i="2"/>
  <c r="X1411" i="2"/>
  <c r="Y1411" i="2"/>
  <c r="X1412" i="2"/>
  <c r="AC1412" i="2" s="1"/>
  <c r="Y1412" i="2"/>
  <c r="X1413" i="2"/>
  <c r="Y1413" i="2"/>
  <c r="X1414" i="2"/>
  <c r="AF1414" i="2" s="1"/>
  <c r="Y1414" i="2"/>
  <c r="X1415" i="2"/>
  <c r="AB1415" i="2" s="1"/>
  <c r="Y1415" i="2"/>
  <c r="X1416" i="2"/>
  <c r="AB1416" i="2" s="1"/>
  <c r="Y1416" i="2"/>
  <c r="X1417" i="2"/>
  <c r="Y1417" i="2"/>
  <c r="X1418" i="2"/>
  <c r="Z1418" i="2" s="1"/>
  <c r="Y1418" i="2"/>
  <c r="X1419" i="2"/>
  <c r="Y1419" i="2"/>
  <c r="X1420" i="2"/>
  <c r="Z1420" i="2" s="1"/>
  <c r="Y1420" i="2"/>
  <c r="X1421" i="2"/>
  <c r="Y1421" i="2"/>
  <c r="X1422" i="2"/>
  <c r="Y1422" i="2"/>
  <c r="X1423" i="2"/>
  <c r="AA1423" i="2" s="1"/>
  <c r="Y1423" i="2"/>
  <c r="X1424" i="2"/>
  <c r="AC1424" i="2" s="1"/>
  <c r="Y1424" i="2"/>
  <c r="X1425" i="2"/>
  <c r="AB1425" i="2" s="1"/>
  <c r="Y1425" i="2"/>
  <c r="X1426" i="2"/>
  <c r="Z1426" i="2" s="1"/>
  <c r="Y1426" i="2"/>
  <c r="X1427" i="2"/>
  <c r="Z1427" i="2" s="1"/>
  <c r="Y1427" i="2"/>
  <c r="X1428" i="2"/>
  <c r="AC1428" i="2" s="1"/>
  <c r="Y1428" i="2"/>
  <c r="AD1428" i="2"/>
  <c r="X1429" i="2"/>
  <c r="AF1429" i="2" s="1"/>
  <c r="Y1429" i="2"/>
  <c r="X1430" i="2"/>
  <c r="Y1430" i="2"/>
  <c r="X1431" i="2"/>
  <c r="AD1431" i="2" s="1"/>
  <c r="Y1431" i="2"/>
  <c r="X1432" i="2"/>
  <c r="Z1432" i="2" s="1"/>
  <c r="Y1432" i="2"/>
  <c r="X1433" i="2"/>
  <c r="AF1433" i="2" s="1"/>
  <c r="Y1433" i="2"/>
  <c r="X1434" i="2"/>
  <c r="Z1434" i="2" s="1"/>
  <c r="Y1434" i="2"/>
  <c r="X1435" i="2"/>
  <c r="Z1435" i="2" s="1"/>
  <c r="Y1435" i="2"/>
  <c r="X1436" i="2"/>
  <c r="AB1436" i="2" s="1"/>
  <c r="Y1436" i="2"/>
  <c r="X1437" i="2"/>
  <c r="Y1437" i="2"/>
  <c r="X1438" i="2"/>
  <c r="AF1438" i="2" s="1"/>
  <c r="Y1438" i="2"/>
  <c r="X1439" i="2"/>
  <c r="AA1439" i="2" s="1"/>
  <c r="Y1439" i="2"/>
  <c r="X1440" i="2"/>
  <c r="AC1440" i="2" s="1"/>
  <c r="Y1440" i="2"/>
  <c r="X1441" i="2"/>
  <c r="AB1441" i="2" s="1"/>
  <c r="Y1441" i="2"/>
  <c r="X1442" i="2"/>
  <c r="Y1442" i="2"/>
  <c r="X1443" i="2"/>
  <c r="AA1443" i="2" s="1"/>
  <c r="Y1443" i="2"/>
  <c r="X1444" i="2"/>
  <c r="AA1444" i="2" s="1"/>
  <c r="Y1444" i="2"/>
  <c r="X1445" i="2"/>
  <c r="AB1445" i="2" s="1"/>
  <c r="Y1445" i="2"/>
  <c r="X1446" i="2"/>
  <c r="Z1446" i="2" s="1"/>
  <c r="Y1446" i="2"/>
  <c r="X1447" i="2"/>
  <c r="AA1447" i="2" s="1"/>
  <c r="Y1447" i="2"/>
  <c r="X1448" i="2"/>
  <c r="Y1448" i="2"/>
  <c r="X1449" i="2"/>
  <c r="Y1449" i="2"/>
  <c r="X1450" i="2"/>
  <c r="Z1450" i="2" s="1"/>
  <c r="Y1450" i="2"/>
  <c r="X1451" i="2"/>
  <c r="AA1451" i="2" s="1"/>
  <c r="Y1451" i="2"/>
  <c r="X1452" i="2"/>
  <c r="AA1452" i="2" s="1"/>
  <c r="Y1452" i="2"/>
  <c r="X1453" i="2"/>
  <c r="AB1453" i="2" s="1"/>
  <c r="Y1453" i="2"/>
  <c r="X1454" i="2"/>
  <c r="Y1454" i="2"/>
  <c r="X1455" i="2"/>
  <c r="AA1455" i="2" s="1"/>
  <c r="Y1455" i="2"/>
  <c r="X1456" i="2"/>
  <c r="Z1456" i="2" s="1"/>
  <c r="Y1456" i="2"/>
  <c r="X1457" i="2"/>
  <c r="AF1457" i="2" s="1"/>
  <c r="Y1457" i="2"/>
  <c r="X1458" i="2"/>
  <c r="AC1458" i="2" s="1"/>
  <c r="Y1458" i="2"/>
  <c r="X1459" i="2"/>
  <c r="AA1459" i="2" s="1"/>
  <c r="Y1459" i="2"/>
  <c r="X1460" i="2"/>
  <c r="AA1460" i="2" s="1"/>
  <c r="Y1460" i="2"/>
  <c r="AG1460" i="2"/>
  <c r="X1461" i="2"/>
  <c r="AE1461" i="2" s="1"/>
  <c r="Y1461" i="2"/>
  <c r="X1462" i="2"/>
  <c r="AB1462" i="2" s="1"/>
  <c r="Y1462" i="2"/>
  <c r="X1463" i="2"/>
  <c r="AC1463" i="2" s="1"/>
  <c r="Y1463" i="2"/>
  <c r="X1464" i="2"/>
  <c r="AA1464" i="2" s="1"/>
  <c r="Y1464" i="2"/>
  <c r="X1465" i="2"/>
  <c r="AA1465" i="2" s="1"/>
  <c r="Y1465" i="2"/>
  <c r="X1466" i="2"/>
  <c r="Y1466" i="2"/>
  <c r="X1467" i="2"/>
  <c r="Z1467" i="2" s="1"/>
  <c r="Y1467" i="2"/>
  <c r="X1468" i="2"/>
  <c r="AC1468" i="2" s="1"/>
  <c r="Y1468" i="2"/>
  <c r="X1469" i="2"/>
  <c r="Z1469" i="2" s="1"/>
  <c r="Y1469" i="2"/>
  <c r="X1470" i="2"/>
  <c r="AA1470" i="2" s="1"/>
  <c r="Y1470" i="2"/>
  <c r="X1471" i="2"/>
  <c r="Y1471" i="2"/>
  <c r="X1472" i="2"/>
  <c r="AB1472" i="2" s="1"/>
  <c r="Y1472" i="2"/>
  <c r="X1473" i="2"/>
  <c r="Z1473" i="2" s="1"/>
  <c r="Y1473" i="2"/>
  <c r="X1474" i="2"/>
  <c r="AE1474" i="2" s="1"/>
  <c r="Y1474" i="2"/>
  <c r="X1475" i="2"/>
  <c r="AD1475" i="2" s="1"/>
  <c r="Y1475" i="2"/>
  <c r="X1476" i="2"/>
  <c r="AA1476" i="2" s="1"/>
  <c r="Y1476" i="2"/>
  <c r="X1477" i="2"/>
  <c r="AB1477" i="2" s="1"/>
  <c r="Y1477" i="2"/>
  <c r="X1478" i="2"/>
  <c r="AA1478" i="2" s="1"/>
  <c r="Y1478" i="2"/>
  <c r="X1479" i="2"/>
  <c r="AC1479" i="2" s="1"/>
  <c r="Y1479" i="2"/>
  <c r="X1480" i="2"/>
  <c r="Y1480" i="2"/>
  <c r="X1481" i="2"/>
  <c r="Y1481" i="2"/>
  <c r="X1482" i="2"/>
  <c r="AE1482" i="2" s="1"/>
  <c r="Y1482" i="2"/>
  <c r="X1483" i="2"/>
  <c r="Z1483" i="2" s="1"/>
  <c r="Y1483" i="2"/>
  <c r="X1484" i="2"/>
  <c r="Z1484" i="2" s="1"/>
  <c r="Y1484" i="2"/>
  <c r="X1485" i="2"/>
  <c r="AD1485" i="2" s="1"/>
  <c r="Y1485" i="2"/>
  <c r="X1486" i="2"/>
  <c r="AF1486" i="2" s="1"/>
  <c r="Y1486" i="2"/>
  <c r="X1487" i="2"/>
  <c r="Z1487" i="2" s="1"/>
  <c r="Y1487" i="2"/>
  <c r="AC1487" i="2"/>
  <c r="AF1487" i="2"/>
  <c r="X1488" i="2"/>
  <c r="AC1488" i="2" s="1"/>
  <c r="Y1488" i="2"/>
  <c r="X1489" i="2"/>
  <c r="Z1489" i="2" s="1"/>
  <c r="Y1489" i="2"/>
  <c r="X1490" i="2"/>
  <c r="AC1490" i="2" s="1"/>
  <c r="Y1490" i="2"/>
  <c r="X1491" i="2"/>
  <c r="AC1491" i="2" s="1"/>
  <c r="Y1491" i="2"/>
  <c r="X1492" i="2"/>
  <c r="AC1492" i="2" s="1"/>
  <c r="Y1492" i="2"/>
  <c r="X1493" i="2"/>
  <c r="AB1493" i="2" s="1"/>
  <c r="Y1493" i="2"/>
  <c r="X1494" i="2"/>
  <c r="AA1494" i="2" s="1"/>
  <c r="Y1494" i="2"/>
  <c r="X1495" i="2"/>
  <c r="AC1495" i="2" s="1"/>
  <c r="Y1495" i="2"/>
  <c r="X1496" i="2"/>
  <c r="Z1496" i="2" s="1"/>
  <c r="Y1496" i="2"/>
  <c r="X1497" i="2"/>
  <c r="AA1497" i="2" s="1"/>
  <c r="Y1497" i="2"/>
  <c r="X1498" i="2"/>
  <c r="AA1498" i="2" s="1"/>
  <c r="Y1498" i="2"/>
  <c r="X1499" i="2"/>
  <c r="AD1499" i="2" s="1"/>
  <c r="Y1499" i="2"/>
  <c r="X1500" i="2"/>
  <c r="AB1500" i="2" s="1"/>
  <c r="Y1500" i="2"/>
  <c r="X1501" i="2"/>
  <c r="AB1501" i="2" s="1"/>
  <c r="Y1501" i="2"/>
  <c r="X1502" i="2"/>
  <c r="AE1502" i="2" s="1"/>
  <c r="Y1502" i="2"/>
  <c r="X1503" i="2"/>
  <c r="AF1503" i="2" s="1"/>
  <c r="Y1503" i="2"/>
  <c r="X1504" i="2"/>
  <c r="AC1504" i="2" s="1"/>
  <c r="Y1504" i="2"/>
  <c r="X1505" i="2"/>
  <c r="Z1505" i="2" s="1"/>
  <c r="Y1505" i="2"/>
  <c r="X1506" i="2"/>
  <c r="AE1506" i="2" s="1"/>
  <c r="Y1506" i="2"/>
  <c r="X1507" i="2"/>
  <c r="AD1507" i="2" s="1"/>
  <c r="Y1507" i="2"/>
  <c r="X1508" i="2"/>
  <c r="AC1508" i="2" s="1"/>
  <c r="Y1508" i="2"/>
  <c r="X1509" i="2"/>
  <c r="AD1509" i="2" s="1"/>
  <c r="Y1509" i="2"/>
  <c r="X1510" i="2"/>
  <c r="AB1510" i="2" s="1"/>
  <c r="Y1510" i="2"/>
  <c r="X1511" i="2"/>
  <c r="AC1511" i="2" s="1"/>
  <c r="Y1511" i="2"/>
  <c r="X1512" i="2"/>
  <c r="Y1512" i="2"/>
  <c r="X1513" i="2"/>
  <c r="Y1513" i="2"/>
  <c r="X1514" i="2"/>
  <c r="AE1514" i="2" s="1"/>
  <c r="Y1514" i="2"/>
  <c r="X1515" i="2"/>
  <c r="Z1515" i="2" s="1"/>
  <c r="Y1515" i="2"/>
  <c r="X1516" i="2"/>
  <c r="AA1516" i="2" s="1"/>
  <c r="Y1516" i="2"/>
  <c r="X1517" i="2"/>
  <c r="Y1517" i="2"/>
  <c r="X1518" i="2"/>
  <c r="Y1518" i="2"/>
  <c r="X1519" i="2"/>
  <c r="Y1519" i="2"/>
  <c r="X1520" i="2"/>
  <c r="AC1520" i="2" s="1"/>
  <c r="Y1520" i="2"/>
  <c r="X1521" i="2"/>
  <c r="AE1521" i="2" s="1"/>
  <c r="Y1521" i="2"/>
  <c r="X1522" i="2"/>
  <c r="AC1522" i="2" s="1"/>
  <c r="Y1522" i="2"/>
  <c r="X1523" i="2"/>
  <c r="AC1523" i="2" s="1"/>
  <c r="Y1523" i="2"/>
  <c r="X1524" i="2"/>
  <c r="Z1524" i="2" s="1"/>
  <c r="Y1524" i="2"/>
  <c r="X1525" i="2"/>
  <c r="AB1525" i="2" s="1"/>
  <c r="Y1525" i="2"/>
  <c r="X1526" i="2"/>
  <c r="AB1526" i="2" s="1"/>
  <c r="Y1526" i="2"/>
  <c r="X1527" i="2"/>
  <c r="AC1527" i="2" s="1"/>
  <c r="Y1527" i="2"/>
  <c r="X1528" i="2"/>
  <c r="AC1528" i="2" s="1"/>
  <c r="Y1528" i="2"/>
  <c r="X1529" i="2"/>
  <c r="Z1529" i="2" s="1"/>
  <c r="Y1529" i="2"/>
  <c r="X1530" i="2"/>
  <c r="AB1530" i="2" s="1"/>
  <c r="Y1530" i="2"/>
  <c r="X1531" i="2"/>
  <c r="AC1531" i="2" s="1"/>
  <c r="Y1531" i="2"/>
  <c r="X1532" i="2"/>
  <c r="AC1532" i="2" s="1"/>
  <c r="Y1532" i="2"/>
  <c r="AD1532" i="2"/>
  <c r="X1533" i="2"/>
  <c r="AA1533" i="2" s="1"/>
  <c r="Y1533" i="2"/>
  <c r="X1534" i="2"/>
  <c r="AC1534" i="2" s="1"/>
  <c r="Y1534" i="2"/>
  <c r="AF1534" i="2"/>
  <c r="X1535" i="2"/>
  <c r="Y1535" i="2"/>
  <c r="X1536" i="2"/>
  <c r="AB1536" i="2" s="1"/>
  <c r="Y1536" i="2"/>
  <c r="X1537" i="2"/>
  <c r="Y1537" i="2"/>
  <c r="X1538" i="2"/>
  <c r="Y1538" i="2"/>
  <c r="X1539" i="2"/>
  <c r="AC1539" i="2" s="1"/>
  <c r="Y1539" i="2"/>
  <c r="X1540" i="2"/>
  <c r="Z1540" i="2" s="1"/>
  <c r="Y1540" i="2"/>
  <c r="AC1540" i="2"/>
  <c r="X1541" i="2"/>
  <c r="AB1541" i="2" s="1"/>
  <c r="Y1541" i="2"/>
  <c r="X1542" i="2"/>
  <c r="AC1542" i="2" s="1"/>
  <c r="Y1542" i="2"/>
  <c r="X1543" i="2"/>
  <c r="AB1543" i="2" s="1"/>
  <c r="Y1543" i="2"/>
  <c r="X1544" i="2"/>
  <c r="AC1544" i="2" s="1"/>
  <c r="Y1544" i="2"/>
  <c r="X1545" i="2"/>
  <c r="Z1545" i="2" s="1"/>
  <c r="Y1545" i="2"/>
  <c r="X1546" i="2"/>
  <c r="AE1546" i="2" s="1"/>
  <c r="Y1546" i="2"/>
  <c r="X1547" i="2"/>
  <c r="AD1547" i="2" s="1"/>
  <c r="Y1547" i="2"/>
  <c r="X1548" i="2"/>
  <c r="Z1548" i="2" s="1"/>
  <c r="Y1548" i="2"/>
  <c r="X1549" i="2"/>
  <c r="AD1549" i="2" s="1"/>
  <c r="Y1549" i="2"/>
  <c r="X1550" i="2"/>
  <c r="AF1550" i="2" s="1"/>
  <c r="Y1550" i="2"/>
  <c r="X1551" i="2"/>
  <c r="AF1551" i="2" s="1"/>
  <c r="Y1551" i="2"/>
  <c r="X1552" i="2"/>
  <c r="AC1552" i="2" s="1"/>
  <c r="Y1552" i="2"/>
  <c r="AF1552" i="2"/>
  <c r="X1553" i="2"/>
  <c r="AE1553" i="2" s="1"/>
  <c r="Y1553" i="2"/>
  <c r="X1554" i="2"/>
  <c r="AC1554" i="2" s="1"/>
  <c r="Y1554" i="2"/>
  <c r="X1555" i="2"/>
  <c r="AC1555" i="2" s="1"/>
  <c r="Y1555" i="2"/>
  <c r="X1556" i="2"/>
  <c r="AC1556" i="2" s="1"/>
  <c r="Y1556" i="2"/>
  <c r="X1557" i="2"/>
  <c r="AB1557" i="2" s="1"/>
  <c r="Y1557" i="2"/>
  <c r="X1558" i="2"/>
  <c r="AC1558" i="2" s="1"/>
  <c r="Y1558" i="2"/>
  <c r="X1559" i="2"/>
  <c r="Z1559" i="2" s="1"/>
  <c r="Y1559" i="2"/>
  <c r="X1560" i="2"/>
  <c r="AA1560" i="2" s="1"/>
  <c r="Y1560" i="2"/>
  <c r="X1561" i="2"/>
  <c r="AC1561" i="2" s="1"/>
  <c r="Y1561" i="2"/>
  <c r="X1562" i="2"/>
  <c r="AC1562" i="2" s="1"/>
  <c r="Y1562" i="2"/>
  <c r="X1563" i="2"/>
  <c r="Z1563" i="2" s="1"/>
  <c r="Y1563" i="2"/>
  <c r="X1564" i="2"/>
  <c r="AA1564" i="2" s="1"/>
  <c r="Y1564" i="2"/>
  <c r="X1565" i="2"/>
  <c r="AC1565" i="2" s="1"/>
  <c r="Y1565" i="2"/>
  <c r="X1566" i="2"/>
  <c r="AC1566" i="2" s="1"/>
  <c r="Y1566" i="2"/>
  <c r="X1567" i="2"/>
  <c r="Z1567" i="2" s="1"/>
  <c r="Y1567" i="2"/>
  <c r="X1568" i="2"/>
  <c r="AA1568" i="2" s="1"/>
  <c r="Y1568" i="2"/>
  <c r="X1569" i="2"/>
  <c r="Z1569" i="2" s="1"/>
  <c r="Y1569" i="2"/>
  <c r="X1570" i="2"/>
  <c r="AC1570" i="2" s="1"/>
  <c r="Y1570" i="2"/>
  <c r="X1571" i="2"/>
  <c r="Z1571" i="2" s="1"/>
  <c r="Y1571" i="2"/>
  <c r="X1572" i="2"/>
  <c r="AA1572" i="2" s="1"/>
  <c r="Y1572" i="2"/>
  <c r="X1573" i="2"/>
  <c r="AC1573" i="2" s="1"/>
  <c r="Y1573" i="2"/>
  <c r="AB1573" i="2"/>
  <c r="X1574" i="2"/>
  <c r="AC1574" i="2" s="1"/>
  <c r="Y1574" i="2"/>
  <c r="X1575" i="2"/>
  <c r="Z1575" i="2" s="1"/>
  <c r="Y1575" i="2"/>
  <c r="X1576" i="2"/>
  <c r="AA1576" i="2" s="1"/>
  <c r="Y1576" i="2"/>
  <c r="X1577" i="2"/>
  <c r="AC1577" i="2" s="1"/>
  <c r="Y1577" i="2"/>
  <c r="X1578" i="2"/>
  <c r="AC1578" i="2" s="1"/>
  <c r="Y1578" i="2"/>
  <c r="X1579" i="2"/>
  <c r="Z1579" i="2" s="1"/>
  <c r="Y1579" i="2"/>
  <c r="X1580" i="2"/>
  <c r="AA1580" i="2" s="1"/>
  <c r="Y1580" i="2"/>
  <c r="X1581" i="2"/>
  <c r="AC1581" i="2" s="1"/>
  <c r="Y1581" i="2"/>
  <c r="AA1581" i="2"/>
  <c r="AD1581" i="2"/>
  <c r="AE1581" i="2"/>
  <c r="AF1581" i="2"/>
  <c r="X1582" i="2"/>
  <c r="AC1582" i="2" s="1"/>
  <c r="Y1582" i="2"/>
  <c r="X1583" i="2"/>
  <c r="Z1583" i="2" s="1"/>
  <c r="Y1583" i="2"/>
  <c r="X1584" i="2"/>
  <c r="AA1584" i="2" s="1"/>
  <c r="Y1584" i="2"/>
  <c r="X1585" i="2"/>
  <c r="Z1585" i="2" s="1"/>
  <c r="Y1585" i="2"/>
  <c r="X1586" i="2"/>
  <c r="AC1586" i="2" s="1"/>
  <c r="Y1586" i="2"/>
  <c r="X1587" i="2"/>
  <c r="Z1587" i="2" s="1"/>
  <c r="Y1587" i="2"/>
  <c r="X1588" i="2"/>
  <c r="AA1588" i="2" s="1"/>
  <c r="Y1588" i="2"/>
  <c r="X1589" i="2"/>
  <c r="AC1589" i="2" s="1"/>
  <c r="Y1589" i="2"/>
  <c r="X1590" i="2"/>
  <c r="AC1590" i="2" s="1"/>
  <c r="Y1590" i="2"/>
  <c r="X1591" i="2"/>
  <c r="Z1591" i="2" s="1"/>
  <c r="Y1591" i="2"/>
  <c r="X1592" i="2"/>
  <c r="AA1592" i="2" s="1"/>
  <c r="Y1592" i="2"/>
  <c r="X1593" i="2"/>
  <c r="AC1593" i="2" s="1"/>
  <c r="Y1593" i="2"/>
  <c r="X1594" i="2"/>
  <c r="AC1594" i="2" s="1"/>
  <c r="Y1594" i="2"/>
  <c r="X1595" i="2"/>
  <c r="Z1595" i="2" s="1"/>
  <c r="Y1595" i="2"/>
  <c r="X1596" i="2"/>
  <c r="AA1596" i="2" s="1"/>
  <c r="Y1596" i="2"/>
  <c r="X1597" i="2"/>
  <c r="AC1597" i="2" s="1"/>
  <c r="Y1597" i="2"/>
  <c r="X1598" i="2"/>
  <c r="AC1598" i="2" s="1"/>
  <c r="Y1598" i="2"/>
  <c r="X1599" i="2"/>
  <c r="Z1599" i="2" s="1"/>
  <c r="Y1599" i="2"/>
  <c r="X1600" i="2"/>
  <c r="AA1600" i="2" s="1"/>
  <c r="Y1600" i="2"/>
  <c r="X1601" i="2"/>
  <c r="AC1601" i="2" s="1"/>
  <c r="Y1601" i="2"/>
  <c r="X1602" i="2"/>
  <c r="AC1602" i="2" s="1"/>
  <c r="Y1602" i="2"/>
  <c r="X1603" i="2"/>
  <c r="Z1603" i="2" s="1"/>
  <c r="Y1603" i="2"/>
  <c r="X1604" i="2"/>
  <c r="AA1604" i="2" s="1"/>
  <c r="Y1604" i="2"/>
  <c r="X1605" i="2"/>
  <c r="AC1605" i="2" s="1"/>
  <c r="Y1605" i="2"/>
  <c r="X1606" i="2"/>
  <c r="AC1606" i="2" s="1"/>
  <c r="Y1606" i="2"/>
  <c r="X1607" i="2"/>
  <c r="Z1607" i="2" s="1"/>
  <c r="Y1607" i="2"/>
  <c r="X1608" i="2"/>
  <c r="AA1608" i="2" s="1"/>
  <c r="Y1608" i="2"/>
  <c r="X1609" i="2"/>
  <c r="AC1609" i="2" s="1"/>
  <c r="Y1609" i="2"/>
  <c r="X1610" i="2"/>
  <c r="AC1610" i="2" s="1"/>
  <c r="Y1610" i="2"/>
  <c r="X1611" i="2"/>
  <c r="Z1611" i="2" s="1"/>
  <c r="Y1611" i="2"/>
  <c r="X1612" i="2"/>
  <c r="AA1612" i="2" s="1"/>
  <c r="Y1612" i="2"/>
  <c r="X1613" i="2"/>
  <c r="AC1613" i="2" s="1"/>
  <c r="Y1613" i="2"/>
  <c r="X1614" i="2"/>
  <c r="AC1614" i="2" s="1"/>
  <c r="Y1614" i="2"/>
  <c r="X1615" i="2"/>
  <c r="Z1615" i="2" s="1"/>
  <c r="Y1615" i="2"/>
  <c r="X1616" i="2"/>
  <c r="AA1616" i="2" s="1"/>
  <c r="Y1616" i="2"/>
  <c r="X1617" i="2"/>
  <c r="AC1617" i="2" s="1"/>
  <c r="Y1617" i="2"/>
  <c r="X1618" i="2"/>
  <c r="AC1618" i="2" s="1"/>
  <c r="Y1618" i="2"/>
  <c r="X1619" i="2"/>
  <c r="Z1619" i="2" s="1"/>
  <c r="Y1619" i="2"/>
  <c r="X1620" i="2"/>
  <c r="AA1620" i="2" s="1"/>
  <c r="Y1620" i="2"/>
  <c r="X1621" i="2"/>
  <c r="AC1621" i="2" s="1"/>
  <c r="Y1621" i="2"/>
  <c r="X1622" i="2"/>
  <c r="AC1622" i="2" s="1"/>
  <c r="Y1622" i="2"/>
  <c r="X1623" i="2"/>
  <c r="Z1623" i="2" s="1"/>
  <c r="Y1623" i="2"/>
  <c r="X1624" i="2"/>
  <c r="AA1624" i="2" s="1"/>
  <c r="Y1624" i="2"/>
  <c r="X1625" i="2"/>
  <c r="AC1625" i="2" s="1"/>
  <c r="Y1625" i="2"/>
  <c r="AF1625" i="2"/>
  <c r="X1626" i="2"/>
  <c r="AC1626" i="2" s="1"/>
  <c r="Y1626" i="2"/>
  <c r="X1627" i="2"/>
  <c r="Z1627" i="2" s="1"/>
  <c r="Y1627" i="2"/>
  <c r="X1628" i="2"/>
  <c r="AA1628" i="2" s="1"/>
  <c r="Y1628" i="2"/>
  <c r="AD1628" i="2"/>
  <c r="X1629" i="2"/>
  <c r="AC1629" i="2" s="1"/>
  <c r="Y1629" i="2"/>
  <c r="X1630" i="2"/>
  <c r="AC1630" i="2" s="1"/>
  <c r="Y1630" i="2"/>
  <c r="X1631" i="2"/>
  <c r="Z1631" i="2" s="1"/>
  <c r="Y1631" i="2"/>
  <c r="X1632" i="2"/>
  <c r="AA1632" i="2" s="1"/>
  <c r="Y1632" i="2"/>
  <c r="X1633" i="2"/>
  <c r="AC1633" i="2" s="1"/>
  <c r="Y1633" i="2"/>
  <c r="X1634" i="2"/>
  <c r="AC1634" i="2" s="1"/>
  <c r="Y1634" i="2"/>
  <c r="X1635" i="2"/>
  <c r="Z1635" i="2" s="1"/>
  <c r="Y1635" i="2"/>
  <c r="X1636" i="2"/>
  <c r="AA1636" i="2" s="1"/>
  <c r="Y1636" i="2"/>
  <c r="X1637" i="2"/>
  <c r="AC1637" i="2" s="1"/>
  <c r="Y1637" i="2"/>
  <c r="X1638" i="2"/>
  <c r="AC1638" i="2" s="1"/>
  <c r="Y1638" i="2"/>
  <c r="X1639" i="2"/>
  <c r="Z1639" i="2" s="1"/>
  <c r="Y1639" i="2"/>
  <c r="X1640" i="2"/>
  <c r="AA1640" i="2" s="1"/>
  <c r="Y1640" i="2"/>
  <c r="X1641" i="2"/>
  <c r="AA1641" i="2" s="1"/>
  <c r="Y1641" i="2"/>
  <c r="AB1641" i="2"/>
  <c r="AC1641" i="2"/>
  <c r="AD1641" i="2"/>
  <c r="AG1641" i="2"/>
  <c r="X1642" i="2"/>
  <c r="AC1642" i="2" s="1"/>
  <c r="Y1642" i="2"/>
  <c r="X1643" i="2"/>
  <c r="Z1643" i="2" s="1"/>
  <c r="Y1643" i="2"/>
  <c r="X1644" i="2"/>
  <c r="AA1644" i="2" s="1"/>
  <c r="Y1644" i="2"/>
  <c r="X1645" i="2"/>
  <c r="AC1645" i="2" s="1"/>
  <c r="Y1645" i="2"/>
  <c r="X1646" i="2"/>
  <c r="AC1646" i="2" s="1"/>
  <c r="Y1646" i="2"/>
  <c r="X1647" i="2"/>
  <c r="Z1647" i="2" s="1"/>
  <c r="Y1647" i="2"/>
  <c r="X1648" i="2"/>
  <c r="AA1648" i="2" s="1"/>
  <c r="Y1648" i="2"/>
  <c r="X1649" i="2"/>
  <c r="AC1649" i="2" s="1"/>
  <c r="Y1649" i="2"/>
  <c r="X1650" i="2"/>
  <c r="AC1650" i="2" s="1"/>
  <c r="Y1650" i="2"/>
  <c r="X1651" i="2"/>
  <c r="Z1651" i="2" s="1"/>
  <c r="Y1651" i="2"/>
  <c r="AF1651" i="2"/>
  <c r="X1652" i="2"/>
  <c r="AA1652" i="2" s="1"/>
  <c r="Y1652" i="2"/>
  <c r="X1653" i="2"/>
  <c r="AC1653" i="2" s="1"/>
  <c r="Y1653" i="2"/>
  <c r="X1654" i="2"/>
  <c r="AC1654" i="2" s="1"/>
  <c r="Y1654" i="2"/>
  <c r="X1655" i="2"/>
  <c r="Z1655" i="2" s="1"/>
  <c r="Y1655" i="2"/>
  <c r="X1656" i="2"/>
  <c r="AA1656" i="2" s="1"/>
  <c r="Y1656" i="2"/>
  <c r="X1657" i="2"/>
  <c r="AC1657" i="2" s="1"/>
  <c r="Y1657" i="2"/>
  <c r="X1658" i="2"/>
  <c r="AC1658" i="2" s="1"/>
  <c r="Y1658" i="2"/>
  <c r="X1659" i="2"/>
  <c r="Z1659" i="2" s="1"/>
  <c r="Y1659" i="2"/>
  <c r="X1660" i="2"/>
  <c r="AA1660" i="2" s="1"/>
  <c r="Y1660" i="2"/>
  <c r="AD1660" i="2"/>
  <c r="X1661" i="2"/>
  <c r="AC1661" i="2" s="1"/>
  <c r="Y1661" i="2"/>
  <c r="X1662" i="2"/>
  <c r="AC1662" i="2" s="1"/>
  <c r="Y1662" i="2"/>
  <c r="X1663" i="2"/>
  <c r="Z1663" i="2" s="1"/>
  <c r="Y1663" i="2"/>
  <c r="X1664" i="2"/>
  <c r="AA1664" i="2" s="1"/>
  <c r="Y1664" i="2"/>
  <c r="X1665" i="2"/>
  <c r="AC1665" i="2" s="1"/>
  <c r="Y1665" i="2"/>
  <c r="X1666" i="2"/>
  <c r="AC1666" i="2" s="1"/>
  <c r="Y1666" i="2"/>
  <c r="X1667" i="2"/>
  <c r="Z1667" i="2" s="1"/>
  <c r="Y1667" i="2"/>
  <c r="X1668" i="2"/>
  <c r="AA1668" i="2" s="1"/>
  <c r="Y1668" i="2"/>
  <c r="X1669" i="2"/>
  <c r="AC1669" i="2" s="1"/>
  <c r="Y1669" i="2"/>
  <c r="X1670" i="2"/>
  <c r="AC1670" i="2" s="1"/>
  <c r="Y1670" i="2"/>
  <c r="X1671" i="2"/>
  <c r="Z1671" i="2" s="1"/>
  <c r="Y1671" i="2"/>
  <c r="X1672" i="2"/>
  <c r="AA1672" i="2" s="1"/>
  <c r="Y1672" i="2"/>
  <c r="X1673" i="2"/>
  <c r="AA1673" i="2" s="1"/>
  <c r="Y1673" i="2"/>
  <c r="X1674" i="2"/>
  <c r="AC1674" i="2" s="1"/>
  <c r="Y1674" i="2"/>
  <c r="X1675" i="2"/>
  <c r="Z1675" i="2" s="1"/>
  <c r="Y1675" i="2"/>
  <c r="AC1675" i="2"/>
  <c r="X1676" i="2"/>
  <c r="AA1676" i="2" s="1"/>
  <c r="Y1676" i="2"/>
  <c r="X1677" i="2"/>
  <c r="AC1677" i="2" s="1"/>
  <c r="Y1677" i="2"/>
  <c r="X1678" i="2"/>
  <c r="AC1678" i="2" s="1"/>
  <c r="Y1678" i="2"/>
  <c r="X1679" i="2"/>
  <c r="Z1679" i="2" s="1"/>
  <c r="Y1679" i="2"/>
  <c r="X1680" i="2"/>
  <c r="AA1680" i="2" s="1"/>
  <c r="Y1680" i="2"/>
  <c r="X1681" i="2"/>
  <c r="AC1681" i="2" s="1"/>
  <c r="Y1681" i="2"/>
  <c r="X1682" i="2"/>
  <c r="AC1682" i="2" s="1"/>
  <c r="Y1682" i="2"/>
  <c r="X1683" i="2"/>
  <c r="Z1683" i="2" s="1"/>
  <c r="Y1683" i="2"/>
  <c r="X1684" i="2"/>
  <c r="AA1684" i="2" s="1"/>
  <c r="Y1684" i="2"/>
  <c r="X1685" i="2"/>
  <c r="AC1685" i="2" s="1"/>
  <c r="Y1685" i="2"/>
  <c r="X1686" i="2"/>
  <c r="AC1686" i="2" s="1"/>
  <c r="Y1686" i="2"/>
  <c r="X1687" i="2"/>
  <c r="Z1687" i="2" s="1"/>
  <c r="Y1687" i="2"/>
  <c r="X1688" i="2"/>
  <c r="AA1688" i="2" s="1"/>
  <c r="Y1688" i="2"/>
  <c r="X1689" i="2"/>
  <c r="AC1689" i="2" s="1"/>
  <c r="Y1689" i="2"/>
  <c r="X1690" i="2"/>
  <c r="AC1690" i="2" s="1"/>
  <c r="Y1690" i="2"/>
  <c r="X1691" i="2"/>
  <c r="Z1691" i="2" s="1"/>
  <c r="Y1691" i="2"/>
  <c r="X1692" i="2"/>
  <c r="AA1692" i="2" s="1"/>
  <c r="Y1692" i="2"/>
  <c r="X1693" i="2"/>
  <c r="AC1693" i="2" s="1"/>
  <c r="Y1693" i="2"/>
  <c r="AF1693" i="2"/>
  <c r="X1694" i="2"/>
  <c r="AC1694" i="2" s="1"/>
  <c r="Y1694" i="2"/>
  <c r="X1695" i="2"/>
  <c r="Z1695" i="2" s="1"/>
  <c r="Y1695" i="2"/>
  <c r="X1696" i="2"/>
  <c r="AA1696" i="2" s="1"/>
  <c r="Y1696" i="2"/>
  <c r="X1697" i="2"/>
  <c r="AC1697" i="2" s="1"/>
  <c r="Y1697" i="2"/>
  <c r="X1698" i="2"/>
  <c r="AC1698" i="2" s="1"/>
  <c r="Y1698" i="2"/>
  <c r="X1699" i="2"/>
  <c r="Z1699" i="2" s="1"/>
  <c r="Y1699" i="2"/>
  <c r="X1700" i="2"/>
  <c r="AA1700" i="2" s="1"/>
  <c r="Y1700" i="2"/>
  <c r="X1701" i="2"/>
  <c r="AC1701" i="2" s="1"/>
  <c r="Y1701" i="2"/>
  <c r="X1702" i="2"/>
  <c r="AC1702" i="2" s="1"/>
  <c r="Y1702" i="2"/>
  <c r="X1703" i="2"/>
  <c r="Z1703" i="2" s="1"/>
  <c r="Y1703" i="2"/>
  <c r="X1704" i="2"/>
  <c r="AA1704" i="2" s="1"/>
  <c r="Y1704" i="2"/>
  <c r="AC1704" i="2"/>
  <c r="X1705" i="2"/>
  <c r="Z1705" i="2" s="1"/>
  <c r="Y1705" i="2"/>
  <c r="X1706" i="2"/>
  <c r="AC1706" i="2" s="1"/>
  <c r="Y1706" i="2"/>
  <c r="X1707" i="2"/>
  <c r="Z1707" i="2" s="1"/>
  <c r="Y1707" i="2"/>
  <c r="X1708" i="2"/>
  <c r="AA1708" i="2" s="1"/>
  <c r="Y1708" i="2"/>
  <c r="X1709" i="2"/>
  <c r="AC1709" i="2" s="1"/>
  <c r="Y1709" i="2"/>
  <c r="X1710" i="2"/>
  <c r="AC1710" i="2" s="1"/>
  <c r="Y1710" i="2"/>
  <c r="X1711" i="2"/>
  <c r="Z1711" i="2" s="1"/>
  <c r="Y1711" i="2"/>
  <c r="X1712" i="2"/>
  <c r="AA1712" i="2" s="1"/>
  <c r="Y1712" i="2"/>
  <c r="X1713" i="2"/>
  <c r="AC1713" i="2" s="1"/>
  <c r="Y1713" i="2"/>
  <c r="X1714" i="2"/>
  <c r="AC1714" i="2" s="1"/>
  <c r="Y1714" i="2"/>
  <c r="X1715" i="2"/>
  <c r="Z1715" i="2" s="1"/>
  <c r="Y1715" i="2"/>
  <c r="X1716" i="2"/>
  <c r="AA1716" i="2" s="1"/>
  <c r="Y1716" i="2"/>
  <c r="X1717" i="2"/>
  <c r="AC1717" i="2" s="1"/>
  <c r="Y1717" i="2"/>
  <c r="X1718" i="2"/>
  <c r="AC1718" i="2" s="1"/>
  <c r="Y1718" i="2"/>
  <c r="X1719" i="2"/>
  <c r="Z1719" i="2" s="1"/>
  <c r="Y1719" i="2"/>
  <c r="X1720" i="2"/>
  <c r="AA1720" i="2" s="1"/>
  <c r="Y1720" i="2"/>
  <c r="X1721" i="2"/>
  <c r="Z1721" i="2" s="1"/>
  <c r="Y1721" i="2"/>
  <c r="AC1721" i="2"/>
  <c r="X1722" i="2"/>
  <c r="AC1722" i="2" s="1"/>
  <c r="Y1722" i="2"/>
  <c r="X1723" i="2"/>
  <c r="Z1723" i="2" s="1"/>
  <c r="Y1723" i="2"/>
  <c r="X1724" i="2"/>
  <c r="AA1724" i="2" s="1"/>
  <c r="Y1724" i="2"/>
  <c r="X1725" i="2"/>
  <c r="AC1725" i="2" s="1"/>
  <c r="Y1725" i="2"/>
  <c r="X1726" i="2"/>
  <c r="AC1726" i="2" s="1"/>
  <c r="Y1726" i="2"/>
  <c r="X1727" i="2"/>
  <c r="Z1727" i="2" s="1"/>
  <c r="Y1727" i="2"/>
  <c r="X1728" i="2"/>
  <c r="AA1728" i="2" s="1"/>
  <c r="Y1728" i="2"/>
  <c r="X1729" i="2"/>
  <c r="AA1729" i="2" s="1"/>
  <c r="Y1729" i="2"/>
  <c r="X1730" i="2"/>
  <c r="AC1730" i="2" s="1"/>
  <c r="Y1730" i="2"/>
  <c r="X1731" i="2"/>
  <c r="Z1731" i="2" s="1"/>
  <c r="Y1731" i="2"/>
  <c r="X1732" i="2"/>
  <c r="AA1732" i="2" s="1"/>
  <c r="Y1732" i="2"/>
  <c r="X1733" i="2"/>
  <c r="AC1733" i="2" s="1"/>
  <c r="Y1733" i="2"/>
  <c r="Y2" i="2"/>
  <c r="X2" i="2"/>
  <c r="AA2" i="2" s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AC1386" i="2" l="1"/>
  <c r="AE1300" i="2"/>
  <c r="AE761" i="2"/>
  <c r="AE617" i="2"/>
  <c r="AF612" i="2"/>
  <c r="AB523" i="2"/>
  <c r="AE481" i="2"/>
  <c r="AC94" i="2"/>
  <c r="AA32" i="2"/>
  <c r="AF1633" i="2"/>
  <c r="AF1307" i="2"/>
  <c r="AB1300" i="2"/>
  <c r="AF632" i="2"/>
  <c r="AB459" i="2"/>
  <c r="AF115" i="2"/>
  <c r="AD1487" i="2"/>
  <c r="AC1462" i="2"/>
  <c r="AE1457" i="2"/>
  <c r="AB1428" i="2"/>
  <c r="AF1350" i="2"/>
  <c r="AB1155" i="2"/>
  <c r="AE567" i="2"/>
  <c r="AF445" i="2"/>
  <c r="AC344" i="2"/>
  <c r="AC15" i="2"/>
  <c r="AB1412" i="2"/>
  <c r="AB1199" i="2"/>
  <c r="AF1175" i="2"/>
  <c r="AB859" i="2"/>
  <c r="AB204" i="2"/>
  <c r="AB59" i="2"/>
  <c r="AF23" i="2"/>
  <c r="AC1656" i="2"/>
  <c r="AF1367" i="2"/>
  <c r="AF1308" i="2"/>
  <c r="AD1203" i="2"/>
  <c r="AF967" i="2"/>
  <c r="AF633" i="2"/>
  <c r="Z1656" i="2"/>
  <c r="AB1609" i="2"/>
  <c r="AB1574" i="2"/>
  <c r="AF1569" i="2"/>
  <c r="AB1504" i="2"/>
  <c r="AE1489" i="2"/>
  <c r="AB1367" i="2"/>
  <c r="AB1308" i="2"/>
  <c r="Z1203" i="2"/>
  <c r="AE1172" i="2"/>
  <c r="Z1163" i="2"/>
  <c r="AB1158" i="2"/>
  <c r="AE1064" i="2"/>
  <c r="AE972" i="2"/>
  <c r="AF871" i="2"/>
  <c r="AF857" i="2"/>
  <c r="AC780" i="2"/>
  <c r="Z658" i="2"/>
  <c r="AE633" i="2"/>
  <c r="AD572" i="2"/>
  <c r="AE563" i="2"/>
  <c r="AE345" i="2"/>
  <c r="AE166" i="2"/>
  <c r="AB95" i="2"/>
  <c r="AF92" i="2"/>
  <c r="AG1711" i="2"/>
  <c r="AC1592" i="2"/>
  <c r="AF1579" i="2"/>
  <c r="AF1424" i="2"/>
  <c r="AB1380" i="2"/>
  <c r="AF1274" i="2"/>
  <c r="AB1235" i="2"/>
  <c r="AB1191" i="2"/>
  <c r="Z1080" i="2"/>
  <c r="AD1047" i="2"/>
  <c r="AD1024" i="2"/>
  <c r="AB967" i="2"/>
  <c r="AD916" i="2"/>
  <c r="Z860" i="2"/>
  <c r="AF759" i="2"/>
  <c r="AC709" i="2"/>
  <c r="AF1641" i="2"/>
  <c r="Z1641" i="2"/>
  <c r="AC1632" i="2"/>
  <c r="AF1627" i="2"/>
  <c r="AF1618" i="2"/>
  <c r="AE1593" i="2"/>
  <c r="AC1588" i="2"/>
  <c r="AF1575" i="2"/>
  <c r="AB1540" i="2"/>
  <c r="AF1492" i="2"/>
  <c r="AF1436" i="2"/>
  <c r="AF1412" i="2"/>
  <c r="AC1350" i="2"/>
  <c r="AD1347" i="2"/>
  <c r="AC1266" i="2"/>
  <c r="AA1175" i="2"/>
  <c r="AF1170" i="2"/>
  <c r="AB1115" i="2"/>
  <c r="AB1067" i="2"/>
  <c r="AE999" i="2"/>
  <c r="AB988" i="2"/>
  <c r="AD979" i="2"/>
  <c r="Z923" i="2"/>
  <c r="AE869" i="2"/>
  <c r="AD757" i="2"/>
  <c r="AB661" i="2"/>
  <c r="AA593" i="2"/>
  <c r="AE575" i="2"/>
  <c r="Z531" i="2"/>
  <c r="AE501" i="2"/>
  <c r="AB481" i="2"/>
  <c r="Z448" i="2"/>
  <c r="AC445" i="2"/>
  <c r="AB437" i="2"/>
  <c r="AF273" i="2"/>
  <c r="AA238" i="2"/>
  <c r="AB175" i="2"/>
  <c r="AE110" i="2"/>
  <c r="AF39" i="2"/>
  <c r="AC34" i="2"/>
  <c r="AC27" i="2"/>
  <c r="AD22" i="2"/>
  <c r="AD19" i="2"/>
  <c r="AD7" i="2"/>
  <c r="AC1643" i="2"/>
  <c r="AA1593" i="2"/>
  <c r="AE1565" i="2"/>
  <c r="AE1412" i="2"/>
  <c r="AA1412" i="2"/>
  <c r="AD1384" i="2"/>
  <c r="AG1312" i="2"/>
  <c r="AG1308" i="2"/>
  <c r="AC1286" i="2"/>
  <c r="Z1240" i="2"/>
  <c r="AE1233" i="2"/>
  <c r="AF1203" i="2"/>
  <c r="AE1175" i="2"/>
  <c r="AE1128" i="2"/>
  <c r="AF1127" i="2"/>
  <c r="AC963" i="2"/>
  <c r="AC962" i="2"/>
  <c r="AF951" i="2"/>
  <c r="AF946" i="2"/>
  <c r="AB916" i="2"/>
  <c r="AF885" i="2"/>
  <c r="AD857" i="2"/>
  <c r="AD856" i="2"/>
  <c r="Z825" i="2"/>
  <c r="AB781" i="2"/>
  <c r="AF757" i="2"/>
  <c r="AF747" i="2"/>
  <c r="AF732" i="2"/>
  <c r="AF717" i="2"/>
  <c r="AC712" i="2"/>
  <c r="AE693" i="2"/>
  <c r="AD674" i="2"/>
  <c r="AC633" i="2"/>
  <c r="AD630" i="2"/>
  <c r="AC617" i="2"/>
  <c r="AF616" i="2"/>
  <c r="AB613" i="2"/>
  <c r="AB501" i="2"/>
  <c r="AD500" i="2"/>
  <c r="AF487" i="2"/>
  <c r="AD439" i="2"/>
  <c r="AC435" i="2"/>
  <c r="AB434" i="2"/>
  <c r="AF409" i="2"/>
  <c r="AD408" i="2"/>
  <c r="AF405" i="2"/>
  <c r="AD320" i="2"/>
  <c r="AE313" i="2"/>
  <c r="AC220" i="2"/>
  <c r="AB207" i="2"/>
  <c r="AB184" i="2"/>
  <c r="AB156" i="2"/>
  <c r="AB146" i="2"/>
  <c r="AF96" i="2"/>
  <c r="AA88" i="2"/>
  <c r="AF20" i="2"/>
  <c r="AB1701" i="2"/>
  <c r="AC1688" i="2"/>
  <c r="AB1665" i="2"/>
  <c r="AF1655" i="2"/>
  <c r="AB1648" i="2"/>
  <c r="AF1617" i="2"/>
  <c r="AA1565" i="2"/>
  <c r="AB1528" i="2"/>
  <c r="AD1493" i="2"/>
  <c r="AF1484" i="2"/>
  <c r="AE1456" i="2"/>
  <c r="AD1412" i="2"/>
  <c r="Z1412" i="2"/>
  <c r="AB1384" i="2"/>
  <c r="AC1295" i="2"/>
  <c r="AF1280" i="2"/>
  <c r="AD1144" i="2"/>
  <c r="AF1135" i="2"/>
  <c r="AB1128" i="2"/>
  <c r="AB1114" i="2"/>
  <c r="AA1060" i="2"/>
  <c r="AC1007" i="2"/>
  <c r="AE996" i="2"/>
  <c r="AF964" i="2"/>
  <c r="AB952" i="2"/>
  <c r="AD947" i="2"/>
  <c r="AF918" i="2"/>
  <c r="AA916" i="2"/>
  <c r="Z857" i="2"/>
  <c r="AC856" i="2"/>
  <c r="AF817" i="2"/>
  <c r="AD792" i="2"/>
  <c r="AC747" i="2"/>
  <c r="AB717" i="2"/>
  <c r="AF689" i="2"/>
  <c r="AF649" i="2"/>
  <c r="AB617" i="2"/>
  <c r="AB569" i="2"/>
  <c r="Z564" i="2"/>
  <c r="AE559" i="2"/>
  <c r="AA501" i="2"/>
  <c r="AC487" i="2"/>
  <c r="AC471" i="2"/>
  <c r="AF460" i="2"/>
  <c r="AC457" i="2"/>
  <c r="AB442" i="2"/>
  <c r="AB435" i="2"/>
  <c r="AC409" i="2"/>
  <c r="AF385" i="2"/>
  <c r="AF323" i="2"/>
  <c r="AF316" i="2"/>
  <c r="AE305" i="2"/>
  <c r="AD265" i="2"/>
  <c r="AF256" i="2"/>
  <c r="AB220" i="2"/>
  <c r="AA146" i="2"/>
  <c r="AC117" i="2"/>
  <c r="AF110" i="2"/>
  <c r="AA107" i="2"/>
  <c r="AF36" i="2"/>
  <c r="AD24" i="2"/>
  <c r="AB20" i="2"/>
  <c r="Z1424" i="2"/>
  <c r="AF1386" i="2"/>
  <c r="AC1367" i="2"/>
  <c r="AE1356" i="2"/>
  <c r="AC1308" i="2"/>
  <c r="AE1231" i="2"/>
  <c r="AC1203" i="2"/>
  <c r="AF1186" i="2"/>
  <c r="AB1175" i="2"/>
  <c r="AF1163" i="2"/>
  <c r="AE1152" i="2"/>
  <c r="AF1080" i="2"/>
  <c r="AF916" i="2"/>
  <c r="AF860" i="2"/>
  <c r="AB757" i="2"/>
  <c r="AE577" i="2"/>
  <c r="AF501" i="2"/>
  <c r="AC463" i="2"/>
  <c r="AC437" i="2"/>
  <c r="AD284" i="2"/>
  <c r="AD281" i="2"/>
  <c r="AB272" i="2"/>
  <c r="AF238" i="2"/>
  <c r="AF166" i="2"/>
  <c r="AF146" i="2"/>
  <c r="AB19" i="2"/>
  <c r="Y13" i="1"/>
  <c r="Y14" i="1"/>
  <c r="Y15" i="1"/>
  <c r="Y19" i="1"/>
  <c r="Y11" i="1"/>
  <c r="AG11" i="1"/>
  <c r="AI27" i="1"/>
  <c r="AD23" i="1"/>
  <c r="AJ27" i="1"/>
  <c r="AA31" i="1"/>
  <c r="AG13" i="1"/>
  <c r="AF4" i="1"/>
  <c r="AI23" i="1"/>
  <c r="AB11" i="1"/>
  <c r="AI29" i="1"/>
  <c r="AD21" i="1"/>
  <c r="AG7" i="1"/>
  <c r="AJ15" i="1"/>
  <c r="AH19" i="1"/>
  <c r="AE31" i="1"/>
  <c r="AC19" i="1"/>
  <c r="Z27" i="1"/>
  <c r="AB7" i="1"/>
  <c r="AH15" i="1"/>
  <c r="AE27" i="1"/>
  <c r="AC15" i="1"/>
  <c r="Z23" i="1"/>
  <c r="AD4" i="1"/>
  <c r="AJ11" i="1"/>
  <c r="AI11" i="1"/>
  <c r="AG27" i="1"/>
  <c r="AF23" i="1"/>
  <c r="AE15" i="1"/>
  <c r="AD11" i="1"/>
  <c r="AB27" i="1"/>
  <c r="AA19" i="1"/>
  <c r="Z11" i="1"/>
  <c r="AJ7" i="1"/>
  <c r="AJ31" i="1"/>
  <c r="AH31" i="1"/>
  <c r="AG23" i="1"/>
  <c r="AF19" i="1"/>
  <c r="AE11" i="1"/>
  <c r="AC31" i="1"/>
  <c r="AB23" i="1"/>
  <c r="AA15" i="1"/>
  <c r="Y31" i="1"/>
  <c r="AI4" i="1"/>
  <c r="Y7" i="1"/>
  <c r="AI31" i="1"/>
  <c r="AH27" i="1"/>
  <c r="AG19" i="1"/>
  <c r="AF15" i="1"/>
  <c r="AD31" i="1"/>
  <c r="AC27" i="1"/>
  <c r="AB19" i="1"/>
  <c r="AA11" i="1"/>
  <c r="D37" i="1"/>
  <c r="D39" i="1"/>
  <c r="D35" i="1"/>
  <c r="AB4" i="1"/>
  <c r="AF7" i="1"/>
  <c r="AJ23" i="1"/>
  <c r="AI19" i="1"/>
  <c r="AH11" i="1"/>
  <c r="AF31" i="1"/>
  <c r="AE23" i="1"/>
  <c r="AD19" i="1"/>
  <c r="AC11" i="1"/>
  <c r="AA27" i="1"/>
  <c r="Z19" i="1"/>
  <c r="Y27" i="1"/>
  <c r="AH4" i="1"/>
  <c r="Z4" i="1"/>
  <c r="AC7" i="1"/>
  <c r="Y4" i="1"/>
  <c r="AJ19" i="1"/>
  <c r="AI15" i="1"/>
  <c r="AH23" i="1"/>
  <c r="AG31" i="1"/>
  <c r="AG15" i="1"/>
  <c r="AF27" i="1"/>
  <c r="AD15" i="1"/>
  <c r="AC23" i="1"/>
  <c r="AB31" i="1"/>
  <c r="AB15" i="1"/>
  <c r="AA23" i="1"/>
  <c r="AJ30" i="1"/>
  <c r="AG14" i="1"/>
  <c r="AF30" i="1"/>
  <c r="AE26" i="1"/>
  <c r="D38" i="1"/>
  <c r="AB6" i="1"/>
  <c r="Y6" i="1"/>
  <c r="AI30" i="1"/>
  <c r="AG22" i="1"/>
  <c r="AE6" i="1"/>
  <c r="Z6" i="1"/>
  <c r="AJ14" i="1"/>
  <c r="AD30" i="1"/>
  <c r="AB26" i="1"/>
  <c r="AH10" i="1"/>
  <c r="AJ22" i="1"/>
  <c r="AC26" i="1"/>
  <c r="AJ6" i="1"/>
  <c r="AH6" i="1"/>
  <c r="AG6" i="1"/>
  <c r="AF6" i="1"/>
  <c r="AD10" i="1"/>
  <c r="AC6" i="1"/>
  <c r="AA10" i="1"/>
  <c r="AI22" i="1"/>
  <c r="AI14" i="1"/>
  <c r="AH30" i="1"/>
  <c r="AH22" i="1"/>
  <c r="AH14" i="1"/>
  <c r="AF18" i="1"/>
  <c r="AE34" i="1"/>
  <c r="AE14" i="1"/>
  <c r="AA14" i="1"/>
  <c r="Z26" i="1"/>
  <c r="AI10" i="1"/>
  <c r="AG10" i="1"/>
  <c r="AF10" i="1"/>
  <c r="AE10" i="1"/>
  <c r="AD6" i="1"/>
  <c r="AB10" i="1"/>
  <c r="AA6" i="1"/>
  <c r="Y10" i="1"/>
  <c r="AJ34" i="1"/>
  <c r="AJ26" i="1"/>
  <c r="AJ18" i="1"/>
  <c r="AI34" i="1"/>
  <c r="AG26" i="1"/>
  <c r="AG18" i="1"/>
  <c r="AC30" i="1"/>
  <c r="AA34" i="1"/>
  <c r="AA22" i="1"/>
  <c r="D36" i="1"/>
  <c r="AJ10" i="1"/>
  <c r="AG9" i="1"/>
  <c r="AF9" i="1"/>
  <c r="AE9" i="1"/>
  <c r="AC10" i="1"/>
  <c r="AI26" i="1"/>
  <c r="AI18" i="1"/>
  <c r="AH34" i="1"/>
  <c r="AH26" i="1"/>
  <c r="AH18" i="1"/>
  <c r="AG34" i="1"/>
  <c r="AF22" i="1"/>
  <c r="AF14" i="1"/>
  <c r="AE18" i="1"/>
  <c r="AD22" i="1"/>
  <c r="AD14" i="1"/>
  <c r="AC18" i="1"/>
  <c r="AB18" i="1"/>
  <c r="Y30" i="1"/>
  <c r="D40" i="1"/>
  <c r="AB5" i="1"/>
  <c r="AI13" i="1"/>
  <c r="AF21" i="1"/>
  <c r="AE30" i="1"/>
  <c r="AD34" i="1"/>
  <c r="AD26" i="1"/>
  <c r="AC29" i="1"/>
  <c r="AC22" i="1"/>
  <c r="AC14" i="1"/>
  <c r="AB30" i="1"/>
  <c r="AB22" i="1"/>
  <c r="AB14" i="1"/>
  <c r="AA30" i="1"/>
  <c r="Y29" i="1"/>
  <c r="Y18" i="1"/>
  <c r="Y5" i="1"/>
  <c r="AH21" i="1"/>
  <c r="AG30" i="1"/>
  <c r="AF34" i="1"/>
  <c r="AF26" i="1"/>
  <c r="AE29" i="1"/>
  <c r="AE22" i="1"/>
  <c r="AD18" i="1"/>
  <c r="AC34" i="1"/>
  <c r="AC13" i="1"/>
  <c r="AA18" i="1"/>
  <c r="Z22" i="1"/>
  <c r="Y34" i="1"/>
  <c r="AI5" i="1"/>
  <c r="AE5" i="1"/>
  <c r="AJ21" i="1"/>
  <c r="AG29" i="1"/>
  <c r="AE13" i="1"/>
  <c r="AB21" i="1"/>
  <c r="Z21" i="1"/>
  <c r="AA29" i="1"/>
  <c r="AA13" i="1"/>
  <c r="AG5" i="1"/>
  <c r="AD5" i="1"/>
  <c r="AH9" i="1"/>
  <c r="Z9" i="1"/>
  <c r="Y9" i="1"/>
  <c r="AJ25" i="1"/>
  <c r="AI33" i="1"/>
  <c r="AI17" i="1"/>
  <c r="AH25" i="1"/>
  <c r="AG33" i="1"/>
  <c r="AG17" i="1"/>
  <c r="AF25" i="1"/>
  <c r="AE33" i="1"/>
  <c r="AE17" i="1"/>
  <c r="AD25" i="1"/>
  <c r="AC33" i="1"/>
  <c r="AC17" i="1"/>
  <c r="AB25" i="1"/>
  <c r="AA33" i="1"/>
  <c r="AA17" i="1"/>
  <c r="Z25" i="1"/>
  <c r="Y33" i="1"/>
  <c r="Y17" i="1"/>
  <c r="AJ5" i="1"/>
  <c r="AF5" i="1"/>
  <c r="AA5" i="1"/>
  <c r="AJ9" i="1"/>
  <c r="AI9" i="1"/>
  <c r="AC9" i="1"/>
  <c r="AB9" i="1"/>
  <c r="AA9" i="1"/>
  <c r="AJ29" i="1"/>
  <c r="AJ13" i="1"/>
  <c r="AI21" i="1"/>
  <c r="AH29" i="1"/>
  <c r="AH13" i="1"/>
  <c r="AG21" i="1"/>
  <c r="AF29" i="1"/>
  <c r="AF13" i="1"/>
  <c r="AE21" i="1"/>
  <c r="AD29" i="1"/>
  <c r="AD13" i="1"/>
  <c r="AC21" i="1"/>
  <c r="AB34" i="1"/>
  <c r="AB29" i="1"/>
  <c r="AB13" i="1"/>
  <c r="AA26" i="1"/>
  <c r="AA21" i="1"/>
  <c r="AH5" i="1"/>
  <c r="AC5" i="1"/>
  <c r="AJ33" i="1"/>
  <c r="AJ17" i="1"/>
  <c r="AI25" i="1"/>
  <c r="AH33" i="1"/>
  <c r="AH17" i="1"/>
  <c r="AG25" i="1"/>
  <c r="AF33" i="1"/>
  <c r="AF17" i="1"/>
  <c r="AE25" i="1"/>
  <c r="AD33" i="1"/>
  <c r="AD17" i="1"/>
  <c r="AC25" i="1"/>
  <c r="AB33" i="1"/>
  <c r="AB17" i="1"/>
  <c r="AA25" i="1"/>
  <c r="AB8" i="1"/>
  <c r="Y8" i="1"/>
  <c r="AF8" i="1"/>
  <c r="AJ8" i="1"/>
  <c r="AI8" i="1"/>
  <c r="AE8" i="1"/>
  <c r="AA8" i="1"/>
  <c r="AI7" i="1"/>
  <c r="AH8" i="1"/>
  <c r="AE7" i="1"/>
  <c r="AD8" i="1"/>
  <c r="AA7" i="1"/>
  <c r="Z8" i="1"/>
  <c r="AJ4" i="1"/>
  <c r="AG4" i="1"/>
  <c r="AE4" i="1"/>
  <c r="AC4" i="1"/>
  <c r="AH7" i="1"/>
  <c r="AG8" i="1"/>
  <c r="AD7" i="1"/>
  <c r="AJ32" i="1"/>
  <c r="AJ28" i="1"/>
  <c r="AJ24" i="1"/>
  <c r="AJ20" i="1"/>
  <c r="AJ16" i="1"/>
  <c r="AJ12" i="1"/>
  <c r="AI32" i="1"/>
  <c r="AI28" i="1"/>
  <c r="AI24" i="1"/>
  <c r="AI20" i="1"/>
  <c r="AI16" i="1"/>
  <c r="AI12" i="1"/>
  <c r="AH32" i="1"/>
  <c r="AH28" i="1"/>
  <c r="AH24" i="1"/>
  <c r="AH20" i="1"/>
  <c r="AH16" i="1"/>
  <c r="AH12" i="1"/>
  <c r="AG32" i="1"/>
  <c r="AG28" i="1"/>
  <c r="AG24" i="1"/>
  <c r="AG20" i="1"/>
  <c r="AG16" i="1"/>
  <c r="AG12" i="1"/>
  <c r="AF32" i="1"/>
  <c r="AF28" i="1"/>
  <c r="AF24" i="1"/>
  <c r="AF20" i="1"/>
  <c r="AF16" i="1"/>
  <c r="AF12" i="1"/>
  <c r="AE32" i="1"/>
  <c r="AE28" i="1"/>
  <c r="AE24" i="1"/>
  <c r="AE20" i="1"/>
  <c r="AE16" i="1"/>
  <c r="AE12" i="1"/>
  <c r="AD32" i="1"/>
  <c r="AD28" i="1"/>
  <c r="AD24" i="1"/>
  <c r="AD20" i="1"/>
  <c r="AD16" i="1"/>
  <c r="AD12" i="1"/>
  <c r="AC32" i="1"/>
  <c r="AC28" i="1"/>
  <c r="AC24" i="1"/>
  <c r="AC20" i="1"/>
  <c r="AC16" i="1"/>
  <c r="AC12" i="1"/>
  <c r="AB32" i="1"/>
  <c r="AB28" i="1"/>
  <c r="AB24" i="1"/>
  <c r="AB20" i="1"/>
  <c r="AB16" i="1"/>
  <c r="AB12" i="1"/>
  <c r="AA32" i="1"/>
  <c r="AA28" i="1"/>
  <c r="AA24" i="1"/>
  <c r="AA20" i="1"/>
  <c r="AA16" i="1"/>
  <c r="AA12" i="1"/>
  <c r="Z32" i="1"/>
  <c r="Z28" i="1"/>
  <c r="Z24" i="1"/>
  <c r="Z20" i="1"/>
  <c r="Z16" i="1"/>
  <c r="Z12" i="1"/>
  <c r="AB1721" i="2"/>
  <c r="AC1720" i="2"/>
  <c r="AE1705" i="2"/>
  <c r="AF1673" i="2"/>
  <c r="AB1649" i="2"/>
  <c r="AE1625" i="2"/>
  <c r="AF1611" i="2"/>
  <c r="AG1599" i="2"/>
  <c r="AF1577" i="2"/>
  <c r="AC1576" i="2"/>
  <c r="AB1575" i="2"/>
  <c r="AG1571" i="2"/>
  <c r="AC1569" i="2"/>
  <c r="AC1546" i="2"/>
  <c r="AF1536" i="2"/>
  <c r="AF1528" i="2"/>
  <c r="AA1528" i="2"/>
  <c r="AD1521" i="2"/>
  <c r="AF1516" i="2"/>
  <c r="AC1494" i="2"/>
  <c r="AB1492" i="2"/>
  <c r="AD1489" i="2"/>
  <c r="AF1464" i="2"/>
  <c r="AF1444" i="2"/>
  <c r="AC1439" i="2"/>
  <c r="AF1434" i="2"/>
  <c r="AE1420" i="2"/>
  <c r="AF1398" i="2"/>
  <c r="AB1386" i="2"/>
  <c r="Z1384" i="2"/>
  <c r="Z1356" i="2"/>
  <c r="AB1335" i="2"/>
  <c r="AE1332" i="2"/>
  <c r="AD1315" i="2"/>
  <c r="Z1300" i="2"/>
  <c r="AB1295" i="2"/>
  <c r="AF1294" i="2"/>
  <c r="AC1280" i="2"/>
  <c r="AF1264" i="2"/>
  <c r="AC1243" i="2"/>
  <c r="AA1233" i="2"/>
  <c r="AB1232" i="2"/>
  <c r="AD1219" i="2"/>
  <c r="AF1179" i="2"/>
  <c r="AF1178" i="2"/>
  <c r="AB1170" i="2"/>
  <c r="AA1128" i="2"/>
  <c r="AB1104" i="2"/>
  <c r="AD1091" i="2"/>
  <c r="AB1078" i="2"/>
  <c r="AE1071" i="2"/>
  <c r="Z1052" i="2"/>
  <c r="AC1047" i="2"/>
  <c r="AD1044" i="2"/>
  <c r="AC999" i="2"/>
  <c r="AB996" i="2"/>
  <c r="AF995" i="2"/>
  <c r="AD992" i="2"/>
  <c r="AA967" i="2"/>
  <c r="AB964" i="2"/>
  <c r="AE960" i="2"/>
  <c r="AF955" i="2"/>
  <c r="AE940" i="2"/>
  <c r="AF935" i="2"/>
  <c r="Z935" i="2"/>
  <c r="AF919" i="2"/>
  <c r="AF912" i="2"/>
  <c r="AC895" i="2"/>
  <c r="AF886" i="2"/>
  <c r="AF877" i="2"/>
  <c r="AC869" i="2"/>
  <c r="AB856" i="2"/>
  <c r="AD849" i="2"/>
  <c r="AB807" i="2"/>
  <c r="AC792" i="2"/>
  <c r="AF791" i="2"/>
  <c r="AD788" i="2"/>
  <c r="AB785" i="2"/>
  <c r="AF782" i="2"/>
  <c r="AB762" i="2"/>
  <c r="AB761" i="2"/>
  <c r="AF760" i="2"/>
  <c r="AB755" i="2"/>
  <c r="AB747" i="2"/>
  <c r="Z732" i="2"/>
  <c r="AF705" i="2"/>
  <c r="AG704" i="2"/>
  <c r="AH704" i="2" s="1"/>
  <c r="AC696" i="2"/>
  <c r="AD693" i="2"/>
  <c r="AC692" i="2"/>
  <c r="AB681" i="2"/>
  <c r="AB654" i="2"/>
  <c r="AF641" i="2"/>
  <c r="AB630" i="2"/>
  <c r="AB629" i="2"/>
  <c r="AA613" i="2"/>
  <c r="AC612" i="2"/>
  <c r="AF601" i="2"/>
  <c r="AD594" i="2"/>
  <c r="AD581" i="2"/>
  <c r="AA575" i="2"/>
  <c r="AA567" i="2"/>
  <c r="AF555" i="2"/>
  <c r="Z552" i="2"/>
  <c r="AD537" i="2"/>
  <c r="AD527" i="2"/>
  <c r="AB526" i="2"/>
  <c r="AD512" i="2"/>
  <c r="AF511" i="2"/>
  <c r="AD501" i="2"/>
  <c r="Z501" i="2"/>
  <c r="AB500" i="2"/>
  <c r="AC495" i="2"/>
  <c r="AB487" i="2"/>
  <c r="AF484" i="2"/>
  <c r="AC483" i="2"/>
  <c r="AB473" i="2"/>
  <c r="AB471" i="2"/>
  <c r="AD468" i="2"/>
  <c r="AF461" i="2"/>
  <c r="AB453" i="2"/>
  <c r="AA445" i="2"/>
  <c r="Z443" i="2"/>
  <c r="AB439" i="2"/>
  <c r="AF435" i="2"/>
  <c r="Z435" i="2"/>
  <c r="Z428" i="2"/>
  <c r="AB417" i="2"/>
  <c r="AA409" i="2"/>
  <c r="AB407" i="2"/>
  <c r="AB401" i="2"/>
  <c r="AD388" i="2"/>
  <c r="AB377" i="2"/>
  <c r="AF356" i="2"/>
  <c r="AF340" i="2"/>
  <c r="Z316" i="2"/>
  <c r="AB313" i="2"/>
  <c r="AB308" i="2"/>
  <c r="AB305" i="2"/>
  <c r="AB297" i="2"/>
  <c r="AE296" i="2"/>
  <c r="AA273" i="2"/>
  <c r="AB226" i="2"/>
  <c r="AA220" i="2"/>
  <c r="AB194" i="2"/>
  <c r="AB176" i="2"/>
  <c r="AA166" i="2"/>
  <c r="AB159" i="2"/>
  <c r="AF147" i="2"/>
  <c r="AD130" i="2"/>
  <c r="AB119" i="2"/>
  <c r="AA110" i="2"/>
  <c r="AB103" i="2"/>
  <c r="AE92" i="2"/>
  <c r="AF72" i="2"/>
  <c r="AA59" i="2"/>
  <c r="AB39" i="2"/>
  <c r="AB36" i="2"/>
  <c r="AB35" i="2"/>
  <c r="Z34" i="2"/>
  <c r="AD28" i="2"/>
  <c r="AB27" i="2"/>
  <c r="AB24" i="2"/>
  <c r="AB23" i="2"/>
  <c r="AB7" i="2"/>
  <c r="AD4" i="2"/>
  <c r="AE3" i="2"/>
  <c r="AG1721" i="2"/>
  <c r="AA1721" i="2"/>
  <c r="AF1675" i="2"/>
  <c r="AF1674" i="2"/>
  <c r="AF1667" i="2"/>
  <c r="AC1664" i="2"/>
  <c r="AE1657" i="2"/>
  <c r="AB1656" i="2"/>
  <c r="AG1655" i="2"/>
  <c r="AE1641" i="2"/>
  <c r="AD1612" i="2"/>
  <c r="AF1609" i="2"/>
  <c r="AC1600" i="2"/>
  <c r="AF1595" i="2"/>
  <c r="AB1581" i="2"/>
  <c r="AA1577" i="2"/>
  <c r="AB1569" i="2"/>
  <c r="AC1547" i="2"/>
  <c r="AF1544" i="2"/>
  <c r="AC1536" i="2"/>
  <c r="AE1528" i="2"/>
  <c r="Z1528" i="2"/>
  <c r="Z1521" i="2"/>
  <c r="AB1516" i="2"/>
  <c r="AC1499" i="2"/>
  <c r="AF1469" i="2"/>
  <c r="AE1462" i="2"/>
  <c r="AF1456" i="2"/>
  <c r="AC1447" i="2"/>
  <c r="AC1444" i="2"/>
  <c r="AC1432" i="2"/>
  <c r="AB1424" i="2"/>
  <c r="AC1423" i="2"/>
  <c r="AB1388" i="2"/>
  <c r="AF1384" i="2"/>
  <c r="AF1382" i="2"/>
  <c r="AF1339" i="2"/>
  <c r="Z1335" i="2"/>
  <c r="AB1324" i="2"/>
  <c r="AD1304" i="2"/>
  <c r="Z1295" i="2"/>
  <c r="AC1294" i="2"/>
  <c r="AB1280" i="2"/>
  <c r="AF1248" i="2"/>
  <c r="Z1232" i="2"/>
  <c r="AB1231" i="2"/>
  <c r="AC1230" i="2"/>
  <c r="AE1217" i="2"/>
  <c r="AB1203" i="2"/>
  <c r="AA1199" i="2"/>
  <c r="AB1180" i="2"/>
  <c r="AC1179" i="2"/>
  <c r="AG1170" i="2"/>
  <c r="AD1168" i="2"/>
  <c r="AD1163" i="2"/>
  <c r="AF1162" i="2"/>
  <c r="AF1143" i="2"/>
  <c r="AC1115" i="2"/>
  <c r="AF1114" i="2"/>
  <c r="AF1107" i="2"/>
  <c r="AF1098" i="2"/>
  <c r="AD1080" i="2"/>
  <c r="AB1079" i="2"/>
  <c r="AB1071" i="2"/>
  <c r="AF1060" i="2"/>
  <c r="AC1055" i="2"/>
  <c r="AB1047" i="2"/>
  <c r="AE1036" i="2"/>
  <c r="AF1018" i="2"/>
  <c r="AF1007" i="2"/>
  <c r="AA996" i="2"/>
  <c r="AD976" i="2"/>
  <c r="AD971" i="2"/>
  <c r="AB960" i="2"/>
  <c r="AB936" i="2"/>
  <c r="AD935" i="2"/>
  <c r="AC931" i="2"/>
  <c r="AD902" i="2"/>
  <c r="AC887" i="2"/>
  <c r="AB869" i="2"/>
  <c r="AC860" i="2"/>
  <c r="AF859" i="2"/>
  <c r="AB857" i="2"/>
  <c r="AF856" i="2"/>
  <c r="AE854" i="2"/>
  <c r="AB841" i="2"/>
  <c r="AD805" i="2"/>
  <c r="Z792" i="2"/>
  <c r="AC791" i="2"/>
  <c r="AB788" i="2"/>
  <c r="AC783" i="2"/>
  <c r="AF763" i="2"/>
  <c r="Z761" i="2"/>
  <c r="AB749" i="2"/>
  <c r="AC717" i="2"/>
  <c r="AE714" i="2"/>
  <c r="AE711" i="2"/>
  <c r="AD706" i="2"/>
  <c r="AB697" i="2"/>
  <c r="AB693" i="2"/>
  <c r="AD658" i="2"/>
  <c r="AE657" i="2"/>
  <c r="Z630" i="2"/>
  <c r="AF613" i="2"/>
  <c r="Z610" i="2"/>
  <c r="AB601" i="2"/>
  <c r="AC585" i="2"/>
  <c r="AF584" i="2"/>
  <c r="AB555" i="2"/>
  <c r="AB544" i="2"/>
  <c r="AE531" i="2"/>
  <c r="AB527" i="2"/>
  <c r="AB515" i="2"/>
  <c r="AB512" i="2"/>
  <c r="AB511" i="2"/>
  <c r="AF489" i="2"/>
  <c r="AE485" i="2"/>
  <c r="AB483" i="2"/>
  <c r="AF471" i="2"/>
  <c r="AA471" i="2"/>
  <c r="AF443" i="2"/>
  <c r="AD435" i="2"/>
  <c r="AC411" i="2"/>
  <c r="Z407" i="2"/>
  <c r="AD404" i="2"/>
  <c r="AC393" i="2"/>
  <c r="AB365" i="2"/>
  <c r="AF344" i="2"/>
  <c r="AF341" i="2"/>
  <c r="AA313" i="2"/>
  <c r="AF299" i="2"/>
  <c r="Z297" i="2"/>
  <c r="AF255" i="2"/>
  <c r="AD238" i="2"/>
  <c r="AB233" i="2"/>
  <c r="AF220" i="2"/>
  <c r="AB203" i="2"/>
  <c r="AB188" i="2"/>
  <c r="AB183" i="2"/>
  <c r="AF162" i="2"/>
  <c r="AF150" i="2"/>
  <c r="AD147" i="2"/>
  <c r="AB130" i="2"/>
  <c r="AD94" i="2"/>
  <c r="AB92" i="2"/>
  <c r="AB79" i="2"/>
  <c r="Z36" i="2"/>
  <c r="AB32" i="2"/>
  <c r="AF31" i="2"/>
  <c r="AC20" i="2"/>
  <c r="AF19" i="2"/>
  <c r="AA19" i="2"/>
  <c r="AF7" i="2"/>
  <c r="Z7" i="2"/>
  <c r="AB4" i="2"/>
  <c r="AB3" i="2"/>
  <c r="J1276" i="4"/>
  <c r="J1272" i="4"/>
  <c r="J1264" i="4"/>
  <c r="J1260" i="4"/>
  <c r="J1248" i="4"/>
  <c r="J1236" i="4"/>
  <c r="J1224" i="4"/>
  <c r="J1212" i="4"/>
  <c r="J1200" i="4"/>
  <c r="J1168" i="4"/>
  <c r="J1156" i="4"/>
  <c r="J1144" i="4"/>
  <c r="J1132" i="4"/>
  <c r="J1120" i="4"/>
  <c r="J1108" i="4"/>
  <c r="J1096" i="4"/>
  <c r="J1092" i="4"/>
  <c r="J1084" i="4"/>
  <c r="J1080" i="4"/>
  <c r="J1072" i="4"/>
  <c r="J1068" i="4"/>
  <c r="J1060" i="4"/>
  <c r="J1056" i="4"/>
  <c r="J1048" i="4"/>
  <c r="J1044" i="4"/>
  <c r="J1036" i="4"/>
  <c r="J1032" i="4"/>
  <c r="J1024" i="4"/>
  <c r="J1020" i="4"/>
  <c r="J1012" i="4"/>
  <c r="J1008" i="4"/>
  <c r="J1000" i="4"/>
  <c r="J996" i="4"/>
  <c r="J988" i="4"/>
  <c r="J984" i="4"/>
  <c r="J976" i="4"/>
  <c r="J972" i="4"/>
  <c r="J964" i="4"/>
  <c r="J960" i="4"/>
  <c r="J948" i="4"/>
  <c r="J936" i="4"/>
  <c r="J924" i="4"/>
  <c r="J912" i="4"/>
  <c r="J900" i="4"/>
  <c r="J896" i="4"/>
  <c r="J888" i="4"/>
  <c r="J884" i="4"/>
  <c r="J876" i="4"/>
  <c r="J872" i="4"/>
  <c r="J864" i="4"/>
  <c r="J860" i="4"/>
  <c r="J852" i="4"/>
  <c r="J848" i="4"/>
  <c r="J840" i="4"/>
  <c r="J836" i="4"/>
  <c r="J828" i="4"/>
  <c r="J824" i="4"/>
  <c r="J816" i="4"/>
  <c r="J812" i="4"/>
  <c r="J804" i="4"/>
  <c r="J800" i="4"/>
  <c r="J792" i="4"/>
  <c r="J788" i="4"/>
  <c r="J780" i="4"/>
  <c r="J776" i="4"/>
  <c r="J768" i="4"/>
  <c r="J764" i="4"/>
  <c r="J756" i="4"/>
  <c r="J752" i="4"/>
  <c r="J744" i="4"/>
  <c r="J740" i="4"/>
  <c r="J732" i="4"/>
  <c r="J728" i="4"/>
  <c r="J720" i="4"/>
  <c r="J716" i="4"/>
  <c r="J708" i="4"/>
  <c r="J704" i="4"/>
  <c r="J696" i="4"/>
  <c r="J692" i="4"/>
  <c r="J684" i="4"/>
  <c r="J672" i="4"/>
  <c r="J660" i="4"/>
  <c r="J648" i="4"/>
  <c r="J636" i="4"/>
  <c r="J624" i="4"/>
  <c r="J620" i="4"/>
  <c r="J612" i="4"/>
  <c r="J608" i="4"/>
  <c r="J600" i="4"/>
  <c r="J596" i="4"/>
  <c r="J588" i="4"/>
  <c r="J584" i="4"/>
  <c r="J576" i="4"/>
  <c r="J572" i="4"/>
  <c r="J564" i="4"/>
  <c r="J552" i="4"/>
  <c r="J540" i="4"/>
  <c r="J528" i="4"/>
  <c r="J516" i="4"/>
  <c r="J504" i="4"/>
  <c r="J496" i="4"/>
  <c r="J492" i="4"/>
  <c r="J484" i="4"/>
  <c r="J480" i="4"/>
  <c r="J472" i="4"/>
  <c r="J468" i="4"/>
  <c r="J456" i="4"/>
  <c r="J448" i="4"/>
  <c r="J444" i="4"/>
  <c r="J436" i="4"/>
  <c r="J432" i="4"/>
  <c r="J424" i="4"/>
  <c r="J420" i="4"/>
  <c r="J412" i="4"/>
  <c r="J408" i="4"/>
  <c r="J400" i="4"/>
  <c r="J396" i="4"/>
  <c r="J388" i="4"/>
  <c r="J384" i="4"/>
  <c r="J376" i="4"/>
  <c r="J372" i="4"/>
  <c r="J364" i="4"/>
  <c r="J360" i="4"/>
  <c r="J352" i="4"/>
  <c r="J348" i="4"/>
  <c r="J340" i="4"/>
  <c r="J336" i="4"/>
  <c r="J328" i="4"/>
  <c r="J324" i="4"/>
  <c r="J316" i="4"/>
  <c r="J312" i="4"/>
  <c r="J304" i="4"/>
  <c r="J300" i="4"/>
  <c r="J292" i="4"/>
  <c r="J288" i="4"/>
  <c r="J280" i="4"/>
  <c r="J276" i="4"/>
  <c r="J268" i="4"/>
  <c r="J264" i="4"/>
  <c r="J256" i="4"/>
  <c r="J252" i="4"/>
  <c r="J244" i="4"/>
  <c r="J240" i="4"/>
  <c r="J232" i="4"/>
  <c r="J228" i="4"/>
  <c r="J220" i="4"/>
  <c r="J216" i="4"/>
  <c r="J204" i="4"/>
  <c r="J192" i="4"/>
  <c r="J180" i="4"/>
  <c r="J168" i="4"/>
  <c r="J156" i="4"/>
  <c r="J144" i="4"/>
  <c r="J132" i="4"/>
  <c r="J120" i="4"/>
  <c r="J108" i="4"/>
  <c r="J96" i="4"/>
  <c r="J84" i="4"/>
  <c r="J72" i="4"/>
  <c r="J68" i="4"/>
  <c r="J60" i="4"/>
  <c r="J56" i="4"/>
  <c r="J48" i="4"/>
  <c r="J44" i="4"/>
  <c r="J36" i="4"/>
  <c r="J32" i="4"/>
  <c r="J20" i="4"/>
  <c r="AF1721" i="2"/>
  <c r="AD1528" i="2"/>
  <c r="AF1335" i="2"/>
  <c r="AF792" i="2"/>
  <c r="AE471" i="2"/>
  <c r="AE407" i="2"/>
  <c r="AE7" i="2"/>
  <c r="Z516" i="2"/>
  <c r="AD505" i="2"/>
  <c r="AF486" i="2"/>
  <c r="Z479" i="2"/>
  <c r="AE455" i="2"/>
  <c r="AA396" i="2"/>
  <c r="AB396" i="2"/>
  <c r="AB371" i="2"/>
  <c r="AC371" i="2"/>
  <c r="Z369" i="2"/>
  <c r="AF369" i="2"/>
  <c r="Z355" i="2"/>
  <c r="AC355" i="2"/>
  <c r="Z295" i="2"/>
  <c r="AC295" i="2"/>
  <c r="AC191" i="2"/>
  <c r="AF191" i="2"/>
  <c r="AB71" i="2"/>
  <c r="AF71" i="2"/>
  <c r="AB1705" i="2"/>
  <c r="AB1688" i="2"/>
  <c r="AG1687" i="2"/>
  <c r="AH1687" i="2" s="1"/>
  <c r="AB1664" i="2"/>
  <c r="AG1663" i="2"/>
  <c r="AF1619" i="2"/>
  <c r="AF1605" i="2"/>
  <c r="AD1604" i="2"/>
  <c r="AF1603" i="2"/>
  <c r="AC1560" i="2"/>
  <c r="AD1553" i="2"/>
  <c r="AE1534" i="2"/>
  <c r="AD1533" i="2"/>
  <c r="AF1476" i="2"/>
  <c r="AC1460" i="2"/>
  <c r="AE1424" i="2"/>
  <c r="AF1416" i="2"/>
  <c r="AC1382" i="2"/>
  <c r="AF1381" i="2"/>
  <c r="AF1380" i="2"/>
  <c r="AA1380" i="2"/>
  <c r="AC1379" i="2"/>
  <c r="AG1378" i="2"/>
  <c r="AF1376" i="2"/>
  <c r="AD1356" i="2"/>
  <c r="AB1332" i="2"/>
  <c r="AB1304" i="2"/>
  <c r="AD1300" i="2"/>
  <c r="AG1300" i="2"/>
  <c r="AC1264" i="2"/>
  <c r="AC1246" i="2"/>
  <c r="AF1233" i="2"/>
  <c r="AD1232" i="2"/>
  <c r="AD1231" i="2"/>
  <c r="AA1213" i="2"/>
  <c r="AE1195" i="2"/>
  <c r="AD1192" i="2"/>
  <c r="AB1186" i="2"/>
  <c r="AA1183" i="2"/>
  <c r="AB1179" i="2"/>
  <c r="AD1175" i="2"/>
  <c r="AC1162" i="2"/>
  <c r="AB1160" i="2"/>
  <c r="Z1152" i="2"/>
  <c r="AF1139" i="2"/>
  <c r="AA1139" i="2"/>
  <c r="AB1136" i="2"/>
  <c r="AC1135" i="2"/>
  <c r="AF1134" i="2"/>
  <c r="AF1131" i="2"/>
  <c r="AF1128" i="2"/>
  <c r="Z1128" i="2"/>
  <c r="AB1127" i="2"/>
  <c r="AE1080" i="2"/>
  <c r="AC995" i="2"/>
  <c r="AF994" i="2"/>
  <c r="AD924" i="2"/>
  <c r="AF923" i="2"/>
  <c r="AE903" i="2"/>
  <c r="AB895" i="2"/>
  <c r="AF888" i="2"/>
  <c r="AB886" i="2"/>
  <c r="AD821" i="2"/>
  <c r="AB763" i="2"/>
  <c r="Z712" i="2"/>
  <c r="AB706" i="2"/>
  <c r="AE705" i="2"/>
  <c r="Z693" i="2"/>
  <c r="AG693" i="2" s="1"/>
  <c r="AD690" i="2"/>
  <c r="AE689" i="2"/>
  <c r="AB677" i="2"/>
  <c r="AE641" i="2"/>
  <c r="AD638" i="2"/>
  <c r="AB633" i="2"/>
  <c r="AA629" i="2"/>
  <c r="AF628" i="2"/>
  <c r="AE625" i="2"/>
  <c r="AD622" i="2"/>
  <c r="AF617" i="2"/>
  <c r="AA617" i="2"/>
  <c r="AE614" i="2"/>
  <c r="AF608" i="2"/>
  <c r="AB605" i="2"/>
  <c r="AB597" i="2"/>
  <c r="AF585" i="2"/>
  <c r="AA585" i="2"/>
  <c r="AE582" i="2"/>
  <c r="AB581" i="2"/>
  <c r="AB578" i="2"/>
  <c r="AB577" i="2"/>
  <c r="AF567" i="2"/>
  <c r="AE557" i="2"/>
  <c r="AD548" i="2"/>
  <c r="AB537" i="2"/>
  <c r="AF536" i="2"/>
  <c r="AB535" i="2"/>
  <c r="AB529" i="2"/>
  <c r="Z527" i="2"/>
  <c r="Z524" i="2"/>
  <c r="AB489" i="2"/>
  <c r="AA487" i="2"/>
  <c r="AD481" i="2"/>
  <c r="AF473" i="2"/>
  <c r="AG471" i="2"/>
  <c r="AD465" i="2"/>
  <c r="AF459" i="2"/>
  <c r="AF453" i="2"/>
  <c r="AD448" i="2"/>
  <c r="AB447" i="2"/>
  <c r="AB445" i="2"/>
  <c r="AD444" i="2"/>
  <c r="AE443" i="2"/>
  <c r="AA443" i="2"/>
  <c r="AC415" i="2"/>
  <c r="AA415" i="2"/>
  <c r="AF415" i="2"/>
  <c r="AC381" i="2"/>
  <c r="Z381" i="2"/>
  <c r="AE381" i="2"/>
  <c r="Z356" i="2"/>
  <c r="AB356" i="2"/>
  <c r="AC252" i="2"/>
  <c r="AE252" i="2"/>
  <c r="AC248" i="2"/>
  <c r="AB248" i="2"/>
  <c r="AF248" i="2"/>
  <c r="AE232" i="2"/>
  <c r="AC232" i="2"/>
  <c r="AC187" i="2"/>
  <c r="AB187" i="2"/>
  <c r="Z149" i="2"/>
  <c r="AC149" i="2"/>
  <c r="AA134" i="2"/>
  <c r="AC134" i="2"/>
  <c r="AA74" i="2"/>
  <c r="AC74" i="2"/>
  <c r="AF33" i="2"/>
  <c r="AB33" i="2"/>
  <c r="AF1707" i="2"/>
  <c r="AA1705" i="2"/>
  <c r="AC1676" i="2"/>
  <c r="AD1668" i="2"/>
  <c r="Z1664" i="2"/>
  <c r="AB1650" i="2"/>
  <c r="AC1644" i="2"/>
  <c r="AG1631" i="2"/>
  <c r="AB1624" i="2"/>
  <c r="AC1619" i="2"/>
  <c r="AC1604" i="2"/>
  <c r="AC1603" i="2"/>
  <c r="AD1580" i="2"/>
  <c r="AB1561" i="2"/>
  <c r="AB1560" i="2"/>
  <c r="AB1553" i="2"/>
  <c r="AD1539" i="2"/>
  <c r="AB1533" i="2"/>
  <c r="AB1476" i="2"/>
  <c r="AB1460" i="2"/>
  <c r="AD1452" i="2"/>
  <c r="AD1416" i="2"/>
  <c r="AF1410" i="2"/>
  <c r="AF1396" i="2"/>
  <c r="AF1387" i="2"/>
  <c r="AB1382" i="2"/>
  <c r="AE1380" i="2"/>
  <c r="AE1360" i="2"/>
  <c r="AF1346" i="2"/>
  <c r="AC1343" i="2"/>
  <c r="AF1320" i="2"/>
  <c r="Z1304" i="2"/>
  <c r="AF1296" i="2"/>
  <c r="AA1195" i="2"/>
  <c r="AB1162" i="2"/>
  <c r="AF1142" i="2"/>
  <c r="AE1139" i="2"/>
  <c r="AB1134" i="2"/>
  <c r="AC1075" i="2"/>
  <c r="AF1054" i="2"/>
  <c r="AD1031" i="2"/>
  <c r="AC998" i="2"/>
  <c r="Z995" i="2"/>
  <c r="AC958" i="2"/>
  <c r="AD906" i="2"/>
  <c r="AC903" i="2"/>
  <c r="AF895" i="2"/>
  <c r="AA886" i="2"/>
  <c r="AC881" i="2"/>
  <c r="AD876" i="2"/>
  <c r="AD864" i="2"/>
  <c r="AF855" i="2"/>
  <c r="AD840" i="2"/>
  <c r="Z821" i="2"/>
  <c r="AC784" i="2"/>
  <c r="AC777" i="2"/>
  <c r="AC756" i="2"/>
  <c r="AC753" i="2"/>
  <c r="AA689" i="2"/>
  <c r="AA641" i="2"/>
  <c r="AB638" i="2"/>
  <c r="AF629" i="2"/>
  <c r="Z629" i="2"/>
  <c r="AA625" i="2"/>
  <c r="AD618" i="2"/>
  <c r="AB606" i="2"/>
  <c r="AD590" i="2"/>
  <c r="AE571" i="2"/>
  <c r="AB548" i="2"/>
  <c r="AB536" i="2"/>
  <c r="Z441" i="2"/>
  <c r="AF441" i="2"/>
  <c r="AC399" i="2"/>
  <c r="AA399" i="2"/>
  <c r="AB399" i="2"/>
  <c r="AC83" i="2"/>
  <c r="AF83" i="2"/>
  <c r="AC1712" i="2"/>
  <c r="AC1699" i="2"/>
  <c r="Z1688" i="2"/>
  <c r="AF1687" i="2"/>
  <c r="AG1664" i="2"/>
  <c r="AF1663" i="2"/>
  <c r="AG1615" i="2"/>
  <c r="AH1615" i="2" s="1"/>
  <c r="AC1608" i="2"/>
  <c r="AB1605" i="2"/>
  <c r="AA1534" i="2"/>
  <c r="AD1477" i="2"/>
  <c r="AD1467" i="2"/>
  <c r="Z1380" i="2"/>
  <c r="Z1379" i="2"/>
  <c r="AG1379" i="2" s="1"/>
  <c r="AF1370" i="2"/>
  <c r="AF1334" i="2"/>
  <c r="AA1332" i="2"/>
  <c r="AE1268" i="2"/>
  <c r="AB1264" i="2"/>
  <c r="AB1223" i="2"/>
  <c r="AB1207" i="2"/>
  <c r="AF1196" i="2"/>
  <c r="Z1160" i="2"/>
  <c r="Z1139" i="2"/>
  <c r="AB1135" i="2"/>
  <c r="AB1059" i="2"/>
  <c r="AB1012" i="2"/>
  <c r="AE1004" i="2"/>
  <c r="AC994" i="2"/>
  <c r="AC970" i="2"/>
  <c r="AD944" i="2"/>
  <c r="AE927" i="2"/>
  <c r="AB924" i="2"/>
  <c r="AC911" i="2"/>
  <c r="AB900" i="2"/>
  <c r="Z895" i="2"/>
  <c r="AC888" i="2"/>
  <c r="AE873" i="2"/>
  <c r="AE870" i="2"/>
  <c r="AC852" i="2"/>
  <c r="AC845" i="2"/>
  <c r="AF829" i="2"/>
  <c r="AB800" i="2"/>
  <c r="AF729" i="2"/>
  <c r="AD716" i="2"/>
  <c r="AA705" i="2"/>
  <c r="AC628" i="2"/>
  <c r="AD598" i="2"/>
  <c r="Z537" i="2"/>
  <c r="AC372" i="2"/>
  <c r="Z372" i="2"/>
  <c r="AB372" i="2"/>
  <c r="AC368" i="2"/>
  <c r="AB368" i="2"/>
  <c r="AC353" i="2"/>
  <c r="AF353" i="2"/>
  <c r="AA353" i="2"/>
  <c r="AC317" i="2"/>
  <c r="AD317" i="2"/>
  <c r="Z303" i="2"/>
  <c r="AF303" i="2"/>
  <c r="AC60" i="2"/>
  <c r="AD60" i="2"/>
  <c r="AC40" i="2"/>
  <c r="AF40" i="2"/>
  <c r="Z40" i="2"/>
  <c r="AA40" i="2"/>
  <c r="Z6" i="2"/>
  <c r="AF6" i="2"/>
  <c r="AC1715" i="2"/>
  <c r="AF1705" i="2"/>
  <c r="AC1700" i="2"/>
  <c r="AB1697" i="2"/>
  <c r="AG1688" i="2"/>
  <c r="AB1677" i="2"/>
  <c r="AB1675" i="2"/>
  <c r="AB1674" i="2"/>
  <c r="AB1673" i="2"/>
  <c r="AA1665" i="2"/>
  <c r="AF1664" i="2"/>
  <c r="AB1651" i="2"/>
  <c r="AB1645" i="2"/>
  <c r="AA1633" i="2"/>
  <c r="AB1632" i="2"/>
  <c r="AA1625" i="2"/>
  <c r="AC1616" i="2"/>
  <c r="AA1609" i="2"/>
  <c r="AB1593" i="2"/>
  <c r="AB1577" i="2"/>
  <c r="AC1575" i="2"/>
  <c r="AF1574" i="2"/>
  <c r="AF1573" i="2"/>
  <c r="AA1540" i="2"/>
  <c r="AC1484" i="2"/>
  <c r="AA1424" i="2"/>
  <c r="AD1423" i="2"/>
  <c r="AF1420" i="2"/>
  <c r="AF1406" i="2"/>
  <c r="AG1384" i="2"/>
  <c r="AH1384" i="2" s="1"/>
  <c r="AD1380" i="2"/>
  <c r="AF1356" i="2"/>
  <c r="AA1356" i="2"/>
  <c r="AG1334" i="2"/>
  <c r="AF1332" i="2"/>
  <c r="AF1324" i="2"/>
  <c r="AF1304" i="2"/>
  <c r="AF1300" i="2"/>
  <c r="AA1300" i="2"/>
  <c r="AC1299" i="2"/>
  <c r="AF1240" i="2"/>
  <c r="AF1235" i="2"/>
  <c r="AF1232" i="2"/>
  <c r="AF1231" i="2"/>
  <c r="AA1231" i="2"/>
  <c r="AF1158" i="2"/>
  <c r="AD1139" i="2"/>
  <c r="AF1091" i="2"/>
  <c r="AB1080" i="2"/>
  <c r="AF1079" i="2"/>
  <c r="AC1067" i="2"/>
  <c r="AE1052" i="2"/>
  <c r="Z1036" i="2"/>
  <c r="AE1020" i="2"/>
  <c r="AB1007" i="2"/>
  <c r="AD1000" i="2"/>
  <c r="AF991" i="2"/>
  <c r="AE988" i="2"/>
  <c r="AE976" i="2"/>
  <c r="AD975" i="2"/>
  <c r="AA972" i="2"/>
  <c r="AB971" i="2"/>
  <c r="AD964" i="2"/>
  <c r="AB923" i="2"/>
  <c r="AF917" i="2"/>
  <c r="AA912" i="2"/>
  <c r="AD907" i="2"/>
  <c r="AD898" i="2"/>
  <c r="AD895" i="2"/>
  <c r="AD825" i="2"/>
  <c r="AB803" i="2"/>
  <c r="AC788" i="2"/>
  <c r="AF781" i="2"/>
  <c r="AE749" i="2"/>
  <c r="AD697" i="2"/>
  <c r="AB658" i="2"/>
  <c r="AF657" i="2"/>
  <c r="AD654" i="2"/>
  <c r="AE629" i="2"/>
  <c r="AB575" i="2"/>
  <c r="AF569" i="2"/>
  <c r="AB567" i="2"/>
  <c r="AD564" i="2"/>
  <c r="AE555" i="2"/>
  <c r="AD552" i="2"/>
  <c r="AD544" i="2"/>
  <c r="AF537" i="2"/>
  <c r="AB531" i="2"/>
  <c r="AG487" i="2"/>
  <c r="AE479" i="2"/>
  <c r="AE445" i="2"/>
  <c r="AC391" i="2"/>
  <c r="AB391" i="2"/>
  <c r="AC384" i="2"/>
  <c r="AD384" i="2"/>
  <c r="AF372" i="2"/>
  <c r="AD353" i="2"/>
  <c r="Z267" i="2"/>
  <c r="AF267" i="2"/>
  <c r="AC249" i="2"/>
  <c r="AA249" i="2"/>
  <c r="AF249" i="2"/>
  <c r="AC186" i="2"/>
  <c r="AA186" i="2"/>
  <c r="AE186" i="2"/>
  <c r="AC155" i="2"/>
  <c r="AB155" i="2"/>
  <c r="AD348" i="2"/>
  <c r="AB344" i="2"/>
  <c r="AB341" i="2"/>
  <c r="AC340" i="2"/>
  <c r="AA305" i="2"/>
  <c r="AD300" i="2"/>
  <c r="AB284" i="2"/>
  <c r="AB257" i="2"/>
  <c r="AF247" i="2"/>
  <c r="Z207" i="2"/>
  <c r="AE190" i="2"/>
  <c r="AF167" i="2"/>
  <c r="AB162" i="2"/>
  <c r="AE154" i="2"/>
  <c r="AB147" i="2"/>
  <c r="AB142" i="2"/>
  <c r="AB120" i="2"/>
  <c r="AD111" i="2"/>
  <c r="AF99" i="2"/>
  <c r="AE96" i="2"/>
  <c r="AB94" i="2"/>
  <c r="AC90" i="2"/>
  <c r="AB68" i="2"/>
  <c r="AF59" i="2"/>
  <c r="Z59" i="2"/>
  <c r="AF48" i="2"/>
  <c r="AG39" i="2"/>
  <c r="AH39" i="2" s="1"/>
  <c r="AF32" i="2"/>
  <c r="Z32" i="2"/>
  <c r="AC31" i="2"/>
  <c r="Z23" i="2"/>
  <c r="AE435" i="2"/>
  <c r="AB409" i="2"/>
  <c r="AF408" i="2"/>
  <c r="AF407" i="2"/>
  <c r="AA407" i="2"/>
  <c r="AC401" i="2"/>
  <c r="AC316" i="2"/>
  <c r="AF305" i="2"/>
  <c r="AB273" i="2"/>
  <c r="AB238" i="2"/>
  <c r="AC233" i="2"/>
  <c r="AE194" i="2"/>
  <c r="AE188" i="2"/>
  <c r="AE176" i="2"/>
  <c r="AD175" i="2"/>
  <c r="AB166" i="2"/>
  <c r="AF117" i="2"/>
  <c r="AB110" i="2"/>
  <c r="AB107" i="2"/>
  <c r="AE88" i="2"/>
  <c r="AE59" i="2"/>
  <c r="AE32" i="2"/>
  <c r="AG34" i="2"/>
  <c r="AH1631" i="2"/>
  <c r="AH1378" i="2"/>
  <c r="AH693" i="2"/>
  <c r="AD2" i="2"/>
  <c r="AC1728" i="2"/>
  <c r="AG1727" i="2"/>
  <c r="AB1722" i="2"/>
  <c r="AF1713" i="2"/>
  <c r="AC1707" i="2"/>
  <c r="AF1706" i="2"/>
  <c r="AF1697" i="2"/>
  <c r="AA1697" i="2"/>
  <c r="AC1696" i="2"/>
  <c r="AE1689" i="2"/>
  <c r="AH1688" i="2"/>
  <c r="AF1683" i="2"/>
  <c r="AF1669" i="2"/>
  <c r="AF1665" i="2"/>
  <c r="Z1665" i="2"/>
  <c r="AF1661" i="2"/>
  <c r="AH1641" i="2"/>
  <c r="Z1632" i="2"/>
  <c r="AF1631" i="2"/>
  <c r="AB1619" i="2"/>
  <c r="AB1618" i="2"/>
  <c r="AB1617" i="2"/>
  <c r="AB1616" i="2"/>
  <c r="AF1613" i="2"/>
  <c r="AE1609" i="2"/>
  <c r="Z1609" i="2"/>
  <c r="AB1601" i="2"/>
  <c r="AB1600" i="2"/>
  <c r="AB1588" i="2"/>
  <c r="AF1585" i="2"/>
  <c r="Z1581" i="2"/>
  <c r="AC1580" i="2"/>
  <c r="AC1579" i="2"/>
  <c r="AF1578" i="2"/>
  <c r="Z1577" i="2"/>
  <c r="AB1532" i="2"/>
  <c r="AF1531" i="2"/>
  <c r="AC1530" i="2"/>
  <c r="AB1499" i="2"/>
  <c r="AE1498" i="2"/>
  <c r="AE1470" i="2"/>
  <c r="AC1464" i="2"/>
  <c r="AC1391" i="2"/>
  <c r="AF1388" i="2"/>
  <c r="AA1388" i="2"/>
  <c r="AF1374" i="2"/>
  <c r="AB1360" i="2"/>
  <c r="AH1334" i="2"/>
  <c r="AH1312" i="2"/>
  <c r="AD1307" i="2"/>
  <c r="AH1300" i="2"/>
  <c r="AB1299" i="2"/>
  <c r="AE1260" i="2"/>
  <c r="AC1248" i="2"/>
  <c r="AF1244" i="2"/>
  <c r="AB1196" i="2"/>
  <c r="AB1192" i="2"/>
  <c r="AF1191" i="2"/>
  <c r="AA1191" i="2"/>
  <c r="AB1188" i="2"/>
  <c r="AB1172" i="2"/>
  <c r="AF1171" i="2"/>
  <c r="AB1168" i="2"/>
  <c r="AB1144" i="2"/>
  <c r="AB1075" i="2"/>
  <c r="AB1064" i="2"/>
  <c r="AD1020" i="2"/>
  <c r="AE1019" i="2"/>
  <c r="AF1015" i="2"/>
  <c r="AB1004" i="2"/>
  <c r="AC1003" i="2"/>
  <c r="Z999" i="2"/>
  <c r="AF986" i="2"/>
  <c r="AD983" i="2"/>
  <c r="Z976" i="2"/>
  <c r="AC955" i="2"/>
  <c r="AF954" i="2"/>
  <c r="AC947" i="2"/>
  <c r="AD928" i="2"/>
  <c r="AD918" i="2"/>
  <c r="AF914" i="2"/>
  <c r="Z907" i="2"/>
  <c r="AG907" i="2" s="1"/>
  <c r="AC902" i="2"/>
  <c r="AF901" i="2"/>
  <c r="AF900" i="2"/>
  <c r="AA900" i="2"/>
  <c r="AC899" i="2"/>
  <c r="AD896" i="2"/>
  <c r="AC891" i="2"/>
  <c r="AC885" i="2"/>
  <c r="AC876" i="2"/>
  <c r="AF875" i="2"/>
  <c r="AC840" i="2"/>
  <c r="AF839" i="2"/>
  <c r="AD836" i="2"/>
  <c r="AC805" i="2"/>
  <c r="AB780" i="2"/>
  <c r="AD760" i="2"/>
  <c r="AC757" i="2"/>
  <c r="AF745" i="2"/>
  <c r="AE734" i="2"/>
  <c r="AC729" i="2"/>
  <c r="AD728" i="2"/>
  <c r="AD714" i="2"/>
  <c r="Z697" i="2"/>
  <c r="AD694" i="2"/>
  <c r="AB690" i="2"/>
  <c r="AB674" i="2"/>
  <c r="AF673" i="2"/>
  <c r="AD670" i="2"/>
  <c r="AF665" i="2"/>
  <c r="AD662" i="2"/>
  <c r="AC649" i="2"/>
  <c r="AE646" i="2"/>
  <c r="AD645" i="2"/>
  <c r="AD642" i="2"/>
  <c r="Z633" i="2"/>
  <c r="AC632" i="2"/>
  <c r="AD614" i="2"/>
  <c r="AE601" i="2"/>
  <c r="AA601" i="2"/>
  <c r="AF600" i="2"/>
  <c r="AB598" i="2"/>
  <c r="AF597" i="2"/>
  <c r="AA597" i="2"/>
  <c r="AF596" i="2"/>
  <c r="AD586" i="2"/>
  <c r="AD582" i="2"/>
  <c r="AF581" i="2"/>
  <c r="AA581" i="2"/>
  <c r="AC580" i="2"/>
  <c r="AA577" i="2"/>
  <c r="AF561" i="2"/>
  <c r="AB559" i="2"/>
  <c r="AB557" i="2"/>
  <c r="AD556" i="2"/>
  <c r="AF533" i="2"/>
  <c r="AF532" i="2"/>
  <c r="AD493" i="2"/>
  <c r="AE489" i="2"/>
  <c r="AA489" i="2"/>
  <c r="AD488" i="2"/>
  <c r="AB485" i="2"/>
  <c r="AE473" i="2"/>
  <c r="AA473" i="2"/>
  <c r="AD472" i="2"/>
  <c r="AB465" i="2"/>
  <c r="AC461" i="2"/>
  <c r="AE459" i="2"/>
  <c r="AA459" i="2"/>
  <c r="AF458" i="2"/>
  <c r="AF457" i="2"/>
  <c r="AB457" i="2"/>
  <c r="AF456" i="2"/>
  <c r="AA455" i="2"/>
  <c r="AB451" i="2"/>
  <c r="AD423" i="2"/>
  <c r="AB404" i="2"/>
  <c r="AF403" i="2"/>
  <c r="AB384" i="2"/>
  <c r="AC369" i="2"/>
  <c r="AF368" i="2"/>
  <c r="AA368" i="2"/>
  <c r="AF365" i="2"/>
  <c r="AA365" i="2"/>
  <c r="AC360" i="2"/>
  <c r="AF328" i="2"/>
  <c r="AB317" i="2"/>
  <c r="AB300" i="2"/>
  <c r="AB296" i="2"/>
  <c r="AE292" i="2"/>
  <c r="AB281" i="2"/>
  <c r="AD280" i="2"/>
  <c r="AB277" i="2"/>
  <c r="AB261" i="2"/>
  <c r="AA257" i="2"/>
  <c r="AB255" i="2"/>
  <c r="AB245" i="2"/>
  <c r="AB230" i="2"/>
  <c r="AA203" i="2"/>
  <c r="AF198" i="2"/>
  <c r="AA194" i="2"/>
  <c r="AA191" i="2"/>
  <c r="AB190" i="2"/>
  <c r="AA188" i="2"/>
  <c r="AF179" i="2"/>
  <c r="AF178" i="2"/>
  <c r="AA175" i="2"/>
  <c r="AB168" i="2"/>
  <c r="AB167" i="2"/>
  <c r="AB154" i="2"/>
  <c r="AC126" i="2"/>
  <c r="AF121" i="2"/>
  <c r="AB115" i="2"/>
  <c r="AE83" i="2"/>
  <c r="AD82" i="2"/>
  <c r="AB72" i="2"/>
  <c r="AC66" i="2"/>
  <c r="AB65" i="2"/>
  <c r="AB54" i="2"/>
  <c r="AF53" i="2"/>
  <c r="AF50" i="2"/>
  <c r="AF49" i="2"/>
  <c r="AB48" i="2"/>
  <c r="AF47" i="2"/>
  <c r="AC42" i="2"/>
  <c r="AB41" i="2"/>
  <c r="AE40" i="2"/>
  <c r="AE36" i="2"/>
  <c r="Z24" i="2"/>
  <c r="AE23" i="2"/>
  <c r="AF8" i="2"/>
  <c r="AA8" i="2"/>
  <c r="AC6" i="2"/>
  <c r="Z4" i="2"/>
  <c r="AH1721" i="2"/>
  <c r="AH1599" i="2"/>
  <c r="AH1170" i="2"/>
  <c r="AF1731" i="2"/>
  <c r="AB1728" i="2"/>
  <c r="AF1723" i="2"/>
  <c r="AF1715" i="2"/>
  <c r="AF1714" i="2"/>
  <c r="AB1707" i="2"/>
  <c r="AB1706" i="2"/>
  <c r="AF1701" i="2"/>
  <c r="AD1700" i="2"/>
  <c r="AF1699" i="2"/>
  <c r="AF1698" i="2"/>
  <c r="AE1697" i="2"/>
  <c r="Z1697" i="2"/>
  <c r="AB1689" i="2"/>
  <c r="AF1677" i="2"/>
  <c r="AD1676" i="2"/>
  <c r="AF1666" i="2"/>
  <c r="AE1665" i="2"/>
  <c r="AC1651" i="2"/>
  <c r="AF1650" i="2"/>
  <c r="AF1649" i="2"/>
  <c r="AC1648" i="2"/>
  <c r="AF1645" i="2"/>
  <c r="AD1644" i="2"/>
  <c r="AF1643" i="2"/>
  <c r="AF1642" i="2"/>
  <c r="AB1633" i="2"/>
  <c r="AG1632" i="2"/>
  <c r="AB1625" i="2"/>
  <c r="AC1624" i="2"/>
  <c r="AG1623" i="2"/>
  <c r="AD1609" i="2"/>
  <c r="Z1588" i="2"/>
  <c r="AF1583" i="2"/>
  <c r="AB1579" i="2"/>
  <c r="AB1578" i="2"/>
  <c r="AE1577" i="2"/>
  <c r="AB1565" i="2"/>
  <c r="AD1564" i="2"/>
  <c r="AF1548" i="2"/>
  <c r="AF1540" i="2"/>
  <c r="Z1532" i="2"/>
  <c r="AG1532" i="2" s="1"/>
  <c r="AF1524" i="2"/>
  <c r="AB1521" i="2"/>
  <c r="AF1520" i="2"/>
  <c r="Z1499" i="2"/>
  <c r="AC1498" i="2"/>
  <c r="AC1470" i="2"/>
  <c r="AB1469" i="2"/>
  <c r="AF1468" i="2"/>
  <c r="AB1464" i="2"/>
  <c r="AH1460" i="2"/>
  <c r="AF1458" i="2"/>
  <c r="AB1456" i="2"/>
  <c r="AF1455" i="2"/>
  <c r="AB1444" i="2"/>
  <c r="AF1443" i="2"/>
  <c r="AF1440" i="2"/>
  <c r="AC1434" i="2"/>
  <c r="AF1428" i="2"/>
  <c r="AA1428" i="2"/>
  <c r="AF1427" i="2"/>
  <c r="AF1426" i="2"/>
  <c r="AD1424" i="2"/>
  <c r="AB1420" i="2"/>
  <c r="AF1408" i="2"/>
  <c r="AF1394" i="2"/>
  <c r="AB1391" i="2"/>
  <c r="AE1388" i="2"/>
  <c r="Z1388" i="2"/>
  <c r="AC1387" i="2"/>
  <c r="AC1374" i="2"/>
  <c r="AA1360" i="2"/>
  <c r="AF1354" i="2"/>
  <c r="AC1339" i="2"/>
  <c r="AG1335" i="2"/>
  <c r="AB1328" i="2"/>
  <c r="AF1318" i="2"/>
  <c r="AH1308" i="2"/>
  <c r="AC1307" i="2"/>
  <c r="AF1302" i="2"/>
  <c r="Z1299" i="2"/>
  <c r="AB1296" i="2"/>
  <c r="AF1295" i="2"/>
  <c r="AF1288" i="2"/>
  <c r="AC1287" i="2"/>
  <c r="AB1284" i="2"/>
  <c r="AD1275" i="2"/>
  <c r="AE1272" i="2"/>
  <c r="AC1271" i="2"/>
  <c r="AB1268" i="2"/>
  <c r="AC1267" i="2"/>
  <c r="AA1260" i="2"/>
  <c r="AC1255" i="2"/>
  <c r="AC1254" i="2"/>
  <c r="AB1248" i="2"/>
  <c r="AA1244" i="2"/>
  <c r="AB1240" i="2"/>
  <c r="AC1239" i="2"/>
  <c r="AC1227" i="2"/>
  <c r="AC1213" i="2"/>
  <c r="AE1203" i="2"/>
  <c r="AB1200" i="2"/>
  <c r="AE1199" i="2"/>
  <c r="Z1196" i="2"/>
  <c r="AB1195" i="2"/>
  <c r="AF1192" i="2"/>
  <c r="AA1192" i="2"/>
  <c r="AE1191" i="2"/>
  <c r="Z1191" i="2"/>
  <c r="Z1172" i="2"/>
  <c r="AC1170" i="2"/>
  <c r="AB1163" i="2"/>
  <c r="AC1158" i="2"/>
  <c r="AD1155" i="2"/>
  <c r="AB1147" i="2"/>
  <c r="AF1144" i="2"/>
  <c r="Z1144" i="2"/>
  <c r="AD1128" i="2"/>
  <c r="AD1119" i="2"/>
  <c r="AB1108" i="2"/>
  <c r="AD1100" i="2"/>
  <c r="AB1091" i="2"/>
  <c r="AF1075" i="2"/>
  <c r="Z1075" i="2"/>
  <c r="Z1064" i="2"/>
  <c r="AD1052" i="2"/>
  <c r="AF1038" i="2"/>
  <c r="AF1034" i="2"/>
  <c r="AB1020" i="2"/>
  <c r="AC1019" i="2"/>
  <c r="AB1016" i="2"/>
  <c r="AB1015" i="2"/>
  <c r="AD1012" i="2"/>
  <c r="Z1004" i="2"/>
  <c r="AE992" i="2"/>
  <c r="AC987" i="2"/>
  <c r="AE984" i="2"/>
  <c r="AB978" i="2"/>
  <c r="AD960" i="2"/>
  <c r="Z955" i="2"/>
  <c r="AC954" i="2"/>
  <c r="AB947" i="2"/>
  <c r="Z928" i="2"/>
  <c r="AD922" i="2"/>
  <c r="AC918" i="2"/>
  <c r="AF915" i="2"/>
  <c r="AD914" i="2"/>
  <c r="AB902" i="2"/>
  <c r="AE900" i="2"/>
  <c r="Z900" i="2"/>
  <c r="AA885" i="2"/>
  <c r="Z876" i="2"/>
  <c r="AC875" i="2"/>
  <c r="AF833" i="2"/>
  <c r="AC820" i="2"/>
  <c r="AC809" i="2"/>
  <c r="AB805" i="2"/>
  <c r="AE789" i="2"/>
  <c r="AF787" i="2"/>
  <c r="Z780" i="2"/>
  <c r="AC773" i="2"/>
  <c r="Z760" i="2"/>
  <c r="AD748" i="2"/>
  <c r="AF746" i="2"/>
  <c r="AA745" i="2"/>
  <c r="AB734" i="2"/>
  <c r="AA729" i="2"/>
  <c r="AB714" i="2"/>
  <c r="AB710" i="2"/>
  <c r="AB705" i="2"/>
  <c r="AF704" i="2"/>
  <c r="AF697" i="2"/>
  <c r="Z694" i="2"/>
  <c r="AB689" i="2"/>
  <c r="AF688" i="2"/>
  <c r="AF681" i="2"/>
  <c r="AD678" i="2"/>
  <c r="Z674" i="2"/>
  <c r="AE673" i="2"/>
  <c r="AB670" i="2"/>
  <c r="AB665" i="2"/>
  <c r="AB649" i="2"/>
  <c r="AD646" i="2"/>
  <c r="AB645" i="2"/>
  <c r="AB641" i="2"/>
  <c r="AF640" i="2"/>
  <c r="AD633" i="2"/>
  <c r="AE630" i="2"/>
  <c r="AD629" i="2"/>
  <c r="AD626" i="2"/>
  <c r="AB625" i="2"/>
  <c r="AF624" i="2"/>
  <c r="AF621" i="2"/>
  <c r="AB614" i="2"/>
  <c r="AE613" i="2"/>
  <c r="AD610" i="2"/>
  <c r="AE609" i="2"/>
  <c r="AD606" i="2"/>
  <c r="AF605" i="2"/>
  <c r="AD601" i="2"/>
  <c r="Z601" i="2"/>
  <c r="AC600" i="2"/>
  <c r="Z598" i="2"/>
  <c r="AE597" i="2"/>
  <c r="Z597" i="2"/>
  <c r="AC596" i="2"/>
  <c r="AE593" i="2"/>
  <c r="AF592" i="2"/>
  <c r="AF589" i="2"/>
  <c r="AB582" i="2"/>
  <c r="AE581" i="2"/>
  <c r="AD578" i="2"/>
  <c r="AF577" i="2"/>
  <c r="AF575" i="2"/>
  <c r="AB561" i="2"/>
  <c r="AA559" i="2"/>
  <c r="AA557" i="2"/>
  <c r="AB556" i="2"/>
  <c r="AC543" i="2"/>
  <c r="AB533" i="2"/>
  <c r="AB532" i="2"/>
  <c r="AB525" i="2"/>
  <c r="AB517" i="2"/>
  <c r="AF498" i="2"/>
  <c r="AD497" i="2"/>
  <c r="AB493" i="2"/>
  <c r="AD489" i="2"/>
  <c r="Z489" i="2"/>
  <c r="AB488" i="2"/>
  <c r="AE487" i="2"/>
  <c r="AA485" i="2"/>
  <c r="AD484" i="2"/>
  <c r="AF483" i="2"/>
  <c r="AF481" i="2"/>
  <c r="AA481" i="2"/>
  <c r="AD480" i="2"/>
  <c r="AB479" i="2"/>
  <c r="AD473" i="2"/>
  <c r="Z473" i="2"/>
  <c r="AB472" i="2"/>
  <c r="AA465" i="2"/>
  <c r="AB461" i="2"/>
  <c r="AD459" i="2"/>
  <c r="Z459" i="2"/>
  <c r="AE457" i="2"/>
  <c r="AA457" i="2"/>
  <c r="AD452" i="2"/>
  <c r="AB438" i="2"/>
  <c r="AD436" i="2"/>
  <c r="AG435" i="2"/>
  <c r="AB423" i="2"/>
  <c r="AF413" i="2"/>
  <c r="Z404" i="2"/>
  <c r="AC403" i="2"/>
  <c r="AC397" i="2"/>
  <c r="Z384" i="2"/>
  <c r="AB381" i="2"/>
  <c r="AF378" i="2"/>
  <c r="AB369" i="2"/>
  <c r="AE368" i="2"/>
  <c r="Z368" i="2"/>
  <c r="AE365" i="2"/>
  <c r="Z365" i="2"/>
  <c r="AC349" i="2"/>
  <c r="AB340" i="2"/>
  <c r="AB329" i="2"/>
  <c r="AB328" i="2"/>
  <c r="AA317" i="2"/>
  <c r="AC315" i="2"/>
  <c r="AF311" i="2"/>
  <c r="AA300" i="2"/>
  <c r="Z296" i="2"/>
  <c r="AA292" i="2"/>
  <c r="AF289" i="2"/>
  <c r="AF283" i="2"/>
  <c r="Z281" i="2"/>
  <c r="AB280" i="2"/>
  <c r="Z261" i="2"/>
  <c r="AB235" i="2"/>
  <c r="AF203" i="2"/>
  <c r="Z203" i="2"/>
  <c r="Z190" i="2"/>
  <c r="AE184" i="2"/>
  <c r="AF183" i="2"/>
  <c r="AB180" i="2"/>
  <c r="AB179" i="2"/>
  <c r="AF175" i="2"/>
  <c r="AE160" i="2"/>
  <c r="AA154" i="2"/>
  <c r="AF148" i="2"/>
  <c r="AB126" i="2"/>
  <c r="AB121" i="2"/>
  <c r="AA115" i="2"/>
  <c r="AF105" i="2"/>
  <c r="AF91" i="2"/>
  <c r="AC87" i="2"/>
  <c r="AB83" i="2"/>
  <c r="AD67" i="2"/>
  <c r="Z66" i="2"/>
  <c r="Z54" i="2"/>
  <c r="AB50" i="2"/>
  <c r="AA48" i="2"/>
  <c r="Z42" i="2"/>
  <c r="AD30" i="2"/>
  <c r="AE8" i="2"/>
  <c r="Z8" i="2"/>
  <c r="AB6" i="2"/>
  <c r="AH1664" i="2"/>
  <c r="AH34" i="2"/>
  <c r="AH1711" i="2"/>
  <c r="AD1697" i="2"/>
  <c r="AH1663" i="2"/>
  <c r="AH1655" i="2"/>
  <c r="AH1571" i="2"/>
  <c r="AD1551" i="2"/>
  <c r="AF1532" i="2"/>
  <c r="AB1508" i="2"/>
  <c r="AF1499" i="2"/>
  <c r="AF1496" i="2"/>
  <c r="AD1483" i="2"/>
  <c r="AA1469" i="2"/>
  <c r="AF1461" i="2"/>
  <c r="AD1459" i="2"/>
  <c r="AA1456" i="2"/>
  <c r="AF1446" i="2"/>
  <c r="Z1444" i="2"/>
  <c r="AG1444" i="2" s="1"/>
  <c r="AD1443" i="2"/>
  <c r="AB1434" i="2"/>
  <c r="AE1428" i="2"/>
  <c r="Z1428" i="2"/>
  <c r="AD1427" i="2"/>
  <c r="AC1426" i="2"/>
  <c r="AA1420" i="2"/>
  <c r="AC1408" i="2"/>
  <c r="AD1388" i="2"/>
  <c r="Z1387" i="2"/>
  <c r="AC1383" i="2"/>
  <c r="AH1379" i="2"/>
  <c r="AF1372" i="2"/>
  <c r="Z1339" i="2"/>
  <c r="AC1331" i="2"/>
  <c r="AG1326" i="2"/>
  <c r="AF1322" i="2"/>
  <c r="AD1319" i="2"/>
  <c r="AG1307" i="2"/>
  <c r="AC1303" i="2"/>
  <c r="AG1302" i="2"/>
  <c r="AF1299" i="2"/>
  <c r="AG1299" i="2"/>
  <c r="AA1296" i="2"/>
  <c r="AB1288" i="2"/>
  <c r="AE1276" i="2"/>
  <c r="AA1272" i="2"/>
  <c r="Z1268" i="2"/>
  <c r="AG1268" i="2" s="1"/>
  <c r="AE1256" i="2"/>
  <c r="Z1255" i="2"/>
  <c r="AB1252" i="2"/>
  <c r="AE1192" i="2"/>
  <c r="AD1191" i="2"/>
  <c r="AG1163" i="2"/>
  <c r="AB1148" i="2"/>
  <c r="AE1144" i="2"/>
  <c r="AC1119" i="2"/>
  <c r="AD1116" i="2"/>
  <c r="AC1111" i="2"/>
  <c r="AB1103" i="2"/>
  <c r="Z1100" i="2"/>
  <c r="AF1095" i="2"/>
  <c r="Z1091" i="2"/>
  <c r="AD1075" i="2"/>
  <c r="AF1046" i="2"/>
  <c r="AC1039" i="2"/>
  <c r="AF1023" i="2"/>
  <c r="AF902" i="2"/>
  <c r="AD900" i="2"/>
  <c r="AF876" i="2"/>
  <c r="AF785" i="2"/>
  <c r="AD784" i="2"/>
  <c r="AF783" i="2"/>
  <c r="AE781" i="2"/>
  <c r="AF780" i="2"/>
  <c r="AE757" i="2"/>
  <c r="AD756" i="2"/>
  <c r="AF755" i="2"/>
  <c r="AE598" i="2"/>
  <c r="AD597" i="2"/>
  <c r="AF559" i="2"/>
  <c r="AF557" i="2"/>
  <c r="AF535" i="2"/>
  <c r="AF499" i="2"/>
  <c r="AB497" i="2"/>
  <c r="AD491" i="2"/>
  <c r="AH487" i="2"/>
  <c r="AF485" i="2"/>
  <c r="AB484" i="2"/>
  <c r="Z481" i="2"/>
  <c r="AH471" i="2"/>
  <c r="AF465" i="2"/>
  <c r="AD457" i="2"/>
  <c r="AF411" i="2"/>
  <c r="AF400" i="2"/>
  <c r="AF398" i="2"/>
  <c r="AF387" i="2"/>
  <c r="AF384" i="2"/>
  <c r="AD368" i="2"/>
  <c r="AD365" i="2"/>
  <c r="Z340" i="2"/>
  <c r="AF317" i="2"/>
  <c r="AF300" i="2"/>
  <c r="AE281" i="2"/>
  <c r="AE203" i="2"/>
  <c r="AF155" i="2"/>
  <c r="AF154" i="2"/>
  <c r="AC130" i="2"/>
  <c r="AF54" i="2"/>
  <c r="AA36" i="2"/>
  <c r="AB34" i="2"/>
  <c r="AA23" i="2"/>
  <c r="AF22" i="2"/>
  <c r="AD8" i="2"/>
  <c r="AB1729" i="2"/>
  <c r="AF1728" i="2"/>
  <c r="AF1725" i="2"/>
  <c r="Z1720" i="2"/>
  <c r="AF1719" i="2"/>
  <c r="AB1709" i="2"/>
  <c r="AC1708" i="2"/>
  <c r="AG1705" i="2"/>
  <c r="AC1705" i="2"/>
  <c r="AG1696" i="2"/>
  <c r="Z1696" i="2"/>
  <c r="AF1695" i="2"/>
  <c r="AD1692" i="2"/>
  <c r="AF1689" i="2"/>
  <c r="AB1683" i="2"/>
  <c r="AB1682" i="2"/>
  <c r="AB1681" i="2"/>
  <c r="AB1680" i="2"/>
  <c r="AD1673" i="2"/>
  <c r="Z1673" i="2"/>
  <c r="AF1659" i="2"/>
  <c r="AA1657" i="2"/>
  <c r="AG1647" i="2"/>
  <c r="AC1640" i="2"/>
  <c r="AB1637" i="2"/>
  <c r="AC1636" i="2"/>
  <c r="AC1635" i="2"/>
  <c r="AD1633" i="2"/>
  <c r="AG1624" i="2"/>
  <c r="AB1611" i="2"/>
  <c r="AB1610" i="2"/>
  <c r="AF1602" i="2"/>
  <c r="AE1601" i="2"/>
  <c r="Z1601" i="2"/>
  <c r="AF1600" i="2"/>
  <c r="AF1597" i="2"/>
  <c r="Z1592" i="2"/>
  <c r="AF1591" i="2"/>
  <c r="AF1587" i="2"/>
  <c r="AF1576" i="2"/>
  <c r="Z1576" i="2"/>
  <c r="AC1572" i="2"/>
  <c r="AC1568" i="2"/>
  <c r="AF1563" i="2"/>
  <c r="AF1559" i="2"/>
  <c r="AA1544" i="2"/>
  <c r="AE1533" i="2"/>
  <c r="AB1524" i="2"/>
  <c r="AD1516" i="2"/>
  <c r="Z1516" i="2"/>
  <c r="AG1516" i="2" s="1"/>
  <c r="AC1515" i="2"/>
  <c r="AC1510" i="2"/>
  <c r="AB1509" i="2"/>
  <c r="AE1508" i="2"/>
  <c r="Z1508" i="2"/>
  <c r="AC1507" i="2"/>
  <c r="AC1506" i="2"/>
  <c r="AD1505" i="2"/>
  <c r="AE1504" i="2"/>
  <c r="Z1504" i="2"/>
  <c r="AB1496" i="2"/>
  <c r="AE1486" i="2"/>
  <c r="AD1476" i="2"/>
  <c r="Z1476" i="2"/>
  <c r="AG1476" i="2" s="1"/>
  <c r="AC1475" i="2"/>
  <c r="AC1474" i="2"/>
  <c r="AD1473" i="2"/>
  <c r="AF1470" i="2"/>
  <c r="AD1469" i="2"/>
  <c r="AD1464" i="2"/>
  <c r="AF1462" i="2"/>
  <c r="AD1460" i="2"/>
  <c r="AC1456" i="2"/>
  <c r="AF1435" i="2"/>
  <c r="AC1420" i="2"/>
  <c r="AF1418" i="2"/>
  <c r="AB1410" i="2"/>
  <c r="AB1396" i="2"/>
  <c r="AF1391" i="2"/>
  <c r="AB1354" i="2"/>
  <c r="AB1346" i="2"/>
  <c r="Z1343" i="2"/>
  <c r="AG1331" i="2"/>
  <c r="Z1331" i="2"/>
  <c r="AF1330" i="2"/>
  <c r="AB1326" i="2"/>
  <c r="AB1312" i="2"/>
  <c r="Z1303" i="2"/>
  <c r="AF1298" i="2"/>
  <c r="AF1293" i="2"/>
  <c r="AE1284" i="2"/>
  <c r="Z1284" i="2"/>
  <c r="AG1284" i="2" s="1"/>
  <c r="AC1283" i="2"/>
  <c r="AC1282" i="2"/>
  <c r="AA1276" i="2"/>
  <c r="Z1271" i="2"/>
  <c r="AC1270" i="2"/>
  <c r="AF1258" i="2"/>
  <c r="AA1256" i="2"/>
  <c r="AE1252" i="2"/>
  <c r="Z1252" i="2"/>
  <c r="AC1251" i="2"/>
  <c r="AC1250" i="2"/>
  <c r="Z1243" i="2"/>
  <c r="AC1242" i="2"/>
  <c r="AA1217" i="2"/>
  <c r="AB1216" i="2"/>
  <c r="AB1211" i="2"/>
  <c r="AB1208" i="2"/>
  <c r="AE1207" i="2"/>
  <c r="Z1207" i="2"/>
  <c r="AB1206" i="2"/>
  <c r="AF1200" i="2"/>
  <c r="Z1200" i="2"/>
  <c r="AF1187" i="2"/>
  <c r="AB1178" i="2"/>
  <c r="AF1150" i="2"/>
  <c r="AB1143" i="2"/>
  <c r="AB1140" i="2"/>
  <c r="AB1131" i="2"/>
  <c r="Z1116" i="2"/>
  <c r="AF1111" i="2"/>
  <c r="Z1111" i="2"/>
  <c r="AF1087" i="2"/>
  <c r="AB1084" i="2"/>
  <c r="AB1083" i="2"/>
  <c r="AB1072" i="2"/>
  <c r="AB1070" i="2"/>
  <c r="AA1063" i="2"/>
  <c r="AB1051" i="2"/>
  <c r="AB1046" i="2"/>
  <c r="Z1031" i="2"/>
  <c r="AB1028" i="2"/>
  <c r="AD1015" i="2"/>
  <c r="Z1015" i="2"/>
  <c r="AG1015" i="2" s="1"/>
  <c r="AC1011" i="2"/>
  <c r="AB1008" i="2"/>
  <c r="AA983" i="2"/>
  <c r="AF975" i="2"/>
  <c r="Z975" i="2"/>
  <c r="AG975" i="2" s="1"/>
  <c r="AB968" i="2"/>
  <c r="AF950" i="2"/>
  <c r="AF942" i="2"/>
  <c r="AF938" i="2"/>
  <c r="AA927" i="2"/>
  <c r="AB898" i="2"/>
  <c r="AA896" i="2"/>
  <c r="AD880" i="2"/>
  <c r="AA873" i="2"/>
  <c r="AB872" i="2"/>
  <c r="AB865" i="2"/>
  <c r="AF862" i="2"/>
  <c r="AB861" i="2"/>
  <c r="AF845" i="2"/>
  <c r="Z845" i="2"/>
  <c r="AB819" i="2"/>
  <c r="AF809" i="2"/>
  <c r="Z809" i="2"/>
  <c r="AB796" i="2"/>
  <c r="AA789" i="2"/>
  <c r="AF777" i="2"/>
  <c r="Z777" i="2"/>
  <c r="AB771" i="2"/>
  <c r="AB759" i="2"/>
  <c r="AF753" i="2"/>
  <c r="Z753" i="2"/>
  <c r="AB750" i="2"/>
  <c r="Z748" i="2"/>
  <c r="AB743" i="2"/>
  <c r="Z728" i="2"/>
  <c r="AF721" i="2"/>
  <c r="Z721" i="2"/>
  <c r="Z709" i="2"/>
  <c r="AB702" i="2"/>
  <c r="AG692" i="2"/>
  <c r="AG688" i="2"/>
  <c r="AB686" i="2"/>
  <c r="AB685" i="2"/>
  <c r="AD681" i="2"/>
  <c r="Z681" i="2"/>
  <c r="AC680" i="2"/>
  <c r="Z678" i="2"/>
  <c r="AE677" i="2"/>
  <c r="Z677" i="2"/>
  <c r="AC676" i="2"/>
  <c r="AB673" i="2"/>
  <c r="AF672" i="2"/>
  <c r="AD665" i="2"/>
  <c r="Z665" i="2"/>
  <c r="AC664" i="2"/>
  <c r="Z662" i="2"/>
  <c r="AE661" i="2"/>
  <c r="Z661" i="2"/>
  <c r="AC660" i="2"/>
  <c r="AB657" i="2"/>
  <c r="AF656" i="2"/>
  <c r="AE649" i="2"/>
  <c r="AA649" i="2"/>
  <c r="AF648" i="2"/>
  <c r="AB646" i="2"/>
  <c r="AF645" i="2"/>
  <c r="AA645" i="2"/>
  <c r="AF644" i="2"/>
  <c r="Z642" i="2"/>
  <c r="Z626" i="2"/>
  <c r="AA609" i="2"/>
  <c r="AD602" i="2"/>
  <c r="Z594" i="2"/>
  <c r="Z572" i="2"/>
  <c r="AE545" i="2"/>
  <c r="AF543" i="2"/>
  <c r="AA543" i="2"/>
  <c r="AB540" i="2"/>
  <c r="AE529" i="2"/>
  <c r="Z529" i="2"/>
  <c r="AD528" i="2"/>
  <c r="AB513" i="2"/>
  <c r="AB509" i="2"/>
  <c r="Z508" i="2"/>
  <c r="AB507" i="2"/>
  <c r="Z505" i="2"/>
  <c r="AB499" i="2"/>
  <c r="Z491" i="2"/>
  <c r="AF475" i="2"/>
  <c r="AD464" i="2"/>
  <c r="AE463" i="2"/>
  <c r="AA463" i="2"/>
  <c r="AB456" i="2"/>
  <c r="Z452" i="2"/>
  <c r="AE451" i="2"/>
  <c r="Z451" i="2"/>
  <c r="AA441" i="2"/>
  <c r="AD420" i="2"/>
  <c r="AB419" i="2"/>
  <c r="AD412" i="2"/>
  <c r="AC405" i="2"/>
  <c r="AE389" i="2"/>
  <c r="AB387" i="2"/>
  <c r="AB378" i="2"/>
  <c r="AE377" i="2"/>
  <c r="Z377" i="2"/>
  <c r="AF362" i="2"/>
  <c r="AF347" i="2"/>
  <c r="AA345" i="2"/>
  <c r="AF343" i="2"/>
  <c r="AB331" i="2"/>
  <c r="Z320" i="2"/>
  <c r="AC319" i="2"/>
  <c r="AB311" i="2"/>
  <c r="AE308" i="2"/>
  <c r="Z308" i="2"/>
  <c r="AC307" i="2"/>
  <c r="AB293" i="2"/>
  <c r="AC287" i="2"/>
  <c r="AB283" i="2"/>
  <c r="Z277" i="2"/>
  <c r="AE276" i="2"/>
  <c r="AF271" i="2"/>
  <c r="AB267" i="2"/>
  <c r="AA252" i="2"/>
  <c r="AF245" i="2"/>
  <c r="Z245" i="2"/>
  <c r="AB244" i="2"/>
  <c r="Z235" i="2"/>
  <c r="AB227" i="2"/>
  <c r="AE226" i="2"/>
  <c r="Z226" i="2"/>
  <c r="AC225" i="2"/>
  <c r="AC224" i="2"/>
  <c r="AE216" i="2"/>
  <c r="AB208" i="2"/>
  <c r="AF187" i="2"/>
  <c r="Z187" i="2"/>
  <c r="AF182" i="2"/>
  <c r="AA178" i="2"/>
  <c r="AB170" i="2"/>
  <c r="AD162" i="2"/>
  <c r="Z162" i="2"/>
  <c r="AA160" i="2"/>
  <c r="AE159" i="2"/>
  <c r="Z159" i="2"/>
  <c r="AB158" i="2"/>
  <c r="AF153" i="2"/>
  <c r="Z134" i="2"/>
  <c r="AG134" i="2" s="1"/>
  <c r="AF116" i="2"/>
  <c r="AB105" i="2"/>
  <c r="AB104" i="2"/>
  <c r="AE103" i="2"/>
  <c r="Z103" i="2"/>
  <c r="AF95" i="2"/>
  <c r="Z95" i="2"/>
  <c r="AE80" i="2"/>
  <c r="AE79" i="2"/>
  <c r="Z79" i="2"/>
  <c r="AA67" i="2"/>
  <c r="AF35" i="2"/>
  <c r="Z35" i="2"/>
  <c r="AB30" i="2"/>
  <c r="AF27" i="2"/>
  <c r="AE15" i="2"/>
  <c r="AA15" i="2"/>
  <c r="AF3" i="2"/>
  <c r="AG1720" i="2"/>
  <c r="AF1696" i="2"/>
  <c r="AG1673" i="2"/>
  <c r="AC1673" i="2"/>
  <c r="AF1657" i="2"/>
  <c r="AD1601" i="2"/>
  <c r="AG1592" i="2"/>
  <c r="AD1576" i="2"/>
  <c r="AG1528" i="2"/>
  <c r="AC1516" i="2"/>
  <c r="AD1508" i="2"/>
  <c r="AD1504" i="2"/>
  <c r="AC1476" i="2"/>
  <c r="AB1387" i="2"/>
  <c r="AE1384" i="2"/>
  <c r="AA1384" i="2"/>
  <c r="AD1383" i="2"/>
  <c r="AB1379" i="2"/>
  <c r="AF1378" i="2"/>
  <c r="AB1374" i="2"/>
  <c r="Z1367" i="2"/>
  <c r="AF1360" i="2"/>
  <c r="Z1360" i="2"/>
  <c r="AF1343" i="2"/>
  <c r="AB1339" i="2"/>
  <c r="AF1331" i="2"/>
  <c r="AE1304" i="2"/>
  <c r="AA1304" i="2"/>
  <c r="AF1303" i="2"/>
  <c r="AG1303" i="2"/>
  <c r="AG1298" i="2"/>
  <c r="AC1288" i="2"/>
  <c r="AD1287" i="2"/>
  <c r="AF1286" i="2"/>
  <c r="AD1284" i="2"/>
  <c r="AF1276" i="2"/>
  <c r="AB1272" i="2"/>
  <c r="AF1271" i="2"/>
  <c r="AF1268" i="2"/>
  <c r="AA1268" i="2"/>
  <c r="AD1267" i="2"/>
  <c r="AF1266" i="2"/>
  <c r="AB1260" i="2"/>
  <c r="AD1259" i="2"/>
  <c r="AF1256" i="2"/>
  <c r="AB1255" i="2"/>
  <c r="AF1254" i="2"/>
  <c r="AD1252" i="2"/>
  <c r="AF1246" i="2"/>
  <c r="AF1245" i="2"/>
  <c r="AB1244" i="2"/>
  <c r="AF1243" i="2"/>
  <c r="AA1240" i="2"/>
  <c r="AF1227" i="2"/>
  <c r="AB1219" i="2"/>
  <c r="AB1213" i="2"/>
  <c r="AD1207" i="2"/>
  <c r="AG1203" i="2"/>
  <c r="AE1200" i="2"/>
  <c r="AA1196" i="2"/>
  <c r="AF1195" i="2"/>
  <c r="Z1195" i="2"/>
  <c r="Z1192" i="2"/>
  <c r="AB1183" i="2"/>
  <c r="AD1180" i="2"/>
  <c r="AF1172" i="2"/>
  <c r="AA1172" i="2"/>
  <c r="AE1163" i="2"/>
  <c r="AA1163" i="2"/>
  <c r="AF1160" i="2"/>
  <c r="AA1160" i="2"/>
  <c r="AF1152" i="2"/>
  <c r="AA1152" i="2"/>
  <c r="AD1148" i="2"/>
  <c r="AF1147" i="2"/>
  <c r="AD1136" i="2"/>
  <c r="AC1127" i="2"/>
  <c r="AF1126" i="2"/>
  <c r="AF1123" i="2"/>
  <c r="AB1123" i="2"/>
  <c r="AG1122" i="2"/>
  <c r="AE1116" i="2"/>
  <c r="AD1111" i="2"/>
  <c r="AD1104" i="2"/>
  <c r="AF1103" i="2"/>
  <c r="AB1100" i="2"/>
  <c r="AB1092" i="2"/>
  <c r="AE1091" i="2"/>
  <c r="AA1091" i="2"/>
  <c r="AB1088" i="2"/>
  <c r="AC1079" i="2"/>
  <c r="AF1078" i="2"/>
  <c r="AG1075" i="2"/>
  <c r="AF1064" i="2"/>
  <c r="AA1064" i="2"/>
  <c r="AF1063" i="2"/>
  <c r="AD1060" i="2"/>
  <c r="AF1059" i="2"/>
  <c r="AG1058" i="2"/>
  <c r="AF1031" i="2"/>
  <c r="AG1019" i="2"/>
  <c r="AC1015" i="2"/>
  <c r="AF1004" i="2"/>
  <c r="AA1004" i="2"/>
  <c r="AE1003" i="2"/>
  <c r="AF1000" i="2"/>
  <c r="AF999" i="2"/>
  <c r="AB999" i="2"/>
  <c r="AF998" i="2"/>
  <c r="AB995" i="2"/>
  <c r="AF983" i="2"/>
  <c r="AF978" i="2"/>
  <c r="AE975" i="2"/>
  <c r="AF970" i="2"/>
  <c r="AF958" i="2"/>
  <c r="AB955" i="2"/>
  <c r="AD952" i="2"/>
  <c r="AE944" i="2"/>
  <c r="AD936" i="2"/>
  <c r="AB928" i="2"/>
  <c r="AF927" i="2"/>
  <c r="AE923" i="2"/>
  <c r="AA923" i="2"/>
  <c r="AF922" i="2"/>
  <c r="AD912" i="2"/>
  <c r="AD911" i="2"/>
  <c r="AC907" i="2"/>
  <c r="AF898" i="2"/>
  <c r="AF896" i="2"/>
  <c r="AB891" i="2"/>
  <c r="AD888" i="2"/>
  <c r="AE887" i="2"/>
  <c r="AB885" i="2"/>
  <c r="AF882" i="2"/>
  <c r="AB881" i="2"/>
  <c r="AF878" i="2"/>
  <c r="AB877" i="2"/>
  <c r="AF873" i="2"/>
  <c r="AF869" i="2"/>
  <c r="AA869" i="2"/>
  <c r="AE857" i="2"/>
  <c r="AA857" i="2"/>
  <c r="Z856" i="2"/>
  <c r="AG856" i="2" s="1"/>
  <c r="AB854" i="2"/>
  <c r="AD845" i="2"/>
  <c r="AE841" i="2"/>
  <c r="AC825" i="2"/>
  <c r="AC821" i="2"/>
  <c r="AD809" i="2"/>
  <c r="AC800" i="2"/>
  <c r="AC785" i="2"/>
  <c r="AG780" i="2"/>
  <c r="AD777" i="2"/>
  <c r="AD773" i="2"/>
  <c r="AF761" i="2"/>
  <c r="AA761" i="2"/>
  <c r="AD753" i="2"/>
  <c r="AF751" i="2"/>
  <c r="AC749" i="2"/>
  <c r="AF748" i="2"/>
  <c r="AE745" i="2"/>
  <c r="AB744" i="2"/>
  <c r="AG743" i="2"/>
  <c r="AD734" i="2"/>
  <c r="AD732" i="2"/>
  <c r="AB729" i="2"/>
  <c r="AF728" i="2"/>
  <c r="AD721" i="2"/>
  <c r="Z717" i="2"/>
  <c r="AC716" i="2"/>
  <c r="Z714" i="2"/>
  <c r="AB712" i="2"/>
  <c r="AF711" i="2"/>
  <c r="AF710" i="2"/>
  <c r="AF709" i="2"/>
  <c r="Z706" i="2"/>
  <c r="AE697" i="2"/>
  <c r="AA697" i="2"/>
  <c r="AF696" i="2"/>
  <c r="AB694" i="2"/>
  <c r="AF693" i="2"/>
  <c r="AA693" i="2"/>
  <c r="AF692" i="2"/>
  <c r="Z690" i="2"/>
  <c r="AC681" i="2"/>
  <c r="AE678" i="2"/>
  <c r="AD677" i="2"/>
  <c r="AA673" i="2"/>
  <c r="AC665" i="2"/>
  <c r="AE662" i="2"/>
  <c r="AD661" i="2"/>
  <c r="AA657" i="2"/>
  <c r="AB653" i="2"/>
  <c r="AD649" i="2"/>
  <c r="AC648" i="2"/>
  <c r="Z646" i="2"/>
  <c r="AE645" i="2"/>
  <c r="Z645" i="2"/>
  <c r="AG645" i="2" s="1"/>
  <c r="AC644" i="2"/>
  <c r="AG629" i="2"/>
  <c r="AB610" i="2"/>
  <c r="AF609" i="2"/>
  <c r="AG597" i="2"/>
  <c r="AB593" i="2"/>
  <c r="AG580" i="2"/>
  <c r="AB564" i="2"/>
  <c r="AA555" i="2"/>
  <c r="AB552" i="2"/>
  <c r="Z548" i="2"/>
  <c r="Z544" i="2"/>
  <c r="AE543" i="2"/>
  <c r="AE537" i="2"/>
  <c r="AA537" i="2"/>
  <c r="AD532" i="2"/>
  <c r="AF531" i="2"/>
  <c r="AA531" i="2"/>
  <c r="AD529" i="2"/>
  <c r="AE527" i="2"/>
  <c r="AA527" i="2"/>
  <c r="AD524" i="2"/>
  <c r="AD520" i="2"/>
  <c r="AD516" i="2"/>
  <c r="Z512" i="2"/>
  <c r="AC511" i="2"/>
  <c r="AF505" i="2"/>
  <c r="Z497" i="2"/>
  <c r="Z493" i="2"/>
  <c r="AD487" i="2"/>
  <c r="Z484" i="2"/>
  <c r="AE483" i="2"/>
  <c r="AA483" i="2"/>
  <c r="AF479" i="2"/>
  <c r="AA479" i="2"/>
  <c r="AD476" i="2"/>
  <c r="AD471" i="2"/>
  <c r="Z468" i="2"/>
  <c r="AE465" i="2"/>
  <c r="Z465" i="2"/>
  <c r="AD463" i="2"/>
  <c r="AG463" i="2"/>
  <c r="AB455" i="2"/>
  <c r="AF454" i="2"/>
  <c r="AC453" i="2"/>
  <c r="AF452" i="2"/>
  <c r="AD451" i="2"/>
  <c r="AC449" i="2"/>
  <c r="AB448" i="2"/>
  <c r="AF447" i="2"/>
  <c r="AF437" i="2"/>
  <c r="AA437" i="2"/>
  <c r="AB436" i="2"/>
  <c r="AD428" i="2"/>
  <c r="AF425" i="2"/>
  <c r="Z423" i="2"/>
  <c r="AC417" i="2"/>
  <c r="AF416" i="2"/>
  <c r="AB415" i="2"/>
  <c r="AF414" i="2"/>
  <c r="AE413" i="2"/>
  <c r="AB411" i="2"/>
  <c r="AG401" i="2"/>
  <c r="AE397" i="2"/>
  <c r="AD396" i="2"/>
  <c r="AF395" i="2"/>
  <c r="AE384" i="2"/>
  <c r="AA384" i="2"/>
  <c r="AF381" i="2"/>
  <c r="AA381" i="2"/>
  <c r="AD377" i="2"/>
  <c r="AE372" i="2"/>
  <c r="AA372" i="2"/>
  <c r="AF371" i="2"/>
  <c r="AG365" i="2"/>
  <c r="AF360" i="2"/>
  <c r="AF349" i="2"/>
  <c r="AF345" i="2"/>
  <c r="AG340" i="2"/>
  <c r="AC329" i="2"/>
  <c r="AB316" i="2"/>
  <c r="AF315" i="2"/>
  <c r="AD308" i="2"/>
  <c r="AF297" i="2"/>
  <c r="AA297" i="2"/>
  <c r="AF296" i="2"/>
  <c r="AA296" i="2"/>
  <c r="AF295" i="2"/>
  <c r="AB292" i="2"/>
  <c r="AF277" i="2"/>
  <c r="AA261" i="2"/>
  <c r="AC255" i="2"/>
  <c r="AF252" i="2"/>
  <c r="AB249" i="2"/>
  <c r="AE245" i="2"/>
  <c r="AE230" i="2"/>
  <c r="AD226" i="2"/>
  <c r="AA207" i="2"/>
  <c r="AE204" i="2"/>
  <c r="AB191" i="2"/>
  <c r="AF190" i="2"/>
  <c r="AA190" i="2"/>
  <c r="AE187" i="2"/>
  <c r="AB186" i="2"/>
  <c r="AE180" i="2"/>
  <c r="AE168" i="2"/>
  <c r="AC162" i="2"/>
  <c r="AF160" i="2"/>
  <c r="AD159" i="2"/>
  <c r="AE156" i="2"/>
  <c r="AF149" i="2"/>
  <c r="AD142" i="2"/>
  <c r="AF134" i="2"/>
  <c r="AE119" i="2"/>
  <c r="AD103" i="2"/>
  <c r="AE95" i="2"/>
  <c r="AB88" i="2"/>
  <c r="AF87" i="2"/>
  <c r="AD79" i="2"/>
  <c r="AD72" i="2"/>
  <c r="AD68" i="2"/>
  <c r="AF67" i="2"/>
  <c r="AB66" i="2"/>
  <c r="AE60" i="2"/>
  <c r="AC50" i="2"/>
  <c r="AB42" i="2"/>
  <c r="AE35" i="2"/>
  <c r="AF30" i="2"/>
  <c r="AG19" i="2"/>
  <c r="AD15" i="2"/>
  <c r="AG381" i="2"/>
  <c r="AG296" i="2"/>
  <c r="AF1729" i="2"/>
  <c r="AG1728" i="2"/>
  <c r="Z1728" i="2"/>
  <c r="AF1727" i="2"/>
  <c r="AD1724" i="2"/>
  <c r="AB1723" i="2"/>
  <c r="AE1721" i="2"/>
  <c r="AB1720" i="2"/>
  <c r="AG1719" i="2"/>
  <c r="AB1715" i="2"/>
  <c r="AB1714" i="2"/>
  <c r="AB1713" i="2"/>
  <c r="AB1712" i="2"/>
  <c r="AF1709" i="2"/>
  <c r="AD1708" i="2"/>
  <c r="AD1705" i="2"/>
  <c r="AB1696" i="2"/>
  <c r="AG1695" i="2"/>
  <c r="AF1691" i="2"/>
  <c r="AA1689" i="2"/>
  <c r="AC1683" i="2"/>
  <c r="AF1682" i="2"/>
  <c r="AF1681" i="2"/>
  <c r="AC1680" i="2"/>
  <c r="AG1679" i="2"/>
  <c r="AE1673" i="2"/>
  <c r="AC1672" i="2"/>
  <c r="AB1669" i="2"/>
  <c r="AC1668" i="2"/>
  <c r="AC1667" i="2"/>
  <c r="AD1665" i="2"/>
  <c r="AB1657" i="2"/>
  <c r="AG1656" i="2"/>
  <c r="AB1643" i="2"/>
  <c r="AB1642" i="2"/>
  <c r="AF1637" i="2"/>
  <c r="AD1636" i="2"/>
  <c r="AF1635" i="2"/>
  <c r="AF1634" i="2"/>
  <c r="AE1633" i="2"/>
  <c r="Z1633" i="2"/>
  <c r="AF1632" i="2"/>
  <c r="AF1629" i="2"/>
  <c r="Z1624" i="2"/>
  <c r="AF1623" i="2"/>
  <c r="AB1613" i="2"/>
  <c r="AC1612" i="2"/>
  <c r="AC1611" i="2"/>
  <c r="AF1610" i="2"/>
  <c r="AG1609" i="2"/>
  <c r="AF1601" i="2"/>
  <c r="AA1601" i="2"/>
  <c r="AG1600" i="2"/>
  <c r="Z1600" i="2"/>
  <c r="AF1599" i="2"/>
  <c r="AD1596" i="2"/>
  <c r="AF1593" i="2"/>
  <c r="AB1592" i="2"/>
  <c r="AG1591" i="2"/>
  <c r="AB1576" i="2"/>
  <c r="AG1575" i="2"/>
  <c r="AG1569" i="2"/>
  <c r="AF1565" i="2"/>
  <c r="Z1553" i="2"/>
  <c r="AB1552" i="2"/>
  <c r="AB1549" i="2"/>
  <c r="AC1548" i="2"/>
  <c r="AB1544" i="2"/>
  <c r="AC1543" i="2"/>
  <c r="AE1540" i="2"/>
  <c r="Z1533" i="2"/>
  <c r="AE1532" i="2"/>
  <c r="AC1524" i="2"/>
  <c r="AE1516" i="2"/>
  <c r="AD1515" i="2"/>
  <c r="AF1508" i="2"/>
  <c r="AA1508" i="2"/>
  <c r="AE1505" i="2"/>
  <c r="AF1504" i="2"/>
  <c r="AA1504" i="2"/>
  <c r="AD1503" i="2"/>
  <c r="AC1496" i="2"/>
  <c r="AB1484" i="2"/>
  <c r="AC1483" i="2"/>
  <c r="AC1478" i="2"/>
  <c r="AE1476" i="2"/>
  <c r="AE1473" i="2"/>
  <c r="AE1469" i="2"/>
  <c r="AB1468" i="2"/>
  <c r="AC1467" i="2"/>
  <c r="AE1464" i="2"/>
  <c r="Z1464" i="2"/>
  <c r="AF1460" i="2"/>
  <c r="Z1460" i="2"/>
  <c r="AC1459" i="2"/>
  <c r="AB1458" i="2"/>
  <c r="AD1456" i="2"/>
  <c r="AD1455" i="2"/>
  <c r="AC1452" i="2"/>
  <c r="AD1444" i="2"/>
  <c r="AB1440" i="2"/>
  <c r="AB1426" i="2"/>
  <c r="AD1420" i="2"/>
  <c r="AC1410" i="2"/>
  <c r="AB1408" i="2"/>
  <c r="AF1402" i="2"/>
  <c r="AC1396" i="2"/>
  <c r="Z1391" i="2"/>
  <c r="AD1387" i="2"/>
  <c r="AG1387" i="2" s="1"/>
  <c r="AF1379" i="2"/>
  <c r="AC1354" i="2"/>
  <c r="AC1346" i="2"/>
  <c r="AB1343" i="2"/>
  <c r="AD1339" i="2"/>
  <c r="AB1331" i="2"/>
  <c r="AG1330" i="2"/>
  <c r="AF1326" i="2"/>
  <c r="AA1324" i="2"/>
  <c r="AC1319" i="2"/>
  <c r="AC1318" i="2"/>
  <c r="AF1312" i="2"/>
  <c r="AC1311" i="2"/>
  <c r="Z1307" i="2"/>
  <c r="AG1304" i="2"/>
  <c r="AB1303" i="2"/>
  <c r="AF1284" i="2"/>
  <c r="AA1284" i="2"/>
  <c r="AD1283" i="2"/>
  <c r="AF1282" i="2"/>
  <c r="AB1276" i="2"/>
  <c r="AF1272" i="2"/>
  <c r="AB1271" i="2"/>
  <c r="AF1270" i="2"/>
  <c r="AD1268" i="2"/>
  <c r="AF1260" i="2"/>
  <c r="AB1256" i="2"/>
  <c r="AF1255" i="2"/>
  <c r="AF1252" i="2"/>
  <c r="AA1252" i="2"/>
  <c r="AD1251" i="2"/>
  <c r="AF1250" i="2"/>
  <c r="AB1243" i="2"/>
  <c r="AF1242" i="2"/>
  <c r="AE1240" i="2"/>
  <c r="AC1217" i="2"/>
  <c r="AE1216" i="2"/>
  <c r="AF1213" i="2"/>
  <c r="AD1211" i="2"/>
  <c r="AD1208" i="2"/>
  <c r="AF1207" i="2"/>
  <c r="AA1207" i="2"/>
  <c r="AA1200" i="2"/>
  <c r="AE1196" i="2"/>
  <c r="AC1178" i="2"/>
  <c r="AD1172" i="2"/>
  <c r="AD1160" i="2"/>
  <c r="AG1158" i="2"/>
  <c r="AD1152" i="2"/>
  <c r="AC1143" i="2"/>
  <c r="AC1131" i="2"/>
  <c r="AD1123" i="2"/>
  <c r="AB1116" i="2"/>
  <c r="AB1111" i="2"/>
  <c r="AE1100" i="2"/>
  <c r="AD1084" i="2"/>
  <c r="AF1083" i="2"/>
  <c r="AD1064" i="2"/>
  <c r="AC1063" i="2"/>
  <c r="AB1062" i="2"/>
  <c r="AC1050" i="2"/>
  <c r="AF1047" i="2"/>
  <c r="Z1047" i="2"/>
  <c r="AG1047" i="2" s="1"/>
  <c r="AC1046" i="2"/>
  <c r="AB1044" i="2"/>
  <c r="AB1039" i="2"/>
  <c r="AC1031" i="2"/>
  <c r="AF1028" i="2"/>
  <c r="AF1027" i="2"/>
  <c r="AB1024" i="2"/>
  <c r="AB1023" i="2"/>
  <c r="Z1020" i="2"/>
  <c r="AE1015" i="2"/>
  <c r="AD1008" i="2"/>
  <c r="AD1004" i="2"/>
  <c r="AD999" i="2"/>
  <c r="AG998" i="2"/>
  <c r="AF996" i="2"/>
  <c r="AB994" i="2"/>
  <c r="AB983" i="2"/>
  <c r="AB975" i="2"/>
  <c r="AC974" i="2"/>
  <c r="AD968" i="2"/>
  <c r="AA964" i="2"/>
  <c r="AB962" i="2"/>
  <c r="Z960" i="2"/>
  <c r="AD955" i="2"/>
  <c r="AB954" i="2"/>
  <c r="AF947" i="2"/>
  <c r="Z947" i="2"/>
  <c r="AG947" i="2" s="1"/>
  <c r="AC946" i="2"/>
  <c r="AG942" i="2"/>
  <c r="AB941" i="2"/>
  <c r="AD940" i="2"/>
  <c r="AB931" i="2"/>
  <c r="AE928" i="2"/>
  <c r="AB927" i="2"/>
  <c r="AF926" i="2"/>
  <c r="AB918" i="2"/>
  <c r="AE916" i="2"/>
  <c r="Z916" i="2"/>
  <c r="AB914" i="2"/>
  <c r="AF907" i="2"/>
  <c r="AC898" i="2"/>
  <c r="AB896" i="2"/>
  <c r="AE885" i="2"/>
  <c r="AB873" i="2"/>
  <c r="AC872" i="2"/>
  <c r="AD865" i="2"/>
  <c r="AF861" i="2"/>
  <c r="AF825" i="2"/>
  <c r="AF821" i="2"/>
  <c r="AB809" i="2"/>
  <c r="AF805" i="2"/>
  <c r="Z805" i="2"/>
  <c r="AC793" i="2"/>
  <c r="AB789" i="2"/>
  <c r="AF788" i="2"/>
  <c r="Z788" i="2"/>
  <c r="AG788" i="2" s="1"/>
  <c r="AC787" i="2"/>
  <c r="Z784" i="2"/>
  <c r="AB777" i="2"/>
  <c r="AF771" i="2"/>
  <c r="AD761" i="2"/>
  <c r="AC759" i="2"/>
  <c r="AG757" i="2"/>
  <c r="AB753" i="2"/>
  <c r="AF749" i="2"/>
  <c r="AC748" i="2"/>
  <c r="AC728" i="2"/>
  <c r="AB721" i="2"/>
  <c r="AF712" i="2"/>
  <c r="AB709" i="2"/>
  <c r="AD702" i="2"/>
  <c r="AE694" i="2"/>
  <c r="AD686" i="2"/>
  <c r="AE681" i="2"/>
  <c r="AF680" i="2"/>
  <c r="AB678" i="2"/>
  <c r="AF677" i="2"/>
  <c r="AA677" i="2"/>
  <c r="AF676" i="2"/>
  <c r="AE665" i="2"/>
  <c r="AF664" i="2"/>
  <c r="AB662" i="2"/>
  <c r="AF661" i="2"/>
  <c r="AA661" i="2"/>
  <c r="AF660" i="2"/>
  <c r="AG644" i="2"/>
  <c r="AB642" i="2"/>
  <c r="AB626" i="2"/>
  <c r="AF625" i="2"/>
  <c r="AB622" i="2"/>
  <c r="AB621" i="2"/>
  <c r="AG620" i="2"/>
  <c r="AD617" i="2"/>
  <c r="AC616" i="2"/>
  <c r="Z614" i="2"/>
  <c r="Z613" i="2"/>
  <c r="AG613" i="2" s="1"/>
  <c r="AB609" i="2"/>
  <c r="AB594" i="2"/>
  <c r="AF593" i="2"/>
  <c r="AB590" i="2"/>
  <c r="AB589" i="2"/>
  <c r="AD585" i="2"/>
  <c r="AC584" i="2"/>
  <c r="Z582" i="2"/>
  <c r="Z581" i="2"/>
  <c r="AG581" i="2" s="1"/>
  <c r="AB572" i="2"/>
  <c r="AB543" i="2"/>
  <c r="AD540" i="2"/>
  <c r="AD531" i="2"/>
  <c r="AF529" i="2"/>
  <c r="AA529" i="2"/>
  <c r="AF528" i="2"/>
  <c r="AG527" i="2"/>
  <c r="AF513" i="2"/>
  <c r="AD508" i="2"/>
  <c r="AB505" i="2"/>
  <c r="AC499" i="2"/>
  <c r="AB491" i="2"/>
  <c r="AD479" i="2"/>
  <c r="AF463" i="2"/>
  <c r="AB463" i="2"/>
  <c r="AD456" i="2"/>
  <c r="AF455" i="2"/>
  <c r="AB452" i="2"/>
  <c r="AF451" i="2"/>
  <c r="AA451" i="2"/>
  <c r="AC441" i="2"/>
  <c r="AC419" i="2"/>
  <c r="AE405" i="2"/>
  <c r="AC387" i="2"/>
  <c r="AD381" i="2"/>
  <c r="AE378" i="2"/>
  <c r="AF377" i="2"/>
  <c r="AA377" i="2"/>
  <c r="AE353" i="2"/>
  <c r="Z353" i="2"/>
  <c r="AB345" i="2"/>
  <c r="AA341" i="2"/>
  <c r="AC336" i="2"/>
  <c r="AF331" i="2"/>
  <c r="AA328" i="2"/>
  <c r="AC321" i="2"/>
  <c r="AC320" i="2"/>
  <c r="AF319" i="2"/>
  <c r="AF318" i="2"/>
  <c r="AE317" i="2"/>
  <c r="Z317" i="2"/>
  <c r="AG317" i="2" s="1"/>
  <c r="AE316" i="2"/>
  <c r="AC311" i="2"/>
  <c r="AF308" i="2"/>
  <c r="AA308" i="2"/>
  <c r="AF307" i="2"/>
  <c r="AF306" i="2"/>
  <c r="AE300" i="2"/>
  <c r="Z300" i="2"/>
  <c r="AC299" i="2"/>
  <c r="AD297" i="2"/>
  <c r="AD296" i="2"/>
  <c r="AF292" i="2"/>
  <c r="AF287" i="2"/>
  <c r="AF284" i="2"/>
  <c r="Z284" i="2"/>
  <c r="AC283" i="2"/>
  <c r="AA277" i="2"/>
  <c r="AC267" i="2"/>
  <c r="AF261" i="2"/>
  <c r="AB252" i="2"/>
  <c r="AA248" i="2"/>
  <c r="AA245" i="2"/>
  <c r="AE244" i="2"/>
  <c r="AE238" i="2"/>
  <c r="Z238" i="2"/>
  <c r="AA235" i="2"/>
  <c r="Z233" i="2"/>
  <c r="AB232" i="2"/>
  <c r="AF226" i="2"/>
  <c r="AA226" i="2"/>
  <c r="AC221" i="2"/>
  <c r="AE208" i="2"/>
  <c r="AF207" i="2"/>
  <c r="AD190" i="2"/>
  <c r="AA187" i="2"/>
  <c r="AF186" i="2"/>
  <c r="AA179" i="2"/>
  <c r="AB178" i="2"/>
  <c r="AA176" i="2"/>
  <c r="AE175" i="2"/>
  <c r="Z175" i="2"/>
  <c r="AA167" i="2"/>
  <c r="AE162" i="2"/>
  <c r="AF159" i="2"/>
  <c r="AA159" i="2"/>
  <c r="AE158" i="2"/>
  <c r="AA155" i="2"/>
  <c r="AF152" i="2"/>
  <c r="AB151" i="2"/>
  <c r="AA147" i="2"/>
  <c r="AE146" i="2"/>
  <c r="Z146" i="2"/>
  <c r="AB134" i="2"/>
  <c r="AF130" i="2"/>
  <c r="Z130" i="2"/>
  <c r="AB111" i="2"/>
  <c r="AC105" i="2"/>
  <c r="AF103" i="2"/>
  <c r="AA103" i="2"/>
  <c r="AA95" i="2"/>
  <c r="AF94" i="2"/>
  <c r="Z94" i="2"/>
  <c r="AA92" i="2"/>
  <c r="AB90" i="2"/>
  <c r="AA83" i="2"/>
  <c r="AF80" i="2"/>
  <c r="AF79" i="2"/>
  <c r="AA79" i="2"/>
  <c r="AB74" i="2"/>
  <c r="AB67" i="2"/>
  <c r="AF66" i="2"/>
  <c r="AD59" i="2"/>
  <c r="Z48" i="2"/>
  <c r="AC47" i="2"/>
  <c r="AA35" i="2"/>
  <c r="AF34" i="2"/>
  <c r="AD32" i="2"/>
  <c r="AC30" i="2"/>
  <c r="Z27" i="2"/>
  <c r="AG27" i="2" s="1"/>
  <c r="AE24" i="2"/>
  <c r="AD23" i="2"/>
  <c r="AF15" i="2"/>
  <c r="AB15" i="2"/>
  <c r="AA3" i="2"/>
  <c r="AB1733" i="2"/>
  <c r="AC1732" i="2"/>
  <c r="AF1730" i="2"/>
  <c r="Z1729" i="2"/>
  <c r="AF1519" i="2"/>
  <c r="Z1519" i="2"/>
  <c r="AC1519" i="2"/>
  <c r="Z1471" i="2"/>
  <c r="AD1471" i="2"/>
  <c r="AF1471" i="2"/>
  <c r="Z1448" i="2"/>
  <c r="AB1448" i="2"/>
  <c r="AC1448" i="2"/>
  <c r="Z1419" i="2"/>
  <c r="AD1419" i="2"/>
  <c r="AA1403" i="2"/>
  <c r="AC1403" i="2"/>
  <c r="AD1403" i="2"/>
  <c r="Z1400" i="2"/>
  <c r="AB1400" i="2"/>
  <c r="AC1400" i="2"/>
  <c r="AA1395" i="2"/>
  <c r="AD1395" i="2"/>
  <c r="Z1395" i="2"/>
  <c r="AG1395" i="2" s="1"/>
  <c r="AF1395" i="2"/>
  <c r="AB1395" i="2"/>
  <c r="AC1392" i="2"/>
  <c r="AD1392" i="2"/>
  <c r="Z1392" i="2"/>
  <c r="AG1392" i="2" s="1"/>
  <c r="AE1392" i="2"/>
  <c r="AA1392" i="2"/>
  <c r="AF1392" i="2"/>
  <c r="AC1731" i="2"/>
  <c r="AD1729" i="2"/>
  <c r="AF1535" i="2"/>
  <c r="AD1535" i="2"/>
  <c r="Z1517" i="2"/>
  <c r="AB1517" i="2"/>
  <c r="AD1517" i="2"/>
  <c r="AB1731" i="2"/>
  <c r="AB1730" i="2"/>
  <c r="AG1729" i="2"/>
  <c r="AC1729" i="2"/>
  <c r="AB1725" i="2"/>
  <c r="AC1724" i="2"/>
  <c r="AC1723" i="2"/>
  <c r="AF1722" i="2"/>
  <c r="AD1721" i="2"/>
  <c r="AF1720" i="2"/>
  <c r="AF1717" i="2"/>
  <c r="AD1716" i="2"/>
  <c r="AE1713" i="2"/>
  <c r="AA1713" i="2"/>
  <c r="AG1712" i="2"/>
  <c r="Z1712" i="2"/>
  <c r="AF1711" i="2"/>
  <c r="AB1704" i="2"/>
  <c r="AG1703" i="2"/>
  <c r="AB1699" i="2"/>
  <c r="AB1698" i="2"/>
  <c r="AG1697" i="2"/>
  <c r="AB1693" i="2"/>
  <c r="AC1692" i="2"/>
  <c r="AC1691" i="2"/>
  <c r="AF1690" i="2"/>
  <c r="AD1689" i="2"/>
  <c r="Z1689" i="2"/>
  <c r="AF1688" i="2"/>
  <c r="AF1685" i="2"/>
  <c r="AD1684" i="2"/>
  <c r="AE1681" i="2"/>
  <c r="AA1681" i="2"/>
  <c r="AG1680" i="2"/>
  <c r="Z1680" i="2"/>
  <c r="AF1679" i="2"/>
  <c r="AB1672" i="2"/>
  <c r="AG1671" i="2"/>
  <c r="AB1667" i="2"/>
  <c r="AB1666" i="2"/>
  <c r="AG1665" i="2"/>
  <c r="AB1661" i="2"/>
  <c r="AC1660" i="2"/>
  <c r="AC1659" i="2"/>
  <c r="AF1658" i="2"/>
  <c r="AD1657" i="2"/>
  <c r="Z1657" i="2"/>
  <c r="AF1656" i="2"/>
  <c r="AF1653" i="2"/>
  <c r="AD1652" i="2"/>
  <c r="AE1649" i="2"/>
  <c r="AA1649" i="2"/>
  <c r="AG1648" i="2"/>
  <c r="Z1648" i="2"/>
  <c r="AF1647" i="2"/>
  <c r="AB1640" i="2"/>
  <c r="AG1639" i="2"/>
  <c r="AB1635" i="2"/>
  <c r="AB1634" i="2"/>
  <c r="AG1633" i="2"/>
  <c r="AB1629" i="2"/>
  <c r="AC1628" i="2"/>
  <c r="AC1627" i="2"/>
  <c r="AF1626" i="2"/>
  <c r="AD1625" i="2"/>
  <c r="Z1625" i="2"/>
  <c r="AF1624" i="2"/>
  <c r="AF1621" i="2"/>
  <c r="AD1620" i="2"/>
  <c r="AE1617" i="2"/>
  <c r="AA1617" i="2"/>
  <c r="AG1616" i="2"/>
  <c r="Z1616" i="2"/>
  <c r="AF1615" i="2"/>
  <c r="AB1608" i="2"/>
  <c r="AG1607" i="2"/>
  <c r="AB1603" i="2"/>
  <c r="AB1602" i="2"/>
  <c r="AG1601" i="2"/>
  <c r="AB1597" i="2"/>
  <c r="AC1596" i="2"/>
  <c r="AC1595" i="2"/>
  <c r="AF1594" i="2"/>
  <c r="AD1593" i="2"/>
  <c r="Z1593" i="2"/>
  <c r="AF1592" i="2"/>
  <c r="AF1589" i="2"/>
  <c r="AF1588" i="2"/>
  <c r="AC1585" i="2"/>
  <c r="AC1584" i="2"/>
  <c r="AD1577" i="2"/>
  <c r="AB1572" i="2"/>
  <c r="AF1571" i="2"/>
  <c r="AD1565" i="2"/>
  <c r="Z1565" i="2"/>
  <c r="AG1565" i="2" s="1"/>
  <c r="AC1564" i="2"/>
  <c r="AC1563" i="2"/>
  <c r="AF1562" i="2"/>
  <c r="AF1561" i="2"/>
  <c r="AA1561" i="2"/>
  <c r="AF1560" i="2"/>
  <c r="Z1560" i="2"/>
  <c r="AC1559" i="2"/>
  <c r="AF1558" i="2"/>
  <c r="AD1557" i="2"/>
  <c r="AF1556" i="2"/>
  <c r="AC1551" i="2"/>
  <c r="AE1550" i="2"/>
  <c r="AB1548" i="2"/>
  <c r="AB1546" i="2"/>
  <c r="AB1545" i="2"/>
  <c r="AE1544" i="2"/>
  <c r="Z1544" i="2"/>
  <c r="AD1540" i="2"/>
  <c r="AG1540" i="2" s="1"/>
  <c r="AE1537" i="2"/>
  <c r="AD1537" i="2"/>
  <c r="Z1520" i="2"/>
  <c r="AB1520" i="2"/>
  <c r="Z1513" i="2"/>
  <c r="AB1513" i="2"/>
  <c r="AC1500" i="2"/>
  <c r="AD1500" i="2"/>
  <c r="Z1500" i="2"/>
  <c r="AE1500" i="2"/>
  <c r="AA1500" i="2"/>
  <c r="AF1500" i="2"/>
  <c r="AA1481" i="2"/>
  <c r="AB1481" i="2"/>
  <c r="AE1466" i="2"/>
  <c r="AA1466" i="2"/>
  <c r="AF1466" i="2"/>
  <c r="AB1466" i="2"/>
  <c r="AF1454" i="2"/>
  <c r="AB1454" i="2"/>
  <c r="Z1442" i="2"/>
  <c r="AF1442" i="2"/>
  <c r="AA1407" i="2"/>
  <c r="AD1407" i="2"/>
  <c r="Z1407" i="2"/>
  <c r="AF1407" i="2"/>
  <c r="AB1407" i="2"/>
  <c r="Z1344" i="2"/>
  <c r="AG1344" i="2"/>
  <c r="AB1344" i="2"/>
  <c r="AC1344" i="2"/>
  <c r="AB1717" i="2"/>
  <c r="AC1716" i="2"/>
  <c r="AD1713" i="2"/>
  <c r="Z1713" i="2"/>
  <c r="AF1712" i="2"/>
  <c r="AG1704" i="2"/>
  <c r="Z1704" i="2"/>
  <c r="AF1703" i="2"/>
  <c r="AB1691" i="2"/>
  <c r="AB1690" i="2"/>
  <c r="AG1689" i="2"/>
  <c r="AB1685" i="2"/>
  <c r="AC1684" i="2"/>
  <c r="AD1681" i="2"/>
  <c r="Z1681" i="2"/>
  <c r="AF1680" i="2"/>
  <c r="AG1672" i="2"/>
  <c r="Z1672" i="2"/>
  <c r="AF1671" i="2"/>
  <c r="AB1659" i="2"/>
  <c r="AB1658" i="2"/>
  <c r="AG1657" i="2"/>
  <c r="AB1653" i="2"/>
  <c r="AC1652" i="2"/>
  <c r="AD1649" i="2"/>
  <c r="Z1649" i="2"/>
  <c r="AF1648" i="2"/>
  <c r="AG1640" i="2"/>
  <c r="Z1640" i="2"/>
  <c r="AF1639" i="2"/>
  <c r="AB1627" i="2"/>
  <c r="AB1626" i="2"/>
  <c r="AG1625" i="2"/>
  <c r="AB1621" i="2"/>
  <c r="AC1620" i="2"/>
  <c r="AD1617" i="2"/>
  <c r="Z1617" i="2"/>
  <c r="AF1616" i="2"/>
  <c r="AG1608" i="2"/>
  <c r="Z1608" i="2"/>
  <c r="AF1607" i="2"/>
  <c r="AB1595" i="2"/>
  <c r="AB1594" i="2"/>
  <c r="AG1593" i="2"/>
  <c r="AB1589" i="2"/>
  <c r="AB1585" i="2"/>
  <c r="Z1572" i="2"/>
  <c r="AF1567" i="2"/>
  <c r="AB1563" i="2"/>
  <c r="AB1562" i="2"/>
  <c r="AE1561" i="2"/>
  <c r="Z1561" i="2"/>
  <c r="AD1560" i="2"/>
  <c r="AB1559" i="2"/>
  <c r="AB1558" i="2"/>
  <c r="AB1556" i="2"/>
  <c r="Z1551" i="2"/>
  <c r="AA1546" i="2"/>
  <c r="AD1544" i="2"/>
  <c r="Z1536" i="2"/>
  <c r="AD1536" i="2"/>
  <c r="AA1536" i="2"/>
  <c r="AE1536" i="2"/>
  <c r="AD1531" i="2"/>
  <c r="Z1531" i="2"/>
  <c r="AG1531" i="2" s="1"/>
  <c r="AB1531" i="2"/>
  <c r="AE1530" i="2"/>
  <c r="AA1530" i="2"/>
  <c r="AF1530" i="2"/>
  <c r="AD1519" i="2"/>
  <c r="AA1518" i="2"/>
  <c r="AE1518" i="2"/>
  <c r="AF1518" i="2"/>
  <c r="AD1501" i="2"/>
  <c r="Z1501" i="2"/>
  <c r="AE1501" i="2"/>
  <c r="AA1501" i="2"/>
  <c r="AF1501" i="2"/>
  <c r="AC1472" i="2"/>
  <c r="Z1472" i="2"/>
  <c r="AD1472" i="2"/>
  <c r="AA1472" i="2"/>
  <c r="AE1472" i="2"/>
  <c r="AF1448" i="2"/>
  <c r="Z1422" i="2"/>
  <c r="AF1422" i="2"/>
  <c r="AF1419" i="2"/>
  <c r="AC1404" i="2"/>
  <c r="Z1404" i="2"/>
  <c r="AD1404" i="2"/>
  <c r="AA1404" i="2"/>
  <c r="AE1404" i="2"/>
  <c r="AF1400" i="2"/>
  <c r="AC1395" i="2"/>
  <c r="AB1392" i="2"/>
  <c r="AB1368" i="2"/>
  <c r="AF1368" i="2"/>
  <c r="Z1358" i="2"/>
  <c r="AG1358" i="2"/>
  <c r="AB1358" i="2"/>
  <c r="AC1358" i="2"/>
  <c r="Z1340" i="2"/>
  <c r="AB1340" i="2"/>
  <c r="AC1340" i="2"/>
  <c r="AC1336" i="2"/>
  <c r="AG1336" i="2"/>
  <c r="Z1336" i="2"/>
  <c r="AD1336" i="2"/>
  <c r="AA1336" i="2"/>
  <c r="AE1336" i="2"/>
  <c r="AF1733" i="2"/>
  <c r="AD1732" i="2"/>
  <c r="AE1729" i="2"/>
  <c r="AG1713" i="2"/>
  <c r="AF1704" i="2"/>
  <c r="AG1681" i="2"/>
  <c r="AF1672" i="2"/>
  <c r="AG1649" i="2"/>
  <c r="AF1640" i="2"/>
  <c r="AG1617" i="2"/>
  <c r="AF1608" i="2"/>
  <c r="AG1581" i="2"/>
  <c r="AF1572" i="2"/>
  <c r="AD1561" i="2"/>
  <c r="AF1546" i="2"/>
  <c r="AC1538" i="2"/>
  <c r="AE1538" i="2"/>
  <c r="AC1512" i="2"/>
  <c r="AB1512" i="2"/>
  <c r="AF1512" i="2"/>
  <c r="AF1502" i="2"/>
  <c r="AA1502" i="2"/>
  <c r="AC1502" i="2"/>
  <c r="AC1480" i="2"/>
  <c r="AB1480" i="2"/>
  <c r="AF1480" i="2"/>
  <c r="AF1472" i="2"/>
  <c r="AC1466" i="2"/>
  <c r="AC1436" i="2"/>
  <c r="Z1436" i="2"/>
  <c r="AD1436" i="2"/>
  <c r="AA1436" i="2"/>
  <c r="AE1436" i="2"/>
  <c r="AF1404" i="2"/>
  <c r="Z1364" i="2"/>
  <c r="AB1364" i="2"/>
  <c r="AC1364" i="2"/>
  <c r="AF1336" i="2"/>
  <c r="AG1207" i="2"/>
  <c r="AA1188" i="2"/>
  <c r="AD1184" i="2"/>
  <c r="AC1171" i="2"/>
  <c r="AC1151" i="2"/>
  <c r="AE1147" i="2"/>
  <c r="AA1147" i="2"/>
  <c r="AC1142" i="2"/>
  <c r="AD1132" i="2"/>
  <c r="AF1108" i="2"/>
  <c r="AA1108" i="2"/>
  <c r="AG1107" i="2"/>
  <c r="AE1103" i="2"/>
  <c r="AA1103" i="2"/>
  <c r="AC1095" i="2"/>
  <c r="AF1094" i="2"/>
  <c r="AF1088" i="2"/>
  <c r="AA1088" i="2"/>
  <c r="AE1083" i="2"/>
  <c r="AA1083" i="2"/>
  <c r="AF1072" i="2"/>
  <c r="AA1072" i="2"/>
  <c r="AD1068" i="2"/>
  <c r="AE1059" i="2"/>
  <c r="AA1059" i="2"/>
  <c r="AB1055" i="2"/>
  <c r="AA1028" i="2"/>
  <c r="AE1023" i="2"/>
  <c r="AA1023" i="2"/>
  <c r="AB1011" i="2"/>
  <c r="AF1010" i="2"/>
  <c r="AB987" i="2"/>
  <c r="AD980" i="2"/>
  <c r="AC915" i="2"/>
  <c r="AA741" i="2"/>
  <c r="Z741" i="2"/>
  <c r="AF741" i="2"/>
  <c r="AC725" i="2"/>
  <c r="AF725" i="2"/>
  <c r="AA725" i="2"/>
  <c r="AD720" i="2"/>
  <c r="AC720" i="2"/>
  <c r="AF715" i="2"/>
  <c r="AC698" i="2"/>
  <c r="AE698" i="2"/>
  <c r="Z698" i="2"/>
  <c r="AB698" i="2"/>
  <c r="AC666" i="2"/>
  <c r="AE666" i="2"/>
  <c r="Z666" i="2"/>
  <c r="AB666" i="2"/>
  <c r="AC634" i="2"/>
  <c r="AE634" i="2"/>
  <c r="Z634" i="2"/>
  <c r="AB634" i="2"/>
  <c r="AB1489" i="2"/>
  <c r="AF1488" i="2"/>
  <c r="AB1467" i="2"/>
  <c r="AC1455" i="2"/>
  <c r="AB1452" i="2"/>
  <c r="AD1451" i="2"/>
  <c r="AF1450" i="2"/>
  <c r="AC1443" i="2"/>
  <c r="AD1435" i="2"/>
  <c r="AC1427" i="2"/>
  <c r="AB1423" i="2"/>
  <c r="AC1418" i="2"/>
  <c r="AC1416" i="2"/>
  <c r="AC1415" i="2"/>
  <c r="AE1408" i="2"/>
  <c r="AA1408" i="2"/>
  <c r="AC1406" i="2"/>
  <c r="AC1402" i="2"/>
  <c r="AE1396" i="2"/>
  <c r="AA1396" i="2"/>
  <c r="AC1394" i="2"/>
  <c r="AC1376" i="2"/>
  <c r="AD1375" i="2"/>
  <c r="AC1372" i="2"/>
  <c r="AD1360" i="2"/>
  <c r="AG1354" i="2"/>
  <c r="AF1352" i="2"/>
  <c r="AD1351" i="2"/>
  <c r="AD1343" i="2"/>
  <c r="AG1343" i="2"/>
  <c r="AG1339" i="2"/>
  <c r="AD1332" i="2"/>
  <c r="Z1332" i="2"/>
  <c r="AF1328" i="2"/>
  <c r="AA1328" i="2"/>
  <c r="AE1324" i="2"/>
  <c r="Z1324" i="2"/>
  <c r="AC1322" i="2"/>
  <c r="AB1318" i="2"/>
  <c r="AC1315" i="2"/>
  <c r="AC1314" i="2"/>
  <c r="AB1311" i="2"/>
  <c r="AE1296" i="2"/>
  <c r="Z1296" i="2"/>
  <c r="AD1295" i="2"/>
  <c r="AB1294" i="2"/>
  <c r="AF1290" i="2"/>
  <c r="AB1286" i="2"/>
  <c r="AB1282" i="2"/>
  <c r="AD1276" i="2"/>
  <c r="Z1276" i="2"/>
  <c r="AC1275" i="2"/>
  <c r="AC1274" i="2"/>
  <c r="AD1272" i="2"/>
  <c r="Z1272" i="2"/>
  <c r="AD1271" i="2"/>
  <c r="AB1270" i="2"/>
  <c r="AB1266" i="2"/>
  <c r="AD1260" i="2"/>
  <c r="Z1260" i="2"/>
  <c r="AC1259" i="2"/>
  <c r="AC1258" i="2"/>
  <c r="AD1256" i="2"/>
  <c r="Z1256" i="2"/>
  <c r="AD1255" i="2"/>
  <c r="AG1255" i="2" s="1"/>
  <c r="AB1254" i="2"/>
  <c r="AB1250" i="2"/>
  <c r="AB1246" i="2"/>
  <c r="AE1244" i="2"/>
  <c r="Z1244" i="2"/>
  <c r="AD1243" i="2"/>
  <c r="AB1242" i="2"/>
  <c r="AD1240" i="2"/>
  <c r="AB1239" i="2"/>
  <c r="AE1235" i="2"/>
  <c r="AA1235" i="2"/>
  <c r="AB1230" i="2"/>
  <c r="AE1229" i="2"/>
  <c r="AB1227" i="2"/>
  <c r="AD1224" i="2"/>
  <c r="AF1223" i="2"/>
  <c r="AA1223" i="2"/>
  <c r="AD1222" i="2"/>
  <c r="AE1221" i="2"/>
  <c r="AE1220" i="2"/>
  <c r="AF1219" i="2"/>
  <c r="AA1219" i="2"/>
  <c r="AF1218" i="2"/>
  <c r="AA1216" i="2"/>
  <c r="AF1215" i="2"/>
  <c r="AF1211" i="2"/>
  <c r="AA1211" i="2"/>
  <c r="AD1204" i="2"/>
  <c r="AD1200" i="2"/>
  <c r="AD1199" i="2"/>
  <c r="AD1196" i="2"/>
  <c r="AD1195" i="2"/>
  <c r="AF1188" i="2"/>
  <c r="Z1188" i="2"/>
  <c r="AC1187" i="2"/>
  <c r="AB1184" i="2"/>
  <c r="AE1183" i="2"/>
  <c r="Z1183" i="2"/>
  <c r="AF1180" i="2"/>
  <c r="AA1180" i="2"/>
  <c r="AD1176" i="2"/>
  <c r="AB1171" i="2"/>
  <c r="AF1168" i="2"/>
  <c r="AA1168" i="2"/>
  <c r="AF1167" i="2"/>
  <c r="AF1166" i="2"/>
  <c r="AD1156" i="2"/>
  <c r="AF1155" i="2"/>
  <c r="AA1155" i="2"/>
  <c r="AB1151" i="2"/>
  <c r="AC1150" i="2"/>
  <c r="AD1147" i="2"/>
  <c r="Z1147" i="2"/>
  <c r="AB1142" i="2"/>
  <c r="AF1136" i="2"/>
  <c r="AA1136" i="2"/>
  <c r="AG1135" i="2"/>
  <c r="AB1132" i="2"/>
  <c r="AE1131" i="2"/>
  <c r="AA1131" i="2"/>
  <c r="AD1124" i="2"/>
  <c r="AB1119" i="2"/>
  <c r="AD1112" i="2"/>
  <c r="AE1108" i="2"/>
  <c r="Z1108" i="2"/>
  <c r="AC1107" i="2"/>
  <c r="AF1106" i="2"/>
  <c r="AD1103" i="2"/>
  <c r="Z1103" i="2"/>
  <c r="AB1095" i="2"/>
  <c r="AB1094" i="2"/>
  <c r="AE1088" i="2"/>
  <c r="Z1088" i="2"/>
  <c r="AC1087" i="2"/>
  <c r="AF1086" i="2"/>
  <c r="AD1083" i="2"/>
  <c r="Z1083" i="2"/>
  <c r="AD1076" i="2"/>
  <c r="AE1072" i="2"/>
  <c r="Z1072" i="2"/>
  <c r="AB1068" i="2"/>
  <c r="AE1067" i="2"/>
  <c r="AA1067" i="2"/>
  <c r="AD1059" i="2"/>
  <c r="Z1059" i="2"/>
  <c r="AG1059" i="2" s="1"/>
  <c r="AF1058" i="2"/>
  <c r="AF1055" i="2"/>
  <c r="Z1055" i="2"/>
  <c r="AC1054" i="2"/>
  <c r="Z1044" i="2"/>
  <c r="AF1039" i="2"/>
  <c r="Z1039" i="2"/>
  <c r="AG1039" i="2" s="1"/>
  <c r="AC1038" i="2"/>
  <c r="AE1028" i="2"/>
  <c r="Z1028" i="2"/>
  <c r="AC1027" i="2"/>
  <c r="AF1026" i="2"/>
  <c r="AD1023" i="2"/>
  <c r="Z1023" i="2"/>
  <c r="AB1019" i="2"/>
  <c r="AB1018" i="2"/>
  <c r="AF1012" i="2"/>
  <c r="AA1012" i="2"/>
  <c r="AF1011" i="2"/>
  <c r="AA1011" i="2"/>
  <c r="AB1010" i="2"/>
  <c r="AA1008" i="2"/>
  <c r="AE1007" i="2"/>
  <c r="AA1007" i="2"/>
  <c r="AB1003" i="2"/>
  <c r="AF1002" i="2"/>
  <c r="AB1000" i="2"/>
  <c r="AB991" i="2"/>
  <c r="AA988" i="2"/>
  <c r="AF987" i="2"/>
  <c r="Z987" i="2"/>
  <c r="AC986" i="2"/>
  <c r="AD984" i="2"/>
  <c r="AA980" i="2"/>
  <c r="AC979" i="2"/>
  <c r="AB970" i="2"/>
  <c r="Z968" i="2"/>
  <c r="AE967" i="2"/>
  <c r="Z967" i="2"/>
  <c r="AG967" i="2" s="1"/>
  <c r="AB963" i="2"/>
  <c r="AG954" i="2"/>
  <c r="Z952" i="2"/>
  <c r="AB946" i="2"/>
  <c r="AB944" i="2"/>
  <c r="AB942" i="2"/>
  <c r="AB940" i="2"/>
  <c r="AD938" i="2"/>
  <c r="AF931" i="2"/>
  <c r="Z931" i="2"/>
  <c r="AG931" i="2" s="1"/>
  <c r="AD927" i="2"/>
  <c r="Z927" i="2"/>
  <c r="AG927" i="2" s="1"/>
  <c r="AD926" i="2"/>
  <c r="AC919" i="2"/>
  <c r="AB915" i="2"/>
  <c r="AB911" i="2"/>
  <c r="AB903" i="2"/>
  <c r="AB899" i="2"/>
  <c r="AF891" i="2"/>
  <c r="Z891" i="2"/>
  <c r="AG891" i="2" s="1"/>
  <c r="AA887" i="2"/>
  <c r="AE886" i="2"/>
  <c r="Z886" i="2"/>
  <c r="AG885" i="2"/>
  <c r="AE882" i="2"/>
  <c r="AF881" i="2"/>
  <c r="Z881" i="2"/>
  <c r="AC880" i="2"/>
  <c r="AF879" i="2"/>
  <c r="AA878" i="2"/>
  <c r="AE877" i="2"/>
  <c r="AA877" i="2"/>
  <c r="AD873" i="2"/>
  <c r="Z873" i="2"/>
  <c r="AF872" i="2"/>
  <c r="Z872" i="2"/>
  <c r="AB870" i="2"/>
  <c r="Z865" i="2"/>
  <c r="AG865" i="2" s="1"/>
  <c r="AC864" i="2"/>
  <c r="AF863" i="2"/>
  <c r="AA862" i="2"/>
  <c r="AE861" i="2"/>
  <c r="AA861" i="2"/>
  <c r="AB852" i="2"/>
  <c r="AB849" i="2"/>
  <c r="AC833" i="2"/>
  <c r="AF823" i="2"/>
  <c r="AB793" i="2"/>
  <c r="AA781" i="2"/>
  <c r="AF775" i="2"/>
  <c r="AC768" i="2"/>
  <c r="AF765" i="2"/>
  <c r="AA749" i="2"/>
  <c r="AC741" i="2"/>
  <c r="AE725" i="2"/>
  <c r="AE718" i="2"/>
  <c r="AB718" i="2"/>
  <c r="AC713" i="2"/>
  <c r="AF713" i="2"/>
  <c r="AA713" i="2"/>
  <c r="AE707" i="2"/>
  <c r="AA707" i="2"/>
  <c r="AF707" i="2"/>
  <c r="AC701" i="2"/>
  <c r="Z701" i="2"/>
  <c r="AG701" i="2" s="1"/>
  <c r="AD701" i="2"/>
  <c r="AA701" i="2"/>
  <c r="AE701" i="2"/>
  <c r="Z684" i="2"/>
  <c r="AC684" i="2"/>
  <c r="AF684" i="2"/>
  <c r="AC669" i="2"/>
  <c r="Z669" i="2"/>
  <c r="AG669" i="2" s="1"/>
  <c r="AD669" i="2"/>
  <c r="AA669" i="2"/>
  <c r="AE669" i="2"/>
  <c r="Z652" i="2"/>
  <c r="AG652" i="2" s="1"/>
  <c r="AC652" i="2"/>
  <c r="AF652" i="2"/>
  <c r="AC637" i="2"/>
  <c r="Z637" i="2"/>
  <c r="AG637" i="2" s="1"/>
  <c r="AD637" i="2"/>
  <c r="AA637" i="2"/>
  <c r="AE637" i="2"/>
  <c r="AF1533" i="2"/>
  <c r="AA1532" i="2"/>
  <c r="AC1514" i="2"/>
  <c r="AB1488" i="2"/>
  <c r="AB1485" i="2"/>
  <c r="AC1482" i="2"/>
  <c r="AF1467" i="2"/>
  <c r="Z1455" i="2"/>
  <c r="AF1452" i="2"/>
  <c r="Z1452" i="2"/>
  <c r="AC1451" i="2"/>
  <c r="AB1450" i="2"/>
  <c r="Z1443" i="2"/>
  <c r="AG1443" i="2" s="1"/>
  <c r="AF1423" i="2"/>
  <c r="Z1423" i="2"/>
  <c r="AB1418" i="2"/>
  <c r="AD1408" i="2"/>
  <c r="AB1406" i="2"/>
  <c r="AB1402" i="2"/>
  <c r="AD1396" i="2"/>
  <c r="AB1394" i="2"/>
  <c r="AB1376" i="2"/>
  <c r="AC1375" i="2"/>
  <c r="AB1372" i="2"/>
  <c r="AF1362" i="2"/>
  <c r="AC1351" i="2"/>
  <c r="AG1340" i="2"/>
  <c r="AG1332" i="2"/>
  <c r="AE1328" i="2"/>
  <c r="Z1328" i="2"/>
  <c r="AC1326" i="2"/>
  <c r="AD1324" i="2"/>
  <c r="AB1322" i="2"/>
  <c r="AB1314" i="2"/>
  <c r="AC1312" i="2"/>
  <c r="AF1311" i="2"/>
  <c r="Z1311" i="2"/>
  <c r="AB1307" i="2"/>
  <c r="AD1296" i="2"/>
  <c r="AF1278" i="2"/>
  <c r="AB1274" i="2"/>
  <c r="AF1262" i="2"/>
  <c r="AB1258" i="2"/>
  <c r="AG1246" i="2"/>
  <c r="AD1244" i="2"/>
  <c r="Z1239" i="2"/>
  <c r="AD1235" i="2"/>
  <c r="Z1235" i="2"/>
  <c r="AG1235" i="2" s="1"/>
  <c r="AF1230" i="2"/>
  <c r="Z1230" i="2"/>
  <c r="AC1229" i="2"/>
  <c r="AE1223" i="2"/>
  <c r="Z1223" i="2"/>
  <c r="AD1220" i="2"/>
  <c r="AE1219" i="2"/>
  <c r="Z1219" i="2"/>
  <c r="AD1218" i="2"/>
  <c r="AF1216" i="2"/>
  <c r="Z1216" i="2"/>
  <c r="AE1211" i="2"/>
  <c r="Z1211" i="2"/>
  <c r="AB1204" i="2"/>
  <c r="AE1188" i="2"/>
  <c r="AB1187" i="2"/>
  <c r="AD1183" i="2"/>
  <c r="AE1180" i="2"/>
  <c r="Z1180" i="2"/>
  <c r="AB1176" i="2"/>
  <c r="AE1168" i="2"/>
  <c r="Z1168" i="2"/>
  <c r="AF1159" i="2"/>
  <c r="AB1156" i="2"/>
  <c r="AE1155" i="2"/>
  <c r="Z1155" i="2"/>
  <c r="AB1150" i="2"/>
  <c r="AA1144" i="2"/>
  <c r="AD1140" i="2"/>
  <c r="AE1136" i="2"/>
  <c r="Z1136" i="2"/>
  <c r="AD1131" i="2"/>
  <c r="AB1124" i="2"/>
  <c r="AF1122" i="2"/>
  <c r="AF1119" i="2"/>
  <c r="Z1119" i="2"/>
  <c r="AG1119" i="2" s="1"/>
  <c r="AF1116" i="2"/>
  <c r="AA1116" i="2"/>
  <c r="AB1112" i="2"/>
  <c r="AE1111" i="2"/>
  <c r="AD1108" i="2"/>
  <c r="AB1107" i="2"/>
  <c r="AB1106" i="2"/>
  <c r="AF1100" i="2"/>
  <c r="AA1100" i="2"/>
  <c r="AD1092" i="2"/>
  <c r="AD1088" i="2"/>
  <c r="AB1087" i="2"/>
  <c r="AB1086" i="2"/>
  <c r="AA1080" i="2"/>
  <c r="AB1076" i="2"/>
  <c r="AE1075" i="2"/>
  <c r="AD1072" i="2"/>
  <c r="AC1071" i="2"/>
  <c r="AF1070" i="2"/>
  <c r="AD1067" i="2"/>
  <c r="AB1063" i="2"/>
  <c r="AF1062" i="2"/>
  <c r="AB1060" i="2"/>
  <c r="AC1058" i="2"/>
  <c r="AD1055" i="2"/>
  <c r="AB1054" i="2"/>
  <c r="AB1052" i="2"/>
  <c r="AF1050" i="2"/>
  <c r="AE1044" i="2"/>
  <c r="AF1042" i="2"/>
  <c r="AD1039" i="2"/>
  <c r="AB1038" i="2"/>
  <c r="AB1036" i="2"/>
  <c r="AB1031" i="2"/>
  <c r="AD1028" i="2"/>
  <c r="AB1027" i="2"/>
  <c r="AB1026" i="2"/>
  <c r="AF1020" i="2"/>
  <c r="AA1020" i="2"/>
  <c r="AF1019" i="2"/>
  <c r="AD1016" i="2"/>
  <c r="AE1012" i="2"/>
  <c r="Z1012" i="2"/>
  <c r="AE1011" i="2"/>
  <c r="AF1008" i="2"/>
  <c r="AD1007" i="2"/>
  <c r="AF1003" i="2"/>
  <c r="AA1003" i="2"/>
  <c r="AG1003" i="2" s="1"/>
  <c r="AB1002" i="2"/>
  <c r="AA1000" i="2"/>
  <c r="AA991" i="2"/>
  <c r="AF988" i="2"/>
  <c r="AB986" i="2"/>
  <c r="AC978" i="2"/>
  <c r="AA975" i="2"/>
  <c r="AD967" i="2"/>
  <c r="AF963" i="2"/>
  <c r="Z963" i="2"/>
  <c r="AE952" i="2"/>
  <c r="Z944" i="2"/>
  <c r="Z940" i="2"/>
  <c r="AB938" i="2"/>
  <c r="AD931" i="2"/>
  <c r="AB919" i="2"/>
  <c r="AC914" i="2"/>
  <c r="AB912" i="2"/>
  <c r="AF911" i="2"/>
  <c r="Z911" i="2"/>
  <c r="AB907" i="2"/>
  <c r="AF906" i="2"/>
  <c r="AF903" i="2"/>
  <c r="AF899" i="2"/>
  <c r="AA899" i="2"/>
  <c r="AD891" i="2"/>
  <c r="AB882" i="2"/>
  <c r="AD881" i="2"/>
  <c r="AB880" i="2"/>
  <c r="AD877" i="2"/>
  <c r="Z877" i="2"/>
  <c r="AD872" i="2"/>
  <c r="AG869" i="2"/>
  <c r="AF865" i="2"/>
  <c r="AB864" i="2"/>
  <c r="AD861" i="2"/>
  <c r="Z861" i="2"/>
  <c r="AF852" i="2"/>
  <c r="Z852" i="2"/>
  <c r="Z849" i="2"/>
  <c r="AG849" i="2" s="1"/>
  <c r="AA833" i="2"/>
  <c r="AB825" i="2"/>
  <c r="AB823" i="2"/>
  <c r="AB821" i="2"/>
  <c r="AF819" i="2"/>
  <c r="AF807" i="2"/>
  <c r="AF803" i="2"/>
  <c r="AC796" i="2"/>
  <c r="AF793" i="2"/>
  <c r="Z793" i="2"/>
  <c r="AF789" i="2"/>
  <c r="AE785" i="2"/>
  <c r="AA785" i="2"/>
  <c r="AG785" i="2" s="1"/>
  <c r="AF784" i="2"/>
  <c r="AB783" i="2"/>
  <c r="AD781" i="2"/>
  <c r="Z781" i="2"/>
  <c r="AD780" i="2"/>
  <c r="AB775" i="2"/>
  <c r="AB773" i="2"/>
  <c r="AB768" i="2"/>
  <c r="AC760" i="2"/>
  <c r="Z756" i="2"/>
  <c r="AC755" i="2"/>
  <c r="AB751" i="2"/>
  <c r="AD749" i="2"/>
  <c r="AB745" i="2"/>
  <c r="AC744" i="2"/>
  <c r="AF743" i="2"/>
  <c r="AB741" i="2"/>
  <c r="Z729" i="2"/>
  <c r="AG729" i="2" s="1"/>
  <c r="AD729" i="2"/>
  <c r="AB725" i="2"/>
  <c r="AE719" i="2"/>
  <c r="AC719" i="2"/>
  <c r="AE713" i="2"/>
  <c r="AF701" i="2"/>
  <c r="AD698" i="2"/>
  <c r="AC682" i="2"/>
  <c r="AE682" i="2"/>
  <c r="Z682" i="2"/>
  <c r="AB682" i="2"/>
  <c r="AF669" i="2"/>
  <c r="AD666" i="2"/>
  <c r="AC650" i="2"/>
  <c r="AE650" i="2"/>
  <c r="Z650" i="2"/>
  <c r="AB650" i="2"/>
  <c r="AF637" i="2"/>
  <c r="AD634" i="2"/>
  <c r="AD1328" i="2"/>
  <c r="AG1322" i="2"/>
  <c r="AD1311" i="2"/>
  <c r="AG1311" i="2"/>
  <c r="AF1239" i="2"/>
  <c r="AD1223" i="2"/>
  <c r="AD963" i="2"/>
  <c r="AE899" i="2"/>
  <c r="AG895" i="2"/>
  <c r="AD852" i="2"/>
  <c r="AF849" i="2"/>
  <c r="AD793" i="2"/>
  <c r="AD785" i="2"/>
  <c r="AF773" i="2"/>
  <c r="Z773" i="2"/>
  <c r="AF756" i="2"/>
  <c r="AB738" i="2"/>
  <c r="AD738" i="2"/>
  <c r="AC715" i="2"/>
  <c r="AA715" i="2"/>
  <c r="Z700" i="2"/>
  <c r="AC700" i="2"/>
  <c r="AF700" i="2"/>
  <c r="AC685" i="2"/>
  <c r="Z685" i="2"/>
  <c r="AD685" i="2"/>
  <c r="AA685" i="2"/>
  <c r="AE685" i="2"/>
  <c r="Z668" i="2"/>
  <c r="AC668" i="2"/>
  <c r="AF668" i="2"/>
  <c r="AC653" i="2"/>
  <c r="Z653" i="2"/>
  <c r="AG653" i="2" s="1"/>
  <c r="AD653" i="2"/>
  <c r="AA653" i="2"/>
  <c r="AE653" i="2"/>
  <c r="Z636" i="2"/>
  <c r="AG636" i="2" s="1"/>
  <c r="AC636" i="2"/>
  <c r="AF636" i="2"/>
  <c r="Z268" i="2"/>
  <c r="AD268" i="2"/>
  <c r="AA268" i="2"/>
  <c r="AE268" i="2"/>
  <c r="Z263" i="2"/>
  <c r="AC263" i="2"/>
  <c r="AF263" i="2"/>
  <c r="AD223" i="2"/>
  <c r="AE223" i="2"/>
  <c r="Z223" i="2"/>
  <c r="AF223" i="2"/>
  <c r="AA223" i="2"/>
  <c r="AF212" i="2"/>
  <c r="AA212" i="2"/>
  <c r="AB212" i="2"/>
  <c r="AF202" i="2"/>
  <c r="AA202" i="2"/>
  <c r="AB202" i="2"/>
  <c r="AA122" i="2"/>
  <c r="AD122" i="2"/>
  <c r="Z122" i="2"/>
  <c r="AF122" i="2"/>
  <c r="AB122" i="2"/>
  <c r="Z113" i="2"/>
  <c r="AF113" i="2"/>
  <c r="Z106" i="2"/>
  <c r="AB106" i="2"/>
  <c r="AC106" i="2"/>
  <c r="AB69" i="2"/>
  <c r="AF69" i="2"/>
  <c r="AA58" i="2"/>
  <c r="AD58" i="2"/>
  <c r="Z58" i="2"/>
  <c r="AF58" i="2"/>
  <c r="AB58" i="2"/>
  <c r="AC52" i="2"/>
  <c r="AE52" i="2"/>
  <c r="AA52" i="2"/>
  <c r="AF52" i="2"/>
  <c r="AB52" i="2"/>
  <c r="AC43" i="2"/>
  <c r="AD43" i="2"/>
  <c r="Z43" i="2"/>
  <c r="AE43" i="2"/>
  <c r="AA43" i="2"/>
  <c r="AF43" i="2"/>
  <c r="AD717" i="2"/>
  <c r="AA710" i="2"/>
  <c r="AD709" i="2"/>
  <c r="AE706" i="2"/>
  <c r="AD705" i="2"/>
  <c r="Z705" i="2"/>
  <c r="AG705" i="2" s="1"/>
  <c r="AC704" i="2"/>
  <c r="Z702" i="2"/>
  <c r="AE690" i="2"/>
  <c r="AD689" i="2"/>
  <c r="Z689" i="2"/>
  <c r="AG689" i="2" s="1"/>
  <c r="AC688" i="2"/>
  <c r="Z686" i="2"/>
  <c r="AG680" i="2"/>
  <c r="AE674" i="2"/>
  <c r="AD673" i="2"/>
  <c r="Z673" i="2"/>
  <c r="AG673" i="2" s="1"/>
  <c r="AC672" i="2"/>
  <c r="Z670" i="2"/>
  <c r="AE658" i="2"/>
  <c r="AD657" i="2"/>
  <c r="Z657" i="2"/>
  <c r="AG657" i="2" s="1"/>
  <c r="AC656" i="2"/>
  <c r="Z654" i="2"/>
  <c r="AE642" i="2"/>
  <c r="AD641" i="2"/>
  <c r="Z641" i="2"/>
  <c r="AG641" i="2" s="1"/>
  <c r="AC640" i="2"/>
  <c r="Z638" i="2"/>
  <c r="AE626" i="2"/>
  <c r="AD625" i="2"/>
  <c r="Z625" i="2"/>
  <c r="AG625" i="2" s="1"/>
  <c r="AC624" i="2"/>
  <c r="Z622" i="2"/>
  <c r="AE621" i="2"/>
  <c r="AA621" i="2"/>
  <c r="AF620" i="2"/>
  <c r="AB618" i="2"/>
  <c r="AE610" i="2"/>
  <c r="AD609" i="2"/>
  <c r="Z609" i="2"/>
  <c r="AG609" i="2" s="1"/>
  <c r="AC608" i="2"/>
  <c r="Z606" i="2"/>
  <c r="AE605" i="2"/>
  <c r="AA605" i="2"/>
  <c r="AF604" i="2"/>
  <c r="AB602" i="2"/>
  <c r="AE594" i="2"/>
  <c r="AD593" i="2"/>
  <c r="Z593" i="2"/>
  <c r="AG593" i="2" s="1"/>
  <c r="AC592" i="2"/>
  <c r="Z590" i="2"/>
  <c r="AE589" i="2"/>
  <c r="AA589" i="2"/>
  <c r="AF588" i="2"/>
  <c r="AB586" i="2"/>
  <c r="AF578" i="2"/>
  <c r="Z578" i="2"/>
  <c r="AF573" i="2"/>
  <c r="AB571" i="2"/>
  <c r="AE569" i="2"/>
  <c r="AA569" i="2"/>
  <c r="AF565" i="2"/>
  <c r="AB563" i="2"/>
  <c r="AE561" i="2"/>
  <c r="AA561" i="2"/>
  <c r="Z556" i="2"/>
  <c r="AF553" i="2"/>
  <c r="AF548" i="2"/>
  <c r="AB545" i="2"/>
  <c r="AF544" i="2"/>
  <c r="AD543" i="2"/>
  <c r="AG543" i="2"/>
  <c r="Z540" i="2"/>
  <c r="AE535" i="2"/>
  <c r="AA535" i="2"/>
  <c r="AE533" i="2"/>
  <c r="AA533" i="2"/>
  <c r="AG529" i="2"/>
  <c r="AB528" i="2"/>
  <c r="AE513" i="2"/>
  <c r="AA513" i="2"/>
  <c r="AF512" i="2"/>
  <c r="AE511" i="2"/>
  <c r="AA511" i="2"/>
  <c r="AG511" i="2" s="1"/>
  <c r="Z500" i="2"/>
  <c r="AE499" i="2"/>
  <c r="AA499" i="2"/>
  <c r="AG497" i="2"/>
  <c r="AF495" i="2"/>
  <c r="AB495" i="2"/>
  <c r="AF494" i="2"/>
  <c r="AF493" i="2"/>
  <c r="AF491" i="2"/>
  <c r="Z488" i="2"/>
  <c r="AD485" i="2"/>
  <c r="Z485" i="2"/>
  <c r="AG483" i="2"/>
  <c r="AG481" i="2"/>
  <c r="AB480" i="2"/>
  <c r="AG479" i="2"/>
  <c r="AF477" i="2"/>
  <c r="Z476" i="2"/>
  <c r="Z472" i="2"/>
  <c r="AB464" i="2"/>
  <c r="AE461" i="2"/>
  <c r="AA461" i="2"/>
  <c r="AD460" i="2"/>
  <c r="AD455" i="2"/>
  <c r="Z455" i="2"/>
  <c r="AG455" i="2" s="1"/>
  <c r="AE453" i="2"/>
  <c r="AA453" i="2"/>
  <c r="AF449" i="2"/>
  <c r="AB449" i="2"/>
  <c r="AF448" i="2"/>
  <c r="AE447" i="2"/>
  <c r="AA447" i="2"/>
  <c r="AD445" i="2"/>
  <c r="AB444" i="2"/>
  <c r="Z439" i="2"/>
  <c r="Z436" i="2"/>
  <c r="AD432" i="2"/>
  <c r="AF431" i="2"/>
  <c r="AF426" i="2"/>
  <c r="AC425" i="2"/>
  <c r="AB420" i="2"/>
  <c r="AF419" i="2"/>
  <c r="Z419" i="2"/>
  <c r="AA417" i="2"/>
  <c r="AE415" i="2"/>
  <c r="Z415" i="2"/>
  <c r="AC413" i="2"/>
  <c r="AB412" i="2"/>
  <c r="AB403" i="2"/>
  <c r="AA401" i="2"/>
  <c r="AD400" i="2"/>
  <c r="AE399" i="2"/>
  <c r="Z399" i="2"/>
  <c r="Z396" i="2"/>
  <c r="AC395" i="2"/>
  <c r="AB393" i="2"/>
  <c r="AF392" i="2"/>
  <c r="AF391" i="2"/>
  <c r="AA391" i="2"/>
  <c r="AF390" i="2"/>
  <c r="AC389" i="2"/>
  <c r="AB388" i="2"/>
  <c r="AC385" i="2"/>
  <c r="AF363" i="2"/>
  <c r="AE362" i="2"/>
  <c r="AB360" i="2"/>
  <c r="AB355" i="2"/>
  <c r="AB349" i="2"/>
  <c r="AC348" i="2"/>
  <c r="AC347" i="2"/>
  <c r="AD345" i="2"/>
  <c r="Z345" i="2"/>
  <c r="AG345" i="2" s="1"/>
  <c r="AE344" i="2"/>
  <c r="Z344" i="2"/>
  <c r="AG344" i="2" s="1"/>
  <c r="AC343" i="2"/>
  <c r="AF342" i="2"/>
  <c r="AE341" i="2"/>
  <c r="Z341" i="2"/>
  <c r="AE340" i="2"/>
  <c r="AB336" i="2"/>
  <c r="AF329" i="2"/>
  <c r="Z329" i="2"/>
  <c r="AE328" i="2"/>
  <c r="Z328" i="2"/>
  <c r="AF325" i="2"/>
  <c r="AB323" i="2"/>
  <c r="AB321" i="2"/>
  <c r="AE320" i="2"/>
  <c r="AB319" i="2"/>
  <c r="AF313" i="2"/>
  <c r="AB307" i="2"/>
  <c r="AC303" i="2"/>
  <c r="AB299" i="2"/>
  <c r="AA293" i="2"/>
  <c r="AB289" i="2"/>
  <c r="AB287" i="2"/>
  <c r="Z280" i="2"/>
  <c r="AC268" i="2"/>
  <c r="AC218" i="2"/>
  <c r="AD218" i="2"/>
  <c r="Z218" i="2"/>
  <c r="AE218" i="2"/>
  <c r="AA218" i="2"/>
  <c r="AF218" i="2"/>
  <c r="AC215" i="2"/>
  <c r="AA215" i="2"/>
  <c r="AB215" i="2"/>
  <c r="AB108" i="2"/>
  <c r="AF108" i="2"/>
  <c r="AA98" i="2"/>
  <c r="AC98" i="2"/>
  <c r="AD98" i="2"/>
  <c r="AA78" i="2"/>
  <c r="AD78" i="2"/>
  <c r="Z78" i="2"/>
  <c r="AF78" i="2"/>
  <c r="AB78" i="2"/>
  <c r="AC75" i="2"/>
  <c r="AD75" i="2"/>
  <c r="Z75" i="2"/>
  <c r="AE75" i="2"/>
  <c r="AA75" i="2"/>
  <c r="AF75" i="2"/>
  <c r="AB63" i="2"/>
  <c r="AF63" i="2"/>
  <c r="AC56" i="2"/>
  <c r="AF56" i="2"/>
  <c r="AA56" i="2"/>
  <c r="AB56" i="2"/>
  <c r="AC44" i="2"/>
  <c r="AD44" i="2"/>
  <c r="Z44" i="2"/>
  <c r="AE44" i="2"/>
  <c r="AA44" i="2"/>
  <c r="AF44" i="2"/>
  <c r="AG717" i="2"/>
  <c r="AE702" i="2"/>
  <c r="AE686" i="2"/>
  <c r="AE670" i="2"/>
  <c r="AE654" i="2"/>
  <c r="AE638" i="2"/>
  <c r="AE622" i="2"/>
  <c r="AD621" i="2"/>
  <c r="Z621" i="2"/>
  <c r="AG621" i="2" s="1"/>
  <c r="AC620" i="2"/>
  <c r="Z618" i="2"/>
  <c r="AE606" i="2"/>
  <c r="AD605" i="2"/>
  <c r="Z605" i="2"/>
  <c r="AG605" i="2" s="1"/>
  <c r="AC604" i="2"/>
  <c r="Z602" i="2"/>
  <c r="AE590" i="2"/>
  <c r="AD589" i="2"/>
  <c r="Z589" i="2"/>
  <c r="AC588" i="2"/>
  <c r="Z586" i="2"/>
  <c r="AE578" i="2"/>
  <c r="AF574" i="2"/>
  <c r="AA571" i="2"/>
  <c r="AD569" i="2"/>
  <c r="Z569" i="2"/>
  <c r="AG569" i="2" s="1"/>
  <c r="AF566" i="2"/>
  <c r="AA563" i="2"/>
  <c r="AD561" i="2"/>
  <c r="Z561" i="2"/>
  <c r="AG561" i="2" s="1"/>
  <c r="AF556" i="2"/>
  <c r="AF554" i="2"/>
  <c r="AA545" i="2"/>
  <c r="AD535" i="2"/>
  <c r="Z535" i="2"/>
  <c r="AD533" i="2"/>
  <c r="Z533" i="2"/>
  <c r="AD513" i="2"/>
  <c r="Z513" i="2"/>
  <c r="AD511" i="2"/>
  <c r="AG501" i="2"/>
  <c r="AF500" i="2"/>
  <c r="AD499" i="2"/>
  <c r="AG499" i="2"/>
  <c r="AE495" i="2"/>
  <c r="AA495" i="2"/>
  <c r="AG495" i="2" s="1"/>
  <c r="AG493" i="2"/>
  <c r="AF488" i="2"/>
  <c r="AG485" i="2"/>
  <c r="AF482" i="2"/>
  <c r="Z480" i="2"/>
  <c r="AF472" i="2"/>
  <c r="Z464" i="2"/>
  <c r="AD461" i="2"/>
  <c r="AB460" i="2"/>
  <c r="AG459" i="2"/>
  <c r="AD453" i="2"/>
  <c r="AE449" i="2"/>
  <c r="AA449" i="2"/>
  <c r="AD447" i="2"/>
  <c r="Z447" i="2"/>
  <c r="Z444" i="2"/>
  <c r="AG443" i="2"/>
  <c r="AF439" i="2"/>
  <c r="AF436" i="2"/>
  <c r="Z432" i="2"/>
  <c r="AA425" i="2"/>
  <c r="AF422" i="2"/>
  <c r="AD415" i="2"/>
  <c r="Z412" i="2"/>
  <c r="AF406" i="2"/>
  <c r="AF401" i="2"/>
  <c r="AD399" i="2"/>
  <c r="AB395" i="2"/>
  <c r="AA393" i="2"/>
  <c r="AD392" i="2"/>
  <c r="AE391" i="2"/>
  <c r="Z391" i="2"/>
  <c r="Z388" i="2"/>
  <c r="AB385" i="2"/>
  <c r="AF379" i="2"/>
  <c r="AB362" i="2"/>
  <c r="AF351" i="2"/>
  <c r="AB347" i="2"/>
  <c r="AD344" i="2"/>
  <c r="AB343" i="2"/>
  <c r="AD341" i="2"/>
  <c r="AF338" i="2"/>
  <c r="Z336" i="2"/>
  <c r="AD329" i="2"/>
  <c r="AD328" i="2"/>
  <c r="AF326" i="2"/>
  <c r="AF321" i="2"/>
  <c r="Z321" i="2"/>
  <c r="AF314" i="2"/>
  <c r="AB303" i="2"/>
  <c r="AF293" i="2"/>
  <c r="Z293" i="2"/>
  <c r="AG293" i="2" s="1"/>
  <c r="AA289" i="2"/>
  <c r="AE284" i="2"/>
  <c r="AF281" i="2"/>
  <c r="AA281" i="2"/>
  <c r="Z279" i="2"/>
  <c r="AF279" i="2"/>
  <c r="AC276" i="2"/>
  <c r="AA276" i="2"/>
  <c r="AB276" i="2"/>
  <c r="AB268" i="2"/>
  <c r="AC264" i="2"/>
  <c r="AD264" i="2"/>
  <c r="Z264" i="2"/>
  <c r="AE264" i="2"/>
  <c r="AA264" i="2"/>
  <c r="AF264" i="2"/>
  <c r="Z251" i="2"/>
  <c r="AB251" i="2"/>
  <c r="AC251" i="2"/>
  <c r="AC241" i="2"/>
  <c r="AA241" i="2"/>
  <c r="AB241" i="2"/>
  <c r="AB223" i="2"/>
  <c r="AD219" i="2"/>
  <c r="AE219" i="2"/>
  <c r="Z219" i="2"/>
  <c r="AF219" i="2"/>
  <c r="AA219" i="2"/>
  <c r="AE212" i="2"/>
  <c r="AC210" i="2"/>
  <c r="AD210" i="2"/>
  <c r="Z210" i="2"/>
  <c r="AG210" i="2" s="1"/>
  <c r="AE210" i="2"/>
  <c r="AA210" i="2"/>
  <c r="AF210" i="2"/>
  <c r="AE202" i="2"/>
  <c r="AC198" i="2"/>
  <c r="Z198" i="2"/>
  <c r="AD198" i="2"/>
  <c r="AA198" i="2"/>
  <c r="AE198" i="2"/>
  <c r="AC195" i="2"/>
  <c r="AD195" i="2"/>
  <c r="Z195" i="2"/>
  <c r="AE195" i="2"/>
  <c r="AA195" i="2"/>
  <c r="AF195" i="2"/>
  <c r="AC170" i="2"/>
  <c r="Z170" i="2"/>
  <c r="AD170" i="2"/>
  <c r="AA170" i="2"/>
  <c r="AE170" i="2"/>
  <c r="AA138" i="2"/>
  <c r="AF138" i="2"/>
  <c r="Z138" i="2"/>
  <c r="AB138" i="2"/>
  <c r="AC122" i="2"/>
  <c r="AF106" i="2"/>
  <c r="AC76" i="2"/>
  <c r="AF76" i="2"/>
  <c r="AA76" i="2"/>
  <c r="AB76" i="2"/>
  <c r="AA70" i="2"/>
  <c r="AF70" i="2"/>
  <c r="Z70" i="2"/>
  <c r="AB70" i="2"/>
  <c r="AC58" i="2"/>
  <c r="AD52" i="2"/>
  <c r="AB43" i="2"/>
  <c r="AC11" i="2"/>
  <c r="AD11" i="2"/>
  <c r="Z11" i="2"/>
  <c r="AG11" i="2" s="1"/>
  <c r="AE11" i="2"/>
  <c r="AA11" i="2"/>
  <c r="AF11" i="2"/>
  <c r="AG697" i="2"/>
  <c r="AG681" i="2"/>
  <c r="AG665" i="2"/>
  <c r="AG649" i="2"/>
  <c r="AG633" i="2"/>
  <c r="AE618" i="2"/>
  <c r="AG617" i="2"/>
  <c r="AE602" i="2"/>
  <c r="AG601" i="2"/>
  <c r="AE586" i="2"/>
  <c r="AG585" i="2"/>
  <c r="AF571" i="2"/>
  <c r="AF563" i="2"/>
  <c r="AF545" i="2"/>
  <c r="AG535" i="2"/>
  <c r="AG533" i="2"/>
  <c r="AG531" i="2"/>
  <c r="AD495" i="2"/>
  <c r="AF480" i="2"/>
  <c r="AF464" i="2"/>
  <c r="AG451" i="2"/>
  <c r="AD449" i="2"/>
  <c r="AG447" i="2"/>
  <c r="AF444" i="2"/>
  <c r="AF393" i="2"/>
  <c r="AD391" i="2"/>
  <c r="AG384" i="2"/>
  <c r="AG372" i="2"/>
  <c r="AF336" i="2"/>
  <c r="AD321" i="2"/>
  <c r="AG316" i="2"/>
  <c r="AE293" i="2"/>
  <c r="AC280" i="2"/>
  <c r="AA280" i="2"/>
  <c r="AF280" i="2"/>
  <c r="Z271" i="2"/>
  <c r="AB271" i="2"/>
  <c r="AC265" i="2"/>
  <c r="Z265" i="2"/>
  <c r="AE265" i="2"/>
  <c r="AA265" i="2"/>
  <c r="AF265" i="2"/>
  <c r="AC260" i="2"/>
  <c r="AF260" i="2"/>
  <c r="AA260" i="2"/>
  <c r="AB260" i="2"/>
  <c r="AD239" i="2"/>
  <c r="AA239" i="2"/>
  <c r="AB239" i="2"/>
  <c r="AE236" i="2"/>
  <c r="AB236" i="2"/>
  <c r="AC236" i="2"/>
  <c r="AC234" i="2"/>
  <c r="AF234" i="2"/>
  <c r="AA234" i="2"/>
  <c r="AB234" i="2"/>
  <c r="AB214" i="2"/>
  <c r="AF214" i="2"/>
  <c r="AC211" i="2"/>
  <c r="AD211" i="2"/>
  <c r="Z211" i="2"/>
  <c r="AE211" i="2"/>
  <c r="AA211" i="2"/>
  <c r="AF211" i="2"/>
  <c r="AF196" i="2"/>
  <c r="AA196" i="2"/>
  <c r="AB196" i="2"/>
  <c r="AF192" i="2"/>
  <c r="AB192" i="2"/>
  <c r="AE192" i="2"/>
  <c r="Z109" i="2"/>
  <c r="AB109" i="2"/>
  <c r="AC109" i="2"/>
  <c r="AC99" i="2"/>
  <c r="Z99" i="2"/>
  <c r="AD99" i="2"/>
  <c r="AA99" i="2"/>
  <c r="AE99" i="2"/>
  <c r="AC64" i="2"/>
  <c r="AE64" i="2"/>
  <c r="AA64" i="2"/>
  <c r="AF64" i="2"/>
  <c r="AB64" i="2"/>
  <c r="AC51" i="2"/>
  <c r="AD51" i="2"/>
  <c r="Z51" i="2"/>
  <c r="AE51" i="2"/>
  <c r="AA51" i="2"/>
  <c r="AF51" i="2"/>
  <c r="Z18" i="2"/>
  <c r="AF18" i="2"/>
  <c r="AB18" i="2"/>
  <c r="AC18" i="2"/>
  <c r="AE277" i="2"/>
  <c r="AE261" i="2"/>
  <c r="AD252" i="2"/>
  <c r="Z252" i="2"/>
  <c r="AE249" i="2"/>
  <c r="Z249" i="2"/>
  <c r="AE248" i="2"/>
  <c r="Z248" i="2"/>
  <c r="AG248" i="2" s="1"/>
  <c r="AC247" i="2"/>
  <c r="AA244" i="2"/>
  <c r="AD240" i="2"/>
  <c r="AG238" i="2"/>
  <c r="AF235" i="2"/>
  <c r="AF233" i="2"/>
  <c r="AA230" i="2"/>
  <c r="AB221" i="2"/>
  <c r="AB216" i="2"/>
  <c r="AA208" i="2"/>
  <c r="AE207" i="2"/>
  <c r="AD203" i="2"/>
  <c r="AF194" i="2"/>
  <c r="AD187" i="2"/>
  <c r="AD186" i="2"/>
  <c r="Z186" i="2"/>
  <c r="AG186" i="2" s="1"/>
  <c r="AA183" i="2"/>
  <c r="AA180" i="2"/>
  <c r="AE179" i="2"/>
  <c r="Z179" i="2"/>
  <c r="AE178" i="2"/>
  <c r="Z178" i="2"/>
  <c r="AG178" i="2" s="1"/>
  <c r="AA168" i="2"/>
  <c r="AE167" i="2"/>
  <c r="Z167" i="2"/>
  <c r="AA158" i="2"/>
  <c r="AD154" i="2"/>
  <c r="Z154" i="2"/>
  <c r="AC153" i="2"/>
  <c r="AA151" i="2"/>
  <c r="AB149" i="2"/>
  <c r="Z142" i="2"/>
  <c r="AG142" i="2" s="1"/>
  <c r="AD134" i="2"/>
  <c r="AF126" i="2"/>
  <c r="Z126" i="2"/>
  <c r="AG126" i="2" s="1"/>
  <c r="Z119" i="2"/>
  <c r="AB117" i="2"/>
  <c r="AE115" i="2"/>
  <c r="Z115" i="2"/>
  <c r="AD110" i="2"/>
  <c r="Z110" i="2"/>
  <c r="AF107" i="2"/>
  <c r="Z107" i="2"/>
  <c r="AD95" i="2"/>
  <c r="Z90" i="2"/>
  <c r="AB87" i="2"/>
  <c r="AD83" i="2"/>
  <c r="Z83" i="2"/>
  <c r="AG83" i="2" s="1"/>
  <c r="AC82" i="2"/>
  <c r="AF74" i="2"/>
  <c r="Z74" i="2"/>
  <c r="AA72" i="2"/>
  <c r="AF68" i="2"/>
  <c r="AA68" i="2"/>
  <c r="AE67" i="2"/>
  <c r="Z67" i="2"/>
  <c r="Z50" i="2"/>
  <c r="AG50" i="2" s="1"/>
  <c r="AE48" i="2"/>
  <c r="AB47" i="2"/>
  <c r="AF42" i="2"/>
  <c r="AD36" i="2"/>
  <c r="AD35" i="2"/>
  <c r="AD34" i="2"/>
  <c r="AB31" i="2"/>
  <c r="AB28" i="2"/>
  <c r="AD27" i="2"/>
  <c r="AF4" i="2"/>
  <c r="AD3" i="2"/>
  <c r="Z3" i="2"/>
  <c r="AD249" i="2"/>
  <c r="AD248" i="2"/>
  <c r="AF244" i="2"/>
  <c r="AF230" i="2"/>
  <c r="AD179" i="2"/>
  <c r="AD178" i="2"/>
  <c r="AD167" i="2"/>
  <c r="AF158" i="2"/>
  <c r="AF142" i="2"/>
  <c r="AD126" i="2"/>
  <c r="AD115" i="2"/>
  <c r="AE107" i="2"/>
  <c r="AF90" i="2"/>
  <c r="AD74" i="2"/>
  <c r="AE68" i="2"/>
  <c r="AG66" i="2"/>
  <c r="AG130" i="2"/>
  <c r="AG59" i="2"/>
  <c r="AG42" i="2"/>
  <c r="AG1464" i="2"/>
  <c r="AG1452" i="2"/>
  <c r="Z1182" i="2"/>
  <c r="AB1182" i="2"/>
  <c r="AC1182" i="2"/>
  <c r="Z1174" i="2"/>
  <c r="AB1174" i="2"/>
  <c r="AC1174" i="2"/>
  <c r="AC1043" i="2"/>
  <c r="Z1043" i="2"/>
  <c r="AD1043" i="2"/>
  <c r="AA1043" i="2"/>
  <c r="AE1043" i="2"/>
  <c r="AA776" i="2"/>
  <c r="AD776" i="2"/>
  <c r="Z776" i="2"/>
  <c r="AF776" i="2"/>
  <c r="AB776" i="2"/>
  <c r="AC776" i="2"/>
  <c r="AA752" i="2"/>
  <c r="AD752" i="2"/>
  <c r="Z752" i="2"/>
  <c r="AF752" i="2"/>
  <c r="AB752" i="2"/>
  <c r="AC752" i="2"/>
  <c r="AC174" i="2"/>
  <c r="Z174" i="2"/>
  <c r="AD174" i="2"/>
  <c r="AA174" i="2"/>
  <c r="AE174" i="2"/>
  <c r="AB174" i="2"/>
  <c r="AF174" i="2"/>
  <c r="AE1733" i="2"/>
  <c r="AA1725" i="2"/>
  <c r="AE1717" i="2"/>
  <c r="AA1709" i="2"/>
  <c r="AA1701" i="2"/>
  <c r="AA1693" i="2"/>
  <c r="AE1685" i="2"/>
  <c r="AA1685" i="2"/>
  <c r="AE1677" i="2"/>
  <c r="AA1677" i="2"/>
  <c r="AE1669" i="2"/>
  <c r="AA1669" i="2"/>
  <c r="AE1661" i="2"/>
  <c r="AA1661" i="2"/>
  <c r="AE1653" i="2"/>
  <c r="AA1653" i="2"/>
  <c r="AE1645" i="2"/>
  <c r="AA1645" i="2"/>
  <c r="AE1637" i="2"/>
  <c r="AA1637" i="2"/>
  <c r="AE1629" i="2"/>
  <c r="AA1629" i="2"/>
  <c r="AE1621" i="2"/>
  <c r="AA1621" i="2"/>
  <c r="AE1613" i="2"/>
  <c r="AA1613" i="2"/>
  <c r="AE1605" i="2"/>
  <c r="AA1605" i="2"/>
  <c r="AE1597" i="2"/>
  <c r="AA1597" i="2"/>
  <c r="AE1589" i="2"/>
  <c r="AA1589" i="2"/>
  <c r="AG1588" i="2"/>
  <c r="AC1587" i="2"/>
  <c r="AF1586" i="2"/>
  <c r="AB1584" i="2"/>
  <c r="AG1577" i="2"/>
  <c r="AE1573" i="2"/>
  <c r="AA1573" i="2"/>
  <c r="AG1572" i="2"/>
  <c r="AC1571" i="2"/>
  <c r="AF1570" i="2"/>
  <c r="AB1568" i="2"/>
  <c r="AG1567" i="2"/>
  <c r="AG1561" i="2"/>
  <c r="AE1556" i="2"/>
  <c r="AA1556" i="2"/>
  <c r="AD1555" i="2"/>
  <c r="AE1554" i="2"/>
  <c r="AE1552" i="2"/>
  <c r="AA1552" i="2"/>
  <c r="AC1550" i="2"/>
  <c r="AF1549" i="2"/>
  <c r="AA1549" i="2"/>
  <c r="AB1547" i="2"/>
  <c r="AG1544" i="2"/>
  <c r="AB1537" i="2"/>
  <c r="AC1535" i="2"/>
  <c r="AD1525" i="2"/>
  <c r="AB1514" i="2"/>
  <c r="AE1512" i="2"/>
  <c r="AA1512" i="2"/>
  <c r="AG1508" i="2"/>
  <c r="AG1504" i="2"/>
  <c r="AC1503" i="2"/>
  <c r="AG1500" i="2"/>
  <c r="AE1492" i="2"/>
  <c r="AA1492" i="2"/>
  <c r="AD1491" i="2"/>
  <c r="AE1490" i="2"/>
  <c r="AE1488" i="2"/>
  <c r="AA1488" i="2"/>
  <c r="AC1486" i="2"/>
  <c r="AF1485" i="2"/>
  <c r="AA1485" i="2"/>
  <c r="AB1482" i="2"/>
  <c r="AE1480" i="2"/>
  <c r="AA1480" i="2"/>
  <c r="AE1468" i="2"/>
  <c r="AA1468" i="2"/>
  <c r="AB1447" i="2"/>
  <c r="AC1442" i="2"/>
  <c r="AE1440" i="2"/>
  <c r="AA1440" i="2"/>
  <c r="AB1439" i="2"/>
  <c r="Z1438" i="2"/>
  <c r="AG1438" i="2" s="1"/>
  <c r="AB1432" i="2"/>
  <c r="AA1431" i="2"/>
  <c r="Z1431" i="2"/>
  <c r="AF1431" i="2"/>
  <c r="Z1430" i="2"/>
  <c r="AC1430" i="2"/>
  <c r="AA1411" i="2"/>
  <c r="Z1411" i="2"/>
  <c r="AF1411" i="2"/>
  <c r="AB1411" i="2"/>
  <c r="AA1371" i="2"/>
  <c r="AD1371" i="2"/>
  <c r="Z1371" i="2"/>
  <c r="AG1371" i="2" s="1"/>
  <c r="AF1371" i="2"/>
  <c r="AB1371" i="2"/>
  <c r="AB1365" i="2"/>
  <c r="AF1365" i="2"/>
  <c r="AA1363" i="2"/>
  <c r="AD1363" i="2"/>
  <c r="Z1363" i="2"/>
  <c r="AF1363" i="2"/>
  <c r="AB1363" i="2"/>
  <c r="AC1348" i="2"/>
  <c r="AG1348" i="2"/>
  <c r="Z1348" i="2"/>
  <c r="AD1348" i="2"/>
  <c r="AA1348" i="2"/>
  <c r="AE1348" i="2"/>
  <c r="Z1342" i="2"/>
  <c r="AG1342" i="2"/>
  <c r="AB1342" i="2"/>
  <c r="AC1342" i="2"/>
  <c r="AC1316" i="2"/>
  <c r="AG1316" i="2"/>
  <c r="Z1316" i="2"/>
  <c r="AD1316" i="2"/>
  <c r="AA1316" i="2"/>
  <c r="AE1316" i="2"/>
  <c r="Z1310" i="2"/>
  <c r="AG1310" i="2"/>
  <c r="AB1310" i="2"/>
  <c r="AC1310" i="2"/>
  <c r="AA1291" i="2"/>
  <c r="AD1291" i="2"/>
  <c r="Z1291" i="2"/>
  <c r="AG1291" i="2" s="1"/>
  <c r="AF1291" i="2"/>
  <c r="AB1291" i="2"/>
  <c r="Z1238" i="2"/>
  <c r="AB1238" i="2"/>
  <c r="AC1238" i="2"/>
  <c r="Z1194" i="2"/>
  <c r="AB1194" i="2"/>
  <c r="AC1194" i="2"/>
  <c r="AG1179" i="2"/>
  <c r="Z1130" i="2"/>
  <c r="AB1130" i="2"/>
  <c r="AC1130" i="2"/>
  <c r="AC1099" i="2"/>
  <c r="Z1099" i="2"/>
  <c r="AD1099" i="2"/>
  <c r="AA1099" i="2"/>
  <c r="AE1099" i="2"/>
  <c r="AC1096" i="2"/>
  <c r="AD1096" i="2"/>
  <c r="Z1096" i="2"/>
  <c r="AE1096" i="2"/>
  <c r="AA1096" i="2"/>
  <c r="AF1096" i="2"/>
  <c r="AG1063" i="2"/>
  <c r="AC1056" i="2"/>
  <c r="AD1056" i="2"/>
  <c r="Z1056" i="2"/>
  <c r="AE1056" i="2"/>
  <c r="AA1056" i="2"/>
  <c r="AF1056" i="2"/>
  <c r="AF1043" i="2"/>
  <c r="AC1035" i="2"/>
  <c r="Z1035" i="2"/>
  <c r="AD1035" i="2"/>
  <c r="AA1035" i="2"/>
  <c r="AE1035" i="2"/>
  <c r="AC1032" i="2"/>
  <c r="AD1032" i="2"/>
  <c r="Z1032" i="2"/>
  <c r="AE1032" i="2"/>
  <c r="AA1032" i="2"/>
  <c r="AF1032" i="2"/>
  <c r="AG1011" i="2"/>
  <c r="Z1006" i="2"/>
  <c r="AB1006" i="2"/>
  <c r="AC1006" i="2"/>
  <c r="Z966" i="2"/>
  <c r="AG966" i="2" s="1"/>
  <c r="AC966" i="2"/>
  <c r="AB966" i="2"/>
  <c r="AF966" i="2"/>
  <c r="Z890" i="2"/>
  <c r="AF890" i="2"/>
  <c r="AB890" i="2"/>
  <c r="AC890" i="2"/>
  <c r="AD890" i="2"/>
  <c r="AF866" i="2"/>
  <c r="AA866" i="2"/>
  <c r="AB866" i="2"/>
  <c r="AE866" i="2"/>
  <c r="Z1198" i="2"/>
  <c r="AB1198" i="2"/>
  <c r="AC1198" i="2"/>
  <c r="Z1118" i="2"/>
  <c r="AG1118" i="2" s="1"/>
  <c r="AB1118" i="2"/>
  <c r="AC1118" i="2"/>
  <c r="Z1090" i="2"/>
  <c r="AB1090" i="2"/>
  <c r="AC1090" i="2"/>
  <c r="AC932" i="2"/>
  <c r="AD932" i="2"/>
  <c r="Z932" i="2"/>
  <c r="AE932" i="2"/>
  <c r="AA932" i="2"/>
  <c r="AF932" i="2"/>
  <c r="AB932" i="2"/>
  <c r="AC737" i="2"/>
  <c r="Z737" i="2"/>
  <c r="AD737" i="2"/>
  <c r="AA737" i="2"/>
  <c r="AE737" i="2"/>
  <c r="AB737" i="2"/>
  <c r="AF737" i="2"/>
  <c r="AC521" i="2"/>
  <c r="Z521" i="2"/>
  <c r="AG521" i="2" s="1"/>
  <c r="AD521" i="2"/>
  <c r="AA521" i="2"/>
  <c r="AE521" i="2"/>
  <c r="AB521" i="2"/>
  <c r="AF521" i="2"/>
  <c r="AC469" i="2"/>
  <c r="Z469" i="2"/>
  <c r="AD469" i="2"/>
  <c r="AA469" i="2"/>
  <c r="AE469" i="2"/>
  <c r="AB469" i="2"/>
  <c r="AF469" i="2"/>
  <c r="AC309" i="2"/>
  <c r="Z309" i="2"/>
  <c r="AD309" i="2"/>
  <c r="AA309" i="2"/>
  <c r="AG309" i="2" s="1"/>
  <c r="AE309" i="2"/>
  <c r="AB309" i="2"/>
  <c r="AF309" i="2"/>
  <c r="AE2" i="2"/>
  <c r="AA1733" i="2"/>
  <c r="AE1725" i="2"/>
  <c r="AA1717" i="2"/>
  <c r="AE1709" i="2"/>
  <c r="AE1701" i="2"/>
  <c r="AE1693" i="2"/>
  <c r="Z2" i="2"/>
  <c r="AD1733" i="2"/>
  <c r="Z1733" i="2"/>
  <c r="AG1732" i="2"/>
  <c r="AB1732" i="2"/>
  <c r="AG1731" i="2"/>
  <c r="AD1728" i="2"/>
  <c r="AC1727" i="2"/>
  <c r="AF1726" i="2"/>
  <c r="AD1725" i="2"/>
  <c r="Z1725" i="2"/>
  <c r="AG1724" i="2"/>
  <c r="AB1724" i="2"/>
  <c r="AG1723" i="2"/>
  <c r="AD1720" i="2"/>
  <c r="AC1719" i="2"/>
  <c r="AF1718" i="2"/>
  <c r="AD1717" i="2"/>
  <c r="Z1717" i="2"/>
  <c r="AG1716" i="2"/>
  <c r="AB1716" i="2"/>
  <c r="AG1715" i="2"/>
  <c r="AD1712" i="2"/>
  <c r="AC1711" i="2"/>
  <c r="AF1710" i="2"/>
  <c r="AD1709" i="2"/>
  <c r="Z1709" i="2"/>
  <c r="AG1708" i="2"/>
  <c r="AB1708" i="2"/>
  <c r="AG1707" i="2"/>
  <c r="AD1704" i="2"/>
  <c r="AC1703" i="2"/>
  <c r="AF1702" i="2"/>
  <c r="AD1701" i="2"/>
  <c r="Z1701" i="2"/>
  <c r="AG1700" i="2"/>
  <c r="AB1700" i="2"/>
  <c r="AG1699" i="2"/>
  <c r="AD1696" i="2"/>
  <c r="AC1695" i="2"/>
  <c r="AF1694" i="2"/>
  <c r="AD1693" i="2"/>
  <c r="Z1693" i="2"/>
  <c r="AG1692" i="2"/>
  <c r="AB1692" i="2"/>
  <c r="AG1691" i="2"/>
  <c r="AD1688" i="2"/>
  <c r="AC1687" i="2"/>
  <c r="AF1686" i="2"/>
  <c r="AD1685" i="2"/>
  <c r="Z1685" i="2"/>
  <c r="AG1684" i="2"/>
  <c r="AB1684" i="2"/>
  <c r="AG1683" i="2"/>
  <c r="AD1680" i="2"/>
  <c r="AC1679" i="2"/>
  <c r="AF1678" i="2"/>
  <c r="AD1677" i="2"/>
  <c r="Z1677" i="2"/>
  <c r="AG1676" i="2"/>
  <c r="AB1676" i="2"/>
  <c r="AG1675" i="2"/>
  <c r="AD1672" i="2"/>
  <c r="AC1671" i="2"/>
  <c r="AF1670" i="2"/>
  <c r="AD1669" i="2"/>
  <c r="Z1669" i="2"/>
  <c r="AG1668" i="2"/>
  <c r="AB1668" i="2"/>
  <c r="AG1667" i="2"/>
  <c r="AD1664" i="2"/>
  <c r="AC1663" i="2"/>
  <c r="AF1662" i="2"/>
  <c r="AD1661" i="2"/>
  <c r="Z1661" i="2"/>
  <c r="AG1660" i="2"/>
  <c r="AB1660" i="2"/>
  <c r="AG1659" i="2"/>
  <c r="AD1656" i="2"/>
  <c r="AC1655" i="2"/>
  <c r="AF1654" i="2"/>
  <c r="AD1653" i="2"/>
  <c r="Z1653" i="2"/>
  <c r="AG1652" i="2"/>
  <c r="AB1652" i="2"/>
  <c r="AG1651" i="2"/>
  <c r="AD1648" i="2"/>
  <c r="AC1647" i="2"/>
  <c r="AF1646" i="2"/>
  <c r="AD1645" i="2"/>
  <c r="Z1645" i="2"/>
  <c r="AG1644" i="2"/>
  <c r="AB1644" i="2"/>
  <c r="AG1643" i="2"/>
  <c r="AD1640" i="2"/>
  <c r="AC1639" i="2"/>
  <c r="AF1638" i="2"/>
  <c r="AD1637" i="2"/>
  <c r="Z1637" i="2"/>
  <c r="AG1636" i="2"/>
  <c r="AB1636" i="2"/>
  <c r="AG1635" i="2"/>
  <c r="AD1632" i="2"/>
  <c r="AC1631" i="2"/>
  <c r="AF1630" i="2"/>
  <c r="AD1629" i="2"/>
  <c r="Z1629" i="2"/>
  <c r="AG1628" i="2"/>
  <c r="AB1628" i="2"/>
  <c r="AG1627" i="2"/>
  <c r="AD1624" i="2"/>
  <c r="AC1623" i="2"/>
  <c r="AF1622" i="2"/>
  <c r="AD1621" i="2"/>
  <c r="Z1621" i="2"/>
  <c r="AG1620" i="2"/>
  <c r="AB1620" i="2"/>
  <c r="AG1619" i="2"/>
  <c r="AD1616" i="2"/>
  <c r="AC1615" i="2"/>
  <c r="AF1614" i="2"/>
  <c r="AD1613" i="2"/>
  <c r="Z1613" i="2"/>
  <c r="AG1612" i="2"/>
  <c r="AB1612" i="2"/>
  <c r="AG1611" i="2"/>
  <c r="AD1608" i="2"/>
  <c r="AC1607" i="2"/>
  <c r="AF1606" i="2"/>
  <c r="AD1605" i="2"/>
  <c r="Z1605" i="2"/>
  <c r="AG1604" i="2"/>
  <c r="AB1604" i="2"/>
  <c r="AG1603" i="2"/>
  <c r="AD1600" i="2"/>
  <c r="AC1599" i="2"/>
  <c r="AF1598" i="2"/>
  <c r="AD1597" i="2"/>
  <c r="Z1597" i="2"/>
  <c r="AG1596" i="2"/>
  <c r="AB1596" i="2"/>
  <c r="AG1595" i="2"/>
  <c r="AD1592" i="2"/>
  <c r="AC1591" i="2"/>
  <c r="AF1590" i="2"/>
  <c r="AD1589" i="2"/>
  <c r="Z1589" i="2"/>
  <c r="AD1588" i="2"/>
  <c r="AB1587" i="2"/>
  <c r="AB1586" i="2"/>
  <c r="AE1585" i="2"/>
  <c r="AA1585" i="2"/>
  <c r="AG1585" i="2" s="1"/>
  <c r="AF1584" i="2"/>
  <c r="Z1584" i="2"/>
  <c r="AG1584" i="2" s="1"/>
  <c r="AC1583" i="2"/>
  <c r="AF1582" i="2"/>
  <c r="AB1580" i="2"/>
  <c r="AD1573" i="2"/>
  <c r="Z1573" i="2"/>
  <c r="AD1572" i="2"/>
  <c r="AB1571" i="2"/>
  <c r="AB1570" i="2"/>
  <c r="AE1569" i="2"/>
  <c r="AA1569" i="2"/>
  <c r="AF1568" i="2"/>
  <c r="Z1568" i="2"/>
  <c r="AG1568" i="2" s="1"/>
  <c r="AC1567" i="2"/>
  <c r="AF1566" i="2"/>
  <c r="AB1564" i="2"/>
  <c r="AD1556" i="2"/>
  <c r="Z1556" i="2"/>
  <c r="AG1556" i="2" s="1"/>
  <c r="AD1552" i="2"/>
  <c r="Z1552" i="2"/>
  <c r="AG1552" i="2" s="1"/>
  <c r="AA1550" i="2"/>
  <c r="AE1549" i="2"/>
  <c r="Z1549" i="2"/>
  <c r="AE1548" i="2"/>
  <c r="AA1548" i="2"/>
  <c r="AG1548" i="2" s="1"/>
  <c r="AF1547" i="2"/>
  <c r="Z1547" i="2"/>
  <c r="AD1541" i="2"/>
  <c r="Z1537" i="2"/>
  <c r="Z1535" i="2"/>
  <c r="AC1526" i="2"/>
  <c r="AE1524" i="2"/>
  <c r="AA1524" i="2"/>
  <c r="AG1524" i="2" s="1"/>
  <c r="AD1523" i="2"/>
  <c r="AE1522" i="2"/>
  <c r="AE1520" i="2"/>
  <c r="AA1520" i="2"/>
  <c r="AG1520" i="2" s="1"/>
  <c r="AC1518" i="2"/>
  <c r="AF1517" i="2"/>
  <c r="AA1517" i="2"/>
  <c r="AB1515" i="2"/>
  <c r="AF1514" i="2"/>
  <c r="AA1514" i="2"/>
  <c r="AD1512" i="2"/>
  <c r="Z1512" i="2"/>
  <c r="AB1505" i="2"/>
  <c r="Z1503" i="2"/>
  <c r="AB1498" i="2"/>
  <c r="AB1497" i="2"/>
  <c r="AE1496" i="2"/>
  <c r="AA1496" i="2"/>
  <c r="AG1496" i="2" s="1"/>
  <c r="AD1492" i="2"/>
  <c r="Z1492" i="2"/>
  <c r="AD1488" i="2"/>
  <c r="Z1488" i="2"/>
  <c r="AA1486" i="2"/>
  <c r="AE1485" i="2"/>
  <c r="Z1485" i="2"/>
  <c r="AE1484" i="2"/>
  <c r="AA1484" i="2"/>
  <c r="AG1484" i="2" s="1"/>
  <c r="AG1483" i="2"/>
  <c r="AB1483" i="2"/>
  <c r="AF1482" i="2"/>
  <c r="AA1482" i="2"/>
  <c r="AD1480" i="2"/>
  <c r="Z1480" i="2"/>
  <c r="AB1473" i="2"/>
  <c r="AC1471" i="2"/>
  <c r="AD1468" i="2"/>
  <c r="Z1468" i="2"/>
  <c r="AG1468" i="2" s="1"/>
  <c r="AB1459" i="2"/>
  <c r="AB1451" i="2"/>
  <c r="AG1450" i="2"/>
  <c r="AE1448" i="2"/>
  <c r="AA1448" i="2"/>
  <c r="AF1447" i="2"/>
  <c r="Z1447" i="2"/>
  <c r="AC1446" i="2"/>
  <c r="AF1445" i="2"/>
  <c r="AB1442" i="2"/>
  <c r="AD1440" i="2"/>
  <c r="Z1440" i="2"/>
  <c r="AG1440" i="2" s="1"/>
  <c r="AF1439" i="2"/>
  <c r="Z1439" i="2"/>
  <c r="AG1439" i="2" s="1"/>
  <c r="AC1438" i="2"/>
  <c r="AG1436" i="2"/>
  <c r="AA1435" i="2"/>
  <c r="AG1435" i="2" s="1"/>
  <c r="AB1435" i="2"/>
  <c r="AF1432" i="2"/>
  <c r="AC1431" i="2"/>
  <c r="AF1430" i="2"/>
  <c r="AB1429" i="2"/>
  <c r="AG1423" i="2"/>
  <c r="AC1422" i="2"/>
  <c r="AG1420" i="2"/>
  <c r="AA1419" i="2"/>
  <c r="AB1419" i="2"/>
  <c r="Z1414" i="2"/>
  <c r="AB1414" i="2"/>
  <c r="AC1414" i="2"/>
  <c r="AD1411" i="2"/>
  <c r="Z1390" i="2"/>
  <c r="AB1390" i="2"/>
  <c r="AC1390" i="2"/>
  <c r="AG1376" i="2"/>
  <c r="AG1372" i="2"/>
  <c r="AC1368" i="2"/>
  <c r="Z1368" i="2"/>
  <c r="AD1368" i="2"/>
  <c r="AA1368" i="2"/>
  <c r="AE1368" i="2"/>
  <c r="AA1359" i="2"/>
  <c r="AD1359" i="2"/>
  <c r="Z1359" i="2"/>
  <c r="AF1359" i="2"/>
  <c r="AB1359" i="2"/>
  <c r="AG1359" i="2"/>
  <c r="AA1355" i="2"/>
  <c r="AD1355" i="2"/>
  <c r="Z1355" i="2"/>
  <c r="AF1355" i="2"/>
  <c r="AB1355" i="2"/>
  <c r="AG1355" i="2"/>
  <c r="AC1352" i="2"/>
  <c r="AG1352" i="2"/>
  <c r="Z1352" i="2"/>
  <c r="AD1352" i="2"/>
  <c r="AA1352" i="2"/>
  <c r="AE1352" i="2"/>
  <c r="AF1348" i="2"/>
  <c r="AA1327" i="2"/>
  <c r="AD1327" i="2"/>
  <c r="Z1327" i="2"/>
  <c r="AF1327" i="2"/>
  <c r="AB1327" i="2"/>
  <c r="AG1327" i="2"/>
  <c r="AA1323" i="2"/>
  <c r="AD1323" i="2"/>
  <c r="Z1323" i="2"/>
  <c r="AF1323" i="2"/>
  <c r="AB1323" i="2"/>
  <c r="AG1323" i="2"/>
  <c r="AC1320" i="2"/>
  <c r="AG1320" i="2"/>
  <c r="Z1320" i="2"/>
  <c r="AD1320" i="2"/>
  <c r="AA1320" i="2"/>
  <c r="AE1320" i="2"/>
  <c r="AF1316" i="2"/>
  <c r="AC1292" i="2"/>
  <c r="Z1292" i="2"/>
  <c r="AG1292" i="2" s="1"/>
  <c r="AD1292" i="2"/>
  <c r="AA1292" i="2"/>
  <c r="AE1292" i="2"/>
  <c r="AA1279" i="2"/>
  <c r="AD1279" i="2"/>
  <c r="Z1279" i="2"/>
  <c r="AF1279" i="2"/>
  <c r="AB1279" i="2"/>
  <c r="AA1263" i="2"/>
  <c r="AD1263" i="2"/>
  <c r="Z1263" i="2"/>
  <c r="AF1263" i="2"/>
  <c r="AB1263" i="2"/>
  <c r="AA1247" i="2"/>
  <c r="AD1247" i="2"/>
  <c r="Z1247" i="2"/>
  <c r="AF1247" i="2"/>
  <c r="AB1247" i="2"/>
  <c r="AC1236" i="2"/>
  <c r="AE1236" i="2"/>
  <c r="Z1236" i="2"/>
  <c r="AG1236" i="2" s="1"/>
  <c r="AB1236" i="2"/>
  <c r="AF1234" i="2"/>
  <c r="Z1234" i="2"/>
  <c r="AC1234" i="2"/>
  <c r="AG1227" i="2"/>
  <c r="AD1214" i="2"/>
  <c r="Z1214" i="2"/>
  <c r="AG1214" i="2" s="1"/>
  <c r="AF1214" i="2"/>
  <c r="AB1214" i="2"/>
  <c r="AF1198" i="2"/>
  <c r="Z1190" i="2"/>
  <c r="AB1190" i="2"/>
  <c r="AC1190" i="2"/>
  <c r="AG1187" i="2"/>
  <c r="AF1182" i="2"/>
  <c r="AF1174" i="2"/>
  <c r="AC1167" i="2"/>
  <c r="Z1167" i="2"/>
  <c r="AD1167" i="2"/>
  <c r="AA1167" i="2"/>
  <c r="AE1167" i="2"/>
  <c r="AC1164" i="2"/>
  <c r="AD1164" i="2"/>
  <c r="Z1164" i="2"/>
  <c r="AE1164" i="2"/>
  <c r="AA1164" i="2"/>
  <c r="AF1164" i="2"/>
  <c r="Z1154" i="2"/>
  <c r="AB1154" i="2"/>
  <c r="AC1154" i="2"/>
  <c r="Z1146" i="2"/>
  <c r="AB1146" i="2"/>
  <c r="AC1146" i="2"/>
  <c r="Z1138" i="2"/>
  <c r="AB1138" i="2"/>
  <c r="AC1138" i="2"/>
  <c r="AC1120" i="2"/>
  <c r="AD1120" i="2"/>
  <c r="Z1120" i="2"/>
  <c r="AE1120" i="2"/>
  <c r="AA1120" i="2"/>
  <c r="AF1120" i="2"/>
  <c r="AF1118" i="2"/>
  <c r="Z1102" i="2"/>
  <c r="AB1102" i="2"/>
  <c r="AC1102" i="2"/>
  <c r="AF1099" i="2"/>
  <c r="AF1090" i="2"/>
  <c r="Z1074" i="2"/>
  <c r="AB1074" i="2"/>
  <c r="AC1074" i="2"/>
  <c r="Z1066" i="2"/>
  <c r="AB1066" i="2"/>
  <c r="AC1066" i="2"/>
  <c r="AG1055" i="2"/>
  <c r="AC1051" i="2"/>
  <c r="Z1051" i="2"/>
  <c r="AD1051" i="2"/>
  <c r="AA1051" i="2"/>
  <c r="AE1051" i="2"/>
  <c r="AB1043" i="2"/>
  <c r="AF1035" i="2"/>
  <c r="AG1031" i="2"/>
  <c r="Z1022" i="2"/>
  <c r="AB1022" i="2"/>
  <c r="AC1022" i="2"/>
  <c r="Z1014" i="2"/>
  <c r="AB1014" i="2"/>
  <c r="AC1014" i="2"/>
  <c r="AC943" i="2"/>
  <c r="Z943" i="2"/>
  <c r="AG943" i="2" s="1"/>
  <c r="AD943" i="2"/>
  <c r="AA943" i="2"/>
  <c r="AE943" i="2"/>
  <c r="AB943" i="2"/>
  <c r="AF943" i="2"/>
  <c r="Z910" i="2"/>
  <c r="AF910" i="2"/>
  <c r="AB910" i="2"/>
  <c r="AC910" i="2"/>
  <c r="AD910" i="2"/>
  <c r="AA837" i="2"/>
  <c r="AE837" i="2"/>
  <c r="AD837" i="2"/>
  <c r="Z837" i="2"/>
  <c r="AF837" i="2"/>
  <c r="AB837" i="2"/>
  <c r="AC837" i="2"/>
  <c r="AA1432" i="2"/>
  <c r="AG1432" i="2" s="1"/>
  <c r="AE1432" i="2"/>
  <c r="AB1413" i="2"/>
  <c r="AF1413" i="2"/>
  <c r="AC1040" i="2"/>
  <c r="AD1040" i="2"/>
  <c r="Z1040" i="2"/>
  <c r="AE1040" i="2"/>
  <c r="AA1040" i="2"/>
  <c r="AF1040" i="2"/>
  <c r="Z813" i="2"/>
  <c r="AD813" i="2"/>
  <c r="AA813" i="2"/>
  <c r="AE813" i="2"/>
  <c r="AB813" i="2"/>
  <c r="AC813" i="2"/>
  <c r="AF813" i="2"/>
  <c r="Z799" i="2"/>
  <c r="AB799" i="2"/>
  <c r="AC799" i="2"/>
  <c r="AF799" i="2"/>
  <c r="AC735" i="2"/>
  <c r="AE735" i="2"/>
  <c r="Z327" i="2"/>
  <c r="AB327" i="2"/>
  <c r="AC327" i="2"/>
  <c r="AF327" i="2"/>
  <c r="AB322" i="2"/>
  <c r="AF322" i="2"/>
  <c r="AC206" i="2"/>
  <c r="Z206" i="2"/>
  <c r="AD206" i="2"/>
  <c r="AA206" i="2"/>
  <c r="AE206" i="2"/>
  <c r="AB206" i="2"/>
  <c r="AF206" i="2"/>
  <c r="AC12" i="2"/>
  <c r="Z12" i="2"/>
  <c r="AG12" i="2" s="1"/>
  <c r="AD12" i="2"/>
  <c r="AA12" i="2"/>
  <c r="AE12" i="2"/>
  <c r="AB12" i="2"/>
  <c r="AF12" i="2"/>
  <c r="AG1733" i="2"/>
  <c r="AF1732" i="2"/>
  <c r="Z1732" i="2"/>
  <c r="AB1727" i="2"/>
  <c r="AB1726" i="2"/>
  <c r="AG1725" i="2"/>
  <c r="AF1724" i="2"/>
  <c r="Z1724" i="2"/>
  <c r="AB1719" i="2"/>
  <c r="AB1718" i="2"/>
  <c r="AG1717" i="2"/>
  <c r="AF1716" i="2"/>
  <c r="Z1716" i="2"/>
  <c r="AB1711" i="2"/>
  <c r="AB1710" i="2"/>
  <c r="AG1709" i="2"/>
  <c r="AF1708" i="2"/>
  <c r="Z1708" i="2"/>
  <c r="AB1703" i="2"/>
  <c r="AB1702" i="2"/>
  <c r="AG1701" i="2"/>
  <c r="AF1700" i="2"/>
  <c r="Z1700" i="2"/>
  <c r="AB1695" i="2"/>
  <c r="AB1694" i="2"/>
  <c r="AG1693" i="2"/>
  <c r="AF1692" i="2"/>
  <c r="Z1692" i="2"/>
  <c r="AB1687" i="2"/>
  <c r="AB1686" i="2"/>
  <c r="AG1685" i="2"/>
  <c r="AF1684" i="2"/>
  <c r="Z1684" i="2"/>
  <c r="AB1679" i="2"/>
  <c r="AB1678" i="2"/>
  <c r="AG1677" i="2"/>
  <c r="AF1676" i="2"/>
  <c r="Z1676" i="2"/>
  <c r="AB1671" i="2"/>
  <c r="AB1670" i="2"/>
  <c r="AG1669" i="2"/>
  <c r="AF1668" i="2"/>
  <c r="Z1668" i="2"/>
  <c r="AB1663" i="2"/>
  <c r="AB1662" i="2"/>
  <c r="AG1661" i="2"/>
  <c r="AF1660" i="2"/>
  <c r="Z1660" i="2"/>
  <c r="AB1655" i="2"/>
  <c r="AB1654" i="2"/>
  <c r="AG1653" i="2"/>
  <c r="AF1652" i="2"/>
  <c r="Z1652" i="2"/>
  <c r="AB1647" i="2"/>
  <c r="AB1646" i="2"/>
  <c r="AG1645" i="2"/>
  <c r="AF1644" i="2"/>
  <c r="Z1644" i="2"/>
  <c r="AB1639" i="2"/>
  <c r="AB1638" i="2"/>
  <c r="AG1637" i="2"/>
  <c r="AF1636" i="2"/>
  <c r="Z1636" i="2"/>
  <c r="AB1631" i="2"/>
  <c r="AB1630" i="2"/>
  <c r="AG1629" i="2"/>
  <c r="AF1628" i="2"/>
  <c r="Z1628" i="2"/>
  <c r="AB1623" i="2"/>
  <c r="AB1622" i="2"/>
  <c r="AG1621" i="2"/>
  <c r="AF1620" i="2"/>
  <c r="Z1620" i="2"/>
  <c r="AB1615" i="2"/>
  <c r="AB1614" i="2"/>
  <c r="AG1613" i="2"/>
  <c r="AF1612" i="2"/>
  <c r="Z1612" i="2"/>
  <c r="AB1607" i="2"/>
  <c r="AB1606" i="2"/>
  <c r="AG1605" i="2"/>
  <c r="AF1604" i="2"/>
  <c r="Z1604" i="2"/>
  <c r="AB1599" i="2"/>
  <c r="AB1598" i="2"/>
  <c r="AG1597" i="2"/>
  <c r="AF1596" i="2"/>
  <c r="Z1596" i="2"/>
  <c r="AB1591" i="2"/>
  <c r="AB1590" i="2"/>
  <c r="AG1589" i="2"/>
  <c r="AD1585" i="2"/>
  <c r="AD1584" i="2"/>
  <c r="AB1583" i="2"/>
  <c r="AB1582" i="2"/>
  <c r="AF1580" i="2"/>
  <c r="Z1580" i="2"/>
  <c r="AD1569" i="2"/>
  <c r="AD1568" i="2"/>
  <c r="AB1567" i="2"/>
  <c r="AB1566" i="2"/>
  <c r="AF1564" i="2"/>
  <c r="Z1564" i="2"/>
  <c r="AG1564" i="2" s="1"/>
  <c r="AD1548" i="2"/>
  <c r="AB1529" i="2"/>
  <c r="AD1524" i="2"/>
  <c r="AD1520" i="2"/>
  <c r="AE1517" i="2"/>
  <c r="AF1515" i="2"/>
  <c r="AF1498" i="2"/>
  <c r="AD1496" i="2"/>
  <c r="AG1488" i="2"/>
  <c r="AD1484" i="2"/>
  <c r="AF1483" i="2"/>
  <c r="AB1465" i="2"/>
  <c r="AE1460" i="2"/>
  <c r="AF1459" i="2"/>
  <c r="Z1459" i="2"/>
  <c r="AG1459" i="2" s="1"/>
  <c r="AB1455" i="2"/>
  <c r="AG1455" i="2" s="1"/>
  <c r="AE1453" i="2"/>
  <c r="AE1452" i="2"/>
  <c r="AF1451" i="2"/>
  <c r="Z1451" i="2"/>
  <c r="AC1450" i="2"/>
  <c r="AD1448" i="2"/>
  <c r="AD1447" i="2"/>
  <c r="AB1446" i="2"/>
  <c r="AE1444" i="2"/>
  <c r="AB1443" i="2"/>
  <c r="AG1442" i="2"/>
  <c r="AD1439" i="2"/>
  <c r="AB1438" i="2"/>
  <c r="AC1435" i="2"/>
  <c r="AD1432" i="2"/>
  <c r="AB1431" i="2"/>
  <c r="AG1431" i="2" s="1"/>
  <c r="AB1430" i="2"/>
  <c r="AA1427" i="2"/>
  <c r="AB1427" i="2"/>
  <c r="AB1422" i="2"/>
  <c r="AC1419" i="2"/>
  <c r="Z1416" i="2"/>
  <c r="AA1416" i="2"/>
  <c r="AE1416" i="2"/>
  <c r="AA1415" i="2"/>
  <c r="AD1415" i="2"/>
  <c r="Z1415" i="2"/>
  <c r="AF1415" i="2"/>
  <c r="AC1411" i="2"/>
  <c r="AA1399" i="2"/>
  <c r="AD1399" i="2"/>
  <c r="Z1399" i="2"/>
  <c r="AF1399" i="2"/>
  <c r="AB1399" i="2"/>
  <c r="AC1371" i="2"/>
  <c r="Z1366" i="2"/>
  <c r="AB1366" i="2"/>
  <c r="AC1366" i="2"/>
  <c r="AC1363" i="2"/>
  <c r="AB1348" i="2"/>
  <c r="AF1342" i="2"/>
  <c r="Z1338" i="2"/>
  <c r="AG1338" i="2"/>
  <c r="AB1338" i="2"/>
  <c r="AC1338" i="2"/>
  <c r="AB1316" i="2"/>
  <c r="AF1310" i="2"/>
  <c r="Z1306" i="2"/>
  <c r="AG1306" i="2"/>
  <c r="AB1306" i="2"/>
  <c r="AC1306" i="2"/>
  <c r="AF1292" i="2"/>
  <c r="AC1291" i="2"/>
  <c r="AG1264" i="2"/>
  <c r="AF1238" i="2"/>
  <c r="AC1215" i="2"/>
  <c r="Z1215" i="2"/>
  <c r="AG1215" i="2" s="1"/>
  <c r="AD1215" i="2"/>
  <c r="AA1215" i="2"/>
  <c r="AE1215" i="2"/>
  <c r="Z1202" i="2"/>
  <c r="AG1202" i="2" s="1"/>
  <c r="AB1202" i="2"/>
  <c r="AC1202" i="2"/>
  <c r="AF1194" i="2"/>
  <c r="AC1159" i="2"/>
  <c r="Z1159" i="2"/>
  <c r="AD1159" i="2"/>
  <c r="AA1159" i="2"/>
  <c r="AE1159" i="2"/>
  <c r="AF1130" i="2"/>
  <c r="Z1110" i="2"/>
  <c r="AB1110" i="2"/>
  <c r="AC1110" i="2"/>
  <c r="AB1099" i="2"/>
  <c r="AB1096" i="2"/>
  <c r="Z1082" i="2"/>
  <c r="AB1082" i="2"/>
  <c r="AC1082" i="2"/>
  <c r="AB1056" i="2"/>
  <c r="AC1048" i="2"/>
  <c r="AD1048" i="2"/>
  <c r="Z1048" i="2"/>
  <c r="AE1048" i="2"/>
  <c r="AA1048" i="2"/>
  <c r="AF1048" i="2"/>
  <c r="AB1035" i="2"/>
  <c r="AB1032" i="2"/>
  <c r="Z1030" i="2"/>
  <c r="AG1030" i="2" s="1"/>
  <c r="AB1030" i="2"/>
  <c r="AC1030" i="2"/>
  <c r="AF1006" i="2"/>
  <c r="AG1391" i="2"/>
  <c r="AG1388" i="2"/>
  <c r="AG1239" i="2"/>
  <c r="AG1231" i="2"/>
  <c r="AG1223" i="2"/>
  <c r="AG1183" i="2"/>
  <c r="AG1175" i="2"/>
  <c r="AG1155" i="2"/>
  <c r="AG1147" i="2"/>
  <c r="AG1139" i="2"/>
  <c r="AG1131" i="2"/>
  <c r="AG1123" i="2"/>
  <c r="AG1111" i="2"/>
  <c r="AG1103" i="2"/>
  <c r="AG1091" i="2"/>
  <c r="AG1083" i="2"/>
  <c r="AG1067" i="2"/>
  <c r="AG1023" i="2"/>
  <c r="AG1007" i="2"/>
  <c r="AG999" i="2"/>
  <c r="AC992" i="2"/>
  <c r="AA992" i="2"/>
  <c r="AF992" i="2"/>
  <c r="Z990" i="2"/>
  <c r="AB990" i="2"/>
  <c r="AC984" i="2"/>
  <c r="AA984" i="2"/>
  <c r="AF984" i="2"/>
  <c r="AA979" i="2"/>
  <c r="AE979" i="2"/>
  <c r="AC972" i="2"/>
  <c r="AD972" i="2"/>
  <c r="AA971" i="2"/>
  <c r="AE971" i="2"/>
  <c r="AC959" i="2"/>
  <c r="Z959" i="2"/>
  <c r="AD959" i="2"/>
  <c r="AA959" i="2"/>
  <c r="AE959" i="2"/>
  <c r="AB933" i="2"/>
  <c r="AF933" i="2"/>
  <c r="AC908" i="2"/>
  <c r="AD908" i="2"/>
  <c r="Z908" i="2"/>
  <c r="AE908" i="2"/>
  <c r="AA908" i="2"/>
  <c r="AF908" i="2"/>
  <c r="AC904" i="2"/>
  <c r="AD904" i="2"/>
  <c r="Z904" i="2"/>
  <c r="AE904" i="2"/>
  <c r="AA904" i="2"/>
  <c r="AF904" i="2"/>
  <c r="AG899" i="2"/>
  <c r="Z894" i="2"/>
  <c r="AF894" i="2"/>
  <c r="AB894" i="2"/>
  <c r="AC894" i="2"/>
  <c r="AA884" i="2"/>
  <c r="AD884" i="2"/>
  <c r="Z884" i="2"/>
  <c r="AF884" i="2"/>
  <c r="AB884" i="2"/>
  <c r="AC853" i="2"/>
  <c r="Z853" i="2"/>
  <c r="AD853" i="2"/>
  <c r="AA853" i="2"/>
  <c r="AE853" i="2"/>
  <c r="AC847" i="2"/>
  <c r="AF847" i="2"/>
  <c r="AA844" i="2"/>
  <c r="Z844" i="2"/>
  <c r="AG844" i="2" s="1"/>
  <c r="AF844" i="2"/>
  <c r="AB844" i="2"/>
  <c r="AC844" i="2"/>
  <c r="AA832" i="2"/>
  <c r="AD832" i="2"/>
  <c r="AF832" i="2"/>
  <c r="Z832" i="2"/>
  <c r="AB832" i="2"/>
  <c r="Z779" i="2"/>
  <c r="AG779" i="2" s="1"/>
  <c r="AB779" i="2"/>
  <c r="AC779" i="2"/>
  <c r="AF779" i="2"/>
  <c r="AC541" i="2"/>
  <c r="Z541" i="2"/>
  <c r="AD541" i="2"/>
  <c r="AA541" i="2"/>
  <c r="AE541" i="2"/>
  <c r="AB541" i="2"/>
  <c r="AF541" i="2"/>
  <c r="AB1403" i="2"/>
  <c r="AE1400" i="2"/>
  <c r="AA1400" i="2"/>
  <c r="AC1398" i="2"/>
  <c r="AF1397" i="2"/>
  <c r="AD1391" i="2"/>
  <c r="AB1383" i="2"/>
  <c r="AD1379" i="2"/>
  <c r="AC1378" i="2"/>
  <c r="AE1376" i="2"/>
  <c r="AA1376" i="2"/>
  <c r="AB1375" i="2"/>
  <c r="AE1372" i="2"/>
  <c r="AA1372" i="2"/>
  <c r="AC1370" i="2"/>
  <c r="AD1367" i="2"/>
  <c r="AE1364" i="2"/>
  <c r="AA1364" i="2"/>
  <c r="AG1364" i="2" s="1"/>
  <c r="AC1362" i="2"/>
  <c r="AG1360" i="2"/>
  <c r="AG1356" i="2"/>
  <c r="AG1351" i="2"/>
  <c r="AB1351" i="2"/>
  <c r="AG1350" i="2"/>
  <c r="AG1347" i="2"/>
  <c r="AB1347" i="2"/>
  <c r="AG1346" i="2"/>
  <c r="AE1344" i="2"/>
  <c r="AA1344" i="2"/>
  <c r="AE1340" i="2"/>
  <c r="AA1340" i="2"/>
  <c r="AD1335" i="2"/>
  <c r="AC1334" i="2"/>
  <c r="AD1331" i="2"/>
  <c r="AC1330" i="2"/>
  <c r="AG1328" i="2"/>
  <c r="AG1324" i="2"/>
  <c r="AG1319" i="2"/>
  <c r="AB1319" i="2"/>
  <c r="AG1318" i="2"/>
  <c r="AG1315" i="2"/>
  <c r="AB1315" i="2"/>
  <c r="AG1314" i="2"/>
  <c r="AE1312" i="2"/>
  <c r="AA1312" i="2"/>
  <c r="AE1308" i="2"/>
  <c r="AA1308" i="2"/>
  <c r="AD1303" i="2"/>
  <c r="AC1302" i="2"/>
  <c r="AD1299" i="2"/>
  <c r="AC1298" i="2"/>
  <c r="AG1296" i="2"/>
  <c r="AC1290" i="2"/>
  <c r="AE1288" i="2"/>
  <c r="AA1288" i="2"/>
  <c r="AB1287" i="2"/>
  <c r="AG1286" i="2"/>
  <c r="AB1283" i="2"/>
  <c r="AE1280" i="2"/>
  <c r="AA1280" i="2"/>
  <c r="AG1280" i="2" s="1"/>
  <c r="AC1278" i="2"/>
  <c r="AF1277" i="2"/>
  <c r="AB1275" i="2"/>
  <c r="AB1267" i="2"/>
  <c r="AE1264" i="2"/>
  <c r="AA1264" i="2"/>
  <c r="AC1262" i="2"/>
  <c r="AF1261" i="2"/>
  <c r="AB1259" i="2"/>
  <c r="AB1251" i="2"/>
  <c r="AG1250" i="2"/>
  <c r="AE1248" i="2"/>
  <c r="AA1248" i="2"/>
  <c r="AD1239" i="2"/>
  <c r="AB1229" i="2"/>
  <c r="AE1227" i="2"/>
  <c r="AA1227" i="2"/>
  <c r="AB1220" i="2"/>
  <c r="AG1219" i="2"/>
  <c r="AC1218" i="2"/>
  <c r="AF1208" i="2"/>
  <c r="AA1208" i="2"/>
  <c r="AF1204" i="2"/>
  <c r="AA1204" i="2"/>
  <c r="AD1188" i="2"/>
  <c r="AE1187" i="2"/>
  <c r="AA1187" i="2"/>
  <c r="AF1184" i="2"/>
  <c r="AA1184" i="2"/>
  <c r="AE1179" i="2"/>
  <c r="AA1179" i="2"/>
  <c r="AF1176" i="2"/>
  <c r="AA1176" i="2"/>
  <c r="AE1171" i="2"/>
  <c r="AA1171" i="2"/>
  <c r="AG1171" i="2" s="1"/>
  <c r="AC1166" i="2"/>
  <c r="AF1156" i="2"/>
  <c r="AA1156" i="2"/>
  <c r="AE1151" i="2"/>
  <c r="AA1151" i="2"/>
  <c r="AG1151" i="2" s="1"/>
  <c r="AF1148" i="2"/>
  <c r="AA1148" i="2"/>
  <c r="AE1143" i="2"/>
  <c r="AA1143" i="2"/>
  <c r="AG1143" i="2" s="1"/>
  <c r="AF1140" i="2"/>
  <c r="AA1140" i="2"/>
  <c r="AE1135" i="2"/>
  <c r="AA1135" i="2"/>
  <c r="AF1132" i="2"/>
  <c r="AA1132" i="2"/>
  <c r="AE1127" i="2"/>
  <c r="AA1127" i="2"/>
  <c r="AG1127" i="2" s="1"/>
  <c r="AF1124" i="2"/>
  <c r="AA1124" i="2"/>
  <c r="AC1122" i="2"/>
  <c r="AE1115" i="2"/>
  <c r="AA1115" i="2"/>
  <c r="AG1115" i="2" s="1"/>
  <c r="AF1112" i="2"/>
  <c r="AA1112" i="2"/>
  <c r="AE1107" i="2"/>
  <c r="AA1107" i="2"/>
  <c r="AF1104" i="2"/>
  <c r="AA1104" i="2"/>
  <c r="AC1098" i="2"/>
  <c r="AE1095" i="2"/>
  <c r="AA1095" i="2"/>
  <c r="AF1092" i="2"/>
  <c r="AA1092" i="2"/>
  <c r="AE1087" i="2"/>
  <c r="AA1087" i="2"/>
  <c r="AG1087" i="2" s="1"/>
  <c r="AF1084" i="2"/>
  <c r="AA1084" i="2"/>
  <c r="AE1079" i="2"/>
  <c r="AA1079" i="2"/>
  <c r="AG1079" i="2" s="1"/>
  <c r="AF1076" i="2"/>
  <c r="AA1076" i="2"/>
  <c r="AA1071" i="2"/>
  <c r="AG1071" i="2" s="1"/>
  <c r="AF1068" i="2"/>
  <c r="AA1068" i="2"/>
  <c r="AC1042" i="2"/>
  <c r="AC1034" i="2"/>
  <c r="AE1027" i="2"/>
  <c r="AA1027" i="2"/>
  <c r="AG1027" i="2" s="1"/>
  <c r="AF1024" i="2"/>
  <c r="AA1024" i="2"/>
  <c r="AA1019" i="2"/>
  <c r="AF1016" i="2"/>
  <c r="AA1016" i="2"/>
  <c r="Z982" i="2"/>
  <c r="AG982" i="2" s="1"/>
  <c r="AC982" i="2"/>
  <c r="AC980" i="2"/>
  <c r="Z980" i="2"/>
  <c r="AG980" i="2" s="1"/>
  <c r="AE980" i="2"/>
  <c r="AC956" i="2"/>
  <c r="AD956" i="2"/>
  <c r="Z956" i="2"/>
  <c r="AE956" i="2"/>
  <c r="AA956" i="2"/>
  <c r="AF956" i="2"/>
  <c r="AC939" i="2"/>
  <c r="Z939" i="2"/>
  <c r="AG939" i="2" s="1"/>
  <c r="AD939" i="2"/>
  <c r="AA939" i="2"/>
  <c r="AE939" i="2"/>
  <c r="AG935" i="2"/>
  <c r="Z930" i="2"/>
  <c r="AG930" i="2" s="1"/>
  <c r="AF930" i="2"/>
  <c r="AB930" i="2"/>
  <c r="AC930" i="2"/>
  <c r="AB909" i="2"/>
  <c r="AF909" i="2"/>
  <c r="AC892" i="2"/>
  <c r="AD892" i="2"/>
  <c r="Z892" i="2"/>
  <c r="AE892" i="2"/>
  <c r="AA892" i="2"/>
  <c r="AF892" i="2"/>
  <c r="AF850" i="2"/>
  <c r="AA850" i="2"/>
  <c r="AB850" i="2"/>
  <c r="AA812" i="2"/>
  <c r="AD812" i="2"/>
  <c r="Z812" i="2"/>
  <c r="AF812" i="2"/>
  <c r="AB812" i="2"/>
  <c r="AC812" i="2"/>
  <c r="AE727" i="2"/>
  <c r="AA727" i="2"/>
  <c r="AF727" i="2"/>
  <c r="AB727" i="2"/>
  <c r="AC727" i="2"/>
  <c r="AC551" i="2"/>
  <c r="Z551" i="2"/>
  <c r="AG551" i="2" s="1"/>
  <c r="AD551" i="2"/>
  <c r="AA551" i="2"/>
  <c r="AE551" i="2"/>
  <c r="AB551" i="2"/>
  <c r="AF551" i="2"/>
  <c r="AF1403" i="2"/>
  <c r="Z1403" i="2"/>
  <c r="AG1403" i="2" s="1"/>
  <c r="AD1400" i="2"/>
  <c r="AB1398" i="2"/>
  <c r="AF1383" i="2"/>
  <c r="Z1383" i="2"/>
  <c r="AB1378" i="2"/>
  <c r="AD1376" i="2"/>
  <c r="AF1375" i="2"/>
  <c r="Z1375" i="2"/>
  <c r="AG1375" i="2" s="1"/>
  <c r="AD1372" i="2"/>
  <c r="AB1370" i="2"/>
  <c r="AD1364" i="2"/>
  <c r="AB1362" i="2"/>
  <c r="AF1351" i="2"/>
  <c r="Z1351" i="2"/>
  <c r="AF1347" i="2"/>
  <c r="Z1347" i="2"/>
  <c r="AD1344" i="2"/>
  <c r="AD1340" i="2"/>
  <c r="AB1334" i="2"/>
  <c r="AB1330" i="2"/>
  <c r="AF1319" i="2"/>
  <c r="Z1319" i="2"/>
  <c r="AF1315" i="2"/>
  <c r="Z1315" i="2"/>
  <c r="AD1312" i="2"/>
  <c r="AD1308" i="2"/>
  <c r="AB1302" i="2"/>
  <c r="AB1298" i="2"/>
  <c r="AB1290" i="2"/>
  <c r="AD1288" i="2"/>
  <c r="AF1287" i="2"/>
  <c r="Z1287" i="2"/>
  <c r="AG1287" i="2" s="1"/>
  <c r="AF1283" i="2"/>
  <c r="Z1283" i="2"/>
  <c r="AD1280" i="2"/>
  <c r="AB1278" i="2"/>
  <c r="AF1275" i="2"/>
  <c r="Z1275" i="2"/>
  <c r="AF1267" i="2"/>
  <c r="Z1267" i="2"/>
  <c r="AG1267" i="2" s="1"/>
  <c r="AD1264" i="2"/>
  <c r="AB1262" i="2"/>
  <c r="AF1259" i="2"/>
  <c r="Z1259" i="2"/>
  <c r="AF1251" i="2"/>
  <c r="Z1251" i="2"/>
  <c r="AG1251" i="2" s="1"/>
  <c r="AD1248" i="2"/>
  <c r="AF1229" i="2"/>
  <c r="AD1227" i="2"/>
  <c r="AE1208" i="2"/>
  <c r="Z1208" i="2"/>
  <c r="AE1204" i="2"/>
  <c r="Z1204" i="2"/>
  <c r="AD1187" i="2"/>
  <c r="AE1184" i="2"/>
  <c r="Z1184" i="2"/>
  <c r="AD1179" i="2"/>
  <c r="AE1176" i="2"/>
  <c r="Z1176" i="2"/>
  <c r="AD1171" i="2"/>
  <c r="AB1166" i="2"/>
  <c r="AE1156" i="2"/>
  <c r="Z1156" i="2"/>
  <c r="AD1151" i="2"/>
  <c r="AE1148" i="2"/>
  <c r="Z1148" i="2"/>
  <c r="AD1143" i="2"/>
  <c r="AE1140" i="2"/>
  <c r="Z1140" i="2"/>
  <c r="AD1135" i="2"/>
  <c r="AC1134" i="2"/>
  <c r="AE1132" i="2"/>
  <c r="Z1132" i="2"/>
  <c r="AD1127" i="2"/>
  <c r="AC1126" i="2"/>
  <c r="AE1124" i="2"/>
  <c r="Z1124" i="2"/>
  <c r="AB1122" i="2"/>
  <c r="AE1119" i="2"/>
  <c r="AD1115" i="2"/>
  <c r="AC1114" i="2"/>
  <c r="AE1112" i="2"/>
  <c r="Z1112" i="2"/>
  <c r="AD1107" i="2"/>
  <c r="AC1106" i="2"/>
  <c r="AE1104" i="2"/>
  <c r="Z1104" i="2"/>
  <c r="AB1098" i="2"/>
  <c r="AD1095" i="2"/>
  <c r="AC1094" i="2"/>
  <c r="AE1092" i="2"/>
  <c r="Z1092" i="2"/>
  <c r="AD1087" i="2"/>
  <c r="AC1086" i="2"/>
  <c r="AE1084" i="2"/>
  <c r="Z1084" i="2"/>
  <c r="AD1079" i="2"/>
  <c r="AC1078" i="2"/>
  <c r="AE1076" i="2"/>
  <c r="Z1076" i="2"/>
  <c r="AD1071" i="2"/>
  <c r="AC1070" i="2"/>
  <c r="AE1068" i="2"/>
  <c r="Z1068" i="2"/>
  <c r="AD1063" i="2"/>
  <c r="AC1062" i="2"/>
  <c r="AE1060" i="2"/>
  <c r="Z1060" i="2"/>
  <c r="AB1058" i="2"/>
  <c r="AE1055" i="2"/>
  <c r="AF1052" i="2"/>
  <c r="AA1052" i="2"/>
  <c r="AB1050" i="2"/>
  <c r="AE1047" i="2"/>
  <c r="AF1044" i="2"/>
  <c r="AA1044" i="2"/>
  <c r="AB1042" i="2"/>
  <c r="AE1039" i="2"/>
  <c r="AF1036" i="2"/>
  <c r="AA1036" i="2"/>
  <c r="AB1034" i="2"/>
  <c r="AE1031" i="2"/>
  <c r="AD1027" i="2"/>
  <c r="AC1026" i="2"/>
  <c r="AE1024" i="2"/>
  <c r="Z1024" i="2"/>
  <c r="AG1024" i="2" s="1"/>
  <c r="AD1019" i="2"/>
  <c r="AC1018" i="2"/>
  <c r="AE1016" i="2"/>
  <c r="Z1016" i="2"/>
  <c r="AG1016" i="2" s="1"/>
  <c r="AD1011" i="2"/>
  <c r="AC1010" i="2"/>
  <c r="AE1008" i="2"/>
  <c r="Z1008" i="2"/>
  <c r="AG1008" i="2" s="1"/>
  <c r="AD1003" i="2"/>
  <c r="AC1002" i="2"/>
  <c r="AE1000" i="2"/>
  <c r="Z1000" i="2"/>
  <c r="AG1000" i="2" s="1"/>
  <c r="AB998" i="2"/>
  <c r="AC996" i="2"/>
  <c r="AD996" i="2"/>
  <c r="AA995" i="2"/>
  <c r="AG995" i="2" s="1"/>
  <c r="AE995" i="2"/>
  <c r="Z992" i="2"/>
  <c r="AE991" i="2"/>
  <c r="Z991" i="2"/>
  <c r="AG991" i="2" s="1"/>
  <c r="AC990" i="2"/>
  <c r="AC988" i="2"/>
  <c r="AD988" i="2"/>
  <c r="AA987" i="2"/>
  <c r="AG987" i="2" s="1"/>
  <c r="AE987" i="2"/>
  <c r="Z984" i="2"/>
  <c r="AE983" i="2"/>
  <c r="Z983" i="2"/>
  <c r="AG983" i="2" s="1"/>
  <c r="AF982" i="2"/>
  <c r="AB980" i="2"/>
  <c r="AF979" i="2"/>
  <c r="Z979" i="2"/>
  <c r="AG979" i="2" s="1"/>
  <c r="AC976" i="2"/>
  <c r="AA976" i="2"/>
  <c r="AF976" i="2"/>
  <c r="Z974" i="2"/>
  <c r="AB974" i="2"/>
  <c r="AF972" i="2"/>
  <c r="Z972" i="2"/>
  <c r="AF971" i="2"/>
  <c r="Z971" i="2"/>
  <c r="AG971" i="2" s="1"/>
  <c r="AC968" i="2"/>
  <c r="AA968" i="2"/>
  <c r="AF968" i="2"/>
  <c r="AB959" i="2"/>
  <c r="AG955" i="2"/>
  <c r="AC951" i="2"/>
  <c r="Z951" i="2"/>
  <c r="AG951" i="2" s="1"/>
  <c r="AD951" i="2"/>
  <c r="AA951" i="2"/>
  <c r="AE951" i="2"/>
  <c r="AC948" i="2"/>
  <c r="AD948" i="2"/>
  <c r="Z948" i="2"/>
  <c r="AE948" i="2"/>
  <c r="AA948" i="2"/>
  <c r="AG948" i="2" s="1"/>
  <c r="AF948" i="2"/>
  <c r="AF939" i="2"/>
  <c r="Z934" i="2"/>
  <c r="AF934" i="2"/>
  <c r="AB934" i="2"/>
  <c r="AC934" i="2"/>
  <c r="AC920" i="2"/>
  <c r="AD920" i="2"/>
  <c r="Z920" i="2"/>
  <c r="AE920" i="2"/>
  <c r="AA920" i="2"/>
  <c r="AF920" i="2"/>
  <c r="AG911" i="2"/>
  <c r="AB908" i="2"/>
  <c r="AB904" i="2"/>
  <c r="AD894" i="2"/>
  <c r="AB893" i="2"/>
  <c r="AF893" i="2"/>
  <c r="AC884" i="2"/>
  <c r="AA868" i="2"/>
  <c r="AD868" i="2"/>
  <c r="Z868" i="2"/>
  <c r="AF868" i="2"/>
  <c r="AB868" i="2"/>
  <c r="AB853" i="2"/>
  <c r="AA848" i="2"/>
  <c r="AD848" i="2"/>
  <c r="AF848" i="2"/>
  <c r="Z848" i="2"/>
  <c r="AG848" i="2" s="1"/>
  <c r="AB848" i="2"/>
  <c r="AA846" i="2"/>
  <c r="AE846" i="2"/>
  <c r="AF846" i="2"/>
  <c r="AD844" i="2"/>
  <c r="AC843" i="2"/>
  <c r="AB843" i="2"/>
  <c r="AF843" i="2"/>
  <c r="AC832" i="2"/>
  <c r="AA772" i="2"/>
  <c r="AD772" i="2"/>
  <c r="Z772" i="2"/>
  <c r="AF772" i="2"/>
  <c r="AB772" i="2"/>
  <c r="AC772" i="2"/>
  <c r="AC547" i="2"/>
  <c r="Z547" i="2"/>
  <c r="AD547" i="2"/>
  <c r="AA547" i="2"/>
  <c r="AE547" i="2"/>
  <c r="AB547" i="2"/>
  <c r="AF547" i="2"/>
  <c r="AG923" i="2"/>
  <c r="AG877" i="2"/>
  <c r="AG873" i="2"/>
  <c r="AC865" i="2"/>
  <c r="AD860" i="2"/>
  <c r="AG857" i="2"/>
  <c r="AG852" i="2"/>
  <c r="AC849" i="2"/>
  <c r="Z841" i="2"/>
  <c r="AD841" i="2"/>
  <c r="AA836" i="2"/>
  <c r="Z836" i="2"/>
  <c r="AF836" i="2"/>
  <c r="Z835" i="2"/>
  <c r="AC835" i="2"/>
  <c r="AB830" i="2"/>
  <c r="AF830" i="2"/>
  <c r="Z827" i="2"/>
  <c r="AB827" i="2"/>
  <c r="AC827" i="2"/>
  <c r="AG821" i="2"/>
  <c r="Z815" i="2"/>
  <c r="AB815" i="2"/>
  <c r="AC815" i="2"/>
  <c r="AB810" i="2"/>
  <c r="AF810" i="2"/>
  <c r="AC801" i="2"/>
  <c r="Z801" i="2"/>
  <c r="AG801" i="2" s="1"/>
  <c r="AD801" i="2"/>
  <c r="AA801" i="2"/>
  <c r="AE801" i="2"/>
  <c r="Z795" i="2"/>
  <c r="AB795" i="2"/>
  <c r="AC795" i="2"/>
  <c r="Z767" i="2"/>
  <c r="AB767" i="2"/>
  <c r="AC767" i="2"/>
  <c r="AC539" i="2"/>
  <c r="Z539" i="2"/>
  <c r="AG539" i="2" s="1"/>
  <c r="AD539" i="2"/>
  <c r="AA539" i="2"/>
  <c r="AE539" i="2"/>
  <c r="Z503" i="2"/>
  <c r="AD503" i="2"/>
  <c r="AA503" i="2"/>
  <c r="AE503" i="2"/>
  <c r="AB503" i="2"/>
  <c r="AF503" i="2"/>
  <c r="AC503" i="2"/>
  <c r="AC950" i="2"/>
  <c r="AF936" i="2"/>
  <c r="AA936" i="2"/>
  <c r="AC926" i="2"/>
  <c r="AF925" i="2"/>
  <c r="AF924" i="2"/>
  <c r="AA924" i="2"/>
  <c r="AC922" i="2"/>
  <c r="AE919" i="2"/>
  <c r="AA919" i="2"/>
  <c r="AG919" i="2" s="1"/>
  <c r="AE915" i="2"/>
  <c r="AA915" i="2"/>
  <c r="AG915" i="2" s="1"/>
  <c r="AC906" i="2"/>
  <c r="AA903" i="2"/>
  <c r="AG903" i="2" s="1"/>
  <c r="Z833" i="2"/>
  <c r="AD833" i="2"/>
  <c r="Z829" i="2"/>
  <c r="AD829" i="2"/>
  <c r="AA829" i="2"/>
  <c r="AE829" i="2"/>
  <c r="AA828" i="2"/>
  <c r="AD828" i="2"/>
  <c r="Z828" i="2"/>
  <c r="AF828" i="2"/>
  <c r="AA824" i="2"/>
  <c r="Z824" i="2"/>
  <c r="AF824" i="2"/>
  <c r="AB824" i="2"/>
  <c r="Z817" i="2"/>
  <c r="AD817" i="2"/>
  <c r="AA817" i="2"/>
  <c r="AE817" i="2"/>
  <c r="AA816" i="2"/>
  <c r="AD816" i="2"/>
  <c r="Z816" i="2"/>
  <c r="AF816" i="2"/>
  <c r="AC797" i="2"/>
  <c r="Z797" i="2"/>
  <c r="AD797" i="2"/>
  <c r="AA797" i="2"/>
  <c r="AE797" i="2"/>
  <c r="AB778" i="2"/>
  <c r="AF778" i="2"/>
  <c r="AC769" i="2"/>
  <c r="Z769" i="2"/>
  <c r="AD769" i="2"/>
  <c r="AA769" i="2"/>
  <c r="AE769" i="2"/>
  <c r="AA764" i="2"/>
  <c r="AD764" i="2"/>
  <c r="Z764" i="2"/>
  <c r="AG764" i="2" s="1"/>
  <c r="AF764" i="2"/>
  <c r="AB764" i="2"/>
  <c r="AC736" i="2"/>
  <c r="AD736" i="2"/>
  <c r="AC733" i="2"/>
  <c r="Z733" i="2"/>
  <c r="AD733" i="2"/>
  <c r="AA733" i="2"/>
  <c r="AE733" i="2"/>
  <c r="AD730" i="2"/>
  <c r="Z730" i="2"/>
  <c r="AE730" i="2"/>
  <c r="AA730" i="2"/>
  <c r="AG730" i="2" s="1"/>
  <c r="AF730" i="2"/>
  <c r="AF570" i="2"/>
  <c r="Z570" i="2"/>
  <c r="AB570" i="2"/>
  <c r="AF562" i="2"/>
  <c r="Z562" i="2"/>
  <c r="AB562" i="2"/>
  <c r="AC549" i="2"/>
  <c r="Z549" i="2"/>
  <c r="AG549" i="2" s="1"/>
  <c r="AD549" i="2"/>
  <c r="AA549" i="2"/>
  <c r="AE549" i="2"/>
  <c r="AC519" i="2"/>
  <c r="Z519" i="2"/>
  <c r="AG519" i="2" s="1"/>
  <c r="AD519" i="2"/>
  <c r="AA519" i="2"/>
  <c r="AE519" i="2"/>
  <c r="AB519" i="2"/>
  <c r="AF519" i="2"/>
  <c r="AB514" i="2"/>
  <c r="AF514" i="2"/>
  <c r="AB506" i="2"/>
  <c r="AF506" i="2"/>
  <c r="AC467" i="2"/>
  <c r="Z467" i="2"/>
  <c r="AD467" i="2"/>
  <c r="AA467" i="2"/>
  <c r="AE467" i="2"/>
  <c r="AB467" i="2"/>
  <c r="AF467" i="2"/>
  <c r="AE964" i="2"/>
  <c r="Z964" i="2"/>
  <c r="AG964" i="2" s="1"/>
  <c r="AE963" i="2"/>
  <c r="AF960" i="2"/>
  <c r="AA960" i="2"/>
  <c r="AB958" i="2"/>
  <c r="AE955" i="2"/>
  <c r="AF952" i="2"/>
  <c r="AA952" i="2"/>
  <c r="AB950" i="2"/>
  <c r="AE947" i="2"/>
  <c r="AF944" i="2"/>
  <c r="AA944" i="2"/>
  <c r="AC942" i="2"/>
  <c r="AF940" i="2"/>
  <c r="AA940" i="2"/>
  <c r="AC938" i="2"/>
  <c r="AE936" i="2"/>
  <c r="Z936" i="2"/>
  <c r="AE935" i="2"/>
  <c r="AE931" i="2"/>
  <c r="AF928" i="2"/>
  <c r="AA928" i="2"/>
  <c r="AB926" i="2"/>
  <c r="AE924" i="2"/>
  <c r="Z924" i="2"/>
  <c r="AB922" i="2"/>
  <c r="AD919" i="2"/>
  <c r="AD915" i="2"/>
  <c r="AE912" i="2"/>
  <c r="Z912" i="2"/>
  <c r="AE911" i="2"/>
  <c r="AE907" i="2"/>
  <c r="AG906" i="2"/>
  <c r="AB906" i="2"/>
  <c r="AD903" i="2"/>
  <c r="AD899" i="2"/>
  <c r="AE896" i="2"/>
  <c r="Z896" i="2"/>
  <c r="AE895" i="2"/>
  <c r="AE891" i="2"/>
  <c r="AD885" i="2"/>
  <c r="AE881" i="2"/>
  <c r="AF880" i="2"/>
  <c r="Z880" i="2"/>
  <c r="AG880" i="2" s="1"/>
  <c r="AB876" i="2"/>
  <c r="AG876" i="2" s="1"/>
  <c r="AD869" i="2"/>
  <c r="AE865" i="2"/>
  <c r="AF864" i="2"/>
  <c r="Z864" i="2"/>
  <c r="AG864" i="2" s="1"/>
  <c r="AB860" i="2"/>
  <c r="AG860" i="2" s="1"/>
  <c r="AE849" i="2"/>
  <c r="AA845" i="2"/>
  <c r="AE845" i="2"/>
  <c r="AF841" i="2"/>
  <c r="AA841" i="2"/>
  <c r="AA840" i="2"/>
  <c r="Z840" i="2"/>
  <c r="AF840" i="2"/>
  <c r="Z839" i="2"/>
  <c r="AC839" i="2"/>
  <c r="AB836" i="2"/>
  <c r="AB835" i="2"/>
  <c r="AB833" i="2"/>
  <c r="Z831" i="2"/>
  <c r="AB831" i="2"/>
  <c r="AC831" i="2"/>
  <c r="AC829" i="2"/>
  <c r="AC828" i="2"/>
  <c r="AF827" i="2"/>
  <c r="AB826" i="2"/>
  <c r="AF826" i="2"/>
  <c r="AD824" i="2"/>
  <c r="AA820" i="2"/>
  <c r="Z820" i="2"/>
  <c r="AF820" i="2"/>
  <c r="AB820" i="2"/>
  <c r="AC817" i="2"/>
  <c r="AC816" i="2"/>
  <c r="AF815" i="2"/>
  <c r="AB814" i="2"/>
  <c r="AF814" i="2"/>
  <c r="Z811" i="2"/>
  <c r="AB811" i="2"/>
  <c r="AC811" i="2"/>
  <c r="AA808" i="2"/>
  <c r="AD808" i="2"/>
  <c r="Z808" i="2"/>
  <c r="AF808" i="2"/>
  <c r="AB808" i="2"/>
  <c r="AA804" i="2"/>
  <c r="AD804" i="2"/>
  <c r="Z804" i="2"/>
  <c r="AG804" i="2" s="1"/>
  <c r="AF804" i="2"/>
  <c r="AB804" i="2"/>
  <c r="AB801" i="2"/>
  <c r="AF797" i="2"/>
  <c r="AF795" i="2"/>
  <c r="AB794" i="2"/>
  <c r="AF794" i="2"/>
  <c r="AF769" i="2"/>
  <c r="AF767" i="2"/>
  <c r="AC765" i="2"/>
  <c r="Z765" i="2"/>
  <c r="AG765" i="2" s="1"/>
  <c r="AD765" i="2"/>
  <c r="AA765" i="2"/>
  <c r="AE765" i="2"/>
  <c r="AA740" i="2"/>
  <c r="AD740" i="2"/>
  <c r="Z740" i="2"/>
  <c r="AF740" i="2"/>
  <c r="AB740" i="2"/>
  <c r="AF733" i="2"/>
  <c r="AF731" i="2"/>
  <c r="AA731" i="2"/>
  <c r="AC731" i="2"/>
  <c r="AB722" i="2"/>
  <c r="AD722" i="2"/>
  <c r="AC573" i="2"/>
  <c r="Z573" i="2"/>
  <c r="AD573" i="2"/>
  <c r="AA573" i="2"/>
  <c r="AE573" i="2"/>
  <c r="AC565" i="2"/>
  <c r="Z565" i="2"/>
  <c r="AD565" i="2"/>
  <c r="AA565" i="2"/>
  <c r="AE565" i="2"/>
  <c r="AC553" i="2"/>
  <c r="Z553" i="2"/>
  <c r="AD553" i="2"/>
  <c r="AA553" i="2"/>
  <c r="AE553" i="2"/>
  <c r="AF549" i="2"/>
  <c r="AB539" i="2"/>
  <c r="AB538" i="2"/>
  <c r="AF538" i="2"/>
  <c r="AG803" i="2"/>
  <c r="AF800" i="2"/>
  <c r="Z800" i="2"/>
  <c r="AG800" i="2" s="1"/>
  <c r="AF798" i="2"/>
  <c r="AF796" i="2"/>
  <c r="Z796" i="2"/>
  <c r="AB791" i="2"/>
  <c r="AD789" i="2"/>
  <c r="Z789" i="2"/>
  <c r="AG789" i="2" s="1"/>
  <c r="AB787" i="2"/>
  <c r="AF768" i="2"/>
  <c r="Z768" i="2"/>
  <c r="AG768" i="2" s="1"/>
  <c r="AF766" i="2"/>
  <c r="AD745" i="2"/>
  <c r="Z745" i="2"/>
  <c r="AF744" i="2"/>
  <c r="Z744" i="2"/>
  <c r="AG744" i="2" s="1"/>
  <c r="AD725" i="2"/>
  <c r="Z725" i="2"/>
  <c r="AG725" i="2" s="1"/>
  <c r="Z718" i="2"/>
  <c r="AG718" i="2" s="1"/>
  <c r="Z716" i="2"/>
  <c r="AD713" i="2"/>
  <c r="Z713" i="2"/>
  <c r="AG713" i="2" s="1"/>
  <c r="AE710" i="2"/>
  <c r="Z710" i="2"/>
  <c r="AB704" i="2"/>
  <c r="AB700" i="2"/>
  <c r="AB696" i="2"/>
  <c r="AB692" i="2"/>
  <c r="AB688" i="2"/>
  <c r="AB684" i="2"/>
  <c r="AB680" i="2"/>
  <c r="AB676" i="2"/>
  <c r="AB672" i="2"/>
  <c r="AB668" i="2"/>
  <c r="AB664" i="2"/>
  <c r="AB660" i="2"/>
  <c r="AB656" i="2"/>
  <c r="AB652" i="2"/>
  <c r="AB648" i="2"/>
  <c r="AB644" i="2"/>
  <c r="AB640" i="2"/>
  <c r="AB636" i="2"/>
  <c r="AB632" i="2"/>
  <c r="AB628" i="2"/>
  <c r="AB624" i="2"/>
  <c r="AB620" i="2"/>
  <c r="AB616" i="2"/>
  <c r="AB612" i="2"/>
  <c r="AB608" i="2"/>
  <c r="AB604" i="2"/>
  <c r="AB600" i="2"/>
  <c r="AB596" i="2"/>
  <c r="AB592" i="2"/>
  <c r="AB588" i="2"/>
  <c r="AB584" i="2"/>
  <c r="AB580" i="2"/>
  <c r="AD577" i="2"/>
  <c r="Z577" i="2"/>
  <c r="AD575" i="2"/>
  <c r="Z575" i="2"/>
  <c r="AG575" i="2" s="1"/>
  <c r="AD571" i="2"/>
  <c r="Z571" i="2"/>
  <c r="AG571" i="2" s="1"/>
  <c r="AD567" i="2"/>
  <c r="Z567" i="2"/>
  <c r="AD563" i="2"/>
  <c r="Z563" i="2"/>
  <c r="AG563" i="2" s="1"/>
  <c r="AD559" i="2"/>
  <c r="Z559" i="2"/>
  <c r="AG559" i="2" s="1"/>
  <c r="AD557" i="2"/>
  <c r="Z557" i="2"/>
  <c r="AG557" i="2" s="1"/>
  <c r="AD555" i="2"/>
  <c r="Z555" i="2"/>
  <c r="AF552" i="2"/>
  <c r="AD545" i="2"/>
  <c r="Z545" i="2"/>
  <c r="AG545" i="2" s="1"/>
  <c r="AF540" i="2"/>
  <c r="AA504" i="2"/>
  <c r="AF504" i="2"/>
  <c r="Z504" i="2"/>
  <c r="AG504" i="2" s="1"/>
  <c r="AB504" i="2"/>
  <c r="AB474" i="2"/>
  <c r="AF474" i="2"/>
  <c r="Z433" i="2"/>
  <c r="AE433" i="2"/>
  <c r="AA433" i="2"/>
  <c r="AF433" i="2"/>
  <c r="AB433" i="2"/>
  <c r="AC431" i="2"/>
  <c r="Z431" i="2"/>
  <c r="AD431" i="2"/>
  <c r="AA431" i="2"/>
  <c r="AE431" i="2"/>
  <c r="AA424" i="2"/>
  <c r="AF424" i="2"/>
  <c r="Z424" i="2"/>
  <c r="AB424" i="2"/>
  <c r="Z421" i="2"/>
  <c r="AE421" i="2"/>
  <c r="AA421" i="2"/>
  <c r="AF421" i="2"/>
  <c r="AB421" i="2"/>
  <c r="AB394" i="2"/>
  <c r="AF394" i="2"/>
  <c r="AC361" i="2"/>
  <c r="Z361" i="2"/>
  <c r="AG361" i="2" s="1"/>
  <c r="AD361" i="2"/>
  <c r="AA361" i="2"/>
  <c r="AE361" i="2"/>
  <c r="AB361" i="2"/>
  <c r="AF361" i="2"/>
  <c r="AA332" i="2"/>
  <c r="AD332" i="2"/>
  <c r="Z332" i="2"/>
  <c r="AE332" i="2"/>
  <c r="AB332" i="2"/>
  <c r="AF332" i="2"/>
  <c r="AC332" i="2"/>
  <c r="AE825" i="2"/>
  <c r="AC823" i="2"/>
  <c r="AE821" i="2"/>
  <c r="AC819" i="2"/>
  <c r="AE809" i="2"/>
  <c r="AC807" i="2"/>
  <c r="AE805" i="2"/>
  <c r="AC803" i="2"/>
  <c r="AD800" i="2"/>
  <c r="AD796" i="2"/>
  <c r="AE793" i="2"/>
  <c r="AB792" i="2"/>
  <c r="AG791" i="2"/>
  <c r="AB784" i="2"/>
  <c r="AE777" i="2"/>
  <c r="AC775" i="2"/>
  <c r="AE773" i="2"/>
  <c r="AC771" i="2"/>
  <c r="AD768" i="2"/>
  <c r="AC763" i="2"/>
  <c r="AB760" i="2"/>
  <c r="AB756" i="2"/>
  <c r="AG756" i="2" s="1"/>
  <c r="AE753" i="2"/>
  <c r="AC751" i="2"/>
  <c r="AB748" i="2"/>
  <c r="AD744" i="2"/>
  <c r="AC743" i="2"/>
  <c r="AE741" i="2"/>
  <c r="AE721" i="2"/>
  <c r="AE717" i="2"/>
  <c r="AF714" i="2"/>
  <c r="AD710" i="2"/>
  <c r="AE709" i="2"/>
  <c r="AF706" i="2"/>
  <c r="AA706" i="2"/>
  <c r="AF702" i="2"/>
  <c r="AA702" i="2"/>
  <c r="AF698" i="2"/>
  <c r="AA698" i="2"/>
  <c r="AF694" i="2"/>
  <c r="AA694" i="2"/>
  <c r="AF690" i="2"/>
  <c r="AA690" i="2"/>
  <c r="AF686" i="2"/>
  <c r="AA686" i="2"/>
  <c r="AF682" i="2"/>
  <c r="AA682" i="2"/>
  <c r="AF678" i="2"/>
  <c r="AA678" i="2"/>
  <c r="AF674" i="2"/>
  <c r="AA674" i="2"/>
  <c r="AF670" i="2"/>
  <c r="AA670" i="2"/>
  <c r="AF666" i="2"/>
  <c r="AA666" i="2"/>
  <c r="AF662" i="2"/>
  <c r="AA662" i="2"/>
  <c r="AF658" i="2"/>
  <c r="AA658" i="2"/>
  <c r="AF654" i="2"/>
  <c r="AA654" i="2"/>
  <c r="AF650" i="2"/>
  <c r="AA650" i="2"/>
  <c r="AF646" i="2"/>
  <c r="AA646" i="2"/>
  <c r="AF642" i="2"/>
  <c r="AA642" i="2"/>
  <c r="AF638" i="2"/>
  <c r="AA638" i="2"/>
  <c r="AF634" i="2"/>
  <c r="AA634" i="2"/>
  <c r="AF630" i="2"/>
  <c r="AA630" i="2"/>
  <c r="AF626" i="2"/>
  <c r="AA626" i="2"/>
  <c r="AF622" i="2"/>
  <c r="AA622" i="2"/>
  <c r="AF618" i="2"/>
  <c r="AA618" i="2"/>
  <c r="AF614" i="2"/>
  <c r="AA614" i="2"/>
  <c r="AF610" i="2"/>
  <c r="AA610" i="2"/>
  <c r="AF606" i="2"/>
  <c r="AA606" i="2"/>
  <c r="AF602" i="2"/>
  <c r="AA602" i="2"/>
  <c r="AF598" i="2"/>
  <c r="AA598" i="2"/>
  <c r="AF594" i="2"/>
  <c r="AA594" i="2"/>
  <c r="AF590" i="2"/>
  <c r="AA590" i="2"/>
  <c r="AF586" i="2"/>
  <c r="AA586" i="2"/>
  <c r="AF582" i="2"/>
  <c r="AA582" i="2"/>
  <c r="AA578" i="2"/>
  <c r="AG577" i="2"/>
  <c r="AG555" i="2"/>
  <c r="AG537" i="2"/>
  <c r="AA536" i="2"/>
  <c r="Z536" i="2"/>
  <c r="AC525" i="2"/>
  <c r="Z525" i="2"/>
  <c r="AD525" i="2"/>
  <c r="AA525" i="2"/>
  <c r="AE525" i="2"/>
  <c r="AC523" i="2"/>
  <c r="Z523" i="2"/>
  <c r="AD523" i="2"/>
  <c r="AA523" i="2"/>
  <c r="AE523" i="2"/>
  <c r="AC517" i="2"/>
  <c r="Z517" i="2"/>
  <c r="AG517" i="2" s="1"/>
  <c r="AD517" i="2"/>
  <c r="AA517" i="2"/>
  <c r="AE517" i="2"/>
  <c r="AC515" i="2"/>
  <c r="Z515" i="2"/>
  <c r="AD515" i="2"/>
  <c r="AA515" i="2"/>
  <c r="AE515" i="2"/>
  <c r="AC509" i="2"/>
  <c r="Z509" i="2"/>
  <c r="AD509" i="2"/>
  <c r="AA509" i="2"/>
  <c r="AE509" i="2"/>
  <c r="AC507" i="2"/>
  <c r="Z507" i="2"/>
  <c r="AD507" i="2"/>
  <c r="AA507" i="2"/>
  <c r="AE507" i="2"/>
  <c r="AA496" i="2"/>
  <c r="AF496" i="2"/>
  <c r="Z496" i="2"/>
  <c r="AB496" i="2"/>
  <c r="AB466" i="2"/>
  <c r="AF466" i="2"/>
  <c r="AA440" i="2"/>
  <c r="AF440" i="2"/>
  <c r="Z440" i="2"/>
  <c r="AB440" i="2"/>
  <c r="Z429" i="2"/>
  <c r="AD429" i="2"/>
  <c r="AA429" i="2"/>
  <c r="AE429" i="2"/>
  <c r="AB429" i="2"/>
  <c r="AF429" i="2"/>
  <c r="AC427" i="2"/>
  <c r="Z427" i="2"/>
  <c r="AD427" i="2"/>
  <c r="AA427" i="2"/>
  <c r="AE427" i="2"/>
  <c r="AC304" i="2"/>
  <c r="Z304" i="2"/>
  <c r="AD304" i="2"/>
  <c r="AA304" i="2"/>
  <c r="AE304" i="2"/>
  <c r="AB304" i="2"/>
  <c r="AF304" i="2"/>
  <c r="Z259" i="2"/>
  <c r="AB259" i="2"/>
  <c r="AC259" i="2"/>
  <c r="AF259" i="2"/>
  <c r="AG805" i="2"/>
  <c r="AG793" i="2"/>
  <c r="AG792" i="2"/>
  <c r="AG784" i="2"/>
  <c r="AG773" i="2"/>
  <c r="AG753" i="2"/>
  <c r="AG741" i="2"/>
  <c r="AG721" i="2"/>
  <c r="AG709" i="2"/>
  <c r="AA492" i="2"/>
  <c r="AF492" i="2"/>
  <c r="Z492" i="2"/>
  <c r="AB492" i="2"/>
  <c r="AC477" i="2"/>
  <c r="Z477" i="2"/>
  <c r="AD477" i="2"/>
  <c r="AA477" i="2"/>
  <c r="AE477" i="2"/>
  <c r="AC475" i="2"/>
  <c r="Z475" i="2"/>
  <c r="AD475" i="2"/>
  <c r="AA475" i="2"/>
  <c r="AE475" i="2"/>
  <c r="AB430" i="2"/>
  <c r="AF430" i="2"/>
  <c r="AF427" i="2"/>
  <c r="AC364" i="2"/>
  <c r="Z364" i="2"/>
  <c r="AD364" i="2"/>
  <c r="AA364" i="2"/>
  <c r="AE364" i="2"/>
  <c r="AB364" i="2"/>
  <c r="AF364" i="2"/>
  <c r="AC269" i="2"/>
  <c r="AD269" i="2"/>
  <c r="Z269" i="2"/>
  <c r="AE269" i="2"/>
  <c r="AA269" i="2"/>
  <c r="AF269" i="2"/>
  <c r="AB269" i="2"/>
  <c r="AF524" i="2"/>
  <c r="AF520" i="2"/>
  <c r="AF516" i="2"/>
  <c r="AF508" i="2"/>
  <c r="AG505" i="2"/>
  <c r="AC505" i="2"/>
  <c r="AC497" i="2"/>
  <c r="AC493" i="2"/>
  <c r="AG491" i="2"/>
  <c r="AC491" i="2"/>
  <c r="AF476" i="2"/>
  <c r="AF468" i="2"/>
  <c r="AG449" i="2"/>
  <c r="AE441" i="2"/>
  <c r="AG439" i="2"/>
  <c r="AC439" i="2"/>
  <c r="AG437" i="2"/>
  <c r="AF432" i="2"/>
  <c r="AF428" i="2"/>
  <c r="AE425" i="2"/>
  <c r="AG423" i="2"/>
  <c r="AC423" i="2"/>
  <c r="AA420" i="2"/>
  <c r="AF420" i="2"/>
  <c r="AA419" i="2"/>
  <c r="AG419" i="2" s="1"/>
  <c r="AE419" i="2"/>
  <c r="Z417" i="2"/>
  <c r="AE417" i="2"/>
  <c r="AC380" i="2"/>
  <c r="Z380" i="2"/>
  <c r="AD380" i="2"/>
  <c r="AA380" i="2"/>
  <c r="AE380" i="2"/>
  <c r="AC376" i="2"/>
  <c r="Z376" i="2"/>
  <c r="AD376" i="2"/>
  <c r="AA376" i="2"/>
  <c r="AE376" i="2"/>
  <c r="AC357" i="2"/>
  <c r="Z357" i="2"/>
  <c r="AD357" i="2"/>
  <c r="AA357" i="2"/>
  <c r="AE357" i="2"/>
  <c r="AC337" i="2"/>
  <c r="Z337" i="2"/>
  <c r="AD337" i="2"/>
  <c r="AA337" i="2"/>
  <c r="AE337" i="2"/>
  <c r="AC333" i="2"/>
  <c r="Z333" i="2"/>
  <c r="AD333" i="2"/>
  <c r="AA333" i="2"/>
  <c r="AE333" i="2"/>
  <c r="AC312" i="2"/>
  <c r="Z312" i="2"/>
  <c r="AD312" i="2"/>
  <c r="AA312" i="2"/>
  <c r="AE312" i="2"/>
  <c r="AC288" i="2"/>
  <c r="Z288" i="2"/>
  <c r="AD288" i="2"/>
  <c r="AA288" i="2"/>
  <c r="AE288" i="2"/>
  <c r="AC253" i="2"/>
  <c r="AD253" i="2"/>
  <c r="Z253" i="2"/>
  <c r="AE253" i="2"/>
  <c r="AA253" i="2"/>
  <c r="AF253" i="2"/>
  <c r="Z243" i="2"/>
  <c r="AB243" i="2"/>
  <c r="AC243" i="2"/>
  <c r="AD237" i="2"/>
  <c r="Z237" i="2"/>
  <c r="AG237" i="2" s="1"/>
  <c r="AF237" i="2"/>
  <c r="AB237" i="2"/>
  <c r="AC222" i="2"/>
  <c r="Z222" i="2"/>
  <c r="AG222" i="2" s="1"/>
  <c r="AD222" i="2"/>
  <c r="AA222" i="2"/>
  <c r="AE222" i="2"/>
  <c r="AA200" i="2"/>
  <c r="AB200" i="2"/>
  <c r="AE200" i="2"/>
  <c r="AF200" i="2"/>
  <c r="Z141" i="2"/>
  <c r="AG141" i="2" s="1"/>
  <c r="AB141" i="2"/>
  <c r="AC141" i="2"/>
  <c r="AF141" i="2"/>
  <c r="AB136" i="2"/>
  <c r="AF136" i="2"/>
  <c r="AC123" i="2"/>
  <c r="AD123" i="2"/>
  <c r="Z123" i="2"/>
  <c r="AE123" i="2"/>
  <c r="AA123" i="2"/>
  <c r="AF123" i="2"/>
  <c r="AB123" i="2"/>
  <c r="AG513" i="2"/>
  <c r="AG489" i="2"/>
  <c r="AG473" i="2"/>
  <c r="AG465" i="2"/>
  <c r="AG441" i="2"/>
  <c r="AA416" i="2"/>
  <c r="AB416" i="2"/>
  <c r="AB402" i="2"/>
  <c r="AF402" i="2"/>
  <c r="AB386" i="2"/>
  <c r="AF386" i="2"/>
  <c r="AC373" i="2"/>
  <c r="Z373" i="2"/>
  <c r="AD373" i="2"/>
  <c r="AA373" i="2"/>
  <c r="AE373" i="2"/>
  <c r="AF370" i="2"/>
  <c r="AA370" i="2"/>
  <c r="AB370" i="2"/>
  <c r="AF357" i="2"/>
  <c r="AC352" i="2"/>
  <c r="Z352" i="2"/>
  <c r="AD352" i="2"/>
  <c r="AA352" i="2"/>
  <c r="AE352" i="2"/>
  <c r="Z339" i="2"/>
  <c r="AB339" i="2"/>
  <c r="AC339" i="2"/>
  <c r="AF337" i="2"/>
  <c r="Z335" i="2"/>
  <c r="AG335" i="2" s="1"/>
  <c r="AB335" i="2"/>
  <c r="AC335" i="2"/>
  <c r="AF333" i="2"/>
  <c r="AA324" i="2"/>
  <c r="AD324" i="2"/>
  <c r="Z324" i="2"/>
  <c r="AE324" i="2"/>
  <c r="AB324" i="2"/>
  <c r="AF324" i="2"/>
  <c r="AF312" i="2"/>
  <c r="AC301" i="2"/>
  <c r="AD301" i="2"/>
  <c r="Z301" i="2"/>
  <c r="AE301" i="2"/>
  <c r="AA301" i="2"/>
  <c r="AF301" i="2"/>
  <c r="Z291" i="2"/>
  <c r="AB291" i="2"/>
  <c r="AC291" i="2"/>
  <c r="AF288" i="2"/>
  <c r="AC272" i="2"/>
  <c r="Z272" i="2"/>
  <c r="AD272" i="2"/>
  <c r="AA272" i="2"/>
  <c r="AE272" i="2"/>
  <c r="AF222" i="2"/>
  <c r="AC214" i="2"/>
  <c r="Z214" i="2"/>
  <c r="AD214" i="2"/>
  <c r="AA214" i="2"/>
  <c r="AE214" i="2"/>
  <c r="AF164" i="2"/>
  <c r="AA164" i="2"/>
  <c r="AB164" i="2"/>
  <c r="AE164" i="2"/>
  <c r="Z532" i="2"/>
  <c r="Z528" i="2"/>
  <c r="AB524" i="2"/>
  <c r="AB520" i="2"/>
  <c r="AB516" i="2"/>
  <c r="AB508" i="2"/>
  <c r="AE505" i="2"/>
  <c r="AG503" i="2"/>
  <c r="AE497" i="2"/>
  <c r="AE493" i="2"/>
  <c r="AE491" i="2"/>
  <c r="AB476" i="2"/>
  <c r="AG476" i="2" s="1"/>
  <c r="AB468" i="2"/>
  <c r="AG461" i="2"/>
  <c r="Z460" i="2"/>
  <c r="Z456" i="2"/>
  <c r="AG456" i="2" s="1"/>
  <c r="AG445" i="2"/>
  <c r="AB441" i="2"/>
  <c r="AE439" i="2"/>
  <c r="AB432" i="2"/>
  <c r="AB428" i="2"/>
  <c r="AB425" i="2"/>
  <c r="AE423" i="2"/>
  <c r="AB418" i="2"/>
  <c r="AF418" i="2"/>
  <c r="AD416" i="2"/>
  <c r="AB410" i="2"/>
  <c r="AF410" i="2"/>
  <c r="AB380" i="2"/>
  <c r="AB376" i="2"/>
  <c r="AB375" i="2"/>
  <c r="AF375" i="2"/>
  <c r="AF373" i="2"/>
  <c r="AB357" i="2"/>
  <c r="AF352" i="2"/>
  <c r="AB350" i="2"/>
  <c r="AF350" i="2"/>
  <c r="AB337" i="2"/>
  <c r="AB333" i="2"/>
  <c r="AC325" i="2"/>
  <c r="Z325" i="2"/>
  <c r="AD325" i="2"/>
  <c r="AA325" i="2"/>
  <c r="AE325" i="2"/>
  <c r="AB312" i="2"/>
  <c r="AB288" i="2"/>
  <c r="AC285" i="2"/>
  <c r="AD285" i="2"/>
  <c r="Z285" i="2"/>
  <c r="AE285" i="2"/>
  <c r="AA285" i="2"/>
  <c r="AF285" i="2"/>
  <c r="Z275" i="2"/>
  <c r="AB275" i="2"/>
  <c r="AC275" i="2"/>
  <c r="AC256" i="2"/>
  <c r="Z256" i="2"/>
  <c r="AD256" i="2"/>
  <c r="AA256" i="2"/>
  <c r="AE256" i="2"/>
  <c r="AB253" i="2"/>
  <c r="AF243" i="2"/>
  <c r="AC237" i="2"/>
  <c r="AC199" i="2"/>
  <c r="Z199" i="2"/>
  <c r="AE199" i="2"/>
  <c r="AA199" i="2"/>
  <c r="AF199" i="2"/>
  <c r="AB199" i="2"/>
  <c r="AD199" i="2"/>
  <c r="AC171" i="2"/>
  <c r="AD171" i="2"/>
  <c r="Z171" i="2"/>
  <c r="AE171" i="2"/>
  <c r="AA171" i="2"/>
  <c r="AF171" i="2"/>
  <c r="AB171" i="2"/>
  <c r="AB144" i="2"/>
  <c r="AF144" i="2"/>
  <c r="Z129" i="2"/>
  <c r="AG129" i="2" s="1"/>
  <c r="AB129" i="2"/>
  <c r="AC129" i="2"/>
  <c r="AF129" i="2"/>
  <c r="AG368" i="2"/>
  <c r="AG341" i="2"/>
  <c r="AG328" i="2"/>
  <c r="AD316" i="2"/>
  <c r="AB315" i="2"/>
  <c r="AD313" i="2"/>
  <c r="Z313" i="2"/>
  <c r="AG313" i="2" s="1"/>
  <c r="AD305" i="2"/>
  <c r="Z305" i="2"/>
  <c r="AG305" i="2" s="1"/>
  <c r="AG303" i="2"/>
  <c r="AB295" i="2"/>
  <c r="AD293" i="2"/>
  <c r="AD292" i="2"/>
  <c r="Z292" i="2"/>
  <c r="AG292" i="2" s="1"/>
  <c r="AE289" i="2"/>
  <c r="Z289" i="2"/>
  <c r="AG289" i="2" s="1"/>
  <c r="AG287" i="2"/>
  <c r="AB279" i="2"/>
  <c r="AD277" i="2"/>
  <c r="AD276" i="2"/>
  <c r="Z276" i="2"/>
  <c r="AG276" i="2" s="1"/>
  <c r="AE273" i="2"/>
  <c r="Z273" i="2"/>
  <c r="AB263" i="2"/>
  <c r="AD261" i="2"/>
  <c r="AD260" i="2"/>
  <c r="Z260" i="2"/>
  <c r="AG260" i="2" s="1"/>
  <c r="AE257" i="2"/>
  <c r="Z257" i="2"/>
  <c r="AB247" i="2"/>
  <c r="AD245" i="2"/>
  <c r="AD244" i="2"/>
  <c r="Z244" i="2"/>
  <c r="AE241" i="2"/>
  <c r="Z241" i="2"/>
  <c r="AC240" i="2"/>
  <c r="AE239" i="2"/>
  <c r="Z239" i="2"/>
  <c r="AF236" i="2"/>
  <c r="AA236" i="2"/>
  <c r="AE235" i="2"/>
  <c r="AD234" i="2"/>
  <c r="Z234" i="2"/>
  <c r="AG234" i="2" s="1"/>
  <c r="AA232" i="2"/>
  <c r="AD230" i="2"/>
  <c r="Z230" i="2"/>
  <c r="AG230" i="2" s="1"/>
  <c r="AF221" i="2"/>
  <c r="Z221" i="2"/>
  <c r="AA216" i="2"/>
  <c r="AE215" i="2"/>
  <c r="Z215" i="2"/>
  <c r="AD207" i="2"/>
  <c r="AA204" i="2"/>
  <c r="AC202" i="2"/>
  <c r="Z202" i="2"/>
  <c r="AG202" i="2" s="1"/>
  <c r="AD202" i="2"/>
  <c r="AC182" i="2"/>
  <c r="Z182" i="2"/>
  <c r="AD182" i="2"/>
  <c r="AA182" i="2"/>
  <c r="AE182" i="2"/>
  <c r="AF172" i="2"/>
  <c r="AA172" i="2"/>
  <c r="AB172" i="2"/>
  <c r="AC139" i="2"/>
  <c r="AD139" i="2"/>
  <c r="Z139" i="2"/>
  <c r="AE139" i="2"/>
  <c r="AA139" i="2"/>
  <c r="AF139" i="2"/>
  <c r="AG138" i="2"/>
  <c r="Z133" i="2"/>
  <c r="AG133" i="2" s="1"/>
  <c r="AB133" i="2"/>
  <c r="AC133" i="2"/>
  <c r="AC127" i="2"/>
  <c r="AD127" i="2"/>
  <c r="Z127" i="2"/>
  <c r="AE127" i="2"/>
  <c r="AA127" i="2"/>
  <c r="AF127" i="2"/>
  <c r="AB124" i="2"/>
  <c r="AF124" i="2"/>
  <c r="AG122" i="2"/>
  <c r="Z118" i="2"/>
  <c r="AG118" i="2" s="1"/>
  <c r="AD118" i="2"/>
  <c r="AA118" i="2"/>
  <c r="AE118" i="2"/>
  <c r="AB118" i="2"/>
  <c r="AC118" i="2"/>
  <c r="AG415" i="2"/>
  <c r="AB413" i="2"/>
  <c r="AF412" i="2"/>
  <c r="AE411" i="2"/>
  <c r="AA411" i="2"/>
  <c r="AG411" i="2" s="1"/>
  <c r="AE409" i="2"/>
  <c r="AB408" i="2"/>
  <c r="AG407" i="2"/>
  <c r="AB405" i="2"/>
  <c r="AF404" i="2"/>
  <c r="AE403" i="2"/>
  <c r="AA403" i="2"/>
  <c r="AG403" i="2" s="1"/>
  <c r="AE401" i="2"/>
  <c r="AB400" i="2"/>
  <c r="AG399" i="2"/>
  <c r="AB397" i="2"/>
  <c r="AF396" i="2"/>
  <c r="AE395" i="2"/>
  <c r="AA395" i="2"/>
  <c r="AG395" i="2" s="1"/>
  <c r="AE393" i="2"/>
  <c r="AB392" i="2"/>
  <c r="AG391" i="2"/>
  <c r="AB389" i="2"/>
  <c r="AF388" i="2"/>
  <c r="AE387" i="2"/>
  <c r="AA387" i="2"/>
  <c r="AG387" i="2" s="1"/>
  <c r="AE385" i="2"/>
  <c r="AA385" i="2"/>
  <c r="AG385" i="2" s="1"/>
  <c r="AE382" i="2"/>
  <c r="AC379" i="2"/>
  <c r="AE369" i="2"/>
  <c r="AA369" i="2"/>
  <c r="AE366" i="2"/>
  <c r="AC363" i="2"/>
  <c r="AE360" i="2"/>
  <c r="AA360" i="2"/>
  <c r="AG360" i="2" s="1"/>
  <c r="AF359" i="2"/>
  <c r="AE356" i="2"/>
  <c r="AA356" i="2"/>
  <c r="AG356" i="2" s="1"/>
  <c r="AC351" i="2"/>
  <c r="AE349" i="2"/>
  <c r="AA349" i="2"/>
  <c r="AG349" i="2" s="1"/>
  <c r="AF348" i="2"/>
  <c r="AB348" i="2"/>
  <c r="AD340" i="2"/>
  <c r="AD336" i="2"/>
  <c r="AC331" i="2"/>
  <c r="AE329" i="2"/>
  <c r="AC323" i="2"/>
  <c r="AE321" i="2"/>
  <c r="AF320" i="2"/>
  <c r="AB320" i="2"/>
  <c r="AD289" i="2"/>
  <c r="AD273" i="2"/>
  <c r="AD257" i="2"/>
  <c r="AD241" i="2"/>
  <c r="AF232" i="2"/>
  <c r="AD215" i="2"/>
  <c r="Z145" i="2"/>
  <c r="AB145" i="2"/>
  <c r="AC145" i="2"/>
  <c r="AB140" i="2"/>
  <c r="AF140" i="2"/>
  <c r="Z137" i="2"/>
  <c r="AG137" i="2" s="1"/>
  <c r="AB137" i="2"/>
  <c r="AC137" i="2"/>
  <c r="AC131" i="2"/>
  <c r="AD131" i="2"/>
  <c r="Z131" i="2"/>
  <c r="AE131" i="2"/>
  <c r="AA131" i="2"/>
  <c r="AF131" i="2"/>
  <c r="AB128" i="2"/>
  <c r="AF128" i="2"/>
  <c r="AA413" i="2"/>
  <c r="AD411" i="2"/>
  <c r="Z408" i="2"/>
  <c r="AA405" i="2"/>
  <c r="AD403" i="2"/>
  <c r="Z400" i="2"/>
  <c r="AF397" i="2"/>
  <c r="AA397" i="2"/>
  <c r="AD395" i="2"/>
  <c r="Z392" i="2"/>
  <c r="AF389" i="2"/>
  <c r="AA389" i="2"/>
  <c r="AD387" i="2"/>
  <c r="AD385" i="2"/>
  <c r="AA382" i="2"/>
  <c r="AD369" i="2"/>
  <c r="AA366" i="2"/>
  <c r="AD360" i="2"/>
  <c r="AD356" i="2"/>
  <c r="AB351" i="2"/>
  <c r="AD349" i="2"/>
  <c r="AE348" i="2"/>
  <c r="Z348" i="2"/>
  <c r="AG348" i="2" s="1"/>
  <c r="AF346" i="2"/>
  <c r="AG321" i="2"/>
  <c r="AG320" i="2"/>
  <c r="AG300" i="2"/>
  <c r="AG284" i="2"/>
  <c r="AG268" i="2"/>
  <c r="AG252" i="2"/>
  <c r="AG226" i="2"/>
  <c r="AG198" i="2"/>
  <c r="AC163" i="2"/>
  <c r="AD163" i="2"/>
  <c r="Z163" i="2"/>
  <c r="AE163" i="2"/>
  <c r="AA163" i="2"/>
  <c r="AF163" i="2"/>
  <c r="AC150" i="2"/>
  <c r="Z150" i="2"/>
  <c r="AD150" i="2"/>
  <c r="AA150" i="2"/>
  <c r="AE150" i="2"/>
  <c r="AC143" i="2"/>
  <c r="AD143" i="2"/>
  <c r="Z143" i="2"/>
  <c r="AE143" i="2"/>
  <c r="AA143" i="2"/>
  <c r="AF143" i="2"/>
  <c r="AC135" i="2"/>
  <c r="AD135" i="2"/>
  <c r="Z135" i="2"/>
  <c r="AE135" i="2"/>
  <c r="AA135" i="2"/>
  <c r="AF135" i="2"/>
  <c r="AB132" i="2"/>
  <c r="AF132" i="2"/>
  <c r="Z125" i="2"/>
  <c r="AG125" i="2" s="1"/>
  <c r="AB125" i="2"/>
  <c r="AC125" i="2"/>
  <c r="AD194" i="2"/>
  <c r="Z194" i="2"/>
  <c r="AA192" i="2"/>
  <c r="AE191" i="2"/>
  <c r="Z191" i="2"/>
  <c r="AA184" i="2"/>
  <c r="AE183" i="2"/>
  <c r="Z183" i="2"/>
  <c r="AD166" i="2"/>
  <c r="Z166" i="2"/>
  <c r="AD158" i="2"/>
  <c r="Z158" i="2"/>
  <c r="AG158" i="2" s="1"/>
  <c r="AA156" i="2"/>
  <c r="AE155" i="2"/>
  <c r="Z155" i="2"/>
  <c r="AB153" i="2"/>
  <c r="AE151" i="2"/>
  <c r="Z151" i="2"/>
  <c r="AG151" i="2" s="1"/>
  <c r="AG146" i="2"/>
  <c r="AC142" i="2"/>
  <c r="AC138" i="2"/>
  <c r="AC114" i="2"/>
  <c r="Z114" i="2"/>
  <c r="AD114" i="2"/>
  <c r="AA114" i="2"/>
  <c r="AE114" i="2"/>
  <c r="AF100" i="2"/>
  <c r="AA100" i="2"/>
  <c r="AB100" i="2"/>
  <c r="AA86" i="2"/>
  <c r="AD86" i="2"/>
  <c r="Z86" i="2"/>
  <c r="AF86" i="2"/>
  <c r="AB86" i="2"/>
  <c r="AA62" i="2"/>
  <c r="AD62" i="2"/>
  <c r="Z62" i="2"/>
  <c r="AG62" i="2" s="1"/>
  <c r="AF62" i="2"/>
  <c r="AB62" i="2"/>
  <c r="Z26" i="2"/>
  <c r="AG26" i="2" s="1"/>
  <c r="AF26" i="2"/>
  <c r="AB26" i="2"/>
  <c r="AC26" i="2"/>
  <c r="Z14" i="2"/>
  <c r="AG14" i="2" s="1"/>
  <c r="AF14" i="2"/>
  <c r="AB14" i="2"/>
  <c r="AC14" i="2"/>
  <c r="AB9" i="2"/>
  <c r="AF9" i="2"/>
  <c r="AD191" i="2"/>
  <c r="AD183" i="2"/>
  <c r="AD155" i="2"/>
  <c r="AG153" i="2"/>
  <c r="AD151" i="2"/>
  <c r="AC119" i="2"/>
  <c r="AD119" i="2"/>
  <c r="AF114" i="2"/>
  <c r="AC84" i="2"/>
  <c r="AF84" i="2"/>
  <c r="AA84" i="2"/>
  <c r="AB84" i="2"/>
  <c r="AC63" i="2"/>
  <c r="Z63" i="2"/>
  <c r="AD63" i="2"/>
  <c r="AA63" i="2"/>
  <c r="AE63" i="2"/>
  <c r="AC55" i="2"/>
  <c r="Z55" i="2"/>
  <c r="AD55" i="2"/>
  <c r="AA55" i="2"/>
  <c r="AE55" i="2"/>
  <c r="AA46" i="2"/>
  <c r="AD46" i="2"/>
  <c r="Z46" i="2"/>
  <c r="AF46" i="2"/>
  <c r="AB46" i="2"/>
  <c r="AC16" i="2"/>
  <c r="Z16" i="2"/>
  <c r="AD16" i="2"/>
  <c r="AA16" i="2"/>
  <c r="AE16" i="2"/>
  <c r="AG190" i="2"/>
  <c r="AG170" i="2"/>
  <c r="AG162" i="2"/>
  <c r="AG154" i="2"/>
  <c r="AE147" i="2"/>
  <c r="Z147" i="2"/>
  <c r="AE142" i="2"/>
  <c r="AE138" i="2"/>
  <c r="AE134" i="2"/>
  <c r="AE130" i="2"/>
  <c r="AE126" i="2"/>
  <c r="AE122" i="2"/>
  <c r="Z121" i="2"/>
  <c r="AG121" i="2" s="1"/>
  <c r="AA119" i="2"/>
  <c r="AG119" i="2" s="1"/>
  <c r="AB114" i="2"/>
  <c r="AE100" i="2"/>
  <c r="AC91" i="2"/>
  <c r="Z91" i="2"/>
  <c r="AD91" i="2"/>
  <c r="AA91" i="2"/>
  <c r="AE91" i="2"/>
  <c r="AC86" i="2"/>
  <c r="AC71" i="2"/>
  <c r="Z71" i="2"/>
  <c r="AD71" i="2"/>
  <c r="AA71" i="2"/>
  <c r="AE71" i="2"/>
  <c r="AF55" i="2"/>
  <c r="AA38" i="2"/>
  <c r="AD38" i="2"/>
  <c r="Z38" i="2"/>
  <c r="AF38" i="2"/>
  <c r="AB38" i="2"/>
  <c r="AF16" i="2"/>
  <c r="AD14" i="2"/>
  <c r="Z10" i="2"/>
  <c r="AG10" i="2" s="1"/>
  <c r="AB10" i="2"/>
  <c r="AC10" i="2"/>
  <c r="AG95" i="2"/>
  <c r="AG94" i="2"/>
  <c r="AG79" i="2"/>
  <c r="AG78" i="2"/>
  <c r="AG74" i="2"/>
  <c r="AG67" i="2"/>
  <c r="AG58" i="2"/>
  <c r="AG43" i="2"/>
  <c r="AG35" i="2"/>
  <c r="AG23" i="2"/>
  <c r="AC7" i="2"/>
  <c r="AG7" i="2" s="1"/>
  <c r="AC4" i="2"/>
  <c r="AC113" i="2"/>
  <c r="AF112" i="2"/>
  <c r="AF111" i="2"/>
  <c r="AA111" i="2"/>
  <c r="AD107" i="2"/>
  <c r="AE106" i="2"/>
  <c r="AA106" i="2"/>
  <c r="AG106" i="2" s="1"/>
  <c r="AB98" i="2"/>
  <c r="AB96" i="2"/>
  <c r="AD90" i="2"/>
  <c r="AG90" i="2"/>
  <c r="AF88" i="2"/>
  <c r="AE87" i="2"/>
  <c r="AA87" i="2"/>
  <c r="AG87" i="2" s="1"/>
  <c r="AB82" i="2"/>
  <c r="AB80" i="2"/>
  <c r="AE72" i="2"/>
  <c r="AD70" i="2"/>
  <c r="AG70" i="2"/>
  <c r="AD66" i="2"/>
  <c r="AB60" i="2"/>
  <c r="AE56" i="2"/>
  <c r="AD54" i="2"/>
  <c r="AG54" i="2" s="1"/>
  <c r="AD50" i="2"/>
  <c r="AD48" i="2"/>
  <c r="AE47" i="2"/>
  <c r="AA47" i="2"/>
  <c r="AG47" i="2" s="1"/>
  <c r="AD42" i="2"/>
  <c r="AD40" i="2"/>
  <c r="AE39" i="2"/>
  <c r="AA39" i="2"/>
  <c r="AE31" i="2"/>
  <c r="AA31" i="2"/>
  <c r="AG31" i="2" s="1"/>
  <c r="AF28" i="2"/>
  <c r="AA28" i="2"/>
  <c r="AC22" i="2"/>
  <c r="AE20" i="2"/>
  <c r="AA20" i="2"/>
  <c r="AB113" i="2"/>
  <c r="AE111" i="2"/>
  <c r="Z111" i="2"/>
  <c r="AD106" i="2"/>
  <c r="AF98" i="2"/>
  <c r="Z98" i="2"/>
  <c r="AG98" i="2" s="1"/>
  <c r="AA96" i="2"/>
  <c r="AD87" i="2"/>
  <c r="AG86" i="2"/>
  <c r="AF82" i="2"/>
  <c r="Z82" i="2"/>
  <c r="AA80" i="2"/>
  <c r="AF60" i="2"/>
  <c r="AA60" i="2"/>
  <c r="AD47" i="2"/>
  <c r="AD39" i="2"/>
  <c r="AD31" i="2"/>
  <c r="AE28" i="2"/>
  <c r="Z28" i="2"/>
  <c r="AE27" i="2"/>
  <c r="AF24" i="2"/>
  <c r="AA24" i="2"/>
  <c r="AG24" i="2" s="1"/>
  <c r="AB22" i="2"/>
  <c r="AD20" i="2"/>
  <c r="AE4" i="2"/>
  <c r="AG1580" i="2"/>
  <c r="AG1576" i="2"/>
  <c r="AG1560" i="2"/>
  <c r="Z1542" i="2"/>
  <c r="AD1542" i="2"/>
  <c r="AA1527" i="2"/>
  <c r="AE1527" i="2"/>
  <c r="AA1511" i="2"/>
  <c r="AE1511" i="2"/>
  <c r="AA1495" i="2"/>
  <c r="AE1495" i="2"/>
  <c r="AA1479" i="2"/>
  <c r="AE1479" i="2"/>
  <c r="AA1463" i="2"/>
  <c r="AE1463" i="2"/>
  <c r="AC1449" i="2"/>
  <c r="Z1449" i="2"/>
  <c r="AD1449" i="2"/>
  <c r="AA1449" i="2"/>
  <c r="AE1449" i="2"/>
  <c r="AC1417" i="2"/>
  <c r="Z1417" i="2"/>
  <c r="AD1417" i="2"/>
  <c r="AA1417" i="2"/>
  <c r="AE1417" i="2"/>
  <c r="AC1325" i="2"/>
  <c r="AG1325" i="2"/>
  <c r="Z1325" i="2"/>
  <c r="AD1325" i="2"/>
  <c r="AA1325" i="2"/>
  <c r="AE1325" i="2"/>
  <c r="Z157" i="2"/>
  <c r="AD157" i="2"/>
  <c r="AA157" i="2"/>
  <c r="AE157" i="2"/>
  <c r="AB157" i="2"/>
  <c r="AC157" i="2"/>
  <c r="AF157" i="2"/>
  <c r="AE1730" i="2"/>
  <c r="AA1730" i="2"/>
  <c r="AE1726" i="2"/>
  <c r="AA1726" i="2"/>
  <c r="AE1722" i="2"/>
  <c r="AA1722" i="2"/>
  <c r="AE1718" i="2"/>
  <c r="AA1718" i="2"/>
  <c r="AE1714" i="2"/>
  <c r="AA1714" i="2"/>
  <c r="AE1710" i="2"/>
  <c r="AA1710" i="2"/>
  <c r="AE1706" i="2"/>
  <c r="AA1706" i="2"/>
  <c r="AE1702" i="2"/>
  <c r="AA1702" i="2"/>
  <c r="AE1698" i="2"/>
  <c r="AA1698" i="2"/>
  <c r="AE1694" i="2"/>
  <c r="AA1694" i="2"/>
  <c r="AE1690" i="2"/>
  <c r="AA1690" i="2"/>
  <c r="AE1686" i="2"/>
  <c r="AA1686" i="2"/>
  <c r="AE1682" i="2"/>
  <c r="AA1682" i="2"/>
  <c r="AE1678" i="2"/>
  <c r="AA1678" i="2"/>
  <c r="AE1674" i="2"/>
  <c r="AA1674" i="2"/>
  <c r="AE1670" i="2"/>
  <c r="AA1670" i="2"/>
  <c r="AE1666" i="2"/>
  <c r="AA1666" i="2"/>
  <c r="AE1662" i="2"/>
  <c r="AA1662" i="2"/>
  <c r="AE1658" i="2"/>
  <c r="AA1658" i="2"/>
  <c r="AE1654" i="2"/>
  <c r="AA1654" i="2"/>
  <c r="AE1650" i="2"/>
  <c r="AA1650" i="2"/>
  <c r="AE1646" i="2"/>
  <c r="AA1646" i="2"/>
  <c r="AE1642" i="2"/>
  <c r="AA1642" i="2"/>
  <c r="AE1638" i="2"/>
  <c r="AA1638" i="2"/>
  <c r="AE1634" i="2"/>
  <c r="AA1634" i="2"/>
  <c r="AE1630" i="2"/>
  <c r="AA1630" i="2"/>
  <c r="AE1626" i="2"/>
  <c r="AA1626" i="2"/>
  <c r="AE1622" i="2"/>
  <c r="AA1622" i="2"/>
  <c r="AE1618" i="2"/>
  <c r="AA1618" i="2"/>
  <c r="AE1614" i="2"/>
  <c r="AA1614" i="2"/>
  <c r="AE1610" i="2"/>
  <c r="AA1610" i="2"/>
  <c r="AE1606" i="2"/>
  <c r="AA1606" i="2"/>
  <c r="AE1602" i="2"/>
  <c r="AA1602" i="2"/>
  <c r="AE1598" i="2"/>
  <c r="AA1598" i="2"/>
  <c r="AE1594" i="2"/>
  <c r="AA1594" i="2"/>
  <c r="AE1590" i="2"/>
  <c r="AA1590" i="2"/>
  <c r="AE1586" i="2"/>
  <c r="AA1586" i="2"/>
  <c r="AE1582" i="2"/>
  <c r="AA1582" i="2"/>
  <c r="AE1578" i="2"/>
  <c r="AA1578" i="2"/>
  <c r="AE1574" i="2"/>
  <c r="AA1574" i="2"/>
  <c r="AE1570" i="2"/>
  <c r="AA1570" i="2"/>
  <c r="AE1566" i="2"/>
  <c r="AA1566" i="2"/>
  <c r="AE1562" i="2"/>
  <c r="AA1562" i="2"/>
  <c r="AE1558" i="2"/>
  <c r="AA1558" i="2"/>
  <c r="AC1557" i="2"/>
  <c r="AA1555" i="2"/>
  <c r="AE1555" i="2"/>
  <c r="Z1554" i="2"/>
  <c r="AD1554" i="2"/>
  <c r="AF1545" i="2"/>
  <c r="AA1545" i="2"/>
  <c r="AB1542" i="2"/>
  <c r="AC1541" i="2"/>
  <c r="AA1539" i="2"/>
  <c r="AE1539" i="2"/>
  <c r="Z1538" i="2"/>
  <c r="AD1538" i="2"/>
  <c r="AF1529" i="2"/>
  <c r="AA1529" i="2"/>
  <c r="AB1527" i="2"/>
  <c r="AC1525" i="2"/>
  <c r="AA1523" i="2"/>
  <c r="AE1523" i="2"/>
  <c r="Z1522" i="2"/>
  <c r="AD1522" i="2"/>
  <c r="AF1513" i="2"/>
  <c r="AA1513" i="2"/>
  <c r="AB1511" i="2"/>
  <c r="AC1509" i="2"/>
  <c r="AA1507" i="2"/>
  <c r="AE1507" i="2"/>
  <c r="Z1506" i="2"/>
  <c r="AD1506" i="2"/>
  <c r="AF1497" i="2"/>
  <c r="AB1495" i="2"/>
  <c r="AB1494" i="2"/>
  <c r="AC1493" i="2"/>
  <c r="AA1491" i="2"/>
  <c r="AE1491" i="2"/>
  <c r="Z1490" i="2"/>
  <c r="AD1490" i="2"/>
  <c r="AF1481" i="2"/>
  <c r="AB1479" i="2"/>
  <c r="AB1478" i="2"/>
  <c r="AC1477" i="2"/>
  <c r="AA1475" i="2"/>
  <c r="AE1475" i="2"/>
  <c r="Z1474" i="2"/>
  <c r="AD1474" i="2"/>
  <c r="AF1465" i="2"/>
  <c r="AB1463" i="2"/>
  <c r="AC1461" i="2"/>
  <c r="Z1461" i="2"/>
  <c r="AD1461" i="2"/>
  <c r="AC1457" i="2"/>
  <c r="Z1457" i="2"/>
  <c r="AD1457" i="2"/>
  <c r="AG1456" i="2"/>
  <c r="AF1449" i="2"/>
  <c r="AC1437" i="2"/>
  <c r="Z1437" i="2"/>
  <c r="AG1437" i="2" s="1"/>
  <c r="AD1437" i="2"/>
  <c r="AA1437" i="2"/>
  <c r="AE1437" i="2"/>
  <c r="AG1424" i="2"/>
  <c r="AC1421" i="2"/>
  <c r="Z1421" i="2"/>
  <c r="AD1421" i="2"/>
  <c r="AA1421" i="2"/>
  <c r="AE1421" i="2"/>
  <c r="AF1417" i="2"/>
  <c r="AG1408" i="2"/>
  <c r="AC1405" i="2"/>
  <c r="Z1405" i="2"/>
  <c r="AD1405" i="2"/>
  <c r="AA1405" i="2"/>
  <c r="AE1405" i="2"/>
  <c r="AC1389" i="2"/>
  <c r="Z1389" i="2"/>
  <c r="AD1389" i="2"/>
  <c r="AA1389" i="2"/>
  <c r="AE1389" i="2"/>
  <c r="AC1373" i="2"/>
  <c r="Z1373" i="2"/>
  <c r="AG1373" i="2" s="1"/>
  <c r="AD1373" i="2"/>
  <c r="AA1373" i="2"/>
  <c r="AE1373" i="2"/>
  <c r="AF1369" i="2"/>
  <c r="AF1349" i="2"/>
  <c r="AF1325" i="2"/>
  <c r="AF1317" i="2"/>
  <c r="AF1309" i="2"/>
  <c r="AG1288" i="2"/>
  <c r="AC1285" i="2"/>
  <c r="Z1285" i="2"/>
  <c r="AG1285" i="2" s="1"/>
  <c r="AD1285" i="2"/>
  <c r="AA1285" i="2"/>
  <c r="AE1285" i="2"/>
  <c r="AG1272" i="2"/>
  <c r="AC1269" i="2"/>
  <c r="Z1269" i="2"/>
  <c r="AG1269" i="2" s="1"/>
  <c r="AD1269" i="2"/>
  <c r="AA1269" i="2"/>
  <c r="AE1269" i="2"/>
  <c r="AG1256" i="2"/>
  <c r="AC1253" i="2"/>
  <c r="Z1253" i="2"/>
  <c r="AD1253" i="2"/>
  <c r="AA1253" i="2"/>
  <c r="AE1253" i="2"/>
  <c r="AG1240" i="2"/>
  <c r="AC1237" i="2"/>
  <c r="Z1237" i="2"/>
  <c r="AD1237" i="2"/>
  <c r="AA1237" i="2"/>
  <c r="AE1237" i="2"/>
  <c r="AG1211" i="2"/>
  <c r="AA1543" i="2"/>
  <c r="AE1543" i="2"/>
  <c r="Z1526" i="2"/>
  <c r="AD1526" i="2"/>
  <c r="Z1510" i="2"/>
  <c r="AD1510" i="2"/>
  <c r="AC1497" i="2"/>
  <c r="AC1481" i="2"/>
  <c r="AC1465" i="2"/>
  <c r="AC1453" i="2"/>
  <c r="Z1453" i="2"/>
  <c r="AD1453" i="2"/>
  <c r="AC1433" i="2"/>
  <c r="Z1433" i="2"/>
  <c r="AD1433" i="2"/>
  <c r="AA1433" i="2"/>
  <c r="AE1433" i="2"/>
  <c r="AC1401" i="2"/>
  <c r="Z1401" i="2"/>
  <c r="AD1401" i="2"/>
  <c r="AA1401" i="2"/>
  <c r="AE1401" i="2"/>
  <c r="AC1385" i="2"/>
  <c r="Z1385" i="2"/>
  <c r="AD1385" i="2"/>
  <c r="AA1385" i="2"/>
  <c r="AE1385" i="2"/>
  <c r="AC1357" i="2"/>
  <c r="AG1357" i="2"/>
  <c r="Z1357" i="2"/>
  <c r="AD1357" i="2"/>
  <c r="AA1357" i="2"/>
  <c r="AE1357" i="2"/>
  <c r="AC1341" i="2"/>
  <c r="AG1341" i="2"/>
  <c r="Z1341" i="2"/>
  <c r="AD1341" i="2"/>
  <c r="AA1341" i="2"/>
  <c r="AE1341" i="2"/>
  <c r="AC1333" i="2"/>
  <c r="AG1333" i="2"/>
  <c r="Z1333" i="2"/>
  <c r="AD1333" i="2"/>
  <c r="AA1333" i="2"/>
  <c r="AE1333" i="2"/>
  <c r="AC1301" i="2"/>
  <c r="AG1301" i="2"/>
  <c r="Z1301" i="2"/>
  <c r="AD1301" i="2"/>
  <c r="AA1301" i="2"/>
  <c r="AE1301" i="2"/>
  <c r="AC1281" i="2"/>
  <c r="Z1281" i="2"/>
  <c r="AD1281" i="2"/>
  <c r="AA1281" i="2"/>
  <c r="AE1281" i="2"/>
  <c r="AC1265" i="2"/>
  <c r="Z1265" i="2"/>
  <c r="AG1265" i="2" s="1"/>
  <c r="AD1265" i="2"/>
  <c r="AA1265" i="2"/>
  <c r="AE1265" i="2"/>
  <c r="AC1249" i="2"/>
  <c r="Z1249" i="2"/>
  <c r="AD1249" i="2"/>
  <c r="AA1249" i="2"/>
  <c r="AE1249" i="2"/>
  <c r="AB2" i="2"/>
  <c r="AF2" i="2"/>
  <c r="AE1731" i="2"/>
  <c r="AA1731" i="2"/>
  <c r="AD1730" i="2"/>
  <c r="Z1730" i="2"/>
  <c r="AE1727" i="2"/>
  <c r="AA1727" i="2"/>
  <c r="AD1726" i="2"/>
  <c r="Z1726" i="2"/>
  <c r="AE1723" i="2"/>
  <c r="AA1723" i="2"/>
  <c r="AD1722" i="2"/>
  <c r="Z1722" i="2"/>
  <c r="AE1719" i="2"/>
  <c r="AA1719" i="2"/>
  <c r="AD1718" i="2"/>
  <c r="Z1718" i="2"/>
  <c r="AE1715" i="2"/>
  <c r="AA1715" i="2"/>
  <c r="AD1714" i="2"/>
  <c r="Z1714" i="2"/>
  <c r="AE1711" i="2"/>
  <c r="AA1711" i="2"/>
  <c r="AD1710" i="2"/>
  <c r="Z1710" i="2"/>
  <c r="AE1707" i="2"/>
  <c r="AA1707" i="2"/>
  <c r="AD1706" i="2"/>
  <c r="Z1706" i="2"/>
  <c r="AE1703" i="2"/>
  <c r="AA1703" i="2"/>
  <c r="AD1702" i="2"/>
  <c r="Z1702" i="2"/>
  <c r="AE1699" i="2"/>
  <c r="AA1699" i="2"/>
  <c r="AD1698" i="2"/>
  <c r="Z1698" i="2"/>
  <c r="AE1695" i="2"/>
  <c r="AA1695" i="2"/>
  <c r="AD1694" i="2"/>
  <c r="Z1694" i="2"/>
  <c r="AE1691" i="2"/>
  <c r="AA1691" i="2"/>
  <c r="AD1690" i="2"/>
  <c r="Z1690" i="2"/>
  <c r="AE1687" i="2"/>
  <c r="AA1687" i="2"/>
  <c r="AD1686" i="2"/>
  <c r="Z1686" i="2"/>
  <c r="AE1683" i="2"/>
  <c r="AA1683" i="2"/>
  <c r="AD1682" i="2"/>
  <c r="Z1682" i="2"/>
  <c r="AE1679" i="2"/>
  <c r="AA1679" i="2"/>
  <c r="AD1678" i="2"/>
  <c r="Z1678" i="2"/>
  <c r="AE1675" i="2"/>
  <c r="AA1675" i="2"/>
  <c r="AD1674" i="2"/>
  <c r="Z1674" i="2"/>
  <c r="AE1671" i="2"/>
  <c r="AA1671" i="2"/>
  <c r="AD1670" i="2"/>
  <c r="Z1670" i="2"/>
  <c r="AE1667" i="2"/>
  <c r="AA1667" i="2"/>
  <c r="AD1666" i="2"/>
  <c r="Z1666" i="2"/>
  <c r="AE1663" i="2"/>
  <c r="AA1663" i="2"/>
  <c r="AD1662" i="2"/>
  <c r="Z1662" i="2"/>
  <c r="AE1659" i="2"/>
  <c r="AA1659" i="2"/>
  <c r="AD1658" i="2"/>
  <c r="Z1658" i="2"/>
  <c r="AE1655" i="2"/>
  <c r="AA1655" i="2"/>
  <c r="AD1654" i="2"/>
  <c r="Z1654" i="2"/>
  <c r="AE1651" i="2"/>
  <c r="AA1651" i="2"/>
  <c r="AD1650" i="2"/>
  <c r="Z1650" i="2"/>
  <c r="AE1647" i="2"/>
  <c r="AA1647" i="2"/>
  <c r="AD1646" i="2"/>
  <c r="Z1646" i="2"/>
  <c r="AE1643" i="2"/>
  <c r="AA1643" i="2"/>
  <c r="AD1642" i="2"/>
  <c r="Z1642" i="2"/>
  <c r="AE1639" i="2"/>
  <c r="AA1639" i="2"/>
  <c r="AD1638" i="2"/>
  <c r="Z1638" i="2"/>
  <c r="AE1635" i="2"/>
  <c r="AA1635" i="2"/>
  <c r="AD1634" i="2"/>
  <c r="Z1634" i="2"/>
  <c r="AE1631" i="2"/>
  <c r="AA1631" i="2"/>
  <c r="AD1630" i="2"/>
  <c r="Z1630" i="2"/>
  <c r="AE1627" i="2"/>
  <c r="AA1627" i="2"/>
  <c r="AD1626" i="2"/>
  <c r="Z1626" i="2"/>
  <c r="AE1623" i="2"/>
  <c r="AA1623" i="2"/>
  <c r="AD1622" i="2"/>
  <c r="Z1622" i="2"/>
  <c r="AE1619" i="2"/>
  <c r="AA1619" i="2"/>
  <c r="AD1618" i="2"/>
  <c r="Z1618" i="2"/>
  <c r="AE1615" i="2"/>
  <c r="AA1615" i="2"/>
  <c r="AD1614" i="2"/>
  <c r="Z1614" i="2"/>
  <c r="AE1611" i="2"/>
  <c r="AA1611" i="2"/>
  <c r="AD1610" i="2"/>
  <c r="Z1610" i="2"/>
  <c r="AE1607" i="2"/>
  <c r="AA1607" i="2"/>
  <c r="AD1606" i="2"/>
  <c r="Z1606" i="2"/>
  <c r="AE1603" i="2"/>
  <c r="AA1603" i="2"/>
  <c r="AD1602" i="2"/>
  <c r="Z1602" i="2"/>
  <c r="AE1599" i="2"/>
  <c r="AA1599" i="2"/>
  <c r="AD1598" i="2"/>
  <c r="Z1598" i="2"/>
  <c r="AE1595" i="2"/>
  <c r="AA1595" i="2"/>
  <c r="AD1594" i="2"/>
  <c r="Z1594" i="2"/>
  <c r="AE1591" i="2"/>
  <c r="AA1591" i="2"/>
  <c r="AD1590" i="2"/>
  <c r="Z1590" i="2"/>
  <c r="AE1587" i="2"/>
  <c r="AA1587" i="2"/>
  <c r="AD1586" i="2"/>
  <c r="Z1586" i="2"/>
  <c r="AG1586" i="2" s="1"/>
  <c r="AE1583" i="2"/>
  <c r="AA1583" i="2"/>
  <c r="AD1582" i="2"/>
  <c r="Z1582" i="2"/>
  <c r="AE1579" i="2"/>
  <c r="AA1579" i="2"/>
  <c r="AD1578" i="2"/>
  <c r="Z1578" i="2"/>
  <c r="AE1575" i="2"/>
  <c r="AA1575" i="2"/>
  <c r="AD1574" i="2"/>
  <c r="Z1574" i="2"/>
  <c r="AE1571" i="2"/>
  <c r="AA1571" i="2"/>
  <c r="AD1570" i="2"/>
  <c r="Z1570" i="2"/>
  <c r="AE1567" i="2"/>
  <c r="AA1567" i="2"/>
  <c r="AD1566" i="2"/>
  <c r="Z1566" i="2"/>
  <c r="AG1566" i="2" s="1"/>
  <c r="AE1563" i="2"/>
  <c r="AA1563" i="2"/>
  <c r="AG1563" i="2" s="1"/>
  <c r="AD1562" i="2"/>
  <c r="Z1562" i="2"/>
  <c r="AG1562" i="2" s="1"/>
  <c r="AE1559" i="2"/>
  <c r="AA1559" i="2"/>
  <c r="AG1559" i="2" s="1"/>
  <c r="AD1558" i="2"/>
  <c r="Z1558" i="2"/>
  <c r="AG1558" i="2" s="1"/>
  <c r="AF1557" i="2"/>
  <c r="AA1557" i="2"/>
  <c r="AB1555" i="2"/>
  <c r="AB1554" i="2"/>
  <c r="AC1553" i="2"/>
  <c r="AA1551" i="2"/>
  <c r="AE1551" i="2"/>
  <c r="Z1550" i="2"/>
  <c r="AD1550" i="2"/>
  <c r="AE1545" i="2"/>
  <c r="AF1543" i="2"/>
  <c r="Z1543" i="2"/>
  <c r="AF1542" i="2"/>
  <c r="AA1542" i="2"/>
  <c r="AF1541" i="2"/>
  <c r="AA1541" i="2"/>
  <c r="AB1539" i="2"/>
  <c r="AB1538" i="2"/>
  <c r="AC1537" i="2"/>
  <c r="AA1535" i="2"/>
  <c r="AG1535" i="2" s="1"/>
  <c r="AE1535" i="2"/>
  <c r="Z1534" i="2"/>
  <c r="AD1534" i="2"/>
  <c r="AE1529" i="2"/>
  <c r="AF1527" i="2"/>
  <c r="Z1527" i="2"/>
  <c r="AG1527" i="2" s="1"/>
  <c r="AF1526" i="2"/>
  <c r="AA1526" i="2"/>
  <c r="AF1525" i="2"/>
  <c r="AA1525" i="2"/>
  <c r="AB1523" i="2"/>
  <c r="AB1522" i="2"/>
  <c r="AC1521" i="2"/>
  <c r="AG1521" i="2"/>
  <c r="AA1519" i="2"/>
  <c r="AE1519" i="2"/>
  <c r="Z1518" i="2"/>
  <c r="AG1518" i="2" s="1"/>
  <c r="AD1518" i="2"/>
  <c r="AE1513" i="2"/>
  <c r="AF1511" i="2"/>
  <c r="Z1511" i="2"/>
  <c r="AF1510" i="2"/>
  <c r="AA1510" i="2"/>
  <c r="AF1509" i="2"/>
  <c r="AA1509" i="2"/>
  <c r="AB1507" i="2"/>
  <c r="AB1506" i="2"/>
  <c r="AC1505" i="2"/>
  <c r="AA1503" i="2"/>
  <c r="AE1503" i="2"/>
  <c r="Z1502" i="2"/>
  <c r="AD1502" i="2"/>
  <c r="AE1497" i="2"/>
  <c r="Z1497" i="2"/>
  <c r="AG1497" i="2" s="1"/>
  <c r="AF1495" i="2"/>
  <c r="Z1495" i="2"/>
  <c r="AG1495" i="2" s="1"/>
  <c r="AF1494" i="2"/>
  <c r="AF1493" i="2"/>
  <c r="AA1493" i="2"/>
  <c r="AB1491" i="2"/>
  <c r="AB1490" i="2"/>
  <c r="AC1489" i="2"/>
  <c r="AA1487" i="2"/>
  <c r="AE1487" i="2"/>
  <c r="Z1486" i="2"/>
  <c r="AG1486" i="2" s="1"/>
  <c r="AD1486" i="2"/>
  <c r="AE1481" i="2"/>
  <c r="Z1481" i="2"/>
  <c r="AG1481" i="2" s="1"/>
  <c r="AF1479" i="2"/>
  <c r="Z1479" i="2"/>
  <c r="AF1478" i="2"/>
  <c r="AF1477" i="2"/>
  <c r="AA1477" i="2"/>
  <c r="AB1475" i="2"/>
  <c r="AB1474" i="2"/>
  <c r="AC1473" i="2"/>
  <c r="AA1471" i="2"/>
  <c r="AE1471" i="2"/>
  <c r="Z1470" i="2"/>
  <c r="AD1470" i="2"/>
  <c r="AE1465" i="2"/>
  <c r="Z1465" i="2"/>
  <c r="AG1465" i="2" s="1"/>
  <c r="AF1463" i="2"/>
  <c r="Z1463" i="2"/>
  <c r="AG1463" i="2" s="1"/>
  <c r="AB1461" i="2"/>
  <c r="AB1457" i="2"/>
  <c r="Z1454" i="2"/>
  <c r="AD1454" i="2"/>
  <c r="AA1454" i="2"/>
  <c r="AE1454" i="2"/>
  <c r="AA1453" i="2"/>
  <c r="AB1449" i="2"/>
  <c r="AC1441" i="2"/>
  <c r="Z1441" i="2"/>
  <c r="AD1441" i="2"/>
  <c r="AA1441" i="2"/>
  <c r="AE1441" i="2"/>
  <c r="AF1437" i="2"/>
  <c r="AB1433" i="2"/>
  <c r="AG1428" i="2"/>
  <c r="AG1427" i="2"/>
  <c r="AC1425" i="2"/>
  <c r="Z1425" i="2"/>
  <c r="AD1425" i="2"/>
  <c r="AA1425" i="2"/>
  <c r="AE1425" i="2"/>
  <c r="AF1421" i="2"/>
  <c r="AB1417" i="2"/>
  <c r="AG1412" i="2"/>
  <c r="AC1409" i="2"/>
  <c r="Z1409" i="2"/>
  <c r="AD1409" i="2"/>
  <c r="AA1409" i="2"/>
  <c r="AE1409" i="2"/>
  <c r="AF1405" i="2"/>
  <c r="AB1401" i="2"/>
  <c r="AG1396" i="2"/>
  <c r="AC1393" i="2"/>
  <c r="Z1393" i="2"/>
  <c r="AD1393" i="2"/>
  <c r="AA1393" i="2"/>
  <c r="AE1393" i="2"/>
  <c r="AF1389" i="2"/>
  <c r="AB1385" i="2"/>
  <c r="AG1380" i="2"/>
  <c r="AC1377" i="2"/>
  <c r="Z1377" i="2"/>
  <c r="AG1377" i="2" s="1"/>
  <c r="AD1377" i="2"/>
  <c r="AA1377" i="2"/>
  <c r="AE1377" i="2"/>
  <c r="AF1373" i="2"/>
  <c r="AC1361" i="2"/>
  <c r="AG1361" i="2"/>
  <c r="Z1361" i="2"/>
  <c r="AD1361" i="2"/>
  <c r="AA1361" i="2"/>
  <c r="AE1361" i="2"/>
  <c r="AB1357" i="2"/>
  <c r="AC1353" i="2"/>
  <c r="AG1353" i="2"/>
  <c r="Z1353" i="2"/>
  <c r="AD1353" i="2"/>
  <c r="AA1353" i="2"/>
  <c r="AE1353" i="2"/>
  <c r="AC1345" i="2"/>
  <c r="AG1345" i="2"/>
  <c r="Z1345" i="2"/>
  <c r="AD1345" i="2"/>
  <c r="AA1345" i="2"/>
  <c r="AE1345" i="2"/>
  <c r="AB1341" i="2"/>
  <c r="AC1337" i="2"/>
  <c r="AG1337" i="2"/>
  <c r="Z1337" i="2"/>
  <c r="AD1337" i="2"/>
  <c r="AA1337" i="2"/>
  <c r="AE1337" i="2"/>
  <c r="AB1333" i="2"/>
  <c r="AC1329" i="2"/>
  <c r="AG1329" i="2"/>
  <c r="Z1329" i="2"/>
  <c r="AD1329" i="2"/>
  <c r="AA1329" i="2"/>
  <c r="AE1329" i="2"/>
  <c r="AB1325" i="2"/>
  <c r="AC1321" i="2"/>
  <c r="AG1321" i="2"/>
  <c r="Z1321" i="2"/>
  <c r="AD1321" i="2"/>
  <c r="AA1321" i="2"/>
  <c r="AE1321" i="2"/>
  <c r="AC1313" i="2"/>
  <c r="AG1313" i="2"/>
  <c r="Z1313" i="2"/>
  <c r="AD1313" i="2"/>
  <c r="AA1313" i="2"/>
  <c r="AE1313" i="2"/>
  <c r="AC1305" i="2"/>
  <c r="AG1305" i="2"/>
  <c r="Z1305" i="2"/>
  <c r="AD1305" i="2"/>
  <c r="AA1305" i="2"/>
  <c r="AE1305" i="2"/>
  <c r="AB1301" i="2"/>
  <c r="AC1297" i="2"/>
  <c r="AG1297" i="2"/>
  <c r="Z1297" i="2"/>
  <c r="AD1297" i="2"/>
  <c r="AA1297" i="2"/>
  <c r="AE1297" i="2"/>
  <c r="AC1289" i="2"/>
  <c r="Z1289" i="2"/>
  <c r="AG1289" i="2" s="1"/>
  <c r="AD1289" i="2"/>
  <c r="AA1289" i="2"/>
  <c r="AE1289" i="2"/>
  <c r="AF1285" i="2"/>
  <c r="AB1281" i="2"/>
  <c r="AG1276" i="2"/>
  <c r="AC1273" i="2"/>
  <c r="Z1273" i="2"/>
  <c r="AG1273" i="2" s="1"/>
  <c r="AD1273" i="2"/>
  <c r="AA1273" i="2"/>
  <c r="AE1273" i="2"/>
  <c r="AF1269" i="2"/>
  <c r="AB1265" i="2"/>
  <c r="AG1260" i="2"/>
  <c r="AG1259" i="2"/>
  <c r="AC1257" i="2"/>
  <c r="Z1257" i="2"/>
  <c r="AD1257" i="2"/>
  <c r="AA1257" i="2"/>
  <c r="AE1257" i="2"/>
  <c r="AF1253" i="2"/>
  <c r="AB1249" i="2"/>
  <c r="AG1244" i="2"/>
  <c r="AG1243" i="2"/>
  <c r="AC1241" i="2"/>
  <c r="Z1241" i="2"/>
  <c r="AD1241" i="2"/>
  <c r="AA1241" i="2"/>
  <c r="AE1241" i="2"/>
  <c r="AF1237" i="2"/>
  <c r="AC1212" i="2"/>
  <c r="AD1212" i="2"/>
  <c r="Z1212" i="2"/>
  <c r="AG1212" i="2" s="1"/>
  <c r="AE1212" i="2"/>
  <c r="AA1212" i="2"/>
  <c r="AF1212" i="2"/>
  <c r="Z1209" i="2"/>
  <c r="AD1209" i="2"/>
  <c r="AE1209" i="2"/>
  <c r="AA1209" i="2"/>
  <c r="AF1209" i="2"/>
  <c r="AB1209" i="2"/>
  <c r="AC1205" i="2"/>
  <c r="Z1205" i="2"/>
  <c r="AD1205" i="2"/>
  <c r="AF1205" i="2"/>
  <c r="AA1205" i="2"/>
  <c r="AB1205" i="2"/>
  <c r="Z867" i="2"/>
  <c r="AD867" i="2"/>
  <c r="AA867" i="2"/>
  <c r="AE867" i="2"/>
  <c r="AB867" i="2"/>
  <c r="AC867" i="2"/>
  <c r="AF867" i="2"/>
  <c r="AC842" i="2"/>
  <c r="Z842" i="2"/>
  <c r="AD842" i="2"/>
  <c r="AF842" i="2"/>
  <c r="AA842" i="2"/>
  <c r="AB842" i="2"/>
  <c r="AE842" i="2"/>
  <c r="AC1545" i="2"/>
  <c r="AG1545" i="2"/>
  <c r="AC1529" i="2"/>
  <c r="AG1529" i="2"/>
  <c r="AC1513" i="2"/>
  <c r="AG1513" i="2"/>
  <c r="Z1494" i="2"/>
  <c r="AD1494" i="2"/>
  <c r="Z1478" i="2"/>
  <c r="AD1478" i="2"/>
  <c r="AC1369" i="2"/>
  <c r="Z1369" i="2"/>
  <c r="AD1369" i="2"/>
  <c r="AA1369" i="2"/>
  <c r="AE1369" i="2"/>
  <c r="AC1349" i="2"/>
  <c r="AG1349" i="2"/>
  <c r="Z1349" i="2"/>
  <c r="AD1349" i="2"/>
  <c r="AA1349" i="2"/>
  <c r="AE1349" i="2"/>
  <c r="AC1317" i="2"/>
  <c r="AG1317" i="2"/>
  <c r="Z1317" i="2"/>
  <c r="AD1317" i="2"/>
  <c r="AA1317" i="2"/>
  <c r="AE1317" i="2"/>
  <c r="AC1309" i="2"/>
  <c r="AG1309" i="2"/>
  <c r="Z1309" i="2"/>
  <c r="AD1309" i="2"/>
  <c r="AA1309" i="2"/>
  <c r="AE1309" i="2"/>
  <c r="AA1226" i="2"/>
  <c r="AE1226" i="2"/>
  <c r="AD1226" i="2"/>
  <c r="Z1226" i="2"/>
  <c r="AG1226" i="2" s="1"/>
  <c r="AF1226" i="2"/>
  <c r="AB1226" i="2"/>
  <c r="AC2" i="2"/>
  <c r="AE1732" i="2"/>
  <c r="AD1731" i="2"/>
  <c r="AG1730" i="2"/>
  <c r="AE1728" i="2"/>
  <c r="AD1727" i="2"/>
  <c r="AG1726" i="2"/>
  <c r="AE1724" i="2"/>
  <c r="AD1723" i="2"/>
  <c r="AG1722" i="2"/>
  <c r="AE1720" i="2"/>
  <c r="AD1719" i="2"/>
  <c r="AG1718" i="2"/>
  <c r="AE1716" i="2"/>
  <c r="AD1715" i="2"/>
  <c r="AG1714" i="2"/>
  <c r="AE1712" i="2"/>
  <c r="AD1711" i="2"/>
  <c r="AG1710" i="2"/>
  <c r="AE1708" i="2"/>
  <c r="AD1707" i="2"/>
  <c r="AG1706" i="2"/>
  <c r="AE1704" i="2"/>
  <c r="AD1703" i="2"/>
  <c r="AG1702" i="2"/>
  <c r="AE1700" i="2"/>
  <c r="AD1699" i="2"/>
  <c r="AG1698" i="2"/>
  <c r="AE1696" i="2"/>
  <c r="AD1695" i="2"/>
  <c r="AG1694" i="2"/>
  <c r="AE1692" i="2"/>
  <c r="AD1691" i="2"/>
  <c r="AG1690" i="2"/>
  <c r="AE1688" i="2"/>
  <c r="AD1687" i="2"/>
  <c r="AG1686" i="2"/>
  <c r="AE1684" i="2"/>
  <c r="AD1683" i="2"/>
  <c r="AG1682" i="2"/>
  <c r="AE1680" i="2"/>
  <c r="AD1679" i="2"/>
  <c r="AG1678" i="2"/>
  <c r="AE1676" i="2"/>
  <c r="AD1675" i="2"/>
  <c r="AG1674" i="2"/>
  <c r="AE1672" i="2"/>
  <c r="AD1671" i="2"/>
  <c r="AG1670" i="2"/>
  <c r="AE1668" i="2"/>
  <c r="AD1667" i="2"/>
  <c r="AG1666" i="2"/>
  <c r="AE1664" i="2"/>
  <c r="AD1663" i="2"/>
  <c r="AG1662" i="2"/>
  <c r="AE1660" i="2"/>
  <c r="AD1659" i="2"/>
  <c r="AG1658" i="2"/>
  <c r="AE1656" i="2"/>
  <c r="AD1655" i="2"/>
  <c r="AG1654" i="2"/>
  <c r="AE1652" i="2"/>
  <c r="AD1651" i="2"/>
  <c r="AG1650" i="2"/>
  <c r="AE1648" i="2"/>
  <c r="AD1647" i="2"/>
  <c r="AG1646" i="2"/>
  <c r="AE1644" i="2"/>
  <c r="AD1643" i="2"/>
  <c r="AG1642" i="2"/>
  <c r="AE1640" i="2"/>
  <c r="AD1639" i="2"/>
  <c r="AG1638" i="2"/>
  <c r="AE1636" i="2"/>
  <c r="AD1635" i="2"/>
  <c r="AG1634" i="2"/>
  <c r="AE1632" i="2"/>
  <c r="AD1631" i="2"/>
  <c r="AG1630" i="2"/>
  <c r="AE1628" i="2"/>
  <c r="AD1627" i="2"/>
  <c r="AG1626" i="2"/>
  <c r="AE1624" i="2"/>
  <c r="AD1623" i="2"/>
  <c r="AG1622" i="2"/>
  <c r="AE1620" i="2"/>
  <c r="AD1619" i="2"/>
  <c r="AG1618" i="2"/>
  <c r="AE1616" i="2"/>
  <c r="AD1615" i="2"/>
  <c r="AG1614" i="2"/>
  <c r="AE1612" i="2"/>
  <c r="AD1611" i="2"/>
  <c r="AG1610" i="2"/>
  <c r="AE1608" i="2"/>
  <c r="AD1607" i="2"/>
  <c r="AG1606" i="2"/>
  <c r="AE1604" i="2"/>
  <c r="AD1603" i="2"/>
  <c r="AG1602" i="2"/>
  <c r="AE1600" i="2"/>
  <c r="AD1599" i="2"/>
  <c r="AG1598" i="2"/>
  <c r="AE1596" i="2"/>
  <c r="AD1595" i="2"/>
  <c r="AG1594" i="2"/>
  <c r="AE1592" i="2"/>
  <c r="AD1591" i="2"/>
  <c r="AG1590" i="2"/>
  <c r="AE1588" i="2"/>
  <c r="AD1587" i="2"/>
  <c r="AE1584" i="2"/>
  <c r="AD1583" i="2"/>
  <c r="AE1580" i="2"/>
  <c r="AD1579" i="2"/>
  <c r="AE1576" i="2"/>
  <c r="AD1575" i="2"/>
  <c r="AE1572" i="2"/>
  <c r="AD1571" i="2"/>
  <c r="AE1568" i="2"/>
  <c r="AD1567" i="2"/>
  <c r="AE1564" i="2"/>
  <c r="AD1563" i="2"/>
  <c r="AE1560" i="2"/>
  <c r="AD1559" i="2"/>
  <c r="AE1557" i="2"/>
  <c r="Z1557" i="2"/>
  <c r="AG1557" i="2" s="1"/>
  <c r="AF1555" i="2"/>
  <c r="Z1555" i="2"/>
  <c r="AG1555" i="2" s="1"/>
  <c r="AF1554" i="2"/>
  <c r="AA1554" i="2"/>
  <c r="AF1553" i="2"/>
  <c r="AA1553" i="2"/>
  <c r="AG1553" i="2" s="1"/>
  <c r="AB1551" i="2"/>
  <c r="AG1551" i="2" s="1"/>
  <c r="AB1550" i="2"/>
  <c r="AC1549" i="2"/>
  <c r="AG1549" i="2"/>
  <c r="AA1547" i="2"/>
  <c r="AG1547" i="2" s="1"/>
  <c r="AE1547" i="2"/>
  <c r="Z1546" i="2"/>
  <c r="AG1546" i="2" s="1"/>
  <c r="AD1546" i="2"/>
  <c r="AD1545" i="2"/>
  <c r="AD1543" i="2"/>
  <c r="AE1542" i="2"/>
  <c r="AE1541" i="2"/>
  <c r="Z1541" i="2"/>
  <c r="AF1539" i="2"/>
  <c r="Z1539" i="2"/>
  <c r="AG1539" i="2" s="1"/>
  <c r="AF1538" i="2"/>
  <c r="AA1538" i="2"/>
  <c r="AF1537" i="2"/>
  <c r="AA1537" i="2"/>
  <c r="AB1535" i="2"/>
  <c r="AB1534" i="2"/>
  <c r="AC1533" i="2"/>
  <c r="AG1533" i="2"/>
  <c r="AA1531" i="2"/>
  <c r="AE1531" i="2"/>
  <c r="Z1530" i="2"/>
  <c r="AG1530" i="2" s="1"/>
  <c r="AD1530" i="2"/>
  <c r="AD1529" i="2"/>
  <c r="AD1527" i="2"/>
  <c r="AE1526" i="2"/>
  <c r="AE1525" i="2"/>
  <c r="Z1525" i="2"/>
  <c r="AG1525" i="2" s="1"/>
  <c r="AF1523" i="2"/>
  <c r="Z1523" i="2"/>
  <c r="AF1522" i="2"/>
  <c r="AA1522" i="2"/>
  <c r="AF1521" i="2"/>
  <c r="AA1521" i="2"/>
  <c r="AB1519" i="2"/>
  <c r="AG1519" i="2" s="1"/>
  <c r="AB1518" i="2"/>
  <c r="AC1517" i="2"/>
  <c r="AG1517" i="2"/>
  <c r="AA1515" i="2"/>
  <c r="AE1515" i="2"/>
  <c r="Z1514" i="2"/>
  <c r="AG1514" i="2" s="1"/>
  <c r="AD1514" i="2"/>
  <c r="AD1513" i="2"/>
  <c r="AD1511" i="2"/>
  <c r="AE1510" i="2"/>
  <c r="AE1509" i="2"/>
  <c r="Z1509" i="2"/>
  <c r="AF1507" i="2"/>
  <c r="Z1507" i="2"/>
  <c r="AG1507" i="2" s="1"/>
  <c r="AF1506" i="2"/>
  <c r="AA1506" i="2"/>
  <c r="AF1505" i="2"/>
  <c r="AA1505" i="2"/>
  <c r="AG1505" i="2" s="1"/>
  <c r="AB1503" i="2"/>
  <c r="AB1502" i="2"/>
  <c r="AC1501" i="2"/>
  <c r="AG1501" i="2"/>
  <c r="AA1499" i="2"/>
  <c r="AG1499" i="2" s="1"/>
  <c r="AE1499" i="2"/>
  <c r="Z1498" i="2"/>
  <c r="AG1498" i="2" s="1"/>
  <c r="AD1498" i="2"/>
  <c r="AD1497" i="2"/>
  <c r="AD1495" i="2"/>
  <c r="AE1494" i="2"/>
  <c r="AE1493" i="2"/>
  <c r="Z1493" i="2"/>
  <c r="AF1491" i="2"/>
  <c r="Z1491" i="2"/>
  <c r="AG1491" i="2" s="1"/>
  <c r="AF1490" i="2"/>
  <c r="AA1490" i="2"/>
  <c r="AF1489" i="2"/>
  <c r="AA1489" i="2"/>
  <c r="AG1489" i="2" s="1"/>
  <c r="AG1487" i="2"/>
  <c r="AB1487" i="2"/>
  <c r="AB1486" i="2"/>
  <c r="AC1485" i="2"/>
  <c r="AG1485" i="2"/>
  <c r="AA1483" i="2"/>
  <c r="AE1483" i="2"/>
  <c r="Z1482" i="2"/>
  <c r="AG1482" i="2" s="1"/>
  <c r="AD1482" i="2"/>
  <c r="AD1481" i="2"/>
  <c r="AD1479" i="2"/>
  <c r="AE1478" i="2"/>
  <c r="AE1477" i="2"/>
  <c r="Z1477" i="2"/>
  <c r="AF1475" i="2"/>
  <c r="Z1475" i="2"/>
  <c r="AG1475" i="2" s="1"/>
  <c r="AF1474" i="2"/>
  <c r="AA1474" i="2"/>
  <c r="AF1473" i="2"/>
  <c r="AA1473" i="2"/>
  <c r="AG1473" i="2" s="1"/>
  <c r="AB1471" i="2"/>
  <c r="AB1470" i="2"/>
  <c r="AC1469" i="2"/>
  <c r="AG1469" i="2" s="1"/>
  <c r="AA1467" i="2"/>
  <c r="AG1467" i="2" s="1"/>
  <c r="AE1467" i="2"/>
  <c r="Z1466" i="2"/>
  <c r="AG1466" i="2" s="1"/>
  <c r="AD1466" i="2"/>
  <c r="AD1465" i="2"/>
  <c r="AD1463" i="2"/>
  <c r="Z1462" i="2"/>
  <c r="AD1462" i="2"/>
  <c r="AA1462" i="2"/>
  <c r="AA1461" i="2"/>
  <c r="Z1458" i="2"/>
  <c r="AD1458" i="2"/>
  <c r="AA1458" i="2"/>
  <c r="AE1458" i="2"/>
  <c r="AA1457" i="2"/>
  <c r="AC1454" i="2"/>
  <c r="AF1453" i="2"/>
  <c r="AG1448" i="2"/>
  <c r="AC1445" i="2"/>
  <c r="Z1445" i="2"/>
  <c r="AD1445" i="2"/>
  <c r="AA1445" i="2"/>
  <c r="AE1445" i="2"/>
  <c r="AF1441" i="2"/>
  <c r="AB1437" i="2"/>
  <c r="AC1429" i="2"/>
  <c r="Z1429" i="2"/>
  <c r="AD1429" i="2"/>
  <c r="AA1429" i="2"/>
  <c r="AE1429" i="2"/>
  <c r="AF1425" i="2"/>
  <c r="AB1421" i="2"/>
  <c r="AG1416" i="2"/>
  <c r="AG1415" i="2"/>
  <c r="AC1413" i="2"/>
  <c r="Z1413" i="2"/>
  <c r="AD1413" i="2"/>
  <c r="AA1413" i="2"/>
  <c r="AE1413" i="2"/>
  <c r="AF1409" i="2"/>
  <c r="AB1405" i="2"/>
  <c r="AG1400" i="2"/>
  <c r="AC1397" i="2"/>
  <c r="Z1397" i="2"/>
  <c r="AD1397" i="2"/>
  <c r="AA1397" i="2"/>
  <c r="AE1397" i="2"/>
  <c r="AF1393" i="2"/>
  <c r="AB1389" i="2"/>
  <c r="AG1383" i="2"/>
  <c r="AC1381" i="2"/>
  <c r="Z1381" i="2"/>
  <c r="AD1381" i="2"/>
  <c r="AA1381" i="2"/>
  <c r="AE1381" i="2"/>
  <c r="AF1377" i="2"/>
  <c r="AB1373" i="2"/>
  <c r="AG1367" i="2"/>
  <c r="AC1365" i="2"/>
  <c r="Z1365" i="2"/>
  <c r="AD1365" i="2"/>
  <c r="AA1365" i="2"/>
  <c r="AE1365" i="2"/>
  <c r="AF1361" i="2"/>
  <c r="AF1353" i="2"/>
  <c r="AF1345" i="2"/>
  <c r="AF1337" i="2"/>
  <c r="AF1329" i="2"/>
  <c r="AF1321" i="2"/>
  <c r="AF1313" i="2"/>
  <c r="AF1305" i="2"/>
  <c r="AF1297" i="2"/>
  <c r="AG1295" i="2"/>
  <c r="AC1293" i="2"/>
  <c r="Z1293" i="2"/>
  <c r="AD1293" i="2"/>
  <c r="AA1293" i="2"/>
  <c r="AE1293" i="2"/>
  <c r="AF1289" i="2"/>
  <c r="AB1285" i="2"/>
  <c r="AC1277" i="2"/>
  <c r="Z1277" i="2"/>
  <c r="AD1277" i="2"/>
  <c r="AA1277" i="2"/>
  <c r="AE1277" i="2"/>
  <c r="AF1273" i="2"/>
  <c r="AB1269" i="2"/>
  <c r="AC1261" i="2"/>
  <c r="Z1261" i="2"/>
  <c r="AD1261" i="2"/>
  <c r="AA1261" i="2"/>
  <c r="AE1261" i="2"/>
  <c r="AF1257" i="2"/>
  <c r="AB1253" i="2"/>
  <c r="AG1253" i="2" s="1"/>
  <c r="AG1248" i="2"/>
  <c r="AG1247" i="2"/>
  <c r="AC1245" i="2"/>
  <c r="Z1245" i="2"/>
  <c r="AD1245" i="2"/>
  <c r="AA1245" i="2"/>
  <c r="AE1245" i="2"/>
  <c r="AF1241" i="2"/>
  <c r="AB1237" i="2"/>
  <c r="AC1228" i="2"/>
  <c r="AD1228" i="2"/>
  <c r="Z1228" i="2"/>
  <c r="AE1228" i="2"/>
  <c r="AA1228" i="2"/>
  <c r="AF1228" i="2"/>
  <c r="Z1225" i="2"/>
  <c r="AD1225" i="2"/>
  <c r="AE1225" i="2"/>
  <c r="AA1225" i="2"/>
  <c r="AF1225" i="2"/>
  <c r="AB1225" i="2"/>
  <c r="AA1210" i="2"/>
  <c r="AE1210" i="2"/>
  <c r="AD1210" i="2"/>
  <c r="Z1210" i="2"/>
  <c r="AF1210" i="2"/>
  <c r="AB1210" i="2"/>
  <c r="AC929" i="2"/>
  <c r="Z929" i="2"/>
  <c r="AD929" i="2"/>
  <c r="AA929" i="2"/>
  <c r="AE929" i="2"/>
  <c r="AB929" i="2"/>
  <c r="AF929" i="2"/>
  <c r="AC913" i="2"/>
  <c r="Z913" i="2"/>
  <c r="AD913" i="2"/>
  <c r="AA913" i="2"/>
  <c r="AE913" i="2"/>
  <c r="AB913" i="2"/>
  <c r="AF913" i="2"/>
  <c r="AC897" i="2"/>
  <c r="Z897" i="2"/>
  <c r="AD897" i="2"/>
  <c r="AA897" i="2"/>
  <c r="AE897" i="2"/>
  <c r="AB897" i="2"/>
  <c r="AF897" i="2"/>
  <c r="AC1224" i="2"/>
  <c r="AA1222" i="2"/>
  <c r="AE1222" i="2"/>
  <c r="Z1221" i="2"/>
  <c r="AD1221" i="2"/>
  <c r="AC1201" i="2"/>
  <c r="Z1201" i="2"/>
  <c r="AD1201" i="2"/>
  <c r="AA1201" i="2"/>
  <c r="AE1201" i="2"/>
  <c r="AG1199" i="2"/>
  <c r="AC1197" i="2"/>
  <c r="Z1197" i="2"/>
  <c r="AD1197" i="2"/>
  <c r="AA1197" i="2"/>
  <c r="AE1197" i="2"/>
  <c r="AG1195" i="2"/>
  <c r="AC1193" i="2"/>
  <c r="Z1193" i="2"/>
  <c r="AD1193" i="2"/>
  <c r="AA1193" i="2"/>
  <c r="AE1193" i="2"/>
  <c r="AG1191" i="2"/>
  <c r="AC1189" i="2"/>
  <c r="Z1189" i="2"/>
  <c r="AD1189" i="2"/>
  <c r="AA1189" i="2"/>
  <c r="AE1189" i="2"/>
  <c r="AC1185" i="2"/>
  <c r="Z1185" i="2"/>
  <c r="AD1185" i="2"/>
  <c r="AA1185" i="2"/>
  <c r="AE1185" i="2"/>
  <c r="AC1181" i="2"/>
  <c r="Z1181" i="2"/>
  <c r="AD1181" i="2"/>
  <c r="AA1181" i="2"/>
  <c r="AE1181" i="2"/>
  <c r="AC1177" i="2"/>
  <c r="Z1177" i="2"/>
  <c r="AD1177" i="2"/>
  <c r="AA1177" i="2"/>
  <c r="AE1177" i="2"/>
  <c r="AC1173" i="2"/>
  <c r="Z1173" i="2"/>
  <c r="AD1173" i="2"/>
  <c r="AA1173" i="2"/>
  <c r="AE1173" i="2"/>
  <c r="AC1169" i="2"/>
  <c r="Z1169" i="2"/>
  <c r="AD1169" i="2"/>
  <c r="AA1169" i="2"/>
  <c r="AE1169" i="2"/>
  <c r="AC1165" i="2"/>
  <c r="Z1165" i="2"/>
  <c r="AD1165" i="2"/>
  <c r="AA1165" i="2"/>
  <c r="AE1165" i="2"/>
  <c r="AC1161" i="2"/>
  <c r="Z1161" i="2"/>
  <c r="AD1161" i="2"/>
  <c r="AA1161" i="2"/>
  <c r="AE1161" i="2"/>
  <c r="AC1157" i="2"/>
  <c r="Z1157" i="2"/>
  <c r="AG1157" i="2" s="1"/>
  <c r="AD1157" i="2"/>
  <c r="AA1157" i="2"/>
  <c r="AE1157" i="2"/>
  <c r="AC1153" i="2"/>
  <c r="Z1153" i="2"/>
  <c r="AD1153" i="2"/>
  <c r="AA1153" i="2"/>
  <c r="AE1153" i="2"/>
  <c r="AC1149" i="2"/>
  <c r="Z1149" i="2"/>
  <c r="AD1149" i="2"/>
  <c r="AA1149" i="2"/>
  <c r="AE1149" i="2"/>
  <c r="AC1145" i="2"/>
  <c r="Z1145" i="2"/>
  <c r="AD1145" i="2"/>
  <c r="AA1145" i="2"/>
  <c r="AE1145" i="2"/>
  <c r="AC1141" i="2"/>
  <c r="Z1141" i="2"/>
  <c r="AD1141" i="2"/>
  <c r="AA1141" i="2"/>
  <c r="AE1141" i="2"/>
  <c r="AC1137" i="2"/>
  <c r="Z1137" i="2"/>
  <c r="AD1137" i="2"/>
  <c r="AA1137" i="2"/>
  <c r="AE1137" i="2"/>
  <c r="AC1133" i="2"/>
  <c r="Z1133" i="2"/>
  <c r="AD1133" i="2"/>
  <c r="AA1133" i="2"/>
  <c r="AE1133" i="2"/>
  <c r="AC1129" i="2"/>
  <c r="Z1129" i="2"/>
  <c r="AD1129" i="2"/>
  <c r="AA1129" i="2"/>
  <c r="AE1129" i="2"/>
  <c r="AC1125" i="2"/>
  <c r="Z1125" i="2"/>
  <c r="AD1125" i="2"/>
  <c r="AA1125" i="2"/>
  <c r="AE1125" i="2"/>
  <c r="AC1121" i="2"/>
  <c r="Z1121" i="2"/>
  <c r="AG1121" i="2" s="1"/>
  <c r="AD1121" i="2"/>
  <c r="AA1121" i="2"/>
  <c r="AE1121" i="2"/>
  <c r="AC1117" i="2"/>
  <c r="Z1117" i="2"/>
  <c r="AD1117" i="2"/>
  <c r="AA1117" i="2"/>
  <c r="AE1117" i="2"/>
  <c r="AC1113" i="2"/>
  <c r="Z1113" i="2"/>
  <c r="AD1113" i="2"/>
  <c r="AA1113" i="2"/>
  <c r="AE1113" i="2"/>
  <c r="AC1109" i="2"/>
  <c r="Z1109" i="2"/>
  <c r="AD1109" i="2"/>
  <c r="AA1109" i="2"/>
  <c r="AE1109" i="2"/>
  <c r="AC1105" i="2"/>
  <c r="Z1105" i="2"/>
  <c r="AD1105" i="2"/>
  <c r="AA1105" i="2"/>
  <c r="AE1105" i="2"/>
  <c r="AC1101" i="2"/>
  <c r="Z1101" i="2"/>
  <c r="AD1101" i="2"/>
  <c r="AA1101" i="2"/>
  <c r="AE1101" i="2"/>
  <c r="AC1097" i="2"/>
  <c r="Z1097" i="2"/>
  <c r="AD1097" i="2"/>
  <c r="AA1097" i="2"/>
  <c r="AE1097" i="2"/>
  <c r="AC1093" i="2"/>
  <c r="Z1093" i="2"/>
  <c r="AD1093" i="2"/>
  <c r="AA1093" i="2"/>
  <c r="AE1093" i="2"/>
  <c r="AC1089" i="2"/>
  <c r="Z1089" i="2"/>
  <c r="AD1089" i="2"/>
  <c r="AA1089" i="2"/>
  <c r="AE1089" i="2"/>
  <c r="AC1085" i="2"/>
  <c r="Z1085" i="2"/>
  <c r="AD1085" i="2"/>
  <c r="AA1085" i="2"/>
  <c r="AE1085" i="2"/>
  <c r="AC1081" i="2"/>
  <c r="Z1081" i="2"/>
  <c r="AD1081" i="2"/>
  <c r="AA1081" i="2"/>
  <c r="AE1081" i="2"/>
  <c r="AC1077" i="2"/>
  <c r="Z1077" i="2"/>
  <c r="AD1077" i="2"/>
  <c r="AA1077" i="2"/>
  <c r="AE1077" i="2"/>
  <c r="AC1073" i="2"/>
  <c r="Z1073" i="2"/>
  <c r="AD1073" i="2"/>
  <c r="AA1073" i="2"/>
  <c r="AE1073" i="2"/>
  <c r="AC1069" i="2"/>
  <c r="Z1069" i="2"/>
  <c r="AD1069" i="2"/>
  <c r="AA1069" i="2"/>
  <c r="AE1069" i="2"/>
  <c r="AC1065" i="2"/>
  <c r="Z1065" i="2"/>
  <c r="AD1065" i="2"/>
  <c r="AA1065" i="2"/>
  <c r="AE1065" i="2"/>
  <c r="AC1061" i="2"/>
  <c r="Z1061" i="2"/>
  <c r="AD1061" i="2"/>
  <c r="AA1061" i="2"/>
  <c r="AE1061" i="2"/>
  <c r="AC1057" i="2"/>
  <c r="Z1057" i="2"/>
  <c r="AG1057" i="2" s="1"/>
  <c r="AD1057" i="2"/>
  <c r="AA1057" i="2"/>
  <c r="AE1057" i="2"/>
  <c r="AC1053" i="2"/>
  <c r="Z1053" i="2"/>
  <c r="AD1053" i="2"/>
  <c r="AA1053" i="2"/>
  <c r="AE1053" i="2"/>
  <c r="AC1049" i="2"/>
  <c r="Z1049" i="2"/>
  <c r="AD1049" i="2"/>
  <c r="AA1049" i="2"/>
  <c r="AE1049" i="2"/>
  <c r="AC1045" i="2"/>
  <c r="Z1045" i="2"/>
  <c r="AD1045" i="2"/>
  <c r="AA1045" i="2"/>
  <c r="AE1045" i="2"/>
  <c r="AC1041" i="2"/>
  <c r="Z1041" i="2"/>
  <c r="AD1041" i="2"/>
  <c r="AA1041" i="2"/>
  <c r="AE1041" i="2"/>
  <c r="AC1037" i="2"/>
  <c r="Z1037" i="2"/>
  <c r="AD1037" i="2"/>
  <c r="AA1037" i="2"/>
  <c r="AE1037" i="2"/>
  <c r="AC1033" i="2"/>
  <c r="Z1033" i="2"/>
  <c r="AD1033" i="2"/>
  <c r="AA1033" i="2"/>
  <c r="AE1033" i="2"/>
  <c r="AC1029" i="2"/>
  <c r="Z1029" i="2"/>
  <c r="AD1029" i="2"/>
  <c r="AA1029" i="2"/>
  <c r="AE1029" i="2"/>
  <c r="AC1025" i="2"/>
  <c r="Z1025" i="2"/>
  <c r="AD1025" i="2"/>
  <c r="AA1025" i="2"/>
  <c r="AE1025" i="2"/>
  <c r="AC1021" i="2"/>
  <c r="Z1021" i="2"/>
  <c r="AD1021" i="2"/>
  <c r="AA1021" i="2"/>
  <c r="AE1021" i="2"/>
  <c r="AC1017" i="2"/>
  <c r="Z1017" i="2"/>
  <c r="AD1017" i="2"/>
  <c r="AA1017" i="2"/>
  <c r="AE1017" i="2"/>
  <c r="AC1013" i="2"/>
  <c r="Z1013" i="2"/>
  <c r="AD1013" i="2"/>
  <c r="AA1013" i="2"/>
  <c r="AE1013" i="2"/>
  <c r="AC1009" i="2"/>
  <c r="Z1009" i="2"/>
  <c r="AD1009" i="2"/>
  <c r="AA1009" i="2"/>
  <c r="AE1009" i="2"/>
  <c r="AC1005" i="2"/>
  <c r="Z1005" i="2"/>
  <c r="AD1005" i="2"/>
  <c r="AA1005" i="2"/>
  <c r="AE1005" i="2"/>
  <c r="AC1001" i="2"/>
  <c r="Z1001" i="2"/>
  <c r="AD1001" i="2"/>
  <c r="AA1001" i="2"/>
  <c r="AE1001" i="2"/>
  <c r="AC997" i="2"/>
  <c r="Z997" i="2"/>
  <c r="AG997" i="2" s="1"/>
  <c r="AD997" i="2"/>
  <c r="AA997" i="2"/>
  <c r="AE997" i="2"/>
  <c r="AC993" i="2"/>
  <c r="Z993" i="2"/>
  <c r="AD993" i="2"/>
  <c r="AA993" i="2"/>
  <c r="AE993" i="2"/>
  <c r="AC989" i="2"/>
  <c r="Z989" i="2"/>
  <c r="AD989" i="2"/>
  <c r="AA989" i="2"/>
  <c r="AE989" i="2"/>
  <c r="AC985" i="2"/>
  <c r="Z985" i="2"/>
  <c r="AD985" i="2"/>
  <c r="AA985" i="2"/>
  <c r="AE985" i="2"/>
  <c r="AC981" i="2"/>
  <c r="Z981" i="2"/>
  <c r="AD981" i="2"/>
  <c r="AA981" i="2"/>
  <c r="AE981" i="2"/>
  <c r="AC977" i="2"/>
  <c r="Z977" i="2"/>
  <c r="AD977" i="2"/>
  <c r="AA977" i="2"/>
  <c r="AE977" i="2"/>
  <c r="AC973" i="2"/>
  <c r="Z973" i="2"/>
  <c r="AD973" i="2"/>
  <c r="AA973" i="2"/>
  <c r="AE973" i="2"/>
  <c r="AC969" i="2"/>
  <c r="Z969" i="2"/>
  <c r="AD969" i="2"/>
  <c r="AA969" i="2"/>
  <c r="AE969" i="2"/>
  <c r="AC965" i="2"/>
  <c r="Z965" i="2"/>
  <c r="AD965" i="2"/>
  <c r="AA965" i="2"/>
  <c r="AE965" i="2"/>
  <c r="AG963" i="2"/>
  <c r="AC961" i="2"/>
  <c r="Z961" i="2"/>
  <c r="AD961" i="2"/>
  <c r="AA961" i="2"/>
  <c r="AE961" i="2"/>
  <c r="AC957" i="2"/>
  <c r="Z957" i="2"/>
  <c r="AG957" i="2" s="1"/>
  <c r="AD957" i="2"/>
  <c r="AA957" i="2"/>
  <c r="AE957" i="2"/>
  <c r="AC953" i="2"/>
  <c r="Z953" i="2"/>
  <c r="AD953" i="2"/>
  <c r="AA953" i="2"/>
  <c r="AE953" i="2"/>
  <c r="AC949" i="2"/>
  <c r="Z949" i="2"/>
  <c r="AD949" i="2"/>
  <c r="AA949" i="2"/>
  <c r="AE949" i="2"/>
  <c r="AC945" i="2"/>
  <c r="Z945" i="2"/>
  <c r="AD945" i="2"/>
  <c r="AA945" i="2"/>
  <c r="AE945" i="2"/>
  <c r="AC941" i="2"/>
  <c r="Z941" i="2"/>
  <c r="AG941" i="2" s="1"/>
  <c r="AD941" i="2"/>
  <c r="AA941" i="2"/>
  <c r="AE941" i="2"/>
  <c r="AC925" i="2"/>
  <c r="Z925" i="2"/>
  <c r="AD925" i="2"/>
  <c r="AA925" i="2"/>
  <c r="AE925" i="2"/>
  <c r="AC909" i="2"/>
  <c r="Z909" i="2"/>
  <c r="AD909" i="2"/>
  <c r="AA909" i="2"/>
  <c r="AE909" i="2"/>
  <c r="AC893" i="2"/>
  <c r="Z893" i="2"/>
  <c r="AD893" i="2"/>
  <c r="AA893" i="2"/>
  <c r="AE893" i="2"/>
  <c r="AC858" i="2"/>
  <c r="Z858" i="2"/>
  <c r="AD858" i="2"/>
  <c r="AF858" i="2"/>
  <c r="AA858" i="2"/>
  <c r="AB858" i="2"/>
  <c r="AC834" i="2"/>
  <c r="Z834" i="2"/>
  <c r="AD834" i="2"/>
  <c r="AA834" i="2"/>
  <c r="AE834" i="2"/>
  <c r="AB834" i="2"/>
  <c r="AF834" i="2"/>
  <c r="AC802" i="2"/>
  <c r="Z802" i="2"/>
  <c r="AG802" i="2" s="1"/>
  <c r="AD802" i="2"/>
  <c r="AA802" i="2"/>
  <c r="AE802" i="2"/>
  <c r="AB802" i="2"/>
  <c r="AF802" i="2"/>
  <c r="AC530" i="2"/>
  <c r="Z530" i="2"/>
  <c r="AG530" i="2" s="1"/>
  <c r="AD530" i="2"/>
  <c r="AA530" i="2"/>
  <c r="AE530" i="2"/>
  <c r="AB530" i="2"/>
  <c r="AF530" i="2"/>
  <c r="AE1450" i="2"/>
  <c r="AA1450" i="2"/>
  <c r="AE1446" i="2"/>
  <c r="AA1446" i="2"/>
  <c r="AE1442" i="2"/>
  <c r="AA1442" i="2"/>
  <c r="AE1438" i="2"/>
  <c r="AA1438" i="2"/>
  <c r="AE1434" i="2"/>
  <c r="AA1434" i="2"/>
  <c r="AG1434" i="2" s="1"/>
  <c r="AE1430" i="2"/>
  <c r="AA1430" i="2"/>
  <c r="AG1430" i="2" s="1"/>
  <c r="AE1426" i="2"/>
  <c r="AA1426" i="2"/>
  <c r="AG1426" i="2" s="1"/>
  <c r="AE1422" i="2"/>
  <c r="AA1422" i="2"/>
  <c r="AE1418" i="2"/>
  <c r="AA1418" i="2"/>
  <c r="AG1418" i="2" s="1"/>
  <c r="AE1414" i="2"/>
  <c r="AA1414" i="2"/>
  <c r="AG1414" i="2" s="1"/>
  <c r="AE1410" i="2"/>
  <c r="AA1410" i="2"/>
  <c r="AG1410" i="2" s="1"/>
  <c r="AE1406" i="2"/>
  <c r="AA1406" i="2"/>
  <c r="AG1406" i="2" s="1"/>
  <c r="AE1402" i="2"/>
  <c r="AA1402" i="2"/>
  <c r="AG1402" i="2" s="1"/>
  <c r="AE1398" i="2"/>
  <c r="AA1398" i="2"/>
  <c r="AE1394" i="2"/>
  <c r="AA1394" i="2"/>
  <c r="AG1394" i="2" s="1"/>
  <c r="AE1390" i="2"/>
  <c r="AA1390" i="2"/>
  <c r="AG1390" i="2" s="1"/>
  <c r="AE1386" i="2"/>
  <c r="AA1386" i="2"/>
  <c r="AG1386" i="2" s="1"/>
  <c r="AE1382" i="2"/>
  <c r="AA1382" i="2"/>
  <c r="AG1382" i="2" s="1"/>
  <c r="AE1378" i="2"/>
  <c r="AA1378" i="2"/>
  <c r="AE1374" i="2"/>
  <c r="AA1374" i="2"/>
  <c r="AE1370" i="2"/>
  <c r="AA1370" i="2"/>
  <c r="AE1366" i="2"/>
  <c r="AA1366" i="2"/>
  <c r="AE1362" i="2"/>
  <c r="AA1362" i="2"/>
  <c r="AG1362" i="2" s="1"/>
  <c r="AE1358" i="2"/>
  <c r="AA1358" i="2"/>
  <c r="AE1354" i="2"/>
  <c r="AA1354" i="2"/>
  <c r="AE1350" i="2"/>
  <c r="AA1350" i="2"/>
  <c r="AE1346" i="2"/>
  <c r="AA1346" i="2"/>
  <c r="AE1342" i="2"/>
  <c r="AA1342" i="2"/>
  <c r="AE1338" i="2"/>
  <c r="AA1338" i="2"/>
  <c r="AE1334" i="2"/>
  <c r="AA1334" i="2"/>
  <c r="AE1330" i="2"/>
  <c r="AA1330" i="2"/>
  <c r="AE1326" i="2"/>
  <c r="AA1326" i="2"/>
  <c r="AE1322" i="2"/>
  <c r="AA1322" i="2"/>
  <c r="AE1318" i="2"/>
  <c r="AA1318" i="2"/>
  <c r="AE1314" i="2"/>
  <c r="AA1314" i="2"/>
  <c r="AE1310" i="2"/>
  <c r="AA1310" i="2"/>
  <c r="AE1306" i="2"/>
  <c r="AA1306" i="2"/>
  <c r="AE1302" i="2"/>
  <c r="AA1302" i="2"/>
  <c r="AE1298" i="2"/>
  <c r="AA1298" i="2"/>
  <c r="AE1294" i="2"/>
  <c r="AA1294" i="2"/>
  <c r="AG1294" i="2" s="1"/>
  <c r="AE1290" i="2"/>
  <c r="AA1290" i="2"/>
  <c r="AG1290" i="2" s="1"/>
  <c r="AE1286" i="2"/>
  <c r="AA1286" i="2"/>
  <c r="AE1282" i="2"/>
  <c r="AA1282" i="2"/>
  <c r="AE1278" i="2"/>
  <c r="AA1278" i="2"/>
  <c r="AE1274" i="2"/>
  <c r="AA1274" i="2"/>
  <c r="AG1274" i="2" s="1"/>
  <c r="AE1270" i="2"/>
  <c r="AA1270" i="2"/>
  <c r="AG1270" i="2" s="1"/>
  <c r="AE1266" i="2"/>
  <c r="AA1266" i="2"/>
  <c r="AG1266" i="2" s="1"/>
  <c r="AE1262" i="2"/>
  <c r="AA1262" i="2"/>
  <c r="AE1258" i="2"/>
  <c r="AA1258" i="2"/>
  <c r="AG1258" i="2" s="1"/>
  <c r="AE1254" i="2"/>
  <c r="AA1254" i="2"/>
  <c r="AG1254" i="2" s="1"/>
  <c r="AE1250" i="2"/>
  <c r="AA1250" i="2"/>
  <c r="AE1246" i="2"/>
  <c r="AA1246" i="2"/>
  <c r="AE1242" i="2"/>
  <c r="AA1242" i="2"/>
  <c r="AE1238" i="2"/>
  <c r="AA1238" i="2"/>
  <c r="AG1238" i="2" s="1"/>
  <c r="AA1234" i="2"/>
  <c r="AE1234" i="2"/>
  <c r="Z1233" i="2"/>
  <c r="AD1233" i="2"/>
  <c r="AF1224" i="2"/>
  <c r="AA1224" i="2"/>
  <c r="AB1222" i="2"/>
  <c r="AB1221" i="2"/>
  <c r="AC1220" i="2"/>
  <c r="AA1218" i="2"/>
  <c r="AE1218" i="2"/>
  <c r="Z1217" i="2"/>
  <c r="AD1217" i="2"/>
  <c r="Z1206" i="2"/>
  <c r="AD1206" i="2"/>
  <c r="AA1206" i="2"/>
  <c r="AE1206" i="2"/>
  <c r="AF1201" i="2"/>
  <c r="AF1197" i="2"/>
  <c r="AF1193" i="2"/>
  <c r="AC937" i="2"/>
  <c r="Z937" i="2"/>
  <c r="AD937" i="2"/>
  <c r="AA937" i="2"/>
  <c r="AE937" i="2"/>
  <c r="AC921" i="2"/>
  <c r="Z921" i="2"/>
  <c r="AG921" i="2" s="1"/>
  <c r="AD921" i="2"/>
  <c r="AA921" i="2"/>
  <c r="AE921" i="2"/>
  <c r="AC905" i="2"/>
  <c r="Z905" i="2"/>
  <c r="AG905" i="2" s="1"/>
  <c r="AD905" i="2"/>
  <c r="AA905" i="2"/>
  <c r="AE905" i="2"/>
  <c r="AC889" i="2"/>
  <c r="Z889" i="2"/>
  <c r="AD889" i="2"/>
  <c r="AA889" i="2"/>
  <c r="AE889" i="2"/>
  <c r="Z883" i="2"/>
  <c r="AD883" i="2"/>
  <c r="AA883" i="2"/>
  <c r="AE883" i="2"/>
  <c r="AB883" i="2"/>
  <c r="AC883" i="2"/>
  <c r="AC874" i="2"/>
  <c r="Z874" i="2"/>
  <c r="AD874" i="2"/>
  <c r="AF874" i="2"/>
  <c r="AA874" i="2"/>
  <c r="AB874" i="2"/>
  <c r="AC754" i="2"/>
  <c r="Z754" i="2"/>
  <c r="AD754" i="2"/>
  <c r="AA754" i="2"/>
  <c r="AE754" i="2"/>
  <c r="AB754" i="2"/>
  <c r="AF754" i="2"/>
  <c r="AE1459" i="2"/>
  <c r="AE1455" i="2"/>
  <c r="AE1451" i="2"/>
  <c r="AD1450" i="2"/>
  <c r="AE1447" i="2"/>
  <c r="AD1446" i="2"/>
  <c r="AE1443" i="2"/>
  <c r="AD1442" i="2"/>
  <c r="AE1439" i="2"/>
  <c r="AD1438" i="2"/>
  <c r="AE1435" i="2"/>
  <c r="AD1434" i="2"/>
  <c r="AE1431" i="2"/>
  <c r="AD1430" i="2"/>
  <c r="AE1427" i="2"/>
  <c r="AD1426" i="2"/>
  <c r="AE1423" i="2"/>
  <c r="AD1422" i="2"/>
  <c r="AE1419" i="2"/>
  <c r="AD1418" i="2"/>
  <c r="AE1415" i="2"/>
  <c r="AD1414" i="2"/>
  <c r="AE1411" i="2"/>
  <c r="AD1410" i="2"/>
  <c r="AE1407" i="2"/>
  <c r="AD1406" i="2"/>
  <c r="AE1403" i="2"/>
  <c r="AD1402" i="2"/>
  <c r="AE1399" i="2"/>
  <c r="AD1398" i="2"/>
  <c r="AE1395" i="2"/>
  <c r="AD1394" i="2"/>
  <c r="AE1391" i="2"/>
  <c r="AD1390" i="2"/>
  <c r="AE1387" i="2"/>
  <c r="AD1386" i="2"/>
  <c r="AE1383" i="2"/>
  <c r="AD1382" i="2"/>
  <c r="AE1379" i="2"/>
  <c r="AD1378" i="2"/>
  <c r="AE1375" i="2"/>
  <c r="AD1374" i="2"/>
  <c r="AE1371" i="2"/>
  <c r="AD1370" i="2"/>
  <c r="AE1367" i="2"/>
  <c r="AD1366" i="2"/>
  <c r="AE1363" i="2"/>
  <c r="AD1362" i="2"/>
  <c r="AE1359" i="2"/>
  <c r="AD1358" i="2"/>
  <c r="AE1355" i="2"/>
  <c r="AD1354" i="2"/>
  <c r="AE1351" i="2"/>
  <c r="AD1350" i="2"/>
  <c r="AE1347" i="2"/>
  <c r="AD1346" i="2"/>
  <c r="AE1343" i="2"/>
  <c r="AD1342" i="2"/>
  <c r="AE1339" i="2"/>
  <c r="AD1338" i="2"/>
  <c r="AE1335" i="2"/>
  <c r="AD1334" i="2"/>
  <c r="AE1331" i="2"/>
  <c r="AD1330" i="2"/>
  <c r="AE1327" i="2"/>
  <c r="AD1326" i="2"/>
  <c r="AE1323" i="2"/>
  <c r="AD1322" i="2"/>
  <c r="AE1319" i="2"/>
  <c r="AD1318" i="2"/>
  <c r="AE1315" i="2"/>
  <c r="AD1314" i="2"/>
  <c r="AE1311" i="2"/>
  <c r="AD1310" i="2"/>
  <c r="AE1307" i="2"/>
  <c r="AD1306" i="2"/>
  <c r="AE1303" i="2"/>
  <c r="AD1302" i="2"/>
  <c r="AE1299" i="2"/>
  <c r="AD1298" i="2"/>
  <c r="AE1295" i="2"/>
  <c r="AD1294" i="2"/>
  <c r="AE1291" i="2"/>
  <c r="AD1290" i="2"/>
  <c r="AE1287" i="2"/>
  <c r="AD1286" i="2"/>
  <c r="AE1283" i="2"/>
  <c r="AD1282" i="2"/>
  <c r="AE1279" i="2"/>
  <c r="AD1278" i="2"/>
  <c r="AE1275" i="2"/>
  <c r="AD1274" i="2"/>
  <c r="AE1271" i="2"/>
  <c r="AD1270" i="2"/>
  <c r="AE1267" i="2"/>
  <c r="AD1266" i="2"/>
  <c r="AE1263" i="2"/>
  <c r="AD1262" i="2"/>
  <c r="AE1259" i="2"/>
  <c r="AD1258" i="2"/>
  <c r="AE1255" i="2"/>
  <c r="AD1254" i="2"/>
  <c r="AE1251" i="2"/>
  <c r="AD1250" i="2"/>
  <c r="AE1247" i="2"/>
  <c r="AD1246" i="2"/>
  <c r="AE1243" i="2"/>
  <c r="AD1242" i="2"/>
  <c r="AE1239" i="2"/>
  <c r="AD1238" i="2"/>
  <c r="AF1236" i="2"/>
  <c r="AA1236" i="2"/>
  <c r="AB1234" i="2"/>
  <c r="AB1233" i="2"/>
  <c r="AC1232" i="2"/>
  <c r="AG1232" i="2" s="1"/>
  <c r="AA1230" i="2"/>
  <c r="AG1230" i="2" s="1"/>
  <c r="AE1230" i="2"/>
  <c r="Z1229" i="2"/>
  <c r="AG1229" i="2" s="1"/>
  <c r="AD1229" i="2"/>
  <c r="AE1224" i="2"/>
  <c r="Z1224" i="2"/>
  <c r="AG1224" i="2" s="1"/>
  <c r="AF1222" i="2"/>
  <c r="Z1222" i="2"/>
  <c r="AF1221" i="2"/>
  <c r="AA1221" i="2"/>
  <c r="AF1220" i="2"/>
  <c r="AA1220" i="2"/>
  <c r="AG1220" i="2" s="1"/>
  <c r="AB1218" i="2"/>
  <c r="AB1217" i="2"/>
  <c r="AC1216" i="2"/>
  <c r="AG1216" i="2"/>
  <c r="AA1214" i="2"/>
  <c r="AE1214" i="2"/>
  <c r="Z1213" i="2"/>
  <c r="AG1213" i="2" s="1"/>
  <c r="AD1213" i="2"/>
  <c r="AC1206" i="2"/>
  <c r="AB1201" i="2"/>
  <c r="AB1197" i="2"/>
  <c r="AB1193" i="2"/>
  <c r="AB1189" i="2"/>
  <c r="AB1185" i="2"/>
  <c r="AB1181" i="2"/>
  <c r="AB1177" i="2"/>
  <c r="AB1173" i="2"/>
  <c r="AB1169" i="2"/>
  <c r="AB1165" i="2"/>
  <c r="AB1161" i="2"/>
  <c r="AB1157" i="2"/>
  <c r="AB1153" i="2"/>
  <c r="AB1149" i="2"/>
  <c r="AB1145" i="2"/>
  <c r="AB1141" i="2"/>
  <c r="AB1137" i="2"/>
  <c r="AB1133" i="2"/>
  <c r="AB1129" i="2"/>
  <c r="AB1125" i="2"/>
  <c r="AB1121" i="2"/>
  <c r="AB1117" i="2"/>
  <c r="AB1113" i="2"/>
  <c r="AB1109" i="2"/>
  <c r="AB1105" i="2"/>
  <c r="AB1101" i="2"/>
  <c r="AB1097" i="2"/>
  <c r="AB1093" i="2"/>
  <c r="AB1089" i="2"/>
  <c r="AB1085" i="2"/>
  <c r="AB1081" i="2"/>
  <c r="AB1077" i="2"/>
  <c r="AB1073" i="2"/>
  <c r="AB1069" i="2"/>
  <c r="AB1065" i="2"/>
  <c r="AB1061" i="2"/>
  <c r="AB1057" i="2"/>
  <c r="AB1053" i="2"/>
  <c r="AB1049" i="2"/>
  <c r="AB1045" i="2"/>
  <c r="AB1041" i="2"/>
  <c r="AB1037" i="2"/>
  <c r="AB1033" i="2"/>
  <c r="AB1029" i="2"/>
  <c r="AB1025" i="2"/>
  <c r="AB1021" i="2"/>
  <c r="AB1017" i="2"/>
  <c r="AB1013" i="2"/>
  <c r="AB1009" i="2"/>
  <c r="AB1005" i="2"/>
  <c r="AB1001" i="2"/>
  <c r="AB997" i="2"/>
  <c r="AB993" i="2"/>
  <c r="AB989" i="2"/>
  <c r="AB985" i="2"/>
  <c r="AB981" i="2"/>
  <c r="AB977" i="2"/>
  <c r="AB973" i="2"/>
  <c r="AB969" i="2"/>
  <c r="AB965" i="2"/>
  <c r="AB961" i="2"/>
  <c r="AB957" i="2"/>
  <c r="AB953" i="2"/>
  <c r="AB949" i="2"/>
  <c r="AB945" i="2"/>
  <c r="AF937" i="2"/>
  <c r="AC933" i="2"/>
  <c r="Z933" i="2"/>
  <c r="AD933" i="2"/>
  <c r="AA933" i="2"/>
  <c r="AE933" i="2"/>
  <c r="AF921" i="2"/>
  <c r="AC917" i="2"/>
  <c r="Z917" i="2"/>
  <c r="AG917" i="2" s="1"/>
  <c r="AD917" i="2"/>
  <c r="AA917" i="2"/>
  <c r="AE917" i="2"/>
  <c r="AF905" i="2"/>
  <c r="AC901" i="2"/>
  <c r="Z901" i="2"/>
  <c r="AD901" i="2"/>
  <c r="AA901" i="2"/>
  <c r="AE901" i="2"/>
  <c r="AF889" i="2"/>
  <c r="Z851" i="2"/>
  <c r="AG851" i="2" s="1"/>
  <c r="AD851" i="2"/>
  <c r="AA851" i="2"/>
  <c r="AE851" i="2"/>
  <c r="AB851" i="2"/>
  <c r="AC851" i="2"/>
  <c r="AC818" i="2"/>
  <c r="Z818" i="2"/>
  <c r="AG818" i="2" s="1"/>
  <c r="AD818" i="2"/>
  <c r="AA818" i="2"/>
  <c r="AE818" i="2"/>
  <c r="AB818" i="2"/>
  <c r="AF818" i="2"/>
  <c r="AC786" i="2"/>
  <c r="Z786" i="2"/>
  <c r="AD786" i="2"/>
  <c r="AA786" i="2"/>
  <c r="AE786" i="2"/>
  <c r="AB786" i="2"/>
  <c r="AF786" i="2"/>
  <c r="AC770" i="2"/>
  <c r="Z770" i="2"/>
  <c r="AD770" i="2"/>
  <c r="AA770" i="2"/>
  <c r="AE770" i="2"/>
  <c r="AB770" i="2"/>
  <c r="AF770" i="2"/>
  <c r="AA888" i="2"/>
  <c r="AE888" i="2"/>
  <c r="Z887" i="2"/>
  <c r="AD887" i="2"/>
  <c r="AB879" i="2"/>
  <c r="AC878" i="2"/>
  <c r="Z878" i="2"/>
  <c r="AD878" i="2"/>
  <c r="Z871" i="2"/>
  <c r="AD871" i="2"/>
  <c r="AA871" i="2"/>
  <c r="AE871" i="2"/>
  <c r="AA870" i="2"/>
  <c r="AB863" i="2"/>
  <c r="AC862" i="2"/>
  <c r="Z862" i="2"/>
  <c r="AG862" i="2" s="1"/>
  <c r="AD862" i="2"/>
  <c r="AG861" i="2"/>
  <c r="Z855" i="2"/>
  <c r="AD855" i="2"/>
  <c r="AA855" i="2"/>
  <c r="AE855" i="2"/>
  <c r="AA854" i="2"/>
  <c r="AB847" i="2"/>
  <c r="AC846" i="2"/>
  <c r="Z846" i="2"/>
  <c r="AD846" i="2"/>
  <c r="AG845" i="2"/>
  <c r="AC838" i="2"/>
  <c r="Z838" i="2"/>
  <c r="AD838" i="2"/>
  <c r="AA838" i="2"/>
  <c r="AE838" i="2"/>
  <c r="AG825" i="2"/>
  <c r="AC822" i="2"/>
  <c r="Z822" i="2"/>
  <c r="AD822" i="2"/>
  <c r="AA822" i="2"/>
  <c r="AE822" i="2"/>
  <c r="AG809" i="2"/>
  <c r="AG808" i="2"/>
  <c r="AC806" i="2"/>
  <c r="Z806" i="2"/>
  <c r="AD806" i="2"/>
  <c r="AA806" i="2"/>
  <c r="AE806" i="2"/>
  <c r="AC790" i="2"/>
  <c r="Z790" i="2"/>
  <c r="AD790" i="2"/>
  <c r="AA790" i="2"/>
  <c r="AE790" i="2"/>
  <c r="AG777" i="2"/>
  <c r="AG776" i="2"/>
  <c r="AC774" i="2"/>
  <c r="Z774" i="2"/>
  <c r="AD774" i="2"/>
  <c r="AA774" i="2"/>
  <c r="AE774" i="2"/>
  <c r="AG761" i="2"/>
  <c r="AG760" i="2"/>
  <c r="AC758" i="2"/>
  <c r="Z758" i="2"/>
  <c r="AD758" i="2"/>
  <c r="AA758" i="2"/>
  <c r="AE758" i="2"/>
  <c r="AG745" i="2"/>
  <c r="AC742" i="2"/>
  <c r="Z742" i="2"/>
  <c r="AD742" i="2"/>
  <c r="AA742" i="2"/>
  <c r="AE742" i="2"/>
  <c r="AC726" i="2"/>
  <c r="AD726" i="2"/>
  <c r="Z726" i="2"/>
  <c r="AE726" i="2"/>
  <c r="AA726" i="2"/>
  <c r="AF726" i="2"/>
  <c r="Z723" i="2"/>
  <c r="AD723" i="2"/>
  <c r="AE723" i="2"/>
  <c r="AA723" i="2"/>
  <c r="AF723" i="2"/>
  <c r="AB723" i="2"/>
  <c r="AC703" i="2"/>
  <c r="Z703" i="2"/>
  <c r="AG703" i="2" s="1"/>
  <c r="AD703" i="2"/>
  <c r="AA703" i="2"/>
  <c r="AE703" i="2"/>
  <c r="AB703" i="2"/>
  <c r="AF703" i="2"/>
  <c r="AC699" i="2"/>
  <c r="Z699" i="2"/>
  <c r="AD699" i="2"/>
  <c r="AA699" i="2"/>
  <c r="AE699" i="2"/>
  <c r="AB699" i="2"/>
  <c r="AF699" i="2"/>
  <c r="AC695" i="2"/>
  <c r="Z695" i="2"/>
  <c r="AD695" i="2"/>
  <c r="AA695" i="2"/>
  <c r="AE695" i="2"/>
  <c r="AB695" i="2"/>
  <c r="AF695" i="2"/>
  <c r="AC691" i="2"/>
  <c r="Z691" i="2"/>
  <c r="AD691" i="2"/>
  <c r="AA691" i="2"/>
  <c r="AE691" i="2"/>
  <c r="AB691" i="2"/>
  <c r="AF691" i="2"/>
  <c r="AC687" i="2"/>
  <c r="Z687" i="2"/>
  <c r="AG687" i="2" s="1"/>
  <c r="AD687" i="2"/>
  <c r="AA687" i="2"/>
  <c r="AE687" i="2"/>
  <c r="AB687" i="2"/>
  <c r="AF687" i="2"/>
  <c r="AC683" i="2"/>
  <c r="Z683" i="2"/>
  <c r="AD683" i="2"/>
  <c r="AA683" i="2"/>
  <c r="AE683" i="2"/>
  <c r="AB683" i="2"/>
  <c r="AF683" i="2"/>
  <c r="AC679" i="2"/>
  <c r="Z679" i="2"/>
  <c r="AD679" i="2"/>
  <c r="AA679" i="2"/>
  <c r="AE679" i="2"/>
  <c r="AB679" i="2"/>
  <c r="AF679" i="2"/>
  <c r="AC675" i="2"/>
  <c r="Z675" i="2"/>
  <c r="AD675" i="2"/>
  <c r="AA675" i="2"/>
  <c r="AE675" i="2"/>
  <c r="AB675" i="2"/>
  <c r="AF675" i="2"/>
  <c r="AC671" i="2"/>
  <c r="Z671" i="2"/>
  <c r="AD671" i="2"/>
  <c r="AA671" i="2"/>
  <c r="AE671" i="2"/>
  <c r="AB671" i="2"/>
  <c r="AF671" i="2"/>
  <c r="AC667" i="2"/>
  <c r="Z667" i="2"/>
  <c r="AG667" i="2" s="1"/>
  <c r="AD667" i="2"/>
  <c r="AA667" i="2"/>
  <c r="AE667" i="2"/>
  <c r="AB667" i="2"/>
  <c r="AF667" i="2"/>
  <c r="AC663" i="2"/>
  <c r="Z663" i="2"/>
  <c r="AD663" i="2"/>
  <c r="AA663" i="2"/>
  <c r="AE663" i="2"/>
  <c r="AB663" i="2"/>
  <c r="AF663" i="2"/>
  <c r="AC659" i="2"/>
  <c r="Z659" i="2"/>
  <c r="AG659" i="2" s="1"/>
  <c r="AD659" i="2"/>
  <c r="AA659" i="2"/>
  <c r="AE659" i="2"/>
  <c r="AB659" i="2"/>
  <c r="AF659" i="2"/>
  <c r="AC655" i="2"/>
  <c r="Z655" i="2"/>
  <c r="AD655" i="2"/>
  <c r="AA655" i="2"/>
  <c r="AE655" i="2"/>
  <c r="AB655" i="2"/>
  <c r="AF655" i="2"/>
  <c r="AC651" i="2"/>
  <c r="Z651" i="2"/>
  <c r="AG651" i="2" s="1"/>
  <c r="AD651" i="2"/>
  <c r="AA651" i="2"/>
  <c r="AE651" i="2"/>
  <c r="AB651" i="2"/>
  <c r="AF651" i="2"/>
  <c r="AC647" i="2"/>
  <c r="Z647" i="2"/>
  <c r="AG647" i="2" s="1"/>
  <c r="AD647" i="2"/>
  <c r="AA647" i="2"/>
  <c r="AE647" i="2"/>
  <c r="AB647" i="2"/>
  <c r="AF647" i="2"/>
  <c r="AC643" i="2"/>
  <c r="Z643" i="2"/>
  <c r="AG643" i="2" s="1"/>
  <c r="AD643" i="2"/>
  <c r="AA643" i="2"/>
  <c r="AE643" i="2"/>
  <c r="AB643" i="2"/>
  <c r="AF643" i="2"/>
  <c r="AC639" i="2"/>
  <c r="Z639" i="2"/>
  <c r="AD639" i="2"/>
  <c r="AA639" i="2"/>
  <c r="AE639" i="2"/>
  <c r="AB639" i="2"/>
  <c r="AF639" i="2"/>
  <c r="AC635" i="2"/>
  <c r="Z635" i="2"/>
  <c r="AD635" i="2"/>
  <c r="AA635" i="2"/>
  <c r="AE635" i="2"/>
  <c r="AB635" i="2"/>
  <c r="AF635" i="2"/>
  <c r="AC631" i="2"/>
  <c r="Z631" i="2"/>
  <c r="AD631" i="2"/>
  <c r="AA631" i="2"/>
  <c r="AE631" i="2"/>
  <c r="AB631" i="2"/>
  <c r="AF631" i="2"/>
  <c r="AC627" i="2"/>
  <c r="Z627" i="2"/>
  <c r="AD627" i="2"/>
  <c r="AA627" i="2"/>
  <c r="AE627" i="2"/>
  <c r="AB627" i="2"/>
  <c r="AF627" i="2"/>
  <c r="AC623" i="2"/>
  <c r="Z623" i="2"/>
  <c r="AD623" i="2"/>
  <c r="AA623" i="2"/>
  <c r="AE623" i="2"/>
  <c r="AB623" i="2"/>
  <c r="AF623" i="2"/>
  <c r="AC619" i="2"/>
  <c r="Z619" i="2"/>
  <c r="AD619" i="2"/>
  <c r="AA619" i="2"/>
  <c r="AE619" i="2"/>
  <c r="AB619" i="2"/>
  <c r="AF619" i="2"/>
  <c r="AC615" i="2"/>
  <c r="Z615" i="2"/>
  <c r="AD615" i="2"/>
  <c r="AA615" i="2"/>
  <c r="AE615" i="2"/>
  <c r="AB615" i="2"/>
  <c r="AF615" i="2"/>
  <c r="AC611" i="2"/>
  <c r="Z611" i="2"/>
  <c r="AD611" i="2"/>
  <c r="AA611" i="2"/>
  <c r="AE611" i="2"/>
  <c r="AB611" i="2"/>
  <c r="AF611" i="2"/>
  <c r="AC607" i="2"/>
  <c r="Z607" i="2"/>
  <c r="AD607" i="2"/>
  <c r="AA607" i="2"/>
  <c r="AE607" i="2"/>
  <c r="AB607" i="2"/>
  <c r="AF607" i="2"/>
  <c r="AC603" i="2"/>
  <c r="Z603" i="2"/>
  <c r="AD603" i="2"/>
  <c r="AA603" i="2"/>
  <c r="AE603" i="2"/>
  <c r="AB603" i="2"/>
  <c r="AF603" i="2"/>
  <c r="AC599" i="2"/>
  <c r="Z599" i="2"/>
  <c r="AD599" i="2"/>
  <c r="AA599" i="2"/>
  <c r="AE599" i="2"/>
  <c r="AB599" i="2"/>
  <c r="AF599" i="2"/>
  <c r="AC595" i="2"/>
  <c r="Z595" i="2"/>
  <c r="AD595" i="2"/>
  <c r="AA595" i="2"/>
  <c r="AE595" i="2"/>
  <c r="AB595" i="2"/>
  <c r="AF595" i="2"/>
  <c r="AC591" i="2"/>
  <c r="Z591" i="2"/>
  <c r="AD591" i="2"/>
  <c r="AA591" i="2"/>
  <c r="AE591" i="2"/>
  <c r="AB591" i="2"/>
  <c r="AF591" i="2"/>
  <c r="AC587" i="2"/>
  <c r="Z587" i="2"/>
  <c r="AD587" i="2"/>
  <c r="AA587" i="2"/>
  <c r="AE587" i="2"/>
  <c r="AB587" i="2"/>
  <c r="AF587" i="2"/>
  <c r="AC583" i="2"/>
  <c r="Z583" i="2"/>
  <c r="AG583" i="2" s="1"/>
  <c r="AD583" i="2"/>
  <c r="AA583" i="2"/>
  <c r="AE583" i="2"/>
  <c r="AB583" i="2"/>
  <c r="AF583" i="2"/>
  <c r="AC579" i="2"/>
  <c r="Z579" i="2"/>
  <c r="AG579" i="2" s="1"/>
  <c r="AD579" i="2"/>
  <c r="AA579" i="2"/>
  <c r="AE579" i="2"/>
  <c r="AB579" i="2"/>
  <c r="AF579" i="2"/>
  <c r="AC558" i="2"/>
  <c r="Z558" i="2"/>
  <c r="AA558" i="2"/>
  <c r="AE558" i="2"/>
  <c r="AB558" i="2"/>
  <c r="AD558" i="2"/>
  <c r="AF558" i="2"/>
  <c r="AG1208" i="2"/>
  <c r="AE1202" i="2"/>
  <c r="AA1202" i="2"/>
  <c r="AG1200" i="2"/>
  <c r="AE1198" i="2"/>
  <c r="AA1198" i="2"/>
  <c r="AG1196" i="2"/>
  <c r="AE1194" i="2"/>
  <c r="AA1194" i="2"/>
  <c r="AG1194" i="2" s="1"/>
  <c r="AG1192" i="2"/>
  <c r="AE1190" i="2"/>
  <c r="AA1190" i="2"/>
  <c r="AG1188" i="2"/>
  <c r="AE1186" i="2"/>
  <c r="AA1186" i="2"/>
  <c r="AG1184" i="2"/>
  <c r="AE1182" i="2"/>
  <c r="AA1182" i="2"/>
  <c r="AG1182" i="2" s="1"/>
  <c r="AG1180" i="2"/>
  <c r="AE1178" i="2"/>
  <c r="AA1178" i="2"/>
  <c r="AG1176" i="2"/>
  <c r="AE1174" i="2"/>
  <c r="AA1174" i="2"/>
  <c r="AG1174" i="2" s="1"/>
  <c r="AG1172" i="2"/>
  <c r="AE1170" i="2"/>
  <c r="AA1170" i="2"/>
  <c r="AG1168" i="2"/>
  <c r="AE1166" i="2"/>
  <c r="AA1166" i="2"/>
  <c r="AG1166" i="2" s="1"/>
  <c r="AG1164" i="2"/>
  <c r="AE1162" i="2"/>
  <c r="AA1162" i="2"/>
  <c r="AG1162" i="2" s="1"/>
  <c r="AG1160" i="2"/>
  <c r="AE1158" i="2"/>
  <c r="AA1158" i="2"/>
  <c r="AG1156" i="2"/>
  <c r="AE1154" i="2"/>
  <c r="AA1154" i="2"/>
  <c r="AG1154" i="2" s="1"/>
  <c r="AG1152" i="2"/>
  <c r="AE1150" i="2"/>
  <c r="AA1150" i="2"/>
  <c r="AG1150" i="2" s="1"/>
  <c r="AG1148" i="2"/>
  <c r="AE1146" i="2"/>
  <c r="AA1146" i="2"/>
  <c r="AG1144" i="2"/>
  <c r="AE1142" i="2"/>
  <c r="AA1142" i="2"/>
  <c r="AG1142" i="2" s="1"/>
  <c r="AG1140" i="2"/>
  <c r="AE1138" i="2"/>
  <c r="AA1138" i="2"/>
  <c r="AG1138" i="2" s="1"/>
  <c r="AG1136" i="2"/>
  <c r="AE1134" i="2"/>
  <c r="AA1134" i="2"/>
  <c r="AG1132" i="2"/>
  <c r="AE1130" i="2"/>
  <c r="AA1130" i="2"/>
  <c r="AG1128" i="2"/>
  <c r="AE1126" i="2"/>
  <c r="AA1126" i="2"/>
  <c r="AG1126" i="2" s="1"/>
  <c r="AG1124" i="2"/>
  <c r="AE1122" i="2"/>
  <c r="AA1122" i="2"/>
  <c r="AG1120" i="2"/>
  <c r="AE1118" i="2"/>
  <c r="AA1118" i="2"/>
  <c r="AG1116" i="2"/>
  <c r="AE1114" i="2"/>
  <c r="AA1114" i="2"/>
  <c r="AG1114" i="2" s="1"/>
  <c r="AG1112" i="2"/>
  <c r="AE1110" i="2"/>
  <c r="AA1110" i="2"/>
  <c r="AG1110" i="2" s="1"/>
  <c r="AG1108" i="2"/>
  <c r="AE1106" i="2"/>
  <c r="AA1106" i="2"/>
  <c r="AG1106" i="2" s="1"/>
  <c r="AG1104" i="2"/>
  <c r="AE1102" i="2"/>
  <c r="AA1102" i="2"/>
  <c r="AG1100" i="2"/>
  <c r="AE1098" i="2"/>
  <c r="AA1098" i="2"/>
  <c r="AG1098" i="2" s="1"/>
  <c r="AG1096" i="2"/>
  <c r="AE1094" i="2"/>
  <c r="AA1094" i="2"/>
  <c r="AE1090" i="2"/>
  <c r="AA1090" i="2"/>
  <c r="AG1090" i="2" s="1"/>
  <c r="AG1088" i="2"/>
  <c r="AE1086" i="2"/>
  <c r="AA1086" i="2"/>
  <c r="AG1086" i="2" s="1"/>
  <c r="AG1084" i="2"/>
  <c r="AE1082" i="2"/>
  <c r="AA1082" i="2"/>
  <c r="AG1080" i="2"/>
  <c r="AE1078" i="2"/>
  <c r="AA1078" i="2"/>
  <c r="AG1078" i="2" s="1"/>
  <c r="AE1074" i="2"/>
  <c r="AA1074" i="2"/>
  <c r="AG1074" i="2" s="1"/>
  <c r="AG1072" i="2"/>
  <c r="AE1070" i="2"/>
  <c r="AA1070" i="2"/>
  <c r="AG1068" i="2"/>
  <c r="AE1066" i="2"/>
  <c r="AA1066" i="2"/>
  <c r="AG1066" i="2" s="1"/>
  <c r="AG1064" i="2"/>
  <c r="AE1062" i="2"/>
  <c r="AA1062" i="2"/>
  <c r="AG1062" i="2" s="1"/>
  <c r="AG1060" i="2"/>
  <c r="AE1058" i="2"/>
  <c r="AA1058" i="2"/>
  <c r="AG1056" i="2"/>
  <c r="AE1054" i="2"/>
  <c r="AA1054" i="2"/>
  <c r="AG1054" i="2" s="1"/>
  <c r="AG1052" i="2"/>
  <c r="AE1050" i="2"/>
  <c r="AA1050" i="2"/>
  <c r="AG1050" i="2" s="1"/>
  <c r="AG1048" i="2"/>
  <c r="AE1046" i="2"/>
  <c r="AA1046" i="2"/>
  <c r="AG1046" i="2" s="1"/>
  <c r="AG1044" i="2"/>
  <c r="AE1042" i="2"/>
  <c r="AA1042" i="2"/>
  <c r="AG1042" i="2" s="1"/>
  <c r="AG1040" i="2"/>
  <c r="AE1038" i="2"/>
  <c r="AA1038" i="2"/>
  <c r="AG1038" i="2" s="1"/>
  <c r="AG1036" i="2"/>
  <c r="AE1034" i="2"/>
  <c r="AA1034" i="2"/>
  <c r="AG1034" i="2" s="1"/>
  <c r="AG1032" i="2"/>
  <c r="AE1030" i="2"/>
  <c r="AA1030" i="2"/>
  <c r="AG1028" i="2"/>
  <c r="AE1026" i="2"/>
  <c r="AA1026" i="2"/>
  <c r="AG1026" i="2" s="1"/>
  <c r="AE1022" i="2"/>
  <c r="AA1022" i="2"/>
  <c r="AG1022" i="2" s="1"/>
  <c r="AG1020" i="2"/>
  <c r="AE1018" i="2"/>
  <c r="AA1018" i="2"/>
  <c r="AE1014" i="2"/>
  <c r="AA1014" i="2"/>
  <c r="AG1014" i="2" s="1"/>
  <c r="AG1012" i="2"/>
  <c r="AE1010" i="2"/>
  <c r="AA1010" i="2"/>
  <c r="AG1010" i="2" s="1"/>
  <c r="AE1006" i="2"/>
  <c r="AA1006" i="2"/>
  <c r="AG1006" i="2" s="1"/>
  <c r="AG1004" i="2"/>
  <c r="AE1002" i="2"/>
  <c r="AA1002" i="2"/>
  <c r="AG1002" i="2" s="1"/>
  <c r="AE998" i="2"/>
  <c r="AA998" i="2"/>
  <c r="AG996" i="2"/>
  <c r="AE994" i="2"/>
  <c r="AA994" i="2"/>
  <c r="AG994" i="2" s="1"/>
  <c r="AG992" i="2"/>
  <c r="AE990" i="2"/>
  <c r="AA990" i="2"/>
  <c r="AG988" i="2"/>
  <c r="AE986" i="2"/>
  <c r="AA986" i="2"/>
  <c r="AG986" i="2" s="1"/>
  <c r="AG984" i="2"/>
  <c r="AE982" i="2"/>
  <c r="AA982" i="2"/>
  <c r="AE978" i="2"/>
  <c r="AA978" i="2"/>
  <c r="AG978" i="2" s="1"/>
  <c r="AG976" i="2"/>
  <c r="AE974" i="2"/>
  <c r="AA974" i="2"/>
  <c r="AG972" i="2"/>
  <c r="AE970" i="2"/>
  <c r="AA970" i="2"/>
  <c r="AG970" i="2" s="1"/>
  <c r="AG968" i="2"/>
  <c r="AE966" i="2"/>
  <c r="AA966" i="2"/>
  <c r="AE962" i="2"/>
  <c r="AA962" i="2"/>
  <c r="AG962" i="2" s="1"/>
  <c r="AG960" i="2"/>
  <c r="AE958" i="2"/>
  <c r="AA958" i="2"/>
  <c r="AG956" i="2"/>
  <c r="AE954" i="2"/>
  <c r="AA954" i="2"/>
  <c r="AG952" i="2"/>
  <c r="AE950" i="2"/>
  <c r="AA950" i="2"/>
  <c r="AE946" i="2"/>
  <c r="AA946" i="2"/>
  <c r="AG946" i="2" s="1"/>
  <c r="AG944" i="2"/>
  <c r="AE942" i="2"/>
  <c r="AA942" i="2"/>
  <c r="AG940" i="2"/>
  <c r="AE938" i="2"/>
  <c r="AA938" i="2"/>
  <c r="AG938" i="2" s="1"/>
  <c r="AG936" i="2"/>
  <c r="AE934" i="2"/>
  <c r="AA934" i="2"/>
  <c r="AG934" i="2" s="1"/>
  <c r="AE930" i="2"/>
  <c r="AA930" i="2"/>
  <c r="AG928" i="2"/>
  <c r="AE926" i="2"/>
  <c r="AA926" i="2"/>
  <c r="AG926" i="2" s="1"/>
  <c r="AG924" i="2"/>
  <c r="AE922" i="2"/>
  <c r="AA922" i="2"/>
  <c r="AG922" i="2" s="1"/>
  <c r="AG920" i="2"/>
  <c r="AE918" i="2"/>
  <c r="AA918" i="2"/>
  <c r="AG918" i="2" s="1"/>
  <c r="AG916" i="2"/>
  <c r="AE914" i="2"/>
  <c r="AA914" i="2"/>
  <c r="AG914" i="2" s="1"/>
  <c r="AG912" i="2"/>
  <c r="AE910" i="2"/>
  <c r="AA910" i="2"/>
  <c r="AG910" i="2" s="1"/>
  <c r="AG908" i="2"/>
  <c r="AE906" i="2"/>
  <c r="AA906" i="2"/>
  <c r="AE902" i="2"/>
  <c r="AA902" i="2"/>
  <c r="AG902" i="2" s="1"/>
  <c r="AG900" i="2"/>
  <c r="AE898" i="2"/>
  <c r="AA898" i="2"/>
  <c r="AG898" i="2" s="1"/>
  <c r="AG896" i="2"/>
  <c r="AE894" i="2"/>
  <c r="AA894" i="2"/>
  <c r="AG894" i="2" s="1"/>
  <c r="AG892" i="2"/>
  <c r="AE890" i="2"/>
  <c r="AA890" i="2"/>
  <c r="AG890" i="2" s="1"/>
  <c r="AB888" i="2"/>
  <c r="AB887" i="2"/>
  <c r="AC886" i="2"/>
  <c r="AG886" i="2"/>
  <c r="AC882" i="2"/>
  <c r="Z882" i="2"/>
  <c r="AG882" i="2" s="1"/>
  <c r="AD882" i="2"/>
  <c r="AG881" i="2"/>
  <c r="AB878" i="2"/>
  <c r="Z875" i="2"/>
  <c r="AD875" i="2"/>
  <c r="AA875" i="2"/>
  <c r="AE875" i="2"/>
  <c r="AC871" i="2"/>
  <c r="AC866" i="2"/>
  <c r="Z866" i="2"/>
  <c r="AD866" i="2"/>
  <c r="AB862" i="2"/>
  <c r="Z859" i="2"/>
  <c r="AD859" i="2"/>
  <c r="AA859" i="2"/>
  <c r="AE859" i="2"/>
  <c r="AC855" i="2"/>
  <c r="AC850" i="2"/>
  <c r="Z850" i="2"/>
  <c r="AG850" i="2" s="1"/>
  <c r="AD850" i="2"/>
  <c r="AB846" i="2"/>
  <c r="Z843" i="2"/>
  <c r="AD843" i="2"/>
  <c r="AA843" i="2"/>
  <c r="AE843" i="2"/>
  <c r="AF838" i="2"/>
  <c r="AG829" i="2"/>
  <c r="AC826" i="2"/>
  <c r="Z826" i="2"/>
  <c r="AD826" i="2"/>
  <c r="AA826" i="2"/>
  <c r="AE826" i="2"/>
  <c r="AF822" i="2"/>
  <c r="AG813" i="2"/>
  <c r="AC810" i="2"/>
  <c r="Z810" i="2"/>
  <c r="AD810" i="2"/>
  <c r="AA810" i="2"/>
  <c r="AE810" i="2"/>
  <c r="AF806" i="2"/>
  <c r="AG797" i="2"/>
  <c r="AG796" i="2"/>
  <c r="AC794" i="2"/>
  <c r="Z794" i="2"/>
  <c r="AD794" i="2"/>
  <c r="AA794" i="2"/>
  <c r="AE794" i="2"/>
  <c r="AF790" i="2"/>
  <c r="AG781" i="2"/>
  <c r="AC778" i="2"/>
  <c r="Z778" i="2"/>
  <c r="AG778" i="2" s="1"/>
  <c r="AD778" i="2"/>
  <c r="AA778" i="2"/>
  <c r="AE778" i="2"/>
  <c r="AF774" i="2"/>
  <c r="AC762" i="2"/>
  <c r="Z762" i="2"/>
  <c r="AD762" i="2"/>
  <c r="AA762" i="2"/>
  <c r="AE762" i="2"/>
  <c r="AF758" i="2"/>
  <c r="AG749" i="2"/>
  <c r="AG748" i="2"/>
  <c r="AC746" i="2"/>
  <c r="Z746" i="2"/>
  <c r="AG746" i="2" s="1"/>
  <c r="AD746" i="2"/>
  <c r="AA746" i="2"/>
  <c r="AE746" i="2"/>
  <c r="AF742" i="2"/>
  <c r="Z739" i="2"/>
  <c r="AD739" i="2"/>
  <c r="AA739" i="2"/>
  <c r="AE739" i="2"/>
  <c r="AB739" i="2"/>
  <c r="AF739" i="2"/>
  <c r="AA724" i="2"/>
  <c r="AE724" i="2"/>
  <c r="AD724" i="2"/>
  <c r="Z724" i="2"/>
  <c r="AF724" i="2"/>
  <c r="AB724" i="2"/>
  <c r="AD1202" i="2"/>
  <c r="AD1198" i="2"/>
  <c r="AD1194" i="2"/>
  <c r="AD1190" i="2"/>
  <c r="AD1186" i="2"/>
  <c r="AD1182" i="2"/>
  <c r="AD1178" i="2"/>
  <c r="AD1174" i="2"/>
  <c r="AD1170" i="2"/>
  <c r="AD1166" i="2"/>
  <c r="AD1162" i="2"/>
  <c r="AD1158" i="2"/>
  <c r="AD1154" i="2"/>
  <c r="AD1150" i="2"/>
  <c r="AD1146" i="2"/>
  <c r="AD1142" i="2"/>
  <c r="AD1138" i="2"/>
  <c r="AD1134" i="2"/>
  <c r="AD1130" i="2"/>
  <c r="AD1126" i="2"/>
  <c r="AD1122" i="2"/>
  <c r="AD1118" i="2"/>
  <c r="AD1114" i="2"/>
  <c r="AD1110" i="2"/>
  <c r="AD1106" i="2"/>
  <c r="AD1102" i="2"/>
  <c r="AD1098" i="2"/>
  <c r="AD1094" i="2"/>
  <c r="AD1090" i="2"/>
  <c r="AD1086" i="2"/>
  <c r="AD1082" i="2"/>
  <c r="AD1078" i="2"/>
  <c r="AD1074" i="2"/>
  <c r="AD1070" i="2"/>
  <c r="AD1066" i="2"/>
  <c r="AD1062" i="2"/>
  <c r="AD1058" i="2"/>
  <c r="AD1054" i="2"/>
  <c r="AD1050" i="2"/>
  <c r="AD1046" i="2"/>
  <c r="AD1042" i="2"/>
  <c r="AD1038" i="2"/>
  <c r="AD1034" i="2"/>
  <c r="AD1030" i="2"/>
  <c r="AD1026" i="2"/>
  <c r="AD1022" i="2"/>
  <c r="AD1018" i="2"/>
  <c r="AD1014" i="2"/>
  <c r="AD1010" i="2"/>
  <c r="AD1006" i="2"/>
  <c r="AD1002" i="2"/>
  <c r="AD998" i="2"/>
  <c r="AD994" i="2"/>
  <c r="AD990" i="2"/>
  <c r="AD986" i="2"/>
  <c r="AD982" i="2"/>
  <c r="AD978" i="2"/>
  <c r="AD974" i="2"/>
  <c r="AD970" i="2"/>
  <c r="AD966" i="2"/>
  <c r="AD962" i="2"/>
  <c r="AD958" i="2"/>
  <c r="AD954" i="2"/>
  <c r="AD950" i="2"/>
  <c r="AD946" i="2"/>
  <c r="AD942" i="2"/>
  <c r="Z879" i="2"/>
  <c r="AD879" i="2"/>
  <c r="AA879" i="2"/>
  <c r="AE879" i="2"/>
  <c r="AC870" i="2"/>
  <c r="Z870" i="2"/>
  <c r="AD870" i="2"/>
  <c r="Z863" i="2"/>
  <c r="AG863" i="2" s="1"/>
  <c r="AD863" i="2"/>
  <c r="AA863" i="2"/>
  <c r="AE863" i="2"/>
  <c r="AC854" i="2"/>
  <c r="Z854" i="2"/>
  <c r="AD854" i="2"/>
  <c r="Z847" i="2"/>
  <c r="AD847" i="2"/>
  <c r="AA847" i="2"/>
  <c r="AE847" i="2"/>
  <c r="AC830" i="2"/>
  <c r="Z830" i="2"/>
  <c r="AD830" i="2"/>
  <c r="AA830" i="2"/>
  <c r="AE830" i="2"/>
  <c r="AC814" i="2"/>
  <c r="Z814" i="2"/>
  <c r="AD814" i="2"/>
  <c r="AA814" i="2"/>
  <c r="AE814" i="2"/>
  <c r="AC798" i="2"/>
  <c r="Z798" i="2"/>
  <c r="AD798" i="2"/>
  <c r="AA798" i="2"/>
  <c r="AE798" i="2"/>
  <c r="AC782" i="2"/>
  <c r="Z782" i="2"/>
  <c r="AD782" i="2"/>
  <c r="AA782" i="2"/>
  <c r="AE782" i="2"/>
  <c r="AC766" i="2"/>
  <c r="Z766" i="2"/>
  <c r="AG766" i="2" s="1"/>
  <c r="AD766" i="2"/>
  <c r="AA766" i="2"/>
  <c r="AE766" i="2"/>
  <c r="AC750" i="2"/>
  <c r="Z750" i="2"/>
  <c r="AD750" i="2"/>
  <c r="AA750" i="2"/>
  <c r="AE750" i="2"/>
  <c r="AB726" i="2"/>
  <c r="AC723" i="2"/>
  <c r="Z708" i="2"/>
  <c r="AD708" i="2"/>
  <c r="AA708" i="2"/>
  <c r="AE708" i="2"/>
  <c r="AB708" i="2"/>
  <c r="AC708" i="2"/>
  <c r="AC738" i="2"/>
  <c r="AA736" i="2"/>
  <c r="AE736" i="2"/>
  <c r="Z735" i="2"/>
  <c r="AD735" i="2"/>
  <c r="AC722" i="2"/>
  <c r="AA720" i="2"/>
  <c r="AE720" i="2"/>
  <c r="Z719" i="2"/>
  <c r="AD719" i="2"/>
  <c r="AA576" i="2"/>
  <c r="AE576" i="2"/>
  <c r="AC576" i="2"/>
  <c r="AF576" i="2"/>
  <c r="Z576" i="2"/>
  <c r="AG576" i="2" s="1"/>
  <c r="AB576" i="2"/>
  <c r="AE839" i="2"/>
  <c r="AA839" i="2"/>
  <c r="AG839" i="2" s="1"/>
  <c r="AE835" i="2"/>
  <c r="AA835" i="2"/>
  <c r="AE831" i="2"/>
  <c r="AA831" i="2"/>
  <c r="AG831" i="2" s="1"/>
  <c r="AE827" i="2"/>
  <c r="AA827" i="2"/>
  <c r="AE823" i="2"/>
  <c r="AA823" i="2"/>
  <c r="AG823" i="2" s="1"/>
  <c r="AE819" i="2"/>
  <c r="AA819" i="2"/>
  <c r="AG819" i="2" s="1"/>
  <c r="AE815" i="2"/>
  <c r="AA815" i="2"/>
  <c r="AG815" i="2" s="1"/>
  <c r="AE811" i="2"/>
  <c r="AA811" i="2"/>
  <c r="AG811" i="2" s="1"/>
  <c r="AE807" i="2"/>
  <c r="AA807" i="2"/>
  <c r="AG807" i="2" s="1"/>
  <c r="AE803" i="2"/>
  <c r="AA803" i="2"/>
  <c r="AE799" i="2"/>
  <c r="AA799" i="2"/>
  <c r="AG799" i="2" s="1"/>
  <c r="AE795" i="2"/>
  <c r="AA795" i="2"/>
  <c r="AG795" i="2" s="1"/>
  <c r="AE791" i="2"/>
  <c r="AA791" i="2"/>
  <c r="AE787" i="2"/>
  <c r="AA787" i="2"/>
  <c r="AG787" i="2" s="1"/>
  <c r="AE783" i="2"/>
  <c r="AA783" i="2"/>
  <c r="AG783" i="2" s="1"/>
  <c r="AE779" i="2"/>
  <c r="AA779" i="2"/>
  <c r="AE775" i="2"/>
  <c r="AA775" i="2"/>
  <c r="AG775" i="2" s="1"/>
  <c r="AE771" i="2"/>
  <c r="AA771" i="2"/>
  <c r="AG771" i="2" s="1"/>
  <c r="AE767" i="2"/>
  <c r="AA767" i="2"/>
  <c r="AG767" i="2" s="1"/>
  <c r="AE763" i="2"/>
  <c r="AA763" i="2"/>
  <c r="AG763" i="2" s="1"/>
  <c r="AE759" i="2"/>
  <c r="AA759" i="2"/>
  <c r="AE755" i="2"/>
  <c r="AA755" i="2"/>
  <c r="AG755" i="2" s="1"/>
  <c r="AE751" i="2"/>
  <c r="AA751" i="2"/>
  <c r="AG751" i="2" s="1"/>
  <c r="AE747" i="2"/>
  <c r="AA747" i="2"/>
  <c r="AG747" i="2" s="1"/>
  <c r="AE743" i="2"/>
  <c r="AA743" i="2"/>
  <c r="AF738" i="2"/>
  <c r="AA738" i="2"/>
  <c r="AB736" i="2"/>
  <c r="AB735" i="2"/>
  <c r="AC734" i="2"/>
  <c r="AA732" i="2"/>
  <c r="AE732" i="2"/>
  <c r="Z731" i="2"/>
  <c r="AG731" i="2" s="1"/>
  <c r="AD731" i="2"/>
  <c r="AF722" i="2"/>
  <c r="AA722" i="2"/>
  <c r="AB720" i="2"/>
  <c r="AB719" i="2"/>
  <c r="AC718" i="2"/>
  <c r="AA716" i="2"/>
  <c r="AE716" i="2"/>
  <c r="Z715" i="2"/>
  <c r="AD715" i="2"/>
  <c r="AC711" i="2"/>
  <c r="Z711" i="2"/>
  <c r="AD711" i="2"/>
  <c r="AC707" i="2"/>
  <c r="Z707" i="2"/>
  <c r="AG707" i="2" s="1"/>
  <c r="AD707" i="2"/>
  <c r="AA568" i="2"/>
  <c r="AE568" i="2"/>
  <c r="AC568" i="2"/>
  <c r="AF568" i="2"/>
  <c r="Z568" i="2"/>
  <c r="AB568" i="2"/>
  <c r="AC546" i="2"/>
  <c r="Z546" i="2"/>
  <c r="AD546" i="2"/>
  <c r="AA546" i="2"/>
  <c r="AE546" i="2"/>
  <c r="AB546" i="2"/>
  <c r="AF546" i="2"/>
  <c r="AC518" i="2"/>
  <c r="Z518" i="2"/>
  <c r="AG518" i="2" s="1"/>
  <c r="AD518" i="2"/>
  <c r="AA518" i="2"/>
  <c r="AE518" i="2"/>
  <c r="AB518" i="2"/>
  <c r="AF518" i="2"/>
  <c r="AC358" i="2"/>
  <c r="Z358" i="2"/>
  <c r="AD358" i="2"/>
  <c r="AF358" i="2"/>
  <c r="AA358" i="2"/>
  <c r="AB358" i="2"/>
  <c r="AE358" i="2"/>
  <c r="AE884" i="2"/>
  <c r="AE880" i="2"/>
  <c r="AE876" i="2"/>
  <c r="AE872" i="2"/>
  <c r="AE868" i="2"/>
  <c r="AE864" i="2"/>
  <c r="AE860" i="2"/>
  <c r="AE856" i="2"/>
  <c r="AE852" i="2"/>
  <c r="AE848" i="2"/>
  <c r="AE844" i="2"/>
  <c r="AE840" i="2"/>
  <c r="AD839" i="2"/>
  <c r="AE836" i="2"/>
  <c r="AD835" i="2"/>
  <c r="AE832" i="2"/>
  <c r="AD831" i="2"/>
  <c r="AE828" i="2"/>
  <c r="AD827" i="2"/>
  <c r="AE824" i="2"/>
  <c r="AD823" i="2"/>
  <c r="AE820" i="2"/>
  <c r="AD819" i="2"/>
  <c r="AE816" i="2"/>
  <c r="AD815" i="2"/>
  <c r="AE812" i="2"/>
  <c r="AD811" i="2"/>
  <c r="AE808" i="2"/>
  <c r="AD807" i="2"/>
  <c r="AE804" i="2"/>
  <c r="AD803" i="2"/>
  <c r="AE800" i="2"/>
  <c r="AD799" i="2"/>
  <c r="AE796" i="2"/>
  <c r="AD795" i="2"/>
  <c r="AE792" i="2"/>
  <c r="AD791" i="2"/>
  <c r="AE788" i="2"/>
  <c r="AD787" i="2"/>
  <c r="AE784" i="2"/>
  <c r="AD783" i="2"/>
  <c r="AE780" i="2"/>
  <c r="AD779" i="2"/>
  <c r="AE776" i="2"/>
  <c r="AD775" i="2"/>
  <c r="AE772" i="2"/>
  <c r="AD771" i="2"/>
  <c r="AE768" i="2"/>
  <c r="AD767" i="2"/>
  <c r="AE764" i="2"/>
  <c r="AD763" i="2"/>
  <c r="AE760" i="2"/>
  <c r="AD759" i="2"/>
  <c r="AE756" i="2"/>
  <c r="AD755" i="2"/>
  <c r="AE752" i="2"/>
  <c r="AD751" i="2"/>
  <c r="AE748" i="2"/>
  <c r="AD747" i="2"/>
  <c r="AE744" i="2"/>
  <c r="AD743" i="2"/>
  <c r="AE740" i="2"/>
  <c r="AE738" i="2"/>
  <c r="Z738" i="2"/>
  <c r="AF736" i="2"/>
  <c r="Z736" i="2"/>
  <c r="AF735" i="2"/>
  <c r="AA735" i="2"/>
  <c r="AF734" i="2"/>
  <c r="AA734" i="2"/>
  <c r="AG734" i="2" s="1"/>
  <c r="AG732" i="2"/>
  <c r="AB732" i="2"/>
  <c r="AB731" i="2"/>
  <c r="AC730" i="2"/>
  <c r="AA728" i="2"/>
  <c r="AG728" i="2" s="1"/>
  <c r="AE728" i="2"/>
  <c r="Z727" i="2"/>
  <c r="AG727" i="2" s="1"/>
  <c r="AD727" i="2"/>
  <c r="AE722" i="2"/>
  <c r="Z722" i="2"/>
  <c r="AG722" i="2" s="1"/>
  <c r="AF720" i="2"/>
  <c r="Z720" i="2"/>
  <c r="AF719" i="2"/>
  <c r="AA719" i="2"/>
  <c r="AF718" i="2"/>
  <c r="AA718" i="2"/>
  <c r="AB716" i="2"/>
  <c r="AB715" i="2"/>
  <c r="AC714" i="2"/>
  <c r="AG714" i="2"/>
  <c r="AA712" i="2"/>
  <c r="AG712" i="2" s="1"/>
  <c r="AE712" i="2"/>
  <c r="AB711" i="2"/>
  <c r="AB707" i="2"/>
  <c r="AD576" i="2"/>
  <c r="AA560" i="2"/>
  <c r="AE560" i="2"/>
  <c r="AC560" i="2"/>
  <c r="AF560" i="2"/>
  <c r="Z560" i="2"/>
  <c r="AB560" i="2"/>
  <c r="AC450" i="2"/>
  <c r="Z450" i="2"/>
  <c r="AD450" i="2"/>
  <c r="AA450" i="2"/>
  <c r="AE450" i="2"/>
  <c r="AB450" i="2"/>
  <c r="AF450" i="2"/>
  <c r="Z367" i="2"/>
  <c r="AD367" i="2"/>
  <c r="AA367" i="2"/>
  <c r="AE367" i="2"/>
  <c r="AB367" i="2"/>
  <c r="AC367" i="2"/>
  <c r="AF367" i="2"/>
  <c r="AC574" i="2"/>
  <c r="AA574" i="2"/>
  <c r="AE574" i="2"/>
  <c r="AC566" i="2"/>
  <c r="AA566" i="2"/>
  <c r="AE566" i="2"/>
  <c r="AC550" i="2"/>
  <c r="Z550" i="2"/>
  <c r="AG550" i="2" s="1"/>
  <c r="AD550" i="2"/>
  <c r="AA550" i="2"/>
  <c r="AE550" i="2"/>
  <c r="AC542" i="2"/>
  <c r="Z542" i="2"/>
  <c r="AD542" i="2"/>
  <c r="AA542" i="2"/>
  <c r="AE542" i="2"/>
  <c r="AC534" i="2"/>
  <c r="Z534" i="2"/>
  <c r="AG534" i="2" s="1"/>
  <c r="AD534" i="2"/>
  <c r="AA534" i="2"/>
  <c r="AE534" i="2"/>
  <c r="AC522" i="2"/>
  <c r="Z522" i="2"/>
  <c r="AD522" i="2"/>
  <c r="AA522" i="2"/>
  <c r="AE522" i="2"/>
  <c r="AC510" i="2"/>
  <c r="Z510" i="2"/>
  <c r="AD510" i="2"/>
  <c r="AA510" i="2"/>
  <c r="AE510" i="2"/>
  <c r="AC502" i="2"/>
  <c r="Z502" i="2"/>
  <c r="AG502" i="2" s="1"/>
  <c r="AD502" i="2"/>
  <c r="AA502" i="2"/>
  <c r="AE502" i="2"/>
  <c r="AC490" i="2"/>
  <c r="Z490" i="2"/>
  <c r="AD490" i="2"/>
  <c r="AA490" i="2"/>
  <c r="AE490" i="2"/>
  <c r="AC478" i="2"/>
  <c r="Z478" i="2"/>
  <c r="AD478" i="2"/>
  <c r="AA478" i="2"/>
  <c r="AE478" i="2"/>
  <c r="AC470" i="2"/>
  <c r="Z470" i="2"/>
  <c r="AD470" i="2"/>
  <c r="AA470" i="2"/>
  <c r="AE470" i="2"/>
  <c r="AC462" i="2"/>
  <c r="Z462" i="2"/>
  <c r="AD462" i="2"/>
  <c r="AA462" i="2"/>
  <c r="AE462" i="2"/>
  <c r="AC446" i="2"/>
  <c r="Z446" i="2"/>
  <c r="AD446" i="2"/>
  <c r="AA446" i="2"/>
  <c r="AE446" i="2"/>
  <c r="Z383" i="2"/>
  <c r="AD383" i="2"/>
  <c r="AA383" i="2"/>
  <c r="AE383" i="2"/>
  <c r="AB383" i="2"/>
  <c r="AC383" i="2"/>
  <c r="AC374" i="2"/>
  <c r="Z374" i="2"/>
  <c r="AD374" i="2"/>
  <c r="AF374" i="2"/>
  <c r="AA374" i="2"/>
  <c r="AB374" i="2"/>
  <c r="AC310" i="2"/>
  <c r="Z310" i="2"/>
  <c r="AG310" i="2" s="1"/>
  <c r="AD310" i="2"/>
  <c r="AA310" i="2"/>
  <c r="AE310" i="2"/>
  <c r="AB310" i="2"/>
  <c r="AF310" i="2"/>
  <c r="Z173" i="2"/>
  <c r="AG173" i="2" s="1"/>
  <c r="AD173" i="2"/>
  <c r="AA173" i="2"/>
  <c r="AE173" i="2"/>
  <c r="AB173" i="2"/>
  <c r="AC173" i="2"/>
  <c r="AF173" i="2"/>
  <c r="AG710" i="2"/>
  <c r="AG706" i="2"/>
  <c r="AE704" i="2"/>
  <c r="AA704" i="2"/>
  <c r="AG702" i="2"/>
  <c r="AE700" i="2"/>
  <c r="AA700" i="2"/>
  <c r="AG700" i="2" s="1"/>
  <c r="AG698" i="2"/>
  <c r="AE696" i="2"/>
  <c r="AA696" i="2"/>
  <c r="AG694" i="2"/>
  <c r="AE692" i="2"/>
  <c r="AA692" i="2"/>
  <c r="AG690" i="2"/>
  <c r="AE688" i="2"/>
  <c r="AA688" i="2"/>
  <c r="AG686" i="2"/>
  <c r="AE684" i="2"/>
  <c r="AA684" i="2"/>
  <c r="AG684" i="2" s="1"/>
  <c r="AG682" i="2"/>
  <c r="AE680" i="2"/>
  <c r="AA680" i="2"/>
  <c r="AG678" i="2"/>
  <c r="AE676" i="2"/>
  <c r="AA676" i="2"/>
  <c r="AG676" i="2" s="1"/>
  <c r="AG674" i="2"/>
  <c r="AE672" i="2"/>
  <c r="AA672" i="2"/>
  <c r="AG672" i="2" s="1"/>
  <c r="AG670" i="2"/>
  <c r="AE668" i="2"/>
  <c r="AA668" i="2"/>
  <c r="AG668" i="2" s="1"/>
  <c r="AG666" i="2"/>
  <c r="AE664" i="2"/>
  <c r="AA664" i="2"/>
  <c r="AG664" i="2" s="1"/>
  <c r="AG662" i="2"/>
  <c r="AE660" i="2"/>
  <c r="AA660" i="2"/>
  <c r="AG660" i="2" s="1"/>
  <c r="AG658" i="2"/>
  <c r="AE656" i="2"/>
  <c r="AA656" i="2"/>
  <c r="AG656" i="2" s="1"/>
  <c r="AG654" i="2"/>
  <c r="AE652" i="2"/>
  <c r="AA652" i="2"/>
  <c r="AG650" i="2"/>
  <c r="AE648" i="2"/>
  <c r="AA648" i="2"/>
  <c r="AG646" i="2"/>
  <c r="AE644" i="2"/>
  <c r="AA644" i="2"/>
  <c r="AG642" i="2"/>
  <c r="AE640" i="2"/>
  <c r="AA640" i="2"/>
  <c r="AG640" i="2" s="1"/>
  <c r="AG638" i="2"/>
  <c r="AE636" i="2"/>
  <c r="AA636" i="2"/>
  <c r="AG634" i="2"/>
  <c r="AE632" i="2"/>
  <c r="AA632" i="2"/>
  <c r="AG630" i="2"/>
  <c r="AE628" i="2"/>
  <c r="AA628" i="2"/>
  <c r="AG628" i="2" s="1"/>
  <c r="AG626" i="2"/>
  <c r="AE624" i="2"/>
  <c r="AA624" i="2"/>
  <c r="AG624" i="2" s="1"/>
  <c r="AG622" i="2"/>
  <c r="AE620" i="2"/>
  <c r="AA620" i="2"/>
  <c r="AG618" i="2"/>
  <c r="AE616" i="2"/>
  <c r="AA616" i="2"/>
  <c r="AG614" i="2"/>
  <c r="AE612" i="2"/>
  <c r="AA612" i="2"/>
  <c r="AG612" i="2" s="1"/>
  <c r="AG610" i="2"/>
  <c r="AE608" i="2"/>
  <c r="AA608" i="2"/>
  <c r="AG608" i="2" s="1"/>
  <c r="AG606" i="2"/>
  <c r="AE604" i="2"/>
  <c r="AA604" i="2"/>
  <c r="AG604" i="2" s="1"/>
  <c r="AG602" i="2"/>
  <c r="AE600" i="2"/>
  <c r="AA600" i="2"/>
  <c r="AG600" i="2" s="1"/>
  <c r="AG598" i="2"/>
  <c r="AE596" i="2"/>
  <c r="AA596" i="2"/>
  <c r="AG596" i="2" s="1"/>
  <c r="AG594" i="2"/>
  <c r="AE592" i="2"/>
  <c r="AA592" i="2"/>
  <c r="AG592" i="2" s="1"/>
  <c r="AG590" i="2"/>
  <c r="AE588" i="2"/>
  <c r="AA588" i="2"/>
  <c r="AG588" i="2" s="1"/>
  <c r="AG586" i="2"/>
  <c r="AE584" i="2"/>
  <c r="AA584" i="2"/>
  <c r="AG582" i="2"/>
  <c r="AE580" i="2"/>
  <c r="AA580" i="2"/>
  <c r="AG578" i="2"/>
  <c r="AB574" i="2"/>
  <c r="AA572" i="2"/>
  <c r="AG572" i="2" s="1"/>
  <c r="AE572" i="2"/>
  <c r="AC572" i="2"/>
  <c r="AB566" i="2"/>
  <c r="AA564" i="2"/>
  <c r="AG564" i="2" s="1"/>
  <c r="AE564" i="2"/>
  <c r="AC564" i="2"/>
  <c r="AF550" i="2"/>
  <c r="AF542" i="2"/>
  <c r="AF534" i="2"/>
  <c r="AF522" i="2"/>
  <c r="AF510" i="2"/>
  <c r="AF502" i="2"/>
  <c r="AC498" i="2"/>
  <c r="Z498" i="2"/>
  <c r="AD498" i="2"/>
  <c r="AA498" i="2"/>
  <c r="AE498" i="2"/>
  <c r="AF490" i="2"/>
  <c r="AC482" i="2"/>
  <c r="Z482" i="2"/>
  <c r="AG482" i="2" s="1"/>
  <c r="AD482" i="2"/>
  <c r="AA482" i="2"/>
  <c r="AE482" i="2"/>
  <c r="AF478" i="2"/>
  <c r="AF470" i="2"/>
  <c r="AF462" i="2"/>
  <c r="AC458" i="2"/>
  <c r="Z458" i="2"/>
  <c r="AD458" i="2"/>
  <c r="AA458" i="2"/>
  <c r="AE458" i="2"/>
  <c r="AG457" i="2"/>
  <c r="AF446" i="2"/>
  <c r="AC442" i="2"/>
  <c r="Z442" i="2"/>
  <c r="AG442" i="2" s="1"/>
  <c r="AD442" i="2"/>
  <c r="AA442" i="2"/>
  <c r="AE442" i="2"/>
  <c r="AC438" i="2"/>
  <c r="Z438" i="2"/>
  <c r="AD438" i="2"/>
  <c r="AA438" i="2"/>
  <c r="AE438" i="2"/>
  <c r="AC434" i="2"/>
  <c r="Z434" i="2"/>
  <c r="AD434" i="2"/>
  <c r="AA434" i="2"/>
  <c r="AE434" i="2"/>
  <c r="AC430" i="2"/>
  <c r="Z430" i="2"/>
  <c r="AD430" i="2"/>
  <c r="AA430" i="2"/>
  <c r="AE430" i="2"/>
  <c r="AG425" i="2"/>
  <c r="AG421" i="2"/>
  <c r="AG413" i="2"/>
  <c r="AG409" i="2"/>
  <c r="AG405" i="2"/>
  <c r="AG397" i="2"/>
  <c r="AG393" i="2"/>
  <c r="AG389" i="2"/>
  <c r="Z189" i="2"/>
  <c r="AD189" i="2"/>
  <c r="AA189" i="2"/>
  <c r="AE189" i="2"/>
  <c r="AB189" i="2"/>
  <c r="AC189" i="2"/>
  <c r="AF189" i="2"/>
  <c r="AD704" i="2"/>
  <c r="AD700" i="2"/>
  <c r="AD696" i="2"/>
  <c r="AD692" i="2"/>
  <c r="AD688" i="2"/>
  <c r="AD684" i="2"/>
  <c r="AD680" i="2"/>
  <c r="AD676" i="2"/>
  <c r="AD672" i="2"/>
  <c r="AD668" i="2"/>
  <c r="AD664" i="2"/>
  <c r="AD660" i="2"/>
  <c r="AD656" i="2"/>
  <c r="AD652" i="2"/>
  <c r="AD648" i="2"/>
  <c r="AD644" i="2"/>
  <c r="AD640" i="2"/>
  <c r="AD636" i="2"/>
  <c r="AD632" i="2"/>
  <c r="AD628" i="2"/>
  <c r="AD624" i="2"/>
  <c r="AD620" i="2"/>
  <c r="AD616" i="2"/>
  <c r="AD612" i="2"/>
  <c r="AD608" i="2"/>
  <c r="AD604" i="2"/>
  <c r="AD600" i="2"/>
  <c r="AD596" i="2"/>
  <c r="AD592" i="2"/>
  <c r="AD588" i="2"/>
  <c r="AD584" i="2"/>
  <c r="AD580" i="2"/>
  <c r="Z574" i="2"/>
  <c r="AC570" i="2"/>
  <c r="AG570" i="2"/>
  <c r="AA570" i="2"/>
  <c r="AE570" i="2"/>
  <c r="Z566" i="2"/>
  <c r="AC562" i="2"/>
  <c r="AA562" i="2"/>
  <c r="AG562" i="2" s="1"/>
  <c r="AE562" i="2"/>
  <c r="AC554" i="2"/>
  <c r="Z554" i="2"/>
  <c r="AD554" i="2"/>
  <c r="AA554" i="2"/>
  <c r="AE554" i="2"/>
  <c r="AB550" i="2"/>
  <c r="AB542" i="2"/>
  <c r="AC538" i="2"/>
  <c r="Z538" i="2"/>
  <c r="AD538" i="2"/>
  <c r="AA538" i="2"/>
  <c r="AE538" i="2"/>
  <c r="AB534" i="2"/>
  <c r="AC526" i="2"/>
  <c r="Z526" i="2"/>
  <c r="AD526" i="2"/>
  <c r="AA526" i="2"/>
  <c r="AE526" i="2"/>
  <c r="AB522" i="2"/>
  <c r="AC514" i="2"/>
  <c r="Z514" i="2"/>
  <c r="AD514" i="2"/>
  <c r="AA514" i="2"/>
  <c r="AE514" i="2"/>
  <c r="AB510" i="2"/>
  <c r="AC506" i="2"/>
  <c r="Z506" i="2"/>
  <c r="AD506" i="2"/>
  <c r="AA506" i="2"/>
  <c r="AE506" i="2"/>
  <c r="AB502" i="2"/>
  <c r="AC494" i="2"/>
  <c r="Z494" i="2"/>
  <c r="AD494" i="2"/>
  <c r="AA494" i="2"/>
  <c r="AE494" i="2"/>
  <c r="AB490" i="2"/>
  <c r="AC486" i="2"/>
  <c r="Z486" i="2"/>
  <c r="AG486" i="2" s="1"/>
  <c r="AD486" i="2"/>
  <c r="AA486" i="2"/>
  <c r="AE486" i="2"/>
  <c r="AB478" i="2"/>
  <c r="AC474" i="2"/>
  <c r="Z474" i="2"/>
  <c r="AD474" i="2"/>
  <c r="AA474" i="2"/>
  <c r="AE474" i="2"/>
  <c r="AB470" i="2"/>
  <c r="AC466" i="2"/>
  <c r="Z466" i="2"/>
  <c r="AD466" i="2"/>
  <c r="AA466" i="2"/>
  <c r="AE466" i="2"/>
  <c r="AB462" i="2"/>
  <c r="AC454" i="2"/>
  <c r="Z454" i="2"/>
  <c r="AD454" i="2"/>
  <c r="AA454" i="2"/>
  <c r="AE454" i="2"/>
  <c r="AG453" i="2"/>
  <c r="AB446" i="2"/>
  <c r="AC426" i="2"/>
  <c r="Z426" i="2"/>
  <c r="AD426" i="2"/>
  <c r="AA426" i="2"/>
  <c r="AE426" i="2"/>
  <c r="AC422" i="2"/>
  <c r="Z422" i="2"/>
  <c r="AD422" i="2"/>
  <c r="AA422" i="2"/>
  <c r="AE422" i="2"/>
  <c r="AC418" i="2"/>
  <c r="Z418" i="2"/>
  <c r="AD418" i="2"/>
  <c r="AA418" i="2"/>
  <c r="AE418" i="2"/>
  <c r="AC414" i="2"/>
  <c r="Z414" i="2"/>
  <c r="AD414" i="2"/>
  <c r="AA414" i="2"/>
  <c r="AE414" i="2"/>
  <c r="AC410" i="2"/>
  <c r="Z410" i="2"/>
  <c r="AD410" i="2"/>
  <c r="AA410" i="2"/>
  <c r="AE410" i="2"/>
  <c r="AC406" i="2"/>
  <c r="Z406" i="2"/>
  <c r="AD406" i="2"/>
  <c r="AA406" i="2"/>
  <c r="AE406" i="2"/>
  <c r="AC402" i="2"/>
  <c r="Z402" i="2"/>
  <c r="AD402" i="2"/>
  <c r="AA402" i="2"/>
  <c r="AE402" i="2"/>
  <c r="AC398" i="2"/>
  <c r="Z398" i="2"/>
  <c r="AG398" i="2" s="1"/>
  <c r="AD398" i="2"/>
  <c r="AA398" i="2"/>
  <c r="AE398" i="2"/>
  <c r="AC394" i="2"/>
  <c r="Z394" i="2"/>
  <c r="AG394" i="2" s="1"/>
  <c r="AD394" i="2"/>
  <c r="AA394" i="2"/>
  <c r="AE394" i="2"/>
  <c r="AC390" i="2"/>
  <c r="Z390" i="2"/>
  <c r="AD390" i="2"/>
  <c r="AA390" i="2"/>
  <c r="AE390" i="2"/>
  <c r="AC386" i="2"/>
  <c r="Z386" i="2"/>
  <c r="AD386" i="2"/>
  <c r="AA386" i="2"/>
  <c r="AE386" i="2"/>
  <c r="Z205" i="2"/>
  <c r="AD205" i="2"/>
  <c r="AA205" i="2"/>
  <c r="AE205" i="2"/>
  <c r="AB205" i="2"/>
  <c r="AC205" i="2"/>
  <c r="AF205" i="2"/>
  <c r="AG556" i="2"/>
  <c r="AC556" i="2"/>
  <c r="AG552" i="2"/>
  <c r="AC552" i="2"/>
  <c r="AG548" i="2"/>
  <c r="AC548" i="2"/>
  <c r="AG544" i="2"/>
  <c r="AC544" i="2"/>
  <c r="AG540" i="2"/>
  <c r="AC540" i="2"/>
  <c r="AG536" i="2"/>
  <c r="AC536" i="2"/>
  <c r="AG532" i="2"/>
  <c r="AC532" i="2"/>
  <c r="AG528" i="2"/>
  <c r="AC528" i="2"/>
  <c r="AC524" i="2"/>
  <c r="AG524" i="2" s="1"/>
  <c r="AG520" i="2"/>
  <c r="AC520" i="2"/>
  <c r="AG516" i="2"/>
  <c r="AC516" i="2"/>
  <c r="AG512" i="2"/>
  <c r="AC512" i="2"/>
  <c r="AG508" i="2"/>
  <c r="AC508" i="2"/>
  <c r="AC504" i="2"/>
  <c r="AG500" i="2"/>
  <c r="AC500" i="2"/>
  <c r="AC496" i="2"/>
  <c r="AG492" i="2"/>
  <c r="AC492" i="2"/>
  <c r="AG488" i="2"/>
  <c r="AC488" i="2"/>
  <c r="AG484" i="2"/>
  <c r="AC484" i="2"/>
  <c r="AG480" i="2"/>
  <c r="AC480" i="2"/>
  <c r="AC476" i="2"/>
  <c r="AG472" i="2"/>
  <c r="AC472" i="2"/>
  <c r="AG468" i="2"/>
  <c r="AC468" i="2"/>
  <c r="AG464" i="2"/>
  <c r="AC464" i="2"/>
  <c r="AG460" i="2"/>
  <c r="AC460" i="2"/>
  <c r="AC456" i="2"/>
  <c r="AG452" i="2"/>
  <c r="AC452" i="2"/>
  <c r="AG448" i="2"/>
  <c r="AC448" i="2"/>
  <c r="AG444" i="2"/>
  <c r="AC444" i="2"/>
  <c r="AD441" i="2"/>
  <c r="AG440" i="2"/>
  <c r="AC440" i="2"/>
  <c r="AD437" i="2"/>
  <c r="AG436" i="2"/>
  <c r="AC436" i="2"/>
  <c r="AD433" i="2"/>
  <c r="AG432" i="2"/>
  <c r="AC432" i="2"/>
  <c r="AG428" i="2"/>
  <c r="AC428" i="2"/>
  <c r="AD425" i="2"/>
  <c r="AG424" i="2"/>
  <c r="AC424" i="2"/>
  <c r="AD421" i="2"/>
  <c r="AG420" i="2"/>
  <c r="AC420" i="2"/>
  <c r="AD417" i="2"/>
  <c r="AG417" i="2" s="1"/>
  <c r="AC416" i="2"/>
  <c r="AD413" i="2"/>
  <c r="AG412" i="2"/>
  <c r="AC412" i="2"/>
  <c r="AD409" i="2"/>
  <c r="AC408" i="2"/>
  <c r="AD405" i="2"/>
  <c r="AG404" i="2"/>
  <c r="AC404" i="2"/>
  <c r="AD401" i="2"/>
  <c r="AC400" i="2"/>
  <c r="AD397" i="2"/>
  <c r="AG396" i="2"/>
  <c r="AC396" i="2"/>
  <c r="AD393" i="2"/>
  <c r="AG392" i="2"/>
  <c r="AC392" i="2"/>
  <c r="AD389" i="2"/>
  <c r="AG388" i="2"/>
  <c r="AC388" i="2"/>
  <c r="Z379" i="2"/>
  <c r="AD379" i="2"/>
  <c r="AA379" i="2"/>
  <c r="AE379" i="2"/>
  <c r="AC370" i="2"/>
  <c r="Z370" i="2"/>
  <c r="AG370" i="2" s="1"/>
  <c r="AD370" i="2"/>
  <c r="AG369" i="2"/>
  <c r="Z363" i="2"/>
  <c r="AG363" i="2" s="1"/>
  <c r="AD363" i="2"/>
  <c r="AA363" i="2"/>
  <c r="AE363" i="2"/>
  <c r="AG353" i="2"/>
  <c r="AG329" i="2"/>
  <c r="AG308" i="2"/>
  <c r="AC306" i="2"/>
  <c r="Z306" i="2"/>
  <c r="AD306" i="2"/>
  <c r="AA306" i="2"/>
  <c r="AE306" i="2"/>
  <c r="Z209" i="2"/>
  <c r="AD209" i="2"/>
  <c r="AA209" i="2"/>
  <c r="AE209" i="2"/>
  <c r="AB209" i="2"/>
  <c r="AC209" i="2"/>
  <c r="Z193" i="2"/>
  <c r="AD193" i="2"/>
  <c r="AA193" i="2"/>
  <c r="AE193" i="2"/>
  <c r="AB193" i="2"/>
  <c r="AC193" i="2"/>
  <c r="Z177" i="2"/>
  <c r="AD177" i="2"/>
  <c r="AA177" i="2"/>
  <c r="AE177" i="2"/>
  <c r="AB177" i="2"/>
  <c r="AC177" i="2"/>
  <c r="Z161" i="2"/>
  <c r="AD161" i="2"/>
  <c r="AA161" i="2"/>
  <c r="AE161" i="2"/>
  <c r="AB161" i="2"/>
  <c r="AC161" i="2"/>
  <c r="AC29" i="2"/>
  <c r="Z29" i="2"/>
  <c r="AD29" i="2"/>
  <c r="AA29" i="2"/>
  <c r="AE29" i="2"/>
  <c r="AB29" i="2"/>
  <c r="AF29" i="2"/>
  <c r="AC382" i="2"/>
  <c r="Z382" i="2"/>
  <c r="AD382" i="2"/>
  <c r="Z375" i="2"/>
  <c r="AD375" i="2"/>
  <c r="AA375" i="2"/>
  <c r="AE375" i="2"/>
  <c r="AC366" i="2"/>
  <c r="Z366" i="2"/>
  <c r="AD366" i="2"/>
  <c r="Z359" i="2"/>
  <c r="AD359" i="2"/>
  <c r="AA359" i="2"/>
  <c r="AE359" i="2"/>
  <c r="AC354" i="2"/>
  <c r="Z354" i="2"/>
  <c r="AD354" i="2"/>
  <c r="AA354" i="2"/>
  <c r="AE354" i="2"/>
  <c r="AG336" i="2"/>
  <c r="AC334" i="2"/>
  <c r="Z334" i="2"/>
  <c r="AG334" i="2" s="1"/>
  <c r="AD334" i="2"/>
  <c r="AA334" i="2"/>
  <c r="AE334" i="2"/>
  <c r="AG332" i="2"/>
  <c r="AC330" i="2"/>
  <c r="Z330" i="2"/>
  <c r="AD330" i="2"/>
  <c r="AA330" i="2"/>
  <c r="AE330" i="2"/>
  <c r="AC302" i="2"/>
  <c r="Z302" i="2"/>
  <c r="AD302" i="2"/>
  <c r="AA302" i="2"/>
  <c r="AE302" i="2"/>
  <c r="AC298" i="2"/>
  <c r="Z298" i="2"/>
  <c r="AG298" i="2" s="1"/>
  <c r="AD298" i="2"/>
  <c r="AA298" i="2"/>
  <c r="AE298" i="2"/>
  <c r="AC294" i="2"/>
  <c r="Z294" i="2"/>
  <c r="AD294" i="2"/>
  <c r="AA294" i="2"/>
  <c r="AE294" i="2"/>
  <c r="AC290" i="2"/>
  <c r="Z290" i="2"/>
  <c r="AD290" i="2"/>
  <c r="AA290" i="2"/>
  <c r="AE290" i="2"/>
  <c r="AC286" i="2"/>
  <c r="Z286" i="2"/>
  <c r="AG286" i="2" s="1"/>
  <c r="AD286" i="2"/>
  <c r="AA286" i="2"/>
  <c r="AE286" i="2"/>
  <c r="AC282" i="2"/>
  <c r="Z282" i="2"/>
  <c r="AD282" i="2"/>
  <c r="AA282" i="2"/>
  <c r="AE282" i="2"/>
  <c r="AC278" i="2"/>
  <c r="Z278" i="2"/>
  <c r="AD278" i="2"/>
  <c r="AA278" i="2"/>
  <c r="AE278" i="2"/>
  <c r="AC274" i="2"/>
  <c r="Z274" i="2"/>
  <c r="AG274" i="2" s="1"/>
  <c r="AD274" i="2"/>
  <c r="AA274" i="2"/>
  <c r="AE274" i="2"/>
  <c r="AC270" i="2"/>
  <c r="Z270" i="2"/>
  <c r="AD270" i="2"/>
  <c r="AA270" i="2"/>
  <c r="AE270" i="2"/>
  <c r="AC266" i="2"/>
  <c r="Z266" i="2"/>
  <c r="AD266" i="2"/>
  <c r="AA266" i="2"/>
  <c r="AE266" i="2"/>
  <c r="AC262" i="2"/>
  <c r="Z262" i="2"/>
  <c r="AG262" i="2" s="1"/>
  <c r="AD262" i="2"/>
  <c r="AA262" i="2"/>
  <c r="AE262" i="2"/>
  <c r="AC258" i="2"/>
  <c r="Z258" i="2"/>
  <c r="AG258" i="2" s="1"/>
  <c r="AD258" i="2"/>
  <c r="AA258" i="2"/>
  <c r="AE258" i="2"/>
  <c r="AC254" i="2"/>
  <c r="Z254" i="2"/>
  <c r="AD254" i="2"/>
  <c r="AA254" i="2"/>
  <c r="AE254" i="2"/>
  <c r="AC250" i="2"/>
  <c r="Z250" i="2"/>
  <c r="AG250" i="2" s="1"/>
  <c r="AD250" i="2"/>
  <c r="AA250" i="2"/>
  <c r="AE250" i="2"/>
  <c r="AC246" i="2"/>
  <c r="Z246" i="2"/>
  <c r="AD246" i="2"/>
  <c r="AA246" i="2"/>
  <c r="AE246" i="2"/>
  <c r="AC242" i="2"/>
  <c r="Z242" i="2"/>
  <c r="AD242" i="2"/>
  <c r="AA242" i="2"/>
  <c r="AE242" i="2"/>
  <c r="AC231" i="2"/>
  <c r="AD231" i="2"/>
  <c r="Z231" i="2"/>
  <c r="AE231" i="2"/>
  <c r="AA231" i="2"/>
  <c r="AF231" i="2"/>
  <c r="Z228" i="2"/>
  <c r="AD228" i="2"/>
  <c r="AE228" i="2"/>
  <c r="AA228" i="2"/>
  <c r="AF228" i="2"/>
  <c r="AB228" i="2"/>
  <c r="Z213" i="2"/>
  <c r="AD213" i="2"/>
  <c r="AA213" i="2"/>
  <c r="AE213" i="2"/>
  <c r="AB213" i="2"/>
  <c r="AC213" i="2"/>
  <c r="Z197" i="2"/>
  <c r="AD197" i="2"/>
  <c r="AA197" i="2"/>
  <c r="AE197" i="2"/>
  <c r="AB197" i="2"/>
  <c r="AC197" i="2"/>
  <c r="Z181" i="2"/>
  <c r="AD181" i="2"/>
  <c r="AA181" i="2"/>
  <c r="AE181" i="2"/>
  <c r="AB181" i="2"/>
  <c r="AC181" i="2"/>
  <c r="Z165" i="2"/>
  <c r="AD165" i="2"/>
  <c r="AA165" i="2"/>
  <c r="AE165" i="2"/>
  <c r="AB165" i="2"/>
  <c r="AC165" i="2"/>
  <c r="AE556" i="2"/>
  <c r="AE552" i="2"/>
  <c r="AE548" i="2"/>
  <c r="AE544" i="2"/>
  <c r="AE540" i="2"/>
  <c r="AE536" i="2"/>
  <c r="AE532" i="2"/>
  <c r="AE528" i="2"/>
  <c r="AE524" i="2"/>
  <c r="AE520" i="2"/>
  <c r="AE516" i="2"/>
  <c r="AE512" i="2"/>
  <c r="AE508" i="2"/>
  <c r="AE504" i="2"/>
  <c r="AE500" i="2"/>
  <c r="AE496" i="2"/>
  <c r="AE492" i="2"/>
  <c r="AE488" i="2"/>
  <c r="AE484" i="2"/>
  <c r="AE480" i="2"/>
  <c r="AE476" i="2"/>
  <c r="AE472" i="2"/>
  <c r="AE468" i="2"/>
  <c r="AE464" i="2"/>
  <c r="AE460" i="2"/>
  <c r="AE456" i="2"/>
  <c r="AE452" i="2"/>
  <c r="AE448" i="2"/>
  <c r="AE444" i="2"/>
  <c r="AE440" i="2"/>
  <c r="AE436" i="2"/>
  <c r="AE432" i="2"/>
  <c r="AE428" i="2"/>
  <c r="AE424" i="2"/>
  <c r="AE420" i="2"/>
  <c r="AE416" i="2"/>
  <c r="AE412" i="2"/>
  <c r="AE408" i="2"/>
  <c r="AE404" i="2"/>
  <c r="AE400" i="2"/>
  <c r="AE396" i="2"/>
  <c r="AE392" i="2"/>
  <c r="AE388" i="2"/>
  <c r="AB382" i="2"/>
  <c r="AC378" i="2"/>
  <c r="Z378" i="2"/>
  <c r="AG378" i="2" s="1"/>
  <c r="AD378" i="2"/>
  <c r="AG377" i="2"/>
  <c r="AC375" i="2"/>
  <c r="Z371" i="2"/>
  <c r="AD371" i="2"/>
  <c r="AA371" i="2"/>
  <c r="AE371" i="2"/>
  <c r="AB366" i="2"/>
  <c r="AC362" i="2"/>
  <c r="Z362" i="2"/>
  <c r="AG362" i="2" s="1"/>
  <c r="AD362" i="2"/>
  <c r="AC359" i="2"/>
  <c r="AF354" i="2"/>
  <c r="AC350" i="2"/>
  <c r="Z350" i="2"/>
  <c r="AD350" i="2"/>
  <c r="AA350" i="2"/>
  <c r="AE350" i="2"/>
  <c r="AC346" i="2"/>
  <c r="Z346" i="2"/>
  <c r="AD346" i="2"/>
  <c r="AA346" i="2"/>
  <c r="AE346" i="2"/>
  <c r="AC342" i="2"/>
  <c r="Z342" i="2"/>
  <c r="AD342" i="2"/>
  <c r="AA342" i="2"/>
  <c r="AE342" i="2"/>
  <c r="AC338" i="2"/>
  <c r="Z338" i="2"/>
  <c r="AD338" i="2"/>
  <c r="AA338" i="2"/>
  <c r="AE338" i="2"/>
  <c r="AF334" i="2"/>
  <c r="AF330" i="2"/>
  <c r="AC326" i="2"/>
  <c r="Z326" i="2"/>
  <c r="AD326" i="2"/>
  <c r="AA326" i="2"/>
  <c r="AE326" i="2"/>
  <c r="AC322" i="2"/>
  <c r="Z322" i="2"/>
  <c r="AD322" i="2"/>
  <c r="AA322" i="2"/>
  <c r="AE322" i="2"/>
  <c r="AC318" i="2"/>
  <c r="Z318" i="2"/>
  <c r="AD318" i="2"/>
  <c r="AA318" i="2"/>
  <c r="AE318" i="2"/>
  <c r="AC314" i="2"/>
  <c r="Z314" i="2"/>
  <c r="AG314" i="2" s="1"/>
  <c r="AD314" i="2"/>
  <c r="AA314" i="2"/>
  <c r="AE314" i="2"/>
  <c r="AF302" i="2"/>
  <c r="AF298" i="2"/>
  <c r="AF294" i="2"/>
  <c r="AF290" i="2"/>
  <c r="AF286" i="2"/>
  <c r="AF282" i="2"/>
  <c r="AF278" i="2"/>
  <c r="AF274" i="2"/>
  <c r="AF270" i="2"/>
  <c r="AF266" i="2"/>
  <c r="AF262" i="2"/>
  <c r="AF258" i="2"/>
  <c r="AF254" i="2"/>
  <c r="AF250" i="2"/>
  <c r="AF246" i="2"/>
  <c r="AF242" i="2"/>
  <c r="AA229" i="2"/>
  <c r="AE229" i="2"/>
  <c r="AD229" i="2"/>
  <c r="Z229" i="2"/>
  <c r="AF229" i="2"/>
  <c r="AB229" i="2"/>
  <c r="Z217" i="2"/>
  <c r="AD217" i="2"/>
  <c r="AA217" i="2"/>
  <c r="AE217" i="2"/>
  <c r="AB217" i="2"/>
  <c r="AC217" i="2"/>
  <c r="AF209" i="2"/>
  <c r="Z201" i="2"/>
  <c r="AD201" i="2"/>
  <c r="AA201" i="2"/>
  <c r="AE201" i="2"/>
  <c r="AB201" i="2"/>
  <c r="AC201" i="2"/>
  <c r="AF193" i="2"/>
  <c r="Z185" i="2"/>
  <c r="AD185" i="2"/>
  <c r="AA185" i="2"/>
  <c r="AE185" i="2"/>
  <c r="AB185" i="2"/>
  <c r="AC185" i="2"/>
  <c r="AF177" i="2"/>
  <c r="Z169" i="2"/>
  <c r="AD169" i="2"/>
  <c r="AA169" i="2"/>
  <c r="AE169" i="2"/>
  <c r="AB169" i="2"/>
  <c r="AC169" i="2"/>
  <c r="AF161" i="2"/>
  <c r="AC227" i="2"/>
  <c r="AA225" i="2"/>
  <c r="AE225" i="2"/>
  <c r="Z224" i="2"/>
  <c r="AD224" i="2"/>
  <c r="Z101" i="2"/>
  <c r="AG101" i="2" s="1"/>
  <c r="AD101" i="2"/>
  <c r="AE101" i="2"/>
  <c r="AA101" i="2"/>
  <c r="AF101" i="2"/>
  <c r="AB101" i="2"/>
  <c r="AC61" i="2"/>
  <c r="Z61" i="2"/>
  <c r="AD61" i="2"/>
  <c r="AA61" i="2"/>
  <c r="AE61" i="2"/>
  <c r="AB61" i="2"/>
  <c r="AF61" i="2"/>
  <c r="AC5" i="2"/>
  <c r="Z5" i="2"/>
  <c r="AD5" i="2"/>
  <c r="AA5" i="2"/>
  <c r="AE5" i="2"/>
  <c r="AB5" i="2"/>
  <c r="AF5" i="2"/>
  <c r="AE355" i="2"/>
  <c r="AA355" i="2"/>
  <c r="AG355" i="2" s="1"/>
  <c r="AE351" i="2"/>
  <c r="AA351" i="2"/>
  <c r="AG351" i="2" s="1"/>
  <c r="AE347" i="2"/>
  <c r="AA347" i="2"/>
  <c r="AG347" i="2" s="1"/>
  <c r="AE343" i="2"/>
  <c r="AA343" i="2"/>
  <c r="AE339" i="2"/>
  <c r="AA339" i="2"/>
  <c r="AG339" i="2" s="1"/>
  <c r="AE335" i="2"/>
  <c r="AA335" i="2"/>
  <c r="AE331" i="2"/>
  <c r="AA331" i="2"/>
  <c r="AE327" i="2"/>
  <c r="AA327" i="2"/>
  <c r="AG327" i="2" s="1"/>
  <c r="AE323" i="2"/>
  <c r="AA323" i="2"/>
  <c r="AG323" i="2" s="1"/>
  <c r="AE319" i="2"/>
  <c r="AA319" i="2"/>
  <c r="AG319" i="2" s="1"/>
  <c r="AE315" i="2"/>
  <c r="AA315" i="2"/>
  <c r="AG315" i="2" s="1"/>
  <c r="AE311" i="2"/>
  <c r="AA311" i="2"/>
  <c r="AG311" i="2" s="1"/>
  <c r="AE307" i="2"/>
  <c r="AA307" i="2"/>
  <c r="AE303" i="2"/>
  <c r="AA303" i="2"/>
  <c r="AE299" i="2"/>
  <c r="AA299" i="2"/>
  <c r="AG299" i="2" s="1"/>
  <c r="AG297" i="2"/>
  <c r="AE295" i="2"/>
  <c r="AA295" i="2"/>
  <c r="AG295" i="2" s="1"/>
  <c r="AE291" i="2"/>
  <c r="AA291" i="2"/>
  <c r="AG291" i="2" s="1"/>
  <c r="AE287" i="2"/>
  <c r="AA287" i="2"/>
  <c r="AG285" i="2"/>
  <c r="AE283" i="2"/>
  <c r="AA283" i="2"/>
  <c r="AG283" i="2" s="1"/>
  <c r="AG281" i="2"/>
  <c r="AE279" i="2"/>
  <c r="AA279" i="2"/>
  <c r="AG279" i="2" s="1"/>
  <c r="AG277" i="2"/>
  <c r="AE275" i="2"/>
  <c r="AA275" i="2"/>
  <c r="AG275" i="2" s="1"/>
  <c r="AG273" i="2"/>
  <c r="AE271" i="2"/>
  <c r="AA271" i="2"/>
  <c r="AG271" i="2" s="1"/>
  <c r="AE267" i="2"/>
  <c r="AA267" i="2"/>
  <c r="AG267" i="2" s="1"/>
  <c r="AG265" i="2"/>
  <c r="AE263" i="2"/>
  <c r="AA263" i="2"/>
  <c r="AG263" i="2" s="1"/>
  <c r="AG261" i="2"/>
  <c r="AE259" i="2"/>
  <c r="AA259" i="2"/>
  <c r="AG259" i="2" s="1"/>
  <c r="AG257" i="2"/>
  <c r="AE255" i="2"/>
  <c r="AA255" i="2"/>
  <c r="AG255" i="2" s="1"/>
  <c r="AE251" i="2"/>
  <c r="AA251" i="2"/>
  <c r="AG251" i="2" s="1"/>
  <c r="AG249" i="2"/>
  <c r="AE247" i="2"/>
  <c r="AA247" i="2"/>
  <c r="AG245" i="2"/>
  <c r="AE243" i="2"/>
  <c r="AA243" i="2"/>
  <c r="AG241" i="2"/>
  <c r="AF240" i="2"/>
  <c r="AB240" i="2"/>
  <c r="AC239" i="2"/>
  <c r="AG239" i="2"/>
  <c r="AA237" i="2"/>
  <c r="AE237" i="2"/>
  <c r="Z236" i="2"/>
  <c r="AG236" i="2" s="1"/>
  <c r="AD236" i="2"/>
  <c r="AF227" i="2"/>
  <c r="AA227" i="2"/>
  <c r="AB225" i="2"/>
  <c r="AB224" i="2"/>
  <c r="AC223" i="2"/>
  <c r="AG223" i="2"/>
  <c r="AA221" i="2"/>
  <c r="AE221" i="2"/>
  <c r="Z220" i="2"/>
  <c r="AG220" i="2" s="1"/>
  <c r="AD220" i="2"/>
  <c r="AC216" i="2"/>
  <c r="Z216" i="2"/>
  <c r="AG216" i="2" s="1"/>
  <c r="AD216" i="2"/>
  <c r="AC212" i="2"/>
  <c r="Z212" i="2"/>
  <c r="AD212" i="2"/>
  <c r="AC208" i="2"/>
  <c r="Z208" i="2"/>
  <c r="AG208" i="2" s="1"/>
  <c r="AD208" i="2"/>
  <c r="AC204" i="2"/>
  <c r="Z204" i="2"/>
  <c r="AG204" i="2" s="1"/>
  <c r="AD204" i="2"/>
  <c r="AC200" i="2"/>
  <c r="Z200" i="2"/>
  <c r="AD200" i="2"/>
  <c r="AC196" i="2"/>
  <c r="Z196" i="2"/>
  <c r="AG196" i="2" s="1"/>
  <c r="AD196" i="2"/>
  <c r="AC192" i="2"/>
  <c r="Z192" i="2"/>
  <c r="AG192" i="2" s="1"/>
  <c r="AD192" i="2"/>
  <c r="AC188" i="2"/>
  <c r="Z188" i="2"/>
  <c r="AG188" i="2" s="1"/>
  <c r="AD188" i="2"/>
  <c r="AC184" i="2"/>
  <c r="Z184" i="2"/>
  <c r="AG184" i="2" s="1"/>
  <c r="AD184" i="2"/>
  <c r="AC180" i="2"/>
  <c r="Z180" i="2"/>
  <c r="AG180" i="2" s="1"/>
  <c r="AD180" i="2"/>
  <c r="AC176" i="2"/>
  <c r="Z176" i="2"/>
  <c r="AG176" i="2" s="1"/>
  <c r="AD176" i="2"/>
  <c r="AC172" i="2"/>
  <c r="Z172" i="2"/>
  <c r="AG172" i="2" s="1"/>
  <c r="AD172" i="2"/>
  <c r="AC168" i="2"/>
  <c r="Z168" i="2"/>
  <c r="AG168" i="2" s="1"/>
  <c r="AD168" i="2"/>
  <c r="AC164" i="2"/>
  <c r="Z164" i="2"/>
  <c r="AD164" i="2"/>
  <c r="AC160" i="2"/>
  <c r="Z160" i="2"/>
  <c r="AG160" i="2" s="1"/>
  <c r="AD160" i="2"/>
  <c r="AC156" i="2"/>
  <c r="Z156" i="2"/>
  <c r="AG156" i="2" s="1"/>
  <c r="AD156" i="2"/>
  <c r="AC152" i="2"/>
  <c r="Z152" i="2"/>
  <c r="AG152" i="2" s="1"/>
  <c r="AD152" i="2"/>
  <c r="AA152" i="2"/>
  <c r="AE152" i="2"/>
  <c r="AG150" i="2"/>
  <c r="AC148" i="2"/>
  <c r="Z148" i="2"/>
  <c r="AD148" i="2"/>
  <c r="AA148" i="2"/>
  <c r="AE148" i="2"/>
  <c r="AC144" i="2"/>
  <c r="Z144" i="2"/>
  <c r="AD144" i="2"/>
  <c r="AA144" i="2"/>
  <c r="AE144" i="2"/>
  <c r="AC140" i="2"/>
  <c r="Z140" i="2"/>
  <c r="AD140" i="2"/>
  <c r="AA140" i="2"/>
  <c r="AE140" i="2"/>
  <c r="AC136" i="2"/>
  <c r="Z136" i="2"/>
  <c r="AG136" i="2" s="1"/>
  <c r="AD136" i="2"/>
  <c r="AA136" i="2"/>
  <c r="AE136" i="2"/>
  <c r="AC132" i="2"/>
  <c r="Z132" i="2"/>
  <c r="AD132" i="2"/>
  <c r="AA132" i="2"/>
  <c r="AE132" i="2"/>
  <c r="AC128" i="2"/>
  <c r="Z128" i="2"/>
  <c r="AG128" i="2" s="1"/>
  <c r="AD128" i="2"/>
  <c r="AA128" i="2"/>
  <c r="AE128" i="2"/>
  <c r="AC124" i="2"/>
  <c r="Z124" i="2"/>
  <c r="AG124" i="2" s="1"/>
  <c r="AD124" i="2"/>
  <c r="AA124" i="2"/>
  <c r="AE124" i="2"/>
  <c r="AC120" i="2"/>
  <c r="Z120" i="2"/>
  <c r="AD120" i="2"/>
  <c r="AA120" i="2"/>
  <c r="AE120" i="2"/>
  <c r="AC116" i="2"/>
  <c r="Z116" i="2"/>
  <c r="AD116" i="2"/>
  <c r="AA116" i="2"/>
  <c r="AE116" i="2"/>
  <c r="AC112" i="2"/>
  <c r="Z112" i="2"/>
  <c r="AD112" i="2"/>
  <c r="AA112" i="2"/>
  <c r="AE112" i="2"/>
  <c r="AG110" i="2"/>
  <c r="AC108" i="2"/>
  <c r="Z108" i="2"/>
  <c r="AD108" i="2"/>
  <c r="AA108" i="2"/>
  <c r="AE108" i="2"/>
  <c r="AC104" i="2"/>
  <c r="Z104" i="2"/>
  <c r="AD104" i="2"/>
  <c r="AA104" i="2"/>
  <c r="AE104" i="2"/>
  <c r="AA102" i="2"/>
  <c r="AE102" i="2"/>
  <c r="AD102" i="2"/>
  <c r="Z102" i="2"/>
  <c r="AF102" i="2"/>
  <c r="AB102" i="2"/>
  <c r="AD355" i="2"/>
  <c r="AD351" i="2"/>
  <c r="AD347" i="2"/>
  <c r="AD343" i="2"/>
  <c r="AD339" i="2"/>
  <c r="AE336" i="2"/>
  <c r="AD335" i="2"/>
  <c r="AD331" i="2"/>
  <c r="AD327" i="2"/>
  <c r="AD323" i="2"/>
  <c r="AD319" i="2"/>
  <c r="AD315" i="2"/>
  <c r="AD311" i="2"/>
  <c r="AD307" i="2"/>
  <c r="AD303" i="2"/>
  <c r="AD299" i="2"/>
  <c r="AD295" i="2"/>
  <c r="AD291" i="2"/>
  <c r="AD287" i="2"/>
  <c r="AD283" i="2"/>
  <c r="AD279" i="2"/>
  <c r="AD275" i="2"/>
  <c r="AD271" i="2"/>
  <c r="AD267" i="2"/>
  <c r="AD263" i="2"/>
  <c r="AD259" i="2"/>
  <c r="AD255" i="2"/>
  <c r="AD251" i="2"/>
  <c r="AD247" i="2"/>
  <c r="AD243" i="2"/>
  <c r="AE240" i="2"/>
  <c r="AA240" i="2"/>
  <c r="AG240" i="2" s="1"/>
  <c r="AC235" i="2"/>
  <c r="AG235" i="2"/>
  <c r="AA233" i="2"/>
  <c r="AG233" i="2" s="1"/>
  <c r="AE233" i="2"/>
  <c r="Z232" i="2"/>
  <c r="AD232" i="2"/>
  <c r="AE227" i="2"/>
  <c r="Z227" i="2"/>
  <c r="AF225" i="2"/>
  <c r="Z225" i="2"/>
  <c r="AF224" i="2"/>
  <c r="AA224" i="2"/>
  <c r="AC219" i="2"/>
  <c r="AG219" i="2"/>
  <c r="AC101" i="2"/>
  <c r="AC17" i="2"/>
  <c r="Z17" i="2"/>
  <c r="AD17" i="2"/>
  <c r="AA17" i="2"/>
  <c r="AE17" i="2"/>
  <c r="AB17" i="2"/>
  <c r="AF17" i="2"/>
  <c r="AC97" i="2"/>
  <c r="Z97" i="2"/>
  <c r="AD97" i="2"/>
  <c r="AA97" i="2"/>
  <c r="AE97" i="2"/>
  <c r="AC93" i="2"/>
  <c r="Z93" i="2"/>
  <c r="AD93" i="2"/>
  <c r="AA93" i="2"/>
  <c r="AE93" i="2"/>
  <c r="AC89" i="2"/>
  <c r="Z89" i="2"/>
  <c r="AD89" i="2"/>
  <c r="AA89" i="2"/>
  <c r="AE89" i="2"/>
  <c r="AC85" i="2"/>
  <c r="Z85" i="2"/>
  <c r="AG85" i="2" s="1"/>
  <c r="AD85" i="2"/>
  <c r="AA85" i="2"/>
  <c r="AE85" i="2"/>
  <c r="AC81" i="2"/>
  <c r="Z81" i="2"/>
  <c r="AD81" i="2"/>
  <c r="AA81" i="2"/>
  <c r="AE81" i="2"/>
  <c r="AC77" i="2"/>
  <c r="Z77" i="2"/>
  <c r="AG77" i="2" s="1"/>
  <c r="AD77" i="2"/>
  <c r="AA77" i="2"/>
  <c r="AE77" i="2"/>
  <c r="AC73" i="2"/>
  <c r="Z73" i="2"/>
  <c r="AD73" i="2"/>
  <c r="AA73" i="2"/>
  <c r="AE73" i="2"/>
  <c r="AC57" i="2"/>
  <c r="Z57" i="2"/>
  <c r="AD57" i="2"/>
  <c r="AA57" i="2"/>
  <c r="AE57" i="2"/>
  <c r="AG51" i="2"/>
  <c r="AC45" i="2"/>
  <c r="Z45" i="2"/>
  <c r="AD45" i="2"/>
  <c r="AA45" i="2"/>
  <c r="AE45" i="2"/>
  <c r="AC37" i="2"/>
  <c r="Z37" i="2"/>
  <c r="AD37" i="2"/>
  <c r="AA37" i="2"/>
  <c r="AE37" i="2"/>
  <c r="AC25" i="2"/>
  <c r="Z25" i="2"/>
  <c r="AD25" i="2"/>
  <c r="AA25" i="2"/>
  <c r="AE25" i="2"/>
  <c r="AG20" i="2"/>
  <c r="AG15" i="2"/>
  <c r="AG3" i="2"/>
  <c r="AG215" i="2"/>
  <c r="AG211" i="2"/>
  <c r="AG207" i="2"/>
  <c r="AG203" i="2"/>
  <c r="AG199" i="2"/>
  <c r="AG195" i="2"/>
  <c r="AG191" i="2"/>
  <c r="AG187" i="2"/>
  <c r="AG183" i="2"/>
  <c r="AG179" i="2"/>
  <c r="AG175" i="2"/>
  <c r="AG171" i="2"/>
  <c r="AG167" i="2"/>
  <c r="AG159" i="2"/>
  <c r="AG155" i="2"/>
  <c r="AE153" i="2"/>
  <c r="AA153" i="2"/>
  <c r="AE149" i="2"/>
  <c r="AA149" i="2"/>
  <c r="AG147" i="2"/>
  <c r="AE145" i="2"/>
  <c r="AA145" i="2"/>
  <c r="AG145" i="2" s="1"/>
  <c r="AG143" i="2"/>
  <c r="AE141" i="2"/>
  <c r="AA141" i="2"/>
  <c r="AG139" i="2"/>
  <c r="AE137" i="2"/>
  <c r="AA137" i="2"/>
  <c r="AG135" i="2"/>
  <c r="AE133" i="2"/>
  <c r="AA133" i="2"/>
  <c r="AE129" i="2"/>
  <c r="AA129" i="2"/>
  <c r="AG127" i="2"/>
  <c r="AE125" i="2"/>
  <c r="AA125" i="2"/>
  <c r="AG123" i="2"/>
  <c r="AE121" i="2"/>
  <c r="AA121" i="2"/>
  <c r="AE117" i="2"/>
  <c r="AA117" i="2"/>
  <c r="AG117" i="2" s="1"/>
  <c r="AG115" i="2"/>
  <c r="AE113" i="2"/>
  <c r="AA113" i="2"/>
  <c r="AG111" i="2"/>
  <c r="AE109" i="2"/>
  <c r="AA109" i="2"/>
  <c r="AG109" i="2" s="1"/>
  <c r="AG107" i="2"/>
  <c r="AE105" i="2"/>
  <c r="AA105" i="2"/>
  <c r="AG105" i="2" s="1"/>
  <c r="AG103" i="2"/>
  <c r="AF97" i="2"/>
  <c r="AF93" i="2"/>
  <c r="AF89" i="2"/>
  <c r="AF85" i="2"/>
  <c r="AF81" i="2"/>
  <c r="AF77" i="2"/>
  <c r="AF73" i="2"/>
  <c r="AC69" i="2"/>
  <c r="Z69" i="2"/>
  <c r="AD69" i="2"/>
  <c r="AA69" i="2"/>
  <c r="AE69" i="2"/>
  <c r="AF57" i="2"/>
  <c r="AC53" i="2"/>
  <c r="Z53" i="2"/>
  <c r="AD53" i="2"/>
  <c r="AA53" i="2"/>
  <c r="AE53" i="2"/>
  <c r="AF45" i="2"/>
  <c r="AF37" i="2"/>
  <c r="AG28" i="2"/>
  <c r="AF25" i="2"/>
  <c r="AC21" i="2"/>
  <c r="Z21" i="2"/>
  <c r="AD21" i="2"/>
  <c r="AA21" i="2"/>
  <c r="AE21" i="2"/>
  <c r="AC13" i="2"/>
  <c r="Z13" i="2"/>
  <c r="AG13" i="2" s="1"/>
  <c r="AD13" i="2"/>
  <c r="AA13" i="2"/>
  <c r="AE13" i="2"/>
  <c r="AG8" i="2"/>
  <c r="AD153" i="2"/>
  <c r="AD149" i="2"/>
  <c r="AD145" i="2"/>
  <c r="AD141" i="2"/>
  <c r="AD137" i="2"/>
  <c r="AD133" i="2"/>
  <c r="AD129" i="2"/>
  <c r="AD125" i="2"/>
  <c r="AD121" i="2"/>
  <c r="AD117" i="2"/>
  <c r="AD113" i="2"/>
  <c r="AD109" i="2"/>
  <c r="AD105" i="2"/>
  <c r="AC100" i="2"/>
  <c r="Z100" i="2"/>
  <c r="AG100" i="2" s="1"/>
  <c r="AD100" i="2"/>
  <c r="AB97" i="2"/>
  <c r="AB93" i="2"/>
  <c r="AB89" i="2"/>
  <c r="AB85" i="2"/>
  <c r="AB81" i="2"/>
  <c r="AB77" i="2"/>
  <c r="AG75" i="2"/>
  <c r="AB73" i="2"/>
  <c r="AC65" i="2"/>
  <c r="Z65" i="2"/>
  <c r="AD65" i="2"/>
  <c r="AA65" i="2"/>
  <c r="AE65" i="2"/>
  <c r="AB57" i="2"/>
  <c r="AC49" i="2"/>
  <c r="Z49" i="2"/>
  <c r="AG49" i="2" s="1"/>
  <c r="AD49" i="2"/>
  <c r="AA49" i="2"/>
  <c r="AE49" i="2"/>
  <c r="AB45" i="2"/>
  <c r="AC41" i="2"/>
  <c r="Z41" i="2"/>
  <c r="AD41" i="2"/>
  <c r="AA41" i="2"/>
  <c r="AE41" i="2"/>
  <c r="AB37" i="2"/>
  <c r="AC33" i="2"/>
  <c r="Z33" i="2"/>
  <c r="AD33" i="2"/>
  <c r="AA33" i="2"/>
  <c r="AE33" i="2"/>
  <c r="AB25" i="2"/>
  <c r="AF21" i="2"/>
  <c r="AG16" i="2"/>
  <c r="AF13" i="2"/>
  <c r="AC9" i="2"/>
  <c r="Z9" i="2"/>
  <c r="AG9" i="2" s="1"/>
  <c r="AD9" i="2"/>
  <c r="AA9" i="2"/>
  <c r="AE9" i="2"/>
  <c r="AG4" i="2"/>
  <c r="AD96" i="2"/>
  <c r="Z96" i="2"/>
  <c r="AG96" i="2" s="1"/>
  <c r="AD92" i="2"/>
  <c r="Z92" i="2"/>
  <c r="AG92" i="2" s="1"/>
  <c r="AD88" i="2"/>
  <c r="Z88" i="2"/>
  <c r="AG88" i="2" s="1"/>
  <c r="AD84" i="2"/>
  <c r="Z84" i="2"/>
  <c r="AG84" i="2" s="1"/>
  <c r="AD80" i="2"/>
  <c r="Z80" i="2"/>
  <c r="AG80" i="2" s="1"/>
  <c r="AD76" i="2"/>
  <c r="Z76" i="2"/>
  <c r="AG76" i="2" s="1"/>
  <c r="Z72" i="2"/>
  <c r="AG72" i="2" s="1"/>
  <c r="Z68" i="2"/>
  <c r="AG68" i="2" s="1"/>
  <c r="Z64" i="2"/>
  <c r="AG64" i="2" s="1"/>
  <c r="Z60" i="2"/>
  <c r="AG60" i="2" s="1"/>
  <c r="Z56" i="2"/>
  <c r="AG56" i="2" s="1"/>
  <c r="Z52" i="2"/>
  <c r="AG52" i="2" s="1"/>
  <c r="AE98" i="2"/>
  <c r="AE94" i="2"/>
  <c r="AE90" i="2"/>
  <c r="AE86" i="2"/>
  <c r="AE82" i="2"/>
  <c r="AE78" i="2"/>
  <c r="AE74" i="2"/>
  <c r="AE70" i="2"/>
  <c r="AE66" i="2"/>
  <c r="AE62" i="2"/>
  <c r="AE58" i="2"/>
  <c r="AE54" i="2"/>
  <c r="AE50" i="2"/>
  <c r="AG48" i="2"/>
  <c r="AE46" i="2"/>
  <c r="AG44" i="2"/>
  <c r="AE42" i="2"/>
  <c r="AG40" i="2"/>
  <c r="AE38" i="2"/>
  <c r="AG36" i="2"/>
  <c r="AE34" i="2"/>
  <c r="AG32" i="2"/>
  <c r="AE30" i="2"/>
  <c r="AA30" i="2"/>
  <c r="AG30" i="2" s="1"/>
  <c r="AE26" i="2"/>
  <c r="AA26" i="2"/>
  <c r="AE22" i="2"/>
  <c r="AA22" i="2"/>
  <c r="AG22" i="2" s="1"/>
  <c r="AE18" i="2"/>
  <c r="AA18" i="2"/>
  <c r="AG18" i="2" s="1"/>
  <c r="AE14" i="2"/>
  <c r="AA14" i="2"/>
  <c r="AE10" i="2"/>
  <c r="AA10" i="2"/>
  <c r="AE6" i="2"/>
  <c r="AA6" i="2"/>
  <c r="AD10" i="2"/>
  <c r="AD6" i="2"/>
  <c r="J1252" i="4"/>
  <c r="J1228" i="4"/>
  <c r="J1216" i="4"/>
  <c r="J1204" i="4"/>
  <c r="J1192" i="4"/>
  <c r="J1180" i="4"/>
  <c r="J1112" i="4"/>
  <c r="J1100" i="4"/>
  <c r="J1040" i="4"/>
  <c r="J1028" i="4"/>
  <c r="J1004" i="4"/>
  <c r="J992" i="4"/>
  <c r="J980" i="4"/>
  <c r="J968" i="4"/>
  <c r="J956" i="4"/>
  <c r="J944" i="4"/>
  <c r="J932" i="4"/>
  <c r="J920" i="4"/>
  <c r="J908" i="4"/>
  <c r="J856" i="4"/>
  <c r="J796" i="4"/>
  <c r="J712" i="4"/>
  <c r="J680" i="4"/>
  <c r="J668" i="4"/>
  <c r="J656" i="4"/>
  <c r="J644" i="4"/>
  <c r="J632" i="4"/>
  <c r="J604" i="4"/>
  <c r="J508" i="4"/>
  <c r="J460" i="4"/>
  <c r="J428" i="4"/>
  <c r="J332" i="4"/>
  <c r="J320" i="4"/>
  <c r="J308" i="4"/>
  <c r="J296" i="4"/>
  <c r="J284" i="4"/>
  <c r="J208" i="4"/>
  <c r="J148" i="4"/>
  <c r="J40" i="4"/>
  <c r="J28" i="4"/>
  <c r="J16" i="4"/>
  <c r="J3" i="4"/>
  <c r="J7" i="4"/>
  <c r="J4" i="4"/>
  <c r="J2" i="4"/>
  <c r="J5" i="4"/>
  <c r="J6" i="4"/>
  <c r="J8" i="4"/>
  <c r="J1275" i="4"/>
  <c r="J1274" i="4"/>
  <c r="J1263" i="4"/>
  <c r="J1255" i="4"/>
  <c r="J1251" i="4"/>
  <c r="J1250" i="4"/>
  <c r="J1243" i="4"/>
  <c r="J1242" i="4"/>
  <c r="J1235" i="4"/>
  <c r="J1234" i="4"/>
  <c r="J1223" i="4"/>
  <c r="J1215" i="4"/>
  <c r="J1211" i="4"/>
  <c r="J1210" i="4"/>
  <c r="J1203" i="4"/>
  <c r="J1202" i="4"/>
  <c r="J1191" i="4"/>
  <c r="J1187" i="4"/>
  <c r="J1186" i="4"/>
  <c r="J1179" i="4"/>
  <c r="J1178" i="4"/>
  <c r="J1167" i="4"/>
  <c r="J1159" i="4"/>
  <c r="J1151" i="4"/>
  <c r="J1147" i="4"/>
  <c r="J1146" i="4"/>
  <c r="J1139" i="4"/>
  <c r="J1138" i="4"/>
  <c r="J1127" i="4"/>
  <c r="J1123" i="4"/>
  <c r="J1122" i="4"/>
  <c r="J1111" i="4"/>
  <c r="J1107" i="4"/>
  <c r="J1106" i="4"/>
  <c r="J1095" i="4"/>
  <c r="J1091" i="4"/>
  <c r="J1090" i="4"/>
  <c r="J1083" i="4"/>
  <c r="J1082" i="4"/>
  <c r="J1071" i="4"/>
  <c r="J1067" i="4"/>
  <c r="J1066" i="4"/>
  <c r="J1055" i="4"/>
  <c r="J1047" i="4"/>
  <c r="J1039" i="4"/>
  <c r="J1031" i="4"/>
  <c r="J1023" i="4"/>
  <c r="J1015" i="4"/>
  <c r="J1007" i="4"/>
  <c r="J999" i="4"/>
  <c r="J991" i="4"/>
  <c r="J983" i="4"/>
  <c r="J975" i="4"/>
  <c r="J967" i="4"/>
  <c r="J955" i="4"/>
  <c r="J947" i="4"/>
  <c r="J943" i="4"/>
  <c r="J941" i="4"/>
  <c r="J935" i="4"/>
  <c r="J923" i="4"/>
  <c r="J915" i="4"/>
  <c r="J907" i="4"/>
  <c r="J899" i="4"/>
  <c r="J895" i="4"/>
  <c r="J893" i="4"/>
  <c r="J887" i="4"/>
  <c r="J879" i="4"/>
  <c r="J877" i="4"/>
  <c r="J871" i="4"/>
  <c r="J863" i="4"/>
  <c r="J861" i="4"/>
  <c r="J855" i="4"/>
  <c r="J843" i="4"/>
  <c r="J835" i="4"/>
  <c r="J827" i="4"/>
  <c r="J819" i="4"/>
  <c r="J653" i="4"/>
  <c r="J525" i="4"/>
  <c r="J265" i="4"/>
  <c r="J1280" i="4"/>
  <c r="J1268" i="4"/>
  <c r="J1256" i="4"/>
  <c r="J1244" i="4"/>
  <c r="J1232" i="4"/>
  <c r="J1220" i="4"/>
  <c r="J1208" i="4"/>
  <c r="J1196" i="4"/>
  <c r="J1184" i="4"/>
  <c r="J1172" i="4"/>
  <c r="J1160" i="4"/>
  <c r="J1148" i="4"/>
  <c r="J1136" i="4"/>
  <c r="J1124" i="4"/>
  <c r="J892" i="4"/>
  <c r="J880" i="4"/>
  <c r="J868" i="4"/>
  <c r="J844" i="4"/>
  <c r="J832" i="4"/>
  <c r="J820" i="4"/>
  <c r="J808" i="4"/>
  <c r="J784" i="4"/>
  <c r="J772" i="4"/>
  <c r="J760" i="4"/>
  <c r="J748" i="4"/>
  <c r="J736" i="4"/>
  <c r="J724" i="4"/>
  <c r="J700" i="4"/>
  <c r="J688" i="4"/>
  <c r="J676" i="4"/>
  <c r="J664" i="4"/>
  <c r="J652" i="4"/>
  <c r="J560" i="4"/>
  <c r="J548" i="4"/>
  <c r="J536" i="4"/>
  <c r="J524" i="4"/>
  <c r="J512" i="4"/>
  <c r="J500" i="4"/>
  <c r="J488" i="4"/>
  <c r="J476" i="4"/>
  <c r="J464" i="4"/>
  <c r="J452" i="4"/>
  <c r="J440" i="4"/>
  <c r="J416" i="4"/>
  <c r="J404" i="4"/>
  <c r="J392" i="4"/>
  <c r="J380" i="4"/>
  <c r="J368" i="4"/>
  <c r="J356" i="4"/>
  <c r="J344" i="4"/>
  <c r="J196" i="4"/>
  <c r="J184" i="4"/>
  <c r="J172" i="4"/>
  <c r="J160" i="4"/>
  <c r="J136" i="4"/>
  <c r="J124" i="4"/>
  <c r="J112" i="4"/>
  <c r="J100" i="4"/>
  <c r="J88" i="4"/>
  <c r="J64" i="4"/>
  <c r="J52" i="4"/>
  <c r="J1279" i="4"/>
  <c r="J1271" i="4"/>
  <c r="J1267" i="4"/>
  <c r="J1266" i="4"/>
  <c r="J1259" i="4"/>
  <c r="J1258" i="4"/>
  <c r="J1247" i="4"/>
  <c r="J1239" i="4"/>
  <c r="J1231" i="4"/>
  <c r="J1227" i="4"/>
  <c r="J1226" i="4"/>
  <c r="J1219" i="4"/>
  <c r="J1218" i="4"/>
  <c r="J1207" i="4"/>
  <c r="J1199" i="4"/>
  <c r="J1195" i="4"/>
  <c r="J1194" i="4"/>
  <c r="J1183" i="4"/>
  <c r="J1175" i="4"/>
  <c r="J1171" i="4"/>
  <c r="J1170" i="4"/>
  <c r="J1163" i="4"/>
  <c r="J1162" i="4"/>
  <c r="J1155" i="4"/>
  <c r="J1154" i="4"/>
  <c r="J1143" i="4"/>
  <c r="J1135" i="4"/>
  <c r="J1131" i="4"/>
  <c r="J1130" i="4"/>
  <c r="J1119" i="4"/>
  <c r="J1115" i="4"/>
  <c r="J1114" i="4"/>
  <c r="J1103" i="4"/>
  <c r="J1099" i="4"/>
  <c r="J1098" i="4"/>
  <c r="J1087" i="4"/>
  <c r="J1079" i="4"/>
  <c r="J1075" i="4"/>
  <c r="J1074" i="4"/>
  <c r="J1063" i="4"/>
  <c r="J1059" i="4"/>
  <c r="J1058" i="4"/>
  <c r="J1051" i="4"/>
  <c r="J1050" i="4"/>
  <c r="J1043" i="4"/>
  <c r="J1042" i="4"/>
  <c r="J1035" i="4"/>
  <c r="J1034" i="4"/>
  <c r="J1027" i="4"/>
  <c r="J1025" i="4"/>
  <c r="J1019" i="4"/>
  <c r="J1011" i="4"/>
  <c r="J1003" i="4"/>
  <c r="J995" i="4"/>
  <c r="J993" i="4"/>
  <c r="J987" i="4"/>
  <c r="J979" i="4"/>
  <c r="J971" i="4"/>
  <c r="J963" i="4"/>
  <c r="J959" i="4"/>
  <c r="J957" i="4"/>
  <c r="J951" i="4"/>
  <c r="J939" i="4"/>
  <c r="J931" i="4"/>
  <c r="J927" i="4"/>
  <c r="J925" i="4"/>
  <c r="J919" i="4"/>
  <c r="J911" i="4"/>
  <c r="J909" i="4"/>
  <c r="J903" i="4"/>
  <c r="J891" i="4"/>
  <c r="J883" i="4"/>
  <c r="J875" i="4"/>
  <c r="J867" i="4"/>
  <c r="J859" i="4"/>
  <c r="J851" i="4"/>
  <c r="J847" i="4"/>
  <c r="J845" i="4"/>
  <c r="J839" i="4"/>
  <c r="J831" i="4"/>
  <c r="J829" i="4"/>
  <c r="J823" i="4"/>
  <c r="J669" i="4"/>
  <c r="J541" i="4"/>
  <c r="J434" i="4"/>
  <c r="J201" i="4"/>
  <c r="J1240" i="4"/>
  <c r="J1188" i="4"/>
  <c r="J1176" i="4"/>
  <c r="J1164" i="4"/>
  <c r="J1152" i="4"/>
  <c r="J1140" i="4"/>
  <c r="J1128" i="4"/>
  <c r="J1116" i="4"/>
  <c r="J1104" i="4"/>
  <c r="J1088" i="4"/>
  <c r="J1076" i="4"/>
  <c r="J1064" i="4"/>
  <c r="J1052" i="4"/>
  <c r="J1016" i="4"/>
  <c r="J952" i="4"/>
  <c r="J940" i="4"/>
  <c r="J928" i="4"/>
  <c r="J916" i="4"/>
  <c r="J904" i="4"/>
  <c r="J640" i="4"/>
  <c r="J628" i="4"/>
  <c r="J616" i="4"/>
  <c r="J592" i="4"/>
  <c r="J580" i="4"/>
  <c r="J568" i="4"/>
  <c r="J556" i="4"/>
  <c r="J544" i="4"/>
  <c r="J532" i="4"/>
  <c r="J520" i="4"/>
  <c r="J272" i="4"/>
  <c r="J260" i="4"/>
  <c r="J248" i="4"/>
  <c r="J236" i="4"/>
  <c r="J224" i="4"/>
  <c r="J212" i="4"/>
  <c r="J200" i="4"/>
  <c r="J188" i="4"/>
  <c r="J176" i="4"/>
  <c r="J164" i="4"/>
  <c r="J152" i="4"/>
  <c r="J140" i="4"/>
  <c r="J128" i="4"/>
  <c r="J116" i="4"/>
  <c r="J104" i="4"/>
  <c r="J92" i="4"/>
  <c r="J80" i="4"/>
  <c r="J76" i="4"/>
  <c r="J73" i="4"/>
  <c r="J24" i="4"/>
  <c r="J12" i="4"/>
  <c r="J815" i="4"/>
  <c r="J807" i="4"/>
  <c r="J799" i="4"/>
  <c r="J791" i="4"/>
  <c r="J783" i="4"/>
  <c r="J775" i="4"/>
  <c r="J767" i="4"/>
  <c r="J759" i="4"/>
  <c r="J751" i="4"/>
  <c r="J743" i="4"/>
  <c r="J735" i="4"/>
  <c r="J727" i="4"/>
  <c r="J719" i="4"/>
  <c r="J715" i="4"/>
  <c r="J707" i="4"/>
  <c r="J699" i="4"/>
  <c r="J691" i="4"/>
  <c r="J683" i="4"/>
  <c r="J675" i="4"/>
  <c r="J667" i="4"/>
  <c r="J659" i="4"/>
  <c r="J651" i="4"/>
  <c r="J643" i="4"/>
  <c r="J635" i="4"/>
  <c r="J623" i="4"/>
  <c r="J615" i="4"/>
  <c r="J607" i="4"/>
  <c r="J599" i="4"/>
  <c r="J591" i="4"/>
  <c r="J583" i="4"/>
  <c r="J575" i="4"/>
  <c r="J567" i="4"/>
  <c r="J559" i="4"/>
  <c r="J551" i="4"/>
  <c r="J547" i="4"/>
  <c r="J539" i="4"/>
  <c r="J531" i="4"/>
  <c r="J519" i="4"/>
  <c r="J511" i="4"/>
  <c r="J503" i="4"/>
  <c r="J499" i="4"/>
  <c r="J497" i="4"/>
  <c r="J491" i="4"/>
  <c r="J483" i="4"/>
  <c r="J475" i="4"/>
  <c r="J463" i="4"/>
  <c r="J455" i="4"/>
  <c r="J451" i="4"/>
  <c r="J443" i="4"/>
  <c r="J431" i="4"/>
  <c r="J423" i="4"/>
  <c r="J419" i="4"/>
  <c r="J411" i="4"/>
  <c r="J403" i="4"/>
  <c r="J401" i="4"/>
  <c r="J395" i="4"/>
  <c r="J387" i="4"/>
  <c r="J379" i="4"/>
  <c r="J371" i="4"/>
  <c r="J369" i="4"/>
  <c r="J367" i="4"/>
  <c r="J359" i="4"/>
  <c r="J351" i="4"/>
  <c r="J343" i="4"/>
  <c r="J335" i="4"/>
  <c r="J327" i="4"/>
  <c r="J319" i="4"/>
  <c r="J311" i="4"/>
  <c r="J303" i="4"/>
  <c r="J295" i="4"/>
  <c r="J287" i="4"/>
  <c r="J279" i="4"/>
  <c r="J271" i="4"/>
  <c r="J263" i="4"/>
  <c r="J255" i="4"/>
  <c r="J247" i="4"/>
  <c r="J239" i="4"/>
  <c r="J231" i="4"/>
  <c r="J223" i="4"/>
  <c r="J215" i="4"/>
  <c r="J207" i="4"/>
  <c r="J199" i="4"/>
  <c r="J191" i="4"/>
  <c r="J187" i="4"/>
  <c r="J179" i="4"/>
  <c r="J171" i="4"/>
  <c r="J159" i="4"/>
  <c r="J155" i="4"/>
  <c r="J147" i="4"/>
  <c r="J143" i="4"/>
  <c r="J139" i="4"/>
  <c r="J135" i="4"/>
  <c r="J131" i="4"/>
  <c r="J127" i="4"/>
  <c r="J119" i="4"/>
  <c r="J115" i="4"/>
  <c r="J111" i="4"/>
  <c r="J107" i="4"/>
  <c r="J9" i="4"/>
  <c r="J797" i="4"/>
  <c r="J733" i="4"/>
  <c r="J605" i="4"/>
  <c r="J1278" i="4"/>
  <c r="J1270" i="4"/>
  <c r="J1262" i="4"/>
  <c r="J1254" i="4"/>
  <c r="J1246" i="4"/>
  <c r="J1238" i="4"/>
  <c r="J1230" i="4"/>
  <c r="J1222" i="4"/>
  <c r="J1214" i="4"/>
  <c r="J1206" i="4"/>
  <c r="J1198" i="4"/>
  <c r="J1190" i="4"/>
  <c r="J1182" i="4"/>
  <c r="J1174" i="4"/>
  <c r="J1166" i="4"/>
  <c r="J1158" i="4"/>
  <c r="J1150" i="4"/>
  <c r="J1142" i="4"/>
  <c r="J1134" i="4"/>
  <c r="J1126" i="4"/>
  <c r="J1118" i="4"/>
  <c r="J1110" i="4"/>
  <c r="J1102" i="4"/>
  <c r="J1094" i="4"/>
  <c r="J1086" i="4"/>
  <c r="J1078" i="4"/>
  <c r="J1070" i="4"/>
  <c r="J1062" i="4"/>
  <c r="J1054" i="4"/>
  <c r="J1046" i="4"/>
  <c r="J1038" i="4"/>
  <c r="J1030" i="4"/>
  <c r="J514" i="4"/>
  <c r="J482" i="4"/>
  <c r="J450" i="4"/>
  <c r="J418" i="4"/>
  <c r="J386" i="4"/>
  <c r="J354" i="4"/>
  <c r="J781" i="4"/>
  <c r="J717" i="4"/>
  <c r="J589" i="4"/>
  <c r="J402" i="4"/>
  <c r="J811" i="4"/>
  <c r="J803" i="4"/>
  <c r="J795" i="4"/>
  <c r="J787" i="4"/>
  <c r="J779" i="4"/>
  <c r="J771" i="4"/>
  <c r="J763" i="4"/>
  <c r="J755" i="4"/>
  <c r="J747" i="4"/>
  <c r="J739" i="4"/>
  <c r="J731" i="4"/>
  <c r="J723" i="4"/>
  <c r="J711" i="4"/>
  <c r="J703" i="4"/>
  <c r="J695" i="4"/>
  <c r="J687" i="4"/>
  <c r="J679" i="4"/>
  <c r="J671" i="4"/>
  <c r="J663" i="4"/>
  <c r="J655" i="4"/>
  <c r="J647" i="4"/>
  <c r="J639" i="4"/>
  <c r="J631" i="4"/>
  <c r="J627" i="4"/>
  <c r="J619" i="4"/>
  <c r="J611" i="4"/>
  <c r="J603" i="4"/>
  <c r="J595" i="4"/>
  <c r="J587" i="4"/>
  <c r="J579" i="4"/>
  <c r="J571" i="4"/>
  <c r="J563" i="4"/>
  <c r="J555" i="4"/>
  <c r="J543" i="4"/>
  <c r="J535" i="4"/>
  <c r="J527" i="4"/>
  <c r="J523" i="4"/>
  <c r="J515" i="4"/>
  <c r="J507" i="4"/>
  <c r="J495" i="4"/>
  <c r="J487" i="4"/>
  <c r="J479" i="4"/>
  <c r="J471" i="4"/>
  <c r="J467" i="4"/>
  <c r="J465" i="4"/>
  <c r="J459" i="4"/>
  <c r="J447" i="4"/>
  <c r="J439" i="4"/>
  <c r="J435" i="4"/>
  <c r="J433" i="4"/>
  <c r="J427" i="4"/>
  <c r="J415" i="4"/>
  <c r="J407" i="4"/>
  <c r="J399" i="4"/>
  <c r="J391" i="4"/>
  <c r="J383" i="4"/>
  <c r="J375" i="4"/>
  <c r="J363" i="4"/>
  <c r="J355" i="4"/>
  <c r="J347" i="4"/>
  <c r="J339" i="4"/>
  <c r="J331" i="4"/>
  <c r="J323" i="4"/>
  <c r="J315" i="4"/>
  <c r="J307" i="4"/>
  <c r="J299" i="4"/>
  <c r="J291" i="4"/>
  <c r="J283" i="4"/>
  <c r="J275" i="4"/>
  <c r="J267" i="4"/>
  <c r="J259" i="4"/>
  <c r="J251" i="4"/>
  <c r="J243" i="4"/>
  <c r="J235" i="4"/>
  <c r="J227" i="4"/>
  <c r="J219" i="4"/>
  <c r="J211" i="4"/>
  <c r="J203" i="4"/>
  <c r="J195" i="4"/>
  <c r="J183" i="4"/>
  <c r="J175" i="4"/>
  <c r="J167" i="4"/>
  <c r="J163" i="4"/>
  <c r="J151" i="4"/>
  <c r="J123" i="4"/>
  <c r="J1281" i="4"/>
  <c r="J1277" i="4"/>
  <c r="J1273" i="4"/>
  <c r="J1269" i="4"/>
  <c r="J1265" i="4"/>
  <c r="J1261" i="4"/>
  <c r="J1257" i="4"/>
  <c r="J1253" i="4"/>
  <c r="J1249" i="4"/>
  <c r="J1245" i="4"/>
  <c r="J1241" i="4"/>
  <c r="J1237" i="4"/>
  <c r="J1233" i="4"/>
  <c r="J1229" i="4"/>
  <c r="J1225" i="4"/>
  <c r="J1221" i="4"/>
  <c r="J1217" i="4"/>
  <c r="J1213" i="4"/>
  <c r="J1209" i="4"/>
  <c r="J1205" i="4"/>
  <c r="J1201" i="4"/>
  <c r="J1197" i="4"/>
  <c r="J1193" i="4"/>
  <c r="J1189" i="4"/>
  <c r="J1185" i="4"/>
  <c r="J1181" i="4"/>
  <c r="J1177" i="4"/>
  <c r="J1173" i="4"/>
  <c r="J1169" i="4"/>
  <c r="J1165" i="4"/>
  <c r="J1161" i="4"/>
  <c r="J1157" i="4"/>
  <c r="J1153" i="4"/>
  <c r="J1149" i="4"/>
  <c r="J1145" i="4"/>
  <c r="J1141" i="4"/>
  <c r="J1137" i="4"/>
  <c r="J1133" i="4"/>
  <c r="J1129" i="4"/>
  <c r="J1125" i="4"/>
  <c r="J1121" i="4"/>
  <c r="J1117" i="4"/>
  <c r="J1113" i="4"/>
  <c r="J1109" i="4"/>
  <c r="J1105" i="4"/>
  <c r="J1101" i="4"/>
  <c r="J1097" i="4"/>
  <c r="J1093" i="4"/>
  <c r="J1089" i="4"/>
  <c r="J1085" i="4"/>
  <c r="J1081" i="4"/>
  <c r="J1077" i="4"/>
  <c r="J1073" i="4"/>
  <c r="J1069" i="4"/>
  <c r="J1065" i="4"/>
  <c r="J1061" i="4"/>
  <c r="J1057" i="4"/>
  <c r="J1053" i="4"/>
  <c r="J1049" i="4"/>
  <c r="J1045" i="4"/>
  <c r="J1041" i="4"/>
  <c r="J1037" i="4"/>
  <c r="J1033" i="4"/>
  <c r="J1029" i="4"/>
  <c r="J1013" i="4"/>
  <c r="J1009" i="4"/>
  <c r="J997" i="4"/>
  <c r="J981" i="4"/>
  <c r="J977" i="4"/>
  <c r="J965" i="4"/>
  <c r="J949" i="4"/>
  <c r="J933" i="4"/>
  <c r="J917" i="4"/>
  <c r="J901" i="4"/>
  <c r="J885" i="4"/>
  <c r="J869" i="4"/>
  <c r="J853" i="4"/>
  <c r="J837" i="4"/>
  <c r="J821" i="4"/>
  <c r="J805" i="4"/>
  <c r="J789" i="4"/>
  <c r="J773" i="4"/>
  <c r="J757" i="4"/>
  <c r="J741" i="4"/>
  <c r="J725" i="4"/>
  <c r="J709" i="4"/>
  <c r="J693" i="4"/>
  <c r="J677" i="4"/>
  <c r="J661" i="4"/>
  <c r="J645" i="4"/>
  <c r="J629" i="4"/>
  <c r="J613" i="4"/>
  <c r="J597" i="4"/>
  <c r="J581" i="4"/>
  <c r="J565" i="4"/>
  <c r="J549" i="4"/>
  <c r="J533" i="4"/>
  <c r="J513" i="4"/>
  <c r="J481" i="4"/>
  <c r="J449" i="4"/>
  <c r="J417" i="4"/>
  <c r="J385" i="4"/>
  <c r="J353" i="4"/>
  <c r="J297" i="4"/>
  <c r="J233" i="4"/>
  <c r="J169" i="4"/>
  <c r="J105" i="4"/>
  <c r="J41" i="4"/>
  <c r="J765" i="4"/>
  <c r="J701" i="4"/>
  <c r="J637" i="4"/>
  <c r="J573" i="4"/>
  <c r="J498" i="4"/>
  <c r="J370" i="4"/>
  <c r="J137" i="4"/>
  <c r="J813" i="4"/>
  <c r="J749" i="4"/>
  <c r="J685" i="4"/>
  <c r="J621" i="4"/>
  <c r="J557" i="4"/>
  <c r="J466" i="4"/>
  <c r="J329" i="4"/>
  <c r="J99" i="4"/>
  <c r="J87" i="4"/>
  <c r="J79" i="4"/>
  <c r="J67" i="4"/>
  <c r="J55" i="4"/>
  <c r="J43" i="4"/>
  <c r="J31" i="4"/>
  <c r="J19" i="4"/>
  <c r="J95" i="4"/>
  <c r="J83" i="4"/>
  <c r="J71" i="4"/>
  <c r="J63" i="4"/>
  <c r="J51" i="4"/>
  <c r="J39" i="4"/>
  <c r="J27" i="4"/>
  <c r="J15" i="4"/>
  <c r="J1026" i="4"/>
  <c r="J1022" i="4"/>
  <c r="J1018" i="4"/>
  <c r="J1014" i="4"/>
  <c r="J1010" i="4"/>
  <c r="J1006" i="4"/>
  <c r="J1002" i="4"/>
  <c r="J998" i="4"/>
  <c r="J994" i="4"/>
  <c r="J990" i="4"/>
  <c r="J986" i="4"/>
  <c r="J982" i="4"/>
  <c r="J978" i="4"/>
  <c r="J974" i="4"/>
  <c r="J970" i="4"/>
  <c r="J966" i="4"/>
  <c r="J962" i="4"/>
  <c r="J958" i="4"/>
  <c r="J954" i="4"/>
  <c r="J950" i="4"/>
  <c r="J946" i="4"/>
  <c r="J942" i="4"/>
  <c r="J938" i="4"/>
  <c r="J934" i="4"/>
  <c r="J930" i="4"/>
  <c r="J926" i="4"/>
  <c r="J922" i="4"/>
  <c r="J918" i="4"/>
  <c r="J914" i="4"/>
  <c r="J910" i="4"/>
  <c r="J906" i="4"/>
  <c r="J902" i="4"/>
  <c r="J898" i="4"/>
  <c r="J894" i="4"/>
  <c r="J890" i="4"/>
  <c r="J886" i="4"/>
  <c r="J882" i="4"/>
  <c r="J878" i="4"/>
  <c r="J874" i="4"/>
  <c r="J870" i="4"/>
  <c r="J866" i="4"/>
  <c r="J862" i="4"/>
  <c r="J858" i="4"/>
  <c r="J854" i="4"/>
  <c r="J850" i="4"/>
  <c r="J846" i="4"/>
  <c r="J842" i="4"/>
  <c r="J838" i="4"/>
  <c r="J834" i="4"/>
  <c r="J830" i="4"/>
  <c r="J826" i="4"/>
  <c r="J822" i="4"/>
  <c r="J818" i="4"/>
  <c r="J814" i="4"/>
  <c r="J810" i="4"/>
  <c r="J806" i="4"/>
  <c r="J802" i="4"/>
  <c r="J798" i="4"/>
  <c r="J794" i="4"/>
  <c r="J790" i="4"/>
  <c r="J786" i="4"/>
  <c r="J782" i="4"/>
  <c r="J778" i="4"/>
  <c r="J774" i="4"/>
  <c r="J770" i="4"/>
  <c r="J766" i="4"/>
  <c r="J762" i="4"/>
  <c r="J758" i="4"/>
  <c r="J754" i="4"/>
  <c r="J750" i="4"/>
  <c r="J746" i="4"/>
  <c r="J742" i="4"/>
  <c r="J738" i="4"/>
  <c r="J734" i="4"/>
  <c r="J730" i="4"/>
  <c r="J726" i="4"/>
  <c r="J722" i="4"/>
  <c r="J718" i="4"/>
  <c r="J714" i="4"/>
  <c r="J710" i="4"/>
  <c r="J706" i="4"/>
  <c r="J702" i="4"/>
  <c r="J698" i="4"/>
  <c r="J694" i="4"/>
  <c r="J690" i="4"/>
  <c r="J686" i="4"/>
  <c r="J682" i="4"/>
  <c r="J678" i="4"/>
  <c r="J674" i="4"/>
  <c r="J670" i="4"/>
  <c r="J666" i="4"/>
  <c r="J662" i="4"/>
  <c r="J658" i="4"/>
  <c r="J654" i="4"/>
  <c r="J650" i="4"/>
  <c r="J646" i="4"/>
  <c r="J642" i="4"/>
  <c r="J638" i="4"/>
  <c r="J634" i="4"/>
  <c r="J630" i="4"/>
  <c r="J626" i="4"/>
  <c r="J622" i="4"/>
  <c r="J618" i="4"/>
  <c r="J614" i="4"/>
  <c r="J610" i="4"/>
  <c r="J606" i="4"/>
  <c r="J602" i="4"/>
  <c r="J598" i="4"/>
  <c r="J594" i="4"/>
  <c r="J590" i="4"/>
  <c r="J586" i="4"/>
  <c r="J582" i="4"/>
  <c r="J578" i="4"/>
  <c r="J574" i="4"/>
  <c r="J570" i="4"/>
  <c r="J566" i="4"/>
  <c r="J562" i="4"/>
  <c r="J558" i="4"/>
  <c r="J554" i="4"/>
  <c r="J550" i="4"/>
  <c r="J546" i="4"/>
  <c r="J542" i="4"/>
  <c r="J538" i="4"/>
  <c r="J534" i="4"/>
  <c r="J530" i="4"/>
  <c r="J526" i="4"/>
  <c r="J522" i="4"/>
  <c r="J518" i="4"/>
  <c r="J510" i="4"/>
  <c r="J506" i="4"/>
  <c r="J502" i="4"/>
  <c r="J494" i="4"/>
  <c r="J490" i="4"/>
  <c r="J486" i="4"/>
  <c r="J478" i="4"/>
  <c r="J474" i="4"/>
  <c r="J470" i="4"/>
  <c r="J462" i="4"/>
  <c r="J458" i="4"/>
  <c r="J454" i="4"/>
  <c r="J446" i="4"/>
  <c r="J442" i="4"/>
  <c r="J438" i="4"/>
  <c r="J430" i="4"/>
  <c r="J426" i="4"/>
  <c r="J422" i="4"/>
  <c r="J414" i="4"/>
  <c r="J410" i="4"/>
  <c r="J406" i="4"/>
  <c r="J398" i="4"/>
  <c r="J394" i="4"/>
  <c r="J390" i="4"/>
  <c r="J382" i="4"/>
  <c r="J378" i="4"/>
  <c r="J374" i="4"/>
  <c r="J366" i="4"/>
  <c r="J362" i="4"/>
  <c r="J358" i="4"/>
  <c r="J350" i="4"/>
  <c r="J346" i="4"/>
  <c r="J342" i="4"/>
  <c r="J338" i="4"/>
  <c r="J334" i="4"/>
  <c r="J330" i="4"/>
  <c r="J326" i="4"/>
  <c r="J322" i="4"/>
  <c r="J318" i="4"/>
  <c r="J314" i="4"/>
  <c r="J310" i="4"/>
  <c r="J306" i="4"/>
  <c r="J302" i="4"/>
  <c r="J298" i="4"/>
  <c r="J294" i="4"/>
  <c r="J290" i="4"/>
  <c r="J286" i="4"/>
  <c r="J282" i="4"/>
  <c r="J278" i="4"/>
  <c r="J274" i="4"/>
  <c r="J270" i="4"/>
  <c r="J266" i="4"/>
  <c r="J262" i="4"/>
  <c r="J258" i="4"/>
  <c r="J254" i="4"/>
  <c r="J250" i="4"/>
  <c r="J246" i="4"/>
  <c r="J242" i="4"/>
  <c r="J238" i="4"/>
  <c r="J234" i="4"/>
  <c r="J230" i="4"/>
  <c r="J226" i="4"/>
  <c r="J222" i="4"/>
  <c r="J218" i="4"/>
  <c r="J214" i="4"/>
  <c r="J210" i="4"/>
  <c r="J206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103" i="4"/>
  <c r="J91" i="4"/>
  <c r="J75" i="4"/>
  <c r="J59" i="4"/>
  <c r="J47" i="4"/>
  <c r="J35" i="4"/>
  <c r="J23" i="4"/>
  <c r="J11" i="4"/>
  <c r="J1021" i="4"/>
  <c r="J1017" i="4"/>
  <c r="J1005" i="4"/>
  <c r="J1001" i="4"/>
  <c r="J989" i="4"/>
  <c r="J985" i="4"/>
  <c r="J973" i="4"/>
  <c r="J969" i="4"/>
  <c r="J961" i="4"/>
  <c r="J953" i="4"/>
  <c r="J945" i="4"/>
  <c r="J937" i="4"/>
  <c r="J929" i="4"/>
  <c r="J921" i="4"/>
  <c r="J913" i="4"/>
  <c r="J905" i="4"/>
  <c r="J897" i="4"/>
  <c r="J889" i="4"/>
  <c r="J881" i="4"/>
  <c r="J873" i="4"/>
  <c r="J865" i="4"/>
  <c r="J857" i="4"/>
  <c r="J849" i="4"/>
  <c r="J841" i="4"/>
  <c r="J833" i="4"/>
  <c r="J825" i="4"/>
  <c r="J817" i="4"/>
  <c r="J809" i="4"/>
  <c r="J801" i="4"/>
  <c r="J793" i="4"/>
  <c r="J785" i="4"/>
  <c r="J777" i="4"/>
  <c r="J769" i="4"/>
  <c r="J761" i="4"/>
  <c r="J753" i="4"/>
  <c r="J745" i="4"/>
  <c r="J737" i="4"/>
  <c r="J729" i="4"/>
  <c r="J721" i="4"/>
  <c r="J713" i="4"/>
  <c r="J705" i="4"/>
  <c r="J697" i="4"/>
  <c r="J689" i="4"/>
  <c r="J681" i="4"/>
  <c r="J673" i="4"/>
  <c r="J665" i="4"/>
  <c r="J657" i="4"/>
  <c r="J649" i="4"/>
  <c r="J641" i="4"/>
  <c r="J633" i="4"/>
  <c r="J625" i="4"/>
  <c r="J617" i="4"/>
  <c r="J609" i="4"/>
  <c r="J601" i="4"/>
  <c r="J593" i="4"/>
  <c r="J585" i="4"/>
  <c r="J577" i="4"/>
  <c r="J569" i="4"/>
  <c r="J561" i="4"/>
  <c r="J553" i="4"/>
  <c r="J545" i="4"/>
  <c r="J537" i="4"/>
  <c r="J529" i="4"/>
  <c r="J521" i="4"/>
  <c r="J517" i="4"/>
  <c r="J509" i="4"/>
  <c r="J505" i="4"/>
  <c r="J501" i="4"/>
  <c r="J493" i="4"/>
  <c r="J489" i="4"/>
  <c r="J485" i="4"/>
  <c r="J477" i="4"/>
  <c r="J473" i="4"/>
  <c r="J469" i="4"/>
  <c r="J461" i="4"/>
  <c r="J457" i="4"/>
  <c r="J453" i="4"/>
  <c r="J445" i="4"/>
  <c r="J441" i="4"/>
  <c r="J437" i="4"/>
  <c r="J429" i="4"/>
  <c r="J425" i="4"/>
  <c r="J421" i="4"/>
  <c r="J413" i="4"/>
  <c r="J409" i="4"/>
  <c r="J405" i="4"/>
  <c r="J397" i="4"/>
  <c r="J393" i="4"/>
  <c r="J389" i="4"/>
  <c r="J381" i="4"/>
  <c r="J377" i="4"/>
  <c r="J373" i="4"/>
  <c r="J365" i="4"/>
  <c r="J361" i="4"/>
  <c r="J357" i="4"/>
  <c r="J349" i="4"/>
  <c r="J345" i="4"/>
  <c r="J341" i="4"/>
  <c r="J337" i="4"/>
  <c r="J333" i="4"/>
  <c r="J325" i="4"/>
  <c r="J321" i="4"/>
  <c r="J317" i="4"/>
  <c r="J313" i="4"/>
  <c r="J309" i="4"/>
  <c r="J305" i="4"/>
  <c r="J301" i="4"/>
  <c r="J293" i="4"/>
  <c r="J289" i="4"/>
  <c r="J285" i="4"/>
  <c r="J281" i="4"/>
  <c r="J277" i="4"/>
  <c r="J273" i="4"/>
  <c r="J269" i="4"/>
  <c r="J261" i="4"/>
  <c r="J257" i="4"/>
  <c r="J253" i="4"/>
  <c r="J249" i="4"/>
  <c r="J245" i="4"/>
  <c r="J241" i="4"/>
  <c r="J237" i="4"/>
  <c r="J229" i="4"/>
  <c r="J225" i="4"/>
  <c r="J221" i="4"/>
  <c r="J217" i="4"/>
  <c r="J213" i="4"/>
  <c r="J209" i="4"/>
  <c r="J205" i="4"/>
  <c r="J197" i="4"/>
  <c r="J193" i="4"/>
  <c r="J189" i="4"/>
  <c r="J185" i="4"/>
  <c r="J181" i="4"/>
  <c r="J177" i="4"/>
  <c r="J173" i="4"/>
  <c r="J165" i="4"/>
  <c r="J161" i="4"/>
  <c r="J157" i="4"/>
  <c r="J153" i="4"/>
  <c r="J149" i="4"/>
  <c r="J145" i="4"/>
  <c r="J141" i="4"/>
  <c r="J133" i="4"/>
  <c r="J129" i="4"/>
  <c r="J125" i="4"/>
  <c r="J121" i="4"/>
  <c r="J117" i="4"/>
  <c r="J113" i="4"/>
  <c r="J109" i="4"/>
  <c r="J101" i="4"/>
  <c r="J97" i="4"/>
  <c r="J93" i="4"/>
  <c r="J89" i="4"/>
  <c r="J85" i="4"/>
  <c r="J81" i="4"/>
  <c r="J77" i="4"/>
  <c r="J69" i="4"/>
  <c r="J65" i="4"/>
  <c r="J61" i="4"/>
  <c r="J57" i="4"/>
  <c r="J53" i="4"/>
  <c r="J49" i="4"/>
  <c r="J45" i="4"/>
  <c r="J37" i="4"/>
  <c r="J33" i="4"/>
  <c r="J29" i="4"/>
  <c r="J25" i="4"/>
  <c r="J21" i="4"/>
  <c r="J17" i="4"/>
  <c r="J13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AG754" i="2" l="1"/>
  <c r="AG817" i="2"/>
  <c r="AG462" i="2"/>
  <c r="AG1218" i="2"/>
  <c r="AG1479" i="2"/>
  <c r="AG1583" i="2"/>
  <c r="AG91" i="2"/>
  <c r="AG408" i="2"/>
  <c r="AG523" i="2"/>
  <c r="AG1480" i="2"/>
  <c r="AG1573" i="2"/>
  <c r="AG1411" i="2"/>
  <c r="AG589" i="2"/>
  <c r="AG887" i="2"/>
  <c r="AG723" i="2"/>
  <c r="AG1570" i="2"/>
  <c r="AG1578" i="2"/>
  <c r="AG1275" i="2"/>
  <c r="AG574" i="2"/>
  <c r="AG993" i="2"/>
  <c r="AG1105" i="2"/>
  <c r="AG1399" i="2"/>
  <c r="AG1451" i="2"/>
  <c r="AG828" i="2"/>
  <c r="AG99" i="2"/>
  <c r="AG6" i="2"/>
  <c r="AG45" i="2"/>
  <c r="AH45" i="2" s="1"/>
  <c r="AG522" i="2"/>
  <c r="AG470" i="2"/>
  <c r="AG830" i="2"/>
  <c r="AG762" i="2"/>
  <c r="AH762" i="2" s="1"/>
  <c r="AG655" i="2"/>
  <c r="AG973" i="2"/>
  <c r="D19" i="1"/>
  <c r="D31" i="1"/>
  <c r="D11" i="1"/>
  <c r="D23" i="1"/>
  <c r="D15" i="1"/>
  <c r="D27" i="1"/>
  <c r="D12" i="1"/>
  <c r="D20" i="1"/>
  <c r="D24" i="1"/>
  <c r="D7" i="1"/>
  <c r="D33" i="1"/>
  <c r="D4" i="1"/>
  <c r="D21" i="1"/>
  <c r="D34" i="1"/>
  <c r="D30" i="1"/>
  <c r="D10" i="1"/>
  <c r="D6" i="1"/>
  <c r="D18" i="1"/>
  <c r="D25" i="1"/>
  <c r="D26" i="1"/>
  <c r="D22" i="1"/>
  <c r="D28" i="1"/>
  <c r="D14" i="1"/>
  <c r="D16" i="1"/>
  <c r="D32" i="1"/>
  <c r="D29" i="1"/>
  <c r="D5" i="1"/>
  <c r="D17" i="1"/>
  <c r="D8" i="1"/>
  <c r="D9" i="1"/>
  <c r="D13" i="1"/>
  <c r="AG201" i="2"/>
  <c r="AG318" i="2"/>
  <c r="AG350" i="2"/>
  <c r="AH350" i="2" s="1"/>
  <c r="AG197" i="2"/>
  <c r="AG554" i="2"/>
  <c r="AG510" i="2"/>
  <c r="AG546" i="2"/>
  <c r="AH546" i="2" s="1"/>
  <c r="AG410" i="2"/>
  <c r="AG738" i="2"/>
  <c r="AG253" i="2"/>
  <c r="AG140" i="2"/>
  <c r="AH140" i="2" s="1"/>
  <c r="AG454" i="2"/>
  <c r="AG426" i="2"/>
  <c r="AG1381" i="2"/>
  <c r="AG82" i="2"/>
  <c r="AH82" i="2" s="1"/>
  <c r="AG433" i="2"/>
  <c r="AG842" i="2"/>
  <c r="AG333" i="2"/>
  <c r="AH18" i="2"/>
  <c r="AH32" i="2"/>
  <c r="AH40" i="2"/>
  <c r="AH48" i="2"/>
  <c r="AH68" i="2"/>
  <c r="AH80" i="2"/>
  <c r="AH75" i="2"/>
  <c r="AH100" i="2"/>
  <c r="AH103" i="2"/>
  <c r="AH109" i="2"/>
  <c r="AH143" i="2"/>
  <c r="AH155" i="2"/>
  <c r="AH175" i="2"/>
  <c r="AH191" i="2"/>
  <c r="AH207" i="2"/>
  <c r="AH15" i="2"/>
  <c r="AH240" i="2"/>
  <c r="AH110" i="2"/>
  <c r="AH128" i="2"/>
  <c r="AH150" i="2"/>
  <c r="AH152" i="2"/>
  <c r="AH168" i="2"/>
  <c r="AH184" i="2"/>
  <c r="AH216" i="2"/>
  <c r="AH239" i="2"/>
  <c r="AH241" i="2"/>
  <c r="AH259" i="2"/>
  <c r="AH271" i="2"/>
  <c r="AH281" i="2"/>
  <c r="AH295" i="2"/>
  <c r="AH101" i="2"/>
  <c r="AH201" i="2"/>
  <c r="AH318" i="2"/>
  <c r="AH197" i="2"/>
  <c r="AG242" i="2"/>
  <c r="AH258" i="2"/>
  <c r="AH274" i="2"/>
  <c r="AG290" i="2"/>
  <c r="AG330" i="2"/>
  <c r="AH336" i="2"/>
  <c r="AG354" i="2"/>
  <c r="AG375" i="2"/>
  <c r="AH308" i="2"/>
  <c r="AH388" i="2"/>
  <c r="AH412" i="2"/>
  <c r="AH424" i="2"/>
  <c r="AH436" i="2"/>
  <c r="AH448" i="2"/>
  <c r="AH1519" i="2"/>
  <c r="AH60" i="2"/>
  <c r="AH56" i="2"/>
  <c r="AH72" i="2"/>
  <c r="AH16" i="2"/>
  <c r="AH105" i="2"/>
  <c r="AH115" i="2"/>
  <c r="AH127" i="2"/>
  <c r="AH139" i="2"/>
  <c r="AH145" i="2"/>
  <c r="AH159" i="2"/>
  <c r="AH179" i="2"/>
  <c r="AH195" i="2"/>
  <c r="AH211" i="2"/>
  <c r="AH20" i="2"/>
  <c r="AH51" i="2"/>
  <c r="AH85" i="2"/>
  <c r="AH233" i="2"/>
  <c r="AH180" i="2"/>
  <c r="AH196" i="2"/>
  <c r="AH236" i="2"/>
  <c r="AH255" i="2"/>
  <c r="AH265" i="2"/>
  <c r="AH277" i="2"/>
  <c r="AH283" i="2"/>
  <c r="AH311" i="2"/>
  <c r="AH319" i="2"/>
  <c r="AH327" i="2"/>
  <c r="AH351" i="2"/>
  <c r="AH362" i="2"/>
  <c r="AH377" i="2"/>
  <c r="AH262" i="2"/>
  <c r="AH329" i="2"/>
  <c r="AH370" i="2"/>
  <c r="AH420" i="2"/>
  <c r="AH432" i="2"/>
  <c r="AH454" i="2"/>
  <c r="AH6" i="2"/>
  <c r="AH22" i="2"/>
  <c r="AH30" i="2"/>
  <c r="AH36" i="2"/>
  <c r="AH44" i="2"/>
  <c r="AH52" i="2"/>
  <c r="AH96" i="2"/>
  <c r="AH76" i="2"/>
  <c r="AH84" i="2"/>
  <c r="AH92" i="2"/>
  <c r="AH4" i="2"/>
  <c r="AH9" i="2"/>
  <c r="AH111" i="2"/>
  <c r="AH117" i="2"/>
  <c r="AH123" i="2"/>
  <c r="AH135" i="2"/>
  <c r="AH167" i="2"/>
  <c r="AH183" i="2"/>
  <c r="AH199" i="2"/>
  <c r="AH215" i="2"/>
  <c r="AG89" i="2"/>
  <c r="AH219" i="2"/>
  <c r="AH235" i="2"/>
  <c r="AG120" i="2"/>
  <c r="AH160" i="2"/>
  <c r="AH176" i="2"/>
  <c r="AH192" i="2"/>
  <c r="AH208" i="2"/>
  <c r="AH223" i="2"/>
  <c r="AH249" i="2"/>
  <c r="AH261" i="2"/>
  <c r="AH267" i="2"/>
  <c r="AH273" i="2"/>
  <c r="AH279" i="2"/>
  <c r="AH291" i="2"/>
  <c r="AH297" i="2"/>
  <c r="AH250" i="2"/>
  <c r="AH298" i="2"/>
  <c r="AH332" i="2"/>
  <c r="AH334" i="2"/>
  <c r="AH353" i="2"/>
  <c r="AH363" i="2"/>
  <c r="AH396" i="2"/>
  <c r="AH444" i="2"/>
  <c r="AH452" i="2"/>
  <c r="AH394" i="2"/>
  <c r="AH426" i="2"/>
  <c r="AH779" i="2"/>
  <c r="AH88" i="2"/>
  <c r="AH64" i="2"/>
  <c r="AH49" i="2"/>
  <c r="AH8" i="2"/>
  <c r="AH13" i="2"/>
  <c r="AH28" i="2"/>
  <c r="AH107" i="2"/>
  <c r="AH147" i="2"/>
  <c r="AH171" i="2"/>
  <c r="AH187" i="2"/>
  <c r="AH203" i="2"/>
  <c r="AH3" i="2"/>
  <c r="AH77" i="2"/>
  <c r="AH124" i="2"/>
  <c r="AH136" i="2"/>
  <c r="AH156" i="2"/>
  <c r="AH172" i="2"/>
  <c r="AH188" i="2"/>
  <c r="AH204" i="2"/>
  <c r="AH220" i="2"/>
  <c r="AH245" i="2"/>
  <c r="AH251" i="2"/>
  <c r="AH257" i="2"/>
  <c r="AH263" i="2"/>
  <c r="AH275" i="2"/>
  <c r="AH285" i="2"/>
  <c r="AH299" i="2"/>
  <c r="AH315" i="2"/>
  <c r="AH323" i="2"/>
  <c r="AH339" i="2"/>
  <c r="AH347" i="2"/>
  <c r="AH355" i="2"/>
  <c r="AH314" i="2"/>
  <c r="AH378" i="2"/>
  <c r="AH286" i="2"/>
  <c r="AH369" i="2"/>
  <c r="AH392" i="2"/>
  <c r="AH404" i="2"/>
  <c r="AH417" i="2"/>
  <c r="AH428" i="2"/>
  <c r="AH440" i="2"/>
  <c r="AH1381" i="2"/>
  <c r="AH480" i="2"/>
  <c r="AH488" i="2"/>
  <c r="AH508" i="2"/>
  <c r="AH516" i="2"/>
  <c r="AH486" i="2"/>
  <c r="AH522" i="2"/>
  <c r="AH562" i="2"/>
  <c r="AH393" i="2"/>
  <c r="AH413" i="2"/>
  <c r="AH457" i="2"/>
  <c r="AH482" i="2"/>
  <c r="AH564" i="2"/>
  <c r="AH572" i="2"/>
  <c r="AH586" i="2"/>
  <c r="AH592" i="2"/>
  <c r="AH602" i="2"/>
  <c r="AH608" i="2"/>
  <c r="AH618" i="2"/>
  <c r="AH624" i="2"/>
  <c r="AH634" i="2"/>
  <c r="AH640" i="2"/>
  <c r="AH650" i="2"/>
  <c r="AH656" i="2"/>
  <c r="AH666" i="2"/>
  <c r="AH672" i="2"/>
  <c r="AH682" i="2"/>
  <c r="AH698" i="2"/>
  <c r="AH470" i="2"/>
  <c r="AH550" i="2"/>
  <c r="AH712" i="2"/>
  <c r="AH728" i="2"/>
  <c r="AH732" i="2"/>
  <c r="AH747" i="2"/>
  <c r="AH755" i="2"/>
  <c r="AH763" i="2"/>
  <c r="AH771" i="2"/>
  <c r="AH787" i="2"/>
  <c r="AH795" i="2"/>
  <c r="AH811" i="2"/>
  <c r="AH819" i="2"/>
  <c r="AH766" i="2"/>
  <c r="AH830" i="2"/>
  <c r="AH863" i="2"/>
  <c r="AH748" i="2"/>
  <c r="AH778" i="2"/>
  <c r="AH829" i="2"/>
  <c r="AH850" i="2"/>
  <c r="AH894" i="2"/>
  <c r="AH916" i="2"/>
  <c r="AH922" i="2"/>
  <c r="AH934" i="2"/>
  <c r="AH944" i="2"/>
  <c r="AH956" i="2"/>
  <c r="AH962" i="2"/>
  <c r="AH968" i="2"/>
  <c r="AH986" i="2"/>
  <c r="AH996" i="2"/>
  <c r="AH1010" i="2"/>
  <c r="AH1022" i="2"/>
  <c r="AH1028" i="2"/>
  <c r="AH1034" i="2"/>
  <c r="AH1044" i="2"/>
  <c r="AH1050" i="2"/>
  <c r="AH1060" i="2"/>
  <c r="AH1066" i="2"/>
  <c r="AH1078" i="2"/>
  <c r="AH1088" i="2"/>
  <c r="AH1100" i="2"/>
  <c r="AH1106" i="2"/>
  <c r="AH1116" i="2"/>
  <c r="AH1132" i="2"/>
  <c r="AH1138" i="2"/>
  <c r="AH1148" i="2"/>
  <c r="AH1154" i="2"/>
  <c r="AH1164" i="2"/>
  <c r="AH1180" i="2"/>
  <c r="AH1196" i="2"/>
  <c r="AH655" i="2"/>
  <c r="AH687" i="2"/>
  <c r="AH703" i="2"/>
  <c r="AH776" i="2"/>
  <c r="AH808" i="2"/>
  <c r="AH818" i="2"/>
  <c r="AH1224" i="2"/>
  <c r="AH993" i="2"/>
  <c r="AH1057" i="2"/>
  <c r="AH1105" i="2"/>
  <c r="AH1121" i="2"/>
  <c r="AH1247" i="2"/>
  <c r="AH1416" i="2"/>
  <c r="AH1467" i="2"/>
  <c r="AH1473" i="2"/>
  <c r="AH1475" i="2"/>
  <c r="AH1482" i="2"/>
  <c r="AH1489" i="2"/>
  <c r="AH1491" i="2"/>
  <c r="AH1498" i="2"/>
  <c r="AH1530" i="2"/>
  <c r="AH1539" i="2"/>
  <c r="AH1546" i="2"/>
  <c r="AH1602" i="2"/>
  <c r="AH1618" i="2"/>
  <c r="AH1634" i="2"/>
  <c r="AH1650" i="2"/>
  <c r="AH1666" i="2"/>
  <c r="AH1682" i="2"/>
  <c r="AH1698" i="2"/>
  <c r="AH1714" i="2"/>
  <c r="AH1730" i="2"/>
  <c r="AH1317" i="2"/>
  <c r="AH1212" i="2"/>
  <c r="AH1313" i="2"/>
  <c r="AH1337" i="2"/>
  <c r="AH1361" i="2"/>
  <c r="AH1380" i="2"/>
  <c r="AH1396" i="2"/>
  <c r="AH1412" i="2"/>
  <c r="AH1427" i="2"/>
  <c r="AH1486" i="2"/>
  <c r="AH1333" i="2"/>
  <c r="AH1357" i="2"/>
  <c r="AH1456" i="2"/>
  <c r="AH86" i="2"/>
  <c r="AH47" i="2"/>
  <c r="AH54" i="2"/>
  <c r="AH70" i="2"/>
  <c r="AH90" i="2"/>
  <c r="AH106" i="2"/>
  <c r="AH7" i="2"/>
  <c r="AH58" i="2"/>
  <c r="AH79" i="2"/>
  <c r="AH121" i="2"/>
  <c r="AH190" i="2"/>
  <c r="AH151" i="2"/>
  <c r="AH125" i="2"/>
  <c r="AH252" i="2"/>
  <c r="AH320" i="2"/>
  <c r="AH137" i="2"/>
  <c r="AH360" i="2"/>
  <c r="AH385" i="2"/>
  <c r="AH403" i="2"/>
  <c r="AH407" i="2"/>
  <c r="AH276" i="2"/>
  <c r="AH287" i="2"/>
  <c r="AH305" i="2"/>
  <c r="AH368" i="2"/>
  <c r="AH129" i="2"/>
  <c r="AH456" i="2"/>
  <c r="AH476" i="2"/>
  <c r="AH503" i="2"/>
  <c r="AH441" i="2"/>
  <c r="AH513" i="2"/>
  <c r="AH439" i="2"/>
  <c r="AH741" i="2"/>
  <c r="AH784" i="2"/>
  <c r="AH537" i="2"/>
  <c r="AH577" i="2"/>
  <c r="AH361" i="2"/>
  <c r="AH860" i="2"/>
  <c r="AH549" i="2"/>
  <c r="AG733" i="2"/>
  <c r="AH817" i="2"/>
  <c r="AH828" i="2"/>
  <c r="AH857" i="2"/>
  <c r="AH877" i="2"/>
  <c r="AH911" i="2"/>
  <c r="AH971" i="2"/>
  <c r="AH1027" i="2"/>
  <c r="AH1171" i="2"/>
  <c r="AH1219" i="2"/>
  <c r="AH1250" i="2"/>
  <c r="AH1314" i="2"/>
  <c r="AH1346" i="2"/>
  <c r="AH1007" i="2"/>
  <c r="AH1091" i="2"/>
  <c r="AH1131" i="2"/>
  <c r="AH1175" i="2"/>
  <c r="AH1239" i="2"/>
  <c r="AH1338" i="2"/>
  <c r="AH1442" i="2"/>
  <c r="AH1459" i="2"/>
  <c r="AH1564" i="2"/>
  <c r="AH1589" i="2"/>
  <c r="AH1621" i="2"/>
  <c r="AH1653" i="2"/>
  <c r="AH1685" i="2"/>
  <c r="AH1717" i="2"/>
  <c r="AH12" i="2"/>
  <c r="AH1187" i="2"/>
  <c r="AH1323" i="2"/>
  <c r="AH1372" i="2"/>
  <c r="AH1436" i="2"/>
  <c r="AH1440" i="2"/>
  <c r="AH1468" i="2"/>
  <c r="AH1480" i="2"/>
  <c r="AH1556" i="2"/>
  <c r="AH1573" i="2"/>
  <c r="AH1179" i="2"/>
  <c r="AH1316" i="2"/>
  <c r="AH1342" i="2"/>
  <c r="AH1411" i="2"/>
  <c r="AH1504" i="2"/>
  <c r="AH1544" i="2"/>
  <c r="AH1567" i="2"/>
  <c r="AH1572" i="2"/>
  <c r="AH42" i="2"/>
  <c r="AH83" i="2"/>
  <c r="AH142" i="2"/>
  <c r="AH186" i="2"/>
  <c r="AH238" i="2"/>
  <c r="AH248" i="2"/>
  <c r="AH451" i="2"/>
  <c r="AH681" i="2"/>
  <c r="AH443" i="2"/>
  <c r="AH493" i="2"/>
  <c r="AH589" i="2"/>
  <c r="AH344" i="2"/>
  <c r="AH481" i="2"/>
  <c r="AH529" i="2"/>
  <c r="AH641" i="2"/>
  <c r="AH689" i="2"/>
  <c r="AH1311" i="2"/>
  <c r="AH865" i="2"/>
  <c r="AH931" i="2"/>
  <c r="AH954" i="2"/>
  <c r="AH1339" i="2"/>
  <c r="AH1581" i="2"/>
  <c r="AH1649" i="2"/>
  <c r="AH1713" i="2"/>
  <c r="AH1336" i="2"/>
  <c r="AH1608" i="2"/>
  <c r="AH1689" i="2"/>
  <c r="AH1607" i="2"/>
  <c r="AH1616" i="2"/>
  <c r="AH1633" i="2"/>
  <c r="AH27" i="2"/>
  <c r="AH644" i="2"/>
  <c r="AH998" i="2"/>
  <c r="AH1569" i="2"/>
  <c r="AH1609" i="2"/>
  <c r="AH1695" i="2"/>
  <c r="AH1728" i="2"/>
  <c r="AH463" i="2"/>
  <c r="AH629" i="2"/>
  <c r="AH780" i="2"/>
  <c r="AH1516" i="2"/>
  <c r="AH1696" i="2"/>
  <c r="AH1299" i="2"/>
  <c r="AH1307" i="2"/>
  <c r="AH435" i="2"/>
  <c r="AH1632" i="2"/>
  <c r="AH464" i="2"/>
  <c r="AH472" i="2"/>
  <c r="AH500" i="2"/>
  <c r="AH528" i="2"/>
  <c r="AH536" i="2"/>
  <c r="AH544" i="2"/>
  <c r="AH552" i="2"/>
  <c r="AH410" i="2"/>
  <c r="AH453" i="2"/>
  <c r="AH554" i="2"/>
  <c r="AH570" i="2"/>
  <c r="AH397" i="2"/>
  <c r="AH421" i="2"/>
  <c r="AH442" i="2"/>
  <c r="AH582" i="2"/>
  <c r="AH588" i="2"/>
  <c r="AH598" i="2"/>
  <c r="AH604" i="2"/>
  <c r="AH614" i="2"/>
  <c r="AH630" i="2"/>
  <c r="AH646" i="2"/>
  <c r="AH662" i="2"/>
  <c r="AH668" i="2"/>
  <c r="AH678" i="2"/>
  <c r="AH684" i="2"/>
  <c r="AH694" i="2"/>
  <c r="AH700" i="2"/>
  <c r="AH310" i="2"/>
  <c r="AH714" i="2"/>
  <c r="AH734" i="2"/>
  <c r="AH576" i="2"/>
  <c r="AG782" i="2"/>
  <c r="AH749" i="2"/>
  <c r="AH796" i="2"/>
  <c r="AH813" i="2"/>
  <c r="AH881" i="2"/>
  <c r="AH886" i="2"/>
  <c r="AH890" i="2"/>
  <c r="AH900" i="2"/>
  <c r="AH912" i="2"/>
  <c r="AH918" i="2"/>
  <c r="AH928" i="2"/>
  <c r="AH940" i="2"/>
  <c r="AH946" i="2"/>
  <c r="AH952" i="2"/>
  <c r="AH970" i="2"/>
  <c r="AH992" i="2"/>
  <c r="AH1004" i="2"/>
  <c r="AH1040" i="2"/>
  <c r="AH1046" i="2"/>
  <c r="AH1056" i="2"/>
  <c r="AH1062" i="2"/>
  <c r="AH1072" i="2"/>
  <c r="AH1084" i="2"/>
  <c r="AH1090" i="2"/>
  <c r="AH1096" i="2"/>
  <c r="AH1112" i="2"/>
  <c r="AH1128" i="2"/>
  <c r="AH1144" i="2"/>
  <c r="AH1150" i="2"/>
  <c r="AH1160" i="2"/>
  <c r="AH1166" i="2"/>
  <c r="AH1176" i="2"/>
  <c r="AH1182" i="2"/>
  <c r="AH1192" i="2"/>
  <c r="AG635" i="2"/>
  <c r="AH651" i="2"/>
  <c r="AH667" i="2"/>
  <c r="AG683" i="2"/>
  <c r="AH760" i="2"/>
  <c r="AH777" i="2"/>
  <c r="AH809" i="2"/>
  <c r="AH845" i="2"/>
  <c r="AH862" i="2"/>
  <c r="AH1218" i="2"/>
  <c r="AH1230" i="2"/>
  <c r="AH905" i="2"/>
  <c r="AH1238" i="2"/>
  <c r="AH1254" i="2"/>
  <c r="AH1270" i="2"/>
  <c r="AH1294" i="2"/>
  <c r="AH1382" i="2"/>
  <c r="AH1390" i="2"/>
  <c r="AH1406" i="2"/>
  <c r="AH1414" i="2"/>
  <c r="AH1430" i="2"/>
  <c r="AH802" i="2"/>
  <c r="AH963" i="2"/>
  <c r="AH973" i="2"/>
  <c r="AH997" i="2"/>
  <c r="AH1157" i="2"/>
  <c r="AH1195" i="2"/>
  <c r="AH1248" i="2"/>
  <c r="AH1469" i="2"/>
  <c r="AH1518" i="2"/>
  <c r="AH1557" i="2"/>
  <c r="AH1598" i="2"/>
  <c r="AH1614" i="2"/>
  <c r="AH1630" i="2"/>
  <c r="AH1646" i="2"/>
  <c r="AH1662" i="2"/>
  <c r="AH1678" i="2"/>
  <c r="AH1694" i="2"/>
  <c r="AH1710" i="2"/>
  <c r="AH1726" i="2"/>
  <c r="AH1513" i="2"/>
  <c r="AH1545" i="2"/>
  <c r="AH842" i="2"/>
  <c r="AH1243" i="2"/>
  <c r="AH1273" i="2"/>
  <c r="AH1289" i="2"/>
  <c r="AH1329" i="2"/>
  <c r="AH1353" i="2"/>
  <c r="AH1428" i="2"/>
  <c r="AH1463" i="2"/>
  <c r="AH1481" i="2"/>
  <c r="AH1495" i="2"/>
  <c r="AH1558" i="2"/>
  <c r="AH1562" i="2"/>
  <c r="AH1566" i="2"/>
  <c r="AH1570" i="2"/>
  <c r="AG1574" i="2"/>
  <c r="AH1578" i="2"/>
  <c r="AG1582" i="2"/>
  <c r="AH1586" i="2"/>
  <c r="AH1211" i="2"/>
  <c r="AH1256" i="2"/>
  <c r="AH1269" i="2"/>
  <c r="AH1288" i="2"/>
  <c r="AH1424" i="2"/>
  <c r="AH1437" i="2"/>
  <c r="AH1325" i="2"/>
  <c r="AH1560" i="2"/>
  <c r="AH87" i="2"/>
  <c r="AH23" i="2"/>
  <c r="AH67" i="2"/>
  <c r="AH94" i="2"/>
  <c r="AH10" i="2"/>
  <c r="AH154" i="2"/>
  <c r="AH153" i="2"/>
  <c r="AH62" i="2"/>
  <c r="AH268" i="2"/>
  <c r="AH321" i="2"/>
  <c r="AH356" i="2"/>
  <c r="AH395" i="2"/>
  <c r="AH399" i="2"/>
  <c r="AH118" i="2"/>
  <c r="AH133" i="2"/>
  <c r="AH289" i="2"/>
  <c r="AH465" i="2"/>
  <c r="AH141" i="2"/>
  <c r="AH222" i="2"/>
  <c r="AH237" i="2"/>
  <c r="AH253" i="2"/>
  <c r="AH333" i="2"/>
  <c r="AH753" i="2"/>
  <c r="AH792" i="2"/>
  <c r="AG304" i="2"/>
  <c r="AG515" i="2"/>
  <c r="AH555" i="2"/>
  <c r="AH744" i="2"/>
  <c r="AH789" i="2"/>
  <c r="AH803" i="2"/>
  <c r="AH864" i="2"/>
  <c r="AH876" i="2"/>
  <c r="AH906" i="2"/>
  <c r="AH964" i="2"/>
  <c r="AH730" i="2"/>
  <c r="AH915" i="2"/>
  <c r="AH821" i="2"/>
  <c r="AH923" i="2"/>
  <c r="AH948" i="2"/>
  <c r="AH951" i="2"/>
  <c r="AH979" i="2"/>
  <c r="AH983" i="2"/>
  <c r="AH987" i="2"/>
  <c r="AH991" i="2"/>
  <c r="AH995" i="2"/>
  <c r="AH1000" i="2"/>
  <c r="AH1008" i="2"/>
  <c r="AH1016" i="2"/>
  <c r="AH1024" i="2"/>
  <c r="AH1251" i="2"/>
  <c r="AH1275" i="2"/>
  <c r="AH930" i="2"/>
  <c r="AH1079" i="2"/>
  <c r="AH1087" i="2"/>
  <c r="AH1319" i="2"/>
  <c r="AH1351" i="2"/>
  <c r="AH1364" i="2"/>
  <c r="AH899" i="2"/>
  <c r="AH1023" i="2"/>
  <c r="AH1103" i="2"/>
  <c r="AH1139" i="2"/>
  <c r="AH1183" i="2"/>
  <c r="AH1388" i="2"/>
  <c r="AH1264" i="2"/>
  <c r="AH1597" i="2"/>
  <c r="AH1629" i="2"/>
  <c r="AH1661" i="2"/>
  <c r="AH1693" i="2"/>
  <c r="AH1725" i="2"/>
  <c r="AH1432" i="2"/>
  <c r="AH1227" i="2"/>
  <c r="AH1352" i="2"/>
  <c r="AH1359" i="2"/>
  <c r="AH1376" i="2"/>
  <c r="AH1423" i="2"/>
  <c r="AH1450" i="2"/>
  <c r="AH1483" i="2"/>
  <c r="AH1520" i="2"/>
  <c r="AH1524" i="2"/>
  <c r="AH1548" i="2"/>
  <c r="AH1568" i="2"/>
  <c r="AH1584" i="2"/>
  <c r="AH1595" i="2"/>
  <c r="AH1603" i="2"/>
  <c r="AH1611" i="2"/>
  <c r="AH1619" i="2"/>
  <c r="AH1627" i="2"/>
  <c r="AH1635" i="2"/>
  <c r="AH1643" i="2"/>
  <c r="AH1651" i="2"/>
  <c r="AH1659" i="2"/>
  <c r="AH1667" i="2"/>
  <c r="AH1675" i="2"/>
  <c r="AH1683" i="2"/>
  <c r="AH1691" i="2"/>
  <c r="AH1699" i="2"/>
  <c r="AH1707" i="2"/>
  <c r="AH1715" i="2"/>
  <c r="AH1723" i="2"/>
  <c r="AH1731" i="2"/>
  <c r="AH309" i="2"/>
  <c r="AH521" i="2"/>
  <c r="AH1063" i="2"/>
  <c r="AH1291" i="2"/>
  <c r="AH1371" i="2"/>
  <c r="AH1508" i="2"/>
  <c r="AH59" i="2"/>
  <c r="AH126" i="2"/>
  <c r="AH372" i="2"/>
  <c r="AH531" i="2"/>
  <c r="AH601" i="2"/>
  <c r="AH633" i="2"/>
  <c r="AH697" i="2"/>
  <c r="AH11" i="2"/>
  <c r="AH210" i="2"/>
  <c r="AH293" i="2"/>
  <c r="AH561" i="2"/>
  <c r="AH569" i="2"/>
  <c r="AH605" i="2"/>
  <c r="AG218" i="2"/>
  <c r="AH455" i="2"/>
  <c r="AH483" i="2"/>
  <c r="AH593" i="2"/>
  <c r="AH657" i="2"/>
  <c r="AH680" i="2"/>
  <c r="AH705" i="2"/>
  <c r="AH785" i="2"/>
  <c r="AH869" i="2"/>
  <c r="AH1443" i="2"/>
  <c r="AH637" i="2"/>
  <c r="AH652" i="2"/>
  <c r="AH669" i="2"/>
  <c r="AH701" i="2"/>
  <c r="AH1059" i="2"/>
  <c r="AH1135" i="2"/>
  <c r="AH1343" i="2"/>
  <c r="AH1354" i="2"/>
  <c r="AH1207" i="2"/>
  <c r="AH1531" i="2"/>
  <c r="AH1657" i="2"/>
  <c r="AH1704" i="2"/>
  <c r="AH1344" i="2"/>
  <c r="AG1407" i="2"/>
  <c r="AH1565" i="2"/>
  <c r="AH1601" i="2"/>
  <c r="AH1703" i="2"/>
  <c r="AH1712" i="2"/>
  <c r="AH1729" i="2"/>
  <c r="AH527" i="2"/>
  <c r="AH581" i="2"/>
  <c r="AH942" i="2"/>
  <c r="AH1158" i="2"/>
  <c r="AH1387" i="2"/>
  <c r="AH1575" i="2"/>
  <c r="AH1600" i="2"/>
  <c r="AH1656" i="2"/>
  <c r="AH1679" i="2"/>
  <c r="AH1719" i="2"/>
  <c r="AH19" i="2"/>
  <c r="AH597" i="2"/>
  <c r="AH743" i="2"/>
  <c r="AH856" i="2"/>
  <c r="AH1058" i="2"/>
  <c r="AH1298" i="2"/>
  <c r="AH1592" i="2"/>
  <c r="AH1673" i="2"/>
  <c r="AH1624" i="2"/>
  <c r="AH1163" i="2"/>
  <c r="AH1623" i="2"/>
  <c r="AH1727" i="2"/>
  <c r="AH484" i="2"/>
  <c r="AH492" i="2"/>
  <c r="AH512" i="2"/>
  <c r="AH520" i="2"/>
  <c r="AH398" i="2"/>
  <c r="AG414" i="2"/>
  <c r="AG474" i="2"/>
  <c r="AG494" i="2"/>
  <c r="AH510" i="2"/>
  <c r="AH405" i="2"/>
  <c r="AH425" i="2"/>
  <c r="AH578" i="2"/>
  <c r="AH594" i="2"/>
  <c r="AH600" i="2"/>
  <c r="AH610" i="2"/>
  <c r="AH626" i="2"/>
  <c r="AH642" i="2"/>
  <c r="AH658" i="2"/>
  <c r="AH664" i="2"/>
  <c r="AH674" i="2"/>
  <c r="AH690" i="2"/>
  <c r="AH706" i="2"/>
  <c r="AH534" i="2"/>
  <c r="AH727" i="2"/>
  <c r="AH731" i="2"/>
  <c r="AH751" i="2"/>
  <c r="AH767" i="2"/>
  <c r="AH775" i="2"/>
  <c r="AH783" i="2"/>
  <c r="AH799" i="2"/>
  <c r="AH807" i="2"/>
  <c r="AH815" i="2"/>
  <c r="AH823" i="2"/>
  <c r="AH831" i="2"/>
  <c r="AH839" i="2"/>
  <c r="AH746" i="2"/>
  <c r="AH781" i="2"/>
  <c r="AH797" i="2"/>
  <c r="AH896" i="2"/>
  <c r="AH902" i="2"/>
  <c r="AH908" i="2"/>
  <c r="AH914" i="2"/>
  <c r="AH924" i="2"/>
  <c r="AH936" i="2"/>
  <c r="AH976" i="2"/>
  <c r="AH988" i="2"/>
  <c r="AH994" i="2"/>
  <c r="AH1006" i="2"/>
  <c r="AH1012" i="2"/>
  <c r="AH1026" i="2"/>
  <c r="AH1036" i="2"/>
  <c r="AH1042" i="2"/>
  <c r="AH1052" i="2"/>
  <c r="AH1068" i="2"/>
  <c r="AH1074" i="2"/>
  <c r="AH1080" i="2"/>
  <c r="AH1086" i="2"/>
  <c r="AH1098" i="2"/>
  <c r="AH1108" i="2"/>
  <c r="AH1114" i="2"/>
  <c r="AH1124" i="2"/>
  <c r="AH1140" i="2"/>
  <c r="AH1156" i="2"/>
  <c r="AH1162" i="2"/>
  <c r="AH1172" i="2"/>
  <c r="AH1188" i="2"/>
  <c r="AH1194" i="2"/>
  <c r="AH1208" i="2"/>
  <c r="AH583" i="2"/>
  <c r="AH647" i="2"/>
  <c r="AH761" i="2"/>
  <c r="AH1216" i="2"/>
  <c r="AH1220" i="2"/>
  <c r="AH1232" i="2"/>
  <c r="AH921" i="2"/>
  <c r="AH530" i="2"/>
  <c r="AH941" i="2"/>
  <c r="AH957" i="2"/>
  <c r="AH1253" i="2"/>
  <c r="AH1367" i="2"/>
  <c r="AH1466" i="2"/>
  <c r="AH1499" i="2"/>
  <c r="AH1517" i="2"/>
  <c r="AH1525" i="2"/>
  <c r="AH1547" i="2"/>
  <c r="AH1551" i="2"/>
  <c r="AH1594" i="2"/>
  <c r="AH1610" i="2"/>
  <c r="AH1626" i="2"/>
  <c r="AH1642" i="2"/>
  <c r="AH1658" i="2"/>
  <c r="AH1674" i="2"/>
  <c r="AH1690" i="2"/>
  <c r="AH1706" i="2"/>
  <c r="AH1722" i="2"/>
  <c r="AH1226" i="2"/>
  <c r="AH1309" i="2"/>
  <c r="AH1349" i="2"/>
  <c r="AH1244" i="2"/>
  <c r="AH1259" i="2"/>
  <c r="AH1305" i="2"/>
  <c r="AH1321" i="2"/>
  <c r="AH1377" i="2"/>
  <c r="AH1301" i="2"/>
  <c r="AH1341" i="2"/>
  <c r="AH1373" i="2"/>
  <c r="AH1408" i="2"/>
  <c r="AH1576" i="2"/>
  <c r="AH31" i="2"/>
  <c r="AH35" i="2"/>
  <c r="AH74" i="2"/>
  <c r="AH95" i="2"/>
  <c r="AH162" i="2"/>
  <c r="AH14" i="2"/>
  <c r="AH26" i="2"/>
  <c r="AH158" i="2"/>
  <c r="AH198" i="2"/>
  <c r="AH284" i="2"/>
  <c r="AH349" i="2"/>
  <c r="AH387" i="2"/>
  <c r="AH391" i="2"/>
  <c r="AH122" i="2"/>
  <c r="AH138" i="2"/>
  <c r="AH202" i="2"/>
  <c r="AH234" i="2"/>
  <c r="AH260" i="2"/>
  <c r="AH313" i="2"/>
  <c r="AH328" i="2"/>
  <c r="AH461" i="2"/>
  <c r="AH473" i="2"/>
  <c r="AH419" i="2"/>
  <c r="AH423" i="2"/>
  <c r="AH437" i="2"/>
  <c r="AH449" i="2"/>
  <c r="AH491" i="2"/>
  <c r="AH505" i="2"/>
  <c r="AH709" i="2"/>
  <c r="AH756" i="2"/>
  <c r="AH793" i="2"/>
  <c r="AH517" i="2"/>
  <c r="AH559" i="2"/>
  <c r="AH791" i="2"/>
  <c r="AH433" i="2"/>
  <c r="AH504" i="2"/>
  <c r="AH545" i="2"/>
  <c r="AH718" i="2"/>
  <c r="AH768" i="2"/>
  <c r="AH804" i="2"/>
  <c r="AH880" i="2"/>
  <c r="AH764" i="2"/>
  <c r="AH801" i="2"/>
  <c r="AH551" i="2"/>
  <c r="AH935" i="2"/>
  <c r="AH939" i="2"/>
  <c r="AH982" i="2"/>
  <c r="AH1071" i="2"/>
  <c r="AH1115" i="2"/>
  <c r="AH1286" i="2"/>
  <c r="AH1315" i="2"/>
  <c r="AH1324" i="2"/>
  <c r="AH1347" i="2"/>
  <c r="AH1356" i="2"/>
  <c r="AH1067" i="2"/>
  <c r="AH1111" i="2"/>
  <c r="AH1147" i="2"/>
  <c r="AH1223" i="2"/>
  <c r="AH1391" i="2"/>
  <c r="AH1202" i="2"/>
  <c r="AH1215" i="2"/>
  <c r="AH1306" i="2"/>
  <c r="AH1488" i="2"/>
  <c r="AH1605" i="2"/>
  <c r="AH1637" i="2"/>
  <c r="AH1669" i="2"/>
  <c r="AH1701" i="2"/>
  <c r="AH1733" i="2"/>
  <c r="AH1236" i="2"/>
  <c r="AH1320" i="2"/>
  <c r="AH1327" i="2"/>
  <c r="AH1439" i="2"/>
  <c r="AH1484" i="2"/>
  <c r="AH1118" i="2"/>
  <c r="AH1011" i="2"/>
  <c r="AH1310" i="2"/>
  <c r="AH1348" i="2"/>
  <c r="AH1438" i="2"/>
  <c r="AH1500" i="2"/>
  <c r="AH1452" i="2"/>
  <c r="AH130" i="2"/>
  <c r="AH178" i="2"/>
  <c r="AH99" i="2"/>
  <c r="AH316" i="2"/>
  <c r="AH384" i="2"/>
  <c r="AH447" i="2"/>
  <c r="AH533" i="2"/>
  <c r="AH649" i="2"/>
  <c r="AH485" i="2"/>
  <c r="AH501" i="2"/>
  <c r="AH621" i="2"/>
  <c r="AH717" i="2"/>
  <c r="AH345" i="2"/>
  <c r="AH479" i="2"/>
  <c r="AH497" i="2"/>
  <c r="AH511" i="2"/>
  <c r="AH543" i="2"/>
  <c r="AH609" i="2"/>
  <c r="AH673" i="2"/>
  <c r="AH1322" i="2"/>
  <c r="AH849" i="2"/>
  <c r="AH1003" i="2"/>
  <c r="AH1119" i="2"/>
  <c r="AH1235" i="2"/>
  <c r="AH1246" i="2"/>
  <c r="AH1332" i="2"/>
  <c r="AH885" i="2"/>
  <c r="AH891" i="2"/>
  <c r="AH927" i="2"/>
  <c r="AH967" i="2"/>
  <c r="AH1039" i="2"/>
  <c r="AH1255" i="2"/>
  <c r="AH1107" i="2"/>
  <c r="AH1617" i="2"/>
  <c r="AH1681" i="2"/>
  <c r="AH1625" i="2"/>
  <c r="AH1672" i="2"/>
  <c r="AH1671" i="2"/>
  <c r="AH1680" i="2"/>
  <c r="AH1697" i="2"/>
  <c r="AH1392" i="2"/>
  <c r="AH613" i="2"/>
  <c r="AH620" i="2"/>
  <c r="AH788" i="2"/>
  <c r="AH1047" i="2"/>
  <c r="AH1304" i="2"/>
  <c r="AH1330" i="2"/>
  <c r="AH296" i="2"/>
  <c r="AH645" i="2"/>
  <c r="AH1203" i="2"/>
  <c r="AH1303" i="2"/>
  <c r="AH134" i="2"/>
  <c r="AH688" i="2"/>
  <c r="AH975" i="2"/>
  <c r="AH1284" i="2"/>
  <c r="AH1476" i="2"/>
  <c r="AH1705" i="2"/>
  <c r="AH1302" i="2"/>
  <c r="AH1335" i="2"/>
  <c r="AH1532" i="2"/>
  <c r="AH907" i="2"/>
  <c r="AH460" i="2"/>
  <c r="AH468" i="2"/>
  <c r="AH524" i="2"/>
  <c r="AH532" i="2"/>
  <c r="AH540" i="2"/>
  <c r="AH548" i="2"/>
  <c r="AH556" i="2"/>
  <c r="AG402" i="2"/>
  <c r="AH574" i="2"/>
  <c r="AH389" i="2"/>
  <c r="AH409" i="2"/>
  <c r="AH590" i="2"/>
  <c r="AH596" i="2"/>
  <c r="AH606" i="2"/>
  <c r="AH612" i="2"/>
  <c r="AH622" i="2"/>
  <c r="AH628" i="2"/>
  <c r="AH638" i="2"/>
  <c r="AH654" i="2"/>
  <c r="AH660" i="2"/>
  <c r="AH670" i="2"/>
  <c r="AH676" i="2"/>
  <c r="AH686" i="2"/>
  <c r="AH702" i="2"/>
  <c r="AH710" i="2"/>
  <c r="AH173" i="2"/>
  <c r="AH462" i="2"/>
  <c r="AH502" i="2"/>
  <c r="AH722" i="2"/>
  <c r="AH738" i="2"/>
  <c r="AH518" i="2"/>
  <c r="AH707" i="2"/>
  <c r="AH882" i="2"/>
  <c r="AH887" i="2"/>
  <c r="AH892" i="2"/>
  <c r="AH898" i="2"/>
  <c r="AH910" i="2"/>
  <c r="AH920" i="2"/>
  <c r="AH926" i="2"/>
  <c r="AH938" i="2"/>
  <c r="AH960" i="2"/>
  <c r="AH972" i="2"/>
  <c r="AH978" i="2"/>
  <c r="AH984" i="2"/>
  <c r="AH1002" i="2"/>
  <c r="AH1014" i="2"/>
  <c r="AH1020" i="2"/>
  <c r="AH1032" i="2"/>
  <c r="AH1038" i="2"/>
  <c r="AH1048" i="2"/>
  <c r="AH1054" i="2"/>
  <c r="AH1064" i="2"/>
  <c r="AH1104" i="2"/>
  <c r="AH1110" i="2"/>
  <c r="AH1120" i="2"/>
  <c r="AH1126" i="2"/>
  <c r="AH1136" i="2"/>
  <c r="AH1142" i="2"/>
  <c r="AH1152" i="2"/>
  <c r="AH1168" i="2"/>
  <c r="AH1174" i="2"/>
  <c r="AH1184" i="2"/>
  <c r="AH1200" i="2"/>
  <c r="AH579" i="2"/>
  <c r="AH643" i="2"/>
  <c r="AH659" i="2"/>
  <c r="AH723" i="2"/>
  <c r="AH745" i="2"/>
  <c r="AH825" i="2"/>
  <c r="AH861" i="2"/>
  <c r="AH851" i="2"/>
  <c r="AH917" i="2"/>
  <c r="AH1213" i="2"/>
  <c r="AH1229" i="2"/>
  <c r="AH754" i="2"/>
  <c r="AH1258" i="2"/>
  <c r="AH1266" i="2"/>
  <c r="AH1274" i="2"/>
  <c r="AH1290" i="2"/>
  <c r="AH1362" i="2"/>
  <c r="AH1386" i="2"/>
  <c r="AH1394" i="2"/>
  <c r="AH1402" i="2"/>
  <c r="AH1410" i="2"/>
  <c r="AH1418" i="2"/>
  <c r="AH1426" i="2"/>
  <c r="AH1434" i="2"/>
  <c r="AG858" i="2"/>
  <c r="AH1191" i="2"/>
  <c r="AH1199" i="2"/>
  <c r="AG1201" i="2"/>
  <c r="AH1295" i="2"/>
  <c r="AH1383" i="2"/>
  <c r="AH1400" i="2"/>
  <c r="AH1415" i="2"/>
  <c r="AH1448" i="2"/>
  <c r="AH1485" i="2"/>
  <c r="AH1487" i="2"/>
  <c r="AH1501" i="2"/>
  <c r="AH1505" i="2"/>
  <c r="AH1507" i="2"/>
  <c r="AH1514" i="2"/>
  <c r="AH1533" i="2"/>
  <c r="AH1535" i="2"/>
  <c r="AH1549" i="2"/>
  <c r="AH1553" i="2"/>
  <c r="AH1555" i="2"/>
  <c r="AH1590" i="2"/>
  <c r="AH1606" i="2"/>
  <c r="AH1622" i="2"/>
  <c r="AH1638" i="2"/>
  <c r="AH1654" i="2"/>
  <c r="AH1670" i="2"/>
  <c r="AH1686" i="2"/>
  <c r="AH1702" i="2"/>
  <c r="AH1718" i="2"/>
  <c r="AH1529" i="2"/>
  <c r="AH1260" i="2"/>
  <c r="AH1276" i="2"/>
  <c r="AH1297" i="2"/>
  <c r="AH1345" i="2"/>
  <c r="AH1465" i="2"/>
  <c r="AH1479" i="2"/>
  <c r="AH1497" i="2"/>
  <c r="AH1521" i="2"/>
  <c r="AH1527" i="2"/>
  <c r="AH1559" i="2"/>
  <c r="AH1563" i="2"/>
  <c r="AH1583" i="2"/>
  <c r="AH1265" i="2"/>
  <c r="AH1240" i="2"/>
  <c r="AH1272" i="2"/>
  <c r="AH1285" i="2"/>
  <c r="AH1580" i="2"/>
  <c r="AH24" i="2"/>
  <c r="AH98" i="2"/>
  <c r="AH43" i="2"/>
  <c r="AH78" i="2"/>
  <c r="AH91" i="2"/>
  <c r="AH119" i="2"/>
  <c r="AH170" i="2"/>
  <c r="AH146" i="2"/>
  <c r="AH226" i="2"/>
  <c r="AH300" i="2"/>
  <c r="AH348" i="2"/>
  <c r="AH408" i="2"/>
  <c r="AH411" i="2"/>
  <c r="AH415" i="2"/>
  <c r="AH230" i="2"/>
  <c r="AH292" i="2"/>
  <c r="AH303" i="2"/>
  <c r="AH341" i="2"/>
  <c r="AH445" i="2"/>
  <c r="AH335" i="2"/>
  <c r="AH489" i="2"/>
  <c r="AH721" i="2"/>
  <c r="AH773" i="2"/>
  <c r="AH805" i="2"/>
  <c r="AH523" i="2"/>
  <c r="AH575" i="2"/>
  <c r="AH848" i="2"/>
  <c r="AH557" i="2"/>
  <c r="AH563" i="2"/>
  <c r="AH571" i="2"/>
  <c r="AH713" i="2"/>
  <c r="AH725" i="2"/>
  <c r="AH800" i="2"/>
  <c r="AG553" i="2"/>
  <c r="AH765" i="2"/>
  <c r="AH519" i="2"/>
  <c r="AH903" i="2"/>
  <c r="AH919" i="2"/>
  <c r="AH539" i="2"/>
  <c r="AH852" i="2"/>
  <c r="AH873" i="2"/>
  <c r="AH955" i="2"/>
  <c r="AH1267" i="2"/>
  <c r="AH1287" i="2"/>
  <c r="AH1375" i="2"/>
  <c r="AH1403" i="2"/>
  <c r="AH980" i="2"/>
  <c r="AH1127" i="2"/>
  <c r="AH1143" i="2"/>
  <c r="AH1151" i="2"/>
  <c r="AH1280" i="2"/>
  <c r="AH1296" i="2"/>
  <c r="AH1318" i="2"/>
  <c r="AH1328" i="2"/>
  <c r="AH1350" i="2"/>
  <c r="AH1360" i="2"/>
  <c r="AH844" i="2"/>
  <c r="AH999" i="2"/>
  <c r="AH1083" i="2"/>
  <c r="AH1123" i="2"/>
  <c r="AH1155" i="2"/>
  <c r="AH1231" i="2"/>
  <c r="AH966" i="2"/>
  <c r="AH1030" i="2"/>
  <c r="AH1399" i="2"/>
  <c r="AH1431" i="2"/>
  <c r="AH1451" i="2"/>
  <c r="AH1455" i="2"/>
  <c r="AH1552" i="2"/>
  <c r="AH1613" i="2"/>
  <c r="AH1645" i="2"/>
  <c r="AH1677" i="2"/>
  <c r="AH1709" i="2"/>
  <c r="AH943" i="2"/>
  <c r="AH1031" i="2"/>
  <c r="AH1055" i="2"/>
  <c r="AH1214" i="2"/>
  <c r="AH1292" i="2"/>
  <c r="AH1355" i="2"/>
  <c r="AH1420" i="2"/>
  <c r="AH1435" i="2"/>
  <c r="AH1496" i="2"/>
  <c r="AH1585" i="2"/>
  <c r="AH1596" i="2"/>
  <c r="AH1604" i="2"/>
  <c r="AH1612" i="2"/>
  <c r="AH1620" i="2"/>
  <c r="AH1628" i="2"/>
  <c r="AH1636" i="2"/>
  <c r="AH1644" i="2"/>
  <c r="AH1652" i="2"/>
  <c r="AH1660" i="2"/>
  <c r="AH1668" i="2"/>
  <c r="AH1676" i="2"/>
  <c r="AH1684" i="2"/>
  <c r="AH1692" i="2"/>
  <c r="AH1700" i="2"/>
  <c r="AH1708" i="2"/>
  <c r="AH1716" i="2"/>
  <c r="AH1724" i="2"/>
  <c r="AH1732" i="2"/>
  <c r="AH1561" i="2"/>
  <c r="AH1577" i="2"/>
  <c r="AH1588" i="2"/>
  <c r="AH1464" i="2"/>
  <c r="AH66" i="2"/>
  <c r="AH50" i="2"/>
  <c r="AH495" i="2"/>
  <c r="AH535" i="2"/>
  <c r="AH585" i="2"/>
  <c r="AH617" i="2"/>
  <c r="AH665" i="2"/>
  <c r="AH459" i="2"/>
  <c r="AH499" i="2"/>
  <c r="AH625" i="2"/>
  <c r="AH636" i="2"/>
  <c r="AH653" i="2"/>
  <c r="AH895" i="2"/>
  <c r="AH729" i="2"/>
  <c r="AH1340" i="2"/>
  <c r="AH1358" i="2"/>
  <c r="AH1540" i="2"/>
  <c r="AH1593" i="2"/>
  <c r="AH1640" i="2"/>
  <c r="AH1639" i="2"/>
  <c r="AH1648" i="2"/>
  <c r="AH1665" i="2"/>
  <c r="AH1395" i="2"/>
  <c r="AH317" i="2"/>
  <c r="AH757" i="2"/>
  <c r="AH947" i="2"/>
  <c r="AH1591" i="2"/>
  <c r="AH381" i="2"/>
  <c r="AH340" i="2"/>
  <c r="AH365" i="2"/>
  <c r="AH401" i="2"/>
  <c r="AH580" i="2"/>
  <c r="AH1019" i="2"/>
  <c r="AH1075" i="2"/>
  <c r="AH1122" i="2"/>
  <c r="AH1528" i="2"/>
  <c r="AH1720" i="2"/>
  <c r="AH692" i="2"/>
  <c r="AH1015" i="2"/>
  <c r="AH1331" i="2"/>
  <c r="AH1647" i="2"/>
  <c r="AH1268" i="2"/>
  <c r="AH1326" i="2"/>
  <c r="AH1444" i="2"/>
  <c r="AG69" i="2"/>
  <c r="AG17" i="2"/>
  <c r="AG132" i="2"/>
  <c r="AG144" i="2"/>
  <c r="AG514" i="2"/>
  <c r="AG538" i="2"/>
  <c r="AG847" i="2"/>
  <c r="AG843" i="2"/>
  <c r="AG603" i="2"/>
  <c r="AG619" i="2"/>
  <c r="AG699" i="2"/>
  <c r="AG786" i="2"/>
  <c r="AG965" i="2"/>
  <c r="AG1293" i="2"/>
  <c r="AG1397" i="2"/>
  <c r="AG1413" i="2"/>
  <c r="AG1095" i="2"/>
  <c r="AG677" i="2"/>
  <c r="AG1271" i="2"/>
  <c r="AG406" i="2"/>
  <c r="AG418" i="2"/>
  <c r="AG430" i="2"/>
  <c r="AG498" i="2"/>
  <c r="AG490" i="2"/>
  <c r="AG599" i="2"/>
  <c r="AG615" i="2"/>
  <c r="AG631" i="2"/>
  <c r="AG663" i="2"/>
  <c r="AG679" i="2"/>
  <c r="AG695" i="2"/>
  <c r="AG1277" i="2"/>
  <c r="AG867" i="2"/>
  <c r="AG157" i="2"/>
  <c r="AG1279" i="2"/>
  <c r="AG1368" i="2"/>
  <c r="AG1419" i="2"/>
  <c r="AG346" i="2"/>
  <c r="AG611" i="2"/>
  <c r="AG627" i="2"/>
  <c r="AG675" i="2"/>
  <c r="AG691" i="2"/>
  <c r="AG846" i="2"/>
  <c r="AG63" i="2"/>
  <c r="AG163" i="2"/>
  <c r="AG256" i="2"/>
  <c r="AG507" i="2"/>
  <c r="AG431" i="2"/>
  <c r="AG467" i="2"/>
  <c r="AG547" i="2"/>
  <c r="AG206" i="2"/>
  <c r="AG200" i="2"/>
  <c r="AG386" i="2"/>
  <c r="AG591" i="2"/>
  <c r="AG607" i="2"/>
  <c r="AG623" i="2"/>
  <c r="AG639" i="2"/>
  <c r="AG671" i="2"/>
  <c r="AG901" i="2"/>
  <c r="AG1210" i="2"/>
  <c r="AG214" i="2"/>
  <c r="AG373" i="2"/>
  <c r="AG769" i="2"/>
  <c r="AG824" i="2"/>
  <c r="AG685" i="2"/>
  <c r="AG1536" i="2"/>
  <c r="AG661" i="2"/>
  <c r="AG1252" i="2"/>
  <c r="AG213" i="2"/>
  <c r="AG913" i="2"/>
  <c r="AG38" i="2"/>
  <c r="AG1263" i="2"/>
  <c r="AG264" i="2"/>
  <c r="AG21" i="2"/>
  <c r="AG224" i="2"/>
  <c r="AG227" i="2"/>
  <c r="AG61" i="2"/>
  <c r="AG322" i="2"/>
  <c r="AG338" i="2"/>
  <c r="AG278" i="2"/>
  <c r="AG294" i="2"/>
  <c r="AG189" i="2"/>
  <c r="AG434" i="2"/>
  <c r="AG542" i="2"/>
  <c r="AG715" i="2"/>
  <c r="AG719" i="2"/>
  <c r="AG798" i="2"/>
  <c r="AG826" i="2"/>
  <c r="AG587" i="2"/>
  <c r="AG774" i="2"/>
  <c r="AG806" i="2"/>
  <c r="AG874" i="2"/>
  <c r="AG883" i="2"/>
  <c r="AG897" i="2"/>
  <c r="AG1523" i="2"/>
  <c r="AG2" i="2"/>
  <c r="AG244" i="2"/>
  <c r="AG429" i="2"/>
  <c r="AG496" i="2"/>
  <c r="AG525" i="2"/>
  <c r="AG1099" i="2"/>
  <c r="AG280" i="2"/>
  <c r="AG1404" i="2"/>
  <c r="AG41" i="2"/>
  <c r="AG65" i="2"/>
  <c r="AG53" i="2"/>
  <c r="AG57" i="2"/>
  <c r="AG104" i="2"/>
  <c r="AG116" i="2"/>
  <c r="AG148" i="2"/>
  <c r="AG326" i="2"/>
  <c r="AG342" i="2"/>
  <c r="AG193" i="2"/>
  <c r="AG209" i="2"/>
  <c r="AG205" i="2"/>
  <c r="AG390" i="2"/>
  <c r="AG422" i="2"/>
  <c r="AG506" i="2"/>
  <c r="AG526" i="2"/>
  <c r="AG438" i="2"/>
  <c r="AG458" i="2"/>
  <c r="AG450" i="2"/>
  <c r="AG708" i="2"/>
  <c r="AG750" i="2"/>
  <c r="AG814" i="2"/>
  <c r="AG794" i="2"/>
  <c r="AG810" i="2"/>
  <c r="AG742" i="2"/>
  <c r="AG758" i="2"/>
  <c r="AG1233" i="2"/>
  <c r="AG937" i="2"/>
  <c r="AG1242" i="2"/>
  <c r="AG1282" i="2"/>
  <c r="AG893" i="2"/>
  <c r="AG1228" i="2"/>
  <c r="AG1458" i="2"/>
  <c r="AG1369" i="2"/>
  <c r="AG1393" i="2"/>
  <c r="AG1409" i="2"/>
  <c r="AG1579" i="2"/>
  <c r="AG1587" i="2"/>
  <c r="AG1249" i="2"/>
  <c r="AG1453" i="2"/>
  <c r="AG1457" i="2"/>
  <c r="AG1490" i="2"/>
  <c r="AG46" i="2"/>
  <c r="AG55" i="2"/>
  <c r="AG114" i="2"/>
  <c r="AG400" i="2"/>
  <c r="AG312" i="2"/>
  <c r="AG269" i="2"/>
  <c r="AG364" i="2"/>
  <c r="AG475" i="2"/>
  <c r="AG427" i="2"/>
  <c r="AG1076" i="2"/>
  <c r="AG1092" i="2"/>
  <c r="AG1204" i="2"/>
  <c r="AG853" i="2"/>
  <c r="AG904" i="2"/>
  <c r="AG959" i="2"/>
  <c r="AG737" i="2"/>
  <c r="AG932" i="2"/>
  <c r="AG1472" i="2"/>
  <c r="AG759" i="2"/>
  <c r="AG37" i="2"/>
  <c r="AG225" i="2"/>
  <c r="AG217" i="2"/>
  <c r="AG366" i="2"/>
  <c r="AG374" i="2"/>
  <c r="AG736" i="2"/>
  <c r="AG358" i="2"/>
  <c r="AG724" i="2"/>
  <c r="AG558" i="2"/>
  <c r="AG977" i="2"/>
  <c r="AG1217" i="2"/>
  <c r="AG1221" i="2"/>
  <c r="AG989" i="2"/>
  <c r="AG1005" i="2"/>
  <c r="AG1021" i="2"/>
  <c r="AG1037" i="2"/>
  <c r="AG1053" i="2"/>
  <c r="AG1069" i="2"/>
  <c r="AG1085" i="2"/>
  <c r="AG1097" i="2"/>
  <c r="AG929" i="2"/>
  <c r="AG1365" i="2"/>
  <c r="AG1405" i="2"/>
  <c r="AG1538" i="2"/>
  <c r="AG1506" i="2"/>
  <c r="AG1550" i="2"/>
  <c r="AG1389" i="2"/>
  <c r="AG71" i="2"/>
  <c r="AG166" i="2"/>
  <c r="AG194" i="2"/>
  <c r="AG131" i="2"/>
  <c r="AG380" i="2"/>
  <c r="AG416" i="2"/>
  <c r="AG376" i="2"/>
  <c r="AG567" i="2"/>
  <c r="AG1283" i="2"/>
  <c r="AG812" i="2"/>
  <c r="AG1492" i="2"/>
  <c r="AG1512" i="2"/>
  <c r="AG1363" i="2"/>
  <c r="AG1447" i="2"/>
  <c r="AG872" i="2"/>
  <c r="AG560" i="2"/>
  <c r="AG1137" i="2"/>
  <c r="AG1185" i="2"/>
  <c r="AG73" i="2"/>
  <c r="AG221" i="2"/>
  <c r="AG246" i="2"/>
  <c r="AG584" i="2"/>
  <c r="AG616" i="2"/>
  <c r="AG632" i="2"/>
  <c r="AG648" i="2"/>
  <c r="AG696" i="2"/>
  <c r="AG716" i="2"/>
  <c r="AG866" i="2"/>
  <c r="AG888" i="2"/>
  <c r="AG958" i="2"/>
  <c r="AG974" i="2"/>
  <c r="AG990" i="2"/>
  <c r="AG933" i="2"/>
  <c r="AG1234" i="2"/>
  <c r="AG1370" i="2"/>
  <c r="AG834" i="2"/>
  <c r="AG945" i="2"/>
  <c r="AG961" i="2"/>
  <c r="AG1009" i="2"/>
  <c r="AG1025" i="2"/>
  <c r="AG1041" i="2"/>
  <c r="AG1073" i="2"/>
  <c r="AG1089" i="2"/>
  <c r="AG1109" i="2"/>
  <c r="AG1125" i="2"/>
  <c r="AG1141" i="2"/>
  <c r="AG1173" i="2"/>
  <c r="AG1189" i="2"/>
  <c r="AG1197" i="2"/>
  <c r="AG1421" i="2"/>
  <c r="AG1537" i="2"/>
  <c r="AG1478" i="2"/>
  <c r="AG1205" i="2"/>
  <c r="AG1433" i="2"/>
  <c r="AG1554" i="2"/>
  <c r="AG272" i="2"/>
  <c r="AG324" i="2"/>
  <c r="AG337" i="2"/>
  <c r="AG841" i="2"/>
  <c r="AG868" i="2"/>
  <c r="AG832" i="2"/>
  <c r="AG1159" i="2"/>
  <c r="AG837" i="2"/>
  <c r="AG1051" i="2"/>
  <c r="AG1167" i="2"/>
  <c r="AG1035" i="2"/>
  <c r="AG1043" i="2"/>
  <c r="AG1153" i="2"/>
  <c r="AG1401" i="2"/>
  <c r="AG1526" i="2"/>
  <c r="AG164" i="2"/>
  <c r="AG212" i="2"/>
  <c r="AG229" i="2"/>
  <c r="AG93" i="2"/>
  <c r="AG108" i="2"/>
  <c r="AG185" i="2"/>
  <c r="AG165" i="2"/>
  <c r="AG181" i="2"/>
  <c r="AG266" i="2"/>
  <c r="AG282" i="2"/>
  <c r="AG359" i="2"/>
  <c r="AG29" i="2"/>
  <c r="AG177" i="2"/>
  <c r="AG306" i="2"/>
  <c r="AG446" i="2"/>
  <c r="AG466" i="2"/>
  <c r="AG566" i="2"/>
  <c r="AG367" i="2"/>
  <c r="AG720" i="2"/>
  <c r="AG735" i="2"/>
  <c r="AG568" i="2"/>
  <c r="AG827" i="2"/>
  <c r="AG835" i="2"/>
  <c r="AG870" i="2"/>
  <c r="AG1082" i="2"/>
  <c r="AG1130" i="2"/>
  <c r="AG1146" i="2"/>
  <c r="AG726" i="2"/>
  <c r="AG838" i="2"/>
  <c r="AG855" i="2"/>
  <c r="AG878" i="2"/>
  <c r="AG770" i="2"/>
  <c r="AG969" i="2"/>
  <c r="AG1193" i="2"/>
  <c r="AG1222" i="2"/>
  <c r="AG889" i="2"/>
  <c r="AG909" i="2"/>
  <c r="AG949" i="2"/>
  <c r="AG981" i="2"/>
  <c r="AG1013" i="2"/>
  <c r="AG1029" i="2"/>
  <c r="AG1045" i="2"/>
  <c r="AG1061" i="2"/>
  <c r="AG1077" i="2"/>
  <c r="AG1093" i="2"/>
  <c r="AG1113" i="2"/>
  <c r="AG1129" i="2"/>
  <c r="AG1145" i="2"/>
  <c r="AG1161" i="2"/>
  <c r="AG1177" i="2"/>
  <c r="AG1245" i="2"/>
  <c r="AG1429" i="2"/>
  <c r="AG1474" i="2"/>
  <c r="AG1477" i="2"/>
  <c r="AG1502" i="2"/>
  <c r="AG1509" i="2"/>
  <c r="AG1515" i="2"/>
  <c r="AG1241" i="2"/>
  <c r="AG1425" i="2"/>
  <c r="AG1454" i="2"/>
  <c r="AG1470" i="2"/>
  <c r="AG1503" i="2"/>
  <c r="AG1534" i="2"/>
  <c r="AG1281" i="2"/>
  <c r="AG1510" i="2"/>
  <c r="AG1543" i="2"/>
  <c r="AG1417" i="2"/>
  <c r="AG182" i="2"/>
  <c r="AG301" i="2"/>
  <c r="AG288" i="2"/>
  <c r="AG357" i="2"/>
  <c r="AG477" i="2"/>
  <c r="AG509" i="2"/>
  <c r="AG565" i="2"/>
  <c r="AG820" i="2"/>
  <c r="AG816" i="2"/>
  <c r="AG833" i="2"/>
  <c r="AG836" i="2"/>
  <c r="AG772" i="2"/>
  <c r="AG174" i="2"/>
  <c r="AG149" i="2"/>
  <c r="AG331" i="2"/>
  <c r="AG1169" i="2"/>
  <c r="AG102" i="2"/>
  <c r="AG25" i="2"/>
  <c r="AG33" i="2"/>
  <c r="AG81" i="2"/>
  <c r="AG97" i="2"/>
  <c r="AG232" i="2"/>
  <c r="AG112" i="2"/>
  <c r="AG243" i="2"/>
  <c r="AG5" i="2"/>
  <c r="AG169" i="2"/>
  <c r="AG228" i="2"/>
  <c r="AG231" i="2"/>
  <c r="AG254" i="2"/>
  <c r="AG270" i="2"/>
  <c r="AG302" i="2"/>
  <c r="AG382" i="2"/>
  <c r="AG161" i="2"/>
  <c r="AG478" i="2"/>
  <c r="AG383" i="2"/>
  <c r="AG711" i="2"/>
  <c r="AG854" i="2"/>
  <c r="AG879" i="2"/>
  <c r="AG875" i="2"/>
  <c r="AG950" i="2"/>
  <c r="AG1190" i="2"/>
  <c r="AG595" i="2"/>
  <c r="AG790" i="2"/>
  <c r="AG822" i="2"/>
  <c r="AG1366" i="2"/>
  <c r="AG1398" i="2"/>
  <c r="AG1422" i="2"/>
  <c r="AG1446" i="2"/>
  <c r="AG925" i="2"/>
  <c r="AG953" i="2"/>
  <c r="AG985" i="2"/>
  <c r="AG1001" i="2"/>
  <c r="AG1017" i="2"/>
  <c r="AG1033" i="2"/>
  <c r="AG1049" i="2"/>
  <c r="AG1065" i="2"/>
  <c r="AG1081" i="2"/>
  <c r="AG1101" i="2"/>
  <c r="AG1117" i="2"/>
  <c r="AG1133" i="2"/>
  <c r="AG1149" i="2"/>
  <c r="AG1165" i="2"/>
  <c r="AG1181" i="2"/>
  <c r="AG1225" i="2"/>
  <c r="AG1261" i="2"/>
  <c r="AG1445" i="2"/>
  <c r="AG1471" i="2"/>
  <c r="AG1493" i="2"/>
  <c r="AG1522" i="2"/>
  <c r="AG1541" i="2"/>
  <c r="AG1494" i="2"/>
  <c r="AG1209" i="2"/>
  <c r="AG1257" i="2"/>
  <c r="AG1441" i="2"/>
  <c r="AG1511" i="2"/>
  <c r="AG1542" i="2"/>
  <c r="AG1385" i="2"/>
  <c r="AG1237" i="2"/>
  <c r="AG1461" i="2"/>
  <c r="AG1449" i="2"/>
  <c r="AG325" i="2"/>
  <c r="AG352" i="2"/>
  <c r="AG573" i="2"/>
  <c r="AG740" i="2"/>
  <c r="AG840" i="2"/>
  <c r="AG541" i="2"/>
  <c r="AG884" i="2"/>
  <c r="AG469" i="2"/>
  <c r="AG752" i="2"/>
  <c r="AG247" i="2"/>
  <c r="AG343" i="2"/>
  <c r="AG739" i="2"/>
  <c r="AG1070" i="2"/>
  <c r="AG1102" i="2"/>
  <c r="AG1134" i="2"/>
  <c r="AG1198" i="2"/>
  <c r="AG1206" i="2"/>
  <c r="AG1462" i="2"/>
  <c r="AG371" i="2"/>
  <c r="AG1018" i="2"/>
  <c r="AG1178" i="2"/>
  <c r="AG871" i="2"/>
  <c r="AG1262" i="2"/>
  <c r="AG1278" i="2"/>
  <c r="AG1374" i="2"/>
  <c r="AG1186" i="2"/>
  <c r="AG113" i="2"/>
  <c r="AG307" i="2"/>
  <c r="AG379" i="2"/>
  <c r="AG859" i="2"/>
  <c r="AG1094" i="2"/>
  <c r="N3" i="2"/>
  <c r="N11" i="2"/>
  <c r="N19" i="2"/>
  <c r="N27" i="2"/>
  <c r="N35" i="2"/>
  <c r="N43" i="2"/>
  <c r="N51" i="2"/>
  <c r="N59" i="2"/>
  <c r="S4" i="2"/>
  <c r="S20" i="2"/>
  <c r="S36" i="2"/>
  <c r="S52" i="2"/>
  <c r="T4" i="2"/>
  <c r="T12" i="2"/>
  <c r="T20" i="2"/>
  <c r="T28" i="2"/>
  <c r="T36" i="2"/>
  <c r="T44" i="2"/>
  <c r="T52" i="2"/>
  <c r="T60" i="2"/>
  <c r="Q13" i="2"/>
  <c r="Q45" i="2"/>
  <c r="T68" i="2"/>
  <c r="T76" i="2"/>
  <c r="T84" i="2"/>
  <c r="T92" i="2"/>
  <c r="T100" i="2"/>
  <c r="T108" i="2"/>
  <c r="U13" i="2"/>
  <c r="U45" i="2"/>
  <c r="U68" i="2"/>
  <c r="U76" i="2"/>
  <c r="R5" i="2"/>
  <c r="R13" i="2"/>
  <c r="R21" i="2"/>
  <c r="R29" i="2"/>
  <c r="R37" i="2"/>
  <c r="R45" i="2"/>
  <c r="R53" i="2"/>
  <c r="R61" i="2"/>
  <c r="S9" i="2"/>
  <c r="S25" i="2"/>
  <c r="S41" i="2"/>
  <c r="S57" i="2"/>
  <c r="P7" i="2"/>
  <c r="P15" i="2"/>
  <c r="P23" i="2"/>
  <c r="P31" i="2"/>
  <c r="P39" i="2"/>
  <c r="P47" i="2"/>
  <c r="P55" i="2"/>
  <c r="P63" i="2"/>
  <c r="Q23" i="2"/>
  <c r="Q55" i="2"/>
  <c r="P71" i="2"/>
  <c r="P79" i="2"/>
  <c r="P87" i="2"/>
  <c r="P95" i="2"/>
  <c r="P103" i="2"/>
  <c r="P111" i="2"/>
  <c r="U23" i="2"/>
  <c r="U55" i="2"/>
  <c r="Q71" i="2"/>
  <c r="Q79" i="2"/>
  <c r="N8" i="2"/>
  <c r="N16" i="2"/>
  <c r="N24" i="2"/>
  <c r="N32" i="2"/>
  <c r="N40" i="2"/>
  <c r="N48" i="2"/>
  <c r="N56" i="2"/>
  <c r="N64" i="2"/>
  <c r="S14" i="2"/>
  <c r="S30" i="2"/>
  <c r="S46" i="2"/>
  <c r="S62" i="2"/>
  <c r="T9" i="2"/>
  <c r="T17" i="2"/>
  <c r="T25" i="2"/>
  <c r="T33" i="2"/>
  <c r="T41" i="2"/>
  <c r="T49" i="2"/>
  <c r="R26" i="2"/>
  <c r="R58" i="2"/>
  <c r="S51" i="2"/>
  <c r="P28" i="2"/>
  <c r="P56" i="2"/>
  <c r="Q27" i="2"/>
  <c r="P72" i="2"/>
  <c r="P88" i="2"/>
  <c r="P104" i="2"/>
  <c r="U27" i="2"/>
  <c r="Q72" i="2"/>
  <c r="Q85" i="2"/>
  <c r="Q93" i="2"/>
  <c r="Q101" i="2"/>
  <c r="Q109" i="2"/>
  <c r="Q20" i="2"/>
  <c r="Q52" i="2"/>
  <c r="R70" i="2"/>
  <c r="R78" i="2"/>
  <c r="R86" i="2"/>
  <c r="R94" i="2"/>
  <c r="R102" i="2"/>
  <c r="R110" i="2"/>
  <c r="S68" i="2"/>
  <c r="S100" i="2"/>
  <c r="Q118" i="2"/>
  <c r="Q126" i="2"/>
  <c r="Q134" i="2"/>
  <c r="Q142" i="2"/>
  <c r="Q150" i="2"/>
  <c r="R20" i="2"/>
  <c r="R52" i="2"/>
  <c r="S39" i="2"/>
  <c r="P22" i="2"/>
  <c r="T53" i="2"/>
  <c r="Q17" i="2"/>
  <c r="T69" i="2"/>
  <c r="T85" i="2"/>
  <c r="T101" i="2"/>
  <c r="U17" i="2"/>
  <c r="U69" i="2"/>
  <c r="U83" i="2"/>
  <c r="U91" i="2"/>
  <c r="U99" i="2"/>
  <c r="U107" i="2"/>
  <c r="N5" i="2"/>
  <c r="N13" i="2"/>
  <c r="N21" i="2"/>
  <c r="N29" i="2"/>
  <c r="N37" i="2"/>
  <c r="N45" i="2"/>
  <c r="N53" i="2"/>
  <c r="N61" i="2"/>
  <c r="S8" i="2"/>
  <c r="S24" i="2"/>
  <c r="S40" i="2"/>
  <c r="S56" i="2"/>
  <c r="T6" i="2"/>
  <c r="T14" i="2"/>
  <c r="T22" i="2"/>
  <c r="T30" i="2"/>
  <c r="T38" i="2"/>
  <c r="T46" i="2"/>
  <c r="T54" i="2"/>
  <c r="T62" i="2"/>
  <c r="Q21" i="2"/>
  <c r="Q53" i="2"/>
  <c r="T70" i="2"/>
  <c r="T78" i="2"/>
  <c r="T86" i="2"/>
  <c r="T94" i="2"/>
  <c r="T102" i="2"/>
  <c r="T110" i="2"/>
  <c r="U21" i="2"/>
  <c r="U53" i="2"/>
  <c r="U70" i="2"/>
  <c r="U78" i="2"/>
  <c r="R7" i="2"/>
  <c r="R15" i="2"/>
  <c r="R23" i="2"/>
  <c r="R31" i="2"/>
  <c r="R39" i="2"/>
  <c r="R47" i="2"/>
  <c r="R55" i="2"/>
  <c r="R63" i="2"/>
  <c r="S13" i="2"/>
  <c r="S29" i="2"/>
  <c r="S45" i="2"/>
  <c r="S61" i="2"/>
  <c r="P9" i="2"/>
  <c r="P17" i="2"/>
  <c r="P25" i="2"/>
  <c r="P33" i="2"/>
  <c r="P41" i="2"/>
  <c r="P49" i="2"/>
  <c r="P57" i="2"/>
  <c r="P65" i="2"/>
  <c r="Q31" i="2"/>
  <c r="Q63" i="2"/>
  <c r="P73" i="2"/>
  <c r="P81" i="2"/>
  <c r="P89" i="2"/>
  <c r="P97" i="2"/>
  <c r="P105" i="2"/>
  <c r="P113" i="2"/>
  <c r="U31" i="2"/>
  <c r="U63" i="2"/>
  <c r="Q73" i="2"/>
  <c r="Q81" i="2"/>
  <c r="N10" i="2"/>
  <c r="N18" i="2"/>
  <c r="N26" i="2"/>
  <c r="N34" i="2"/>
  <c r="N42" i="2"/>
  <c r="N50" i="2"/>
  <c r="N58" i="2"/>
  <c r="N66" i="2"/>
  <c r="S18" i="2"/>
  <c r="S34" i="2"/>
  <c r="S50" i="2"/>
  <c r="T3" i="2"/>
  <c r="T11" i="2"/>
  <c r="T19" i="2"/>
  <c r="T27" i="2"/>
  <c r="T35" i="2"/>
  <c r="T43" i="2"/>
  <c r="T51" i="2"/>
  <c r="R34" i="2"/>
  <c r="S3" i="2"/>
  <c r="P4" i="2"/>
  <c r="P36" i="2"/>
  <c r="P60" i="2"/>
  <c r="Q43" i="2"/>
  <c r="P76" i="2"/>
  <c r="P92" i="2"/>
  <c r="P108" i="2"/>
  <c r="U43" i="2"/>
  <c r="Q76" i="2"/>
  <c r="Q87" i="2"/>
  <c r="Q95" i="2"/>
  <c r="Q103" i="2"/>
  <c r="Q111" i="2"/>
  <c r="Q28" i="2"/>
  <c r="Q60" i="2"/>
  <c r="R72" i="2"/>
  <c r="R80" i="2"/>
  <c r="R88" i="2"/>
  <c r="R96" i="2"/>
  <c r="R104" i="2"/>
  <c r="R112" i="2"/>
  <c r="S76" i="2"/>
  <c r="S108" i="2"/>
  <c r="Q120" i="2"/>
  <c r="Q128" i="2"/>
  <c r="Q136" i="2"/>
  <c r="Q144" i="2"/>
  <c r="Q152" i="2"/>
  <c r="R28" i="2"/>
  <c r="R60" i="2"/>
  <c r="S55" i="2"/>
  <c r="P30" i="2"/>
  <c r="T57" i="2"/>
  <c r="Q33" i="2"/>
  <c r="T73" i="2"/>
  <c r="T89" i="2"/>
  <c r="T105" i="2"/>
  <c r="U33" i="2"/>
  <c r="U73" i="2"/>
  <c r="U85" i="2"/>
  <c r="U93" i="2"/>
  <c r="U101" i="2"/>
  <c r="U109" i="2"/>
  <c r="N7" i="2"/>
  <c r="N15" i="2"/>
  <c r="N23" i="2"/>
  <c r="N31" i="2"/>
  <c r="N39" i="2"/>
  <c r="N47" i="2"/>
  <c r="N55" i="2"/>
  <c r="N63" i="2"/>
  <c r="S12" i="2"/>
  <c r="S28" i="2"/>
  <c r="S44" i="2"/>
  <c r="S60" i="2"/>
  <c r="T8" i="2"/>
  <c r="T16" i="2"/>
  <c r="T24" i="2"/>
  <c r="T32" i="2"/>
  <c r="T40" i="2"/>
  <c r="T48" i="2"/>
  <c r="T56" i="2"/>
  <c r="T64" i="2"/>
  <c r="Q29" i="2"/>
  <c r="Q61" i="2"/>
  <c r="T72" i="2"/>
  <c r="T80" i="2"/>
  <c r="T88" i="2"/>
  <c r="T96" i="2"/>
  <c r="T104" i="2"/>
  <c r="T112" i="2"/>
  <c r="U29" i="2"/>
  <c r="U61" i="2"/>
  <c r="U72" i="2"/>
  <c r="U80" i="2"/>
  <c r="R9" i="2"/>
  <c r="R17" i="2"/>
  <c r="R25" i="2"/>
  <c r="R33" i="2"/>
  <c r="R41" i="2"/>
  <c r="R49" i="2"/>
  <c r="R57" i="2"/>
  <c r="R65" i="2"/>
  <c r="S17" i="2"/>
  <c r="S33" i="2"/>
  <c r="S49" i="2"/>
  <c r="P3" i="2"/>
  <c r="P11" i="2"/>
  <c r="P19" i="2"/>
  <c r="P27" i="2"/>
  <c r="P35" i="2"/>
  <c r="P43" i="2"/>
  <c r="P51" i="2"/>
  <c r="P59" i="2"/>
  <c r="Q7" i="2"/>
  <c r="Q39" i="2"/>
  <c r="P67" i="2"/>
  <c r="P75" i="2"/>
  <c r="P83" i="2"/>
  <c r="P91" i="2"/>
  <c r="P99" i="2"/>
  <c r="P107" i="2"/>
  <c r="U7" i="2"/>
  <c r="U39" i="2"/>
  <c r="Q67" i="2"/>
  <c r="Q75" i="2"/>
  <c r="N4" i="2"/>
  <c r="N12" i="2"/>
  <c r="N20" i="2"/>
  <c r="N28" i="2"/>
  <c r="N36" i="2"/>
  <c r="N44" i="2"/>
  <c r="N52" i="2"/>
  <c r="N60" i="2"/>
  <c r="S6" i="2"/>
  <c r="S22" i="2"/>
  <c r="S38" i="2"/>
  <c r="S54" i="2"/>
  <c r="T5" i="2"/>
  <c r="T13" i="2"/>
  <c r="T21" i="2"/>
  <c r="T29" i="2"/>
  <c r="T37" i="2"/>
  <c r="T45" i="2"/>
  <c r="R10" i="2"/>
  <c r="R42" i="2"/>
  <c r="S19" i="2"/>
  <c r="P12" i="2"/>
  <c r="P44" i="2"/>
  <c r="P64" i="2"/>
  <c r="Q59" i="2"/>
  <c r="P80" i="2"/>
  <c r="P96" i="2"/>
  <c r="P112" i="2"/>
  <c r="U59" i="2"/>
  <c r="Q80" i="2"/>
  <c r="Q89" i="2"/>
  <c r="Q97" i="2"/>
  <c r="Q105" i="2"/>
  <c r="Q4" i="2"/>
  <c r="Q36" i="2"/>
  <c r="R66" i="2"/>
  <c r="R74" i="2"/>
  <c r="R82" i="2"/>
  <c r="R90" i="2"/>
  <c r="R98" i="2"/>
  <c r="R106" i="2"/>
  <c r="U12" i="2"/>
  <c r="S84" i="2"/>
  <c r="Q114" i="2"/>
  <c r="Q122" i="2"/>
  <c r="Q130" i="2"/>
  <c r="Q138" i="2"/>
  <c r="Q146" i="2"/>
  <c r="R4" i="2"/>
  <c r="R36" i="2"/>
  <c r="S7" i="2"/>
  <c r="P6" i="2"/>
  <c r="P38" i="2"/>
  <c r="T61" i="2"/>
  <c r="Q49" i="2"/>
  <c r="T77" i="2"/>
  <c r="T93" i="2"/>
  <c r="T109" i="2"/>
  <c r="U49" i="2"/>
  <c r="U77" i="2"/>
  <c r="U87" i="2"/>
  <c r="U95" i="2"/>
  <c r="U103" i="2"/>
  <c r="U111" i="2"/>
  <c r="N9" i="2"/>
  <c r="N17" i="2"/>
  <c r="N25" i="2"/>
  <c r="N33" i="2"/>
  <c r="N41" i="2"/>
  <c r="N49" i="2"/>
  <c r="N57" i="2"/>
  <c r="N65" i="2"/>
  <c r="S16" i="2"/>
  <c r="S32" i="2"/>
  <c r="S48" i="2"/>
  <c r="S64" i="2"/>
  <c r="T10" i="2"/>
  <c r="T18" i="2"/>
  <c r="T26" i="2"/>
  <c r="T34" i="2"/>
  <c r="T42" i="2"/>
  <c r="T50" i="2"/>
  <c r="T58" i="2"/>
  <c r="Q5" i="2"/>
  <c r="Q37" i="2"/>
  <c r="T66" i="2"/>
  <c r="T74" i="2"/>
  <c r="T82" i="2"/>
  <c r="T90" i="2"/>
  <c r="T98" i="2"/>
  <c r="T106" i="2"/>
  <c r="U5" i="2"/>
  <c r="U37" i="2"/>
  <c r="U66" i="2"/>
  <c r="U74" i="2"/>
  <c r="R3" i="2"/>
  <c r="R11" i="2"/>
  <c r="R19" i="2"/>
  <c r="R27" i="2"/>
  <c r="R35" i="2"/>
  <c r="R43" i="2"/>
  <c r="R51" i="2"/>
  <c r="R59" i="2"/>
  <c r="S5" i="2"/>
  <c r="S21" i="2"/>
  <c r="S37" i="2"/>
  <c r="S53" i="2"/>
  <c r="P5" i="2"/>
  <c r="P13" i="2"/>
  <c r="P21" i="2"/>
  <c r="P29" i="2"/>
  <c r="P37" i="2"/>
  <c r="P45" i="2"/>
  <c r="P53" i="2"/>
  <c r="P61" i="2"/>
  <c r="Q15" i="2"/>
  <c r="Q47" i="2"/>
  <c r="P69" i="2"/>
  <c r="P77" i="2"/>
  <c r="P85" i="2"/>
  <c r="P93" i="2"/>
  <c r="P101" i="2"/>
  <c r="P109" i="2"/>
  <c r="U15" i="2"/>
  <c r="U47" i="2"/>
  <c r="Q69" i="2"/>
  <c r="Q77" i="2"/>
  <c r="N6" i="2"/>
  <c r="N14" i="2"/>
  <c r="N22" i="2"/>
  <c r="N30" i="2"/>
  <c r="N38" i="2"/>
  <c r="N46" i="2"/>
  <c r="N54" i="2"/>
  <c r="N62" i="2"/>
  <c r="S10" i="2"/>
  <c r="S26" i="2"/>
  <c r="S42" i="2"/>
  <c r="S58" i="2"/>
  <c r="T7" i="2"/>
  <c r="T15" i="2"/>
  <c r="T23" i="2"/>
  <c r="T31" i="2"/>
  <c r="T39" i="2"/>
  <c r="T47" i="2"/>
  <c r="R18" i="2"/>
  <c r="R50" i="2"/>
  <c r="S35" i="2"/>
  <c r="P20" i="2"/>
  <c r="P52" i="2"/>
  <c r="Q11" i="2"/>
  <c r="P68" i="2"/>
  <c r="P84" i="2"/>
  <c r="P100" i="2"/>
  <c r="U11" i="2"/>
  <c r="Q68" i="2"/>
  <c r="Q83" i="2"/>
  <c r="Q91" i="2"/>
  <c r="Q99" i="2"/>
  <c r="Q107" i="2"/>
  <c r="Q12" i="2"/>
  <c r="Q44" i="2"/>
  <c r="R68" i="2"/>
  <c r="R76" i="2"/>
  <c r="R84" i="2"/>
  <c r="R92" i="2"/>
  <c r="R100" i="2"/>
  <c r="R108" i="2"/>
  <c r="U44" i="2"/>
  <c r="S92" i="2"/>
  <c r="Q116" i="2"/>
  <c r="Q124" i="2"/>
  <c r="Q132" i="2"/>
  <c r="Q140" i="2"/>
  <c r="Q148" i="2"/>
  <c r="R12" i="2"/>
  <c r="R44" i="2"/>
  <c r="S23" i="2"/>
  <c r="P14" i="2"/>
  <c r="P46" i="2"/>
  <c r="T65" i="2"/>
  <c r="Q65" i="2"/>
  <c r="T81" i="2"/>
  <c r="T97" i="2"/>
  <c r="T113" i="2"/>
  <c r="S65" i="2"/>
  <c r="U81" i="2"/>
  <c r="U89" i="2"/>
  <c r="U97" i="2"/>
  <c r="U105" i="2"/>
  <c r="Q6" i="2"/>
  <c r="Q14" i="2"/>
  <c r="Q46" i="2"/>
  <c r="N69" i="2"/>
  <c r="N77" i="2"/>
  <c r="N85" i="2"/>
  <c r="N93" i="2"/>
  <c r="N101" i="2"/>
  <c r="N109" i="2"/>
  <c r="U52" i="2"/>
  <c r="S94" i="2"/>
  <c r="U116" i="2"/>
  <c r="U124" i="2"/>
  <c r="U132" i="2"/>
  <c r="U140" i="2"/>
  <c r="U148" i="2"/>
  <c r="U156" i="2"/>
  <c r="N115" i="2"/>
  <c r="R30" i="2"/>
  <c r="R62" i="2"/>
  <c r="S59" i="2"/>
  <c r="P32" i="2"/>
  <c r="P58" i="2"/>
  <c r="Q35" i="2"/>
  <c r="P74" i="2"/>
  <c r="P90" i="2"/>
  <c r="P106" i="2"/>
  <c r="U35" i="2"/>
  <c r="Q74" i="2"/>
  <c r="Q86" i="2"/>
  <c r="Q94" i="2"/>
  <c r="Q102" i="2"/>
  <c r="Q110" i="2"/>
  <c r="Q24" i="2"/>
  <c r="Q56" i="2"/>
  <c r="R71" i="2"/>
  <c r="R79" i="2"/>
  <c r="R87" i="2"/>
  <c r="R95" i="2"/>
  <c r="R103" i="2"/>
  <c r="R111" i="2"/>
  <c r="S72" i="2"/>
  <c r="S104" i="2"/>
  <c r="Q119" i="2"/>
  <c r="Q127" i="2"/>
  <c r="Q135" i="2"/>
  <c r="Q143" i="2"/>
  <c r="Q151" i="2"/>
  <c r="Q159" i="2"/>
  <c r="R16" i="2"/>
  <c r="R48" i="2"/>
  <c r="S31" i="2"/>
  <c r="P18" i="2"/>
  <c r="P50" i="2"/>
  <c r="Q9" i="2"/>
  <c r="T67" i="2"/>
  <c r="T83" i="2"/>
  <c r="T99" i="2"/>
  <c r="U9" i="2"/>
  <c r="U67" i="2"/>
  <c r="U82" i="2"/>
  <c r="U90" i="2"/>
  <c r="U98" i="2"/>
  <c r="U106" i="2"/>
  <c r="Q10" i="2"/>
  <c r="Q42" i="2"/>
  <c r="N68" i="2"/>
  <c r="N88" i="2"/>
  <c r="S74" i="2"/>
  <c r="U135" i="2"/>
  <c r="U14" i="2"/>
  <c r="N121" i="2"/>
  <c r="N129" i="2"/>
  <c r="N137" i="2"/>
  <c r="N145" i="2"/>
  <c r="N153" i="2"/>
  <c r="N161" i="2"/>
  <c r="S81" i="2"/>
  <c r="Q113" i="2"/>
  <c r="S129" i="2"/>
  <c r="S145" i="2"/>
  <c r="P114" i="2"/>
  <c r="P146" i="2"/>
  <c r="S168" i="2"/>
  <c r="S184" i="2"/>
  <c r="S200" i="2"/>
  <c r="S216" i="2"/>
  <c r="S232" i="2"/>
  <c r="S248" i="2"/>
  <c r="S264" i="2"/>
  <c r="N98" i="2"/>
  <c r="U113" i="2"/>
  <c r="U145" i="2"/>
  <c r="R115" i="2"/>
  <c r="R123" i="2"/>
  <c r="R131" i="2"/>
  <c r="R139" i="2"/>
  <c r="R147" i="2"/>
  <c r="R155" i="2"/>
  <c r="U40" i="2"/>
  <c r="S91" i="2"/>
  <c r="S118" i="2"/>
  <c r="S134" i="2"/>
  <c r="S150" i="2"/>
  <c r="P124" i="2"/>
  <c r="P156" i="2"/>
  <c r="S173" i="2"/>
  <c r="S189" i="2"/>
  <c r="S205" i="2"/>
  <c r="S221" i="2"/>
  <c r="S237" i="2"/>
  <c r="S253" i="2"/>
  <c r="T114" i="2"/>
  <c r="T146" i="2"/>
  <c r="T164" i="2"/>
  <c r="T172" i="2"/>
  <c r="T180" i="2"/>
  <c r="T188" i="2"/>
  <c r="T196" i="2"/>
  <c r="T204" i="2"/>
  <c r="T212" i="2"/>
  <c r="N84" i="2"/>
  <c r="U36" i="2"/>
  <c r="U131" i="2"/>
  <c r="Q158" i="2"/>
  <c r="N120" i="2"/>
  <c r="N128" i="2"/>
  <c r="N136" i="2"/>
  <c r="N144" i="2"/>
  <c r="Q22" i="2"/>
  <c r="Q54" i="2"/>
  <c r="N71" i="2"/>
  <c r="N79" i="2"/>
  <c r="N87" i="2"/>
  <c r="N95" i="2"/>
  <c r="N103" i="2"/>
  <c r="N111" i="2"/>
  <c r="S70" i="2"/>
  <c r="S102" i="2"/>
  <c r="U118" i="2"/>
  <c r="U126" i="2"/>
  <c r="U134" i="2"/>
  <c r="U142" i="2"/>
  <c r="U150" i="2"/>
  <c r="U158" i="2"/>
  <c r="R6" i="2"/>
  <c r="R38" i="2"/>
  <c r="S11" i="2"/>
  <c r="P8" i="2"/>
  <c r="P40" i="2"/>
  <c r="P62" i="2"/>
  <c r="Q51" i="2"/>
  <c r="P78" i="2"/>
  <c r="P94" i="2"/>
  <c r="P110" i="2"/>
  <c r="U51" i="2"/>
  <c r="Q78" i="2"/>
  <c r="Q88" i="2"/>
  <c r="Q96" i="2"/>
  <c r="Q104" i="2"/>
  <c r="Q112" i="2"/>
  <c r="Q32" i="2"/>
  <c r="Q64" i="2"/>
  <c r="R73" i="2"/>
  <c r="R81" i="2"/>
  <c r="R89" i="2"/>
  <c r="R97" i="2"/>
  <c r="R105" i="2"/>
  <c r="R113" i="2"/>
  <c r="S80" i="2"/>
  <c r="S112" i="2"/>
  <c r="Q121" i="2"/>
  <c r="Q129" i="2"/>
  <c r="Q137" i="2"/>
  <c r="Q145" i="2"/>
  <c r="Q153" i="2"/>
  <c r="U30" i="2"/>
  <c r="R24" i="2"/>
  <c r="R56" i="2"/>
  <c r="S47" i="2"/>
  <c r="P26" i="2"/>
  <c r="T55" i="2"/>
  <c r="Q25" i="2"/>
  <c r="T71" i="2"/>
  <c r="T87" i="2"/>
  <c r="T103" i="2"/>
  <c r="U25" i="2"/>
  <c r="U71" i="2"/>
  <c r="U84" i="2"/>
  <c r="U92" i="2"/>
  <c r="U100" i="2"/>
  <c r="U108" i="2"/>
  <c r="Q18" i="2"/>
  <c r="Q50" i="2"/>
  <c r="N70" i="2"/>
  <c r="N96" i="2"/>
  <c r="S106" i="2"/>
  <c r="U143" i="2"/>
  <c r="R114" i="2"/>
  <c r="N123" i="2"/>
  <c r="N131" i="2"/>
  <c r="N139" i="2"/>
  <c r="N147" i="2"/>
  <c r="N155" i="2"/>
  <c r="U32" i="2"/>
  <c r="S89" i="2"/>
  <c r="S117" i="2"/>
  <c r="S133" i="2"/>
  <c r="S149" i="2"/>
  <c r="P122" i="2"/>
  <c r="P154" i="2"/>
  <c r="S172" i="2"/>
  <c r="S188" i="2"/>
  <c r="S204" i="2"/>
  <c r="S220" i="2"/>
  <c r="S236" i="2"/>
  <c r="S252" i="2"/>
  <c r="N74" i="2"/>
  <c r="N106" i="2"/>
  <c r="U121" i="2"/>
  <c r="U153" i="2"/>
  <c r="R117" i="2"/>
  <c r="R125" i="2"/>
  <c r="R133" i="2"/>
  <c r="R141" i="2"/>
  <c r="R149" i="2"/>
  <c r="R157" i="2"/>
  <c r="S67" i="2"/>
  <c r="S99" i="2"/>
  <c r="S122" i="2"/>
  <c r="S138" i="2"/>
  <c r="S154" i="2"/>
  <c r="P132" i="2"/>
  <c r="S161" i="2"/>
  <c r="S177" i="2"/>
  <c r="S193" i="2"/>
  <c r="S209" i="2"/>
  <c r="S225" i="2"/>
  <c r="S241" i="2"/>
  <c r="S257" i="2"/>
  <c r="T122" i="2"/>
  <c r="T154" i="2"/>
  <c r="T166" i="2"/>
  <c r="T174" i="2"/>
  <c r="T182" i="2"/>
  <c r="T190" i="2"/>
  <c r="T198" i="2"/>
  <c r="T206" i="2"/>
  <c r="T214" i="2"/>
  <c r="N92" i="2"/>
  <c r="S90" i="2"/>
  <c r="U139" i="2"/>
  <c r="U46" i="2"/>
  <c r="N122" i="2"/>
  <c r="N130" i="2"/>
  <c r="Q30" i="2"/>
  <c r="Q62" i="2"/>
  <c r="N73" i="2"/>
  <c r="N81" i="2"/>
  <c r="N89" i="2"/>
  <c r="N97" i="2"/>
  <c r="N105" i="2"/>
  <c r="N113" i="2"/>
  <c r="S78" i="2"/>
  <c r="S110" i="2"/>
  <c r="U120" i="2"/>
  <c r="U128" i="2"/>
  <c r="U136" i="2"/>
  <c r="U144" i="2"/>
  <c r="U152" i="2"/>
  <c r="U22" i="2"/>
  <c r="R14" i="2"/>
  <c r="R46" i="2"/>
  <c r="S27" i="2"/>
  <c r="P16" i="2"/>
  <c r="P48" i="2"/>
  <c r="Q3" i="2"/>
  <c r="P66" i="2"/>
  <c r="P82" i="2"/>
  <c r="P98" i="2"/>
  <c r="U3" i="2"/>
  <c r="Q66" i="2"/>
  <c r="Q82" i="2"/>
  <c r="Q90" i="2"/>
  <c r="Q98" i="2"/>
  <c r="Q106" i="2"/>
  <c r="Q8" i="2"/>
  <c r="Q40" i="2"/>
  <c r="R67" i="2"/>
  <c r="R75" i="2"/>
  <c r="R83" i="2"/>
  <c r="R91" i="2"/>
  <c r="R99" i="2"/>
  <c r="R107" i="2"/>
  <c r="U28" i="2"/>
  <c r="S88" i="2"/>
  <c r="Q115" i="2"/>
  <c r="Q123" i="2"/>
  <c r="Q131" i="2"/>
  <c r="Q139" i="2"/>
  <c r="Q147" i="2"/>
  <c r="Q155" i="2"/>
  <c r="U62" i="2"/>
  <c r="R32" i="2"/>
  <c r="R64" i="2"/>
  <c r="S63" i="2"/>
  <c r="P34" i="2"/>
  <c r="T59" i="2"/>
  <c r="Q41" i="2"/>
  <c r="T75" i="2"/>
  <c r="T91" i="2"/>
  <c r="T107" i="2"/>
  <c r="U41" i="2"/>
  <c r="U75" i="2"/>
  <c r="U86" i="2"/>
  <c r="U94" i="2"/>
  <c r="U102" i="2"/>
  <c r="U110" i="2"/>
  <c r="Q26" i="2"/>
  <c r="Q58" i="2"/>
  <c r="N72" i="2"/>
  <c r="N104" i="2"/>
  <c r="U119" i="2"/>
  <c r="U151" i="2"/>
  <c r="N117" i="2"/>
  <c r="N125" i="2"/>
  <c r="N133" i="2"/>
  <c r="N141" i="2"/>
  <c r="N149" i="2"/>
  <c r="N157" i="2"/>
  <c r="U64" i="2"/>
  <c r="S97" i="2"/>
  <c r="S121" i="2"/>
  <c r="S137" i="2"/>
  <c r="S153" i="2"/>
  <c r="P130" i="2"/>
  <c r="Q160" i="2"/>
  <c r="S176" i="2"/>
  <c r="S192" i="2"/>
  <c r="S208" i="2"/>
  <c r="S224" i="2"/>
  <c r="S240" i="2"/>
  <c r="S256" i="2"/>
  <c r="N82" i="2"/>
  <c r="U4" i="2"/>
  <c r="U129" i="2"/>
  <c r="U157" i="2"/>
  <c r="R119" i="2"/>
  <c r="R127" i="2"/>
  <c r="R135" i="2"/>
  <c r="R143" i="2"/>
  <c r="R151" i="2"/>
  <c r="R159" i="2"/>
  <c r="S75" i="2"/>
  <c r="S107" i="2"/>
  <c r="S126" i="2"/>
  <c r="S142" i="2"/>
  <c r="S158" i="2"/>
  <c r="P140" i="2"/>
  <c r="S165" i="2"/>
  <c r="S181" i="2"/>
  <c r="S197" i="2"/>
  <c r="S213" i="2"/>
  <c r="S229" i="2"/>
  <c r="S245" i="2"/>
  <c r="S261" i="2"/>
  <c r="T130" i="2"/>
  <c r="S160" i="2"/>
  <c r="T168" i="2"/>
  <c r="T176" i="2"/>
  <c r="T184" i="2"/>
  <c r="T192" i="2"/>
  <c r="T200" i="2"/>
  <c r="T208" i="2"/>
  <c r="T216" i="2"/>
  <c r="N100" i="2"/>
  <c r="U115" i="2"/>
  <c r="U147" i="2"/>
  <c r="N116" i="2"/>
  <c r="N124" i="2"/>
  <c r="N132" i="2"/>
  <c r="Q38" i="2"/>
  <c r="N67" i="2"/>
  <c r="N75" i="2"/>
  <c r="N83" i="2"/>
  <c r="N91" i="2"/>
  <c r="N99" i="2"/>
  <c r="N107" i="2"/>
  <c r="U20" i="2"/>
  <c r="S86" i="2"/>
  <c r="U114" i="2"/>
  <c r="U122" i="2"/>
  <c r="U130" i="2"/>
  <c r="U138" i="2"/>
  <c r="U146" i="2"/>
  <c r="U154" i="2"/>
  <c r="U54" i="2"/>
  <c r="R22" i="2"/>
  <c r="R54" i="2"/>
  <c r="S43" i="2"/>
  <c r="P24" i="2"/>
  <c r="P54" i="2"/>
  <c r="Q19" i="2"/>
  <c r="P70" i="2"/>
  <c r="P86" i="2"/>
  <c r="P102" i="2"/>
  <c r="U19" i="2"/>
  <c r="Q70" i="2"/>
  <c r="Q84" i="2"/>
  <c r="Q92" i="2"/>
  <c r="Q100" i="2"/>
  <c r="Q108" i="2"/>
  <c r="Q16" i="2"/>
  <c r="Q48" i="2"/>
  <c r="R69" i="2"/>
  <c r="R77" i="2"/>
  <c r="R85" i="2"/>
  <c r="R93" i="2"/>
  <c r="R101" i="2"/>
  <c r="R109" i="2"/>
  <c r="U60" i="2"/>
  <c r="S96" i="2"/>
  <c r="Q117" i="2"/>
  <c r="Q125" i="2"/>
  <c r="Q133" i="2"/>
  <c r="Q141" i="2"/>
  <c r="Q149" i="2"/>
  <c r="Q157" i="2"/>
  <c r="R8" i="2"/>
  <c r="R40" i="2"/>
  <c r="S15" i="2"/>
  <c r="P10" i="2"/>
  <c r="P42" i="2"/>
  <c r="T63" i="2"/>
  <c r="Q57" i="2"/>
  <c r="T79" i="2"/>
  <c r="T95" i="2"/>
  <c r="T111" i="2"/>
  <c r="U57" i="2"/>
  <c r="U79" i="2"/>
  <c r="U88" i="2"/>
  <c r="U96" i="2"/>
  <c r="U104" i="2"/>
  <c r="U112" i="2"/>
  <c r="Q34" i="2"/>
  <c r="U65" i="2"/>
  <c r="N80" i="2"/>
  <c r="N112" i="2"/>
  <c r="U127" i="2"/>
  <c r="Q156" i="2"/>
  <c r="N119" i="2"/>
  <c r="N127" i="2"/>
  <c r="N135" i="2"/>
  <c r="N143" i="2"/>
  <c r="N151" i="2"/>
  <c r="N159" i="2"/>
  <c r="S73" i="2"/>
  <c r="S105" i="2"/>
  <c r="S125" i="2"/>
  <c r="S141" i="2"/>
  <c r="S157" i="2"/>
  <c r="P138" i="2"/>
  <c r="S164" i="2"/>
  <c r="S180" i="2"/>
  <c r="S196" i="2"/>
  <c r="S212" i="2"/>
  <c r="S228" i="2"/>
  <c r="S244" i="2"/>
  <c r="S260" i="2"/>
  <c r="N90" i="2"/>
  <c r="S82" i="2"/>
  <c r="U137" i="2"/>
  <c r="U38" i="2"/>
  <c r="R121" i="2"/>
  <c r="R129" i="2"/>
  <c r="R137" i="2"/>
  <c r="R145" i="2"/>
  <c r="R153" i="2"/>
  <c r="U8" i="2"/>
  <c r="S83" i="2"/>
  <c r="S114" i="2"/>
  <c r="S130" i="2"/>
  <c r="S146" i="2"/>
  <c r="P116" i="2"/>
  <c r="P148" i="2"/>
  <c r="S169" i="2"/>
  <c r="S185" i="2"/>
  <c r="S201" i="2"/>
  <c r="S217" i="2"/>
  <c r="S233" i="2"/>
  <c r="S249" i="2"/>
  <c r="S265" i="2"/>
  <c r="T138" i="2"/>
  <c r="T162" i="2"/>
  <c r="T170" i="2"/>
  <c r="T178" i="2"/>
  <c r="T186" i="2"/>
  <c r="T194" i="2"/>
  <c r="T202" i="2"/>
  <c r="T210" i="2"/>
  <c r="N76" i="2"/>
  <c r="N108" i="2"/>
  <c r="U123" i="2"/>
  <c r="Q154" i="2"/>
  <c r="N118" i="2"/>
  <c r="N126" i="2"/>
  <c r="N134" i="2"/>
  <c r="N142" i="2"/>
  <c r="N138" i="2"/>
  <c r="N150" i="2"/>
  <c r="N158" i="2"/>
  <c r="S69" i="2"/>
  <c r="S101" i="2"/>
  <c r="S123" i="2"/>
  <c r="S139" i="2"/>
  <c r="S155" i="2"/>
  <c r="P134" i="2"/>
  <c r="S162" i="2"/>
  <c r="S178" i="2"/>
  <c r="S194" i="2"/>
  <c r="S210" i="2"/>
  <c r="S226" i="2"/>
  <c r="S242" i="2"/>
  <c r="S258" i="2"/>
  <c r="T124" i="2"/>
  <c r="T156" i="2"/>
  <c r="P167" i="2"/>
  <c r="P175" i="2"/>
  <c r="P183" i="2"/>
  <c r="P191" i="2"/>
  <c r="P199" i="2"/>
  <c r="P207" i="2"/>
  <c r="P215" i="2"/>
  <c r="N102" i="2"/>
  <c r="U117" i="2"/>
  <c r="U149" i="2"/>
  <c r="R116" i="2"/>
  <c r="R124" i="2"/>
  <c r="R132" i="2"/>
  <c r="R140" i="2"/>
  <c r="R148" i="2"/>
  <c r="R156" i="2"/>
  <c r="U56" i="2"/>
  <c r="S95" i="2"/>
  <c r="S120" i="2"/>
  <c r="S136" i="2"/>
  <c r="S152" i="2"/>
  <c r="P128" i="2"/>
  <c r="T159" i="2"/>
  <c r="S175" i="2"/>
  <c r="S191" i="2"/>
  <c r="S207" i="2"/>
  <c r="S223" i="2"/>
  <c r="S239" i="2"/>
  <c r="S255" i="2"/>
  <c r="T118" i="2"/>
  <c r="T150" i="2"/>
  <c r="T165" i="2"/>
  <c r="T173" i="2"/>
  <c r="T181" i="2"/>
  <c r="T189" i="2"/>
  <c r="T197" i="2"/>
  <c r="T205" i="2"/>
  <c r="T213" i="2"/>
  <c r="U50" i="2"/>
  <c r="P180" i="2"/>
  <c r="P212" i="2"/>
  <c r="T224" i="2"/>
  <c r="T232" i="2"/>
  <c r="T240" i="2"/>
  <c r="T248" i="2"/>
  <c r="T256" i="2"/>
  <c r="T264" i="2"/>
  <c r="U58" i="2"/>
  <c r="P145" i="2"/>
  <c r="U164" i="2"/>
  <c r="U172" i="2"/>
  <c r="U180" i="2"/>
  <c r="U188" i="2"/>
  <c r="N140" i="2"/>
  <c r="N152" i="2"/>
  <c r="N160" i="2"/>
  <c r="S77" i="2"/>
  <c r="S109" i="2"/>
  <c r="S127" i="2"/>
  <c r="S143" i="2"/>
  <c r="U10" i="2"/>
  <c r="P142" i="2"/>
  <c r="S166" i="2"/>
  <c r="S182" i="2"/>
  <c r="S198" i="2"/>
  <c r="S214" i="2"/>
  <c r="S230" i="2"/>
  <c r="S246" i="2"/>
  <c r="S262" i="2"/>
  <c r="T132" i="2"/>
  <c r="P161" i="2"/>
  <c r="P169" i="2"/>
  <c r="P177" i="2"/>
  <c r="P185" i="2"/>
  <c r="P193" i="2"/>
  <c r="P201" i="2"/>
  <c r="P209" i="2"/>
  <c r="N78" i="2"/>
  <c r="N110" i="2"/>
  <c r="U125" i="2"/>
  <c r="U155" i="2"/>
  <c r="R118" i="2"/>
  <c r="R126" i="2"/>
  <c r="R134" i="2"/>
  <c r="R142" i="2"/>
  <c r="R150" i="2"/>
  <c r="R158" i="2"/>
  <c r="S71" i="2"/>
  <c r="S103" i="2"/>
  <c r="S124" i="2"/>
  <c r="S140" i="2"/>
  <c r="S156" i="2"/>
  <c r="P136" i="2"/>
  <c r="S163" i="2"/>
  <c r="S179" i="2"/>
  <c r="S195" i="2"/>
  <c r="S211" i="2"/>
  <c r="S227" i="2"/>
  <c r="S243" i="2"/>
  <c r="S259" i="2"/>
  <c r="T126" i="2"/>
  <c r="T158" i="2"/>
  <c r="T167" i="2"/>
  <c r="T175" i="2"/>
  <c r="T183" i="2"/>
  <c r="T191" i="2"/>
  <c r="T199" i="2"/>
  <c r="T207" i="2"/>
  <c r="T215" i="2"/>
  <c r="T144" i="2"/>
  <c r="P188" i="2"/>
  <c r="P218" i="2"/>
  <c r="T226" i="2"/>
  <c r="T234" i="2"/>
  <c r="T242" i="2"/>
  <c r="T250" i="2"/>
  <c r="T258" i="2"/>
  <c r="T266" i="2"/>
  <c r="P121" i="2"/>
  <c r="P153" i="2"/>
  <c r="U166" i="2"/>
  <c r="U174" i="2"/>
  <c r="U182" i="2"/>
  <c r="U190" i="2"/>
  <c r="N146" i="2"/>
  <c r="N154" i="2"/>
  <c r="U16" i="2"/>
  <c r="S85" i="2"/>
  <c r="S115" i="2"/>
  <c r="S131" i="2"/>
  <c r="S147" i="2"/>
  <c r="P118" i="2"/>
  <c r="P150" i="2"/>
  <c r="S170" i="2"/>
  <c r="S186" i="2"/>
  <c r="S202" i="2"/>
  <c r="S218" i="2"/>
  <c r="S234" i="2"/>
  <c r="S250" i="2"/>
  <c r="S266" i="2"/>
  <c r="T140" i="2"/>
  <c r="P163" i="2"/>
  <c r="P171" i="2"/>
  <c r="P179" i="2"/>
  <c r="P187" i="2"/>
  <c r="P195" i="2"/>
  <c r="P203" i="2"/>
  <c r="P211" i="2"/>
  <c r="N86" i="2"/>
  <c r="S66" i="2"/>
  <c r="U133" i="2"/>
  <c r="U6" i="2"/>
  <c r="R120" i="2"/>
  <c r="R128" i="2"/>
  <c r="R136" i="2"/>
  <c r="R144" i="2"/>
  <c r="R152" i="2"/>
  <c r="R160" i="2"/>
  <c r="S79" i="2"/>
  <c r="S111" i="2"/>
  <c r="S128" i="2"/>
  <c r="S144" i="2"/>
  <c r="U42" i="2"/>
  <c r="P144" i="2"/>
  <c r="S167" i="2"/>
  <c r="S183" i="2"/>
  <c r="S199" i="2"/>
  <c r="S215" i="2"/>
  <c r="S231" i="2"/>
  <c r="S247" i="2"/>
  <c r="S263" i="2"/>
  <c r="T134" i="2"/>
  <c r="T161" i="2"/>
  <c r="T169" i="2"/>
  <c r="T177" i="2"/>
  <c r="T185" i="2"/>
  <c r="T193" i="2"/>
  <c r="T201" i="2"/>
  <c r="T209" i="2"/>
  <c r="T217" i="2"/>
  <c r="P164" i="2"/>
  <c r="P196" i="2"/>
  <c r="T220" i="2"/>
  <c r="T228" i="2"/>
  <c r="T236" i="2"/>
  <c r="T244" i="2"/>
  <c r="T252" i="2"/>
  <c r="T260" i="2"/>
  <c r="T268" i="2"/>
  <c r="P129" i="2"/>
  <c r="T160" i="2"/>
  <c r="U168" i="2"/>
  <c r="U176" i="2"/>
  <c r="U184" i="2"/>
  <c r="U192" i="2"/>
  <c r="U200" i="2"/>
  <c r="U208" i="2"/>
  <c r="U216" i="2"/>
  <c r="U224" i="2"/>
  <c r="U232" i="2"/>
  <c r="U240" i="2"/>
  <c r="U248" i="2"/>
  <c r="U256" i="2"/>
  <c r="U264" i="2"/>
  <c r="N169" i="2"/>
  <c r="N201" i="2"/>
  <c r="N233" i="2"/>
  <c r="N265" i="2"/>
  <c r="T275" i="2"/>
  <c r="T283" i="2"/>
  <c r="T291" i="2"/>
  <c r="T299" i="2"/>
  <c r="P174" i="2"/>
  <c r="P206" i="2"/>
  <c r="P223" i="2"/>
  <c r="P231" i="2"/>
  <c r="P239" i="2"/>
  <c r="P247" i="2"/>
  <c r="P255" i="2"/>
  <c r="P263" i="2"/>
  <c r="P271" i="2"/>
  <c r="P139" i="2"/>
  <c r="Q163" i="2"/>
  <c r="Q171" i="2"/>
  <c r="Q179" i="2"/>
  <c r="Q187" i="2"/>
  <c r="Q195" i="2"/>
  <c r="Q203" i="2"/>
  <c r="Q211" i="2"/>
  <c r="Q219" i="2"/>
  <c r="Q227" i="2"/>
  <c r="Q235" i="2"/>
  <c r="Q243" i="2"/>
  <c r="Q251" i="2"/>
  <c r="Q259" i="2"/>
  <c r="U34" i="2"/>
  <c r="N179" i="2"/>
  <c r="N211" i="2"/>
  <c r="N243" i="2"/>
  <c r="S269" i="2"/>
  <c r="P278" i="2"/>
  <c r="P286" i="2"/>
  <c r="P294" i="2"/>
  <c r="P302" i="2"/>
  <c r="P310" i="2"/>
  <c r="P168" i="2"/>
  <c r="P200" i="2"/>
  <c r="T221" i="2"/>
  <c r="T229" i="2"/>
  <c r="T237" i="2"/>
  <c r="T245" i="2"/>
  <c r="N148" i="2"/>
  <c r="N156" i="2"/>
  <c r="U48" i="2"/>
  <c r="S93" i="2"/>
  <c r="S119" i="2"/>
  <c r="S135" i="2"/>
  <c r="S151" i="2"/>
  <c r="P126" i="2"/>
  <c r="P158" i="2"/>
  <c r="S174" i="2"/>
  <c r="S190" i="2"/>
  <c r="S206" i="2"/>
  <c r="S222" i="2"/>
  <c r="S238" i="2"/>
  <c r="S254" i="2"/>
  <c r="T116" i="2"/>
  <c r="T148" i="2"/>
  <c r="P165" i="2"/>
  <c r="P173" i="2"/>
  <c r="P181" i="2"/>
  <c r="P189" i="2"/>
  <c r="P197" i="2"/>
  <c r="P205" i="2"/>
  <c r="P213" i="2"/>
  <c r="N94" i="2"/>
  <c r="S98" i="2"/>
  <c r="U141" i="2"/>
  <c r="N114" i="2"/>
  <c r="R122" i="2"/>
  <c r="R130" i="2"/>
  <c r="R138" i="2"/>
  <c r="R146" i="2"/>
  <c r="R154" i="2"/>
  <c r="U24" i="2"/>
  <c r="S87" i="2"/>
  <c r="S116" i="2"/>
  <c r="S132" i="2"/>
  <c r="S148" i="2"/>
  <c r="P120" i="2"/>
  <c r="P152" i="2"/>
  <c r="S171" i="2"/>
  <c r="S187" i="2"/>
  <c r="S203" i="2"/>
  <c r="S219" i="2"/>
  <c r="S235" i="2"/>
  <c r="S251" i="2"/>
  <c r="U18" i="2"/>
  <c r="T142" i="2"/>
  <c r="T163" i="2"/>
  <c r="T171" i="2"/>
  <c r="T179" i="2"/>
  <c r="T187" i="2"/>
  <c r="T195" i="2"/>
  <c r="T203" i="2"/>
  <c r="T211" i="2"/>
  <c r="T219" i="2"/>
  <c r="P172" i="2"/>
  <c r="P204" i="2"/>
  <c r="T222" i="2"/>
  <c r="T230" i="2"/>
  <c r="T238" i="2"/>
  <c r="T246" i="2"/>
  <c r="T254" i="2"/>
  <c r="T262" i="2"/>
  <c r="T270" i="2"/>
  <c r="P137" i="2"/>
  <c r="U162" i="2"/>
  <c r="U170" i="2"/>
  <c r="U178" i="2"/>
  <c r="U186" i="2"/>
  <c r="U194" i="2"/>
  <c r="U202" i="2"/>
  <c r="U210" i="2"/>
  <c r="U218" i="2"/>
  <c r="U226" i="2"/>
  <c r="U234" i="2"/>
  <c r="U242" i="2"/>
  <c r="U250" i="2"/>
  <c r="U258" i="2"/>
  <c r="U266" i="2"/>
  <c r="N177" i="2"/>
  <c r="N209" i="2"/>
  <c r="N241" i="2"/>
  <c r="N269" i="2"/>
  <c r="T277" i="2"/>
  <c r="T285" i="2"/>
  <c r="T293" i="2"/>
  <c r="T120" i="2"/>
  <c r="P182" i="2"/>
  <c r="P214" i="2"/>
  <c r="P225" i="2"/>
  <c r="P233" i="2"/>
  <c r="P241" i="2"/>
  <c r="P249" i="2"/>
  <c r="P257" i="2"/>
  <c r="P265" i="2"/>
  <c r="P115" i="2"/>
  <c r="P147" i="2"/>
  <c r="Q165" i="2"/>
  <c r="Q173" i="2"/>
  <c r="Q181" i="2"/>
  <c r="Q189" i="2"/>
  <c r="Q197" i="2"/>
  <c r="Q205" i="2"/>
  <c r="Q213" i="2"/>
  <c r="Q221" i="2"/>
  <c r="Q229" i="2"/>
  <c r="Q237" i="2"/>
  <c r="Q245" i="2"/>
  <c r="Q253" i="2"/>
  <c r="Q261" i="2"/>
  <c r="T139" i="2"/>
  <c r="N187" i="2"/>
  <c r="N219" i="2"/>
  <c r="N251" i="2"/>
  <c r="P272" i="2"/>
  <c r="P280" i="2"/>
  <c r="P288" i="2"/>
  <c r="P296" i="2"/>
  <c r="P304" i="2"/>
  <c r="P312" i="2"/>
  <c r="P176" i="2"/>
  <c r="P208" i="2"/>
  <c r="T223" i="2"/>
  <c r="T231" i="2"/>
  <c r="T239" i="2"/>
  <c r="T247" i="2"/>
  <c r="T255" i="2"/>
  <c r="U196" i="2"/>
  <c r="U212" i="2"/>
  <c r="U228" i="2"/>
  <c r="U244" i="2"/>
  <c r="U260" i="2"/>
  <c r="N185" i="2"/>
  <c r="N249" i="2"/>
  <c r="T279" i="2"/>
  <c r="T295" i="2"/>
  <c r="P190" i="2"/>
  <c r="P227" i="2"/>
  <c r="P243" i="2"/>
  <c r="P259" i="2"/>
  <c r="P123" i="2"/>
  <c r="Q167" i="2"/>
  <c r="Q183" i="2"/>
  <c r="Q199" i="2"/>
  <c r="Q215" i="2"/>
  <c r="Q231" i="2"/>
  <c r="Q247" i="2"/>
  <c r="Q263" i="2"/>
  <c r="N195" i="2"/>
  <c r="N259" i="2"/>
  <c r="P282" i="2"/>
  <c r="P298" i="2"/>
  <c r="T128" i="2"/>
  <c r="P216" i="2"/>
  <c r="T233" i="2"/>
  <c r="T249" i="2"/>
  <c r="T259" i="2"/>
  <c r="T267" i="2"/>
  <c r="P125" i="2"/>
  <c r="P157" i="2"/>
  <c r="U167" i="2"/>
  <c r="U175" i="2"/>
  <c r="U183" i="2"/>
  <c r="U191" i="2"/>
  <c r="U199" i="2"/>
  <c r="U207" i="2"/>
  <c r="U215" i="2"/>
  <c r="U223" i="2"/>
  <c r="U231" i="2"/>
  <c r="U239" i="2"/>
  <c r="U247" i="2"/>
  <c r="U255" i="2"/>
  <c r="U263" i="2"/>
  <c r="N165" i="2"/>
  <c r="N197" i="2"/>
  <c r="N229" i="2"/>
  <c r="N261" i="2"/>
  <c r="T274" i="2"/>
  <c r="T282" i="2"/>
  <c r="T290" i="2"/>
  <c r="T298" i="2"/>
  <c r="T306" i="2"/>
  <c r="P162" i="2"/>
  <c r="P224" i="2"/>
  <c r="P256" i="2"/>
  <c r="Q164" i="2"/>
  <c r="Q196" i="2"/>
  <c r="Q228" i="2"/>
  <c r="Q260" i="2"/>
  <c r="N247" i="2"/>
  <c r="P295" i="2"/>
  <c r="P313" i="2"/>
  <c r="P321" i="2"/>
  <c r="P329" i="2"/>
  <c r="P337" i="2"/>
  <c r="P345" i="2"/>
  <c r="P353" i="2"/>
  <c r="P361" i="2"/>
  <c r="R165" i="2"/>
  <c r="R197" i="2"/>
  <c r="R229" i="2"/>
  <c r="R261" i="2"/>
  <c r="Q276" i="2"/>
  <c r="Q284" i="2"/>
  <c r="Q292" i="2"/>
  <c r="Q300" i="2"/>
  <c r="Q308" i="2"/>
  <c r="Q316" i="2"/>
  <c r="Q324" i="2"/>
  <c r="Q332" i="2"/>
  <c r="Q340" i="2"/>
  <c r="Q348" i="2"/>
  <c r="Q356" i="2"/>
  <c r="Q364" i="2"/>
  <c r="Q372" i="2"/>
  <c r="N180" i="2"/>
  <c r="N212" i="2"/>
  <c r="N244" i="2"/>
  <c r="N270" i="2"/>
  <c r="R278" i="2"/>
  <c r="R286" i="2"/>
  <c r="R294" i="2"/>
  <c r="R302" i="2"/>
  <c r="R310" i="2"/>
  <c r="R318" i="2"/>
  <c r="R326" i="2"/>
  <c r="R334" i="2"/>
  <c r="R342" i="2"/>
  <c r="R350" i="2"/>
  <c r="R358" i="2"/>
  <c r="R170" i="2"/>
  <c r="R367" i="2"/>
  <c r="P378" i="2"/>
  <c r="P386" i="2"/>
  <c r="P394" i="2"/>
  <c r="P402" i="2"/>
  <c r="P410" i="2"/>
  <c r="P418" i="2"/>
  <c r="P426" i="2"/>
  <c r="P434" i="2"/>
  <c r="P442" i="2"/>
  <c r="P450" i="2"/>
  <c r="P458" i="2"/>
  <c r="R204" i="2"/>
  <c r="S286" i="2"/>
  <c r="S318" i="2"/>
  <c r="P226" i="2"/>
  <c r="P258" i="2"/>
  <c r="Q166" i="2"/>
  <c r="Q198" i="2"/>
  <c r="Q230" i="2"/>
  <c r="Q262" i="2"/>
  <c r="N255" i="2"/>
  <c r="P297" i="2"/>
  <c r="U198" i="2"/>
  <c r="U214" i="2"/>
  <c r="U230" i="2"/>
  <c r="U246" i="2"/>
  <c r="U262" i="2"/>
  <c r="N193" i="2"/>
  <c r="N257" i="2"/>
  <c r="T281" i="2"/>
  <c r="T297" i="2"/>
  <c r="P198" i="2"/>
  <c r="P229" i="2"/>
  <c r="P245" i="2"/>
  <c r="P261" i="2"/>
  <c r="P131" i="2"/>
  <c r="Q169" i="2"/>
  <c r="Q185" i="2"/>
  <c r="Q201" i="2"/>
  <c r="Q217" i="2"/>
  <c r="Q233" i="2"/>
  <c r="Q249" i="2"/>
  <c r="Q265" i="2"/>
  <c r="N203" i="2"/>
  <c r="N267" i="2"/>
  <c r="P284" i="2"/>
  <c r="P300" i="2"/>
  <c r="U159" i="2"/>
  <c r="P219" i="2"/>
  <c r="T235" i="2"/>
  <c r="T251" i="2"/>
  <c r="T261" i="2"/>
  <c r="T269" i="2"/>
  <c r="P133" i="2"/>
  <c r="U161" i="2"/>
  <c r="U169" i="2"/>
  <c r="U177" i="2"/>
  <c r="U185" i="2"/>
  <c r="U193" i="2"/>
  <c r="U201" i="2"/>
  <c r="U209" i="2"/>
  <c r="U217" i="2"/>
  <c r="U225" i="2"/>
  <c r="U233" i="2"/>
  <c r="U241" i="2"/>
  <c r="U249" i="2"/>
  <c r="U257" i="2"/>
  <c r="U265" i="2"/>
  <c r="N173" i="2"/>
  <c r="N205" i="2"/>
  <c r="N237" i="2"/>
  <c r="S267" i="2"/>
  <c r="T276" i="2"/>
  <c r="T284" i="2"/>
  <c r="T292" i="2"/>
  <c r="T300" i="2"/>
  <c r="T308" i="2"/>
  <c r="P170" i="2"/>
  <c r="P232" i="2"/>
  <c r="P264" i="2"/>
  <c r="Q172" i="2"/>
  <c r="Q204" i="2"/>
  <c r="Q236" i="2"/>
  <c r="T123" i="2"/>
  <c r="N271" i="2"/>
  <c r="T301" i="2"/>
  <c r="P315" i="2"/>
  <c r="P323" i="2"/>
  <c r="P331" i="2"/>
  <c r="P339" i="2"/>
  <c r="P347" i="2"/>
  <c r="P355" i="2"/>
  <c r="P363" i="2"/>
  <c r="R173" i="2"/>
  <c r="R205" i="2"/>
  <c r="R237" i="2"/>
  <c r="R268" i="2"/>
  <c r="Q278" i="2"/>
  <c r="Q286" i="2"/>
  <c r="Q294" i="2"/>
  <c r="Q302" i="2"/>
  <c r="Q310" i="2"/>
  <c r="Q318" i="2"/>
  <c r="Q326" i="2"/>
  <c r="Q334" i="2"/>
  <c r="Q342" i="2"/>
  <c r="Q350" i="2"/>
  <c r="Q358" i="2"/>
  <c r="Q366" i="2"/>
  <c r="T143" i="2"/>
  <c r="N188" i="2"/>
  <c r="N220" i="2"/>
  <c r="N252" i="2"/>
  <c r="R272" i="2"/>
  <c r="R280" i="2"/>
  <c r="R288" i="2"/>
  <c r="R296" i="2"/>
  <c r="R304" i="2"/>
  <c r="R312" i="2"/>
  <c r="R320" i="2"/>
  <c r="R328" i="2"/>
  <c r="R336" i="2"/>
  <c r="R344" i="2"/>
  <c r="R352" i="2"/>
  <c r="R360" i="2"/>
  <c r="R202" i="2"/>
  <c r="R371" i="2"/>
  <c r="P380" i="2"/>
  <c r="P388" i="2"/>
  <c r="P396" i="2"/>
  <c r="P404" i="2"/>
  <c r="P412" i="2"/>
  <c r="P420" i="2"/>
  <c r="P428" i="2"/>
  <c r="P436" i="2"/>
  <c r="P444" i="2"/>
  <c r="P452" i="2"/>
  <c r="P460" i="2"/>
  <c r="R236" i="2"/>
  <c r="S294" i="2"/>
  <c r="S326" i="2"/>
  <c r="P234" i="2"/>
  <c r="P266" i="2"/>
  <c r="Q174" i="2"/>
  <c r="Q206" i="2"/>
  <c r="Q238" i="2"/>
  <c r="T155" i="2"/>
  <c r="P273" i="2"/>
  <c r="P303" i="2"/>
  <c r="U204" i="2"/>
  <c r="U220" i="2"/>
  <c r="U236" i="2"/>
  <c r="U252" i="2"/>
  <c r="T131" i="2"/>
  <c r="N217" i="2"/>
  <c r="S271" i="2"/>
  <c r="T287" i="2"/>
  <c r="T152" i="2"/>
  <c r="T218" i="2"/>
  <c r="P235" i="2"/>
  <c r="P251" i="2"/>
  <c r="P267" i="2"/>
  <c r="P155" i="2"/>
  <c r="Q175" i="2"/>
  <c r="Q191" i="2"/>
  <c r="Q207" i="2"/>
  <c r="Q223" i="2"/>
  <c r="Q239" i="2"/>
  <c r="Q255" i="2"/>
  <c r="N163" i="2"/>
  <c r="N227" i="2"/>
  <c r="P274" i="2"/>
  <c r="P290" i="2"/>
  <c r="P306" i="2"/>
  <c r="P184" i="2"/>
  <c r="T225" i="2"/>
  <c r="T241" i="2"/>
  <c r="T253" i="2"/>
  <c r="T263" i="2"/>
  <c r="T271" i="2"/>
  <c r="P141" i="2"/>
  <c r="U163" i="2"/>
  <c r="U171" i="2"/>
  <c r="U179" i="2"/>
  <c r="U187" i="2"/>
  <c r="U195" i="2"/>
  <c r="U203" i="2"/>
  <c r="U211" i="2"/>
  <c r="U219" i="2"/>
  <c r="U227" i="2"/>
  <c r="U235" i="2"/>
  <c r="U243" i="2"/>
  <c r="U251" i="2"/>
  <c r="U259" i="2"/>
  <c r="T115" i="2"/>
  <c r="N181" i="2"/>
  <c r="N213" i="2"/>
  <c r="N245" i="2"/>
  <c r="Q270" i="2"/>
  <c r="T278" i="2"/>
  <c r="T286" i="2"/>
  <c r="T294" i="2"/>
  <c r="T302" i="2"/>
  <c r="T310" i="2"/>
  <c r="P178" i="2"/>
  <c r="P240" i="2"/>
  <c r="U26" i="2"/>
  <c r="Q180" i="2"/>
  <c r="Q212" i="2"/>
  <c r="Q244" i="2"/>
  <c r="N183" i="2"/>
  <c r="P279" i="2"/>
  <c r="T305" i="2"/>
  <c r="P317" i="2"/>
  <c r="P325" i="2"/>
  <c r="P333" i="2"/>
  <c r="P341" i="2"/>
  <c r="P349" i="2"/>
  <c r="P357" i="2"/>
  <c r="T117" i="2"/>
  <c r="R181" i="2"/>
  <c r="R213" i="2"/>
  <c r="R245" i="2"/>
  <c r="Q272" i="2"/>
  <c r="Q280" i="2"/>
  <c r="Q288" i="2"/>
  <c r="Q296" i="2"/>
  <c r="Q304" i="2"/>
  <c r="Q312" i="2"/>
  <c r="Q320" i="2"/>
  <c r="Q328" i="2"/>
  <c r="Q336" i="2"/>
  <c r="Q344" i="2"/>
  <c r="Q352" i="2"/>
  <c r="Q360" i="2"/>
  <c r="Q368" i="2"/>
  <c r="N164" i="2"/>
  <c r="N196" i="2"/>
  <c r="N228" i="2"/>
  <c r="N260" i="2"/>
  <c r="R274" i="2"/>
  <c r="R282" i="2"/>
  <c r="R290" i="2"/>
  <c r="R298" i="2"/>
  <c r="R306" i="2"/>
  <c r="R314" i="2"/>
  <c r="R322" i="2"/>
  <c r="R330" i="2"/>
  <c r="R338" i="2"/>
  <c r="R346" i="2"/>
  <c r="R354" i="2"/>
  <c r="R362" i="2"/>
  <c r="R234" i="2"/>
  <c r="P374" i="2"/>
  <c r="P382" i="2"/>
  <c r="P390" i="2"/>
  <c r="P398" i="2"/>
  <c r="P406" i="2"/>
  <c r="P414" i="2"/>
  <c r="P422" i="2"/>
  <c r="P430" i="2"/>
  <c r="P438" i="2"/>
  <c r="P446" i="2"/>
  <c r="P454" i="2"/>
  <c r="P462" i="2"/>
  <c r="R267" i="2"/>
  <c r="S302" i="2"/>
  <c r="P186" i="2"/>
  <c r="P242" i="2"/>
  <c r="P119" i="2"/>
  <c r="Q182" i="2"/>
  <c r="Q214" i="2"/>
  <c r="Q246" i="2"/>
  <c r="N191" i="2"/>
  <c r="P281" i="2"/>
  <c r="P307" i="2"/>
  <c r="T317" i="2"/>
  <c r="T325" i="2"/>
  <c r="T333" i="2"/>
  <c r="T341" i="2"/>
  <c r="T349" i="2"/>
  <c r="T357" i="2"/>
  <c r="T125" i="2"/>
  <c r="R183" i="2"/>
  <c r="R215" i="2"/>
  <c r="R247" i="2"/>
  <c r="U272" i="2"/>
  <c r="U280" i="2"/>
  <c r="U288" i="2"/>
  <c r="U296" i="2"/>
  <c r="U304" i="2"/>
  <c r="U312" i="2"/>
  <c r="U320" i="2"/>
  <c r="U328" i="2"/>
  <c r="U336" i="2"/>
  <c r="U344" i="2"/>
  <c r="U352" i="2"/>
  <c r="U360" i="2"/>
  <c r="U368" i="2"/>
  <c r="N166" i="2"/>
  <c r="N198" i="2"/>
  <c r="N230" i="2"/>
  <c r="N262" i="2"/>
  <c r="N275" i="2"/>
  <c r="N283" i="2"/>
  <c r="N291" i="2"/>
  <c r="N299" i="2"/>
  <c r="N307" i="2"/>
  <c r="N315" i="2"/>
  <c r="N323" i="2"/>
  <c r="N331" i="2"/>
  <c r="N339" i="2"/>
  <c r="N347" i="2"/>
  <c r="N355" i="2"/>
  <c r="N363" i="2"/>
  <c r="R242" i="2"/>
  <c r="T374" i="2"/>
  <c r="T382" i="2"/>
  <c r="T390" i="2"/>
  <c r="T398" i="2"/>
  <c r="U206" i="2"/>
  <c r="U222" i="2"/>
  <c r="U238" i="2"/>
  <c r="U254" i="2"/>
  <c r="U160" i="2"/>
  <c r="N225" i="2"/>
  <c r="T273" i="2"/>
  <c r="T289" i="2"/>
  <c r="P166" i="2"/>
  <c r="P221" i="2"/>
  <c r="P237" i="2"/>
  <c r="P253" i="2"/>
  <c r="P269" i="2"/>
  <c r="Q161" i="2"/>
  <c r="Q177" i="2"/>
  <c r="Q193" i="2"/>
  <c r="Q209" i="2"/>
  <c r="Q225" i="2"/>
  <c r="Q241" i="2"/>
  <c r="Q257" i="2"/>
  <c r="N171" i="2"/>
  <c r="N235" i="2"/>
  <c r="P276" i="2"/>
  <c r="P292" i="2"/>
  <c r="P308" i="2"/>
  <c r="P192" i="2"/>
  <c r="T227" i="2"/>
  <c r="T243" i="2"/>
  <c r="T257" i="2"/>
  <c r="T265" i="2"/>
  <c r="P117" i="2"/>
  <c r="P149" i="2"/>
  <c r="U165" i="2"/>
  <c r="U173" i="2"/>
  <c r="U181" i="2"/>
  <c r="U189" i="2"/>
  <c r="U197" i="2"/>
  <c r="U205" i="2"/>
  <c r="U213" i="2"/>
  <c r="U221" i="2"/>
  <c r="U229" i="2"/>
  <c r="U237" i="2"/>
  <c r="U245" i="2"/>
  <c r="U253" i="2"/>
  <c r="U261" i="2"/>
  <c r="T147" i="2"/>
  <c r="N189" i="2"/>
  <c r="N221" i="2"/>
  <c r="N253" i="2"/>
  <c r="T272" i="2"/>
  <c r="T280" i="2"/>
  <c r="T288" i="2"/>
  <c r="T296" i="2"/>
  <c r="T304" i="2"/>
  <c r="T136" i="2"/>
  <c r="P210" i="2"/>
  <c r="P248" i="2"/>
  <c r="P143" i="2"/>
  <c r="Q188" i="2"/>
  <c r="Q220" i="2"/>
  <c r="Q252" i="2"/>
  <c r="N215" i="2"/>
  <c r="P287" i="2"/>
  <c r="T309" i="2"/>
  <c r="P319" i="2"/>
  <c r="P327" i="2"/>
  <c r="P335" i="2"/>
  <c r="P343" i="2"/>
  <c r="P351" i="2"/>
  <c r="P359" i="2"/>
  <c r="T149" i="2"/>
  <c r="R189" i="2"/>
  <c r="R221" i="2"/>
  <c r="R253" i="2"/>
  <c r="Q274" i="2"/>
  <c r="Q282" i="2"/>
  <c r="Q290" i="2"/>
  <c r="Q298" i="2"/>
  <c r="Q306" i="2"/>
  <c r="Q314" i="2"/>
  <c r="Q322" i="2"/>
  <c r="Q330" i="2"/>
  <c r="Q338" i="2"/>
  <c r="Q346" i="2"/>
  <c r="Q354" i="2"/>
  <c r="Q362" i="2"/>
  <c r="Q370" i="2"/>
  <c r="N172" i="2"/>
  <c r="N204" i="2"/>
  <c r="N236" i="2"/>
  <c r="Q267" i="2"/>
  <c r="R276" i="2"/>
  <c r="R284" i="2"/>
  <c r="R292" i="2"/>
  <c r="R300" i="2"/>
  <c r="R308" i="2"/>
  <c r="R316" i="2"/>
  <c r="R324" i="2"/>
  <c r="R332" i="2"/>
  <c r="R340" i="2"/>
  <c r="R348" i="2"/>
  <c r="R356" i="2"/>
  <c r="R364" i="2"/>
  <c r="R266" i="2"/>
  <c r="P376" i="2"/>
  <c r="P384" i="2"/>
  <c r="P392" i="2"/>
  <c r="P400" i="2"/>
  <c r="P408" i="2"/>
  <c r="P416" i="2"/>
  <c r="P424" i="2"/>
  <c r="P432" i="2"/>
  <c r="P440" i="2"/>
  <c r="P448" i="2"/>
  <c r="P456" i="2"/>
  <c r="R172" i="2"/>
  <c r="S278" i="2"/>
  <c r="S310" i="2"/>
  <c r="P217" i="2"/>
  <c r="P250" i="2"/>
  <c r="P151" i="2"/>
  <c r="Q190" i="2"/>
  <c r="Q222" i="2"/>
  <c r="Q254" i="2"/>
  <c r="N223" i="2"/>
  <c r="P289" i="2"/>
  <c r="P311" i="2"/>
  <c r="T319" i="2"/>
  <c r="T327" i="2"/>
  <c r="T335" i="2"/>
  <c r="T343" i="2"/>
  <c r="T351" i="2"/>
  <c r="T359" i="2"/>
  <c r="T157" i="2"/>
  <c r="R191" i="2"/>
  <c r="R223" i="2"/>
  <c r="R255" i="2"/>
  <c r="U274" i="2"/>
  <c r="U282" i="2"/>
  <c r="U290" i="2"/>
  <c r="U298" i="2"/>
  <c r="U306" i="2"/>
  <c r="U314" i="2"/>
  <c r="U322" i="2"/>
  <c r="U330" i="2"/>
  <c r="U338" i="2"/>
  <c r="U346" i="2"/>
  <c r="U354" i="2"/>
  <c r="U362" i="2"/>
  <c r="U370" i="2"/>
  <c r="N174" i="2"/>
  <c r="N206" i="2"/>
  <c r="N238" i="2"/>
  <c r="N268" i="2"/>
  <c r="N277" i="2"/>
  <c r="N285" i="2"/>
  <c r="N293" i="2"/>
  <c r="N301" i="2"/>
  <c r="N309" i="2"/>
  <c r="N317" i="2"/>
  <c r="N325" i="2"/>
  <c r="N333" i="2"/>
  <c r="N341" i="2"/>
  <c r="N349" i="2"/>
  <c r="N357" i="2"/>
  <c r="N365" i="2"/>
  <c r="R269" i="2"/>
  <c r="T376" i="2"/>
  <c r="T384" i="2"/>
  <c r="T392" i="2"/>
  <c r="T400" i="2"/>
  <c r="T313" i="2"/>
  <c r="T329" i="2"/>
  <c r="T345" i="2"/>
  <c r="T361" i="2"/>
  <c r="R199" i="2"/>
  <c r="R263" i="2"/>
  <c r="U284" i="2"/>
  <c r="U300" i="2"/>
  <c r="U316" i="2"/>
  <c r="U332" i="2"/>
  <c r="U348" i="2"/>
  <c r="U364" i="2"/>
  <c r="N182" i="2"/>
  <c r="N246" i="2"/>
  <c r="N279" i="2"/>
  <c r="N295" i="2"/>
  <c r="N311" i="2"/>
  <c r="N327" i="2"/>
  <c r="N343" i="2"/>
  <c r="N359" i="2"/>
  <c r="T368" i="2"/>
  <c r="T386" i="2"/>
  <c r="T402" i="2"/>
  <c r="T410" i="2"/>
  <c r="T418" i="2"/>
  <c r="T426" i="2"/>
  <c r="T434" i="2"/>
  <c r="T442" i="2"/>
  <c r="T450" i="2"/>
  <c r="T458" i="2"/>
  <c r="P228" i="2"/>
  <c r="P260" i="2"/>
  <c r="Q168" i="2"/>
  <c r="Q200" i="2"/>
  <c r="Q232" i="2"/>
  <c r="Q264" i="2"/>
  <c r="N263" i="2"/>
  <c r="P299" i="2"/>
  <c r="P314" i="2"/>
  <c r="P322" i="2"/>
  <c r="P330" i="2"/>
  <c r="P338" i="2"/>
  <c r="P346" i="2"/>
  <c r="P354" i="2"/>
  <c r="P362" i="2"/>
  <c r="R169" i="2"/>
  <c r="R201" i="2"/>
  <c r="R233" i="2"/>
  <c r="R265" i="2"/>
  <c r="Q277" i="2"/>
  <c r="Q285" i="2"/>
  <c r="Q293" i="2"/>
  <c r="Q301" i="2"/>
  <c r="Q309" i="2"/>
  <c r="Q317" i="2"/>
  <c r="Q325" i="2"/>
  <c r="Q333" i="2"/>
  <c r="Q341" i="2"/>
  <c r="Q349" i="2"/>
  <c r="Q357" i="2"/>
  <c r="Q365" i="2"/>
  <c r="T127" i="2"/>
  <c r="N184" i="2"/>
  <c r="N216" i="2"/>
  <c r="N248" i="2"/>
  <c r="Q271" i="2"/>
  <c r="R279" i="2"/>
  <c r="R287" i="2"/>
  <c r="R295" i="2"/>
  <c r="R303" i="2"/>
  <c r="R311" i="2"/>
  <c r="R319" i="2"/>
  <c r="R327" i="2"/>
  <c r="R335" i="2"/>
  <c r="R343" i="2"/>
  <c r="R351" i="2"/>
  <c r="R359" i="2"/>
  <c r="R186" i="2"/>
  <c r="R369" i="2"/>
  <c r="P379" i="2"/>
  <c r="P387" i="2"/>
  <c r="P395" i="2"/>
  <c r="P403" i="2"/>
  <c r="P411" i="2"/>
  <c r="P419" i="2"/>
  <c r="P427" i="2"/>
  <c r="P435" i="2"/>
  <c r="P443" i="2"/>
  <c r="P451" i="2"/>
  <c r="P459" i="2"/>
  <c r="R220" i="2"/>
  <c r="S290" i="2"/>
  <c r="S322" i="2"/>
  <c r="S354" i="2"/>
  <c r="P238" i="2"/>
  <c r="P270" i="2"/>
  <c r="Q178" i="2"/>
  <c r="Q210" i="2"/>
  <c r="Q242" i="2"/>
  <c r="N175" i="2"/>
  <c r="P277" i="2"/>
  <c r="P305" i="2"/>
  <c r="T316" i="2"/>
  <c r="T324" i="2"/>
  <c r="T332" i="2"/>
  <c r="T340" i="2"/>
  <c r="T348" i="2"/>
  <c r="T356" i="2"/>
  <c r="T364" i="2"/>
  <c r="R179" i="2"/>
  <c r="R211" i="2"/>
  <c r="R243" i="2"/>
  <c r="U271" i="2"/>
  <c r="U279" i="2"/>
  <c r="U287" i="2"/>
  <c r="U295" i="2"/>
  <c r="U303" i="2"/>
  <c r="U311" i="2"/>
  <c r="U319" i="2"/>
  <c r="U327" i="2"/>
  <c r="U335" i="2"/>
  <c r="U343" i="2"/>
  <c r="U351" i="2"/>
  <c r="U359" i="2"/>
  <c r="U367" i="2"/>
  <c r="N162" i="2"/>
  <c r="N194" i="2"/>
  <c r="N226" i="2"/>
  <c r="N258" i="2"/>
  <c r="N274" i="2"/>
  <c r="N282" i="2"/>
  <c r="N290" i="2"/>
  <c r="N298" i="2"/>
  <c r="N306" i="2"/>
  <c r="N314" i="2"/>
  <c r="N322" i="2"/>
  <c r="N330" i="2"/>
  <c r="N338" i="2"/>
  <c r="N346" i="2"/>
  <c r="N354" i="2"/>
  <c r="N362" i="2"/>
  <c r="R226" i="2"/>
  <c r="T373" i="2"/>
  <c r="T381" i="2"/>
  <c r="T389" i="2"/>
  <c r="T397" i="2"/>
  <c r="T405" i="2"/>
  <c r="T413" i="2"/>
  <c r="T421" i="2"/>
  <c r="T429" i="2"/>
  <c r="T437" i="2"/>
  <c r="T445" i="2"/>
  <c r="T453" i="2"/>
  <c r="T461" i="2"/>
  <c r="R260" i="2"/>
  <c r="S300" i="2"/>
  <c r="S113" i="2"/>
  <c r="S342" i="2"/>
  <c r="S369" i="2"/>
  <c r="Q378" i="2"/>
  <c r="Q386" i="2"/>
  <c r="Q394" i="2"/>
  <c r="Q402" i="2"/>
  <c r="Q410" i="2"/>
  <c r="Q418" i="2"/>
  <c r="Q426" i="2"/>
  <c r="Q434" i="2"/>
  <c r="Q442" i="2"/>
  <c r="Q450" i="2"/>
  <c r="Q458" i="2"/>
  <c r="Q466" i="2"/>
  <c r="R198" i="2"/>
  <c r="T371" i="2"/>
  <c r="N380" i="2"/>
  <c r="N388" i="2"/>
  <c r="N396" i="2"/>
  <c r="N404" i="2"/>
  <c r="N412" i="2"/>
  <c r="N420" i="2"/>
  <c r="N428" i="2"/>
  <c r="N436" i="2"/>
  <c r="N444" i="2"/>
  <c r="N452" i="2"/>
  <c r="N460" i="2"/>
  <c r="S319" i="2"/>
  <c r="S387" i="2"/>
  <c r="S419" i="2"/>
  <c r="S451" i="2"/>
  <c r="S469" i="2"/>
  <c r="N478" i="2"/>
  <c r="N486" i="2"/>
  <c r="N494" i="2"/>
  <c r="N502" i="2"/>
  <c r="N510" i="2"/>
  <c r="N518" i="2"/>
  <c r="N526" i="2"/>
  <c r="N534" i="2"/>
  <c r="N542" i="2"/>
  <c r="N550" i="2"/>
  <c r="N558" i="2"/>
  <c r="N566" i="2"/>
  <c r="N574" i="2"/>
  <c r="N582" i="2"/>
  <c r="N590" i="2"/>
  <c r="N598" i="2"/>
  <c r="N606" i="2"/>
  <c r="N614" i="2"/>
  <c r="N622" i="2"/>
  <c r="N630" i="2"/>
  <c r="N638" i="2"/>
  <c r="N646" i="2"/>
  <c r="N654" i="2"/>
  <c r="S312" i="2"/>
  <c r="S364" i="2"/>
  <c r="U374" i="2"/>
  <c r="U382" i="2"/>
  <c r="U390" i="2"/>
  <c r="U398" i="2"/>
  <c r="U406" i="2"/>
  <c r="U414" i="2"/>
  <c r="U422" i="2"/>
  <c r="U430" i="2"/>
  <c r="U438" i="2"/>
  <c r="U446" i="2"/>
  <c r="U454" i="2"/>
  <c r="U462" i="2"/>
  <c r="U470" i="2"/>
  <c r="U270" i="2"/>
  <c r="R376" i="2"/>
  <c r="R384" i="2"/>
  <c r="R392" i="2"/>
  <c r="R400" i="2"/>
  <c r="R408" i="2"/>
  <c r="R416" i="2"/>
  <c r="R424" i="2"/>
  <c r="R432" i="2"/>
  <c r="R440" i="2"/>
  <c r="R448" i="2"/>
  <c r="R456" i="2"/>
  <c r="R248" i="2"/>
  <c r="S373" i="2"/>
  <c r="S405" i="2"/>
  <c r="S437" i="2"/>
  <c r="N465" i="2"/>
  <c r="R474" i="2"/>
  <c r="R482" i="2"/>
  <c r="R490" i="2"/>
  <c r="R498" i="2"/>
  <c r="R506" i="2"/>
  <c r="R514" i="2"/>
  <c r="R522" i="2"/>
  <c r="T315" i="2"/>
  <c r="T331" i="2"/>
  <c r="T347" i="2"/>
  <c r="T363" i="2"/>
  <c r="R207" i="2"/>
  <c r="U269" i="2"/>
  <c r="U286" i="2"/>
  <c r="U302" i="2"/>
  <c r="U318" i="2"/>
  <c r="U334" i="2"/>
  <c r="U350" i="2"/>
  <c r="U366" i="2"/>
  <c r="N190" i="2"/>
  <c r="N254" i="2"/>
  <c r="N281" i="2"/>
  <c r="N297" i="2"/>
  <c r="N313" i="2"/>
  <c r="N329" i="2"/>
  <c r="N345" i="2"/>
  <c r="N361" i="2"/>
  <c r="T372" i="2"/>
  <c r="T388" i="2"/>
  <c r="T404" i="2"/>
  <c r="T412" i="2"/>
  <c r="T420" i="2"/>
  <c r="T428" i="2"/>
  <c r="T436" i="2"/>
  <c r="T444" i="2"/>
  <c r="T452" i="2"/>
  <c r="T460" i="2"/>
  <c r="P236" i="2"/>
  <c r="P268" i="2"/>
  <c r="Q176" i="2"/>
  <c r="Q208" i="2"/>
  <c r="Q240" i="2"/>
  <c r="N167" i="2"/>
  <c r="P275" i="2"/>
  <c r="T303" i="2"/>
  <c r="P316" i="2"/>
  <c r="P324" i="2"/>
  <c r="P332" i="2"/>
  <c r="P340" i="2"/>
  <c r="P348" i="2"/>
  <c r="P356" i="2"/>
  <c r="P364" i="2"/>
  <c r="R177" i="2"/>
  <c r="R209" i="2"/>
  <c r="R241" i="2"/>
  <c r="R270" i="2"/>
  <c r="Q279" i="2"/>
  <c r="Q287" i="2"/>
  <c r="Q295" i="2"/>
  <c r="Q303" i="2"/>
  <c r="Q311" i="2"/>
  <c r="Q319" i="2"/>
  <c r="Q327" i="2"/>
  <c r="Q335" i="2"/>
  <c r="Q343" i="2"/>
  <c r="Q351" i="2"/>
  <c r="Q359" i="2"/>
  <c r="Q367" i="2"/>
  <c r="S159" i="2"/>
  <c r="N192" i="2"/>
  <c r="N224" i="2"/>
  <c r="N256" i="2"/>
  <c r="R273" i="2"/>
  <c r="R281" i="2"/>
  <c r="R289" i="2"/>
  <c r="R297" i="2"/>
  <c r="R305" i="2"/>
  <c r="R313" i="2"/>
  <c r="R321" i="2"/>
  <c r="R329" i="2"/>
  <c r="R337" i="2"/>
  <c r="R345" i="2"/>
  <c r="R353" i="2"/>
  <c r="R361" i="2"/>
  <c r="R218" i="2"/>
  <c r="P373" i="2"/>
  <c r="P381" i="2"/>
  <c r="P389" i="2"/>
  <c r="P397" i="2"/>
  <c r="P405" i="2"/>
  <c r="P413" i="2"/>
  <c r="P421" i="2"/>
  <c r="P429" i="2"/>
  <c r="P437" i="2"/>
  <c r="P445" i="2"/>
  <c r="P453" i="2"/>
  <c r="P461" i="2"/>
  <c r="R252" i="2"/>
  <c r="S298" i="2"/>
  <c r="S330" i="2"/>
  <c r="P202" i="2"/>
  <c r="P246" i="2"/>
  <c r="P135" i="2"/>
  <c r="Q186" i="2"/>
  <c r="Q218" i="2"/>
  <c r="Q250" i="2"/>
  <c r="N207" i="2"/>
  <c r="P285" i="2"/>
  <c r="P309" i="2"/>
  <c r="T318" i="2"/>
  <c r="T326" i="2"/>
  <c r="T334" i="2"/>
  <c r="T342" i="2"/>
  <c r="T350" i="2"/>
  <c r="T358" i="2"/>
  <c r="T141" i="2"/>
  <c r="R187" i="2"/>
  <c r="R219" i="2"/>
  <c r="R251" i="2"/>
  <c r="U273" i="2"/>
  <c r="U281" i="2"/>
  <c r="U289" i="2"/>
  <c r="U297" i="2"/>
  <c r="U305" i="2"/>
  <c r="U313" i="2"/>
  <c r="U321" i="2"/>
  <c r="U329" i="2"/>
  <c r="U337" i="2"/>
  <c r="U345" i="2"/>
  <c r="U353" i="2"/>
  <c r="U361" i="2"/>
  <c r="U369" i="2"/>
  <c r="N170" i="2"/>
  <c r="N202" i="2"/>
  <c r="N234" i="2"/>
  <c r="N266" i="2"/>
  <c r="N276" i="2"/>
  <c r="N284" i="2"/>
  <c r="N292" i="2"/>
  <c r="N300" i="2"/>
  <c r="N308" i="2"/>
  <c r="N316" i="2"/>
  <c r="N324" i="2"/>
  <c r="N332" i="2"/>
  <c r="N340" i="2"/>
  <c r="N348" i="2"/>
  <c r="N356" i="2"/>
  <c r="N364" i="2"/>
  <c r="R258" i="2"/>
  <c r="T375" i="2"/>
  <c r="T383" i="2"/>
  <c r="T391" i="2"/>
  <c r="T399" i="2"/>
  <c r="T407" i="2"/>
  <c r="T415" i="2"/>
  <c r="T423" i="2"/>
  <c r="T431" i="2"/>
  <c r="T439" i="2"/>
  <c r="T447" i="2"/>
  <c r="T455" i="2"/>
  <c r="R164" i="2"/>
  <c r="S276" i="2"/>
  <c r="S308" i="2"/>
  <c r="S272" i="2"/>
  <c r="S352" i="2"/>
  <c r="P372" i="2"/>
  <c r="Q380" i="2"/>
  <c r="Q388" i="2"/>
  <c r="Q396" i="2"/>
  <c r="Q404" i="2"/>
  <c r="Q412" i="2"/>
  <c r="Q420" i="2"/>
  <c r="Q428" i="2"/>
  <c r="Q436" i="2"/>
  <c r="Q444" i="2"/>
  <c r="Q452" i="2"/>
  <c r="Q460" i="2"/>
  <c r="Q468" i="2"/>
  <c r="R230" i="2"/>
  <c r="N374" i="2"/>
  <c r="N382" i="2"/>
  <c r="N390" i="2"/>
  <c r="N398" i="2"/>
  <c r="N406" i="2"/>
  <c r="N414" i="2"/>
  <c r="N422" i="2"/>
  <c r="N430" i="2"/>
  <c r="N438" i="2"/>
  <c r="N446" i="2"/>
  <c r="N454" i="2"/>
  <c r="N462" i="2"/>
  <c r="S351" i="2"/>
  <c r="S395" i="2"/>
  <c r="S427" i="2"/>
  <c r="S459" i="2"/>
  <c r="N472" i="2"/>
  <c r="N480" i="2"/>
  <c r="N488" i="2"/>
  <c r="N496" i="2"/>
  <c r="N504" i="2"/>
  <c r="N512" i="2"/>
  <c r="N520" i="2"/>
  <c r="N528" i="2"/>
  <c r="N536" i="2"/>
  <c r="N544" i="2"/>
  <c r="N552" i="2"/>
  <c r="N560" i="2"/>
  <c r="N568" i="2"/>
  <c r="N576" i="2"/>
  <c r="N584" i="2"/>
  <c r="N592" i="2"/>
  <c r="N600" i="2"/>
  <c r="N608" i="2"/>
  <c r="N616" i="2"/>
  <c r="N624" i="2"/>
  <c r="N632" i="2"/>
  <c r="N640" i="2"/>
  <c r="N648" i="2"/>
  <c r="N656" i="2"/>
  <c r="S334" i="2"/>
  <c r="S367" i="2"/>
  <c r="U376" i="2"/>
  <c r="U384" i="2"/>
  <c r="U392" i="2"/>
  <c r="U400" i="2"/>
  <c r="U408" i="2"/>
  <c r="T321" i="2"/>
  <c r="T337" i="2"/>
  <c r="T353" i="2"/>
  <c r="R167" i="2"/>
  <c r="R231" i="2"/>
  <c r="U276" i="2"/>
  <c r="U292" i="2"/>
  <c r="U308" i="2"/>
  <c r="U324" i="2"/>
  <c r="U340" i="2"/>
  <c r="U356" i="2"/>
  <c r="T119" i="2"/>
  <c r="N214" i="2"/>
  <c r="S270" i="2"/>
  <c r="N287" i="2"/>
  <c r="N303" i="2"/>
  <c r="N319" i="2"/>
  <c r="N335" i="2"/>
  <c r="N351" i="2"/>
  <c r="R178" i="2"/>
  <c r="T378" i="2"/>
  <c r="T394" i="2"/>
  <c r="T406" i="2"/>
  <c r="T414" i="2"/>
  <c r="T422" i="2"/>
  <c r="T430" i="2"/>
  <c r="T438" i="2"/>
  <c r="T446" i="2"/>
  <c r="T454" i="2"/>
  <c r="P194" i="2"/>
  <c r="P244" i="2"/>
  <c r="P127" i="2"/>
  <c r="Q184" i="2"/>
  <c r="Q216" i="2"/>
  <c r="Q248" i="2"/>
  <c r="N199" i="2"/>
  <c r="P283" i="2"/>
  <c r="T307" i="2"/>
  <c r="P318" i="2"/>
  <c r="P326" i="2"/>
  <c r="P334" i="2"/>
  <c r="P342" i="2"/>
  <c r="P350" i="2"/>
  <c r="P358" i="2"/>
  <c r="T133" i="2"/>
  <c r="R185" i="2"/>
  <c r="R217" i="2"/>
  <c r="R249" i="2"/>
  <c r="Q273" i="2"/>
  <c r="Q281" i="2"/>
  <c r="Q289" i="2"/>
  <c r="Q297" i="2"/>
  <c r="Q305" i="2"/>
  <c r="Q313" i="2"/>
  <c r="Q321" i="2"/>
  <c r="Q329" i="2"/>
  <c r="Q337" i="2"/>
  <c r="Q345" i="2"/>
  <c r="Q353" i="2"/>
  <c r="Q361" i="2"/>
  <c r="Q369" i="2"/>
  <c r="N168" i="2"/>
  <c r="N200" i="2"/>
  <c r="N232" i="2"/>
  <c r="N264" i="2"/>
  <c r="R275" i="2"/>
  <c r="R283" i="2"/>
  <c r="R291" i="2"/>
  <c r="R299" i="2"/>
  <c r="R307" i="2"/>
  <c r="R315" i="2"/>
  <c r="R323" i="2"/>
  <c r="R331" i="2"/>
  <c r="R339" i="2"/>
  <c r="R347" i="2"/>
  <c r="R355" i="2"/>
  <c r="R363" i="2"/>
  <c r="R250" i="2"/>
  <c r="P375" i="2"/>
  <c r="P383" i="2"/>
  <c r="P391" i="2"/>
  <c r="P399" i="2"/>
  <c r="P407" i="2"/>
  <c r="P415" i="2"/>
  <c r="P423" i="2"/>
  <c r="P431" i="2"/>
  <c r="P439" i="2"/>
  <c r="P447" i="2"/>
  <c r="P455" i="2"/>
  <c r="T145" i="2"/>
  <c r="S274" i="2"/>
  <c r="S306" i="2"/>
  <c r="S338" i="2"/>
  <c r="P222" i="2"/>
  <c r="P254" i="2"/>
  <c r="Q162" i="2"/>
  <c r="Q194" i="2"/>
  <c r="Q226" i="2"/>
  <c r="Q258" i="2"/>
  <c r="N239" i="2"/>
  <c r="P293" i="2"/>
  <c r="T312" i="2"/>
  <c r="T320" i="2"/>
  <c r="T328" i="2"/>
  <c r="T336" i="2"/>
  <c r="T344" i="2"/>
  <c r="T352" i="2"/>
  <c r="T360" i="2"/>
  <c r="R163" i="2"/>
  <c r="R195" i="2"/>
  <c r="R227" i="2"/>
  <c r="R259" i="2"/>
  <c r="U275" i="2"/>
  <c r="U283" i="2"/>
  <c r="U291" i="2"/>
  <c r="U299" i="2"/>
  <c r="U307" i="2"/>
  <c r="U315" i="2"/>
  <c r="U323" i="2"/>
  <c r="U331" i="2"/>
  <c r="U339" i="2"/>
  <c r="U347" i="2"/>
  <c r="U355" i="2"/>
  <c r="U363" i="2"/>
  <c r="U371" i="2"/>
  <c r="N178" i="2"/>
  <c r="N210" i="2"/>
  <c r="N242" i="2"/>
  <c r="Q269" i="2"/>
  <c r="N278" i="2"/>
  <c r="N286" i="2"/>
  <c r="N294" i="2"/>
  <c r="N302" i="2"/>
  <c r="N310" i="2"/>
  <c r="N318" i="2"/>
  <c r="N326" i="2"/>
  <c r="N334" i="2"/>
  <c r="N342" i="2"/>
  <c r="N350" i="2"/>
  <c r="N358" i="2"/>
  <c r="R162" i="2"/>
  <c r="T366" i="2"/>
  <c r="T377" i="2"/>
  <c r="T385" i="2"/>
  <c r="T393" i="2"/>
  <c r="T401" i="2"/>
  <c r="T409" i="2"/>
  <c r="T417" i="2"/>
  <c r="T425" i="2"/>
  <c r="T433" i="2"/>
  <c r="T441" i="2"/>
  <c r="T449" i="2"/>
  <c r="T457" i="2"/>
  <c r="R196" i="2"/>
  <c r="S284" i="2"/>
  <c r="S316" i="2"/>
  <c r="S304" i="2"/>
  <c r="S362" i="2"/>
  <c r="Q374" i="2"/>
  <c r="Q382" i="2"/>
  <c r="Q390" i="2"/>
  <c r="Q398" i="2"/>
  <c r="Q406" i="2"/>
  <c r="Q414" i="2"/>
  <c r="Q422" i="2"/>
  <c r="Q430" i="2"/>
  <c r="Q438" i="2"/>
  <c r="Q446" i="2"/>
  <c r="Q454" i="2"/>
  <c r="Q462" i="2"/>
  <c r="Q470" i="2"/>
  <c r="R262" i="2"/>
  <c r="N376" i="2"/>
  <c r="N384" i="2"/>
  <c r="N392" i="2"/>
  <c r="N400" i="2"/>
  <c r="N408" i="2"/>
  <c r="N416" i="2"/>
  <c r="N424" i="2"/>
  <c r="N432" i="2"/>
  <c r="N440" i="2"/>
  <c r="N448" i="2"/>
  <c r="N456" i="2"/>
  <c r="R216" i="2"/>
  <c r="P371" i="2"/>
  <c r="S403" i="2"/>
  <c r="S435" i="2"/>
  <c r="P464" i="2"/>
  <c r="N474" i="2"/>
  <c r="N482" i="2"/>
  <c r="N490" i="2"/>
  <c r="N498" i="2"/>
  <c r="N506" i="2"/>
  <c r="N514" i="2"/>
  <c r="N522" i="2"/>
  <c r="N530" i="2"/>
  <c r="N538" i="2"/>
  <c r="N546" i="2"/>
  <c r="N554" i="2"/>
  <c r="N562" i="2"/>
  <c r="N570" i="2"/>
  <c r="N578" i="2"/>
  <c r="N586" i="2"/>
  <c r="N594" i="2"/>
  <c r="N602" i="2"/>
  <c r="N610" i="2"/>
  <c r="N618" i="2"/>
  <c r="N626" i="2"/>
  <c r="N634" i="2"/>
  <c r="N642" i="2"/>
  <c r="N650" i="2"/>
  <c r="R180" i="2"/>
  <c r="S344" i="2"/>
  <c r="P370" i="2"/>
  <c r="U378" i="2"/>
  <c r="U386" i="2"/>
  <c r="U394" i="2"/>
  <c r="U402" i="2"/>
  <c r="U410" i="2"/>
  <c r="U418" i="2"/>
  <c r="U426" i="2"/>
  <c r="U434" i="2"/>
  <c r="U442" i="2"/>
  <c r="U450" i="2"/>
  <c r="U458" i="2"/>
  <c r="U466" i="2"/>
  <c r="R206" i="2"/>
  <c r="R372" i="2"/>
  <c r="R380" i="2"/>
  <c r="R388" i="2"/>
  <c r="R396" i="2"/>
  <c r="R404" i="2"/>
  <c r="R412" i="2"/>
  <c r="R420" i="2"/>
  <c r="R428" i="2"/>
  <c r="R436" i="2"/>
  <c r="R444" i="2"/>
  <c r="R452" i="2"/>
  <c r="R460" i="2"/>
  <c r="S327" i="2"/>
  <c r="S389" i="2"/>
  <c r="S421" i="2"/>
  <c r="S453" i="2"/>
  <c r="P470" i="2"/>
  <c r="R478" i="2"/>
  <c r="R486" i="2"/>
  <c r="R494" i="2"/>
  <c r="R502" i="2"/>
  <c r="R510" i="2"/>
  <c r="R518" i="2"/>
  <c r="R526" i="2"/>
  <c r="R534" i="2"/>
  <c r="R542" i="2"/>
  <c r="R550" i="2"/>
  <c r="R558" i="2"/>
  <c r="T323" i="2"/>
  <c r="T339" i="2"/>
  <c r="T355" i="2"/>
  <c r="R175" i="2"/>
  <c r="R239" i="2"/>
  <c r="U278" i="2"/>
  <c r="U294" i="2"/>
  <c r="U310" i="2"/>
  <c r="U326" i="2"/>
  <c r="U342" i="2"/>
  <c r="U358" i="2"/>
  <c r="T151" i="2"/>
  <c r="N222" i="2"/>
  <c r="N273" i="2"/>
  <c r="N289" i="2"/>
  <c r="N305" i="2"/>
  <c r="N321" i="2"/>
  <c r="N337" i="2"/>
  <c r="N353" i="2"/>
  <c r="R210" i="2"/>
  <c r="T380" i="2"/>
  <c r="T396" i="2"/>
  <c r="T408" i="2"/>
  <c r="T416" i="2"/>
  <c r="T424" i="2"/>
  <c r="T432" i="2"/>
  <c r="T440" i="2"/>
  <c r="T448" i="2"/>
  <c r="T456" i="2"/>
  <c r="P220" i="2"/>
  <c r="P252" i="2"/>
  <c r="P159" i="2"/>
  <c r="Q192" i="2"/>
  <c r="Q224" i="2"/>
  <c r="Q256" i="2"/>
  <c r="N231" i="2"/>
  <c r="P291" i="2"/>
  <c r="T311" i="2"/>
  <c r="P320" i="2"/>
  <c r="P328" i="2"/>
  <c r="P336" i="2"/>
  <c r="P344" i="2"/>
  <c r="P352" i="2"/>
  <c r="P360" i="2"/>
  <c r="R161" i="2"/>
  <c r="R193" i="2"/>
  <c r="R225" i="2"/>
  <c r="R257" i="2"/>
  <c r="Q275" i="2"/>
  <c r="Q283" i="2"/>
  <c r="Q291" i="2"/>
  <c r="Q299" i="2"/>
  <c r="Q307" i="2"/>
  <c r="Q315" i="2"/>
  <c r="Q323" i="2"/>
  <c r="Q331" i="2"/>
  <c r="Q339" i="2"/>
  <c r="Q347" i="2"/>
  <c r="Q355" i="2"/>
  <c r="Q363" i="2"/>
  <c r="Q371" i="2"/>
  <c r="N176" i="2"/>
  <c r="N208" i="2"/>
  <c r="N240" i="2"/>
  <c r="S268" i="2"/>
  <c r="R277" i="2"/>
  <c r="R285" i="2"/>
  <c r="R293" i="2"/>
  <c r="R301" i="2"/>
  <c r="R309" i="2"/>
  <c r="R317" i="2"/>
  <c r="R325" i="2"/>
  <c r="R333" i="2"/>
  <c r="R341" i="2"/>
  <c r="R349" i="2"/>
  <c r="R357" i="2"/>
  <c r="T137" i="2"/>
  <c r="R365" i="2"/>
  <c r="P377" i="2"/>
  <c r="P385" i="2"/>
  <c r="P393" i="2"/>
  <c r="P401" i="2"/>
  <c r="P409" i="2"/>
  <c r="P417" i="2"/>
  <c r="P425" i="2"/>
  <c r="P433" i="2"/>
  <c r="P441" i="2"/>
  <c r="P449" i="2"/>
  <c r="P457" i="2"/>
  <c r="R188" i="2"/>
  <c r="S282" i="2"/>
  <c r="S314" i="2"/>
  <c r="S346" i="2"/>
  <c r="P230" i="2"/>
  <c r="P262" i="2"/>
  <c r="Q170" i="2"/>
  <c r="Q202" i="2"/>
  <c r="Q234" i="2"/>
  <c r="Q266" i="2"/>
  <c r="Q268" i="2"/>
  <c r="P301" i="2"/>
  <c r="T314" i="2"/>
  <c r="T322" i="2"/>
  <c r="T330" i="2"/>
  <c r="T338" i="2"/>
  <c r="T346" i="2"/>
  <c r="T354" i="2"/>
  <c r="T362" i="2"/>
  <c r="R171" i="2"/>
  <c r="R203" i="2"/>
  <c r="R235" i="2"/>
  <c r="U267" i="2"/>
  <c r="U277" i="2"/>
  <c r="U285" i="2"/>
  <c r="U293" i="2"/>
  <c r="U301" i="2"/>
  <c r="U309" i="2"/>
  <c r="U317" i="2"/>
  <c r="U325" i="2"/>
  <c r="U333" i="2"/>
  <c r="U341" i="2"/>
  <c r="U349" i="2"/>
  <c r="U357" i="2"/>
  <c r="U365" i="2"/>
  <c r="T135" i="2"/>
  <c r="N186" i="2"/>
  <c r="N218" i="2"/>
  <c r="N250" i="2"/>
  <c r="N272" i="2"/>
  <c r="N280" i="2"/>
  <c r="N288" i="2"/>
  <c r="N296" i="2"/>
  <c r="N304" i="2"/>
  <c r="N312" i="2"/>
  <c r="N320" i="2"/>
  <c r="N328" i="2"/>
  <c r="N336" i="2"/>
  <c r="N344" i="2"/>
  <c r="N352" i="2"/>
  <c r="N360" i="2"/>
  <c r="R194" i="2"/>
  <c r="T370" i="2"/>
  <c r="T379" i="2"/>
  <c r="T387" i="2"/>
  <c r="T395" i="2"/>
  <c r="T403" i="2"/>
  <c r="T411" i="2"/>
  <c r="T419" i="2"/>
  <c r="T427" i="2"/>
  <c r="T435" i="2"/>
  <c r="T443" i="2"/>
  <c r="T451" i="2"/>
  <c r="T459" i="2"/>
  <c r="R228" i="2"/>
  <c r="S292" i="2"/>
  <c r="S324" i="2"/>
  <c r="S332" i="2"/>
  <c r="N367" i="2"/>
  <c r="Q376" i="2"/>
  <c r="Q384" i="2"/>
  <c r="Q392" i="2"/>
  <c r="Q400" i="2"/>
  <c r="Q408" i="2"/>
  <c r="Q416" i="2"/>
  <c r="Q424" i="2"/>
  <c r="Q432" i="2"/>
  <c r="Q440" i="2"/>
  <c r="Q448" i="2"/>
  <c r="Q456" i="2"/>
  <c r="Q464" i="2"/>
  <c r="R166" i="2"/>
  <c r="T367" i="2"/>
  <c r="N378" i="2"/>
  <c r="N386" i="2"/>
  <c r="N394" i="2"/>
  <c r="N402" i="2"/>
  <c r="N410" i="2"/>
  <c r="N418" i="2"/>
  <c r="N426" i="2"/>
  <c r="N434" i="2"/>
  <c r="N442" i="2"/>
  <c r="N450" i="2"/>
  <c r="N458" i="2"/>
  <c r="S287" i="2"/>
  <c r="S379" i="2"/>
  <c r="S411" i="2"/>
  <c r="S443" i="2"/>
  <c r="N467" i="2"/>
  <c r="N476" i="2"/>
  <c r="N484" i="2"/>
  <c r="N492" i="2"/>
  <c r="N500" i="2"/>
  <c r="N508" i="2"/>
  <c r="N516" i="2"/>
  <c r="N524" i="2"/>
  <c r="N532" i="2"/>
  <c r="N540" i="2"/>
  <c r="N548" i="2"/>
  <c r="N556" i="2"/>
  <c r="N564" i="2"/>
  <c r="N572" i="2"/>
  <c r="N580" i="2"/>
  <c r="N588" i="2"/>
  <c r="N596" i="2"/>
  <c r="N604" i="2"/>
  <c r="N612" i="2"/>
  <c r="N620" i="2"/>
  <c r="N628" i="2"/>
  <c r="N636" i="2"/>
  <c r="N644" i="2"/>
  <c r="N652" i="2"/>
  <c r="S280" i="2"/>
  <c r="S356" i="2"/>
  <c r="U372" i="2"/>
  <c r="U380" i="2"/>
  <c r="U388" i="2"/>
  <c r="U396" i="2"/>
  <c r="U404" i="2"/>
  <c r="U412" i="2"/>
  <c r="U420" i="2"/>
  <c r="U428" i="2"/>
  <c r="U436" i="2"/>
  <c r="U444" i="2"/>
  <c r="U452" i="2"/>
  <c r="U460" i="2"/>
  <c r="U468" i="2"/>
  <c r="R238" i="2"/>
  <c r="R374" i="2"/>
  <c r="R382" i="2"/>
  <c r="R390" i="2"/>
  <c r="R398" i="2"/>
  <c r="R406" i="2"/>
  <c r="R414" i="2"/>
  <c r="R422" i="2"/>
  <c r="R430" i="2"/>
  <c r="R438" i="2"/>
  <c r="R446" i="2"/>
  <c r="R454" i="2"/>
  <c r="R462" i="2"/>
  <c r="S359" i="2"/>
  <c r="S397" i="2"/>
  <c r="S429" i="2"/>
  <c r="S461" i="2"/>
  <c r="R472" i="2"/>
  <c r="R480" i="2"/>
  <c r="R488" i="2"/>
  <c r="R496" i="2"/>
  <c r="R504" i="2"/>
  <c r="R512" i="2"/>
  <c r="R520" i="2"/>
  <c r="R528" i="2"/>
  <c r="R536" i="2"/>
  <c r="R544" i="2"/>
  <c r="R552" i="2"/>
  <c r="R560" i="2"/>
  <c r="U416" i="2"/>
  <c r="U448" i="2"/>
  <c r="R368" i="2"/>
  <c r="R402" i="2"/>
  <c r="R434" i="2"/>
  <c r="S295" i="2"/>
  <c r="S467" i="2"/>
  <c r="R500" i="2"/>
  <c r="R530" i="2"/>
  <c r="R546" i="2"/>
  <c r="R562" i="2"/>
  <c r="R570" i="2"/>
  <c r="R578" i="2"/>
  <c r="R586" i="2"/>
  <c r="R594" i="2"/>
  <c r="R602" i="2"/>
  <c r="R610" i="2"/>
  <c r="R618" i="2"/>
  <c r="R626" i="2"/>
  <c r="R634" i="2"/>
  <c r="R642" i="2"/>
  <c r="R650" i="2"/>
  <c r="R658" i="2"/>
  <c r="R666" i="2"/>
  <c r="S281" i="2"/>
  <c r="T465" i="2"/>
  <c r="S481" i="2"/>
  <c r="S497" i="2"/>
  <c r="S513" i="2"/>
  <c r="S529" i="2"/>
  <c r="S288" i="2"/>
  <c r="S358" i="2"/>
  <c r="Q373" i="2"/>
  <c r="Q381" i="2"/>
  <c r="Q389" i="2"/>
  <c r="Q397" i="2"/>
  <c r="Q405" i="2"/>
  <c r="Q413" i="2"/>
  <c r="Q421" i="2"/>
  <c r="Q429" i="2"/>
  <c r="Q437" i="2"/>
  <c r="Q445" i="2"/>
  <c r="Q453" i="2"/>
  <c r="Q461" i="2"/>
  <c r="Q469" i="2"/>
  <c r="R246" i="2"/>
  <c r="N375" i="2"/>
  <c r="N383" i="2"/>
  <c r="N391" i="2"/>
  <c r="N399" i="2"/>
  <c r="N407" i="2"/>
  <c r="N415" i="2"/>
  <c r="N423" i="2"/>
  <c r="N431" i="2"/>
  <c r="N439" i="2"/>
  <c r="N447" i="2"/>
  <c r="N455" i="2"/>
  <c r="T129" i="2"/>
  <c r="N366" i="2"/>
  <c r="S399" i="2"/>
  <c r="S431" i="2"/>
  <c r="N463" i="2"/>
  <c r="N473" i="2"/>
  <c r="N481" i="2"/>
  <c r="N489" i="2"/>
  <c r="N497" i="2"/>
  <c r="N505" i="2"/>
  <c r="N513" i="2"/>
  <c r="N521" i="2"/>
  <c r="N529" i="2"/>
  <c r="N537" i="2"/>
  <c r="N545" i="2"/>
  <c r="N553" i="2"/>
  <c r="N561" i="2"/>
  <c r="N569" i="2"/>
  <c r="N577" i="2"/>
  <c r="N585" i="2"/>
  <c r="N593" i="2"/>
  <c r="N601" i="2"/>
  <c r="N609" i="2"/>
  <c r="N617" i="2"/>
  <c r="N625" i="2"/>
  <c r="N633" i="2"/>
  <c r="N641" i="2"/>
  <c r="N649" i="2"/>
  <c r="N657" i="2"/>
  <c r="N665" i="2"/>
  <c r="R224" i="2"/>
  <c r="N372" i="2"/>
  <c r="S478" i="2"/>
  <c r="S494" i="2"/>
  <c r="S510" i="2"/>
  <c r="S526" i="2"/>
  <c r="R244" i="2"/>
  <c r="S350" i="2"/>
  <c r="S371" i="2"/>
  <c r="U379" i="2"/>
  <c r="U387" i="2"/>
  <c r="U395" i="2"/>
  <c r="U403" i="2"/>
  <c r="U411" i="2"/>
  <c r="U419" i="2"/>
  <c r="U427" i="2"/>
  <c r="U435" i="2"/>
  <c r="U443" i="2"/>
  <c r="U451" i="2"/>
  <c r="U459" i="2"/>
  <c r="U467" i="2"/>
  <c r="R222" i="2"/>
  <c r="R373" i="2"/>
  <c r="R381" i="2"/>
  <c r="R389" i="2"/>
  <c r="R397" i="2"/>
  <c r="R405" i="2"/>
  <c r="R413" i="2"/>
  <c r="R421" i="2"/>
  <c r="R429" i="2"/>
  <c r="R437" i="2"/>
  <c r="R445" i="2"/>
  <c r="R453" i="2"/>
  <c r="R461" i="2"/>
  <c r="S343" i="2"/>
  <c r="S393" i="2"/>
  <c r="S425" i="2"/>
  <c r="S457" i="2"/>
  <c r="R471" i="2"/>
  <c r="R479" i="2"/>
  <c r="R487" i="2"/>
  <c r="R495" i="2"/>
  <c r="R503" i="2"/>
  <c r="R511" i="2"/>
  <c r="R519" i="2"/>
  <c r="R527" i="2"/>
  <c r="R535" i="2"/>
  <c r="R543" i="2"/>
  <c r="R551" i="2"/>
  <c r="R559" i="2"/>
  <c r="R567" i="2"/>
  <c r="R575" i="2"/>
  <c r="R583" i="2"/>
  <c r="R591" i="2"/>
  <c r="R599" i="2"/>
  <c r="R607" i="2"/>
  <c r="R615" i="2"/>
  <c r="R623" i="2"/>
  <c r="R631" i="2"/>
  <c r="R639" i="2"/>
  <c r="R647" i="2"/>
  <c r="R655" i="2"/>
  <c r="R663" i="2"/>
  <c r="R671" i="2"/>
  <c r="S361" i="2"/>
  <c r="S475" i="2"/>
  <c r="S491" i="2"/>
  <c r="S507" i="2"/>
  <c r="S523" i="2"/>
  <c r="S539" i="2"/>
  <c r="N666" i="2"/>
  <c r="S496" i="2"/>
  <c r="S546" i="2"/>
  <c r="S563" i="2"/>
  <c r="S579" i="2"/>
  <c r="S595" i="2"/>
  <c r="S611" i="2"/>
  <c r="S627" i="2"/>
  <c r="S643" i="2"/>
  <c r="S659" i="2"/>
  <c r="S675" i="2"/>
  <c r="R264" i="2"/>
  <c r="S374" i="2"/>
  <c r="S406" i="2"/>
  <c r="S438" i="2"/>
  <c r="P465" i="2"/>
  <c r="T474" i="2"/>
  <c r="T482" i="2"/>
  <c r="T490" i="2"/>
  <c r="T498" i="2"/>
  <c r="T506" i="2"/>
  <c r="T514" i="2"/>
  <c r="T522" i="2"/>
  <c r="T530" i="2"/>
  <c r="T538" i="2"/>
  <c r="T546" i="2"/>
  <c r="T554" i="2"/>
  <c r="T562" i="2"/>
  <c r="T570" i="2"/>
  <c r="T578" i="2"/>
  <c r="T586" i="2"/>
  <c r="T594" i="2"/>
  <c r="T602" i="2"/>
  <c r="T610" i="2"/>
  <c r="T618" i="2"/>
  <c r="T626" i="2"/>
  <c r="T634" i="2"/>
  <c r="T642" i="2"/>
  <c r="T650" i="2"/>
  <c r="T658" i="2"/>
  <c r="T666" i="2"/>
  <c r="T674" i="2"/>
  <c r="N368" i="2"/>
  <c r="Q497" i="2"/>
  <c r="Q529" i="2"/>
  <c r="Q561" i="2"/>
  <c r="Q593" i="2"/>
  <c r="Q625" i="2"/>
  <c r="Q657" i="2"/>
  <c r="R680" i="2"/>
  <c r="R690" i="2"/>
  <c r="R698" i="2"/>
  <c r="R706" i="2"/>
  <c r="R714" i="2"/>
  <c r="R722" i="2"/>
  <c r="R730" i="2"/>
  <c r="R738" i="2"/>
  <c r="R746" i="2"/>
  <c r="R754" i="2"/>
  <c r="R762" i="2"/>
  <c r="R770" i="2"/>
  <c r="R778" i="2"/>
  <c r="R786" i="2"/>
  <c r="R794" i="2"/>
  <c r="S305" i="2"/>
  <c r="S516" i="2"/>
  <c r="S552" i="2"/>
  <c r="S568" i="2"/>
  <c r="S584" i="2"/>
  <c r="S600" i="2"/>
  <c r="S616" i="2"/>
  <c r="S632" i="2"/>
  <c r="S648" i="2"/>
  <c r="S664" i="2"/>
  <c r="S680" i="2"/>
  <c r="S307" i="2"/>
  <c r="S384" i="2"/>
  <c r="S416" i="2"/>
  <c r="S448" i="2"/>
  <c r="S468" i="2"/>
  <c r="P477" i="2"/>
  <c r="P485" i="2"/>
  <c r="P493" i="2"/>
  <c r="P501" i="2"/>
  <c r="P509" i="2"/>
  <c r="P517" i="2"/>
  <c r="P525" i="2"/>
  <c r="P533" i="2"/>
  <c r="P541" i="2"/>
  <c r="P549" i="2"/>
  <c r="P557" i="2"/>
  <c r="P565" i="2"/>
  <c r="P573" i="2"/>
  <c r="P581" i="2"/>
  <c r="P589" i="2"/>
  <c r="P597" i="2"/>
  <c r="P605" i="2"/>
  <c r="P613" i="2"/>
  <c r="U424" i="2"/>
  <c r="U456" i="2"/>
  <c r="R378" i="2"/>
  <c r="R410" i="2"/>
  <c r="R442" i="2"/>
  <c r="S381" i="2"/>
  <c r="R476" i="2"/>
  <c r="R508" i="2"/>
  <c r="R532" i="2"/>
  <c r="R548" i="2"/>
  <c r="R564" i="2"/>
  <c r="R572" i="2"/>
  <c r="R580" i="2"/>
  <c r="R588" i="2"/>
  <c r="R596" i="2"/>
  <c r="R604" i="2"/>
  <c r="R612" i="2"/>
  <c r="R620" i="2"/>
  <c r="R628" i="2"/>
  <c r="R636" i="2"/>
  <c r="R644" i="2"/>
  <c r="R652" i="2"/>
  <c r="R660" i="2"/>
  <c r="R668" i="2"/>
  <c r="S313" i="2"/>
  <c r="T469" i="2"/>
  <c r="S485" i="2"/>
  <c r="S501" i="2"/>
  <c r="S517" i="2"/>
  <c r="S533" i="2"/>
  <c r="S320" i="2"/>
  <c r="S365" i="2"/>
  <c r="Q375" i="2"/>
  <c r="Q383" i="2"/>
  <c r="Q391" i="2"/>
  <c r="Q399" i="2"/>
  <c r="Q407" i="2"/>
  <c r="Q415" i="2"/>
  <c r="Q423" i="2"/>
  <c r="Q431" i="2"/>
  <c r="Q439" i="2"/>
  <c r="Q447" i="2"/>
  <c r="Q455" i="2"/>
  <c r="Q463" i="2"/>
  <c r="T121" i="2"/>
  <c r="T365" i="2"/>
  <c r="N377" i="2"/>
  <c r="N385" i="2"/>
  <c r="N393" i="2"/>
  <c r="N401" i="2"/>
  <c r="N409" i="2"/>
  <c r="N417" i="2"/>
  <c r="N425" i="2"/>
  <c r="N433" i="2"/>
  <c r="N441" i="2"/>
  <c r="N449" i="2"/>
  <c r="N457" i="2"/>
  <c r="R271" i="2"/>
  <c r="S375" i="2"/>
  <c r="S407" i="2"/>
  <c r="S439" i="2"/>
  <c r="S465" i="2"/>
  <c r="N475" i="2"/>
  <c r="N483" i="2"/>
  <c r="N491" i="2"/>
  <c r="N499" i="2"/>
  <c r="N507" i="2"/>
  <c r="N515" i="2"/>
  <c r="N523" i="2"/>
  <c r="N531" i="2"/>
  <c r="N539" i="2"/>
  <c r="N547" i="2"/>
  <c r="N555" i="2"/>
  <c r="N563" i="2"/>
  <c r="N571" i="2"/>
  <c r="N579" i="2"/>
  <c r="N587" i="2"/>
  <c r="N595" i="2"/>
  <c r="N603" i="2"/>
  <c r="N611" i="2"/>
  <c r="N619" i="2"/>
  <c r="N627" i="2"/>
  <c r="N635" i="2"/>
  <c r="N643" i="2"/>
  <c r="N651" i="2"/>
  <c r="N659" i="2"/>
  <c r="N667" i="2"/>
  <c r="S289" i="2"/>
  <c r="R466" i="2"/>
  <c r="S482" i="2"/>
  <c r="S498" i="2"/>
  <c r="S514" i="2"/>
  <c r="S530" i="2"/>
  <c r="S296" i="2"/>
  <c r="S360" i="2"/>
  <c r="U373" i="2"/>
  <c r="U381" i="2"/>
  <c r="U389" i="2"/>
  <c r="U397" i="2"/>
  <c r="U405" i="2"/>
  <c r="U413" i="2"/>
  <c r="U421" i="2"/>
  <c r="U429" i="2"/>
  <c r="U437" i="2"/>
  <c r="U445" i="2"/>
  <c r="U453" i="2"/>
  <c r="U461" i="2"/>
  <c r="U469" i="2"/>
  <c r="R254" i="2"/>
  <c r="R375" i="2"/>
  <c r="R383" i="2"/>
  <c r="R391" i="2"/>
  <c r="R399" i="2"/>
  <c r="R407" i="2"/>
  <c r="R415" i="2"/>
  <c r="R423" i="2"/>
  <c r="R431" i="2"/>
  <c r="R439" i="2"/>
  <c r="R447" i="2"/>
  <c r="R455" i="2"/>
  <c r="R184" i="2"/>
  <c r="S368" i="2"/>
  <c r="S401" i="2"/>
  <c r="S433" i="2"/>
  <c r="S463" i="2"/>
  <c r="R473" i="2"/>
  <c r="R481" i="2"/>
  <c r="R489" i="2"/>
  <c r="R497" i="2"/>
  <c r="R505" i="2"/>
  <c r="R513" i="2"/>
  <c r="R521" i="2"/>
  <c r="R529" i="2"/>
  <c r="R537" i="2"/>
  <c r="R545" i="2"/>
  <c r="R553" i="2"/>
  <c r="R561" i="2"/>
  <c r="R569" i="2"/>
  <c r="R577" i="2"/>
  <c r="R585" i="2"/>
  <c r="R593" i="2"/>
  <c r="R601" i="2"/>
  <c r="R609" i="2"/>
  <c r="R617" i="2"/>
  <c r="R625" i="2"/>
  <c r="R633" i="2"/>
  <c r="R641" i="2"/>
  <c r="R649" i="2"/>
  <c r="R657" i="2"/>
  <c r="R665" i="2"/>
  <c r="R256" i="2"/>
  <c r="T463" i="2"/>
  <c r="S479" i="2"/>
  <c r="S495" i="2"/>
  <c r="S511" i="2"/>
  <c r="S527" i="2"/>
  <c r="S543" i="2"/>
  <c r="S273" i="2"/>
  <c r="S512" i="2"/>
  <c r="S551" i="2"/>
  <c r="S567" i="2"/>
  <c r="S583" i="2"/>
  <c r="S599" i="2"/>
  <c r="S615" i="2"/>
  <c r="S631" i="2"/>
  <c r="S647" i="2"/>
  <c r="S663" i="2"/>
  <c r="S679" i="2"/>
  <c r="S299" i="2"/>
  <c r="S382" i="2"/>
  <c r="S414" i="2"/>
  <c r="S446" i="2"/>
  <c r="N468" i="2"/>
  <c r="T476" i="2"/>
  <c r="T484" i="2"/>
  <c r="T492" i="2"/>
  <c r="T500" i="2"/>
  <c r="T508" i="2"/>
  <c r="T516" i="2"/>
  <c r="T524" i="2"/>
  <c r="T532" i="2"/>
  <c r="T540" i="2"/>
  <c r="T548" i="2"/>
  <c r="T556" i="2"/>
  <c r="T564" i="2"/>
  <c r="T572" i="2"/>
  <c r="T580" i="2"/>
  <c r="T588" i="2"/>
  <c r="T596" i="2"/>
  <c r="T604" i="2"/>
  <c r="T612" i="2"/>
  <c r="T620" i="2"/>
  <c r="T628" i="2"/>
  <c r="T636" i="2"/>
  <c r="T644" i="2"/>
  <c r="T652" i="2"/>
  <c r="T660" i="2"/>
  <c r="T668" i="2"/>
  <c r="T676" i="2"/>
  <c r="Q473" i="2"/>
  <c r="Q505" i="2"/>
  <c r="Q537" i="2"/>
  <c r="Q569" i="2"/>
  <c r="Q601" i="2"/>
  <c r="Q633" i="2"/>
  <c r="Q665" i="2"/>
  <c r="P683" i="2"/>
  <c r="R692" i="2"/>
  <c r="R700" i="2"/>
  <c r="R708" i="2"/>
  <c r="R716" i="2"/>
  <c r="R724" i="2"/>
  <c r="R732" i="2"/>
  <c r="R740" i="2"/>
  <c r="R748" i="2"/>
  <c r="R756" i="2"/>
  <c r="R764" i="2"/>
  <c r="R772" i="2"/>
  <c r="R780" i="2"/>
  <c r="R788" i="2"/>
  <c r="R796" i="2"/>
  <c r="R468" i="2"/>
  <c r="S532" i="2"/>
  <c r="S556" i="2"/>
  <c r="S572" i="2"/>
  <c r="S588" i="2"/>
  <c r="S604" i="2"/>
  <c r="S620" i="2"/>
  <c r="S636" i="2"/>
  <c r="S652" i="2"/>
  <c r="S668" i="2"/>
  <c r="S684" i="2"/>
  <c r="S339" i="2"/>
  <c r="S392" i="2"/>
  <c r="S424" i="2"/>
  <c r="S456" i="2"/>
  <c r="P471" i="2"/>
  <c r="P479" i="2"/>
  <c r="P487" i="2"/>
  <c r="P495" i="2"/>
  <c r="P503" i="2"/>
  <c r="P511" i="2"/>
  <c r="P519" i="2"/>
  <c r="P527" i="2"/>
  <c r="P535" i="2"/>
  <c r="P543" i="2"/>
  <c r="P551" i="2"/>
  <c r="P559" i="2"/>
  <c r="P567" i="2"/>
  <c r="P575" i="2"/>
  <c r="P583" i="2"/>
  <c r="P591" i="2"/>
  <c r="P599" i="2"/>
  <c r="P607" i="2"/>
  <c r="U432" i="2"/>
  <c r="U464" i="2"/>
  <c r="R386" i="2"/>
  <c r="R418" i="2"/>
  <c r="R450" i="2"/>
  <c r="S413" i="2"/>
  <c r="R484" i="2"/>
  <c r="R516" i="2"/>
  <c r="R538" i="2"/>
  <c r="R554" i="2"/>
  <c r="R566" i="2"/>
  <c r="R574" i="2"/>
  <c r="R582" i="2"/>
  <c r="R590" i="2"/>
  <c r="R598" i="2"/>
  <c r="R606" i="2"/>
  <c r="R614" i="2"/>
  <c r="R622" i="2"/>
  <c r="R630" i="2"/>
  <c r="R638" i="2"/>
  <c r="R646" i="2"/>
  <c r="R654" i="2"/>
  <c r="R662" i="2"/>
  <c r="R670" i="2"/>
  <c r="S345" i="2"/>
  <c r="S473" i="2"/>
  <c r="S489" i="2"/>
  <c r="S505" i="2"/>
  <c r="S521" i="2"/>
  <c r="S537" i="2"/>
  <c r="S336" i="2"/>
  <c r="P368" i="2"/>
  <c r="Q377" i="2"/>
  <c r="Q385" i="2"/>
  <c r="Q393" i="2"/>
  <c r="Q401" i="2"/>
  <c r="Q409" i="2"/>
  <c r="Q417" i="2"/>
  <c r="Q425" i="2"/>
  <c r="Q433" i="2"/>
  <c r="Q441" i="2"/>
  <c r="Q449" i="2"/>
  <c r="Q457" i="2"/>
  <c r="Q465" i="2"/>
  <c r="R182" i="2"/>
  <c r="T369" i="2"/>
  <c r="N379" i="2"/>
  <c r="N387" i="2"/>
  <c r="N395" i="2"/>
  <c r="N403" i="2"/>
  <c r="N411" i="2"/>
  <c r="N419" i="2"/>
  <c r="N427" i="2"/>
  <c r="N435" i="2"/>
  <c r="N443" i="2"/>
  <c r="N451" i="2"/>
  <c r="N459" i="2"/>
  <c r="S303" i="2"/>
  <c r="S383" i="2"/>
  <c r="S415" i="2"/>
  <c r="S447" i="2"/>
  <c r="P468" i="2"/>
  <c r="N477" i="2"/>
  <c r="N485" i="2"/>
  <c r="N493" i="2"/>
  <c r="N501" i="2"/>
  <c r="N509" i="2"/>
  <c r="N517" i="2"/>
  <c r="N525" i="2"/>
  <c r="N533" i="2"/>
  <c r="N541" i="2"/>
  <c r="N549" i="2"/>
  <c r="N557" i="2"/>
  <c r="N565" i="2"/>
  <c r="N573" i="2"/>
  <c r="N581" i="2"/>
  <c r="N589" i="2"/>
  <c r="N597" i="2"/>
  <c r="N605" i="2"/>
  <c r="N613" i="2"/>
  <c r="N621" i="2"/>
  <c r="N629" i="2"/>
  <c r="N637" i="2"/>
  <c r="N645" i="2"/>
  <c r="N653" i="2"/>
  <c r="N661" i="2"/>
  <c r="N669" i="2"/>
  <c r="S321" i="2"/>
  <c r="R470" i="2"/>
  <c r="S486" i="2"/>
  <c r="S502" i="2"/>
  <c r="S518" i="2"/>
  <c r="S534" i="2"/>
  <c r="S328" i="2"/>
  <c r="P366" i="2"/>
  <c r="U375" i="2"/>
  <c r="U383" i="2"/>
  <c r="U391" i="2"/>
  <c r="U399" i="2"/>
  <c r="U407" i="2"/>
  <c r="U415" i="2"/>
  <c r="U423" i="2"/>
  <c r="U431" i="2"/>
  <c r="U439" i="2"/>
  <c r="U447" i="2"/>
  <c r="U455" i="2"/>
  <c r="U463" i="2"/>
  <c r="T153" i="2"/>
  <c r="R366" i="2"/>
  <c r="R377" i="2"/>
  <c r="R385" i="2"/>
  <c r="R393" i="2"/>
  <c r="R401" i="2"/>
  <c r="R409" i="2"/>
  <c r="R417" i="2"/>
  <c r="R425" i="2"/>
  <c r="R433" i="2"/>
  <c r="R441" i="2"/>
  <c r="R449" i="2"/>
  <c r="R457" i="2"/>
  <c r="S279" i="2"/>
  <c r="S377" i="2"/>
  <c r="S409" i="2"/>
  <c r="S441" i="2"/>
  <c r="P466" i="2"/>
  <c r="R475" i="2"/>
  <c r="R483" i="2"/>
  <c r="R491" i="2"/>
  <c r="R499" i="2"/>
  <c r="R507" i="2"/>
  <c r="R515" i="2"/>
  <c r="R523" i="2"/>
  <c r="R531" i="2"/>
  <c r="R539" i="2"/>
  <c r="R547" i="2"/>
  <c r="R555" i="2"/>
  <c r="R563" i="2"/>
  <c r="R571" i="2"/>
  <c r="R579" i="2"/>
  <c r="R587" i="2"/>
  <c r="R595" i="2"/>
  <c r="R603" i="2"/>
  <c r="R611" i="2"/>
  <c r="R619" i="2"/>
  <c r="R627" i="2"/>
  <c r="R635" i="2"/>
  <c r="R643" i="2"/>
  <c r="R651" i="2"/>
  <c r="R659" i="2"/>
  <c r="R667" i="2"/>
  <c r="S297" i="2"/>
  <c r="T467" i="2"/>
  <c r="S483" i="2"/>
  <c r="S499" i="2"/>
  <c r="S515" i="2"/>
  <c r="S531" i="2"/>
  <c r="S547" i="2"/>
  <c r="R464" i="2"/>
  <c r="S528" i="2"/>
  <c r="S555" i="2"/>
  <c r="S571" i="2"/>
  <c r="S587" i="2"/>
  <c r="S603" i="2"/>
  <c r="S619" i="2"/>
  <c r="S635" i="2"/>
  <c r="S651" i="2"/>
  <c r="S667" i="2"/>
  <c r="S683" i="2"/>
  <c r="S331" i="2"/>
  <c r="S390" i="2"/>
  <c r="S422" i="2"/>
  <c r="S454" i="2"/>
  <c r="S470" i="2"/>
  <c r="T478" i="2"/>
  <c r="T486" i="2"/>
  <c r="T494" i="2"/>
  <c r="T502" i="2"/>
  <c r="T510" i="2"/>
  <c r="T518" i="2"/>
  <c r="T526" i="2"/>
  <c r="T534" i="2"/>
  <c r="T542" i="2"/>
  <c r="T550" i="2"/>
  <c r="T558" i="2"/>
  <c r="T566" i="2"/>
  <c r="T574" i="2"/>
  <c r="T582" i="2"/>
  <c r="T590" i="2"/>
  <c r="T598" i="2"/>
  <c r="T606" i="2"/>
  <c r="T614" i="2"/>
  <c r="T622" i="2"/>
  <c r="T630" i="2"/>
  <c r="T638" i="2"/>
  <c r="T646" i="2"/>
  <c r="T654" i="2"/>
  <c r="T662" i="2"/>
  <c r="T670" i="2"/>
  <c r="T678" i="2"/>
  <c r="Q481" i="2"/>
  <c r="Q513" i="2"/>
  <c r="Q545" i="2"/>
  <c r="Q577" i="2"/>
  <c r="Q609" i="2"/>
  <c r="Q641" i="2"/>
  <c r="R672" i="2"/>
  <c r="U685" i="2"/>
  <c r="R694" i="2"/>
  <c r="R702" i="2"/>
  <c r="R710" i="2"/>
  <c r="R718" i="2"/>
  <c r="R726" i="2"/>
  <c r="R734" i="2"/>
  <c r="R742" i="2"/>
  <c r="R750" i="2"/>
  <c r="R758" i="2"/>
  <c r="R766" i="2"/>
  <c r="R774" i="2"/>
  <c r="R782" i="2"/>
  <c r="R790" i="2"/>
  <c r="N660" i="2"/>
  <c r="S484" i="2"/>
  <c r="S542" i="2"/>
  <c r="S560" i="2"/>
  <c r="S576" i="2"/>
  <c r="S592" i="2"/>
  <c r="S608" i="2"/>
  <c r="S624" i="2"/>
  <c r="S640" i="2"/>
  <c r="S656" i="2"/>
  <c r="S672" i="2"/>
  <c r="R168" i="2"/>
  <c r="P367" i="2"/>
  <c r="S400" i="2"/>
  <c r="S432" i="2"/>
  <c r="P463" i="2"/>
  <c r="P473" i="2"/>
  <c r="P481" i="2"/>
  <c r="P489" i="2"/>
  <c r="P497" i="2"/>
  <c r="P505" i="2"/>
  <c r="P513" i="2"/>
  <c r="P521" i="2"/>
  <c r="P529" i="2"/>
  <c r="P537" i="2"/>
  <c r="P545" i="2"/>
  <c r="P553" i="2"/>
  <c r="P561" i="2"/>
  <c r="P569" i="2"/>
  <c r="P577" i="2"/>
  <c r="P585" i="2"/>
  <c r="P593" i="2"/>
  <c r="P601" i="2"/>
  <c r="P609" i="2"/>
  <c r="U440" i="2"/>
  <c r="R174" i="2"/>
  <c r="R394" i="2"/>
  <c r="R426" i="2"/>
  <c r="R458" i="2"/>
  <c r="S445" i="2"/>
  <c r="R492" i="2"/>
  <c r="R524" i="2"/>
  <c r="R540" i="2"/>
  <c r="R556" i="2"/>
  <c r="R568" i="2"/>
  <c r="R576" i="2"/>
  <c r="R584" i="2"/>
  <c r="R592" i="2"/>
  <c r="R600" i="2"/>
  <c r="R608" i="2"/>
  <c r="R616" i="2"/>
  <c r="R624" i="2"/>
  <c r="R632" i="2"/>
  <c r="R640" i="2"/>
  <c r="R648" i="2"/>
  <c r="R656" i="2"/>
  <c r="R664" i="2"/>
  <c r="R192" i="2"/>
  <c r="P369" i="2"/>
  <c r="S477" i="2"/>
  <c r="S493" i="2"/>
  <c r="S509" i="2"/>
  <c r="S525" i="2"/>
  <c r="R212" i="2"/>
  <c r="S348" i="2"/>
  <c r="N371" i="2"/>
  <c r="Q379" i="2"/>
  <c r="Q387" i="2"/>
  <c r="Q395" i="2"/>
  <c r="Q403" i="2"/>
  <c r="Q411" i="2"/>
  <c r="Q419" i="2"/>
  <c r="Q427" i="2"/>
  <c r="Q435" i="2"/>
  <c r="Q443" i="2"/>
  <c r="Q451" i="2"/>
  <c r="Q459" i="2"/>
  <c r="Q467" i="2"/>
  <c r="R214" i="2"/>
  <c r="N373" i="2"/>
  <c r="N381" i="2"/>
  <c r="N389" i="2"/>
  <c r="N397" i="2"/>
  <c r="N405" i="2"/>
  <c r="N413" i="2"/>
  <c r="N421" i="2"/>
  <c r="N429" i="2"/>
  <c r="N437" i="2"/>
  <c r="N445" i="2"/>
  <c r="N453" i="2"/>
  <c r="N461" i="2"/>
  <c r="S335" i="2"/>
  <c r="S391" i="2"/>
  <c r="S423" i="2"/>
  <c r="S455" i="2"/>
  <c r="N471" i="2"/>
  <c r="N479" i="2"/>
  <c r="N487" i="2"/>
  <c r="N495" i="2"/>
  <c r="N503" i="2"/>
  <c r="N511" i="2"/>
  <c r="N519" i="2"/>
  <c r="N527" i="2"/>
  <c r="N535" i="2"/>
  <c r="N543" i="2"/>
  <c r="N551" i="2"/>
  <c r="N559" i="2"/>
  <c r="N567" i="2"/>
  <c r="N575" i="2"/>
  <c r="N583" i="2"/>
  <c r="N591" i="2"/>
  <c r="N599" i="2"/>
  <c r="N607" i="2"/>
  <c r="N615" i="2"/>
  <c r="N623" i="2"/>
  <c r="N631" i="2"/>
  <c r="N639" i="2"/>
  <c r="N647" i="2"/>
  <c r="N655" i="2"/>
  <c r="N663" i="2"/>
  <c r="N671" i="2"/>
  <c r="S353" i="2"/>
  <c r="S474" i="2"/>
  <c r="S490" i="2"/>
  <c r="S506" i="2"/>
  <c r="S522" i="2"/>
  <c r="S538" i="2"/>
  <c r="S340" i="2"/>
  <c r="N369" i="2"/>
  <c r="U377" i="2"/>
  <c r="U385" i="2"/>
  <c r="U393" i="2"/>
  <c r="U401" i="2"/>
  <c r="U409" i="2"/>
  <c r="U417" i="2"/>
  <c r="U425" i="2"/>
  <c r="U433" i="2"/>
  <c r="U441" i="2"/>
  <c r="U449" i="2"/>
  <c r="U457" i="2"/>
  <c r="U465" i="2"/>
  <c r="R190" i="2"/>
  <c r="R370" i="2"/>
  <c r="R379" i="2"/>
  <c r="R387" i="2"/>
  <c r="R395" i="2"/>
  <c r="R403" i="2"/>
  <c r="R411" i="2"/>
  <c r="R419" i="2"/>
  <c r="R427" i="2"/>
  <c r="R435" i="2"/>
  <c r="R443" i="2"/>
  <c r="R451" i="2"/>
  <c r="R459" i="2"/>
  <c r="S311" i="2"/>
  <c r="S385" i="2"/>
  <c r="S417" i="2"/>
  <c r="S449" i="2"/>
  <c r="N469" i="2"/>
  <c r="R477" i="2"/>
  <c r="R485" i="2"/>
  <c r="R493" i="2"/>
  <c r="R501" i="2"/>
  <c r="R509" i="2"/>
  <c r="R517" i="2"/>
  <c r="R525" i="2"/>
  <c r="R533" i="2"/>
  <c r="R541" i="2"/>
  <c r="R549" i="2"/>
  <c r="R557" i="2"/>
  <c r="R565" i="2"/>
  <c r="R573" i="2"/>
  <c r="R581" i="2"/>
  <c r="R589" i="2"/>
  <c r="R597" i="2"/>
  <c r="R605" i="2"/>
  <c r="R613" i="2"/>
  <c r="R621" i="2"/>
  <c r="R629" i="2"/>
  <c r="R637" i="2"/>
  <c r="R645" i="2"/>
  <c r="R653" i="2"/>
  <c r="R661" i="2"/>
  <c r="R669" i="2"/>
  <c r="S329" i="2"/>
  <c r="S471" i="2"/>
  <c r="S487" i="2"/>
  <c r="S503" i="2"/>
  <c r="S519" i="2"/>
  <c r="S535" i="2"/>
  <c r="N658" i="2"/>
  <c r="S480" i="2"/>
  <c r="S541" i="2"/>
  <c r="S559" i="2"/>
  <c r="S575" i="2"/>
  <c r="S591" i="2"/>
  <c r="S607" i="2"/>
  <c r="S623" i="2"/>
  <c r="S639" i="2"/>
  <c r="S655" i="2"/>
  <c r="S671" i="2"/>
  <c r="S687" i="2"/>
  <c r="S363" i="2"/>
  <c r="S398" i="2"/>
  <c r="S430" i="2"/>
  <c r="S462" i="2"/>
  <c r="T472" i="2"/>
  <c r="T480" i="2"/>
  <c r="T488" i="2"/>
  <c r="T496" i="2"/>
  <c r="T504" i="2"/>
  <c r="T512" i="2"/>
  <c r="T520" i="2"/>
  <c r="T528" i="2"/>
  <c r="T536" i="2"/>
  <c r="T544" i="2"/>
  <c r="T552" i="2"/>
  <c r="T560" i="2"/>
  <c r="T568" i="2"/>
  <c r="T576" i="2"/>
  <c r="T584" i="2"/>
  <c r="T592" i="2"/>
  <c r="T600" i="2"/>
  <c r="T608" i="2"/>
  <c r="T616" i="2"/>
  <c r="T624" i="2"/>
  <c r="T632" i="2"/>
  <c r="T640" i="2"/>
  <c r="T648" i="2"/>
  <c r="T656" i="2"/>
  <c r="T664" i="2"/>
  <c r="T672" i="2"/>
  <c r="R176" i="2"/>
  <c r="Q489" i="2"/>
  <c r="Q521" i="2"/>
  <c r="Q553" i="2"/>
  <c r="Q585" i="2"/>
  <c r="Q617" i="2"/>
  <c r="Q649" i="2"/>
  <c r="R676" i="2"/>
  <c r="R688" i="2"/>
  <c r="R696" i="2"/>
  <c r="R704" i="2"/>
  <c r="R712" i="2"/>
  <c r="R720" i="2"/>
  <c r="R728" i="2"/>
  <c r="R736" i="2"/>
  <c r="R744" i="2"/>
  <c r="R752" i="2"/>
  <c r="R760" i="2"/>
  <c r="R768" i="2"/>
  <c r="R776" i="2"/>
  <c r="R784" i="2"/>
  <c r="R792" i="2"/>
  <c r="N668" i="2"/>
  <c r="S500" i="2"/>
  <c r="S548" i="2"/>
  <c r="S564" i="2"/>
  <c r="S580" i="2"/>
  <c r="S596" i="2"/>
  <c r="S612" i="2"/>
  <c r="S628" i="2"/>
  <c r="S644" i="2"/>
  <c r="S660" i="2"/>
  <c r="S676" i="2"/>
  <c r="S275" i="2"/>
  <c r="S376" i="2"/>
  <c r="S408" i="2"/>
  <c r="S440" i="2"/>
  <c r="N466" i="2"/>
  <c r="P475" i="2"/>
  <c r="P483" i="2"/>
  <c r="P491" i="2"/>
  <c r="P499" i="2"/>
  <c r="P507" i="2"/>
  <c r="P515" i="2"/>
  <c r="P523" i="2"/>
  <c r="P531" i="2"/>
  <c r="P539" i="2"/>
  <c r="P547" i="2"/>
  <c r="P555" i="2"/>
  <c r="P563" i="2"/>
  <c r="P571" i="2"/>
  <c r="P579" i="2"/>
  <c r="P587" i="2"/>
  <c r="P595" i="2"/>
  <c r="P603" i="2"/>
  <c r="P611" i="2"/>
  <c r="P619" i="2"/>
  <c r="P615" i="2"/>
  <c r="P625" i="2"/>
  <c r="P633" i="2"/>
  <c r="P641" i="2"/>
  <c r="P649" i="2"/>
  <c r="P657" i="2"/>
  <c r="P665" i="2"/>
  <c r="P673" i="2"/>
  <c r="S277" i="2"/>
  <c r="Q491" i="2"/>
  <c r="Q523" i="2"/>
  <c r="Q555" i="2"/>
  <c r="Q587" i="2"/>
  <c r="Q619" i="2"/>
  <c r="Q651" i="2"/>
  <c r="R677" i="2"/>
  <c r="N689" i="2"/>
  <c r="N697" i="2"/>
  <c r="N705" i="2"/>
  <c r="N713" i="2"/>
  <c r="N721" i="2"/>
  <c r="N729" i="2"/>
  <c r="N737" i="2"/>
  <c r="N745" i="2"/>
  <c r="N753" i="2"/>
  <c r="N761" i="2"/>
  <c r="S337" i="2"/>
  <c r="S520" i="2"/>
  <c r="S553" i="2"/>
  <c r="S569" i="2"/>
  <c r="S585" i="2"/>
  <c r="S601" i="2"/>
  <c r="S617" i="2"/>
  <c r="S633" i="2"/>
  <c r="S649" i="2"/>
  <c r="S665" i="2"/>
  <c r="S681" i="2"/>
  <c r="S315" i="2"/>
  <c r="S386" i="2"/>
  <c r="S418" i="2"/>
  <c r="S450" i="2"/>
  <c r="P469" i="2"/>
  <c r="T477" i="2"/>
  <c r="T485" i="2"/>
  <c r="T493" i="2"/>
  <c r="T501" i="2"/>
  <c r="T509" i="2"/>
  <c r="T517" i="2"/>
  <c r="T525" i="2"/>
  <c r="T533" i="2"/>
  <c r="T541" i="2"/>
  <c r="T549" i="2"/>
  <c r="T557" i="2"/>
  <c r="T565" i="2"/>
  <c r="T573" i="2"/>
  <c r="T581" i="2"/>
  <c r="T589" i="2"/>
  <c r="T597" i="2"/>
  <c r="T605" i="2"/>
  <c r="T613" i="2"/>
  <c r="T621" i="2"/>
  <c r="T629" i="2"/>
  <c r="T637" i="2"/>
  <c r="T645" i="2"/>
  <c r="T653" i="2"/>
  <c r="T661" i="2"/>
  <c r="T669" i="2"/>
  <c r="T677" i="2"/>
  <c r="Q477" i="2"/>
  <c r="Q509" i="2"/>
  <c r="Q541" i="2"/>
  <c r="Q573" i="2"/>
  <c r="Q605" i="2"/>
  <c r="Q637" i="2"/>
  <c r="Q669" i="2"/>
  <c r="R684" i="2"/>
  <c r="R693" i="2"/>
  <c r="R701" i="2"/>
  <c r="R709" i="2"/>
  <c r="R717" i="2"/>
  <c r="R725" i="2"/>
  <c r="R733" i="2"/>
  <c r="R741" i="2"/>
  <c r="R749" i="2"/>
  <c r="R757" i="2"/>
  <c r="R765" i="2"/>
  <c r="R773" i="2"/>
  <c r="R781" i="2"/>
  <c r="R789" i="2"/>
  <c r="R797" i="2"/>
  <c r="S476" i="2"/>
  <c r="S540" i="2"/>
  <c r="S558" i="2"/>
  <c r="S574" i="2"/>
  <c r="S590" i="2"/>
  <c r="S606" i="2"/>
  <c r="S622" i="2"/>
  <c r="S638" i="2"/>
  <c r="S654" i="2"/>
  <c r="S670" i="2"/>
  <c r="S686" i="2"/>
  <c r="S355" i="2"/>
  <c r="S396" i="2"/>
  <c r="S428" i="2"/>
  <c r="S460" i="2"/>
  <c r="P472" i="2"/>
  <c r="P480" i="2"/>
  <c r="P488" i="2"/>
  <c r="P496" i="2"/>
  <c r="P504" i="2"/>
  <c r="P512" i="2"/>
  <c r="P520" i="2"/>
  <c r="P528" i="2"/>
  <c r="P536" i="2"/>
  <c r="P544" i="2"/>
  <c r="P552" i="2"/>
  <c r="P560" i="2"/>
  <c r="P568" i="2"/>
  <c r="P576" i="2"/>
  <c r="P584" i="2"/>
  <c r="P592" i="2"/>
  <c r="P600" i="2"/>
  <c r="P608" i="2"/>
  <c r="P616" i="2"/>
  <c r="P624" i="2"/>
  <c r="P632" i="2"/>
  <c r="P640" i="2"/>
  <c r="P648" i="2"/>
  <c r="P656" i="2"/>
  <c r="P664" i="2"/>
  <c r="P672" i="2"/>
  <c r="P680" i="2"/>
  <c r="Q487" i="2"/>
  <c r="Q519" i="2"/>
  <c r="Q551" i="2"/>
  <c r="Q583" i="2"/>
  <c r="Q615" i="2"/>
  <c r="Q647" i="2"/>
  <c r="R675" i="2"/>
  <c r="U687" i="2"/>
  <c r="N696" i="2"/>
  <c r="N704" i="2"/>
  <c r="N712" i="2"/>
  <c r="N720" i="2"/>
  <c r="N728" i="2"/>
  <c r="N736" i="2"/>
  <c r="N744" i="2"/>
  <c r="N752" i="2"/>
  <c r="N774" i="2"/>
  <c r="N790" i="2"/>
  <c r="N802" i="2"/>
  <c r="N810" i="2"/>
  <c r="N818" i="2"/>
  <c r="N826" i="2"/>
  <c r="N834" i="2"/>
  <c r="N842" i="2"/>
  <c r="N850" i="2"/>
  <c r="N858" i="2"/>
  <c r="N866" i="2"/>
  <c r="R208" i="2"/>
  <c r="U489" i="2"/>
  <c r="U521" i="2"/>
  <c r="U553" i="2"/>
  <c r="U585" i="2"/>
  <c r="U617" i="2"/>
  <c r="U649" i="2"/>
  <c r="U676" i="2"/>
  <c r="S688" i="2"/>
  <c r="S704" i="2"/>
  <c r="S720" i="2"/>
  <c r="S736" i="2"/>
  <c r="S752" i="2"/>
  <c r="S768" i="2"/>
  <c r="S784" i="2"/>
  <c r="S800" i="2"/>
  <c r="S816" i="2"/>
  <c r="S832" i="2"/>
  <c r="S848" i="2"/>
  <c r="S864" i="2"/>
  <c r="S880" i="2"/>
  <c r="Q488" i="2"/>
  <c r="Q520" i="2"/>
  <c r="Q552" i="2"/>
  <c r="Q584" i="2"/>
  <c r="Q616" i="2"/>
  <c r="Q648" i="2"/>
  <c r="N676" i="2"/>
  <c r="P688" i="2"/>
  <c r="P696" i="2"/>
  <c r="P704" i="2"/>
  <c r="P712" i="2"/>
  <c r="P720" i="2"/>
  <c r="P728" i="2"/>
  <c r="P736" i="2"/>
  <c r="P744" i="2"/>
  <c r="P752" i="2"/>
  <c r="P760" i="2"/>
  <c r="P768" i="2"/>
  <c r="P776" i="2"/>
  <c r="P784" i="2"/>
  <c r="P792" i="2"/>
  <c r="P800" i="2"/>
  <c r="P808" i="2"/>
  <c r="P816" i="2"/>
  <c r="P824" i="2"/>
  <c r="P832" i="2"/>
  <c r="P840" i="2"/>
  <c r="P848" i="2"/>
  <c r="P856" i="2"/>
  <c r="P864" i="2"/>
  <c r="P872" i="2"/>
  <c r="U554" i="2"/>
  <c r="Q677" i="2"/>
  <c r="U712" i="2"/>
  <c r="U744" i="2"/>
  <c r="U776" i="2"/>
  <c r="U808" i="2"/>
  <c r="U840" i="2"/>
  <c r="U872" i="2"/>
  <c r="S885" i="2"/>
  <c r="N754" i="2"/>
  <c r="N775" i="2"/>
  <c r="N791" i="2"/>
  <c r="R802" i="2"/>
  <c r="R810" i="2"/>
  <c r="R818" i="2"/>
  <c r="R826" i="2"/>
  <c r="R834" i="2"/>
  <c r="R842" i="2"/>
  <c r="R850" i="2"/>
  <c r="R858" i="2"/>
  <c r="R866" i="2"/>
  <c r="S285" i="2"/>
  <c r="U491" i="2"/>
  <c r="U523" i="2"/>
  <c r="U555" i="2"/>
  <c r="U587" i="2"/>
  <c r="U619" i="2"/>
  <c r="U651" i="2"/>
  <c r="U677" i="2"/>
  <c r="S689" i="2"/>
  <c r="S705" i="2"/>
  <c r="S721" i="2"/>
  <c r="S737" i="2"/>
  <c r="S753" i="2"/>
  <c r="S769" i="2"/>
  <c r="S785" i="2"/>
  <c r="S801" i="2"/>
  <c r="S817" i="2"/>
  <c r="S833" i="2"/>
  <c r="S849" i="2"/>
  <c r="S865" i="2"/>
  <c r="S881" i="2"/>
  <c r="Q490" i="2"/>
  <c r="Q522" i="2"/>
  <c r="Q554" i="2"/>
  <c r="P617" i="2"/>
  <c r="P627" i="2"/>
  <c r="P635" i="2"/>
  <c r="P643" i="2"/>
  <c r="P651" i="2"/>
  <c r="P659" i="2"/>
  <c r="P667" i="2"/>
  <c r="P675" i="2"/>
  <c r="R463" i="2"/>
  <c r="Q499" i="2"/>
  <c r="Q531" i="2"/>
  <c r="Q563" i="2"/>
  <c r="Q595" i="2"/>
  <c r="Q627" i="2"/>
  <c r="Q659" i="2"/>
  <c r="P681" i="2"/>
  <c r="N691" i="2"/>
  <c r="N699" i="2"/>
  <c r="N707" i="2"/>
  <c r="N715" i="2"/>
  <c r="N723" i="2"/>
  <c r="N731" i="2"/>
  <c r="N739" i="2"/>
  <c r="N747" i="2"/>
  <c r="N755" i="2"/>
  <c r="N763" i="2"/>
  <c r="S472" i="2"/>
  <c r="S536" i="2"/>
  <c r="S557" i="2"/>
  <c r="S573" i="2"/>
  <c r="S589" i="2"/>
  <c r="S605" i="2"/>
  <c r="S621" i="2"/>
  <c r="S637" i="2"/>
  <c r="S653" i="2"/>
  <c r="S669" i="2"/>
  <c r="S685" i="2"/>
  <c r="S347" i="2"/>
  <c r="S394" i="2"/>
  <c r="S426" i="2"/>
  <c r="S458" i="2"/>
  <c r="T471" i="2"/>
  <c r="T479" i="2"/>
  <c r="T487" i="2"/>
  <c r="T495" i="2"/>
  <c r="T503" i="2"/>
  <c r="T511" i="2"/>
  <c r="T519" i="2"/>
  <c r="T527" i="2"/>
  <c r="T535" i="2"/>
  <c r="T543" i="2"/>
  <c r="T551" i="2"/>
  <c r="T559" i="2"/>
  <c r="T567" i="2"/>
  <c r="T575" i="2"/>
  <c r="T583" i="2"/>
  <c r="T591" i="2"/>
  <c r="T599" i="2"/>
  <c r="T607" i="2"/>
  <c r="T615" i="2"/>
  <c r="T623" i="2"/>
  <c r="T631" i="2"/>
  <c r="T639" i="2"/>
  <c r="T647" i="2"/>
  <c r="T655" i="2"/>
  <c r="T663" i="2"/>
  <c r="T671" i="2"/>
  <c r="T679" i="2"/>
  <c r="Q485" i="2"/>
  <c r="Q517" i="2"/>
  <c r="Q549" i="2"/>
  <c r="Q581" i="2"/>
  <c r="Q613" i="2"/>
  <c r="Q645" i="2"/>
  <c r="R674" i="2"/>
  <c r="P687" i="2"/>
  <c r="R695" i="2"/>
  <c r="R703" i="2"/>
  <c r="R711" i="2"/>
  <c r="R719" i="2"/>
  <c r="R727" i="2"/>
  <c r="R735" i="2"/>
  <c r="R743" i="2"/>
  <c r="R751" i="2"/>
  <c r="R759" i="2"/>
  <c r="R767" i="2"/>
  <c r="R775" i="2"/>
  <c r="R783" i="2"/>
  <c r="R791" i="2"/>
  <c r="N664" i="2"/>
  <c r="S492" i="2"/>
  <c r="S545" i="2"/>
  <c r="S562" i="2"/>
  <c r="S578" i="2"/>
  <c r="S594" i="2"/>
  <c r="S610" i="2"/>
  <c r="S626" i="2"/>
  <c r="S642" i="2"/>
  <c r="S658" i="2"/>
  <c r="S674" i="2"/>
  <c r="R232" i="2"/>
  <c r="S372" i="2"/>
  <c r="S404" i="2"/>
  <c r="S436" i="2"/>
  <c r="S464" i="2"/>
  <c r="P474" i="2"/>
  <c r="P482" i="2"/>
  <c r="P490" i="2"/>
  <c r="P498" i="2"/>
  <c r="P506" i="2"/>
  <c r="P514" i="2"/>
  <c r="P522" i="2"/>
  <c r="P530" i="2"/>
  <c r="P538" i="2"/>
  <c r="P546" i="2"/>
  <c r="P554" i="2"/>
  <c r="P562" i="2"/>
  <c r="P570" i="2"/>
  <c r="P578" i="2"/>
  <c r="P586" i="2"/>
  <c r="P594" i="2"/>
  <c r="P602" i="2"/>
  <c r="P610" i="2"/>
  <c r="P618" i="2"/>
  <c r="P626" i="2"/>
  <c r="P634" i="2"/>
  <c r="P642" i="2"/>
  <c r="P650" i="2"/>
  <c r="P658" i="2"/>
  <c r="P666" i="2"/>
  <c r="P674" i="2"/>
  <c r="S341" i="2"/>
  <c r="Q495" i="2"/>
  <c r="Q527" i="2"/>
  <c r="Q559" i="2"/>
  <c r="Q591" i="2"/>
  <c r="Q623" i="2"/>
  <c r="Q655" i="2"/>
  <c r="R679" i="2"/>
  <c r="N690" i="2"/>
  <c r="N698" i="2"/>
  <c r="N706" i="2"/>
  <c r="N714" i="2"/>
  <c r="N722" i="2"/>
  <c r="N730" i="2"/>
  <c r="N738" i="2"/>
  <c r="N746" i="2"/>
  <c r="N760" i="2"/>
  <c r="N778" i="2"/>
  <c r="N794" i="2"/>
  <c r="N804" i="2"/>
  <c r="N812" i="2"/>
  <c r="N820" i="2"/>
  <c r="N828" i="2"/>
  <c r="N836" i="2"/>
  <c r="N844" i="2"/>
  <c r="N852" i="2"/>
  <c r="N860" i="2"/>
  <c r="N868" i="2"/>
  <c r="S370" i="2"/>
  <c r="U497" i="2"/>
  <c r="U529" i="2"/>
  <c r="U561" i="2"/>
  <c r="U593" i="2"/>
  <c r="U625" i="2"/>
  <c r="U657" i="2"/>
  <c r="T680" i="2"/>
  <c r="S692" i="2"/>
  <c r="S708" i="2"/>
  <c r="S724" i="2"/>
  <c r="S740" i="2"/>
  <c r="S756" i="2"/>
  <c r="S772" i="2"/>
  <c r="S788" i="2"/>
  <c r="S804" i="2"/>
  <c r="S820" i="2"/>
  <c r="S836" i="2"/>
  <c r="S852" i="2"/>
  <c r="S868" i="2"/>
  <c r="S325" i="2"/>
  <c r="Q496" i="2"/>
  <c r="Q528" i="2"/>
  <c r="Q560" i="2"/>
  <c r="Q592" i="2"/>
  <c r="Q624" i="2"/>
  <c r="Q656" i="2"/>
  <c r="N680" i="2"/>
  <c r="P690" i="2"/>
  <c r="P698" i="2"/>
  <c r="P706" i="2"/>
  <c r="P714" i="2"/>
  <c r="P722" i="2"/>
  <c r="P730" i="2"/>
  <c r="P738" i="2"/>
  <c r="P746" i="2"/>
  <c r="P754" i="2"/>
  <c r="P762" i="2"/>
  <c r="P770" i="2"/>
  <c r="P778" i="2"/>
  <c r="P786" i="2"/>
  <c r="P794" i="2"/>
  <c r="P802" i="2"/>
  <c r="P810" i="2"/>
  <c r="P818" i="2"/>
  <c r="P826" i="2"/>
  <c r="P834" i="2"/>
  <c r="P842" i="2"/>
  <c r="P850" i="2"/>
  <c r="P858" i="2"/>
  <c r="P866" i="2"/>
  <c r="U268" i="2"/>
  <c r="U586" i="2"/>
  <c r="U688" i="2"/>
  <c r="U720" i="2"/>
  <c r="U752" i="2"/>
  <c r="U784" i="2"/>
  <c r="U816" i="2"/>
  <c r="U848" i="2"/>
  <c r="P876" i="2"/>
  <c r="S889" i="2"/>
  <c r="N762" i="2"/>
  <c r="N779" i="2"/>
  <c r="N795" i="2"/>
  <c r="R804" i="2"/>
  <c r="R812" i="2"/>
  <c r="R820" i="2"/>
  <c r="R828" i="2"/>
  <c r="R836" i="2"/>
  <c r="R844" i="2"/>
  <c r="R852" i="2"/>
  <c r="R860" i="2"/>
  <c r="R868" i="2"/>
  <c r="T466" i="2"/>
  <c r="U499" i="2"/>
  <c r="U531" i="2"/>
  <c r="U563" i="2"/>
  <c r="U595" i="2"/>
  <c r="U627" i="2"/>
  <c r="U659" i="2"/>
  <c r="Q681" i="2"/>
  <c r="S693" i="2"/>
  <c r="S709" i="2"/>
  <c r="S725" i="2"/>
  <c r="S741" i="2"/>
  <c r="S757" i="2"/>
  <c r="S773" i="2"/>
  <c r="S789" i="2"/>
  <c r="S805" i="2"/>
  <c r="S821" i="2"/>
  <c r="S837" i="2"/>
  <c r="S853" i="2"/>
  <c r="S869" i="2"/>
  <c r="S357" i="2"/>
  <c r="Q498" i="2"/>
  <c r="Q530" i="2"/>
  <c r="P621" i="2"/>
  <c r="P629" i="2"/>
  <c r="P637" i="2"/>
  <c r="P645" i="2"/>
  <c r="P653" i="2"/>
  <c r="P661" i="2"/>
  <c r="P669" i="2"/>
  <c r="P677" i="2"/>
  <c r="Q475" i="2"/>
  <c r="Q507" i="2"/>
  <c r="Q539" i="2"/>
  <c r="Q571" i="2"/>
  <c r="Q603" i="2"/>
  <c r="Q635" i="2"/>
  <c r="Q667" i="2"/>
  <c r="U683" i="2"/>
  <c r="N693" i="2"/>
  <c r="N701" i="2"/>
  <c r="N709" i="2"/>
  <c r="N717" i="2"/>
  <c r="N725" i="2"/>
  <c r="N733" i="2"/>
  <c r="N741" i="2"/>
  <c r="N749" i="2"/>
  <c r="N757" i="2"/>
  <c r="N662" i="2"/>
  <c r="S488" i="2"/>
  <c r="S544" i="2"/>
  <c r="S561" i="2"/>
  <c r="S577" i="2"/>
  <c r="S593" i="2"/>
  <c r="S609" i="2"/>
  <c r="S625" i="2"/>
  <c r="S641" i="2"/>
  <c r="S657" i="2"/>
  <c r="S673" i="2"/>
  <c r="R200" i="2"/>
  <c r="N370" i="2"/>
  <c r="S402" i="2"/>
  <c r="S434" i="2"/>
  <c r="N464" i="2"/>
  <c r="T473" i="2"/>
  <c r="T481" i="2"/>
  <c r="T489" i="2"/>
  <c r="T497" i="2"/>
  <c r="T505" i="2"/>
  <c r="T513" i="2"/>
  <c r="T521" i="2"/>
  <c r="T529" i="2"/>
  <c r="T537" i="2"/>
  <c r="T545" i="2"/>
  <c r="T553" i="2"/>
  <c r="T561" i="2"/>
  <c r="T569" i="2"/>
  <c r="T577" i="2"/>
  <c r="T585" i="2"/>
  <c r="T593" i="2"/>
  <c r="T601" i="2"/>
  <c r="T609" i="2"/>
  <c r="T617" i="2"/>
  <c r="T625" i="2"/>
  <c r="T633" i="2"/>
  <c r="T641" i="2"/>
  <c r="T649" i="2"/>
  <c r="T657" i="2"/>
  <c r="T665" i="2"/>
  <c r="T673" i="2"/>
  <c r="S309" i="2"/>
  <c r="Q493" i="2"/>
  <c r="Q525" i="2"/>
  <c r="Q557" i="2"/>
  <c r="Q589" i="2"/>
  <c r="Q621" i="2"/>
  <c r="Q653" i="2"/>
  <c r="R678" i="2"/>
  <c r="R689" i="2"/>
  <c r="R697" i="2"/>
  <c r="R705" i="2"/>
  <c r="R713" i="2"/>
  <c r="R721" i="2"/>
  <c r="R729" i="2"/>
  <c r="R737" i="2"/>
  <c r="R745" i="2"/>
  <c r="R753" i="2"/>
  <c r="R761" i="2"/>
  <c r="R769" i="2"/>
  <c r="R777" i="2"/>
  <c r="R785" i="2"/>
  <c r="R793" i="2"/>
  <c r="P160" i="2"/>
  <c r="S508" i="2"/>
  <c r="S550" i="2"/>
  <c r="S566" i="2"/>
  <c r="S582" i="2"/>
  <c r="S598" i="2"/>
  <c r="S614" i="2"/>
  <c r="S630" i="2"/>
  <c r="S646" i="2"/>
  <c r="S662" i="2"/>
  <c r="S678" i="2"/>
  <c r="S291" i="2"/>
  <c r="S380" i="2"/>
  <c r="S412" i="2"/>
  <c r="S444" i="2"/>
  <c r="P467" i="2"/>
  <c r="P476" i="2"/>
  <c r="P484" i="2"/>
  <c r="P492" i="2"/>
  <c r="P500" i="2"/>
  <c r="P508" i="2"/>
  <c r="P516" i="2"/>
  <c r="P524" i="2"/>
  <c r="P532" i="2"/>
  <c r="P540" i="2"/>
  <c r="P548" i="2"/>
  <c r="P556" i="2"/>
  <c r="P564" i="2"/>
  <c r="P572" i="2"/>
  <c r="P580" i="2"/>
  <c r="P588" i="2"/>
  <c r="P596" i="2"/>
  <c r="P604" i="2"/>
  <c r="P612" i="2"/>
  <c r="P620" i="2"/>
  <c r="P628" i="2"/>
  <c r="P636" i="2"/>
  <c r="P644" i="2"/>
  <c r="P652" i="2"/>
  <c r="P660" i="2"/>
  <c r="P668" i="2"/>
  <c r="P676" i="2"/>
  <c r="Q471" i="2"/>
  <c r="Q503" i="2"/>
  <c r="Q535" i="2"/>
  <c r="Q567" i="2"/>
  <c r="Q599" i="2"/>
  <c r="Q631" i="2"/>
  <c r="Q663" i="2"/>
  <c r="R682" i="2"/>
  <c r="N692" i="2"/>
  <c r="N700" i="2"/>
  <c r="N708" i="2"/>
  <c r="N716" i="2"/>
  <c r="N724" i="2"/>
  <c r="N732" i="2"/>
  <c r="N740" i="2"/>
  <c r="N748" i="2"/>
  <c r="N766" i="2"/>
  <c r="N782" i="2"/>
  <c r="N798" i="2"/>
  <c r="N806" i="2"/>
  <c r="N814" i="2"/>
  <c r="N822" i="2"/>
  <c r="N830" i="2"/>
  <c r="N838" i="2"/>
  <c r="N846" i="2"/>
  <c r="N854" i="2"/>
  <c r="N862" i="2"/>
  <c r="N870" i="2"/>
  <c r="U473" i="2"/>
  <c r="U505" i="2"/>
  <c r="U537" i="2"/>
  <c r="U569" i="2"/>
  <c r="U601" i="2"/>
  <c r="U633" i="2"/>
  <c r="U665" i="2"/>
  <c r="Q683" i="2"/>
  <c r="S696" i="2"/>
  <c r="S712" i="2"/>
  <c r="S728" i="2"/>
  <c r="S744" i="2"/>
  <c r="S760" i="2"/>
  <c r="S776" i="2"/>
  <c r="S792" i="2"/>
  <c r="S808" i="2"/>
  <c r="S824" i="2"/>
  <c r="S840" i="2"/>
  <c r="S856" i="2"/>
  <c r="S872" i="2"/>
  <c r="Q472" i="2"/>
  <c r="Q504" i="2"/>
  <c r="Q536" i="2"/>
  <c r="Q568" i="2"/>
  <c r="Q600" i="2"/>
  <c r="Q632" i="2"/>
  <c r="Q664" i="2"/>
  <c r="U682" i="2"/>
  <c r="P692" i="2"/>
  <c r="P700" i="2"/>
  <c r="P708" i="2"/>
  <c r="P716" i="2"/>
  <c r="P724" i="2"/>
  <c r="P732" i="2"/>
  <c r="P740" i="2"/>
  <c r="P748" i="2"/>
  <c r="P756" i="2"/>
  <c r="P764" i="2"/>
  <c r="P772" i="2"/>
  <c r="P780" i="2"/>
  <c r="P788" i="2"/>
  <c r="P796" i="2"/>
  <c r="P804" i="2"/>
  <c r="P812" i="2"/>
  <c r="P820" i="2"/>
  <c r="P828" i="2"/>
  <c r="P836" i="2"/>
  <c r="P844" i="2"/>
  <c r="P852" i="2"/>
  <c r="P860" i="2"/>
  <c r="P868" i="2"/>
  <c r="U490" i="2"/>
  <c r="U618" i="2"/>
  <c r="U696" i="2"/>
  <c r="U728" i="2"/>
  <c r="U760" i="2"/>
  <c r="U792" i="2"/>
  <c r="U824" i="2"/>
  <c r="U856" i="2"/>
  <c r="U878" i="2"/>
  <c r="S893" i="2"/>
  <c r="N767" i="2"/>
  <c r="N783" i="2"/>
  <c r="R798" i="2"/>
  <c r="R806" i="2"/>
  <c r="R814" i="2"/>
  <c r="R822" i="2"/>
  <c r="R830" i="2"/>
  <c r="R838" i="2"/>
  <c r="R846" i="2"/>
  <c r="R854" i="2"/>
  <c r="R862" i="2"/>
  <c r="R870" i="2"/>
  <c r="U475" i="2"/>
  <c r="U507" i="2"/>
  <c r="U539" i="2"/>
  <c r="U571" i="2"/>
  <c r="U603" i="2"/>
  <c r="U635" i="2"/>
  <c r="U667" i="2"/>
  <c r="N684" i="2"/>
  <c r="S697" i="2"/>
  <c r="S713" i="2"/>
  <c r="S729" i="2"/>
  <c r="S745" i="2"/>
  <c r="S761" i="2"/>
  <c r="S777" i="2"/>
  <c r="S793" i="2"/>
  <c r="S809" i="2"/>
  <c r="S825" i="2"/>
  <c r="S841" i="2"/>
  <c r="S857" i="2"/>
  <c r="S873" i="2"/>
  <c r="Q474" i="2"/>
  <c r="Q506" i="2"/>
  <c r="Q538" i="2"/>
  <c r="P623" i="2"/>
  <c r="P631" i="2"/>
  <c r="P639" i="2"/>
  <c r="P647" i="2"/>
  <c r="P655" i="2"/>
  <c r="P663" i="2"/>
  <c r="P671" i="2"/>
  <c r="P679" i="2"/>
  <c r="Q483" i="2"/>
  <c r="Q515" i="2"/>
  <c r="Q547" i="2"/>
  <c r="Q579" i="2"/>
  <c r="Q611" i="2"/>
  <c r="Q643" i="2"/>
  <c r="R673" i="2"/>
  <c r="R686" i="2"/>
  <c r="N695" i="2"/>
  <c r="N703" i="2"/>
  <c r="N711" i="2"/>
  <c r="N719" i="2"/>
  <c r="N727" i="2"/>
  <c r="N735" i="2"/>
  <c r="N743" i="2"/>
  <c r="N751" i="2"/>
  <c r="N759" i="2"/>
  <c r="N670" i="2"/>
  <c r="S504" i="2"/>
  <c r="S549" i="2"/>
  <c r="S565" i="2"/>
  <c r="S581" i="2"/>
  <c r="S597" i="2"/>
  <c r="S613" i="2"/>
  <c r="S629" i="2"/>
  <c r="S645" i="2"/>
  <c r="S661" i="2"/>
  <c r="S677" i="2"/>
  <c r="S283" i="2"/>
  <c r="S378" i="2"/>
  <c r="S410" i="2"/>
  <c r="S442" i="2"/>
  <c r="S466" i="2"/>
  <c r="T475" i="2"/>
  <c r="T483" i="2"/>
  <c r="T491" i="2"/>
  <c r="T499" i="2"/>
  <c r="T507" i="2"/>
  <c r="T515" i="2"/>
  <c r="T523" i="2"/>
  <c r="T531" i="2"/>
  <c r="T539" i="2"/>
  <c r="T547" i="2"/>
  <c r="T555" i="2"/>
  <c r="T563" i="2"/>
  <c r="T571" i="2"/>
  <c r="T579" i="2"/>
  <c r="T587" i="2"/>
  <c r="T595" i="2"/>
  <c r="T603" i="2"/>
  <c r="T611" i="2"/>
  <c r="T619" i="2"/>
  <c r="T627" i="2"/>
  <c r="T635" i="2"/>
  <c r="T643" i="2"/>
  <c r="T651" i="2"/>
  <c r="T659" i="2"/>
  <c r="T667" i="2"/>
  <c r="T675" i="2"/>
  <c r="T468" i="2"/>
  <c r="Q501" i="2"/>
  <c r="Q533" i="2"/>
  <c r="Q565" i="2"/>
  <c r="Q597" i="2"/>
  <c r="Q629" i="2"/>
  <c r="Q661" i="2"/>
  <c r="U681" i="2"/>
  <c r="R691" i="2"/>
  <c r="R699" i="2"/>
  <c r="R707" i="2"/>
  <c r="R715" i="2"/>
  <c r="R723" i="2"/>
  <c r="R731" i="2"/>
  <c r="R739" i="2"/>
  <c r="R747" i="2"/>
  <c r="R755" i="2"/>
  <c r="R763" i="2"/>
  <c r="R771" i="2"/>
  <c r="R779" i="2"/>
  <c r="R787" i="2"/>
  <c r="R795" i="2"/>
  <c r="S366" i="2"/>
  <c r="S524" i="2"/>
  <c r="S554" i="2"/>
  <c r="S570" i="2"/>
  <c r="S586" i="2"/>
  <c r="S602" i="2"/>
  <c r="S618" i="2"/>
  <c r="S634" i="2"/>
  <c r="S650" i="2"/>
  <c r="S666" i="2"/>
  <c r="S682" i="2"/>
  <c r="S323" i="2"/>
  <c r="S388" i="2"/>
  <c r="S420" i="2"/>
  <c r="S452" i="2"/>
  <c r="N470" i="2"/>
  <c r="P478" i="2"/>
  <c r="P486" i="2"/>
  <c r="P494" i="2"/>
  <c r="P502" i="2"/>
  <c r="P510" i="2"/>
  <c r="P518" i="2"/>
  <c r="P526" i="2"/>
  <c r="P534" i="2"/>
  <c r="P542" i="2"/>
  <c r="P550" i="2"/>
  <c r="P558" i="2"/>
  <c r="P566" i="2"/>
  <c r="P574" i="2"/>
  <c r="P582" i="2"/>
  <c r="P590" i="2"/>
  <c r="P598" i="2"/>
  <c r="P606" i="2"/>
  <c r="P614" i="2"/>
  <c r="P622" i="2"/>
  <c r="P630" i="2"/>
  <c r="P638" i="2"/>
  <c r="P646" i="2"/>
  <c r="P654" i="2"/>
  <c r="P662" i="2"/>
  <c r="P670" i="2"/>
  <c r="P678" i="2"/>
  <c r="Q479" i="2"/>
  <c r="Q511" i="2"/>
  <c r="Q543" i="2"/>
  <c r="Q575" i="2"/>
  <c r="Q607" i="2"/>
  <c r="Q639" i="2"/>
  <c r="Q671" i="2"/>
  <c r="P685" i="2"/>
  <c r="N694" i="2"/>
  <c r="N702" i="2"/>
  <c r="N710" i="2"/>
  <c r="N718" i="2"/>
  <c r="N726" i="2"/>
  <c r="N734" i="2"/>
  <c r="N742" i="2"/>
  <c r="N750" i="2"/>
  <c r="N770" i="2"/>
  <c r="N786" i="2"/>
  <c r="N800" i="2"/>
  <c r="N808" i="2"/>
  <c r="N816" i="2"/>
  <c r="N824" i="2"/>
  <c r="N832" i="2"/>
  <c r="N840" i="2"/>
  <c r="N848" i="2"/>
  <c r="N856" i="2"/>
  <c r="N864" i="2"/>
  <c r="N872" i="2"/>
  <c r="U481" i="2"/>
  <c r="U513" i="2"/>
  <c r="U545" i="2"/>
  <c r="U577" i="2"/>
  <c r="U609" i="2"/>
  <c r="U641" i="2"/>
  <c r="U672" i="2"/>
  <c r="N686" i="2"/>
  <c r="S700" i="2"/>
  <c r="S716" i="2"/>
  <c r="S732" i="2"/>
  <c r="S748" i="2"/>
  <c r="S764" i="2"/>
  <c r="S780" i="2"/>
  <c r="S796" i="2"/>
  <c r="S812" i="2"/>
  <c r="S828" i="2"/>
  <c r="S844" i="2"/>
  <c r="S860" i="2"/>
  <c r="S876" i="2"/>
  <c r="Q480" i="2"/>
  <c r="Q512" i="2"/>
  <c r="Q544" i="2"/>
  <c r="Q576" i="2"/>
  <c r="Q608" i="2"/>
  <c r="Q640" i="2"/>
  <c r="N672" i="2"/>
  <c r="R685" i="2"/>
  <c r="P694" i="2"/>
  <c r="P702" i="2"/>
  <c r="P710" i="2"/>
  <c r="P718" i="2"/>
  <c r="P726" i="2"/>
  <c r="P734" i="2"/>
  <c r="P742" i="2"/>
  <c r="P750" i="2"/>
  <c r="P758" i="2"/>
  <c r="P766" i="2"/>
  <c r="P774" i="2"/>
  <c r="P782" i="2"/>
  <c r="P790" i="2"/>
  <c r="P798" i="2"/>
  <c r="P806" i="2"/>
  <c r="P814" i="2"/>
  <c r="P822" i="2"/>
  <c r="P830" i="2"/>
  <c r="P838" i="2"/>
  <c r="P846" i="2"/>
  <c r="P854" i="2"/>
  <c r="P862" i="2"/>
  <c r="P870" i="2"/>
  <c r="U522" i="2"/>
  <c r="U650" i="2"/>
  <c r="U704" i="2"/>
  <c r="U736" i="2"/>
  <c r="U768" i="2"/>
  <c r="U800" i="2"/>
  <c r="U832" i="2"/>
  <c r="U864" i="2"/>
  <c r="R881" i="2"/>
  <c r="S897" i="2"/>
  <c r="N771" i="2"/>
  <c r="N787" i="2"/>
  <c r="R800" i="2"/>
  <c r="R808" i="2"/>
  <c r="R816" i="2"/>
  <c r="R824" i="2"/>
  <c r="R832" i="2"/>
  <c r="R840" i="2"/>
  <c r="R848" i="2"/>
  <c r="R856" i="2"/>
  <c r="R864" i="2"/>
  <c r="R872" i="2"/>
  <c r="U483" i="2"/>
  <c r="U515" i="2"/>
  <c r="U547" i="2"/>
  <c r="U579" i="2"/>
  <c r="U611" i="2"/>
  <c r="U643" i="2"/>
  <c r="U673" i="2"/>
  <c r="T686" i="2"/>
  <c r="S701" i="2"/>
  <c r="S717" i="2"/>
  <c r="S733" i="2"/>
  <c r="S749" i="2"/>
  <c r="S765" i="2"/>
  <c r="S781" i="2"/>
  <c r="S797" i="2"/>
  <c r="S813" i="2"/>
  <c r="S829" i="2"/>
  <c r="S845" i="2"/>
  <c r="S861" i="2"/>
  <c r="S877" i="2"/>
  <c r="Q482" i="2"/>
  <c r="Q514" i="2"/>
  <c r="Q546" i="2"/>
  <c r="Q562" i="2"/>
  <c r="Q594" i="2"/>
  <c r="Q626" i="2"/>
  <c r="Q658" i="2"/>
  <c r="U680" i="2"/>
  <c r="T690" i="2"/>
  <c r="T698" i="2"/>
  <c r="T706" i="2"/>
  <c r="T714" i="2"/>
  <c r="T722" i="2"/>
  <c r="T730" i="2"/>
  <c r="T738" i="2"/>
  <c r="T746" i="2"/>
  <c r="T754" i="2"/>
  <c r="T762" i="2"/>
  <c r="T770" i="2"/>
  <c r="T778" i="2"/>
  <c r="T786" i="2"/>
  <c r="T794" i="2"/>
  <c r="T802" i="2"/>
  <c r="T810" i="2"/>
  <c r="T818" i="2"/>
  <c r="T826" i="2"/>
  <c r="T834" i="2"/>
  <c r="T842" i="2"/>
  <c r="T850" i="2"/>
  <c r="T858" i="2"/>
  <c r="T866" i="2"/>
  <c r="R465" i="2"/>
  <c r="N768" i="2"/>
  <c r="N784" i="2"/>
  <c r="N799" i="2"/>
  <c r="N807" i="2"/>
  <c r="N815" i="2"/>
  <c r="N823" i="2"/>
  <c r="N831" i="2"/>
  <c r="N839" i="2"/>
  <c r="N847" i="2"/>
  <c r="N855" i="2"/>
  <c r="N863" i="2"/>
  <c r="N871" i="2"/>
  <c r="U477" i="2"/>
  <c r="U509" i="2"/>
  <c r="U541" i="2"/>
  <c r="U573" i="2"/>
  <c r="U605" i="2"/>
  <c r="U637" i="2"/>
  <c r="U669" i="2"/>
  <c r="T684" i="2"/>
  <c r="S698" i="2"/>
  <c r="S714" i="2"/>
  <c r="S730" i="2"/>
  <c r="S746" i="2"/>
  <c r="S762" i="2"/>
  <c r="S778" i="2"/>
  <c r="S794" i="2"/>
  <c r="S810" i="2"/>
  <c r="S826" i="2"/>
  <c r="S842" i="2"/>
  <c r="S858" i="2"/>
  <c r="S874" i="2"/>
  <c r="Q476" i="2"/>
  <c r="Q508" i="2"/>
  <c r="Q540" i="2"/>
  <c r="Q572" i="2"/>
  <c r="Q604" i="2"/>
  <c r="Q636" i="2"/>
  <c r="Q668" i="2"/>
  <c r="P684" i="2"/>
  <c r="P693" i="2"/>
  <c r="P701" i="2"/>
  <c r="P709" i="2"/>
  <c r="P717" i="2"/>
  <c r="P725" i="2"/>
  <c r="P733" i="2"/>
  <c r="P741" i="2"/>
  <c r="P749" i="2"/>
  <c r="P757" i="2"/>
  <c r="P765" i="2"/>
  <c r="P773" i="2"/>
  <c r="P781" i="2"/>
  <c r="P789" i="2"/>
  <c r="P797" i="2"/>
  <c r="P805" i="2"/>
  <c r="P813" i="2"/>
  <c r="P821" i="2"/>
  <c r="P829" i="2"/>
  <c r="P837" i="2"/>
  <c r="P845" i="2"/>
  <c r="P853" i="2"/>
  <c r="P861" i="2"/>
  <c r="P869" i="2"/>
  <c r="U506" i="2"/>
  <c r="N773" i="2"/>
  <c r="N789" i="2"/>
  <c r="R801" i="2"/>
  <c r="R809" i="2"/>
  <c r="R817" i="2"/>
  <c r="R825" i="2"/>
  <c r="R833" i="2"/>
  <c r="R841" i="2"/>
  <c r="R849" i="2"/>
  <c r="R857" i="2"/>
  <c r="R865" i="2"/>
  <c r="U527" i="2"/>
  <c r="U655" i="2"/>
  <c r="S723" i="2"/>
  <c r="S787" i="2"/>
  <c r="S851" i="2"/>
  <c r="Q526" i="2"/>
  <c r="Q654" i="2"/>
  <c r="T705" i="2"/>
  <c r="T737" i="2"/>
  <c r="T769" i="2"/>
  <c r="T801" i="2"/>
  <c r="T833" i="2"/>
  <c r="T865" i="2"/>
  <c r="U626" i="2"/>
  <c r="U708" i="2"/>
  <c r="U750" i="2"/>
  <c r="U794" i="2"/>
  <c r="U836" i="2"/>
  <c r="R875" i="2"/>
  <c r="S894" i="2"/>
  <c r="S911" i="2"/>
  <c r="S927" i="2"/>
  <c r="S943" i="2"/>
  <c r="S959" i="2"/>
  <c r="S975" i="2"/>
  <c r="U500" i="2"/>
  <c r="U628" i="2"/>
  <c r="Q699" i="2"/>
  <c r="Q731" i="2"/>
  <c r="Q763" i="2"/>
  <c r="Q795" i="2"/>
  <c r="Q827" i="2"/>
  <c r="Q859" i="2"/>
  <c r="T879" i="2"/>
  <c r="P888" i="2"/>
  <c r="P896" i="2"/>
  <c r="P904" i="2"/>
  <c r="P912" i="2"/>
  <c r="P920" i="2"/>
  <c r="P928" i="2"/>
  <c r="P936" i="2"/>
  <c r="P944" i="2"/>
  <c r="P952" i="2"/>
  <c r="P960" i="2"/>
  <c r="P968" i="2"/>
  <c r="P976" i="2"/>
  <c r="P984" i="2"/>
  <c r="P992" i="2"/>
  <c r="U582" i="2"/>
  <c r="T687" i="2"/>
  <c r="U719" i="2"/>
  <c r="U751" i="2"/>
  <c r="U783" i="2"/>
  <c r="U815" i="2"/>
  <c r="U847" i="2"/>
  <c r="U875" i="2"/>
  <c r="Q885" i="2"/>
  <c r="Q893" i="2"/>
  <c r="Q901" i="2"/>
  <c r="Q909" i="2"/>
  <c r="Q917" i="2"/>
  <c r="Q925" i="2"/>
  <c r="Q933" i="2"/>
  <c r="Q941" i="2"/>
  <c r="Q949" i="2"/>
  <c r="Q957" i="2"/>
  <c r="Q965" i="2"/>
  <c r="Q973" i="2"/>
  <c r="Q981" i="2"/>
  <c r="U472" i="2"/>
  <c r="U600" i="2"/>
  <c r="Q692" i="2"/>
  <c r="Q724" i="2"/>
  <c r="Q756" i="2"/>
  <c r="Q788" i="2"/>
  <c r="Q820" i="2"/>
  <c r="Q852" i="2"/>
  <c r="N886" i="2"/>
  <c r="N918" i="2"/>
  <c r="N950" i="2"/>
  <c r="N982" i="2"/>
  <c r="Q995" i="2"/>
  <c r="Q1003" i="2"/>
  <c r="Q1011" i="2"/>
  <c r="Q1019" i="2"/>
  <c r="Q1027" i="2"/>
  <c r="Q1035" i="2"/>
  <c r="Q1043" i="2"/>
  <c r="Q1051" i="2"/>
  <c r="Q1059" i="2"/>
  <c r="Q1067" i="2"/>
  <c r="Q1075" i="2"/>
  <c r="Q1083" i="2"/>
  <c r="Q1091" i="2"/>
  <c r="Q1099" i="2"/>
  <c r="U471" i="2"/>
  <c r="U599" i="2"/>
  <c r="S695" i="2"/>
  <c r="S759" i="2"/>
  <c r="S823" i="2"/>
  <c r="R467" i="2"/>
  <c r="Q598" i="2"/>
  <c r="T691" i="2"/>
  <c r="T723" i="2"/>
  <c r="T755" i="2"/>
  <c r="T787" i="2"/>
  <c r="T819" i="2"/>
  <c r="T851" i="2"/>
  <c r="U546" i="2"/>
  <c r="U690" i="2"/>
  <c r="U732" i="2"/>
  <c r="U774" i="2"/>
  <c r="U818" i="2"/>
  <c r="U860" i="2"/>
  <c r="S884" i="2"/>
  <c r="S904" i="2"/>
  <c r="S920" i="2"/>
  <c r="S936" i="2"/>
  <c r="S952" i="2"/>
  <c r="S968" i="2"/>
  <c r="S984" i="2"/>
  <c r="U572" i="2"/>
  <c r="Q684" i="2"/>
  <c r="Q717" i="2"/>
  <c r="Q749" i="2"/>
  <c r="Q781" i="2"/>
  <c r="Q813" i="2"/>
  <c r="Q845" i="2"/>
  <c r="N875" i="2"/>
  <c r="T884" i="2"/>
  <c r="T892" i="2"/>
  <c r="T900" i="2"/>
  <c r="T908" i="2"/>
  <c r="T916" i="2"/>
  <c r="T924" i="2"/>
  <c r="T932" i="2"/>
  <c r="T940" i="2"/>
  <c r="T948" i="2"/>
  <c r="T956" i="2"/>
  <c r="T964" i="2"/>
  <c r="T972" i="2"/>
  <c r="T980" i="2"/>
  <c r="T988" i="2"/>
  <c r="U526" i="2"/>
  <c r="U654" i="2"/>
  <c r="U705" i="2"/>
  <c r="U737" i="2"/>
  <c r="U769" i="2"/>
  <c r="U801" i="2"/>
  <c r="U833" i="2"/>
  <c r="U865" i="2"/>
  <c r="U881" i="2"/>
  <c r="Q570" i="2"/>
  <c r="Q602" i="2"/>
  <c r="Q634" i="2"/>
  <c r="Q666" i="2"/>
  <c r="R683" i="2"/>
  <c r="T692" i="2"/>
  <c r="T700" i="2"/>
  <c r="T708" i="2"/>
  <c r="T716" i="2"/>
  <c r="T724" i="2"/>
  <c r="T732" i="2"/>
  <c r="T740" i="2"/>
  <c r="T748" i="2"/>
  <c r="T756" i="2"/>
  <c r="T764" i="2"/>
  <c r="T772" i="2"/>
  <c r="T780" i="2"/>
  <c r="T788" i="2"/>
  <c r="T796" i="2"/>
  <c r="T804" i="2"/>
  <c r="T812" i="2"/>
  <c r="T820" i="2"/>
  <c r="T828" i="2"/>
  <c r="T836" i="2"/>
  <c r="T844" i="2"/>
  <c r="T852" i="2"/>
  <c r="T860" i="2"/>
  <c r="T868" i="2"/>
  <c r="U498" i="2"/>
  <c r="N772" i="2"/>
  <c r="N788" i="2"/>
  <c r="N801" i="2"/>
  <c r="N809" i="2"/>
  <c r="N817" i="2"/>
  <c r="N825" i="2"/>
  <c r="N833" i="2"/>
  <c r="N841" i="2"/>
  <c r="N849" i="2"/>
  <c r="N857" i="2"/>
  <c r="N865" i="2"/>
  <c r="N873" i="2"/>
  <c r="U485" i="2"/>
  <c r="U517" i="2"/>
  <c r="U549" i="2"/>
  <c r="U581" i="2"/>
  <c r="U613" i="2"/>
  <c r="U645" i="2"/>
  <c r="U674" i="2"/>
  <c r="Q687" i="2"/>
  <c r="S702" i="2"/>
  <c r="S718" i="2"/>
  <c r="S734" i="2"/>
  <c r="S750" i="2"/>
  <c r="S766" i="2"/>
  <c r="S782" i="2"/>
  <c r="S798" i="2"/>
  <c r="S814" i="2"/>
  <c r="S830" i="2"/>
  <c r="S846" i="2"/>
  <c r="S862" i="2"/>
  <c r="S878" i="2"/>
  <c r="Q484" i="2"/>
  <c r="Q516" i="2"/>
  <c r="Q548" i="2"/>
  <c r="Q580" i="2"/>
  <c r="Q612" i="2"/>
  <c r="Q644" i="2"/>
  <c r="N674" i="2"/>
  <c r="U686" i="2"/>
  <c r="P695" i="2"/>
  <c r="P703" i="2"/>
  <c r="P711" i="2"/>
  <c r="P719" i="2"/>
  <c r="P727" i="2"/>
  <c r="P735" i="2"/>
  <c r="P743" i="2"/>
  <c r="P751" i="2"/>
  <c r="P759" i="2"/>
  <c r="P767" i="2"/>
  <c r="P775" i="2"/>
  <c r="P783" i="2"/>
  <c r="P791" i="2"/>
  <c r="P799" i="2"/>
  <c r="P807" i="2"/>
  <c r="P815" i="2"/>
  <c r="P823" i="2"/>
  <c r="P831" i="2"/>
  <c r="P839" i="2"/>
  <c r="P847" i="2"/>
  <c r="P855" i="2"/>
  <c r="P863" i="2"/>
  <c r="P871" i="2"/>
  <c r="N758" i="2"/>
  <c r="N777" i="2"/>
  <c r="N793" i="2"/>
  <c r="R803" i="2"/>
  <c r="R811" i="2"/>
  <c r="R819" i="2"/>
  <c r="R827" i="2"/>
  <c r="R835" i="2"/>
  <c r="R843" i="2"/>
  <c r="R851" i="2"/>
  <c r="R859" i="2"/>
  <c r="R867" i="2"/>
  <c r="U559" i="2"/>
  <c r="U679" i="2"/>
  <c r="S739" i="2"/>
  <c r="S803" i="2"/>
  <c r="S867" i="2"/>
  <c r="Q558" i="2"/>
  <c r="N679" i="2"/>
  <c r="T713" i="2"/>
  <c r="T745" i="2"/>
  <c r="T777" i="2"/>
  <c r="T809" i="2"/>
  <c r="T841" i="2"/>
  <c r="T873" i="2"/>
  <c r="U666" i="2"/>
  <c r="U718" i="2"/>
  <c r="U762" i="2"/>
  <c r="U804" i="2"/>
  <c r="U846" i="2"/>
  <c r="R879" i="2"/>
  <c r="S899" i="2"/>
  <c r="S915" i="2"/>
  <c r="S931" i="2"/>
  <c r="S947" i="2"/>
  <c r="S963" i="2"/>
  <c r="S979" i="2"/>
  <c r="U532" i="2"/>
  <c r="U660" i="2"/>
  <c r="Q707" i="2"/>
  <c r="Q739" i="2"/>
  <c r="Q771" i="2"/>
  <c r="Q803" i="2"/>
  <c r="Q835" i="2"/>
  <c r="Q867" i="2"/>
  <c r="P882" i="2"/>
  <c r="P890" i="2"/>
  <c r="P898" i="2"/>
  <c r="P906" i="2"/>
  <c r="P914" i="2"/>
  <c r="P922" i="2"/>
  <c r="P930" i="2"/>
  <c r="P938" i="2"/>
  <c r="P946" i="2"/>
  <c r="P954" i="2"/>
  <c r="P962" i="2"/>
  <c r="P970" i="2"/>
  <c r="P978" i="2"/>
  <c r="P986" i="2"/>
  <c r="U486" i="2"/>
  <c r="U614" i="2"/>
  <c r="U695" i="2"/>
  <c r="U727" i="2"/>
  <c r="U759" i="2"/>
  <c r="U791" i="2"/>
  <c r="U823" i="2"/>
  <c r="U855" i="2"/>
  <c r="R878" i="2"/>
  <c r="Q887" i="2"/>
  <c r="Q895" i="2"/>
  <c r="Q903" i="2"/>
  <c r="Q911" i="2"/>
  <c r="Q919" i="2"/>
  <c r="Q927" i="2"/>
  <c r="Q935" i="2"/>
  <c r="Q943" i="2"/>
  <c r="Q951" i="2"/>
  <c r="Q959" i="2"/>
  <c r="Q967" i="2"/>
  <c r="Q975" i="2"/>
  <c r="Q983" i="2"/>
  <c r="U504" i="2"/>
  <c r="U632" i="2"/>
  <c r="Q700" i="2"/>
  <c r="Q732" i="2"/>
  <c r="Q764" i="2"/>
  <c r="Q796" i="2"/>
  <c r="Q828" i="2"/>
  <c r="Q860" i="2"/>
  <c r="N894" i="2"/>
  <c r="N926" i="2"/>
  <c r="N958" i="2"/>
  <c r="Q988" i="2"/>
  <c r="Q997" i="2"/>
  <c r="Q1005" i="2"/>
  <c r="Q1013" i="2"/>
  <c r="Q1021" i="2"/>
  <c r="Q1029" i="2"/>
  <c r="Q1037" i="2"/>
  <c r="Q1045" i="2"/>
  <c r="Q1053" i="2"/>
  <c r="Q1061" i="2"/>
  <c r="Q1069" i="2"/>
  <c r="Q1077" i="2"/>
  <c r="Q1085" i="2"/>
  <c r="Q1093" i="2"/>
  <c r="Q1101" i="2"/>
  <c r="U503" i="2"/>
  <c r="U631" i="2"/>
  <c r="S711" i="2"/>
  <c r="S775" i="2"/>
  <c r="S839" i="2"/>
  <c r="Q502" i="2"/>
  <c r="Q630" i="2"/>
  <c r="T699" i="2"/>
  <c r="T731" i="2"/>
  <c r="T763" i="2"/>
  <c r="T795" i="2"/>
  <c r="T827" i="2"/>
  <c r="T859" i="2"/>
  <c r="U594" i="2"/>
  <c r="U700" i="2"/>
  <c r="U742" i="2"/>
  <c r="U786" i="2"/>
  <c r="U828" i="2"/>
  <c r="U870" i="2"/>
  <c r="S890" i="2"/>
  <c r="S908" i="2"/>
  <c r="S924" i="2"/>
  <c r="S940" i="2"/>
  <c r="S956" i="2"/>
  <c r="S972" i="2"/>
  <c r="U476" i="2"/>
  <c r="U604" i="2"/>
  <c r="Q693" i="2"/>
  <c r="Q725" i="2"/>
  <c r="Q757" i="2"/>
  <c r="Q789" i="2"/>
  <c r="Q821" i="2"/>
  <c r="Q853" i="2"/>
  <c r="T877" i="2"/>
  <c r="T886" i="2"/>
  <c r="T894" i="2"/>
  <c r="T902" i="2"/>
  <c r="T910" i="2"/>
  <c r="T918" i="2"/>
  <c r="T926" i="2"/>
  <c r="T934" i="2"/>
  <c r="T942" i="2"/>
  <c r="T950" i="2"/>
  <c r="T958" i="2"/>
  <c r="T966" i="2"/>
  <c r="T974" i="2"/>
  <c r="T982" i="2"/>
  <c r="T990" i="2"/>
  <c r="U558" i="2"/>
  <c r="Q679" i="2"/>
  <c r="U713" i="2"/>
  <c r="U745" i="2"/>
  <c r="U777" i="2"/>
  <c r="U809" i="2"/>
  <c r="U841" i="2"/>
  <c r="U873" i="2"/>
  <c r="Q578" i="2"/>
  <c r="Q610" i="2"/>
  <c r="Q642" i="2"/>
  <c r="N673" i="2"/>
  <c r="P686" i="2"/>
  <c r="T694" i="2"/>
  <c r="T702" i="2"/>
  <c r="T710" i="2"/>
  <c r="T718" i="2"/>
  <c r="T726" i="2"/>
  <c r="T734" i="2"/>
  <c r="T742" i="2"/>
  <c r="T750" i="2"/>
  <c r="T758" i="2"/>
  <c r="T766" i="2"/>
  <c r="T774" i="2"/>
  <c r="T782" i="2"/>
  <c r="T790" i="2"/>
  <c r="T798" i="2"/>
  <c r="T806" i="2"/>
  <c r="T814" i="2"/>
  <c r="T822" i="2"/>
  <c r="T830" i="2"/>
  <c r="T838" i="2"/>
  <c r="T846" i="2"/>
  <c r="T854" i="2"/>
  <c r="T862" i="2"/>
  <c r="T870" i="2"/>
  <c r="N756" i="2"/>
  <c r="N776" i="2"/>
  <c r="N792" i="2"/>
  <c r="N803" i="2"/>
  <c r="N811" i="2"/>
  <c r="N819" i="2"/>
  <c r="N827" i="2"/>
  <c r="N835" i="2"/>
  <c r="N843" i="2"/>
  <c r="N851" i="2"/>
  <c r="N859" i="2"/>
  <c r="N867" i="2"/>
  <c r="S317" i="2"/>
  <c r="U493" i="2"/>
  <c r="U525" i="2"/>
  <c r="U557" i="2"/>
  <c r="U589" i="2"/>
  <c r="U621" i="2"/>
  <c r="U653" i="2"/>
  <c r="U678" i="2"/>
  <c r="S690" i="2"/>
  <c r="S706" i="2"/>
  <c r="S722" i="2"/>
  <c r="S738" i="2"/>
  <c r="S754" i="2"/>
  <c r="S770" i="2"/>
  <c r="S786" i="2"/>
  <c r="S802" i="2"/>
  <c r="S818" i="2"/>
  <c r="S834" i="2"/>
  <c r="S850" i="2"/>
  <c r="S866" i="2"/>
  <c r="R240" i="2"/>
  <c r="Q492" i="2"/>
  <c r="Q524" i="2"/>
  <c r="Q556" i="2"/>
  <c r="Q588" i="2"/>
  <c r="Q620" i="2"/>
  <c r="Q652" i="2"/>
  <c r="N678" i="2"/>
  <c r="P689" i="2"/>
  <c r="P697" i="2"/>
  <c r="P705" i="2"/>
  <c r="P713" i="2"/>
  <c r="P721" i="2"/>
  <c r="P729" i="2"/>
  <c r="P737" i="2"/>
  <c r="P745" i="2"/>
  <c r="P753" i="2"/>
  <c r="P761" i="2"/>
  <c r="P769" i="2"/>
  <c r="P777" i="2"/>
  <c r="P785" i="2"/>
  <c r="P793" i="2"/>
  <c r="P801" i="2"/>
  <c r="P809" i="2"/>
  <c r="P817" i="2"/>
  <c r="P825" i="2"/>
  <c r="P833" i="2"/>
  <c r="P841" i="2"/>
  <c r="P849" i="2"/>
  <c r="P857" i="2"/>
  <c r="P865" i="2"/>
  <c r="P873" i="2"/>
  <c r="N765" i="2"/>
  <c r="N781" i="2"/>
  <c r="N797" i="2"/>
  <c r="R805" i="2"/>
  <c r="R813" i="2"/>
  <c r="R821" i="2"/>
  <c r="R829" i="2"/>
  <c r="R837" i="2"/>
  <c r="R845" i="2"/>
  <c r="R853" i="2"/>
  <c r="R861" i="2"/>
  <c r="S349" i="2"/>
  <c r="U591" i="2"/>
  <c r="S691" i="2"/>
  <c r="S755" i="2"/>
  <c r="S819" i="2"/>
  <c r="S293" i="2"/>
  <c r="Q590" i="2"/>
  <c r="T689" i="2"/>
  <c r="T721" i="2"/>
  <c r="T753" i="2"/>
  <c r="T785" i="2"/>
  <c r="T817" i="2"/>
  <c r="T849" i="2"/>
  <c r="U538" i="2"/>
  <c r="Q686" i="2"/>
  <c r="U730" i="2"/>
  <c r="U772" i="2"/>
  <c r="U814" i="2"/>
  <c r="U858" i="2"/>
  <c r="S883" i="2"/>
  <c r="S903" i="2"/>
  <c r="S919" i="2"/>
  <c r="S935" i="2"/>
  <c r="S951" i="2"/>
  <c r="S967" i="2"/>
  <c r="S983" i="2"/>
  <c r="U564" i="2"/>
  <c r="T681" i="2"/>
  <c r="Q715" i="2"/>
  <c r="Q747" i="2"/>
  <c r="Q779" i="2"/>
  <c r="Q811" i="2"/>
  <c r="Q843" i="2"/>
  <c r="Q874" i="2"/>
  <c r="P884" i="2"/>
  <c r="P892" i="2"/>
  <c r="P900" i="2"/>
  <c r="P908" i="2"/>
  <c r="P916" i="2"/>
  <c r="P924" i="2"/>
  <c r="P932" i="2"/>
  <c r="P940" i="2"/>
  <c r="P948" i="2"/>
  <c r="P956" i="2"/>
  <c r="P964" i="2"/>
  <c r="P972" i="2"/>
  <c r="P980" i="2"/>
  <c r="P988" i="2"/>
  <c r="U518" i="2"/>
  <c r="U646" i="2"/>
  <c r="U703" i="2"/>
  <c r="U735" i="2"/>
  <c r="U767" i="2"/>
  <c r="U799" i="2"/>
  <c r="U831" i="2"/>
  <c r="U863" i="2"/>
  <c r="P881" i="2"/>
  <c r="Q889" i="2"/>
  <c r="Q897" i="2"/>
  <c r="Q905" i="2"/>
  <c r="Q913" i="2"/>
  <c r="Q921" i="2"/>
  <c r="Q929" i="2"/>
  <c r="Q937" i="2"/>
  <c r="Q945" i="2"/>
  <c r="Q953" i="2"/>
  <c r="Q961" i="2"/>
  <c r="Q969" i="2"/>
  <c r="Q977" i="2"/>
  <c r="Q985" i="2"/>
  <c r="U536" i="2"/>
  <c r="U664" i="2"/>
  <c r="Q708" i="2"/>
  <c r="Q740" i="2"/>
  <c r="Q772" i="2"/>
  <c r="Q804" i="2"/>
  <c r="Q836" i="2"/>
  <c r="Q868" i="2"/>
  <c r="N902" i="2"/>
  <c r="N934" i="2"/>
  <c r="N966" i="2"/>
  <c r="N991" i="2"/>
  <c r="Q999" i="2"/>
  <c r="Q1007" i="2"/>
  <c r="Q1015" i="2"/>
  <c r="Q1023" i="2"/>
  <c r="Q1031" i="2"/>
  <c r="Q1039" i="2"/>
  <c r="Q1047" i="2"/>
  <c r="Q1055" i="2"/>
  <c r="Q1063" i="2"/>
  <c r="Q1071" i="2"/>
  <c r="Q1079" i="2"/>
  <c r="Q1087" i="2"/>
  <c r="Q1095" i="2"/>
  <c r="Q1103" i="2"/>
  <c r="U535" i="2"/>
  <c r="U663" i="2"/>
  <c r="S727" i="2"/>
  <c r="S791" i="2"/>
  <c r="S855" i="2"/>
  <c r="Q534" i="2"/>
  <c r="Q662" i="2"/>
  <c r="T707" i="2"/>
  <c r="T739" i="2"/>
  <c r="T771" i="2"/>
  <c r="T803" i="2"/>
  <c r="T835" i="2"/>
  <c r="T867" i="2"/>
  <c r="U634" i="2"/>
  <c r="U710" i="2"/>
  <c r="U754" i="2"/>
  <c r="U796" i="2"/>
  <c r="U838" i="2"/>
  <c r="U876" i="2"/>
  <c r="S895" i="2"/>
  <c r="S912" i="2"/>
  <c r="S928" i="2"/>
  <c r="S944" i="2"/>
  <c r="S960" i="2"/>
  <c r="S976" i="2"/>
  <c r="U508" i="2"/>
  <c r="U636" i="2"/>
  <c r="Q701" i="2"/>
  <c r="Q733" i="2"/>
  <c r="Q765" i="2"/>
  <c r="Q797" i="2"/>
  <c r="Q829" i="2"/>
  <c r="Q861" i="2"/>
  <c r="Q880" i="2"/>
  <c r="T888" i="2"/>
  <c r="T896" i="2"/>
  <c r="T904" i="2"/>
  <c r="T912" i="2"/>
  <c r="T920" i="2"/>
  <c r="T928" i="2"/>
  <c r="T936" i="2"/>
  <c r="T944" i="2"/>
  <c r="T952" i="2"/>
  <c r="T960" i="2"/>
  <c r="T968" i="2"/>
  <c r="T976" i="2"/>
  <c r="T984" i="2"/>
  <c r="S333" i="2"/>
  <c r="U590" i="2"/>
  <c r="U689" i="2"/>
  <c r="U721" i="2"/>
  <c r="U753" i="2"/>
  <c r="U785" i="2"/>
  <c r="U817" i="2"/>
  <c r="U849" i="2"/>
  <c r="R876" i="2"/>
  <c r="Q586" i="2"/>
  <c r="Q618" i="2"/>
  <c r="Q650" i="2"/>
  <c r="N677" i="2"/>
  <c r="T688" i="2"/>
  <c r="T696" i="2"/>
  <c r="T704" i="2"/>
  <c r="T712" i="2"/>
  <c r="T720" i="2"/>
  <c r="T728" i="2"/>
  <c r="T736" i="2"/>
  <c r="T744" i="2"/>
  <c r="T752" i="2"/>
  <c r="T760" i="2"/>
  <c r="T768" i="2"/>
  <c r="T776" i="2"/>
  <c r="T784" i="2"/>
  <c r="T792" i="2"/>
  <c r="T800" i="2"/>
  <c r="T808" i="2"/>
  <c r="T816" i="2"/>
  <c r="T824" i="2"/>
  <c r="T832" i="2"/>
  <c r="T840" i="2"/>
  <c r="T848" i="2"/>
  <c r="T856" i="2"/>
  <c r="T864" i="2"/>
  <c r="T872" i="2"/>
  <c r="N764" i="2"/>
  <c r="N780" i="2"/>
  <c r="N796" i="2"/>
  <c r="N805" i="2"/>
  <c r="N813" i="2"/>
  <c r="N821" i="2"/>
  <c r="N829" i="2"/>
  <c r="N837" i="2"/>
  <c r="N845" i="2"/>
  <c r="N853" i="2"/>
  <c r="N861" i="2"/>
  <c r="N869" i="2"/>
  <c r="R469" i="2"/>
  <c r="U501" i="2"/>
  <c r="U533" i="2"/>
  <c r="U565" i="2"/>
  <c r="U597" i="2"/>
  <c r="U629" i="2"/>
  <c r="U661" i="2"/>
  <c r="N682" i="2"/>
  <c r="S694" i="2"/>
  <c r="S710" i="2"/>
  <c r="S726" i="2"/>
  <c r="S742" i="2"/>
  <c r="S758" i="2"/>
  <c r="S774" i="2"/>
  <c r="S790" i="2"/>
  <c r="S806" i="2"/>
  <c r="S822" i="2"/>
  <c r="S838" i="2"/>
  <c r="S854" i="2"/>
  <c r="S870" i="2"/>
  <c r="T464" i="2"/>
  <c r="Q500" i="2"/>
  <c r="Q532" i="2"/>
  <c r="Q564" i="2"/>
  <c r="Q596" i="2"/>
  <c r="Q628" i="2"/>
  <c r="Q660" i="2"/>
  <c r="R681" i="2"/>
  <c r="P691" i="2"/>
  <c r="P699" i="2"/>
  <c r="P707" i="2"/>
  <c r="P715" i="2"/>
  <c r="P723" i="2"/>
  <c r="P731" i="2"/>
  <c r="P739" i="2"/>
  <c r="P747" i="2"/>
  <c r="P755" i="2"/>
  <c r="P763" i="2"/>
  <c r="P771" i="2"/>
  <c r="P779" i="2"/>
  <c r="P787" i="2"/>
  <c r="P795" i="2"/>
  <c r="P803" i="2"/>
  <c r="P811" i="2"/>
  <c r="P819" i="2"/>
  <c r="P827" i="2"/>
  <c r="P835" i="2"/>
  <c r="P843" i="2"/>
  <c r="P851" i="2"/>
  <c r="P859" i="2"/>
  <c r="P867" i="2"/>
  <c r="U474" i="2"/>
  <c r="N769" i="2"/>
  <c r="N785" i="2"/>
  <c r="R799" i="2"/>
  <c r="R807" i="2"/>
  <c r="R815" i="2"/>
  <c r="R823" i="2"/>
  <c r="R831" i="2"/>
  <c r="R839" i="2"/>
  <c r="R847" i="2"/>
  <c r="R855" i="2"/>
  <c r="R863" i="2"/>
  <c r="U495" i="2"/>
  <c r="U623" i="2"/>
  <c r="S707" i="2"/>
  <c r="S771" i="2"/>
  <c r="S835" i="2"/>
  <c r="Q494" i="2"/>
  <c r="Q622" i="2"/>
  <c r="T697" i="2"/>
  <c r="T729" i="2"/>
  <c r="T761" i="2"/>
  <c r="T793" i="2"/>
  <c r="T825" i="2"/>
  <c r="T857" i="2"/>
  <c r="U578" i="2"/>
  <c r="U698" i="2"/>
  <c r="U740" i="2"/>
  <c r="U782" i="2"/>
  <c r="U826" i="2"/>
  <c r="U868" i="2"/>
  <c r="S888" i="2"/>
  <c r="S907" i="2"/>
  <c r="S923" i="2"/>
  <c r="S939" i="2"/>
  <c r="S955" i="2"/>
  <c r="S971" i="2"/>
  <c r="S301" i="2"/>
  <c r="U596" i="2"/>
  <c r="Q691" i="2"/>
  <c r="Q723" i="2"/>
  <c r="Q755" i="2"/>
  <c r="Q787" i="2"/>
  <c r="Q819" i="2"/>
  <c r="Q851" i="2"/>
  <c r="N877" i="2"/>
  <c r="P886" i="2"/>
  <c r="P894" i="2"/>
  <c r="P902" i="2"/>
  <c r="P910" i="2"/>
  <c r="P918" i="2"/>
  <c r="P926" i="2"/>
  <c r="P934" i="2"/>
  <c r="P942" i="2"/>
  <c r="P950" i="2"/>
  <c r="P958" i="2"/>
  <c r="P966" i="2"/>
  <c r="P974" i="2"/>
  <c r="P982" i="2"/>
  <c r="P990" i="2"/>
  <c r="U550" i="2"/>
  <c r="Q675" i="2"/>
  <c r="U711" i="2"/>
  <c r="U743" i="2"/>
  <c r="U775" i="2"/>
  <c r="U807" i="2"/>
  <c r="U839" i="2"/>
  <c r="U871" i="2"/>
  <c r="Q883" i="2"/>
  <c r="Q891" i="2"/>
  <c r="Q899" i="2"/>
  <c r="Q907" i="2"/>
  <c r="Q915" i="2"/>
  <c r="Q923" i="2"/>
  <c r="Q931" i="2"/>
  <c r="Q939" i="2"/>
  <c r="Q947" i="2"/>
  <c r="Q955" i="2"/>
  <c r="Q963" i="2"/>
  <c r="Q971" i="2"/>
  <c r="Q979" i="2"/>
  <c r="Q987" i="2"/>
  <c r="U568" i="2"/>
  <c r="N683" i="2"/>
  <c r="Q716" i="2"/>
  <c r="Q748" i="2"/>
  <c r="Q780" i="2"/>
  <c r="Q812" i="2"/>
  <c r="Q844" i="2"/>
  <c r="T876" i="2"/>
  <c r="N910" i="2"/>
  <c r="N942" i="2"/>
  <c r="N974" i="2"/>
  <c r="Q993" i="2"/>
  <c r="Q1001" i="2"/>
  <c r="Q1009" i="2"/>
  <c r="Q1017" i="2"/>
  <c r="Q1025" i="2"/>
  <c r="Q1033" i="2"/>
  <c r="Q1041" i="2"/>
  <c r="Q1049" i="2"/>
  <c r="Q1057" i="2"/>
  <c r="Q1065" i="2"/>
  <c r="Q1073" i="2"/>
  <c r="Q1081" i="2"/>
  <c r="Q1089" i="2"/>
  <c r="Q1097" i="2"/>
  <c r="R869" i="2"/>
  <c r="U567" i="2"/>
  <c r="T682" i="2"/>
  <c r="S743" i="2"/>
  <c r="S807" i="2"/>
  <c r="S871" i="2"/>
  <c r="Q566" i="2"/>
  <c r="P682" i="2"/>
  <c r="T715" i="2"/>
  <c r="T747" i="2"/>
  <c r="T779" i="2"/>
  <c r="T811" i="2"/>
  <c r="T843" i="2"/>
  <c r="U482" i="2"/>
  <c r="Q673" i="2"/>
  <c r="U722" i="2"/>
  <c r="U764" i="2"/>
  <c r="U806" i="2"/>
  <c r="U850" i="2"/>
  <c r="P880" i="2"/>
  <c r="S900" i="2"/>
  <c r="S916" i="2"/>
  <c r="S932" i="2"/>
  <c r="S948" i="2"/>
  <c r="S964" i="2"/>
  <c r="S980" i="2"/>
  <c r="U540" i="2"/>
  <c r="U668" i="2"/>
  <c r="Q709" i="2"/>
  <c r="Q741" i="2"/>
  <c r="Q773" i="2"/>
  <c r="Q805" i="2"/>
  <c r="Q837" i="2"/>
  <c r="Q869" i="2"/>
  <c r="T882" i="2"/>
  <c r="T890" i="2"/>
  <c r="T898" i="2"/>
  <c r="T906" i="2"/>
  <c r="T914" i="2"/>
  <c r="T922" i="2"/>
  <c r="T930" i="2"/>
  <c r="T938" i="2"/>
  <c r="T946" i="2"/>
  <c r="T954" i="2"/>
  <c r="T962" i="2"/>
  <c r="T970" i="2"/>
  <c r="T978" i="2"/>
  <c r="T986" i="2"/>
  <c r="U494" i="2"/>
  <c r="U622" i="2"/>
  <c r="U697" i="2"/>
  <c r="U729" i="2"/>
  <c r="U761" i="2"/>
  <c r="U793" i="2"/>
  <c r="U825" i="2"/>
  <c r="U857" i="2"/>
  <c r="P879" i="2"/>
  <c r="U883" i="2"/>
  <c r="U891" i="2"/>
  <c r="U899" i="2"/>
  <c r="U907" i="2"/>
  <c r="U915" i="2"/>
  <c r="U923" i="2"/>
  <c r="U931" i="2"/>
  <c r="U939" i="2"/>
  <c r="U947" i="2"/>
  <c r="U955" i="2"/>
  <c r="U963" i="2"/>
  <c r="U971" i="2"/>
  <c r="U979" i="2"/>
  <c r="U987" i="2"/>
  <c r="U576" i="2"/>
  <c r="T685" i="2"/>
  <c r="Q718" i="2"/>
  <c r="Q750" i="2"/>
  <c r="Q782" i="2"/>
  <c r="Q814" i="2"/>
  <c r="Q846" i="2"/>
  <c r="Q879" i="2"/>
  <c r="N912" i="2"/>
  <c r="N944" i="2"/>
  <c r="N976" i="2"/>
  <c r="U993" i="2"/>
  <c r="U1001" i="2"/>
  <c r="U1009" i="2"/>
  <c r="U1017" i="2"/>
  <c r="U1025" i="2"/>
  <c r="U1033" i="2"/>
  <c r="U1041" i="2"/>
  <c r="U1049" i="2"/>
  <c r="U1057" i="2"/>
  <c r="U1065" i="2"/>
  <c r="U1073" i="2"/>
  <c r="U1081" i="2"/>
  <c r="U1089" i="2"/>
  <c r="U1097" i="2"/>
  <c r="U1105" i="2"/>
  <c r="U1113" i="2"/>
  <c r="U1121" i="2"/>
  <c r="R890" i="2"/>
  <c r="R922" i="2"/>
  <c r="R954" i="2"/>
  <c r="R986" i="2"/>
  <c r="R997" i="2"/>
  <c r="R1005" i="2"/>
  <c r="R1013" i="2"/>
  <c r="R1021" i="2"/>
  <c r="R1029" i="2"/>
  <c r="R1037" i="2"/>
  <c r="R1045" i="2"/>
  <c r="R1053" i="2"/>
  <c r="R1061" i="2"/>
  <c r="R1069" i="2"/>
  <c r="R1077" i="2"/>
  <c r="R1085" i="2"/>
  <c r="R1093" i="2"/>
  <c r="R1101" i="2"/>
  <c r="R1109" i="2"/>
  <c r="R1117" i="2"/>
  <c r="N891" i="2"/>
  <c r="N923" i="2"/>
  <c r="N955" i="2"/>
  <c r="N987" i="2"/>
  <c r="S1000" i="2"/>
  <c r="S1016" i="2"/>
  <c r="S1032" i="2"/>
  <c r="U543" i="2"/>
  <c r="U671" i="2"/>
  <c r="S731" i="2"/>
  <c r="S795" i="2"/>
  <c r="S859" i="2"/>
  <c r="Q542" i="2"/>
  <c r="Q670" i="2"/>
  <c r="T709" i="2"/>
  <c r="T741" i="2"/>
  <c r="T773" i="2"/>
  <c r="T805" i="2"/>
  <c r="T837" i="2"/>
  <c r="T869" i="2"/>
  <c r="U642" i="2"/>
  <c r="U714" i="2"/>
  <c r="U756" i="2"/>
  <c r="U798" i="2"/>
  <c r="U842" i="2"/>
  <c r="R877" i="2"/>
  <c r="S896" i="2"/>
  <c r="S913" i="2"/>
  <c r="S929" i="2"/>
  <c r="S945" i="2"/>
  <c r="S961" i="2"/>
  <c r="S977" i="2"/>
  <c r="U516" i="2"/>
  <c r="U644" i="2"/>
  <c r="Q703" i="2"/>
  <c r="Q735" i="2"/>
  <c r="Q767" i="2"/>
  <c r="Q799" i="2"/>
  <c r="Q831" i="2"/>
  <c r="Q863" i="2"/>
  <c r="N881" i="2"/>
  <c r="P889" i="2"/>
  <c r="P897" i="2"/>
  <c r="P905" i="2"/>
  <c r="P913" i="2"/>
  <c r="P921" i="2"/>
  <c r="P929" i="2"/>
  <c r="P937" i="2"/>
  <c r="P945" i="2"/>
  <c r="P953" i="2"/>
  <c r="P961" i="2"/>
  <c r="P969" i="2"/>
  <c r="P977" i="2"/>
  <c r="P985" i="2"/>
  <c r="T470" i="2"/>
  <c r="U598" i="2"/>
  <c r="U691" i="2"/>
  <c r="U723" i="2"/>
  <c r="U755" i="2"/>
  <c r="U787" i="2"/>
  <c r="U819" i="2"/>
  <c r="U851" i="2"/>
  <c r="P877" i="2"/>
  <c r="Q886" i="2"/>
  <c r="Q894" i="2"/>
  <c r="Q902" i="2"/>
  <c r="Q910" i="2"/>
  <c r="Q918" i="2"/>
  <c r="Q926" i="2"/>
  <c r="Q934" i="2"/>
  <c r="Q942" i="2"/>
  <c r="Q950" i="2"/>
  <c r="Q958" i="2"/>
  <c r="Q966" i="2"/>
  <c r="Q974" i="2"/>
  <c r="Q982" i="2"/>
  <c r="U488" i="2"/>
  <c r="U616" i="2"/>
  <c r="Q696" i="2"/>
  <c r="Q728" i="2"/>
  <c r="Q760" i="2"/>
  <c r="Q792" i="2"/>
  <c r="Q824" i="2"/>
  <c r="Q856" i="2"/>
  <c r="N890" i="2"/>
  <c r="N922" i="2"/>
  <c r="N954" i="2"/>
  <c r="N986" i="2"/>
  <c r="Q996" i="2"/>
  <c r="Q1004" i="2"/>
  <c r="Q1012" i="2"/>
  <c r="Q1020" i="2"/>
  <c r="Q1028" i="2"/>
  <c r="Q1036" i="2"/>
  <c r="Q1044" i="2"/>
  <c r="Q1052" i="2"/>
  <c r="Q1060" i="2"/>
  <c r="Q1068" i="2"/>
  <c r="Q1076" i="2"/>
  <c r="Q1084" i="2"/>
  <c r="Q1092" i="2"/>
  <c r="Q1100" i="2"/>
  <c r="Q1108" i="2"/>
  <c r="Q1116" i="2"/>
  <c r="Q1124" i="2"/>
  <c r="R900" i="2"/>
  <c r="R932" i="2"/>
  <c r="R964" i="2"/>
  <c r="U991" i="2"/>
  <c r="N1000" i="2"/>
  <c r="N1008" i="2"/>
  <c r="N1016" i="2"/>
  <c r="N1024" i="2"/>
  <c r="N1032" i="2"/>
  <c r="N1040" i="2"/>
  <c r="N1048" i="2"/>
  <c r="N1056" i="2"/>
  <c r="N1064" i="2"/>
  <c r="N1072" i="2"/>
  <c r="N1080" i="2"/>
  <c r="N1088" i="2"/>
  <c r="U519" i="2"/>
  <c r="U647" i="2"/>
  <c r="S719" i="2"/>
  <c r="S783" i="2"/>
  <c r="S847" i="2"/>
  <c r="Q518" i="2"/>
  <c r="Q646" i="2"/>
  <c r="T703" i="2"/>
  <c r="T735" i="2"/>
  <c r="T767" i="2"/>
  <c r="T799" i="2"/>
  <c r="T831" i="2"/>
  <c r="T863" i="2"/>
  <c r="U610" i="2"/>
  <c r="U706" i="2"/>
  <c r="U748" i="2"/>
  <c r="U790" i="2"/>
  <c r="U834" i="2"/>
  <c r="U874" i="2"/>
  <c r="S892" i="2"/>
  <c r="S910" i="2"/>
  <c r="S926" i="2"/>
  <c r="S942" i="2"/>
  <c r="S958" i="2"/>
  <c r="S974" i="2"/>
  <c r="U492" i="2"/>
  <c r="U620" i="2"/>
  <c r="Q697" i="2"/>
  <c r="Q729" i="2"/>
  <c r="Q761" i="2"/>
  <c r="Q793" i="2"/>
  <c r="Q825" i="2"/>
  <c r="Q857" i="2"/>
  <c r="N879" i="2"/>
  <c r="T887" i="2"/>
  <c r="T895" i="2"/>
  <c r="T903" i="2"/>
  <c r="T911" i="2"/>
  <c r="T919" i="2"/>
  <c r="T927" i="2"/>
  <c r="T935" i="2"/>
  <c r="T943" i="2"/>
  <c r="T951" i="2"/>
  <c r="T959" i="2"/>
  <c r="T967" i="2"/>
  <c r="T975" i="2"/>
  <c r="T983" i="2"/>
  <c r="T991" i="2"/>
  <c r="U574" i="2"/>
  <c r="N685" i="2"/>
  <c r="U717" i="2"/>
  <c r="U749" i="2"/>
  <c r="U781" i="2"/>
  <c r="U813" i="2"/>
  <c r="U845" i="2"/>
  <c r="P875" i="2"/>
  <c r="U884" i="2"/>
  <c r="U892" i="2"/>
  <c r="U900" i="2"/>
  <c r="U908" i="2"/>
  <c r="U916" i="2"/>
  <c r="U924" i="2"/>
  <c r="U932" i="2"/>
  <c r="U940" i="2"/>
  <c r="U948" i="2"/>
  <c r="U956" i="2"/>
  <c r="U964" i="2"/>
  <c r="U972" i="2"/>
  <c r="U980" i="2"/>
  <c r="T462" i="2"/>
  <c r="U592" i="2"/>
  <c r="Q690" i="2"/>
  <c r="Q722" i="2"/>
  <c r="Q754" i="2"/>
  <c r="Q786" i="2"/>
  <c r="Q818" i="2"/>
  <c r="Q850" i="2"/>
  <c r="N884" i="2"/>
  <c r="N916" i="2"/>
  <c r="N948" i="2"/>
  <c r="N980" i="2"/>
  <c r="U994" i="2"/>
  <c r="U1002" i="2"/>
  <c r="U1010" i="2"/>
  <c r="U1018" i="2"/>
  <c r="U1026" i="2"/>
  <c r="U1034" i="2"/>
  <c r="U1042" i="2"/>
  <c r="U1050" i="2"/>
  <c r="U1058" i="2"/>
  <c r="U1066" i="2"/>
  <c r="U1074" i="2"/>
  <c r="U1082" i="2"/>
  <c r="U1090" i="2"/>
  <c r="U1098" i="2"/>
  <c r="U1106" i="2"/>
  <c r="U1114" i="2"/>
  <c r="U1122" i="2"/>
  <c r="R894" i="2"/>
  <c r="R926" i="2"/>
  <c r="R958" i="2"/>
  <c r="R988" i="2"/>
  <c r="R998" i="2"/>
  <c r="R1006" i="2"/>
  <c r="R1014" i="2"/>
  <c r="R1022" i="2"/>
  <c r="R1030" i="2"/>
  <c r="R1038" i="2"/>
  <c r="R1046" i="2"/>
  <c r="R1054" i="2"/>
  <c r="R1062" i="2"/>
  <c r="R1070" i="2"/>
  <c r="R1078" i="2"/>
  <c r="R1086" i="2"/>
  <c r="R1094" i="2"/>
  <c r="R1102" i="2"/>
  <c r="R1110" i="2"/>
  <c r="R1118" i="2"/>
  <c r="N895" i="2"/>
  <c r="N927" i="2"/>
  <c r="N959" i="2"/>
  <c r="S988" i="2"/>
  <c r="S1002" i="2"/>
  <c r="S1018" i="2"/>
  <c r="S1034" i="2"/>
  <c r="S1050" i="2"/>
  <c r="S1066" i="2"/>
  <c r="S1082" i="2"/>
  <c r="R888" i="2"/>
  <c r="N997" i="2"/>
  <c r="N1029" i="2"/>
  <c r="N1061" i="2"/>
  <c r="N1092" i="2"/>
  <c r="N1108" i="2"/>
  <c r="N885" i="2"/>
  <c r="N949" i="2"/>
  <c r="S997" i="2"/>
  <c r="S1029" i="2"/>
  <c r="S1052" i="2"/>
  <c r="S1073" i="2"/>
  <c r="S1092" i="2"/>
  <c r="S1108" i="2"/>
  <c r="T878" i="2"/>
  <c r="R911" i="2"/>
  <c r="R943" i="2"/>
  <c r="R975" i="2"/>
  <c r="T995" i="2"/>
  <c r="T1003" i="2"/>
  <c r="T1011" i="2"/>
  <c r="T1019" i="2"/>
  <c r="T1027" i="2"/>
  <c r="T1035" i="2"/>
  <c r="T1043" i="2"/>
  <c r="T1051" i="2"/>
  <c r="T1059" i="2"/>
  <c r="T1067" i="2"/>
  <c r="T1075" i="2"/>
  <c r="T1083" i="2"/>
  <c r="T1100" i="2"/>
  <c r="U1126" i="2"/>
  <c r="U1134" i="2"/>
  <c r="U1142" i="2"/>
  <c r="U1150" i="2"/>
  <c r="U1158" i="2"/>
  <c r="U1166" i="2"/>
  <c r="U1174" i="2"/>
  <c r="U1182" i="2"/>
  <c r="U1190" i="2"/>
  <c r="U1198" i="2"/>
  <c r="U1206" i="2"/>
  <c r="U1214" i="2"/>
  <c r="U1222" i="2"/>
  <c r="U1230" i="2"/>
  <c r="U1238" i="2"/>
  <c r="U1246" i="2"/>
  <c r="U1254" i="2"/>
  <c r="U1262" i="2"/>
  <c r="U1270" i="2"/>
  <c r="U1278" i="2"/>
  <c r="U1286" i="2"/>
  <c r="U1294" i="2"/>
  <c r="U1302" i="2"/>
  <c r="U1310" i="2"/>
  <c r="U1318" i="2"/>
  <c r="U1326" i="2"/>
  <c r="U1334" i="2"/>
  <c r="U1342" i="2"/>
  <c r="U1350" i="2"/>
  <c r="U1358" i="2"/>
  <c r="U1366" i="2"/>
  <c r="P1099" i="2"/>
  <c r="P1125" i="2"/>
  <c r="R1133" i="2"/>
  <c r="R1141" i="2"/>
  <c r="R1149" i="2"/>
  <c r="R1157" i="2"/>
  <c r="R1165" i="2"/>
  <c r="R1173" i="2"/>
  <c r="R1181" i="2"/>
  <c r="R1189" i="2"/>
  <c r="R1197" i="2"/>
  <c r="R1205" i="2"/>
  <c r="R1213" i="2"/>
  <c r="R1221" i="2"/>
  <c r="R1229" i="2"/>
  <c r="R1237" i="2"/>
  <c r="R1245" i="2"/>
  <c r="R1253" i="2"/>
  <c r="R1261" i="2"/>
  <c r="R1269" i="2"/>
  <c r="R1277" i="2"/>
  <c r="R1285" i="2"/>
  <c r="R1293" i="2"/>
  <c r="R1301" i="2"/>
  <c r="R1309" i="2"/>
  <c r="R1317" i="2"/>
  <c r="R1325" i="2"/>
  <c r="R1333" i="2"/>
  <c r="R1341" i="2"/>
  <c r="R1349" i="2"/>
  <c r="R1357" i="2"/>
  <c r="R1365" i="2"/>
  <c r="T1091" i="2"/>
  <c r="T1122" i="2"/>
  <c r="S1138" i="2"/>
  <c r="S1154" i="2"/>
  <c r="S1170" i="2"/>
  <c r="S1186" i="2"/>
  <c r="S1202" i="2"/>
  <c r="S1218" i="2"/>
  <c r="S1234" i="2"/>
  <c r="S1250" i="2"/>
  <c r="S1266" i="2"/>
  <c r="S1282" i="2"/>
  <c r="S1298" i="2"/>
  <c r="S1314" i="2"/>
  <c r="S1330" i="2"/>
  <c r="S1346" i="2"/>
  <c r="S1362" i="2"/>
  <c r="P1106" i="2"/>
  <c r="P1127" i="2"/>
  <c r="P1135" i="2"/>
  <c r="P1143" i="2"/>
  <c r="P1151" i="2"/>
  <c r="P1159" i="2"/>
  <c r="P1167" i="2"/>
  <c r="P1175" i="2"/>
  <c r="P1183" i="2"/>
  <c r="P1191" i="2"/>
  <c r="P1199" i="2"/>
  <c r="P1207" i="2"/>
  <c r="P1215" i="2"/>
  <c r="P1223" i="2"/>
  <c r="P1231" i="2"/>
  <c r="P1239" i="2"/>
  <c r="Q1107" i="2"/>
  <c r="R928" i="2"/>
  <c r="N1007" i="2"/>
  <c r="N1039" i="2"/>
  <c r="N1071" i="2"/>
  <c r="N1097" i="2"/>
  <c r="N1113" i="2"/>
  <c r="N905" i="2"/>
  <c r="N969" i="2"/>
  <c r="S1007" i="2"/>
  <c r="S1037" i="2"/>
  <c r="S1059" i="2"/>
  <c r="S1080" i="2"/>
  <c r="S1097" i="2"/>
  <c r="S1113" i="2"/>
  <c r="R889" i="2"/>
  <c r="R921" i="2"/>
  <c r="R953" i="2"/>
  <c r="R985" i="2"/>
  <c r="P998" i="2"/>
  <c r="P1006" i="2"/>
  <c r="P1014" i="2"/>
  <c r="P1022" i="2"/>
  <c r="P1030" i="2"/>
  <c r="P1038" i="2"/>
  <c r="P1046" i="2"/>
  <c r="P1054" i="2"/>
  <c r="P1062" i="2"/>
  <c r="P1070" i="2"/>
  <c r="P1078" i="2"/>
  <c r="P1086" i="2"/>
  <c r="T1110" i="2"/>
  <c r="Q1129" i="2"/>
  <c r="Q1137" i="2"/>
  <c r="Q1145" i="2"/>
  <c r="Q1153" i="2"/>
  <c r="Q1161" i="2"/>
  <c r="Q1169" i="2"/>
  <c r="Q1177" i="2"/>
  <c r="Q1185" i="2"/>
  <c r="Q1193" i="2"/>
  <c r="Q1201" i="2"/>
  <c r="Q1209" i="2"/>
  <c r="Q1217" i="2"/>
  <c r="Q1225" i="2"/>
  <c r="Q1233" i="2"/>
  <c r="U885" i="2"/>
  <c r="U893" i="2"/>
  <c r="U901" i="2"/>
  <c r="U909" i="2"/>
  <c r="U917" i="2"/>
  <c r="U925" i="2"/>
  <c r="U933" i="2"/>
  <c r="U941" i="2"/>
  <c r="U949" i="2"/>
  <c r="U957" i="2"/>
  <c r="U965" i="2"/>
  <c r="U973" i="2"/>
  <c r="U981" i="2"/>
  <c r="U480" i="2"/>
  <c r="U608" i="2"/>
  <c r="Q694" i="2"/>
  <c r="Q726" i="2"/>
  <c r="Q758" i="2"/>
  <c r="Q790" i="2"/>
  <c r="Q822" i="2"/>
  <c r="Q854" i="2"/>
  <c r="N888" i="2"/>
  <c r="N920" i="2"/>
  <c r="N952" i="2"/>
  <c r="N984" i="2"/>
  <c r="U995" i="2"/>
  <c r="U1003" i="2"/>
  <c r="U1011" i="2"/>
  <c r="U1019" i="2"/>
  <c r="U1027" i="2"/>
  <c r="U1035" i="2"/>
  <c r="U1043" i="2"/>
  <c r="U1051" i="2"/>
  <c r="U1059" i="2"/>
  <c r="U1067" i="2"/>
  <c r="U1075" i="2"/>
  <c r="U1083" i="2"/>
  <c r="U1091" i="2"/>
  <c r="U1099" i="2"/>
  <c r="U1107" i="2"/>
  <c r="U1115" i="2"/>
  <c r="U1123" i="2"/>
  <c r="R898" i="2"/>
  <c r="R930" i="2"/>
  <c r="R962" i="2"/>
  <c r="R990" i="2"/>
  <c r="R999" i="2"/>
  <c r="R1007" i="2"/>
  <c r="R1015" i="2"/>
  <c r="R1023" i="2"/>
  <c r="R1031" i="2"/>
  <c r="R1039" i="2"/>
  <c r="R1047" i="2"/>
  <c r="R1055" i="2"/>
  <c r="R1063" i="2"/>
  <c r="R1071" i="2"/>
  <c r="R1079" i="2"/>
  <c r="R1087" i="2"/>
  <c r="R1095" i="2"/>
  <c r="R1103" i="2"/>
  <c r="R1111" i="2"/>
  <c r="R1119" i="2"/>
  <c r="N899" i="2"/>
  <c r="N931" i="2"/>
  <c r="N963" i="2"/>
  <c r="N990" i="2"/>
  <c r="S1004" i="2"/>
  <c r="S1020" i="2"/>
  <c r="R871" i="2"/>
  <c r="U575" i="2"/>
  <c r="Q685" i="2"/>
  <c r="S747" i="2"/>
  <c r="S811" i="2"/>
  <c r="S875" i="2"/>
  <c r="Q574" i="2"/>
  <c r="U684" i="2"/>
  <c r="T717" i="2"/>
  <c r="T749" i="2"/>
  <c r="T781" i="2"/>
  <c r="T813" i="2"/>
  <c r="T845" i="2"/>
  <c r="U514" i="2"/>
  <c r="N681" i="2"/>
  <c r="U724" i="2"/>
  <c r="U766" i="2"/>
  <c r="U810" i="2"/>
  <c r="U852" i="2"/>
  <c r="U880" i="2"/>
  <c r="S901" i="2"/>
  <c r="S917" i="2"/>
  <c r="S933" i="2"/>
  <c r="S949" i="2"/>
  <c r="S965" i="2"/>
  <c r="S981" i="2"/>
  <c r="U548" i="2"/>
  <c r="Q674" i="2"/>
  <c r="Q711" i="2"/>
  <c r="Q743" i="2"/>
  <c r="Q775" i="2"/>
  <c r="Q807" i="2"/>
  <c r="Q839" i="2"/>
  <c r="Q871" i="2"/>
  <c r="P883" i="2"/>
  <c r="P891" i="2"/>
  <c r="P899" i="2"/>
  <c r="P907" i="2"/>
  <c r="P915" i="2"/>
  <c r="P923" i="2"/>
  <c r="P931" i="2"/>
  <c r="P939" i="2"/>
  <c r="P947" i="2"/>
  <c r="P955" i="2"/>
  <c r="P963" i="2"/>
  <c r="P971" i="2"/>
  <c r="P979" i="2"/>
  <c r="P987" i="2"/>
  <c r="U502" i="2"/>
  <c r="U630" i="2"/>
  <c r="U699" i="2"/>
  <c r="U731" i="2"/>
  <c r="U763" i="2"/>
  <c r="U795" i="2"/>
  <c r="U827" i="2"/>
  <c r="U859" i="2"/>
  <c r="U879" i="2"/>
  <c r="Q888" i="2"/>
  <c r="Q896" i="2"/>
  <c r="Q904" i="2"/>
  <c r="Q912" i="2"/>
  <c r="Q920" i="2"/>
  <c r="Q928" i="2"/>
  <c r="Q936" i="2"/>
  <c r="Q944" i="2"/>
  <c r="Q952" i="2"/>
  <c r="Q960" i="2"/>
  <c r="Q968" i="2"/>
  <c r="Q976" i="2"/>
  <c r="Q984" i="2"/>
  <c r="U520" i="2"/>
  <c r="U648" i="2"/>
  <c r="Q704" i="2"/>
  <c r="Q736" i="2"/>
  <c r="Q768" i="2"/>
  <c r="Q800" i="2"/>
  <c r="Q832" i="2"/>
  <c r="Q864" i="2"/>
  <c r="N898" i="2"/>
  <c r="N930" i="2"/>
  <c r="N962" i="2"/>
  <c r="S989" i="2"/>
  <c r="Q998" i="2"/>
  <c r="Q1006" i="2"/>
  <c r="Q1014" i="2"/>
  <c r="Q1022" i="2"/>
  <c r="Q1030" i="2"/>
  <c r="Q1038" i="2"/>
  <c r="Q1046" i="2"/>
  <c r="Q1054" i="2"/>
  <c r="Q1062" i="2"/>
  <c r="Q1070" i="2"/>
  <c r="Q1078" i="2"/>
  <c r="Q1086" i="2"/>
  <c r="Q1094" i="2"/>
  <c r="Q1102" i="2"/>
  <c r="Q1110" i="2"/>
  <c r="Q1118" i="2"/>
  <c r="T874" i="2"/>
  <c r="R908" i="2"/>
  <c r="R940" i="2"/>
  <c r="R972" i="2"/>
  <c r="N994" i="2"/>
  <c r="N1002" i="2"/>
  <c r="N1010" i="2"/>
  <c r="N1018" i="2"/>
  <c r="N1026" i="2"/>
  <c r="N1034" i="2"/>
  <c r="N1042" i="2"/>
  <c r="N1050" i="2"/>
  <c r="N1058" i="2"/>
  <c r="N1066" i="2"/>
  <c r="N1074" i="2"/>
  <c r="N1082" i="2"/>
  <c r="N1090" i="2"/>
  <c r="U551" i="2"/>
  <c r="U675" i="2"/>
  <c r="S735" i="2"/>
  <c r="S799" i="2"/>
  <c r="S863" i="2"/>
  <c r="Q550" i="2"/>
  <c r="N675" i="2"/>
  <c r="T711" i="2"/>
  <c r="T743" i="2"/>
  <c r="T775" i="2"/>
  <c r="T807" i="2"/>
  <c r="T839" i="2"/>
  <c r="T871" i="2"/>
  <c r="U658" i="2"/>
  <c r="U716" i="2"/>
  <c r="U758" i="2"/>
  <c r="U802" i="2"/>
  <c r="U844" i="2"/>
  <c r="P878" i="2"/>
  <c r="S898" i="2"/>
  <c r="S914" i="2"/>
  <c r="S930" i="2"/>
  <c r="S946" i="2"/>
  <c r="S962" i="2"/>
  <c r="S978" i="2"/>
  <c r="U524" i="2"/>
  <c r="U652" i="2"/>
  <c r="Q705" i="2"/>
  <c r="Q737" i="2"/>
  <c r="Q769" i="2"/>
  <c r="Q801" i="2"/>
  <c r="Q833" i="2"/>
  <c r="Q865" i="2"/>
  <c r="T881" i="2"/>
  <c r="T889" i="2"/>
  <c r="T897" i="2"/>
  <c r="T905" i="2"/>
  <c r="T913" i="2"/>
  <c r="T921" i="2"/>
  <c r="T929" i="2"/>
  <c r="T937" i="2"/>
  <c r="T945" i="2"/>
  <c r="T953" i="2"/>
  <c r="T961" i="2"/>
  <c r="T969" i="2"/>
  <c r="T977" i="2"/>
  <c r="T985" i="2"/>
  <c r="U478" i="2"/>
  <c r="U606" i="2"/>
  <c r="U693" i="2"/>
  <c r="U725" i="2"/>
  <c r="U757" i="2"/>
  <c r="U789" i="2"/>
  <c r="U821" i="2"/>
  <c r="U853" i="2"/>
  <c r="U877" i="2"/>
  <c r="U886" i="2"/>
  <c r="U894" i="2"/>
  <c r="U902" i="2"/>
  <c r="U910" i="2"/>
  <c r="U918" i="2"/>
  <c r="U926" i="2"/>
  <c r="U934" i="2"/>
  <c r="U942" i="2"/>
  <c r="U950" i="2"/>
  <c r="U958" i="2"/>
  <c r="U966" i="2"/>
  <c r="U974" i="2"/>
  <c r="U982" i="2"/>
  <c r="U496" i="2"/>
  <c r="U624" i="2"/>
  <c r="Q698" i="2"/>
  <c r="Q730" i="2"/>
  <c r="Q762" i="2"/>
  <c r="Q794" i="2"/>
  <c r="Q826" i="2"/>
  <c r="Q858" i="2"/>
  <c r="N892" i="2"/>
  <c r="N924" i="2"/>
  <c r="N956" i="2"/>
  <c r="R987" i="2"/>
  <c r="U996" i="2"/>
  <c r="U1004" i="2"/>
  <c r="U1012" i="2"/>
  <c r="U1020" i="2"/>
  <c r="U1028" i="2"/>
  <c r="U1036" i="2"/>
  <c r="U1044" i="2"/>
  <c r="U1052" i="2"/>
  <c r="U1060" i="2"/>
  <c r="U1068" i="2"/>
  <c r="U1076" i="2"/>
  <c r="U1084" i="2"/>
  <c r="U1092" i="2"/>
  <c r="U1100" i="2"/>
  <c r="U1108" i="2"/>
  <c r="U1116" i="2"/>
  <c r="U1124" i="2"/>
  <c r="R902" i="2"/>
  <c r="R934" i="2"/>
  <c r="R966" i="2"/>
  <c r="R992" i="2"/>
  <c r="R1000" i="2"/>
  <c r="R1008" i="2"/>
  <c r="R1016" i="2"/>
  <c r="R1024" i="2"/>
  <c r="R1032" i="2"/>
  <c r="R1040" i="2"/>
  <c r="R1048" i="2"/>
  <c r="R1056" i="2"/>
  <c r="R1064" i="2"/>
  <c r="R1072" i="2"/>
  <c r="R1080" i="2"/>
  <c r="R1088" i="2"/>
  <c r="R1096" i="2"/>
  <c r="R1104" i="2"/>
  <c r="R1112" i="2"/>
  <c r="R1120" i="2"/>
  <c r="N903" i="2"/>
  <c r="N935" i="2"/>
  <c r="N967" i="2"/>
  <c r="Q991" i="2"/>
  <c r="S1006" i="2"/>
  <c r="S1022" i="2"/>
  <c r="S1038" i="2"/>
  <c r="S1054" i="2"/>
  <c r="S1070" i="2"/>
  <c r="Q1105" i="2"/>
  <c r="R920" i="2"/>
  <c r="N1005" i="2"/>
  <c r="N1037" i="2"/>
  <c r="N1069" i="2"/>
  <c r="N1096" i="2"/>
  <c r="N1112" i="2"/>
  <c r="N901" i="2"/>
  <c r="N965" i="2"/>
  <c r="S1005" i="2"/>
  <c r="S1036" i="2"/>
  <c r="S1057" i="2"/>
  <c r="S1079" i="2"/>
  <c r="S1096" i="2"/>
  <c r="S1112" i="2"/>
  <c r="R887" i="2"/>
  <c r="R919" i="2"/>
  <c r="R951" i="2"/>
  <c r="R983" i="2"/>
  <c r="T997" i="2"/>
  <c r="T1005" i="2"/>
  <c r="T1013" i="2"/>
  <c r="T1021" i="2"/>
  <c r="T1029" i="2"/>
  <c r="T1037" i="2"/>
  <c r="T1045" i="2"/>
  <c r="T1053" i="2"/>
  <c r="T1061" i="2"/>
  <c r="T1069" i="2"/>
  <c r="T1077" i="2"/>
  <c r="T1085" i="2"/>
  <c r="T1108" i="2"/>
  <c r="U1128" i="2"/>
  <c r="U1136" i="2"/>
  <c r="U1144" i="2"/>
  <c r="U1152" i="2"/>
  <c r="U1160" i="2"/>
  <c r="U1168" i="2"/>
  <c r="U1176" i="2"/>
  <c r="U1184" i="2"/>
  <c r="U1192" i="2"/>
  <c r="U1200" i="2"/>
  <c r="U1208" i="2"/>
  <c r="U1216" i="2"/>
  <c r="U1224" i="2"/>
  <c r="U1232" i="2"/>
  <c r="U1240" i="2"/>
  <c r="U1248" i="2"/>
  <c r="U1256" i="2"/>
  <c r="U1264" i="2"/>
  <c r="U1272" i="2"/>
  <c r="U1280" i="2"/>
  <c r="U1288" i="2"/>
  <c r="U1296" i="2"/>
  <c r="U1304" i="2"/>
  <c r="U1312" i="2"/>
  <c r="U1320" i="2"/>
  <c r="U1328" i="2"/>
  <c r="U1336" i="2"/>
  <c r="U1344" i="2"/>
  <c r="U1352" i="2"/>
  <c r="U1360" i="2"/>
  <c r="U1368" i="2"/>
  <c r="P1107" i="2"/>
  <c r="R1127" i="2"/>
  <c r="R1135" i="2"/>
  <c r="R1143" i="2"/>
  <c r="R1151" i="2"/>
  <c r="R1159" i="2"/>
  <c r="R1167" i="2"/>
  <c r="R1175" i="2"/>
  <c r="R1183" i="2"/>
  <c r="R1191" i="2"/>
  <c r="R1199" i="2"/>
  <c r="R1207" i="2"/>
  <c r="R1215" i="2"/>
  <c r="R1223" i="2"/>
  <c r="R1231" i="2"/>
  <c r="R1239" i="2"/>
  <c r="R1247" i="2"/>
  <c r="R1255" i="2"/>
  <c r="R1263" i="2"/>
  <c r="R1271" i="2"/>
  <c r="R1279" i="2"/>
  <c r="R1287" i="2"/>
  <c r="R1295" i="2"/>
  <c r="R1303" i="2"/>
  <c r="R1311" i="2"/>
  <c r="R1319" i="2"/>
  <c r="R1327" i="2"/>
  <c r="R1335" i="2"/>
  <c r="R1343" i="2"/>
  <c r="R1351" i="2"/>
  <c r="R1359" i="2"/>
  <c r="R1367" i="2"/>
  <c r="T1099" i="2"/>
  <c r="S1126" i="2"/>
  <c r="S1142" i="2"/>
  <c r="S1158" i="2"/>
  <c r="S1174" i="2"/>
  <c r="S1190" i="2"/>
  <c r="S1206" i="2"/>
  <c r="S1222" i="2"/>
  <c r="S1238" i="2"/>
  <c r="S1254" i="2"/>
  <c r="S1270" i="2"/>
  <c r="S1286" i="2"/>
  <c r="S1302" i="2"/>
  <c r="S1318" i="2"/>
  <c r="S1334" i="2"/>
  <c r="S1350" i="2"/>
  <c r="S1366" i="2"/>
  <c r="P1114" i="2"/>
  <c r="P1129" i="2"/>
  <c r="P1137" i="2"/>
  <c r="P1145" i="2"/>
  <c r="P1153" i="2"/>
  <c r="P1161" i="2"/>
  <c r="P1169" i="2"/>
  <c r="P1177" i="2"/>
  <c r="P1185" i="2"/>
  <c r="P1193" i="2"/>
  <c r="P1201" i="2"/>
  <c r="P1209" i="2"/>
  <c r="P1217" i="2"/>
  <c r="P1225" i="2"/>
  <c r="P1233" i="2"/>
  <c r="P1241" i="2"/>
  <c r="Q1115" i="2"/>
  <c r="R960" i="2"/>
  <c r="N1015" i="2"/>
  <c r="N1047" i="2"/>
  <c r="N1079" i="2"/>
  <c r="N1101" i="2"/>
  <c r="N1117" i="2"/>
  <c r="N921" i="2"/>
  <c r="N985" i="2"/>
  <c r="S1015" i="2"/>
  <c r="S1043" i="2"/>
  <c r="S1064" i="2"/>
  <c r="S1085" i="2"/>
  <c r="S1101" i="2"/>
  <c r="S1117" i="2"/>
  <c r="R897" i="2"/>
  <c r="R929" i="2"/>
  <c r="R961" i="2"/>
  <c r="R991" i="2"/>
  <c r="P1000" i="2"/>
  <c r="P1008" i="2"/>
  <c r="P1016" i="2"/>
  <c r="P1024" i="2"/>
  <c r="P1032" i="2"/>
  <c r="P1040" i="2"/>
  <c r="P1048" i="2"/>
  <c r="P1056" i="2"/>
  <c r="P1064" i="2"/>
  <c r="P1072" i="2"/>
  <c r="P1080" i="2"/>
  <c r="P1088" i="2"/>
  <c r="T1118" i="2"/>
  <c r="Q1131" i="2"/>
  <c r="Q1139" i="2"/>
  <c r="Q1147" i="2"/>
  <c r="Q1155" i="2"/>
  <c r="Q1163" i="2"/>
  <c r="Q1171" i="2"/>
  <c r="Q1179" i="2"/>
  <c r="Q1187" i="2"/>
  <c r="Q1195" i="2"/>
  <c r="Q1203" i="2"/>
  <c r="Q1211" i="2"/>
  <c r="Q1219" i="2"/>
  <c r="Q1227" i="2"/>
  <c r="Q1235" i="2"/>
  <c r="U887" i="2"/>
  <c r="U895" i="2"/>
  <c r="U903" i="2"/>
  <c r="U911" i="2"/>
  <c r="U919" i="2"/>
  <c r="U927" i="2"/>
  <c r="U935" i="2"/>
  <c r="U943" i="2"/>
  <c r="U951" i="2"/>
  <c r="U959" i="2"/>
  <c r="U967" i="2"/>
  <c r="U975" i="2"/>
  <c r="U983" i="2"/>
  <c r="U512" i="2"/>
  <c r="U640" i="2"/>
  <c r="Q702" i="2"/>
  <c r="Q734" i="2"/>
  <c r="Q766" i="2"/>
  <c r="Q798" i="2"/>
  <c r="Q830" i="2"/>
  <c r="Q862" i="2"/>
  <c r="N896" i="2"/>
  <c r="N928" i="2"/>
  <c r="N960" i="2"/>
  <c r="N989" i="2"/>
  <c r="U997" i="2"/>
  <c r="U1005" i="2"/>
  <c r="U1013" i="2"/>
  <c r="U1021" i="2"/>
  <c r="U1029" i="2"/>
  <c r="U1037" i="2"/>
  <c r="U1045" i="2"/>
  <c r="U1053" i="2"/>
  <c r="U1061" i="2"/>
  <c r="U1069" i="2"/>
  <c r="U1077" i="2"/>
  <c r="U1085" i="2"/>
  <c r="U1093" i="2"/>
  <c r="U1101" i="2"/>
  <c r="U1109" i="2"/>
  <c r="U1117" i="2"/>
  <c r="U1125" i="2"/>
  <c r="R906" i="2"/>
  <c r="R938" i="2"/>
  <c r="R970" i="2"/>
  <c r="R993" i="2"/>
  <c r="R1001" i="2"/>
  <c r="R1009" i="2"/>
  <c r="R1017" i="2"/>
  <c r="R1025" i="2"/>
  <c r="R1033" i="2"/>
  <c r="R1041" i="2"/>
  <c r="R1049" i="2"/>
  <c r="R1057" i="2"/>
  <c r="R1065" i="2"/>
  <c r="R1073" i="2"/>
  <c r="R1081" i="2"/>
  <c r="R1089" i="2"/>
  <c r="R1097" i="2"/>
  <c r="R1105" i="2"/>
  <c r="R1113" i="2"/>
  <c r="R1121" i="2"/>
  <c r="N907" i="2"/>
  <c r="N939" i="2"/>
  <c r="N971" i="2"/>
  <c r="S992" i="2"/>
  <c r="S1008" i="2"/>
  <c r="S1024" i="2"/>
  <c r="U479" i="2"/>
  <c r="U607" i="2"/>
  <c r="S699" i="2"/>
  <c r="S763" i="2"/>
  <c r="S827" i="2"/>
  <c r="Q478" i="2"/>
  <c r="Q606" i="2"/>
  <c r="T693" i="2"/>
  <c r="T725" i="2"/>
  <c r="T757" i="2"/>
  <c r="T789" i="2"/>
  <c r="T821" i="2"/>
  <c r="T853" i="2"/>
  <c r="U562" i="2"/>
  <c r="U692" i="2"/>
  <c r="U734" i="2"/>
  <c r="U778" i="2"/>
  <c r="U820" i="2"/>
  <c r="U862" i="2"/>
  <c r="S886" i="2"/>
  <c r="S905" i="2"/>
  <c r="S921" i="2"/>
  <c r="S937" i="2"/>
  <c r="S953" i="2"/>
  <c r="S969" i="2"/>
  <c r="S985" i="2"/>
  <c r="U580" i="2"/>
  <c r="N687" i="2"/>
  <c r="Q719" i="2"/>
  <c r="Q751" i="2"/>
  <c r="Q783" i="2"/>
  <c r="Q815" i="2"/>
  <c r="Q847" i="2"/>
  <c r="T875" i="2"/>
  <c r="P885" i="2"/>
  <c r="P893" i="2"/>
  <c r="P901" i="2"/>
  <c r="P909" i="2"/>
  <c r="P917" i="2"/>
  <c r="P925" i="2"/>
  <c r="P933" i="2"/>
  <c r="P941" i="2"/>
  <c r="P949" i="2"/>
  <c r="P957" i="2"/>
  <c r="P965" i="2"/>
  <c r="P973" i="2"/>
  <c r="P981" i="2"/>
  <c r="P989" i="2"/>
  <c r="U534" i="2"/>
  <c r="U662" i="2"/>
  <c r="U707" i="2"/>
  <c r="U739" i="2"/>
  <c r="U771" i="2"/>
  <c r="U803" i="2"/>
  <c r="U835" i="2"/>
  <c r="U867" i="2"/>
  <c r="Q882" i="2"/>
  <c r="Q890" i="2"/>
  <c r="Q898" i="2"/>
  <c r="Q906" i="2"/>
  <c r="Q914" i="2"/>
  <c r="Q922" i="2"/>
  <c r="Q930" i="2"/>
  <c r="Q938" i="2"/>
  <c r="Q946" i="2"/>
  <c r="Q954" i="2"/>
  <c r="Q962" i="2"/>
  <c r="Q970" i="2"/>
  <c r="Q978" i="2"/>
  <c r="Q986" i="2"/>
  <c r="U552" i="2"/>
  <c r="Q676" i="2"/>
  <c r="Q712" i="2"/>
  <c r="Q744" i="2"/>
  <c r="Q776" i="2"/>
  <c r="Q808" i="2"/>
  <c r="Q840" i="2"/>
  <c r="Q872" i="2"/>
  <c r="N906" i="2"/>
  <c r="N938" i="2"/>
  <c r="N970" i="2"/>
  <c r="Q992" i="2"/>
  <c r="Q1000" i="2"/>
  <c r="Q1008" i="2"/>
  <c r="Q1016" i="2"/>
  <c r="Q1024" i="2"/>
  <c r="Q1032" i="2"/>
  <c r="Q1040" i="2"/>
  <c r="Q1048" i="2"/>
  <c r="Q1056" i="2"/>
  <c r="Q1064" i="2"/>
  <c r="Q1072" i="2"/>
  <c r="Q1080" i="2"/>
  <c r="Q1088" i="2"/>
  <c r="Q1096" i="2"/>
  <c r="Q1104" i="2"/>
  <c r="Q1112" i="2"/>
  <c r="Q1120" i="2"/>
  <c r="R884" i="2"/>
  <c r="R916" i="2"/>
  <c r="R948" i="2"/>
  <c r="R980" i="2"/>
  <c r="N996" i="2"/>
  <c r="N1004" i="2"/>
  <c r="N1012" i="2"/>
  <c r="N1020" i="2"/>
  <c r="N1028" i="2"/>
  <c r="N1036" i="2"/>
  <c r="N1044" i="2"/>
  <c r="N1052" i="2"/>
  <c r="N1060" i="2"/>
  <c r="N1068" i="2"/>
  <c r="N1076" i="2"/>
  <c r="N1084" i="2"/>
  <c r="R873" i="2"/>
  <c r="U583" i="2"/>
  <c r="N688" i="2"/>
  <c r="S751" i="2"/>
  <c r="S815" i="2"/>
  <c r="S879" i="2"/>
  <c r="Q582" i="2"/>
  <c r="R687" i="2"/>
  <c r="T719" i="2"/>
  <c r="T751" i="2"/>
  <c r="T783" i="2"/>
  <c r="T815" i="2"/>
  <c r="T847" i="2"/>
  <c r="U530" i="2"/>
  <c r="T683" i="2"/>
  <c r="U726" i="2"/>
  <c r="U770" i="2"/>
  <c r="U812" i="2"/>
  <c r="U854" i="2"/>
  <c r="S882" i="2"/>
  <c r="S902" i="2"/>
  <c r="S918" i="2"/>
  <c r="S934" i="2"/>
  <c r="S950" i="2"/>
  <c r="S966" i="2"/>
  <c r="S982" i="2"/>
  <c r="U556" i="2"/>
  <c r="Q678" i="2"/>
  <c r="Q713" i="2"/>
  <c r="Q745" i="2"/>
  <c r="Q777" i="2"/>
  <c r="Q809" i="2"/>
  <c r="Q841" i="2"/>
  <c r="Q873" i="2"/>
  <c r="T883" i="2"/>
  <c r="T891" i="2"/>
  <c r="T899" i="2"/>
  <c r="T907" i="2"/>
  <c r="T915" i="2"/>
  <c r="T923" i="2"/>
  <c r="T931" i="2"/>
  <c r="T939" i="2"/>
  <c r="T947" i="2"/>
  <c r="T955" i="2"/>
  <c r="T963" i="2"/>
  <c r="T971" i="2"/>
  <c r="T979" i="2"/>
  <c r="T987" i="2"/>
  <c r="U510" i="2"/>
  <c r="U638" i="2"/>
  <c r="U701" i="2"/>
  <c r="U733" i="2"/>
  <c r="U765" i="2"/>
  <c r="U797" i="2"/>
  <c r="U829" i="2"/>
  <c r="U861" i="2"/>
  <c r="R880" i="2"/>
  <c r="U888" i="2"/>
  <c r="U896" i="2"/>
  <c r="U904" i="2"/>
  <c r="U912" i="2"/>
  <c r="U920" i="2"/>
  <c r="U928" i="2"/>
  <c r="U936" i="2"/>
  <c r="U944" i="2"/>
  <c r="U952" i="2"/>
  <c r="U960" i="2"/>
  <c r="U968" i="2"/>
  <c r="U976" i="2"/>
  <c r="U984" i="2"/>
  <c r="U528" i="2"/>
  <c r="U656" i="2"/>
  <c r="Q706" i="2"/>
  <c r="Q738" i="2"/>
  <c r="Q770" i="2"/>
  <c r="Q802" i="2"/>
  <c r="Q834" i="2"/>
  <c r="Q866" i="2"/>
  <c r="N900" i="2"/>
  <c r="N932" i="2"/>
  <c r="N964" i="2"/>
  <c r="Q990" i="2"/>
  <c r="U998" i="2"/>
  <c r="U1006" i="2"/>
  <c r="U1014" i="2"/>
  <c r="U1022" i="2"/>
  <c r="U1030" i="2"/>
  <c r="U1038" i="2"/>
  <c r="U1046" i="2"/>
  <c r="U1054" i="2"/>
  <c r="U1062" i="2"/>
  <c r="U1070" i="2"/>
  <c r="U1078" i="2"/>
  <c r="U1086" i="2"/>
  <c r="U1094" i="2"/>
  <c r="U1102" i="2"/>
  <c r="U1110" i="2"/>
  <c r="U1118" i="2"/>
  <c r="Q877" i="2"/>
  <c r="R910" i="2"/>
  <c r="R942" i="2"/>
  <c r="R974" i="2"/>
  <c r="R994" i="2"/>
  <c r="R1002" i="2"/>
  <c r="R1010" i="2"/>
  <c r="R1018" i="2"/>
  <c r="R1026" i="2"/>
  <c r="R1034" i="2"/>
  <c r="R1042" i="2"/>
  <c r="R1050" i="2"/>
  <c r="R1058" i="2"/>
  <c r="R1066" i="2"/>
  <c r="R1074" i="2"/>
  <c r="R1082" i="2"/>
  <c r="R1090" i="2"/>
  <c r="R1098" i="2"/>
  <c r="R1106" i="2"/>
  <c r="R1114" i="2"/>
  <c r="N878" i="2"/>
  <c r="N911" i="2"/>
  <c r="N943" i="2"/>
  <c r="N975" i="2"/>
  <c r="S994" i="2"/>
  <c r="S1010" i="2"/>
  <c r="S1026" i="2"/>
  <c r="S1042" i="2"/>
  <c r="S1058" i="2"/>
  <c r="S1074" i="2"/>
  <c r="Q1113" i="2"/>
  <c r="R952" i="2"/>
  <c r="N1013" i="2"/>
  <c r="N1045" i="2"/>
  <c r="N1077" i="2"/>
  <c r="N1100" i="2"/>
  <c r="N1116" i="2"/>
  <c r="N917" i="2"/>
  <c r="N981" i="2"/>
  <c r="S1013" i="2"/>
  <c r="S1041" i="2"/>
  <c r="S1063" i="2"/>
  <c r="S1084" i="2"/>
  <c r="S1100" i="2"/>
  <c r="S1116" i="2"/>
  <c r="R895" i="2"/>
  <c r="R927" i="2"/>
  <c r="R959" i="2"/>
  <c r="U990" i="2"/>
  <c r="T999" i="2"/>
  <c r="T1007" i="2"/>
  <c r="T1015" i="2"/>
  <c r="T1023" i="2"/>
  <c r="T1031" i="2"/>
  <c r="T1039" i="2"/>
  <c r="T1047" i="2"/>
  <c r="T1055" i="2"/>
  <c r="T1063" i="2"/>
  <c r="T1071" i="2"/>
  <c r="T1079" i="2"/>
  <c r="T1087" i="2"/>
  <c r="T1116" i="2"/>
  <c r="U1130" i="2"/>
  <c r="U1138" i="2"/>
  <c r="U1146" i="2"/>
  <c r="U1154" i="2"/>
  <c r="U1162" i="2"/>
  <c r="U1170" i="2"/>
  <c r="U1178" i="2"/>
  <c r="U1186" i="2"/>
  <c r="U1194" i="2"/>
  <c r="U1202" i="2"/>
  <c r="U1210" i="2"/>
  <c r="U1218" i="2"/>
  <c r="U1226" i="2"/>
  <c r="U1234" i="2"/>
  <c r="U1242" i="2"/>
  <c r="U1250" i="2"/>
  <c r="U1258" i="2"/>
  <c r="U1266" i="2"/>
  <c r="U1274" i="2"/>
  <c r="U1282" i="2"/>
  <c r="U1290" i="2"/>
  <c r="U1298" i="2"/>
  <c r="U1306" i="2"/>
  <c r="U1314" i="2"/>
  <c r="U1322" i="2"/>
  <c r="U1330" i="2"/>
  <c r="U1338" i="2"/>
  <c r="U1346" i="2"/>
  <c r="U1354" i="2"/>
  <c r="U1362" i="2"/>
  <c r="U1370" i="2"/>
  <c r="P1115" i="2"/>
  <c r="R1129" i="2"/>
  <c r="R1137" i="2"/>
  <c r="R1145" i="2"/>
  <c r="R1153" i="2"/>
  <c r="R1161" i="2"/>
  <c r="R1169" i="2"/>
  <c r="R1177" i="2"/>
  <c r="R1185" i="2"/>
  <c r="R1193" i="2"/>
  <c r="R1201" i="2"/>
  <c r="R1209" i="2"/>
  <c r="R1217" i="2"/>
  <c r="R1225" i="2"/>
  <c r="R1233" i="2"/>
  <c r="R1241" i="2"/>
  <c r="R1249" i="2"/>
  <c r="R1257" i="2"/>
  <c r="R1265" i="2"/>
  <c r="R1273" i="2"/>
  <c r="R1281" i="2"/>
  <c r="R1289" i="2"/>
  <c r="R1297" i="2"/>
  <c r="R1305" i="2"/>
  <c r="R1313" i="2"/>
  <c r="R1321" i="2"/>
  <c r="R1329" i="2"/>
  <c r="R1337" i="2"/>
  <c r="R1345" i="2"/>
  <c r="R1353" i="2"/>
  <c r="R1361" i="2"/>
  <c r="R1369" i="2"/>
  <c r="T1107" i="2"/>
  <c r="S1130" i="2"/>
  <c r="S1146" i="2"/>
  <c r="S1162" i="2"/>
  <c r="S1178" i="2"/>
  <c r="S1194" i="2"/>
  <c r="S1210" i="2"/>
  <c r="S1226" i="2"/>
  <c r="S1242" i="2"/>
  <c r="S1258" i="2"/>
  <c r="S1274" i="2"/>
  <c r="S1290" i="2"/>
  <c r="S1306" i="2"/>
  <c r="S1322" i="2"/>
  <c r="S1338" i="2"/>
  <c r="S1354" i="2"/>
  <c r="P1090" i="2"/>
  <c r="N1122" i="2"/>
  <c r="P1131" i="2"/>
  <c r="P1139" i="2"/>
  <c r="P1147" i="2"/>
  <c r="P1155" i="2"/>
  <c r="P1163" i="2"/>
  <c r="P1171" i="2"/>
  <c r="P1179" i="2"/>
  <c r="P1187" i="2"/>
  <c r="P1195" i="2"/>
  <c r="P1203" i="2"/>
  <c r="P1211" i="2"/>
  <c r="P1219" i="2"/>
  <c r="P1227" i="2"/>
  <c r="P1235" i="2"/>
  <c r="P1243" i="2"/>
  <c r="Q1123" i="2"/>
  <c r="U989" i="2"/>
  <c r="N1023" i="2"/>
  <c r="N1055" i="2"/>
  <c r="N1087" i="2"/>
  <c r="N1105" i="2"/>
  <c r="N1121" i="2"/>
  <c r="N937" i="2"/>
  <c r="N992" i="2"/>
  <c r="S1023" i="2"/>
  <c r="S1048" i="2"/>
  <c r="S1069" i="2"/>
  <c r="S1089" i="2"/>
  <c r="S1105" i="2"/>
  <c r="S1121" i="2"/>
  <c r="R905" i="2"/>
  <c r="R937" i="2"/>
  <c r="R969" i="2"/>
  <c r="P994" i="2"/>
  <c r="P1002" i="2"/>
  <c r="P1010" i="2"/>
  <c r="P1018" i="2"/>
  <c r="P1026" i="2"/>
  <c r="P1034" i="2"/>
  <c r="P1042" i="2"/>
  <c r="P1050" i="2"/>
  <c r="P1058" i="2"/>
  <c r="P1066" i="2"/>
  <c r="P1074" i="2"/>
  <c r="P1082" i="2"/>
  <c r="T1094" i="2"/>
  <c r="R1124" i="2"/>
  <c r="Q1133" i="2"/>
  <c r="Q1141" i="2"/>
  <c r="Q1149" i="2"/>
  <c r="Q1157" i="2"/>
  <c r="Q1165" i="2"/>
  <c r="Q1173" i="2"/>
  <c r="Q1181" i="2"/>
  <c r="Q1189" i="2"/>
  <c r="Q1197" i="2"/>
  <c r="Q1205" i="2"/>
  <c r="Q1213" i="2"/>
  <c r="Q1221" i="2"/>
  <c r="Q1229" i="2"/>
  <c r="Q1237" i="2"/>
  <c r="Q1245" i="2"/>
  <c r="Q1253" i="2"/>
  <c r="Q1261" i="2"/>
  <c r="Q1269" i="2"/>
  <c r="Q1277" i="2"/>
  <c r="Q1285" i="2"/>
  <c r="Q1293" i="2"/>
  <c r="Q1301" i="2"/>
  <c r="Q1309" i="2"/>
  <c r="Q1317" i="2"/>
  <c r="Q1325" i="2"/>
  <c r="Q1125" i="2"/>
  <c r="N993" i="2"/>
  <c r="N1025" i="2"/>
  <c r="N1057" i="2"/>
  <c r="N1089" i="2"/>
  <c r="N1106" i="2"/>
  <c r="Q875" i="2"/>
  <c r="N941" i="2"/>
  <c r="S993" i="2"/>
  <c r="S1025" i="2"/>
  <c r="S1049" i="2"/>
  <c r="S1071" i="2"/>
  <c r="S1090" i="2"/>
  <c r="S1106" i="2"/>
  <c r="S1122" i="2"/>
  <c r="R907" i="2"/>
  <c r="U889" i="2"/>
  <c r="U897" i="2"/>
  <c r="U905" i="2"/>
  <c r="U913" i="2"/>
  <c r="U921" i="2"/>
  <c r="U929" i="2"/>
  <c r="U937" i="2"/>
  <c r="U945" i="2"/>
  <c r="U953" i="2"/>
  <c r="U961" i="2"/>
  <c r="U969" i="2"/>
  <c r="U977" i="2"/>
  <c r="U985" i="2"/>
  <c r="U544" i="2"/>
  <c r="Q672" i="2"/>
  <c r="Q710" i="2"/>
  <c r="Q742" i="2"/>
  <c r="Q774" i="2"/>
  <c r="Q806" i="2"/>
  <c r="Q838" i="2"/>
  <c r="Q870" i="2"/>
  <c r="N904" i="2"/>
  <c r="N936" i="2"/>
  <c r="N968" i="2"/>
  <c r="S991" i="2"/>
  <c r="U999" i="2"/>
  <c r="U1007" i="2"/>
  <c r="U1015" i="2"/>
  <c r="U1023" i="2"/>
  <c r="U1031" i="2"/>
  <c r="U1039" i="2"/>
  <c r="U1047" i="2"/>
  <c r="U1055" i="2"/>
  <c r="U1063" i="2"/>
  <c r="U1071" i="2"/>
  <c r="U1079" i="2"/>
  <c r="U1087" i="2"/>
  <c r="U1095" i="2"/>
  <c r="U1103" i="2"/>
  <c r="U1111" i="2"/>
  <c r="U1119" i="2"/>
  <c r="R882" i="2"/>
  <c r="R914" i="2"/>
  <c r="R946" i="2"/>
  <c r="R978" i="2"/>
  <c r="R995" i="2"/>
  <c r="R1003" i="2"/>
  <c r="R1011" i="2"/>
  <c r="R1019" i="2"/>
  <c r="R1027" i="2"/>
  <c r="R1035" i="2"/>
  <c r="R1043" i="2"/>
  <c r="R1051" i="2"/>
  <c r="R1059" i="2"/>
  <c r="R1067" i="2"/>
  <c r="R1075" i="2"/>
  <c r="R1083" i="2"/>
  <c r="R1091" i="2"/>
  <c r="R1099" i="2"/>
  <c r="R1107" i="2"/>
  <c r="R1115" i="2"/>
  <c r="N883" i="2"/>
  <c r="N915" i="2"/>
  <c r="N947" i="2"/>
  <c r="N979" i="2"/>
  <c r="S996" i="2"/>
  <c r="S1012" i="2"/>
  <c r="S1028" i="2"/>
  <c r="U511" i="2"/>
  <c r="U639" i="2"/>
  <c r="S715" i="2"/>
  <c r="S779" i="2"/>
  <c r="S843" i="2"/>
  <c r="Q510" i="2"/>
  <c r="Q638" i="2"/>
  <c r="T701" i="2"/>
  <c r="T733" i="2"/>
  <c r="T765" i="2"/>
  <c r="T797" i="2"/>
  <c r="T829" i="2"/>
  <c r="T861" i="2"/>
  <c r="U602" i="2"/>
  <c r="U702" i="2"/>
  <c r="U746" i="2"/>
  <c r="U788" i="2"/>
  <c r="U830" i="2"/>
  <c r="P874" i="2"/>
  <c r="S891" i="2"/>
  <c r="S909" i="2"/>
  <c r="S925" i="2"/>
  <c r="S941" i="2"/>
  <c r="S957" i="2"/>
  <c r="S973" i="2"/>
  <c r="U484" i="2"/>
  <c r="U612" i="2"/>
  <c r="Q695" i="2"/>
  <c r="Q727" i="2"/>
  <c r="Q759" i="2"/>
  <c r="Q791" i="2"/>
  <c r="Q823" i="2"/>
  <c r="Q855" i="2"/>
  <c r="Q878" i="2"/>
  <c r="P887" i="2"/>
  <c r="P895" i="2"/>
  <c r="P903" i="2"/>
  <c r="P911" i="2"/>
  <c r="P919" i="2"/>
  <c r="P927" i="2"/>
  <c r="P935" i="2"/>
  <c r="P943" i="2"/>
  <c r="P951" i="2"/>
  <c r="P959" i="2"/>
  <c r="P967" i="2"/>
  <c r="P975" i="2"/>
  <c r="P983" i="2"/>
  <c r="P991" i="2"/>
  <c r="U566" i="2"/>
  <c r="Q682" i="2"/>
  <c r="U715" i="2"/>
  <c r="U747" i="2"/>
  <c r="U779" i="2"/>
  <c r="U811" i="2"/>
  <c r="U843" i="2"/>
  <c r="R874" i="2"/>
  <c r="Q884" i="2"/>
  <c r="Q892" i="2"/>
  <c r="Q900" i="2"/>
  <c r="Q908" i="2"/>
  <c r="Q916" i="2"/>
  <c r="Q924" i="2"/>
  <c r="Q932" i="2"/>
  <c r="Q940" i="2"/>
  <c r="Q948" i="2"/>
  <c r="Q956" i="2"/>
  <c r="Q964" i="2"/>
  <c r="Q972" i="2"/>
  <c r="Q980" i="2"/>
  <c r="P365" i="2"/>
  <c r="U584" i="2"/>
  <c r="Q688" i="2"/>
  <c r="Q720" i="2"/>
  <c r="Q752" i="2"/>
  <c r="Q784" i="2"/>
  <c r="Q816" i="2"/>
  <c r="Q848" i="2"/>
  <c r="N882" i="2"/>
  <c r="N914" i="2"/>
  <c r="N946" i="2"/>
  <c r="N978" i="2"/>
  <c r="Q994" i="2"/>
  <c r="Q1002" i="2"/>
  <c r="Q1010" i="2"/>
  <c r="Q1018" i="2"/>
  <c r="Q1026" i="2"/>
  <c r="Q1034" i="2"/>
  <c r="Q1042" i="2"/>
  <c r="Q1050" i="2"/>
  <c r="Q1058" i="2"/>
  <c r="Q1066" i="2"/>
  <c r="Q1074" i="2"/>
  <c r="Q1082" i="2"/>
  <c r="Q1090" i="2"/>
  <c r="Q1098" i="2"/>
  <c r="Q1106" i="2"/>
  <c r="Q1114" i="2"/>
  <c r="Q1122" i="2"/>
  <c r="R892" i="2"/>
  <c r="R924" i="2"/>
  <c r="R956" i="2"/>
  <c r="S987" i="2"/>
  <c r="N998" i="2"/>
  <c r="N1006" i="2"/>
  <c r="N1014" i="2"/>
  <c r="N1022" i="2"/>
  <c r="N1030" i="2"/>
  <c r="N1038" i="2"/>
  <c r="N1046" i="2"/>
  <c r="N1054" i="2"/>
  <c r="N1062" i="2"/>
  <c r="N1070" i="2"/>
  <c r="N1078" i="2"/>
  <c r="N1086" i="2"/>
  <c r="U487" i="2"/>
  <c r="U615" i="2"/>
  <c r="S703" i="2"/>
  <c r="S767" i="2"/>
  <c r="S831" i="2"/>
  <c r="Q486" i="2"/>
  <c r="Q614" i="2"/>
  <c r="T695" i="2"/>
  <c r="T727" i="2"/>
  <c r="T759" i="2"/>
  <c r="T791" i="2"/>
  <c r="T823" i="2"/>
  <c r="T855" i="2"/>
  <c r="U570" i="2"/>
  <c r="U694" i="2"/>
  <c r="U738" i="2"/>
  <c r="U780" i="2"/>
  <c r="U822" i="2"/>
  <c r="U866" i="2"/>
  <c r="S887" i="2"/>
  <c r="S906" i="2"/>
  <c r="S922" i="2"/>
  <c r="S938" i="2"/>
  <c r="S954" i="2"/>
  <c r="S970" i="2"/>
  <c r="S986" i="2"/>
  <c r="U588" i="2"/>
  <c r="Q689" i="2"/>
  <c r="Q721" i="2"/>
  <c r="Q753" i="2"/>
  <c r="Q785" i="2"/>
  <c r="Q817" i="2"/>
  <c r="Q849" i="2"/>
  <c r="Q876" i="2"/>
  <c r="T885" i="2"/>
  <c r="T893" i="2"/>
  <c r="T901" i="2"/>
  <c r="T909" i="2"/>
  <c r="T917" i="2"/>
  <c r="T925" i="2"/>
  <c r="T933" i="2"/>
  <c r="T941" i="2"/>
  <c r="T949" i="2"/>
  <c r="T957" i="2"/>
  <c r="T965" i="2"/>
  <c r="T973" i="2"/>
  <c r="T981" i="2"/>
  <c r="T989" i="2"/>
  <c r="U542" i="2"/>
  <c r="U670" i="2"/>
  <c r="U709" i="2"/>
  <c r="U741" i="2"/>
  <c r="U773" i="2"/>
  <c r="U805" i="2"/>
  <c r="U837" i="2"/>
  <c r="U869" i="2"/>
  <c r="U882" i="2"/>
  <c r="U890" i="2"/>
  <c r="U898" i="2"/>
  <c r="U906" i="2"/>
  <c r="U914" i="2"/>
  <c r="U922" i="2"/>
  <c r="U930" i="2"/>
  <c r="U938" i="2"/>
  <c r="U946" i="2"/>
  <c r="U954" i="2"/>
  <c r="U962" i="2"/>
  <c r="U970" i="2"/>
  <c r="U978" i="2"/>
  <c r="U986" i="2"/>
  <c r="U560" i="2"/>
  <c r="Q680" i="2"/>
  <c r="Q714" i="2"/>
  <c r="Q746" i="2"/>
  <c r="Q778" i="2"/>
  <c r="Q810" i="2"/>
  <c r="Q842" i="2"/>
  <c r="N874" i="2"/>
  <c r="N908" i="2"/>
  <c r="N940" i="2"/>
  <c r="N972" i="2"/>
  <c r="U992" i="2"/>
  <c r="U1000" i="2"/>
  <c r="U1008" i="2"/>
  <c r="U1016" i="2"/>
  <c r="U1024" i="2"/>
  <c r="U1032" i="2"/>
  <c r="U1040" i="2"/>
  <c r="U1048" i="2"/>
  <c r="U1056" i="2"/>
  <c r="U1064" i="2"/>
  <c r="U1072" i="2"/>
  <c r="U1080" i="2"/>
  <c r="U1088" i="2"/>
  <c r="U1096" i="2"/>
  <c r="U1104" i="2"/>
  <c r="U1112" i="2"/>
  <c r="U1120" i="2"/>
  <c r="R886" i="2"/>
  <c r="R918" i="2"/>
  <c r="R950" i="2"/>
  <c r="R982" i="2"/>
  <c r="R996" i="2"/>
  <c r="R1004" i="2"/>
  <c r="R1012" i="2"/>
  <c r="R1020" i="2"/>
  <c r="R1028" i="2"/>
  <c r="R1036" i="2"/>
  <c r="R1044" i="2"/>
  <c r="R1052" i="2"/>
  <c r="R1060" i="2"/>
  <c r="R1068" i="2"/>
  <c r="R1076" i="2"/>
  <c r="R1084" i="2"/>
  <c r="R1092" i="2"/>
  <c r="R1100" i="2"/>
  <c r="R1108" i="2"/>
  <c r="R1116" i="2"/>
  <c r="N887" i="2"/>
  <c r="N919" i="2"/>
  <c r="N951" i="2"/>
  <c r="N983" i="2"/>
  <c r="S998" i="2"/>
  <c r="S1014" i="2"/>
  <c r="S1030" i="2"/>
  <c r="S1046" i="2"/>
  <c r="S1062" i="2"/>
  <c r="S1078" i="2"/>
  <c r="Q1121" i="2"/>
  <c r="R984" i="2"/>
  <c r="N1021" i="2"/>
  <c r="N1053" i="2"/>
  <c r="N1085" i="2"/>
  <c r="N1104" i="2"/>
  <c r="N1120" i="2"/>
  <c r="N933" i="2"/>
  <c r="S990" i="2"/>
  <c r="S1021" i="2"/>
  <c r="S1047" i="2"/>
  <c r="S1068" i="2"/>
  <c r="S1088" i="2"/>
  <c r="S1104" i="2"/>
  <c r="S1120" i="2"/>
  <c r="R903" i="2"/>
  <c r="R935" i="2"/>
  <c r="R967" i="2"/>
  <c r="T993" i="2"/>
  <c r="T1001" i="2"/>
  <c r="T1009" i="2"/>
  <c r="T1017" i="2"/>
  <c r="T1025" i="2"/>
  <c r="T1033" i="2"/>
  <c r="T1041" i="2"/>
  <c r="T1049" i="2"/>
  <c r="T1057" i="2"/>
  <c r="T1065" i="2"/>
  <c r="T1073" i="2"/>
  <c r="T1081" i="2"/>
  <c r="T1092" i="2"/>
  <c r="T1123" i="2"/>
  <c r="U1132" i="2"/>
  <c r="U1140" i="2"/>
  <c r="U1148" i="2"/>
  <c r="U1156" i="2"/>
  <c r="U1164" i="2"/>
  <c r="U1172" i="2"/>
  <c r="U1180" i="2"/>
  <c r="U1188" i="2"/>
  <c r="U1196" i="2"/>
  <c r="U1204" i="2"/>
  <c r="U1212" i="2"/>
  <c r="U1220" i="2"/>
  <c r="U1228" i="2"/>
  <c r="U1236" i="2"/>
  <c r="U1244" i="2"/>
  <c r="U1252" i="2"/>
  <c r="U1260" i="2"/>
  <c r="U1268" i="2"/>
  <c r="U1276" i="2"/>
  <c r="U1284" i="2"/>
  <c r="U1292" i="2"/>
  <c r="U1300" i="2"/>
  <c r="U1308" i="2"/>
  <c r="U1316" i="2"/>
  <c r="U1324" i="2"/>
  <c r="U1332" i="2"/>
  <c r="U1340" i="2"/>
  <c r="U1348" i="2"/>
  <c r="U1356" i="2"/>
  <c r="U1364" i="2"/>
  <c r="P1091" i="2"/>
  <c r="R1122" i="2"/>
  <c r="R1131" i="2"/>
  <c r="R1139" i="2"/>
  <c r="R1147" i="2"/>
  <c r="R1155" i="2"/>
  <c r="R1163" i="2"/>
  <c r="R1171" i="2"/>
  <c r="R1179" i="2"/>
  <c r="R1187" i="2"/>
  <c r="R1195" i="2"/>
  <c r="R1203" i="2"/>
  <c r="R1211" i="2"/>
  <c r="R1219" i="2"/>
  <c r="R1227" i="2"/>
  <c r="R1235" i="2"/>
  <c r="R1243" i="2"/>
  <c r="R1251" i="2"/>
  <c r="R1259" i="2"/>
  <c r="R1267" i="2"/>
  <c r="R1275" i="2"/>
  <c r="R1283" i="2"/>
  <c r="R1291" i="2"/>
  <c r="R1299" i="2"/>
  <c r="R1307" i="2"/>
  <c r="R1315" i="2"/>
  <c r="R1323" i="2"/>
  <c r="R1331" i="2"/>
  <c r="R1339" i="2"/>
  <c r="R1347" i="2"/>
  <c r="R1355" i="2"/>
  <c r="R1363" i="2"/>
  <c r="R1371" i="2"/>
  <c r="T1115" i="2"/>
  <c r="S1134" i="2"/>
  <c r="S1150" i="2"/>
  <c r="S1166" i="2"/>
  <c r="S1182" i="2"/>
  <c r="S1198" i="2"/>
  <c r="S1214" i="2"/>
  <c r="S1230" i="2"/>
  <c r="S1246" i="2"/>
  <c r="S1262" i="2"/>
  <c r="S1278" i="2"/>
  <c r="S1294" i="2"/>
  <c r="S1310" i="2"/>
  <c r="S1326" i="2"/>
  <c r="S1342" i="2"/>
  <c r="S1358" i="2"/>
  <c r="P1098" i="2"/>
  <c r="N1125" i="2"/>
  <c r="P1133" i="2"/>
  <c r="P1141" i="2"/>
  <c r="P1149" i="2"/>
  <c r="P1157" i="2"/>
  <c r="P1165" i="2"/>
  <c r="P1173" i="2"/>
  <c r="P1181" i="2"/>
  <c r="P1189" i="2"/>
  <c r="P1197" i="2"/>
  <c r="P1205" i="2"/>
  <c r="P1213" i="2"/>
  <c r="P1221" i="2"/>
  <c r="P1229" i="2"/>
  <c r="P1237" i="2"/>
  <c r="P1245" i="2"/>
  <c r="R896" i="2"/>
  <c r="N999" i="2"/>
  <c r="N1031" i="2"/>
  <c r="N1063" i="2"/>
  <c r="N1093" i="2"/>
  <c r="N1109" i="2"/>
  <c r="N889" i="2"/>
  <c r="N953" i="2"/>
  <c r="S999" i="2"/>
  <c r="S1031" i="2"/>
  <c r="S1053" i="2"/>
  <c r="S1075" i="2"/>
  <c r="S1093" i="2"/>
  <c r="S1109" i="2"/>
  <c r="Q881" i="2"/>
  <c r="R913" i="2"/>
  <c r="R945" i="2"/>
  <c r="R977" i="2"/>
  <c r="P996" i="2"/>
  <c r="P1004" i="2"/>
  <c r="P1012" i="2"/>
  <c r="P1020" i="2"/>
  <c r="P1028" i="2"/>
  <c r="P1036" i="2"/>
  <c r="P1044" i="2"/>
  <c r="P1052" i="2"/>
  <c r="P1060" i="2"/>
  <c r="P1068" i="2"/>
  <c r="P1076" i="2"/>
  <c r="P1084" i="2"/>
  <c r="T1102" i="2"/>
  <c r="Q1127" i="2"/>
  <c r="Q1135" i="2"/>
  <c r="Q1143" i="2"/>
  <c r="Q1151" i="2"/>
  <c r="Q1159" i="2"/>
  <c r="Q1167" i="2"/>
  <c r="Q1175" i="2"/>
  <c r="Q1183" i="2"/>
  <c r="Q1191" i="2"/>
  <c r="Q1199" i="2"/>
  <c r="Q1207" i="2"/>
  <c r="Q1215" i="2"/>
  <c r="Q1223" i="2"/>
  <c r="Q1231" i="2"/>
  <c r="Q1239" i="2"/>
  <c r="Q1247" i="2"/>
  <c r="Q1255" i="2"/>
  <c r="Q1263" i="2"/>
  <c r="Q1271" i="2"/>
  <c r="Q1279" i="2"/>
  <c r="Q1287" i="2"/>
  <c r="Q1295" i="2"/>
  <c r="Q1303" i="2"/>
  <c r="Q1311" i="2"/>
  <c r="Q1319" i="2"/>
  <c r="Q1327" i="2"/>
  <c r="R904" i="2"/>
  <c r="N1001" i="2"/>
  <c r="N1033" i="2"/>
  <c r="N1065" i="2"/>
  <c r="N1094" i="2"/>
  <c r="N1110" i="2"/>
  <c r="N893" i="2"/>
  <c r="N957" i="2"/>
  <c r="S1001" i="2"/>
  <c r="S1033" i="2"/>
  <c r="S1055" i="2"/>
  <c r="S1076" i="2"/>
  <c r="S1094" i="2"/>
  <c r="S1110" i="2"/>
  <c r="R883" i="2"/>
  <c r="R915" i="2"/>
  <c r="Q1241" i="2"/>
  <c r="Q1257" i="2"/>
  <c r="Q1273" i="2"/>
  <c r="Q1289" i="2"/>
  <c r="Q1305" i="2"/>
  <c r="Q1321" i="2"/>
  <c r="R936" i="2"/>
  <c r="N1041" i="2"/>
  <c r="N1098" i="2"/>
  <c r="N909" i="2"/>
  <c r="S1009" i="2"/>
  <c r="S1060" i="2"/>
  <c r="S1098" i="2"/>
  <c r="R891" i="2"/>
  <c r="R939" i="2"/>
  <c r="R971" i="2"/>
  <c r="T994" i="2"/>
  <c r="T1002" i="2"/>
  <c r="T1010" i="2"/>
  <c r="T1018" i="2"/>
  <c r="T1026" i="2"/>
  <c r="T1034" i="2"/>
  <c r="T1042" i="2"/>
  <c r="T1050" i="2"/>
  <c r="T1058" i="2"/>
  <c r="T1066" i="2"/>
  <c r="T1074" i="2"/>
  <c r="T1082" i="2"/>
  <c r="T1096" i="2"/>
  <c r="T1125" i="2"/>
  <c r="U1133" i="2"/>
  <c r="U1141" i="2"/>
  <c r="U1149" i="2"/>
  <c r="U1157" i="2"/>
  <c r="U1165" i="2"/>
  <c r="U1173" i="2"/>
  <c r="U1181" i="2"/>
  <c r="U1189" i="2"/>
  <c r="U1197" i="2"/>
  <c r="U1205" i="2"/>
  <c r="U1213" i="2"/>
  <c r="U1221" i="2"/>
  <c r="U1229" i="2"/>
  <c r="U1237" i="2"/>
  <c r="U1245" i="2"/>
  <c r="U1253" i="2"/>
  <c r="U1261" i="2"/>
  <c r="U1269" i="2"/>
  <c r="U1277" i="2"/>
  <c r="U1285" i="2"/>
  <c r="U1293" i="2"/>
  <c r="U1301" i="2"/>
  <c r="U1309" i="2"/>
  <c r="U1317" i="2"/>
  <c r="U1325" i="2"/>
  <c r="U1333" i="2"/>
  <c r="U1341" i="2"/>
  <c r="U1349" i="2"/>
  <c r="U1357" i="2"/>
  <c r="U1365" i="2"/>
  <c r="P1095" i="2"/>
  <c r="N1124" i="2"/>
  <c r="R1132" i="2"/>
  <c r="R1140" i="2"/>
  <c r="R1148" i="2"/>
  <c r="R1156" i="2"/>
  <c r="R1164" i="2"/>
  <c r="R1172" i="2"/>
  <c r="R1180" i="2"/>
  <c r="R1188" i="2"/>
  <c r="R1196" i="2"/>
  <c r="R1204" i="2"/>
  <c r="R1212" i="2"/>
  <c r="R1220" i="2"/>
  <c r="R1228" i="2"/>
  <c r="R1236" i="2"/>
  <c r="R1244" i="2"/>
  <c r="R1252" i="2"/>
  <c r="R1260" i="2"/>
  <c r="R1268" i="2"/>
  <c r="R1276" i="2"/>
  <c r="R1284" i="2"/>
  <c r="R1292" i="2"/>
  <c r="R1300" i="2"/>
  <c r="R1308" i="2"/>
  <c r="R1316" i="2"/>
  <c r="R1324" i="2"/>
  <c r="R1332" i="2"/>
  <c r="R1340" i="2"/>
  <c r="R1348" i="2"/>
  <c r="R1356" i="2"/>
  <c r="R1364" i="2"/>
  <c r="R1372" i="2"/>
  <c r="T1119" i="2"/>
  <c r="S1136" i="2"/>
  <c r="S1152" i="2"/>
  <c r="S1168" i="2"/>
  <c r="S1184" i="2"/>
  <c r="S1200" i="2"/>
  <c r="S1216" i="2"/>
  <c r="S1232" i="2"/>
  <c r="S1248" i="2"/>
  <c r="S1264" i="2"/>
  <c r="S1280" i="2"/>
  <c r="S1296" i="2"/>
  <c r="S1312" i="2"/>
  <c r="S1328" i="2"/>
  <c r="S1344" i="2"/>
  <c r="S1360" i="2"/>
  <c r="P1102" i="2"/>
  <c r="P1126" i="2"/>
  <c r="P1134" i="2"/>
  <c r="P1142" i="2"/>
  <c r="P1150" i="2"/>
  <c r="P1158" i="2"/>
  <c r="P1166" i="2"/>
  <c r="P1174" i="2"/>
  <c r="P1182" i="2"/>
  <c r="P1190" i="2"/>
  <c r="P1198" i="2"/>
  <c r="P1206" i="2"/>
  <c r="P1214" i="2"/>
  <c r="P1222" i="2"/>
  <c r="P1230" i="2"/>
  <c r="P1238" i="2"/>
  <c r="T1247" i="2"/>
  <c r="R912" i="2"/>
  <c r="N1003" i="2"/>
  <c r="N1035" i="2"/>
  <c r="N1067" i="2"/>
  <c r="N1095" i="2"/>
  <c r="N1111" i="2"/>
  <c r="N897" i="2"/>
  <c r="N961" i="2"/>
  <c r="S1003" i="2"/>
  <c r="S1035" i="2"/>
  <c r="S1056" i="2"/>
  <c r="S1077" i="2"/>
  <c r="S1095" i="2"/>
  <c r="S1111" i="2"/>
  <c r="R885" i="2"/>
  <c r="R917" i="2"/>
  <c r="R949" i="2"/>
  <c r="R981" i="2"/>
  <c r="P997" i="2"/>
  <c r="P1005" i="2"/>
  <c r="P1013" i="2"/>
  <c r="P1021" i="2"/>
  <c r="P1029" i="2"/>
  <c r="P1037" i="2"/>
  <c r="P1045" i="2"/>
  <c r="P1053" i="2"/>
  <c r="P1061" i="2"/>
  <c r="P1069" i="2"/>
  <c r="P1077" i="2"/>
  <c r="P1085" i="2"/>
  <c r="T1106" i="2"/>
  <c r="Q1128" i="2"/>
  <c r="Q1136" i="2"/>
  <c r="Q1144" i="2"/>
  <c r="Q1152" i="2"/>
  <c r="Q1160" i="2"/>
  <c r="Q1168" i="2"/>
  <c r="Q1176" i="2"/>
  <c r="Q1184" i="2"/>
  <c r="Q1192" i="2"/>
  <c r="Q1200" i="2"/>
  <c r="Q1208" i="2"/>
  <c r="Q1216" i="2"/>
  <c r="Q1224" i="2"/>
  <c r="Q1232" i="2"/>
  <c r="Q1240" i="2"/>
  <c r="Q1248" i="2"/>
  <c r="Q1256" i="2"/>
  <c r="Q1264" i="2"/>
  <c r="Q1272" i="2"/>
  <c r="Q1280" i="2"/>
  <c r="Q1288" i="2"/>
  <c r="Q1296" i="2"/>
  <c r="Q1304" i="2"/>
  <c r="Q1312" i="2"/>
  <c r="Q1320" i="2"/>
  <c r="Q1328" i="2"/>
  <c r="Q1336" i="2"/>
  <c r="Q1344" i="2"/>
  <c r="Q1352" i="2"/>
  <c r="Q1360" i="2"/>
  <c r="Q1368" i="2"/>
  <c r="P1105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T1097" i="2"/>
  <c r="R1125" i="2"/>
  <c r="S1141" i="2"/>
  <c r="S1157" i="2"/>
  <c r="S1173" i="2"/>
  <c r="S1189" i="2"/>
  <c r="S1205" i="2"/>
  <c r="S1221" i="2"/>
  <c r="S1237" i="2"/>
  <c r="S1253" i="2"/>
  <c r="S1269" i="2"/>
  <c r="S1285" i="2"/>
  <c r="S1301" i="2"/>
  <c r="S1317" i="2"/>
  <c r="S1333" i="2"/>
  <c r="S1349" i="2"/>
  <c r="S1365" i="2"/>
  <c r="P1112" i="2"/>
  <c r="T1128" i="2"/>
  <c r="T1136" i="2"/>
  <c r="T1144" i="2"/>
  <c r="T1152" i="2"/>
  <c r="T1160" i="2"/>
  <c r="T1168" i="2"/>
  <c r="T1176" i="2"/>
  <c r="T1184" i="2"/>
  <c r="T1192" i="2"/>
  <c r="T1200" i="2"/>
  <c r="T1208" i="2"/>
  <c r="T1216" i="2"/>
  <c r="T1224" i="2"/>
  <c r="T1232" i="2"/>
  <c r="T1240" i="2"/>
  <c r="T1257" i="2"/>
  <c r="T1289" i="2"/>
  <c r="T1321" i="2"/>
  <c r="T1353" i="2"/>
  <c r="P1376" i="2"/>
  <c r="Q1329" i="2"/>
  <c r="Q1361" i="2"/>
  <c r="N1136" i="2"/>
  <c r="N1168" i="2"/>
  <c r="N1200" i="2"/>
  <c r="N1232" i="2"/>
  <c r="N1264" i="2"/>
  <c r="N1296" i="2"/>
  <c r="N1328" i="2"/>
  <c r="N1360" i="2"/>
  <c r="S1143" i="2"/>
  <c r="S1207" i="2"/>
  <c r="S1271" i="2"/>
  <c r="S1335" i="2"/>
  <c r="T1129" i="2"/>
  <c r="T1161" i="2"/>
  <c r="T1193" i="2"/>
  <c r="T1225" i="2"/>
  <c r="T1263" i="2"/>
  <c r="T1307" i="2"/>
  <c r="T1349" i="2"/>
  <c r="T1377" i="2"/>
  <c r="P1387" i="2"/>
  <c r="P1395" i="2"/>
  <c r="P1403" i="2"/>
  <c r="P1411" i="2"/>
  <c r="P1419" i="2"/>
  <c r="P1427" i="2"/>
  <c r="P1435" i="2"/>
  <c r="P1443" i="2"/>
  <c r="P1451" i="2"/>
  <c r="P1459" i="2"/>
  <c r="P1467" i="2"/>
  <c r="P1475" i="2"/>
  <c r="P1483" i="2"/>
  <c r="P1491" i="2"/>
  <c r="P1499" i="2"/>
  <c r="P1507" i="2"/>
  <c r="P1515" i="2"/>
  <c r="P1523" i="2"/>
  <c r="P1531" i="2"/>
  <c r="Q1347" i="2"/>
  <c r="P1117" i="2"/>
  <c r="N1154" i="2"/>
  <c r="N1186" i="2"/>
  <c r="N1218" i="2"/>
  <c r="N1250" i="2"/>
  <c r="N1282" i="2"/>
  <c r="N1314" i="2"/>
  <c r="N1346" i="2"/>
  <c r="T1109" i="2"/>
  <c r="S1179" i="2"/>
  <c r="S1243" i="2"/>
  <c r="S1307" i="2"/>
  <c r="P1092" i="2"/>
  <c r="T1147" i="2"/>
  <c r="T1179" i="2"/>
  <c r="T1211" i="2"/>
  <c r="T1243" i="2"/>
  <c r="T1287" i="2"/>
  <c r="T1331" i="2"/>
  <c r="P1373" i="2"/>
  <c r="T1383" i="2"/>
  <c r="T1391" i="2"/>
  <c r="T1399" i="2"/>
  <c r="T1407" i="2"/>
  <c r="T1415" i="2"/>
  <c r="T1423" i="2"/>
  <c r="T1431" i="2"/>
  <c r="T1439" i="2"/>
  <c r="T1447" i="2"/>
  <c r="T1455" i="2"/>
  <c r="T1463" i="2"/>
  <c r="T1471" i="2"/>
  <c r="T1479" i="2"/>
  <c r="T1487" i="2"/>
  <c r="T1495" i="2"/>
  <c r="T1503" i="2"/>
  <c r="T1511" i="2"/>
  <c r="T1519" i="2"/>
  <c r="T1527" i="2"/>
  <c r="T1535" i="2"/>
  <c r="T1543" i="2"/>
  <c r="T1551" i="2"/>
  <c r="T1559" i="2"/>
  <c r="T1567" i="2"/>
  <c r="T1575" i="2"/>
  <c r="P1272" i="2"/>
  <c r="P1304" i="2"/>
  <c r="P1336" i="2"/>
  <c r="P1368" i="2"/>
  <c r="U1378" i="2"/>
  <c r="U1386" i="2"/>
  <c r="U1394" i="2"/>
  <c r="U1402" i="2"/>
  <c r="U1410" i="2"/>
  <c r="U1418" i="2"/>
  <c r="U1426" i="2"/>
  <c r="U1434" i="2"/>
  <c r="U1442" i="2"/>
  <c r="U1450" i="2"/>
  <c r="U1458" i="2"/>
  <c r="U1466" i="2"/>
  <c r="U1474" i="2"/>
  <c r="U1482" i="2"/>
  <c r="U1490" i="2"/>
  <c r="U1498" i="2"/>
  <c r="U1506" i="2"/>
  <c r="U1514" i="2"/>
  <c r="U1522" i="2"/>
  <c r="U1530" i="2"/>
  <c r="U1538" i="2"/>
  <c r="U1546" i="2"/>
  <c r="U1554" i="2"/>
  <c r="U1562" i="2"/>
  <c r="U1570" i="2"/>
  <c r="T1252" i="2"/>
  <c r="T1284" i="2"/>
  <c r="T1316" i="2"/>
  <c r="T1348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P1251" i="2"/>
  <c r="P1283" i="2"/>
  <c r="P1315" i="2"/>
  <c r="P1347" i="2"/>
  <c r="S1374" i="2"/>
  <c r="S1390" i="2"/>
  <c r="S1406" i="2"/>
  <c r="S1422" i="2"/>
  <c r="S1438" i="2"/>
  <c r="S1454" i="2"/>
  <c r="S1470" i="2"/>
  <c r="S1486" i="2"/>
  <c r="S1502" i="2"/>
  <c r="S1518" i="2"/>
  <c r="S1534" i="2"/>
  <c r="S1550" i="2"/>
  <c r="S1566" i="2"/>
  <c r="S1582" i="2"/>
  <c r="P1579" i="2"/>
  <c r="P1595" i="2"/>
  <c r="P1604" i="2"/>
  <c r="Q1357" i="2"/>
  <c r="N1132" i="2"/>
  <c r="N1164" i="2"/>
  <c r="N1196" i="2"/>
  <c r="N1228" i="2"/>
  <c r="N1260" i="2"/>
  <c r="N1292" i="2"/>
  <c r="N1324" i="2"/>
  <c r="N1356" i="2"/>
  <c r="S1135" i="2"/>
  <c r="S1199" i="2"/>
  <c r="S1263" i="2"/>
  <c r="S1327" i="2"/>
  <c r="S1125" i="2"/>
  <c r="T1157" i="2"/>
  <c r="T1189" i="2"/>
  <c r="T1221" i="2"/>
  <c r="T1259" i="2"/>
  <c r="T1301" i="2"/>
  <c r="T1343" i="2"/>
  <c r="T1376" i="2"/>
  <c r="P1386" i="2"/>
  <c r="P1394" i="2"/>
  <c r="P1402" i="2"/>
  <c r="P1410" i="2"/>
  <c r="P1418" i="2"/>
  <c r="P1426" i="2"/>
  <c r="P1434" i="2"/>
  <c r="P1442" i="2"/>
  <c r="P1450" i="2"/>
  <c r="P1458" i="2"/>
  <c r="P1466" i="2"/>
  <c r="P1474" i="2"/>
  <c r="P1482" i="2"/>
  <c r="P1490" i="2"/>
  <c r="P1498" i="2"/>
  <c r="P1506" i="2"/>
  <c r="P1514" i="2"/>
  <c r="P1522" i="2"/>
  <c r="P1530" i="2"/>
  <c r="P1538" i="2"/>
  <c r="P1546" i="2"/>
  <c r="P1554" i="2"/>
  <c r="P1562" i="2"/>
  <c r="P1570" i="2"/>
  <c r="P1250" i="2"/>
  <c r="P1282" i="2"/>
  <c r="P1314" i="2"/>
  <c r="P1346" i="2"/>
  <c r="Q1373" i="2"/>
  <c r="Q1381" i="2"/>
  <c r="Q1389" i="2"/>
  <c r="Q1397" i="2"/>
  <c r="Q1405" i="2"/>
  <c r="Q1413" i="2"/>
  <c r="Q1421" i="2"/>
  <c r="Q1429" i="2"/>
  <c r="Q1437" i="2"/>
  <c r="Q1445" i="2"/>
  <c r="Q1453" i="2"/>
  <c r="Q1461" i="2"/>
  <c r="Q1469" i="2"/>
  <c r="Q1477" i="2"/>
  <c r="Q1485" i="2"/>
  <c r="Q1493" i="2"/>
  <c r="Q1501" i="2"/>
  <c r="Q1509" i="2"/>
  <c r="Q1517" i="2"/>
  <c r="Q1243" i="2"/>
  <c r="Q1259" i="2"/>
  <c r="Q1275" i="2"/>
  <c r="Q1291" i="2"/>
  <c r="Q1307" i="2"/>
  <c r="Q1323" i="2"/>
  <c r="R968" i="2"/>
  <c r="N1049" i="2"/>
  <c r="N1102" i="2"/>
  <c r="N925" i="2"/>
  <c r="S1017" i="2"/>
  <c r="S1065" i="2"/>
  <c r="S1102" i="2"/>
  <c r="R899" i="2"/>
  <c r="R947" i="2"/>
  <c r="R979" i="2"/>
  <c r="T996" i="2"/>
  <c r="T1004" i="2"/>
  <c r="T1012" i="2"/>
  <c r="T1020" i="2"/>
  <c r="T1028" i="2"/>
  <c r="T1036" i="2"/>
  <c r="T1044" i="2"/>
  <c r="T1052" i="2"/>
  <c r="T1060" i="2"/>
  <c r="T1068" i="2"/>
  <c r="T1076" i="2"/>
  <c r="T1084" i="2"/>
  <c r="T1104" i="2"/>
  <c r="U1127" i="2"/>
  <c r="U1135" i="2"/>
  <c r="U1143" i="2"/>
  <c r="U1151" i="2"/>
  <c r="U1159" i="2"/>
  <c r="U1167" i="2"/>
  <c r="U1175" i="2"/>
  <c r="U1183" i="2"/>
  <c r="U1191" i="2"/>
  <c r="U1199" i="2"/>
  <c r="U1207" i="2"/>
  <c r="U1215" i="2"/>
  <c r="U1223" i="2"/>
  <c r="U1231" i="2"/>
  <c r="U1239" i="2"/>
  <c r="U1247" i="2"/>
  <c r="U1255" i="2"/>
  <c r="U1263" i="2"/>
  <c r="U1271" i="2"/>
  <c r="U1279" i="2"/>
  <c r="U1287" i="2"/>
  <c r="U1295" i="2"/>
  <c r="U1303" i="2"/>
  <c r="U1311" i="2"/>
  <c r="U1319" i="2"/>
  <c r="U1327" i="2"/>
  <c r="U1335" i="2"/>
  <c r="U1343" i="2"/>
  <c r="U1351" i="2"/>
  <c r="U1359" i="2"/>
  <c r="U1367" i="2"/>
  <c r="P1103" i="2"/>
  <c r="R1126" i="2"/>
  <c r="R1134" i="2"/>
  <c r="R1142" i="2"/>
  <c r="R1150" i="2"/>
  <c r="R1158" i="2"/>
  <c r="R1166" i="2"/>
  <c r="R1174" i="2"/>
  <c r="R1182" i="2"/>
  <c r="R1190" i="2"/>
  <c r="R1198" i="2"/>
  <c r="R1206" i="2"/>
  <c r="R1214" i="2"/>
  <c r="R1222" i="2"/>
  <c r="R1230" i="2"/>
  <c r="R1238" i="2"/>
  <c r="R1246" i="2"/>
  <c r="R1254" i="2"/>
  <c r="R1262" i="2"/>
  <c r="R1270" i="2"/>
  <c r="R1278" i="2"/>
  <c r="R1286" i="2"/>
  <c r="R1294" i="2"/>
  <c r="R1302" i="2"/>
  <c r="R1310" i="2"/>
  <c r="R1318" i="2"/>
  <c r="R1326" i="2"/>
  <c r="R1334" i="2"/>
  <c r="R1342" i="2"/>
  <c r="R1350" i="2"/>
  <c r="R1358" i="2"/>
  <c r="R1366" i="2"/>
  <c r="T1095" i="2"/>
  <c r="T1124" i="2"/>
  <c r="S1140" i="2"/>
  <c r="S1156" i="2"/>
  <c r="S1172" i="2"/>
  <c r="S1188" i="2"/>
  <c r="S1204" i="2"/>
  <c r="S1220" i="2"/>
  <c r="S1236" i="2"/>
  <c r="S1252" i="2"/>
  <c r="S1268" i="2"/>
  <c r="S1284" i="2"/>
  <c r="S1300" i="2"/>
  <c r="S1316" i="2"/>
  <c r="S1332" i="2"/>
  <c r="S1348" i="2"/>
  <c r="S1364" i="2"/>
  <c r="P1110" i="2"/>
  <c r="P1128" i="2"/>
  <c r="P1136" i="2"/>
  <c r="P1144" i="2"/>
  <c r="P1152" i="2"/>
  <c r="P1160" i="2"/>
  <c r="P1168" i="2"/>
  <c r="P1176" i="2"/>
  <c r="P1184" i="2"/>
  <c r="P1192" i="2"/>
  <c r="P1200" i="2"/>
  <c r="P1208" i="2"/>
  <c r="P1216" i="2"/>
  <c r="P1224" i="2"/>
  <c r="P1232" i="2"/>
  <c r="P1240" i="2"/>
  <c r="Q1111" i="2"/>
  <c r="R944" i="2"/>
  <c r="N1011" i="2"/>
  <c r="N1043" i="2"/>
  <c r="N1075" i="2"/>
  <c r="N1099" i="2"/>
  <c r="N1115" i="2"/>
  <c r="N913" i="2"/>
  <c r="N977" i="2"/>
  <c r="S1011" i="2"/>
  <c r="S1040" i="2"/>
  <c r="S1061" i="2"/>
  <c r="S1083" i="2"/>
  <c r="S1099" i="2"/>
  <c r="S1115" i="2"/>
  <c r="R893" i="2"/>
  <c r="R925" i="2"/>
  <c r="R957" i="2"/>
  <c r="R989" i="2"/>
  <c r="P999" i="2"/>
  <c r="P1007" i="2"/>
  <c r="P1015" i="2"/>
  <c r="P1023" i="2"/>
  <c r="P1031" i="2"/>
  <c r="P1039" i="2"/>
  <c r="P1047" i="2"/>
  <c r="P1055" i="2"/>
  <c r="P1063" i="2"/>
  <c r="P1071" i="2"/>
  <c r="P1079" i="2"/>
  <c r="P1087" i="2"/>
  <c r="T1114" i="2"/>
  <c r="Q1130" i="2"/>
  <c r="Q1138" i="2"/>
  <c r="Q1146" i="2"/>
  <c r="Q1154" i="2"/>
  <c r="Q1162" i="2"/>
  <c r="Q1170" i="2"/>
  <c r="Q1178" i="2"/>
  <c r="Q1186" i="2"/>
  <c r="Q1194" i="2"/>
  <c r="Q1202" i="2"/>
  <c r="Q1210" i="2"/>
  <c r="Q1218" i="2"/>
  <c r="Q1226" i="2"/>
  <c r="Q1234" i="2"/>
  <c r="Q1242" i="2"/>
  <c r="Q1250" i="2"/>
  <c r="Q1258" i="2"/>
  <c r="Q1266" i="2"/>
  <c r="Q1274" i="2"/>
  <c r="Q1282" i="2"/>
  <c r="Q1290" i="2"/>
  <c r="Q1298" i="2"/>
  <c r="Q1306" i="2"/>
  <c r="Q1314" i="2"/>
  <c r="Q1322" i="2"/>
  <c r="Q1330" i="2"/>
  <c r="Q1338" i="2"/>
  <c r="Q1346" i="2"/>
  <c r="Q1354" i="2"/>
  <c r="Q1362" i="2"/>
  <c r="Q1370" i="2"/>
  <c r="P1113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T1105" i="2"/>
  <c r="S1129" i="2"/>
  <c r="S1145" i="2"/>
  <c r="S1161" i="2"/>
  <c r="S1177" i="2"/>
  <c r="S1193" i="2"/>
  <c r="S1209" i="2"/>
  <c r="S1225" i="2"/>
  <c r="S1241" i="2"/>
  <c r="S1257" i="2"/>
  <c r="S1273" i="2"/>
  <c r="S1289" i="2"/>
  <c r="S1305" i="2"/>
  <c r="S1321" i="2"/>
  <c r="S1337" i="2"/>
  <c r="S1353" i="2"/>
  <c r="S1369" i="2"/>
  <c r="P1120" i="2"/>
  <c r="T1130" i="2"/>
  <c r="T1138" i="2"/>
  <c r="T1146" i="2"/>
  <c r="T1154" i="2"/>
  <c r="T1162" i="2"/>
  <c r="T1170" i="2"/>
  <c r="T1178" i="2"/>
  <c r="T1186" i="2"/>
  <c r="T1194" i="2"/>
  <c r="T1202" i="2"/>
  <c r="T1210" i="2"/>
  <c r="T1218" i="2"/>
  <c r="T1226" i="2"/>
  <c r="T1234" i="2"/>
  <c r="T1242" i="2"/>
  <c r="T1265" i="2"/>
  <c r="T1297" i="2"/>
  <c r="T1329" i="2"/>
  <c r="T1361" i="2"/>
  <c r="P1378" i="2"/>
  <c r="Q1337" i="2"/>
  <c r="Q1369" i="2"/>
  <c r="N1144" i="2"/>
  <c r="N1176" i="2"/>
  <c r="N1208" i="2"/>
  <c r="N1240" i="2"/>
  <c r="N1272" i="2"/>
  <c r="N1304" i="2"/>
  <c r="N1336" i="2"/>
  <c r="N1368" i="2"/>
  <c r="S1159" i="2"/>
  <c r="S1223" i="2"/>
  <c r="S1287" i="2"/>
  <c r="S1351" i="2"/>
  <c r="T1137" i="2"/>
  <c r="T1169" i="2"/>
  <c r="T1201" i="2"/>
  <c r="T1233" i="2"/>
  <c r="T1275" i="2"/>
  <c r="T1317" i="2"/>
  <c r="T1359" i="2"/>
  <c r="T1380" i="2"/>
  <c r="P1389" i="2"/>
  <c r="P1397" i="2"/>
  <c r="P1405" i="2"/>
  <c r="P1413" i="2"/>
  <c r="P1421" i="2"/>
  <c r="P1429" i="2"/>
  <c r="P1437" i="2"/>
  <c r="P1445" i="2"/>
  <c r="P1453" i="2"/>
  <c r="P1461" i="2"/>
  <c r="P1469" i="2"/>
  <c r="P1477" i="2"/>
  <c r="P1485" i="2"/>
  <c r="P1493" i="2"/>
  <c r="P1501" i="2"/>
  <c r="P1509" i="2"/>
  <c r="P1517" i="2"/>
  <c r="P1525" i="2"/>
  <c r="P1533" i="2"/>
  <c r="Q1355" i="2"/>
  <c r="N1130" i="2"/>
  <c r="N1162" i="2"/>
  <c r="N1194" i="2"/>
  <c r="N1226" i="2"/>
  <c r="N1258" i="2"/>
  <c r="N1290" i="2"/>
  <c r="N1322" i="2"/>
  <c r="N1354" i="2"/>
  <c r="S1131" i="2"/>
  <c r="S1195" i="2"/>
  <c r="S1259" i="2"/>
  <c r="S1323" i="2"/>
  <c r="N1123" i="2"/>
  <c r="T1155" i="2"/>
  <c r="T1187" i="2"/>
  <c r="T1219" i="2"/>
  <c r="T1255" i="2"/>
  <c r="T1299" i="2"/>
  <c r="T1341" i="2"/>
  <c r="T1375" i="2"/>
  <c r="T1385" i="2"/>
  <c r="T1393" i="2"/>
  <c r="T1401" i="2"/>
  <c r="T1409" i="2"/>
  <c r="T1417" i="2"/>
  <c r="T1425" i="2"/>
  <c r="T1433" i="2"/>
  <c r="T1441" i="2"/>
  <c r="T1449" i="2"/>
  <c r="T1457" i="2"/>
  <c r="T1465" i="2"/>
  <c r="T1473" i="2"/>
  <c r="T1481" i="2"/>
  <c r="T1489" i="2"/>
  <c r="T1497" i="2"/>
  <c r="T1505" i="2"/>
  <c r="T1513" i="2"/>
  <c r="T1521" i="2"/>
  <c r="T1529" i="2"/>
  <c r="T1537" i="2"/>
  <c r="T1545" i="2"/>
  <c r="T1553" i="2"/>
  <c r="T1561" i="2"/>
  <c r="T1569" i="2"/>
  <c r="P1248" i="2"/>
  <c r="P1280" i="2"/>
  <c r="P1312" i="2"/>
  <c r="P1344" i="2"/>
  <c r="U1372" i="2"/>
  <c r="U1380" i="2"/>
  <c r="U1388" i="2"/>
  <c r="U1396" i="2"/>
  <c r="U1404" i="2"/>
  <c r="U1412" i="2"/>
  <c r="U1420" i="2"/>
  <c r="U1428" i="2"/>
  <c r="U1436" i="2"/>
  <c r="U1444" i="2"/>
  <c r="U1452" i="2"/>
  <c r="U1460" i="2"/>
  <c r="U1468" i="2"/>
  <c r="U1476" i="2"/>
  <c r="U1484" i="2"/>
  <c r="U1492" i="2"/>
  <c r="U1500" i="2"/>
  <c r="U1508" i="2"/>
  <c r="U1516" i="2"/>
  <c r="U1524" i="2"/>
  <c r="U1532" i="2"/>
  <c r="U1540" i="2"/>
  <c r="U1548" i="2"/>
  <c r="U1556" i="2"/>
  <c r="U1564" i="2"/>
  <c r="U1572" i="2"/>
  <c r="T1260" i="2"/>
  <c r="T1292" i="2"/>
  <c r="T1324" i="2"/>
  <c r="T1356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P1259" i="2"/>
  <c r="P1291" i="2"/>
  <c r="P1323" i="2"/>
  <c r="P1355" i="2"/>
  <c r="S1378" i="2"/>
  <c r="S1394" i="2"/>
  <c r="S1410" i="2"/>
  <c r="S1426" i="2"/>
  <c r="S1442" i="2"/>
  <c r="S1458" i="2"/>
  <c r="S1474" i="2"/>
  <c r="S1490" i="2"/>
  <c r="S1506" i="2"/>
  <c r="S1522" i="2"/>
  <c r="S1538" i="2"/>
  <c r="S1554" i="2"/>
  <c r="S1570" i="2"/>
  <c r="S1586" i="2"/>
  <c r="P1583" i="2"/>
  <c r="P1598" i="2"/>
  <c r="Q1333" i="2"/>
  <c r="Q1365" i="2"/>
  <c r="N1140" i="2"/>
  <c r="N1172" i="2"/>
  <c r="N1204" i="2"/>
  <c r="N1236" i="2"/>
  <c r="N1268" i="2"/>
  <c r="N1300" i="2"/>
  <c r="N1332" i="2"/>
  <c r="N1364" i="2"/>
  <c r="S1151" i="2"/>
  <c r="S1215" i="2"/>
  <c r="S1279" i="2"/>
  <c r="S1343" i="2"/>
  <c r="T1133" i="2"/>
  <c r="T1165" i="2"/>
  <c r="T1197" i="2"/>
  <c r="T1229" i="2"/>
  <c r="T1269" i="2"/>
  <c r="T1311" i="2"/>
  <c r="T1355" i="2"/>
  <c r="P1379" i="2"/>
  <c r="P1388" i="2"/>
  <c r="P1396" i="2"/>
  <c r="P1404" i="2"/>
  <c r="P1412" i="2"/>
  <c r="P1420" i="2"/>
  <c r="P1428" i="2"/>
  <c r="P1436" i="2"/>
  <c r="P1444" i="2"/>
  <c r="P1452" i="2"/>
  <c r="P1460" i="2"/>
  <c r="P1468" i="2"/>
  <c r="P1476" i="2"/>
  <c r="P1484" i="2"/>
  <c r="P1492" i="2"/>
  <c r="P1500" i="2"/>
  <c r="P1508" i="2"/>
  <c r="P1516" i="2"/>
  <c r="P1524" i="2"/>
  <c r="P1532" i="2"/>
  <c r="P1540" i="2"/>
  <c r="P1548" i="2"/>
  <c r="P1556" i="2"/>
  <c r="P1564" i="2"/>
  <c r="P1572" i="2"/>
  <c r="P1258" i="2"/>
  <c r="P1290" i="2"/>
  <c r="P1322" i="2"/>
  <c r="P1354" i="2"/>
  <c r="Q1375" i="2"/>
  <c r="Q1383" i="2"/>
  <c r="Q1391" i="2"/>
  <c r="Q1399" i="2"/>
  <c r="Q1407" i="2"/>
  <c r="Q1415" i="2"/>
  <c r="Q1423" i="2"/>
  <c r="Q1431" i="2"/>
  <c r="Q1439" i="2"/>
  <c r="Q1447" i="2"/>
  <c r="Q1455" i="2"/>
  <c r="Q1463" i="2"/>
  <c r="Q1471" i="2"/>
  <c r="Q1479" i="2"/>
  <c r="Q1487" i="2"/>
  <c r="Q1495" i="2"/>
  <c r="Q1503" i="2"/>
  <c r="Q1511" i="2"/>
  <c r="Q1519" i="2"/>
  <c r="Q1249" i="2"/>
  <c r="Q1265" i="2"/>
  <c r="Q1281" i="2"/>
  <c r="Q1297" i="2"/>
  <c r="Q1313" i="2"/>
  <c r="Q1109" i="2"/>
  <c r="N1009" i="2"/>
  <c r="N1073" i="2"/>
  <c r="N1114" i="2"/>
  <c r="N973" i="2"/>
  <c r="S1039" i="2"/>
  <c r="S1081" i="2"/>
  <c r="S1114" i="2"/>
  <c r="R923" i="2"/>
  <c r="R955" i="2"/>
  <c r="U988" i="2"/>
  <c r="T998" i="2"/>
  <c r="T1006" i="2"/>
  <c r="T1014" i="2"/>
  <c r="T1022" i="2"/>
  <c r="T1030" i="2"/>
  <c r="T1038" i="2"/>
  <c r="T1046" i="2"/>
  <c r="T1054" i="2"/>
  <c r="T1062" i="2"/>
  <c r="T1070" i="2"/>
  <c r="T1078" i="2"/>
  <c r="T1086" i="2"/>
  <c r="T1112" i="2"/>
  <c r="U1129" i="2"/>
  <c r="U1137" i="2"/>
  <c r="U1145" i="2"/>
  <c r="U1153" i="2"/>
  <c r="U1161" i="2"/>
  <c r="U1169" i="2"/>
  <c r="U1177" i="2"/>
  <c r="U1185" i="2"/>
  <c r="U1193" i="2"/>
  <c r="U1201" i="2"/>
  <c r="U1209" i="2"/>
  <c r="U1217" i="2"/>
  <c r="U1225" i="2"/>
  <c r="U1233" i="2"/>
  <c r="U1241" i="2"/>
  <c r="U1249" i="2"/>
  <c r="U1257" i="2"/>
  <c r="U1265" i="2"/>
  <c r="U1273" i="2"/>
  <c r="U1281" i="2"/>
  <c r="U1289" i="2"/>
  <c r="U1297" i="2"/>
  <c r="U1305" i="2"/>
  <c r="U1313" i="2"/>
  <c r="U1321" i="2"/>
  <c r="U1329" i="2"/>
  <c r="U1337" i="2"/>
  <c r="U1345" i="2"/>
  <c r="U1353" i="2"/>
  <c r="U1361" i="2"/>
  <c r="U1369" i="2"/>
  <c r="P1111" i="2"/>
  <c r="R1128" i="2"/>
  <c r="R1136" i="2"/>
  <c r="R1144" i="2"/>
  <c r="R1152" i="2"/>
  <c r="R1160" i="2"/>
  <c r="R1168" i="2"/>
  <c r="R1176" i="2"/>
  <c r="R1184" i="2"/>
  <c r="R1192" i="2"/>
  <c r="R1200" i="2"/>
  <c r="R1208" i="2"/>
  <c r="R1216" i="2"/>
  <c r="R1224" i="2"/>
  <c r="R1232" i="2"/>
  <c r="R1240" i="2"/>
  <c r="R1248" i="2"/>
  <c r="R1256" i="2"/>
  <c r="R1264" i="2"/>
  <c r="R1272" i="2"/>
  <c r="R1280" i="2"/>
  <c r="R1288" i="2"/>
  <c r="R1296" i="2"/>
  <c r="R1304" i="2"/>
  <c r="R1312" i="2"/>
  <c r="R1320" i="2"/>
  <c r="R1328" i="2"/>
  <c r="R1336" i="2"/>
  <c r="R1344" i="2"/>
  <c r="R1352" i="2"/>
  <c r="R1360" i="2"/>
  <c r="R1368" i="2"/>
  <c r="T1103" i="2"/>
  <c r="S1128" i="2"/>
  <c r="S1144" i="2"/>
  <c r="S1160" i="2"/>
  <c r="S1176" i="2"/>
  <c r="S1192" i="2"/>
  <c r="S1208" i="2"/>
  <c r="S1224" i="2"/>
  <c r="S1240" i="2"/>
  <c r="S1256" i="2"/>
  <c r="S1272" i="2"/>
  <c r="S1288" i="2"/>
  <c r="S1304" i="2"/>
  <c r="S1320" i="2"/>
  <c r="S1336" i="2"/>
  <c r="S1352" i="2"/>
  <c r="S1368" i="2"/>
  <c r="P1118" i="2"/>
  <c r="P1130" i="2"/>
  <c r="P1138" i="2"/>
  <c r="P1146" i="2"/>
  <c r="P1154" i="2"/>
  <c r="P1162" i="2"/>
  <c r="P1170" i="2"/>
  <c r="P1178" i="2"/>
  <c r="P1186" i="2"/>
  <c r="P1194" i="2"/>
  <c r="P1202" i="2"/>
  <c r="P1210" i="2"/>
  <c r="P1218" i="2"/>
  <c r="P1226" i="2"/>
  <c r="P1234" i="2"/>
  <c r="P1242" i="2"/>
  <c r="Q1119" i="2"/>
  <c r="R976" i="2"/>
  <c r="N1019" i="2"/>
  <c r="N1051" i="2"/>
  <c r="N1083" i="2"/>
  <c r="N1103" i="2"/>
  <c r="N1119" i="2"/>
  <c r="N929" i="2"/>
  <c r="Q989" i="2"/>
  <c r="S1019" i="2"/>
  <c r="S1045" i="2"/>
  <c r="S1067" i="2"/>
  <c r="S1087" i="2"/>
  <c r="S1103" i="2"/>
  <c r="S1119" i="2"/>
  <c r="R901" i="2"/>
  <c r="R933" i="2"/>
  <c r="R965" i="2"/>
  <c r="P993" i="2"/>
  <c r="P1001" i="2"/>
  <c r="P1009" i="2"/>
  <c r="P1017" i="2"/>
  <c r="P1025" i="2"/>
  <c r="P1033" i="2"/>
  <c r="P1041" i="2"/>
  <c r="P1049" i="2"/>
  <c r="P1057" i="2"/>
  <c r="P1065" i="2"/>
  <c r="P1073" i="2"/>
  <c r="P1081" i="2"/>
  <c r="T1090" i="2"/>
  <c r="P1122" i="2"/>
  <c r="Q1132" i="2"/>
  <c r="Q1140" i="2"/>
  <c r="Q1148" i="2"/>
  <c r="Q1156" i="2"/>
  <c r="Q1164" i="2"/>
  <c r="Q1172" i="2"/>
  <c r="Q1180" i="2"/>
  <c r="Q1188" i="2"/>
  <c r="Q1196" i="2"/>
  <c r="Q1204" i="2"/>
  <c r="Q1212" i="2"/>
  <c r="Q1220" i="2"/>
  <c r="Q1228" i="2"/>
  <c r="Q1236" i="2"/>
  <c r="Q1244" i="2"/>
  <c r="Q1252" i="2"/>
  <c r="Q1260" i="2"/>
  <c r="Q1268" i="2"/>
  <c r="Q1276" i="2"/>
  <c r="Q1284" i="2"/>
  <c r="Q1292" i="2"/>
  <c r="Q1300" i="2"/>
  <c r="Q1308" i="2"/>
  <c r="Q1316" i="2"/>
  <c r="Q1324" i="2"/>
  <c r="Q1332" i="2"/>
  <c r="Q1340" i="2"/>
  <c r="Q1348" i="2"/>
  <c r="Q1356" i="2"/>
  <c r="Q1364" i="2"/>
  <c r="P1089" i="2"/>
  <c r="P1121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T1113" i="2"/>
  <c r="S1133" i="2"/>
  <c r="S1149" i="2"/>
  <c r="S1165" i="2"/>
  <c r="S1181" i="2"/>
  <c r="S1197" i="2"/>
  <c r="S1213" i="2"/>
  <c r="S1229" i="2"/>
  <c r="S1245" i="2"/>
  <c r="S1261" i="2"/>
  <c r="S1277" i="2"/>
  <c r="S1293" i="2"/>
  <c r="S1309" i="2"/>
  <c r="S1325" i="2"/>
  <c r="S1341" i="2"/>
  <c r="S1357" i="2"/>
  <c r="P1096" i="2"/>
  <c r="P1124" i="2"/>
  <c r="T1132" i="2"/>
  <c r="T1140" i="2"/>
  <c r="T1148" i="2"/>
  <c r="T1156" i="2"/>
  <c r="T1164" i="2"/>
  <c r="T1172" i="2"/>
  <c r="T1180" i="2"/>
  <c r="T1188" i="2"/>
  <c r="T1196" i="2"/>
  <c r="T1204" i="2"/>
  <c r="T1212" i="2"/>
  <c r="T1220" i="2"/>
  <c r="T1228" i="2"/>
  <c r="T1236" i="2"/>
  <c r="T1244" i="2"/>
  <c r="T1273" i="2"/>
  <c r="T1305" i="2"/>
  <c r="T1337" i="2"/>
  <c r="T1369" i="2"/>
  <c r="P1380" i="2"/>
  <c r="Q1345" i="2"/>
  <c r="P1109" i="2"/>
  <c r="N1152" i="2"/>
  <c r="N1184" i="2"/>
  <c r="N1216" i="2"/>
  <c r="N1248" i="2"/>
  <c r="N1280" i="2"/>
  <c r="N1312" i="2"/>
  <c r="N1344" i="2"/>
  <c r="T1101" i="2"/>
  <c r="S1175" i="2"/>
  <c r="S1239" i="2"/>
  <c r="S1303" i="2"/>
  <c r="S1367" i="2"/>
  <c r="T1145" i="2"/>
  <c r="T1177" i="2"/>
  <c r="T1209" i="2"/>
  <c r="T1241" i="2"/>
  <c r="T1285" i="2"/>
  <c r="T1327" i="2"/>
  <c r="T1372" i="2"/>
  <c r="P1383" i="2"/>
  <c r="P1391" i="2"/>
  <c r="P1399" i="2"/>
  <c r="P1407" i="2"/>
  <c r="P1415" i="2"/>
  <c r="P1423" i="2"/>
  <c r="P1431" i="2"/>
  <c r="P1439" i="2"/>
  <c r="P1447" i="2"/>
  <c r="P1455" i="2"/>
  <c r="P1463" i="2"/>
  <c r="P1471" i="2"/>
  <c r="P1479" i="2"/>
  <c r="P1487" i="2"/>
  <c r="P1495" i="2"/>
  <c r="P1503" i="2"/>
  <c r="P1511" i="2"/>
  <c r="P1519" i="2"/>
  <c r="P1527" i="2"/>
  <c r="Q1331" i="2"/>
  <c r="Q1363" i="2"/>
  <c r="N1138" i="2"/>
  <c r="N1170" i="2"/>
  <c r="N1202" i="2"/>
  <c r="N1234" i="2"/>
  <c r="N1266" i="2"/>
  <c r="N1298" i="2"/>
  <c r="N1330" i="2"/>
  <c r="N1362" i="2"/>
  <c r="S1147" i="2"/>
  <c r="S1211" i="2"/>
  <c r="S1275" i="2"/>
  <c r="S1339" i="2"/>
  <c r="T1131" i="2"/>
  <c r="T1163" i="2"/>
  <c r="T1195" i="2"/>
  <c r="T1227" i="2"/>
  <c r="T1267" i="2"/>
  <c r="T1309" i="2"/>
  <c r="T1351" i="2"/>
  <c r="T1378" i="2"/>
  <c r="T1387" i="2"/>
  <c r="T1395" i="2"/>
  <c r="T1403" i="2"/>
  <c r="T1411" i="2"/>
  <c r="T1419" i="2"/>
  <c r="T1427" i="2"/>
  <c r="T1435" i="2"/>
  <c r="T1443" i="2"/>
  <c r="T1451" i="2"/>
  <c r="T1459" i="2"/>
  <c r="T1467" i="2"/>
  <c r="T1475" i="2"/>
  <c r="T1483" i="2"/>
  <c r="T1491" i="2"/>
  <c r="T1499" i="2"/>
  <c r="T1507" i="2"/>
  <c r="T1515" i="2"/>
  <c r="T1523" i="2"/>
  <c r="T1531" i="2"/>
  <c r="T1539" i="2"/>
  <c r="T1547" i="2"/>
  <c r="T1555" i="2"/>
  <c r="T1563" i="2"/>
  <c r="T1571" i="2"/>
  <c r="P1256" i="2"/>
  <c r="P1288" i="2"/>
  <c r="P1320" i="2"/>
  <c r="P1352" i="2"/>
  <c r="U1374" i="2"/>
  <c r="U1382" i="2"/>
  <c r="U1390" i="2"/>
  <c r="U1398" i="2"/>
  <c r="U1406" i="2"/>
  <c r="U1414" i="2"/>
  <c r="U1422" i="2"/>
  <c r="U1430" i="2"/>
  <c r="U1438" i="2"/>
  <c r="U1446" i="2"/>
  <c r="U1454" i="2"/>
  <c r="U1462" i="2"/>
  <c r="U1470" i="2"/>
  <c r="U1478" i="2"/>
  <c r="U1486" i="2"/>
  <c r="U1494" i="2"/>
  <c r="U1502" i="2"/>
  <c r="U1510" i="2"/>
  <c r="U1518" i="2"/>
  <c r="U1526" i="2"/>
  <c r="U1534" i="2"/>
  <c r="U1542" i="2"/>
  <c r="U1550" i="2"/>
  <c r="U1558" i="2"/>
  <c r="U1566" i="2"/>
  <c r="U1574" i="2"/>
  <c r="T1268" i="2"/>
  <c r="T1300" i="2"/>
  <c r="T1332" i="2"/>
  <c r="T1364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P1267" i="2"/>
  <c r="P1299" i="2"/>
  <c r="P1331" i="2"/>
  <c r="P1363" i="2"/>
  <c r="S1382" i="2"/>
  <c r="S1398" i="2"/>
  <c r="S1414" i="2"/>
  <c r="S1430" i="2"/>
  <c r="S1446" i="2"/>
  <c r="S1462" i="2"/>
  <c r="S1478" i="2"/>
  <c r="S1494" i="2"/>
  <c r="S1510" i="2"/>
  <c r="S1526" i="2"/>
  <c r="S1542" i="2"/>
  <c r="S1558" i="2"/>
  <c r="S1574" i="2"/>
  <c r="S1590" i="2"/>
  <c r="P1587" i="2"/>
  <c r="P1600" i="2"/>
  <c r="Q1341" i="2"/>
  <c r="P1093" i="2"/>
  <c r="N1148" i="2"/>
  <c r="N1180" i="2"/>
  <c r="N1212" i="2"/>
  <c r="N1244" i="2"/>
  <c r="N1276" i="2"/>
  <c r="N1308" i="2"/>
  <c r="N1340" i="2"/>
  <c r="N1372" i="2"/>
  <c r="S1167" i="2"/>
  <c r="S1231" i="2"/>
  <c r="S1295" i="2"/>
  <c r="S1359" i="2"/>
  <c r="T1141" i="2"/>
  <c r="T1173" i="2"/>
  <c r="T1205" i="2"/>
  <c r="T1237" i="2"/>
  <c r="T1279" i="2"/>
  <c r="T1323" i="2"/>
  <c r="T1365" i="2"/>
  <c r="T1381" i="2"/>
  <c r="P1390" i="2"/>
  <c r="P1398" i="2"/>
  <c r="P1406" i="2"/>
  <c r="P1414" i="2"/>
  <c r="P1422" i="2"/>
  <c r="P1430" i="2"/>
  <c r="P1438" i="2"/>
  <c r="P1446" i="2"/>
  <c r="P1454" i="2"/>
  <c r="P1462" i="2"/>
  <c r="P1470" i="2"/>
  <c r="P1478" i="2"/>
  <c r="P1486" i="2"/>
  <c r="P1494" i="2"/>
  <c r="P1502" i="2"/>
  <c r="P1510" i="2"/>
  <c r="P1518" i="2"/>
  <c r="P1526" i="2"/>
  <c r="P1534" i="2"/>
  <c r="P1542" i="2"/>
  <c r="P1550" i="2"/>
  <c r="P1558" i="2"/>
  <c r="P1566" i="2"/>
  <c r="P1574" i="2"/>
  <c r="P1266" i="2"/>
  <c r="P1298" i="2"/>
  <c r="P1330" i="2"/>
  <c r="P1362" i="2"/>
  <c r="Q1377" i="2"/>
  <c r="Q1385" i="2"/>
  <c r="Q1393" i="2"/>
  <c r="Q1401" i="2"/>
  <c r="Q1409" i="2"/>
  <c r="Q1417" i="2"/>
  <c r="Q1425" i="2"/>
  <c r="Q1433" i="2"/>
  <c r="Q1441" i="2"/>
  <c r="Q1449" i="2"/>
  <c r="Q1457" i="2"/>
  <c r="Q1465" i="2"/>
  <c r="Q1473" i="2"/>
  <c r="Q1481" i="2"/>
  <c r="Q1489" i="2"/>
  <c r="Q1497" i="2"/>
  <c r="Q1505" i="2"/>
  <c r="Q1513" i="2"/>
  <c r="Q1521" i="2"/>
  <c r="Q1529" i="2"/>
  <c r="Q1537" i="2"/>
  <c r="Q1545" i="2"/>
  <c r="Q1553" i="2"/>
  <c r="Q1561" i="2"/>
  <c r="Q1569" i="2"/>
  <c r="T1246" i="2"/>
  <c r="T1278" i="2"/>
  <c r="T1310" i="2"/>
  <c r="T1342" i="2"/>
  <c r="Q1372" i="2"/>
  <c r="R1380" i="2"/>
  <c r="R1388" i="2"/>
  <c r="R1396" i="2"/>
  <c r="R1404" i="2"/>
  <c r="R1412" i="2"/>
  <c r="R1420" i="2"/>
  <c r="Q1251" i="2"/>
  <c r="Q1267" i="2"/>
  <c r="Q1283" i="2"/>
  <c r="Q1299" i="2"/>
  <c r="Q1315" i="2"/>
  <c r="Q1117" i="2"/>
  <c r="N1017" i="2"/>
  <c r="N1081" i="2"/>
  <c r="N1118" i="2"/>
  <c r="N988" i="2"/>
  <c r="S1044" i="2"/>
  <c r="S1086" i="2"/>
  <c r="S1118" i="2"/>
  <c r="R931" i="2"/>
  <c r="R963" i="2"/>
  <c r="T992" i="2"/>
  <c r="T1000" i="2"/>
  <c r="T1008" i="2"/>
  <c r="T1016" i="2"/>
  <c r="T1024" i="2"/>
  <c r="T1032" i="2"/>
  <c r="T1040" i="2"/>
  <c r="T1048" i="2"/>
  <c r="T1056" i="2"/>
  <c r="T1064" i="2"/>
  <c r="T1072" i="2"/>
  <c r="T1080" i="2"/>
  <c r="T1088" i="2"/>
  <c r="T1120" i="2"/>
  <c r="U1131" i="2"/>
  <c r="U1139" i="2"/>
  <c r="U1147" i="2"/>
  <c r="U1155" i="2"/>
  <c r="U1163" i="2"/>
  <c r="U1171" i="2"/>
  <c r="U1179" i="2"/>
  <c r="U1187" i="2"/>
  <c r="U1195" i="2"/>
  <c r="U1203" i="2"/>
  <c r="U1211" i="2"/>
  <c r="U1219" i="2"/>
  <c r="U1227" i="2"/>
  <c r="U1235" i="2"/>
  <c r="U1243" i="2"/>
  <c r="U1251" i="2"/>
  <c r="U1259" i="2"/>
  <c r="U1267" i="2"/>
  <c r="U1275" i="2"/>
  <c r="U1283" i="2"/>
  <c r="U1291" i="2"/>
  <c r="U1299" i="2"/>
  <c r="U1307" i="2"/>
  <c r="U1315" i="2"/>
  <c r="U1323" i="2"/>
  <c r="U1331" i="2"/>
  <c r="U1339" i="2"/>
  <c r="U1347" i="2"/>
  <c r="U1355" i="2"/>
  <c r="U1363" i="2"/>
  <c r="U1371" i="2"/>
  <c r="P1119" i="2"/>
  <c r="R1130" i="2"/>
  <c r="R1138" i="2"/>
  <c r="R1146" i="2"/>
  <c r="R1154" i="2"/>
  <c r="R1162" i="2"/>
  <c r="R1170" i="2"/>
  <c r="R1178" i="2"/>
  <c r="R1186" i="2"/>
  <c r="R1194" i="2"/>
  <c r="R1202" i="2"/>
  <c r="R1210" i="2"/>
  <c r="R1218" i="2"/>
  <c r="R1226" i="2"/>
  <c r="R1234" i="2"/>
  <c r="R1242" i="2"/>
  <c r="R1250" i="2"/>
  <c r="R1258" i="2"/>
  <c r="R1266" i="2"/>
  <c r="R1274" i="2"/>
  <c r="R1282" i="2"/>
  <c r="R1290" i="2"/>
  <c r="R1298" i="2"/>
  <c r="R1306" i="2"/>
  <c r="R1314" i="2"/>
  <c r="R1322" i="2"/>
  <c r="R1330" i="2"/>
  <c r="R1338" i="2"/>
  <c r="R1346" i="2"/>
  <c r="R1354" i="2"/>
  <c r="R1362" i="2"/>
  <c r="R1370" i="2"/>
  <c r="T1111" i="2"/>
  <c r="S1132" i="2"/>
  <c r="S1148" i="2"/>
  <c r="S1164" i="2"/>
  <c r="S1180" i="2"/>
  <c r="S1196" i="2"/>
  <c r="S1212" i="2"/>
  <c r="S1228" i="2"/>
  <c r="S1244" i="2"/>
  <c r="S1260" i="2"/>
  <c r="S1276" i="2"/>
  <c r="S1292" i="2"/>
  <c r="S1308" i="2"/>
  <c r="S1324" i="2"/>
  <c r="S1340" i="2"/>
  <c r="S1356" i="2"/>
  <c r="P1094" i="2"/>
  <c r="S1123" i="2"/>
  <c r="P1132" i="2"/>
  <c r="P1140" i="2"/>
  <c r="P1148" i="2"/>
  <c r="P1156" i="2"/>
  <c r="P1164" i="2"/>
  <c r="P1172" i="2"/>
  <c r="P1180" i="2"/>
  <c r="P1188" i="2"/>
  <c r="P1196" i="2"/>
  <c r="P1204" i="2"/>
  <c r="P1212" i="2"/>
  <c r="P1220" i="2"/>
  <c r="P1228" i="2"/>
  <c r="P1236" i="2"/>
  <c r="P1244" i="2"/>
  <c r="N880" i="2"/>
  <c r="N995" i="2"/>
  <c r="N1027" i="2"/>
  <c r="N1059" i="2"/>
  <c r="N1091" i="2"/>
  <c r="N1107" i="2"/>
  <c r="T880" i="2"/>
  <c r="N945" i="2"/>
  <c r="S995" i="2"/>
  <c r="S1027" i="2"/>
  <c r="S1051" i="2"/>
  <c r="S1072" i="2"/>
  <c r="S1091" i="2"/>
  <c r="S1107" i="2"/>
  <c r="N876" i="2"/>
  <c r="R909" i="2"/>
  <c r="R941" i="2"/>
  <c r="R973" i="2"/>
  <c r="P995" i="2"/>
  <c r="P1003" i="2"/>
  <c r="P1011" i="2"/>
  <c r="P1019" i="2"/>
  <c r="P1027" i="2"/>
  <c r="P1035" i="2"/>
  <c r="P1043" i="2"/>
  <c r="P1051" i="2"/>
  <c r="P1059" i="2"/>
  <c r="P1067" i="2"/>
  <c r="P1075" i="2"/>
  <c r="P1083" i="2"/>
  <c r="T1098" i="2"/>
  <c r="Q1126" i="2"/>
  <c r="Q1134" i="2"/>
  <c r="Q1142" i="2"/>
  <c r="Q1150" i="2"/>
  <c r="Q1158" i="2"/>
  <c r="Q1166" i="2"/>
  <c r="Q1174" i="2"/>
  <c r="Q1182" i="2"/>
  <c r="Q1190" i="2"/>
  <c r="Q1198" i="2"/>
  <c r="Q1206" i="2"/>
  <c r="Q1214" i="2"/>
  <c r="Q1222" i="2"/>
  <c r="Q1230" i="2"/>
  <c r="Q1238" i="2"/>
  <c r="Q1246" i="2"/>
  <c r="Q1254" i="2"/>
  <c r="Q1262" i="2"/>
  <c r="Q1270" i="2"/>
  <c r="Q1278" i="2"/>
  <c r="Q1286" i="2"/>
  <c r="Q1294" i="2"/>
  <c r="Q1302" i="2"/>
  <c r="Q1310" i="2"/>
  <c r="Q1318" i="2"/>
  <c r="Q1326" i="2"/>
  <c r="Q1334" i="2"/>
  <c r="Q1342" i="2"/>
  <c r="Q1350" i="2"/>
  <c r="Q1358" i="2"/>
  <c r="Q1366" i="2"/>
  <c r="P1097" i="2"/>
  <c r="S1124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T1089" i="2"/>
  <c r="T1121" i="2"/>
  <c r="S1137" i="2"/>
  <c r="S1153" i="2"/>
  <c r="S1169" i="2"/>
  <c r="S1185" i="2"/>
  <c r="S1201" i="2"/>
  <c r="S1217" i="2"/>
  <c r="S1233" i="2"/>
  <c r="S1249" i="2"/>
  <c r="S1265" i="2"/>
  <c r="S1281" i="2"/>
  <c r="S1297" i="2"/>
  <c r="S1313" i="2"/>
  <c r="S1329" i="2"/>
  <c r="S1345" i="2"/>
  <c r="S1361" i="2"/>
  <c r="P1104" i="2"/>
  <c r="T1126" i="2"/>
  <c r="T1134" i="2"/>
  <c r="T1142" i="2"/>
  <c r="T1150" i="2"/>
  <c r="T1158" i="2"/>
  <c r="T1166" i="2"/>
  <c r="T1174" i="2"/>
  <c r="T1182" i="2"/>
  <c r="T1190" i="2"/>
  <c r="T1198" i="2"/>
  <c r="T1206" i="2"/>
  <c r="T1214" i="2"/>
  <c r="T1222" i="2"/>
  <c r="T1230" i="2"/>
  <c r="T1238" i="2"/>
  <c r="T1249" i="2"/>
  <c r="T1281" i="2"/>
  <c r="T1313" i="2"/>
  <c r="T1345" i="2"/>
  <c r="P1374" i="2"/>
  <c r="P1382" i="2"/>
  <c r="Q1353" i="2"/>
  <c r="N1128" i="2"/>
  <c r="N1160" i="2"/>
  <c r="N1192" i="2"/>
  <c r="N1224" i="2"/>
  <c r="N1256" i="2"/>
  <c r="N1288" i="2"/>
  <c r="N1320" i="2"/>
  <c r="N1352" i="2"/>
  <c r="S1127" i="2"/>
  <c r="S1191" i="2"/>
  <c r="S1255" i="2"/>
  <c r="S1319" i="2"/>
  <c r="P1116" i="2"/>
  <c r="T1153" i="2"/>
  <c r="T1185" i="2"/>
  <c r="T1217" i="2"/>
  <c r="T1253" i="2"/>
  <c r="T1295" i="2"/>
  <c r="T1339" i="2"/>
  <c r="P1375" i="2"/>
  <c r="P1385" i="2"/>
  <c r="P1393" i="2"/>
  <c r="P1401" i="2"/>
  <c r="P1409" i="2"/>
  <c r="P1417" i="2"/>
  <c r="P1425" i="2"/>
  <c r="P1433" i="2"/>
  <c r="P1441" i="2"/>
  <c r="P1449" i="2"/>
  <c r="P1457" i="2"/>
  <c r="P1465" i="2"/>
  <c r="P1473" i="2"/>
  <c r="P1481" i="2"/>
  <c r="P1489" i="2"/>
  <c r="P1497" i="2"/>
  <c r="P1505" i="2"/>
  <c r="P1513" i="2"/>
  <c r="P1521" i="2"/>
  <c r="P1529" i="2"/>
  <c r="Q1339" i="2"/>
  <c r="Q1371" i="2"/>
  <c r="N1146" i="2"/>
  <c r="N1178" i="2"/>
  <c r="N1210" i="2"/>
  <c r="N1242" i="2"/>
  <c r="N1274" i="2"/>
  <c r="N1306" i="2"/>
  <c r="N1338" i="2"/>
  <c r="N1370" i="2"/>
  <c r="S1163" i="2"/>
  <c r="S1227" i="2"/>
  <c r="S1291" i="2"/>
  <c r="S1355" i="2"/>
  <c r="T1139" i="2"/>
  <c r="T1171" i="2"/>
  <c r="T1203" i="2"/>
  <c r="T1235" i="2"/>
  <c r="T1277" i="2"/>
  <c r="T1319" i="2"/>
  <c r="T1363" i="2"/>
  <c r="P1381" i="2"/>
  <c r="T1389" i="2"/>
  <c r="T1397" i="2"/>
  <c r="T1405" i="2"/>
  <c r="T1413" i="2"/>
  <c r="T1421" i="2"/>
  <c r="T1429" i="2"/>
  <c r="T1437" i="2"/>
  <c r="T1445" i="2"/>
  <c r="T1453" i="2"/>
  <c r="T1461" i="2"/>
  <c r="T1469" i="2"/>
  <c r="T1477" i="2"/>
  <c r="T1485" i="2"/>
  <c r="T1493" i="2"/>
  <c r="T1501" i="2"/>
  <c r="T1509" i="2"/>
  <c r="T1517" i="2"/>
  <c r="T1525" i="2"/>
  <c r="T1533" i="2"/>
  <c r="T1541" i="2"/>
  <c r="T1549" i="2"/>
  <c r="T1557" i="2"/>
  <c r="T1565" i="2"/>
  <c r="T1573" i="2"/>
  <c r="P1264" i="2"/>
  <c r="P1296" i="2"/>
  <c r="P1328" i="2"/>
  <c r="P1360" i="2"/>
  <c r="U1376" i="2"/>
  <c r="U1384" i="2"/>
  <c r="U1392" i="2"/>
  <c r="U1400" i="2"/>
  <c r="U1408" i="2"/>
  <c r="U1416" i="2"/>
  <c r="U1424" i="2"/>
  <c r="U1432" i="2"/>
  <c r="U1440" i="2"/>
  <c r="U1448" i="2"/>
  <c r="U1456" i="2"/>
  <c r="U1464" i="2"/>
  <c r="U1472" i="2"/>
  <c r="U1480" i="2"/>
  <c r="U1488" i="2"/>
  <c r="U1496" i="2"/>
  <c r="U1504" i="2"/>
  <c r="U1512" i="2"/>
  <c r="U1520" i="2"/>
  <c r="U1528" i="2"/>
  <c r="U1536" i="2"/>
  <c r="U1544" i="2"/>
  <c r="U1552" i="2"/>
  <c r="U1560" i="2"/>
  <c r="U1568" i="2"/>
  <c r="U1576" i="2"/>
  <c r="T1276" i="2"/>
  <c r="T1308" i="2"/>
  <c r="T1340" i="2"/>
  <c r="S1371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P1275" i="2"/>
  <c r="P1307" i="2"/>
  <c r="P1339" i="2"/>
  <c r="T1370" i="2"/>
  <c r="S1386" i="2"/>
  <c r="S1402" i="2"/>
  <c r="S1418" i="2"/>
  <c r="S1434" i="2"/>
  <c r="S1450" i="2"/>
  <c r="S1466" i="2"/>
  <c r="S1482" i="2"/>
  <c r="S1498" i="2"/>
  <c r="S1514" i="2"/>
  <c r="S1530" i="2"/>
  <c r="S1546" i="2"/>
  <c r="S1562" i="2"/>
  <c r="S1578" i="2"/>
  <c r="S1594" i="2"/>
  <c r="P1591" i="2"/>
  <c r="P1602" i="2"/>
  <c r="Q1349" i="2"/>
  <c r="P1123" i="2"/>
  <c r="N1156" i="2"/>
  <c r="N1188" i="2"/>
  <c r="N1220" i="2"/>
  <c r="N1252" i="2"/>
  <c r="N1284" i="2"/>
  <c r="N1316" i="2"/>
  <c r="N1348" i="2"/>
  <c r="T1117" i="2"/>
  <c r="S1183" i="2"/>
  <c r="S1247" i="2"/>
  <c r="S1311" i="2"/>
  <c r="P1100" i="2"/>
  <c r="T1149" i="2"/>
  <c r="T1181" i="2"/>
  <c r="T1213" i="2"/>
  <c r="T1245" i="2"/>
  <c r="T1291" i="2"/>
  <c r="T1333" i="2"/>
  <c r="T1373" i="2"/>
  <c r="P1384" i="2"/>
  <c r="P1392" i="2"/>
  <c r="P1400" i="2"/>
  <c r="P1408" i="2"/>
  <c r="P1416" i="2"/>
  <c r="P1424" i="2"/>
  <c r="P1432" i="2"/>
  <c r="P1440" i="2"/>
  <c r="P1448" i="2"/>
  <c r="P1456" i="2"/>
  <c r="P1464" i="2"/>
  <c r="P1472" i="2"/>
  <c r="P1480" i="2"/>
  <c r="P1488" i="2"/>
  <c r="P1496" i="2"/>
  <c r="P1504" i="2"/>
  <c r="P1512" i="2"/>
  <c r="P1520" i="2"/>
  <c r="P1528" i="2"/>
  <c r="P1536" i="2"/>
  <c r="P1544" i="2"/>
  <c r="P1552" i="2"/>
  <c r="P1560" i="2"/>
  <c r="P1568" i="2"/>
  <c r="P1576" i="2"/>
  <c r="P1274" i="2"/>
  <c r="P1306" i="2"/>
  <c r="P1338" i="2"/>
  <c r="P1370" i="2"/>
  <c r="Q1379" i="2"/>
  <c r="Q1387" i="2"/>
  <c r="Q1395" i="2"/>
  <c r="Q1403" i="2"/>
  <c r="Q1411" i="2"/>
  <c r="Q1419" i="2"/>
  <c r="Q1427" i="2"/>
  <c r="Q1435" i="2"/>
  <c r="Q1443" i="2"/>
  <c r="Q1451" i="2"/>
  <c r="Q1459" i="2"/>
  <c r="Q1467" i="2"/>
  <c r="Q1475" i="2"/>
  <c r="Q1483" i="2"/>
  <c r="Q1491" i="2"/>
  <c r="Q1499" i="2"/>
  <c r="Q1507" i="2"/>
  <c r="Q1515" i="2"/>
  <c r="Q1523" i="2"/>
  <c r="Q1531" i="2"/>
  <c r="Q1539" i="2"/>
  <c r="Q1547" i="2"/>
  <c r="Q1555" i="2"/>
  <c r="Q1563" i="2"/>
  <c r="Q1571" i="2"/>
  <c r="T1254" i="2"/>
  <c r="T1286" i="2"/>
  <c r="T1318" i="2"/>
  <c r="T1350" i="2"/>
  <c r="R1374" i="2"/>
  <c r="R1382" i="2"/>
  <c r="R1390" i="2"/>
  <c r="R1398" i="2"/>
  <c r="R1406" i="2"/>
  <c r="R1414" i="2"/>
  <c r="Q1525" i="2"/>
  <c r="Q1541" i="2"/>
  <c r="Q1557" i="2"/>
  <c r="Q1573" i="2"/>
  <c r="T1294" i="2"/>
  <c r="T1358" i="2"/>
  <c r="R1384" i="2"/>
  <c r="R1400" i="2"/>
  <c r="R1416" i="2"/>
  <c r="R1426" i="2"/>
  <c r="R1434" i="2"/>
  <c r="R1442" i="2"/>
  <c r="R1450" i="2"/>
  <c r="R1458" i="2"/>
  <c r="R1466" i="2"/>
  <c r="R1474" i="2"/>
  <c r="R1482" i="2"/>
  <c r="R1490" i="2"/>
  <c r="R1498" i="2"/>
  <c r="R1506" i="2"/>
  <c r="R1514" i="2"/>
  <c r="R1522" i="2"/>
  <c r="R1530" i="2"/>
  <c r="R1538" i="2"/>
  <c r="R1546" i="2"/>
  <c r="R1554" i="2"/>
  <c r="R1562" i="2"/>
  <c r="R1570" i="2"/>
  <c r="R1578" i="2"/>
  <c r="R1586" i="2"/>
  <c r="R1594" i="2"/>
  <c r="P1269" i="2"/>
  <c r="P1301" i="2"/>
  <c r="P1333" i="2"/>
  <c r="P1365" i="2"/>
  <c r="S1383" i="2"/>
  <c r="S1399" i="2"/>
  <c r="S1415" i="2"/>
  <c r="S1431" i="2"/>
  <c r="S1447" i="2"/>
  <c r="S1463" i="2"/>
  <c r="S1479" i="2"/>
  <c r="S1495" i="2"/>
  <c r="S1511" i="2"/>
  <c r="S1527" i="2"/>
  <c r="S1543" i="2"/>
  <c r="S1559" i="2"/>
  <c r="S1575" i="2"/>
  <c r="Q1351" i="2"/>
  <c r="N1126" i="2"/>
  <c r="N1158" i="2"/>
  <c r="N1190" i="2"/>
  <c r="N1222" i="2"/>
  <c r="N1254" i="2"/>
  <c r="N1286" i="2"/>
  <c r="N1318" i="2"/>
  <c r="N1350" i="2"/>
  <c r="R1123" i="2"/>
  <c r="S1187" i="2"/>
  <c r="S1251" i="2"/>
  <c r="S1315" i="2"/>
  <c r="P1108" i="2"/>
  <c r="T1151" i="2"/>
  <c r="T1183" i="2"/>
  <c r="T1215" i="2"/>
  <c r="T1251" i="2"/>
  <c r="T1293" i="2"/>
  <c r="T1335" i="2"/>
  <c r="T1374" i="2"/>
  <c r="T1384" i="2"/>
  <c r="T1392" i="2"/>
  <c r="T1400" i="2"/>
  <c r="T1408" i="2"/>
  <c r="T1416" i="2"/>
  <c r="T1424" i="2"/>
  <c r="T1432" i="2"/>
  <c r="T1440" i="2"/>
  <c r="T1448" i="2"/>
  <c r="T1456" i="2"/>
  <c r="T1464" i="2"/>
  <c r="T1472" i="2"/>
  <c r="T1480" i="2"/>
  <c r="T1488" i="2"/>
  <c r="T1496" i="2"/>
  <c r="T1504" i="2"/>
  <c r="T1512" i="2"/>
  <c r="T1520" i="2"/>
  <c r="T1528" i="2"/>
  <c r="T1536" i="2"/>
  <c r="T1544" i="2"/>
  <c r="T1552" i="2"/>
  <c r="T1560" i="2"/>
  <c r="T1568" i="2"/>
  <c r="T1576" i="2"/>
  <c r="P1276" i="2"/>
  <c r="P1308" i="2"/>
  <c r="P1340" i="2"/>
  <c r="P1371" i="2"/>
  <c r="U1379" i="2"/>
  <c r="U1387" i="2"/>
  <c r="U1395" i="2"/>
  <c r="U1403" i="2"/>
  <c r="U1411" i="2"/>
  <c r="U1419" i="2"/>
  <c r="U1427" i="2"/>
  <c r="U1435" i="2"/>
  <c r="U1443" i="2"/>
  <c r="U1451" i="2"/>
  <c r="U1459" i="2"/>
  <c r="U1467" i="2"/>
  <c r="U1475" i="2"/>
  <c r="U1483" i="2"/>
  <c r="U1491" i="2"/>
  <c r="U1499" i="2"/>
  <c r="U1507" i="2"/>
  <c r="U1515" i="2"/>
  <c r="U1523" i="2"/>
  <c r="U1531" i="2"/>
  <c r="U1539" i="2"/>
  <c r="U1547" i="2"/>
  <c r="U1555" i="2"/>
  <c r="U1563" i="2"/>
  <c r="U1571" i="2"/>
  <c r="T1256" i="2"/>
  <c r="T1288" i="2"/>
  <c r="T1320" i="2"/>
  <c r="T1352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535" i="2"/>
  <c r="N1543" i="2"/>
  <c r="N1551" i="2"/>
  <c r="N1559" i="2"/>
  <c r="N1567" i="2"/>
  <c r="N1575" i="2"/>
  <c r="N1583" i="2"/>
  <c r="N1591" i="2"/>
  <c r="P1255" i="2"/>
  <c r="P1287" i="2"/>
  <c r="P1319" i="2"/>
  <c r="P1351" i="2"/>
  <c r="S1376" i="2"/>
  <c r="S1392" i="2"/>
  <c r="S1408" i="2"/>
  <c r="S1424" i="2"/>
  <c r="S1440" i="2"/>
  <c r="S1456" i="2"/>
  <c r="S1472" i="2"/>
  <c r="S1488" i="2"/>
  <c r="S1504" i="2"/>
  <c r="S1520" i="2"/>
  <c r="S1536" i="2"/>
  <c r="S1552" i="2"/>
  <c r="S1568" i="2"/>
  <c r="P1535" i="2"/>
  <c r="P1567" i="2"/>
  <c r="P1334" i="2"/>
  <c r="Q1394" i="2"/>
  <c r="Q1426" i="2"/>
  <c r="Q1458" i="2"/>
  <c r="Q1490" i="2"/>
  <c r="Q1522" i="2"/>
  <c r="Q1554" i="2"/>
  <c r="T1282" i="2"/>
  <c r="R1381" i="2"/>
  <c r="R1413" i="2"/>
  <c r="R1445" i="2"/>
  <c r="R1477" i="2"/>
  <c r="R1509" i="2"/>
  <c r="R1541" i="2"/>
  <c r="R1573" i="2"/>
  <c r="P1281" i="2"/>
  <c r="S1389" i="2"/>
  <c r="S1453" i="2"/>
  <c r="S1517" i="2"/>
  <c r="S1581" i="2"/>
  <c r="P1584" i="2"/>
  <c r="P1601" i="2"/>
  <c r="P1610" i="2"/>
  <c r="P1618" i="2"/>
  <c r="P1626" i="2"/>
  <c r="P1634" i="2"/>
  <c r="P1642" i="2"/>
  <c r="P1650" i="2"/>
  <c r="P1658" i="2"/>
  <c r="P1666" i="2"/>
  <c r="P1674" i="2"/>
  <c r="P1682" i="2"/>
  <c r="P1690" i="2"/>
  <c r="P1698" i="2"/>
  <c r="P1706" i="2"/>
  <c r="P1714" i="2"/>
  <c r="P1722" i="2"/>
  <c r="P1553" i="2"/>
  <c r="P1278" i="2"/>
  <c r="Q1380" i="2"/>
  <c r="Q1412" i="2"/>
  <c r="Q1444" i="2"/>
  <c r="Q1476" i="2"/>
  <c r="Q1508" i="2"/>
  <c r="Q1540" i="2"/>
  <c r="Q1572" i="2"/>
  <c r="T1354" i="2"/>
  <c r="R1399" i="2"/>
  <c r="R1431" i="2"/>
  <c r="R1463" i="2"/>
  <c r="R1495" i="2"/>
  <c r="R1527" i="2"/>
  <c r="R1559" i="2"/>
  <c r="R1591" i="2"/>
  <c r="P1353" i="2"/>
  <c r="S1425" i="2"/>
  <c r="S1489" i="2"/>
  <c r="S1553" i="2"/>
  <c r="S1593" i="2"/>
  <c r="T1596" i="2"/>
  <c r="T1606" i="2"/>
  <c r="T1614" i="2"/>
  <c r="T1622" i="2"/>
  <c r="T1630" i="2"/>
  <c r="T1638" i="2"/>
  <c r="T1646" i="2"/>
  <c r="T1654" i="2"/>
  <c r="T1662" i="2"/>
  <c r="T1670" i="2"/>
  <c r="T1678" i="2"/>
  <c r="T1686" i="2"/>
  <c r="T1694" i="2"/>
  <c r="T1702" i="2"/>
  <c r="T1710" i="2"/>
  <c r="T1718" i="2"/>
  <c r="T1726" i="2"/>
  <c r="Q1578" i="2"/>
  <c r="Q1594" i="2"/>
  <c r="Q1603" i="2"/>
  <c r="Q1611" i="2"/>
  <c r="Q1619" i="2"/>
  <c r="Q1627" i="2"/>
  <c r="Q1635" i="2"/>
  <c r="Q1643" i="2"/>
  <c r="Q1651" i="2"/>
  <c r="Q1659" i="2"/>
  <c r="Q1667" i="2"/>
  <c r="Q1675" i="2"/>
  <c r="Q1683" i="2"/>
  <c r="Q1691" i="2"/>
  <c r="Q1699" i="2"/>
  <c r="Q1707" i="2"/>
  <c r="Q1715" i="2"/>
  <c r="Q1723" i="2"/>
  <c r="Q1731" i="2"/>
  <c r="T1587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712" i="2"/>
  <c r="N1720" i="2"/>
  <c r="N1728" i="2"/>
  <c r="U1581" i="2"/>
  <c r="S1597" i="2"/>
  <c r="S1613" i="2"/>
  <c r="S1629" i="2"/>
  <c r="S1645" i="2"/>
  <c r="S1661" i="2"/>
  <c r="S1677" i="2"/>
  <c r="S1693" i="2"/>
  <c r="S1709" i="2"/>
  <c r="S1725" i="2"/>
  <c r="S1682" i="2"/>
  <c r="S1710" i="2"/>
  <c r="S2" i="2"/>
  <c r="Q2" i="2"/>
  <c r="U1636" i="2"/>
  <c r="U1656" i="2"/>
  <c r="U1676" i="2"/>
  <c r="U1696" i="2"/>
  <c r="U1716" i="2"/>
  <c r="T1582" i="2"/>
  <c r="R1609" i="2"/>
  <c r="R1629" i="2"/>
  <c r="R1653" i="2"/>
  <c r="R1673" i="2"/>
  <c r="R1693" i="2"/>
  <c r="R1713" i="2"/>
  <c r="U1584" i="2"/>
  <c r="S1624" i="2"/>
  <c r="S1664" i="2"/>
  <c r="S1704" i="2"/>
  <c r="P1539" i="2"/>
  <c r="P1571" i="2"/>
  <c r="P1350" i="2"/>
  <c r="Q1398" i="2"/>
  <c r="Q1430" i="2"/>
  <c r="Q1462" i="2"/>
  <c r="Q1494" i="2"/>
  <c r="Q1526" i="2"/>
  <c r="Q1558" i="2"/>
  <c r="T1298" i="2"/>
  <c r="R1385" i="2"/>
  <c r="R1417" i="2"/>
  <c r="R1449" i="2"/>
  <c r="R1481" i="2"/>
  <c r="R1513" i="2"/>
  <c r="R1545" i="2"/>
  <c r="R1577" i="2"/>
  <c r="P1297" i="2"/>
  <c r="S1397" i="2"/>
  <c r="S1461" i="2"/>
  <c r="S1525" i="2"/>
  <c r="S1584" i="2"/>
  <c r="P1586" i="2"/>
  <c r="T1602" i="2"/>
  <c r="P1611" i="2"/>
  <c r="P1619" i="2"/>
  <c r="P1627" i="2"/>
  <c r="P1635" i="2"/>
  <c r="P1643" i="2"/>
  <c r="P1651" i="2"/>
  <c r="P1659" i="2"/>
  <c r="P1667" i="2"/>
  <c r="P1675" i="2"/>
  <c r="P1683" i="2"/>
  <c r="P1691" i="2"/>
  <c r="P1699" i="2"/>
  <c r="P1707" i="2"/>
  <c r="P1715" i="2"/>
  <c r="P1723" i="2"/>
  <c r="P1731" i="2"/>
  <c r="Q1587" i="2"/>
  <c r="U1599" i="2"/>
  <c r="U1607" i="2"/>
  <c r="U1615" i="2"/>
  <c r="U1623" i="2"/>
  <c r="U1631" i="2"/>
  <c r="U1639" i="2"/>
  <c r="U1647" i="2"/>
  <c r="U1655" i="2"/>
  <c r="U1663" i="2"/>
  <c r="U1671" i="2"/>
  <c r="U1679" i="2"/>
  <c r="U1687" i="2"/>
  <c r="U1695" i="2"/>
  <c r="U1703" i="2"/>
  <c r="U1711" i="2"/>
  <c r="U1719" i="2"/>
  <c r="U1727" i="2"/>
  <c r="T1580" i="2"/>
  <c r="Q1596" i="2"/>
  <c r="R1604" i="2"/>
  <c r="R1612" i="2"/>
  <c r="R1620" i="2"/>
  <c r="R1628" i="2"/>
  <c r="R1636" i="2"/>
  <c r="R1644" i="2"/>
  <c r="R1652" i="2"/>
  <c r="R1660" i="2"/>
  <c r="R1668" i="2"/>
  <c r="R1676" i="2"/>
  <c r="R1684" i="2"/>
  <c r="R1692" i="2"/>
  <c r="R1700" i="2"/>
  <c r="R1708" i="2"/>
  <c r="R1716" i="2"/>
  <c r="R1724" i="2"/>
  <c r="R1732" i="2"/>
  <c r="U1590" i="2"/>
  <c r="S1606" i="2"/>
  <c r="S1622" i="2"/>
  <c r="S1638" i="2"/>
  <c r="S1654" i="2"/>
  <c r="S1670" i="2"/>
  <c r="S1694" i="2"/>
  <c r="U2" i="2"/>
  <c r="P1730" i="2"/>
  <c r="U1596" i="2"/>
  <c r="U1612" i="2"/>
  <c r="U1632" i="2"/>
  <c r="U1658" i="2"/>
  <c r="U1688" i="2"/>
  <c r="U1714" i="2"/>
  <c r="T1590" i="2"/>
  <c r="R1619" i="2"/>
  <c r="R1643" i="2"/>
  <c r="R1669" i="2"/>
  <c r="R1695" i="2"/>
  <c r="R1721" i="2"/>
  <c r="S1608" i="2"/>
  <c r="S1660" i="2"/>
  <c r="S1708" i="2"/>
  <c r="P1549" i="2"/>
  <c r="P1262" i="2"/>
  <c r="Q1376" i="2"/>
  <c r="Q1408" i="2"/>
  <c r="Q1440" i="2"/>
  <c r="Q1472" i="2"/>
  <c r="Q1504" i="2"/>
  <c r="Q1536" i="2"/>
  <c r="Q1568" i="2"/>
  <c r="T1338" i="2"/>
  <c r="R1395" i="2"/>
  <c r="R1427" i="2"/>
  <c r="R1459" i="2"/>
  <c r="R1491" i="2"/>
  <c r="R1523" i="2"/>
  <c r="R1555" i="2"/>
  <c r="R1587" i="2"/>
  <c r="P1337" i="2"/>
  <c r="S1417" i="2"/>
  <c r="S1481" i="2"/>
  <c r="S1545" i="2"/>
  <c r="S1591" i="2"/>
  <c r="P1593" i="2"/>
  <c r="T1605" i="2"/>
  <c r="T1613" i="2"/>
  <c r="T1621" i="2"/>
  <c r="T1629" i="2"/>
  <c r="T1637" i="2"/>
  <c r="T1645" i="2"/>
  <c r="T1653" i="2"/>
  <c r="T1661" i="2"/>
  <c r="T1669" i="2"/>
  <c r="T1677" i="2"/>
  <c r="T1685" i="2"/>
  <c r="T1693" i="2"/>
  <c r="T1701" i="2"/>
  <c r="T1709" i="2"/>
  <c r="T1717" i="2"/>
  <c r="T1725" i="2"/>
  <c r="T1733" i="2"/>
  <c r="Q1592" i="2"/>
  <c r="Q1602" i="2"/>
  <c r="Q1610" i="2"/>
  <c r="Q1618" i="2"/>
  <c r="Q1626" i="2"/>
  <c r="Q1634" i="2"/>
  <c r="Q1642" i="2"/>
  <c r="Q1650" i="2"/>
  <c r="Q1658" i="2"/>
  <c r="Q1666" i="2"/>
  <c r="Q1674" i="2"/>
  <c r="Q1682" i="2"/>
  <c r="Q1690" i="2"/>
  <c r="Q1698" i="2"/>
  <c r="Q1706" i="2"/>
  <c r="Q1714" i="2"/>
  <c r="Q1722" i="2"/>
  <c r="Q1730" i="2"/>
  <c r="T1585" i="2"/>
  <c r="N1599" i="2"/>
  <c r="N1607" i="2"/>
  <c r="N1615" i="2"/>
  <c r="N1623" i="2"/>
  <c r="N1631" i="2"/>
  <c r="N1639" i="2"/>
  <c r="N1647" i="2"/>
  <c r="N1655" i="2"/>
  <c r="N1663" i="2"/>
  <c r="N1671" i="2"/>
  <c r="N1679" i="2"/>
  <c r="N1687" i="2"/>
  <c r="N1695" i="2"/>
  <c r="N1703" i="2"/>
  <c r="N1711" i="2"/>
  <c r="N1719" i="2"/>
  <c r="N1727" i="2"/>
  <c r="U1579" i="2"/>
  <c r="U1595" i="2"/>
  <c r="S1611" i="2"/>
  <c r="S1627" i="2"/>
  <c r="S1643" i="2"/>
  <c r="S1659" i="2"/>
  <c r="S1675" i="2"/>
  <c r="S1691" i="2"/>
  <c r="S1719" i="2"/>
  <c r="Q1585" i="2"/>
  <c r="U1606" i="2"/>
  <c r="U1622" i="2"/>
  <c r="U1648" i="2"/>
  <c r="U1672" i="2"/>
  <c r="U1698" i="2"/>
  <c r="U1726" i="2"/>
  <c r="R1605" i="2"/>
  <c r="Q1527" i="2"/>
  <c r="Q1543" i="2"/>
  <c r="Q1559" i="2"/>
  <c r="Q1575" i="2"/>
  <c r="T1302" i="2"/>
  <c r="T1366" i="2"/>
  <c r="R1386" i="2"/>
  <c r="R1402" i="2"/>
  <c r="R1418" i="2"/>
  <c r="R1428" i="2"/>
  <c r="R1436" i="2"/>
  <c r="R1444" i="2"/>
  <c r="R1452" i="2"/>
  <c r="R1460" i="2"/>
  <c r="R1468" i="2"/>
  <c r="R1476" i="2"/>
  <c r="R1484" i="2"/>
  <c r="R1492" i="2"/>
  <c r="R1500" i="2"/>
  <c r="R1508" i="2"/>
  <c r="R1516" i="2"/>
  <c r="R1524" i="2"/>
  <c r="R1532" i="2"/>
  <c r="R1540" i="2"/>
  <c r="R1548" i="2"/>
  <c r="R1556" i="2"/>
  <c r="R1564" i="2"/>
  <c r="R1572" i="2"/>
  <c r="R1580" i="2"/>
  <c r="R1588" i="2"/>
  <c r="R1596" i="2"/>
  <c r="P1277" i="2"/>
  <c r="P1309" i="2"/>
  <c r="P1341" i="2"/>
  <c r="T1371" i="2"/>
  <c r="S1387" i="2"/>
  <c r="S1403" i="2"/>
  <c r="S1419" i="2"/>
  <c r="S1435" i="2"/>
  <c r="S1451" i="2"/>
  <c r="S1467" i="2"/>
  <c r="S1483" i="2"/>
  <c r="S1499" i="2"/>
  <c r="S1515" i="2"/>
  <c r="S1531" i="2"/>
  <c r="S1547" i="2"/>
  <c r="S1563" i="2"/>
  <c r="S1579" i="2"/>
  <c r="Q1359" i="2"/>
  <c r="N1134" i="2"/>
  <c r="N1166" i="2"/>
  <c r="N1198" i="2"/>
  <c r="N1230" i="2"/>
  <c r="N1262" i="2"/>
  <c r="N1294" i="2"/>
  <c r="N1326" i="2"/>
  <c r="N1358" i="2"/>
  <c r="S1139" i="2"/>
  <c r="S1203" i="2"/>
  <c r="S1267" i="2"/>
  <c r="S1331" i="2"/>
  <c r="T1127" i="2"/>
  <c r="T1159" i="2"/>
  <c r="T1191" i="2"/>
  <c r="T1223" i="2"/>
  <c r="T1261" i="2"/>
  <c r="T1303" i="2"/>
  <c r="T1347" i="2"/>
  <c r="P1377" i="2"/>
  <c r="T1386" i="2"/>
  <c r="T1394" i="2"/>
  <c r="T1402" i="2"/>
  <c r="T1410" i="2"/>
  <c r="T1418" i="2"/>
  <c r="T1426" i="2"/>
  <c r="T1434" i="2"/>
  <c r="T1442" i="2"/>
  <c r="T1450" i="2"/>
  <c r="T1458" i="2"/>
  <c r="T1466" i="2"/>
  <c r="T1474" i="2"/>
  <c r="T1482" i="2"/>
  <c r="T1490" i="2"/>
  <c r="T1498" i="2"/>
  <c r="T1506" i="2"/>
  <c r="T1514" i="2"/>
  <c r="T1522" i="2"/>
  <c r="T1530" i="2"/>
  <c r="T1538" i="2"/>
  <c r="T1546" i="2"/>
  <c r="T1554" i="2"/>
  <c r="T1562" i="2"/>
  <c r="T1570" i="2"/>
  <c r="P1252" i="2"/>
  <c r="P1284" i="2"/>
  <c r="P1316" i="2"/>
  <c r="P1348" i="2"/>
  <c r="U1373" i="2"/>
  <c r="U1381" i="2"/>
  <c r="U1389" i="2"/>
  <c r="U1397" i="2"/>
  <c r="U1405" i="2"/>
  <c r="U1413" i="2"/>
  <c r="U1421" i="2"/>
  <c r="U1429" i="2"/>
  <c r="U1437" i="2"/>
  <c r="U1445" i="2"/>
  <c r="U1453" i="2"/>
  <c r="U1461" i="2"/>
  <c r="U1469" i="2"/>
  <c r="U1477" i="2"/>
  <c r="U1485" i="2"/>
  <c r="U1493" i="2"/>
  <c r="U1501" i="2"/>
  <c r="U1509" i="2"/>
  <c r="U1517" i="2"/>
  <c r="U1525" i="2"/>
  <c r="U1533" i="2"/>
  <c r="U1541" i="2"/>
  <c r="U1549" i="2"/>
  <c r="U1557" i="2"/>
  <c r="U1565" i="2"/>
  <c r="U1573" i="2"/>
  <c r="T1264" i="2"/>
  <c r="T1296" i="2"/>
  <c r="T1328" i="2"/>
  <c r="T1360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P1263" i="2"/>
  <c r="P1295" i="2"/>
  <c r="P1327" i="2"/>
  <c r="P1359" i="2"/>
  <c r="S1380" i="2"/>
  <c r="S1396" i="2"/>
  <c r="S1412" i="2"/>
  <c r="S1428" i="2"/>
  <c r="S1444" i="2"/>
  <c r="S1460" i="2"/>
  <c r="S1476" i="2"/>
  <c r="S1492" i="2"/>
  <c r="S1508" i="2"/>
  <c r="S1524" i="2"/>
  <c r="S1540" i="2"/>
  <c r="S1556" i="2"/>
  <c r="S1572" i="2"/>
  <c r="P1543" i="2"/>
  <c r="P1575" i="2"/>
  <c r="P1366" i="2"/>
  <c r="Q1402" i="2"/>
  <c r="Q1434" i="2"/>
  <c r="Q1466" i="2"/>
  <c r="Q1498" i="2"/>
  <c r="Q1530" i="2"/>
  <c r="Q1562" i="2"/>
  <c r="T1314" i="2"/>
  <c r="R1389" i="2"/>
  <c r="R1421" i="2"/>
  <c r="R1453" i="2"/>
  <c r="R1485" i="2"/>
  <c r="R1517" i="2"/>
  <c r="R1549" i="2"/>
  <c r="R1581" i="2"/>
  <c r="P1313" i="2"/>
  <c r="S1405" i="2"/>
  <c r="S1469" i="2"/>
  <c r="S1533" i="2"/>
  <c r="S1587" i="2"/>
  <c r="P1589" i="2"/>
  <c r="T1603" i="2"/>
  <c r="P1612" i="2"/>
  <c r="P1620" i="2"/>
  <c r="P1628" i="2"/>
  <c r="P1636" i="2"/>
  <c r="P1644" i="2"/>
  <c r="P1652" i="2"/>
  <c r="P1660" i="2"/>
  <c r="P1668" i="2"/>
  <c r="P1676" i="2"/>
  <c r="P1684" i="2"/>
  <c r="P1692" i="2"/>
  <c r="P1700" i="2"/>
  <c r="P1708" i="2"/>
  <c r="P1716" i="2"/>
  <c r="P1724" i="2"/>
  <c r="P1561" i="2"/>
  <c r="P1310" i="2"/>
  <c r="Q1388" i="2"/>
  <c r="Q1420" i="2"/>
  <c r="Q1452" i="2"/>
  <c r="Q1484" i="2"/>
  <c r="Q1516" i="2"/>
  <c r="Q1548" i="2"/>
  <c r="T1258" i="2"/>
  <c r="R1375" i="2"/>
  <c r="R1407" i="2"/>
  <c r="R1439" i="2"/>
  <c r="R1471" i="2"/>
  <c r="R1503" i="2"/>
  <c r="R1535" i="2"/>
  <c r="R1567" i="2"/>
  <c r="P1257" i="2"/>
  <c r="S1377" i="2"/>
  <c r="S1441" i="2"/>
  <c r="S1505" i="2"/>
  <c r="S1569" i="2"/>
  <c r="P1580" i="2"/>
  <c r="P1599" i="2"/>
  <c r="T1608" i="2"/>
  <c r="T1616" i="2"/>
  <c r="T1624" i="2"/>
  <c r="T1632" i="2"/>
  <c r="T1640" i="2"/>
  <c r="T1648" i="2"/>
  <c r="T1656" i="2"/>
  <c r="T1664" i="2"/>
  <c r="T1672" i="2"/>
  <c r="T1680" i="2"/>
  <c r="T1688" i="2"/>
  <c r="T1696" i="2"/>
  <c r="T1704" i="2"/>
  <c r="T1712" i="2"/>
  <c r="T1720" i="2"/>
  <c r="T1728" i="2"/>
  <c r="Q1582" i="2"/>
  <c r="Q1597" i="2"/>
  <c r="Q1605" i="2"/>
  <c r="Q1613" i="2"/>
  <c r="Q1621" i="2"/>
  <c r="Q1629" i="2"/>
  <c r="Q1637" i="2"/>
  <c r="Q1645" i="2"/>
  <c r="Q1653" i="2"/>
  <c r="Q1661" i="2"/>
  <c r="Q1669" i="2"/>
  <c r="Q1677" i="2"/>
  <c r="Q1685" i="2"/>
  <c r="Q1693" i="2"/>
  <c r="Q1701" i="2"/>
  <c r="Q1709" i="2"/>
  <c r="Q1717" i="2"/>
  <c r="Q1725" i="2"/>
  <c r="Q1733" i="2"/>
  <c r="T1591" i="2"/>
  <c r="N1602" i="2"/>
  <c r="N1610" i="2"/>
  <c r="N1618" i="2"/>
  <c r="N1626" i="2"/>
  <c r="N1634" i="2"/>
  <c r="N1642" i="2"/>
  <c r="N1650" i="2"/>
  <c r="N1658" i="2"/>
  <c r="N1666" i="2"/>
  <c r="N1674" i="2"/>
  <c r="N1682" i="2"/>
  <c r="N1690" i="2"/>
  <c r="N1698" i="2"/>
  <c r="N1706" i="2"/>
  <c r="N1714" i="2"/>
  <c r="N1722" i="2"/>
  <c r="N1730" i="2"/>
  <c r="U1585" i="2"/>
  <c r="S1601" i="2"/>
  <c r="S1617" i="2"/>
  <c r="S1633" i="2"/>
  <c r="S1649" i="2"/>
  <c r="S1665" i="2"/>
  <c r="S1681" i="2"/>
  <c r="S1697" i="2"/>
  <c r="S1713" i="2"/>
  <c r="S1729" i="2"/>
  <c r="S1690" i="2"/>
  <c r="S1718" i="2"/>
  <c r="S1703" i="2"/>
  <c r="P1726" i="2"/>
  <c r="U1642" i="2"/>
  <c r="U1662" i="2"/>
  <c r="U1680" i="2"/>
  <c r="U1702" i="2"/>
  <c r="U1722" i="2"/>
  <c r="T1594" i="2"/>
  <c r="R1615" i="2"/>
  <c r="R1635" i="2"/>
  <c r="R1655" i="2"/>
  <c r="R1679" i="2"/>
  <c r="R1699" i="2"/>
  <c r="R1719" i="2"/>
  <c r="U1588" i="2"/>
  <c r="S1636" i="2"/>
  <c r="S1676" i="2"/>
  <c r="S1716" i="2"/>
  <c r="P1547" i="2"/>
  <c r="P1254" i="2"/>
  <c r="Q1374" i="2"/>
  <c r="Q1406" i="2"/>
  <c r="Q1438" i="2"/>
  <c r="Q1470" i="2"/>
  <c r="Q1502" i="2"/>
  <c r="Q1534" i="2"/>
  <c r="Q1566" i="2"/>
  <c r="T1330" i="2"/>
  <c r="R1393" i="2"/>
  <c r="R1425" i="2"/>
  <c r="R1457" i="2"/>
  <c r="R1489" i="2"/>
  <c r="R1521" i="2"/>
  <c r="R1553" i="2"/>
  <c r="R1585" i="2"/>
  <c r="P1329" i="2"/>
  <c r="S1413" i="2"/>
  <c r="S1477" i="2"/>
  <c r="S1541" i="2"/>
  <c r="S1589" i="2"/>
  <c r="P1592" i="2"/>
  <c r="P1605" i="2"/>
  <c r="P1613" i="2"/>
  <c r="P1621" i="2"/>
  <c r="P1629" i="2"/>
  <c r="P1637" i="2"/>
  <c r="P1645" i="2"/>
  <c r="P1653" i="2"/>
  <c r="P1661" i="2"/>
  <c r="P1669" i="2"/>
  <c r="P1677" i="2"/>
  <c r="P1685" i="2"/>
  <c r="P1693" i="2"/>
  <c r="P1701" i="2"/>
  <c r="P1709" i="2"/>
  <c r="P1717" i="2"/>
  <c r="P1725" i="2"/>
  <c r="P1733" i="2"/>
  <c r="Q1591" i="2"/>
  <c r="U1601" i="2"/>
  <c r="U1609" i="2"/>
  <c r="U1617" i="2"/>
  <c r="U1625" i="2"/>
  <c r="U1633" i="2"/>
  <c r="U1641" i="2"/>
  <c r="U1649" i="2"/>
  <c r="U1657" i="2"/>
  <c r="U1665" i="2"/>
  <c r="U1673" i="2"/>
  <c r="U1681" i="2"/>
  <c r="U1689" i="2"/>
  <c r="U1697" i="2"/>
  <c r="U1705" i="2"/>
  <c r="U1713" i="2"/>
  <c r="U1721" i="2"/>
  <c r="U1729" i="2"/>
  <c r="T1584" i="2"/>
  <c r="R1598" i="2"/>
  <c r="R1606" i="2"/>
  <c r="R1614" i="2"/>
  <c r="R1622" i="2"/>
  <c r="R1630" i="2"/>
  <c r="R1638" i="2"/>
  <c r="R1646" i="2"/>
  <c r="R1654" i="2"/>
  <c r="R1662" i="2"/>
  <c r="R1670" i="2"/>
  <c r="R1678" i="2"/>
  <c r="R1686" i="2"/>
  <c r="R1694" i="2"/>
  <c r="R1702" i="2"/>
  <c r="R1710" i="2"/>
  <c r="R1718" i="2"/>
  <c r="R1726" i="2"/>
  <c r="U1578" i="2"/>
  <c r="U1594" i="2"/>
  <c r="S1610" i="2"/>
  <c r="S1626" i="2"/>
  <c r="S1642" i="2"/>
  <c r="S1658" i="2"/>
  <c r="S1674" i="2"/>
  <c r="S1706" i="2"/>
  <c r="S1711" i="2"/>
  <c r="Q1577" i="2"/>
  <c r="U1600" i="2"/>
  <c r="U1616" i="2"/>
  <c r="U1638" i="2"/>
  <c r="U1668" i="2"/>
  <c r="U1694" i="2"/>
  <c r="U1720" i="2"/>
  <c r="R1599" i="2"/>
  <c r="R1623" i="2"/>
  <c r="R1649" i="2"/>
  <c r="R1675" i="2"/>
  <c r="R1701" i="2"/>
  <c r="R1727" i="2"/>
  <c r="S1620" i="2"/>
  <c r="S1668" i="2"/>
  <c r="S1720" i="2"/>
  <c r="P1557" i="2"/>
  <c r="P1294" i="2"/>
  <c r="Q1384" i="2"/>
  <c r="Q1416" i="2"/>
  <c r="Q1448" i="2"/>
  <c r="Q1480" i="2"/>
  <c r="Q1512" i="2"/>
  <c r="Q1544" i="2"/>
  <c r="Q1576" i="2"/>
  <c r="S1370" i="2"/>
  <c r="R1403" i="2"/>
  <c r="R1435" i="2"/>
  <c r="R1467" i="2"/>
  <c r="R1499" i="2"/>
  <c r="R1531" i="2"/>
  <c r="R1563" i="2"/>
  <c r="R1595" i="2"/>
  <c r="P1369" i="2"/>
  <c r="S1433" i="2"/>
  <c r="S1497" i="2"/>
  <c r="S1561" i="2"/>
  <c r="P1577" i="2"/>
  <c r="T1597" i="2"/>
  <c r="T1607" i="2"/>
  <c r="T1615" i="2"/>
  <c r="T1623" i="2"/>
  <c r="T1631" i="2"/>
  <c r="T1639" i="2"/>
  <c r="T1647" i="2"/>
  <c r="T1655" i="2"/>
  <c r="T1663" i="2"/>
  <c r="T1671" i="2"/>
  <c r="T1679" i="2"/>
  <c r="T1687" i="2"/>
  <c r="T1695" i="2"/>
  <c r="T1703" i="2"/>
  <c r="T1711" i="2"/>
  <c r="T1719" i="2"/>
  <c r="T1727" i="2"/>
  <c r="Q1580" i="2"/>
  <c r="P1596" i="2"/>
  <c r="Q1604" i="2"/>
  <c r="Q1612" i="2"/>
  <c r="Q1620" i="2"/>
  <c r="Q1628" i="2"/>
  <c r="Q1636" i="2"/>
  <c r="Q1644" i="2"/>
  <c r="Q1652" i="2"/>
  <c r="Q1660" i="2"/>
  <c r="Q1668" i="2"/>
  <c r="Q1676" i="2"/>
  <c r="Q1684" i="2"/>
  <c r="Q1692" i="2"/>
  <c r="Q1700" i="2"/>
  <c r="Q1708" i="2"/>
  <c r="Q1716" i="2"/>
  <c r="Q1724" i="2"/>
  <c r="Q1732" i="2"/>
  <c r="T1589" i="2"/>
  <c r="N1601" i="2"/>
  <c r="N1609" i="2"/>
  <c r="N1617" i="2"/>
  <c r="N1625" i="2"/>
  <c r="N1633" i="2"/>
  <c r="N1641" i="2"/>
  <c r="N1649" i="2"/>
  <c r="N1657" i="2"/>
  <c r="N1665" i="2"/>
  <c r="N1673" i="2"/>
  <c r="N1681" i="2"/>
  <c r="N1689" i="2"/>
  <c r="N1697" i="2"/>
  <c r="N1705" i="2"/>
  <c r="N1713" i="2"/>
  <c r="N1721" i="2"/>
  <c r="N1729" i="2"/>
  <c r="U1583" i="2"/>
  <c r="S1599" i="2"/>
  <c r="S1615" i="2"/>
  <c r="S1631" i="2"/>
  <c r="S1647" i="2"/>
  <c r="S1663" i="2"/>
  <c r="S1679" i="2"/>
  <c r="S1695" i="2"/>
  <c r="S1731" i="2"/>
  <c r="Q1593" i="2"/>
  <c r="U1610" i="2"/>
  <c r="U1628" i="2"/>
  <c r="U1654" i="2"/>
  <c r="U1678" i="2"/>
  <c r="U1706" i="2"/>
  <c r="U1732" i="2"/>
  <c r="R1611" i="2"/>
  <c r="Q1533" i="2"/>
  <c r="Q1549" i="2"/>
  <c r="Q1565" i="2"/>
  <c r="T1262" i="2"/>
  <c r="T1326" i="2"/>
  <c r="R1376" i="2"/>
  <c r="R1392" i="2"/>
  <c r="R1408" i="2"/>
  <c r="R1422" i="2"/>
  <c r="R1430" i="2"/>
  <c r="R1438" i="2"/>
  <c r="R1446" i="2"/>
  <c r="R1454" i="2"/>
  <c r="R1462" i="2"/>
  <c r="R1470" i="2"/>
  <c r="R1478" i="2"/>
  <c r="R1486" i="2"/>
  <c r="R1494" i="2"/>
  <c r="R1502" i="2"/>
  <c r="R1510" i="2"/>
  <c r="R1518" i="2"/>
  <c r="R1526" i="2"/>
  <c r="R1534" i="2"/>
  <c r="R1542" i="2"/>
  <c r="R1550" i="2"/>
  <c r="R1558" i="2"/>
  <c r="R1566" i="2"/>
  <c r="R1574" i="2"/>
  <c r="R1582" i="2"/>
  <c r="R1590" i="2"/>
  <c r="P1253" i="2"/>
  <c r="P1285" i="2"/>
  <c r="P1317" i="2"/>
  <c r="P1349" i="2"/>
  <c r="S1375" i="2"/>
  <c r="S1391" i="2"/>
  <c r="S1407" i="2"/>
  <c r="S1423" i="2"/>
  <c r="S1439" i="2"/>
  <c r="S1455" i="2"/>
  <c r="S1471" i="2"/>
  <c r="S1487" i="2"/>
  <c r="S1503" i="2"/>
  <c r="S1519" i="2"/>
  <c r="S1535" i="2"/>
  <c r="S1551" i="2"/>
  <c r="S1567" i="2"/>
  <c r="Q1335" i="2"/>
  <c r="Q1367" i="2"/>
  <c r="N1142" i="2"/>
  <c r="N1174" i="2"/>
  <c r="N1206" i="2"/>
  <c r="N1238" i="2"/>
  <c r="N1270" i="2"/>
  <c r="N1302" i="2"/>
  <c r="N1334" i="2"/>
  <c r="N1366" i="2"/>
  <c r="S1155" i="2"/>
  <c r="S1219" i="2"/>
  <c r="S1283" i="2"/>
  <c r="S1347" i="2"/>
  <c r="T1135" i="2"/>
  <c r="T1167" i="2"/>
  <c r="T1199" i="2"/>
  <c r="T1231" i="2"/>
  <c r="T1271" i="2"/>
  <c r="T1315" i="2"/>
  <c r="T1357" i="2"/>
  <c r="T1379" i="2"/>
  <c r="T1388" i="2"/>
  <c r="T1396" i="2"/>
  <c r="T1404" i="2"/>
  <c r="T1412" i="2"/>
  <c r="T1420" i="2"/>
  <c r="T1428" i="2"/>
  <c r="T1436" i="2"/>
  <c r="T1444" i="2"/>
  <c r="T1452" i="2"/>
  <c r="T1460" i="2"/>
  <c r="T1468" i="2"/>
  <c r="T1476" i="2"/>
  <c r="T1484" i="2"/>
  <c r="T1492" i="2"/>
  <c r="T1500" i="2"/>
  <c r="T1508" i="2"/>
  <c r="T1516" i="2"/>
  <c r="T1524" i="2"/>
  <c r="T1532" i="2"/>
  <c r="T1540" i="2"/>
  <c r="T1548" i="2"/>
  <c r="T1556" i="2"/>
  <c r="T1564" i="2"/>
  <c r="T1572" i="2"/>
  <c r="P1260" i="2"/>
  <c r="P1292" i="2"/>
  <c r="P1324" i="2"/>
  <c r="P1356" i="2"/>
  <c r="U1375" i="2"/>
  <c r="U1383" i="2"/>
  <c r="U1391" i="2"/>
  <c r="U1399" i="2"/>
  <c r="U1407" i="2"/>
  <c r="U1415" i="2"/>
  <c r="U1423" i="2"/>
  <c r="U1431" i="2"/>
  <c r="U1439" i="2"/>
  <c r="U1447" i="2"/>
  <c r="U1455" i="2"/>
  <c r="U1463" i="2"/>
  <c r="U1471" i="2"/>
  <c r="U1479" i="2"/>
  <c r="U1487" i="2"/>
  <c r="U1495" i="2"/>
  <c r="U1503" i="2"/>
  <c r="U1511" i="2"/>
  <c r="U1519" i="2"/>
  <c r="U1527" i="2"/>
  <c r="U1535" i="2"/>
  <c r="U1543" i="2"/>
  <c r="U1551" i="2"/>
  <c r="U1559" i="2"/>
  <c r="U1567" i="2"/>
  <c r="U1575" i="2"/>
  <c r="T1272" i="2"/>
  <c r="T1304" i="2"/>
  <c r="T1336" i="2"/>
  <c r="T1368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P1271" i="2"/>
  <c r="P1303" i="2"/>
  <c r="P1335" i="2"/>
  <c r="P1367" i="2"/>
  <c r="S1384" i="2"/>
  <c r="S1400" i="2"/>
  <c r="S1416" i="2"/>
  <c r="S1432" i="2"/>
  <c r="S1448" i="2"/>
  <c r="S1464" i="2"/>
  <c r="S1480" i="2"/>
  <c r="S1496" i="2"/>
  <c r="S1512" i="2"/>
  <c r="S1528" i="2"/>
  <c r="S1544" i="2"/>
  <c r="S1560" i="2"/>
  <c r="S1576" i="2"/>
  <c r="P1551" i="2"/>
  <c r="P1270" i="2"/>
  <c r="Q1378" i="2"/>
  <c r="Q1410" i="2"/>
  <c r="Q1442" i="2"/>
  <c r="Q1474" i="2"/>
  <c r="Q1506" i="2"/>
  <c r="Q1538" i="2"/>
  <c r="Q1570" i="2"/>
  <c r="T1346" i="2"/>
  <c r="R1397" i="2"/>
  <c r="R1429" i="2"/>
  <c r="R1461" i="2"/>
  <c r="R1493" i="2"/>
  <c r="R1525" i="2"/>
  <c r="R1557" i="2"/>
  <c r="R1589" i="2"/>
  <c r="P1345" i="2"/>
  <c r="S1421" i="2"/>
  <c r="S1485" i="2"/>
  <c r="S1549" i="2"/>
  <c r="S1592" i="2"/>
  <c r="P1594" i="2"/>
  <c r="P1606" i="2"/>
  <c r="P1614" i="2"/>
  <c r="P1622" i="2"/>
  <c r="P1630" i="2"/>
  <c r="P1638" i="2"/>
  <c r="P1646" i="2"/>
  <c r="P1654" i="2"/>
  <c r="P1662" i="2"/>
  <c r="P1670" i="2"/>
  <c r="P1678" i="2"/>
  <c r="P1686" i="2"/>
  <c r="P1694" i="2"/>
  <c r="P1702" i="2"/>
  <c r="P1710" i="2"/>
  <c r="P1718" i="2"/>
  <c r="P1537" i="2"/>
  <c r="P1569" i="2"/>
  <c r="P1342" i="2"/>
  <c r="Q1396" i="2"/>
  <c r="Q1428" i="2"/>
  <c r="Q1460" i="2"/>
  <c r="Q1492" i="2"/>
  <c r="Q1524" i="2"/>
  <c r="Q1556" i="2"/>
  <c r="T1290" i="2"/>
  <c r="R1383" i="2"/>
  <c r="R1415" i="2"/>
  <c r="R1447" i="2"/>
  <c r="R1479" i="2"/>
  <c r="R1511" i="2"/>
  <c r="R1543" i="2"/>
  <c r="R1575" i="2"/>
  <c r="P1289" i="2"/>
  <c r="S1393" i="2"/>
  <c r="S1457" i="2"/>
  <c r="S1521" i="2"/>
  <c r="S1583" i="2"/>
  <c r="P1585" i="2"/>
  <c r="T1601" i="2"/>
  <c r="T1610" i="2"/>
  <c r="T1618" i="2"/>
  <c r="T1626" i="2"/>
  <c r="T1634" i="2"/>
  <c r="T1642" i="2"/>
  <c r="T1650" i="2"/>
  <c r="T1658" i="2"/>
  <c r="T1666" i="2"/>
  <c r="T1674" i="2"/>
  <c r="T1682" i="2"/>
  <c r="T1690" i="2"/>
  <c r="T1698" i="2"/>
  <c r="T1706" i="2"/>
  <c r="T1714" i="2"/>
  <c r="T1722" i="2"/>
  <c r="T1730" i="2"/>
  <c r="Q1586" i="2"/>
  <c r="Q1599" i="2"/>
  <c r="Q1607" i="2"/>
  <c r="Q1615" i="2"/>
  <c r="Q1623" i="2"/>
  <c r="Q1631" i="2"/>
  <c r="Q1639" i="2"/>
  <c r="Q1647" i="2"/>
  <c r="Q1655" i="2"/>
  <c r="Q1663" i="2"/>
  <c r="Q1671" i="2"/>
  <c r="Q1679" i="2"/>
  <c r="Q1687" i="2"/>
  <c r="Q1695" i="2"/>
  <c r="Q1703" i="2"/>
  <c r="Q1711" i="2"/>
  <c r="Q1719" i="2"/>
  <c r="Q1727" i="2"/>
  <c r="T1579" i="2"/>
  <c r="T1595" i="2"/>
  <c r="N1604" i="2"/>
  <c r="N1612" i="2"/>
  <c r="N1620" i="2"/>
  <c r="N1628" i="2"/>
  <c r="N1636" i="2"/>
  <c r="N1644" i="2"/>
  <c r="N1652" i="2"/>
  <c r="N1660" i="2"/>
  <c r="N1668" i="2"/>
  <c r="N1676" i="2"/>
  <c r="N1684" i="2"/>
  <c r="N1692" i="2"/>
  <c r="N1700" i="2"/>
  <c r="N1708" i="2"/>
  <c r="N1716" i="2"/>
  <c r="N1724" i="2"/>
  <c r="N1732" i="2"/>
  <c r="U1589" i="2"/>
  <c r="S1605" i="2"/>
  <c r="S1621" i="2"/>
  <c r="S1637" i="2"/>
  <c r="S1653" i="2"/>
  <c r="S1669" i="2"/>
  <c r="S1685" i="2"/>
  <c r="S1701" i="2"/>
  <c r="S1717" i="2"/>
  <c r="S1733" i="2"/>
  <c r="S1698" i="2"/>
  <c r="S1726" i="2"/>
  <c r="S1715" i="2"/>
  <c r="U1624" i="2"/>
  <c r="U1644" i="2"/>
  <c r="U1664" i="2"/>
  <c r="U1684" i="2"/>
  <c r="U1704" i="2"/>
  <c r="U1724" i="2"/>
  <c r="R1601" i="2"/>
  <c r="R1621" i="2"/>
  <c r="R1641" i="2"/>
  <c r="R1661" i="2"/>
  <c r="R1681" i="2"/>
  <c r="R1705" i="2"/>
  <c r="R1725" i="2"/>
  <c r="S1600" i="2"/>
  <c r="S1640" i="2"/>
  <c r="S1688" i="2"/>
  <c r="S1728" i="2"/>
  <c r="P1555" i="2"/>
  <c r="P1286" i="2"/>
  <c r="Q1382" i="2"/>
  <c r="Q1414" i="2"/>
  <c r="Q1446" i="2"/>
  <c r="Q1478" i="2"/>
  <c r="Q1510" i="2"/>
  <c r="Q1542" i="2"/>
  <c r="Q1574" i="2"/>
  <c r="T1362" i="2"/>
  <c r="R1401" i="2"/>
  <c r="R1433" i="2"/>
  <c r="R1465" i="2"/>
  <c r="R1497" i="2"/>
  <c r="R1529" i="2"/>
  <c r="R1561" i="2"/>
  <c r="R1593" i="2"/>
  <c r="P1361" i="2"/>
  <c r="S1429" i="2"/>
  <c r="S1493" i="2"/>
  <c r="S1557" i="2"/>
  <c r="S1595" i="2"/>
  <c r="P1597" i="2"/>
  <c r="P1607" i="2"/>
  <c r="P1615" i="2"/>
  <c r="P1623" i="2"/>
  <c r="P1631" i="2"/>
  <c r="P1639" i="2"/>
  <c r="P1647" i="2"/>
  <c r="P1655" i="2"/>
  <c r="P1663" i="2"/>
  <c r="P1671" i="2"/>
  <c r="P1679" i="2"/>
  <c r="P1687" i="2"/>
  <c r="P1695" i="2"/>
  <c r="P1703" i="2"/>
  <c r="P1711" i="2"/>
  <c r="P1719" i="2"/>
  <c r="P1727" i="2"/>
  <c r="Q1579" i="2"/>
  <c r="Q1595" i="2"/>
  <c r="U1603" i="2"/>
  <c r="U1611" i="2"/>
  <c r="U1619" i="2"/>
  <c r="U1627" i="2"/>
  <c r="U1635" i="2"/>
  <c r="U1643" i="2"/>
  <c r="U1651" i="2"/>
  <c r="U1659" i="2"/>
  <c r="U1667" i="2"/>
  <c r="U1675" i="2"/>
  <c r="U1683" i="2"/>
  <c r="U1691" i="2"/>
  <c r="U1699" i="2"/>
  <c r="U1707" i="2"/>
  <c r="U1715" i="2"/>
  <c r="U1723" i="2"/>
  <c r="U1731" i="2"/>
  <c r="T1588" i="2"/>
  <c r="R1600" i="2"/>
  <c r="R1608" i="2"/>
  <c r="R1616" i="2"/>
  <c r="R1624" i="2"/>
  <c r="R1632" i="2"/>
  <c r="R1640" i="2"/>
  <c r="R1648" i="2"/>
  <c r="R1656" i="2"/>
  <c r="R1664" i="2"/>
  <c r="R1672" i="2"/>
  <c r="R1680" i="2"/>
  <c r="R1688" i="2"/>
  <c r="R1696" i="2"/>
  <c r="R1704" i="2"/>
  <c r="R1712" i="2"/>
  <c r="R1720" i="2"/>
  <c r="R1728" i="2"/>
  <c r="U1582" i="2"/>
  <c r="S1598" i="2"/>
  <c r="S1614" i="2"/>
  <c r="S1630" i="2"/>
  <c r="S1646" i="2"/>
  <c r="S1662" i="2"/>
  <c r="S1678" i="2"/>
  <c r="S1714" i="2"/>
  <c r="S1727" i="2"/>
  <c r="Q1581" i="2"/>
  <c r="U1604" i="2"/>
  <c r="U1620" i="2"/>
  <c r="U1646" i="2"/>
  <c r="U1674" i="2"/>
  <c r="U1700" i="2"/>
  <c r="U1728" i="2"/>
  <c r="R1607" i="2"/>
  <c r="R1631" i="2"/>
  <c r="R1657" i="2"/>
  <c r="R1683" i="2"/>
  <c r="R1709" i="2"/>
  <c r="R1733" i="2"/>
  <c r="S1632" i="2"/>
  <c r="S1680" i="2"/>
  <c r="S1732" i="2"/>
  <c r="P1565" i="2"/>
  <c r="P1326" i="2"/>
  <c r="Q1392" i="2"/>
  <c r="Q1424" i="2"/>
  <c r="Q1456" i="2"/>
  <c r="Q1488" i="2"/>
  <c r="Q1520" i="2"/>
  <c r="Q1552" i="2"/>
  <c r="T1274" i="2"/>
  <c r="R1379" i="2"/>
  <c r="R1411" i="2"/>
  <c r="R1443" i="2"/>
  <c r="R1475" i="2"/>
  <c r="R1507" i="2"/>
  <c r="R1539" i="2"/>
  <c r="R1571" i="2"/>
  <c r="P1273" i="2"/>
  <c r="S1385" i="2"/>
  <c r="S1449" i="2"/>
  <c r="S1513" i="2"/>
  <c r="S1577" i="2"/>
  <c r="P1582" i="2"/>
  <c r="T1600" i="2"/>
  <c r="T1609" i="2"/>
  <c r="T1617" i="2"/>
  <c r="T1625" i="2"/>
  <c r="T1633" i="2"/>
  <c r="T1641" i="2"/>
  <c r="T1649" i="2"/>
  <c r="T1657" i="2"/>
  <c r="T1665" i="2"/>
  <c r="T1673" i="2"/>
  <c r="T1681" i="2"/>
  <c r="T1689" i="2"/>
  <c r="T1697" i="2"/>
  <c r="T1705" i="2"/>
  <c r="T1713" i="2"/>
  <c r="T1721" i="2"/>
  <c r="T1729" i="2"/>
  <c r="Q1584" i="2"/>
  <c r="Q1598" i="2"/>
  <c r="Q1606" i="2"/>
  <c r="Q1614" i="2"/>
  <c r="Q1622" i="2"/>
  <c r="Q1630" i="2"/>
  <c r="Q1638" i="2"/>
  <c r="Q1646" i="2"/>
  <c r="Q1654" i="2"/>
  <c r="Q1662" i="2"/>
  <c r="Q1670" i="2"/>
  <c r="Q1678" i="2"/>
  <c r="Q1686" i="2"/>
  <c r="Q1694" i="2"/>
  <c r="Q1702" i="2"/>
  <c r="Q1710" i="2"/>
  <c r="Q1718" i="2"/>
  <c r="Q1726" i="2"/>
  <c r="T1577" i="2"/>
  <c r="T1593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699" i="2"/>
  <c r="N1707" i="2"/>
  <c r="N1715" i="2"/>
  <c r="N1723" i="2"/>
  <c r="N1731" i="2"/>
  <c r="U1587" i="2"/>
  <c r="S1603" i="2"/>
  <c r="S1619" i="2"/>
  <c r="S1635" i="2"/>
  <c r="S1651" i="2"/>
  <c r="S1667" i="2"/>
  <c r="S1683" i="2"/>
  <c r="S1699" i="2"/>
  <c r="P1728" i="2"/>
  <c r="U1598" i="2"/>
  <c r="U1614" i="2"/>
  <c r="U1634" i="2"/>
  <c r="U1660" i="2"/>
  <c r="U1686" i="2"/>
  <c r="U1712" i="2"/>
  <c r="T1586" i="2"/>
  <c r="R1617" i="2"/>
  <c r="R1645" i="2"/>
  <c r="R1671" i="2"/>
  <c r="R1697" i="2"/>
  <c r="R1723" i="2"/>
  <c r="S1604" i="2"/>
  <c r="S1656" i="2"/>
  <c r="S1712" i="2"/>
  <c r="O1633" i="2"/>
  <c r="O800" i="2"/>
  <c r="O1725" i="2"/>
  <c r="O1582" i="2"/>
  <c r="O1566" i="2"/>
  <c r="O162" i="2"/>
  <c r="O1507" i="2"/>
  <c r="O978" i="2"/>
  <c r="O139" i="2"/>
  <c r="O913" i="2"/>
  <c r="O561" i="2"/>
  <c r="O347" i="2"/>
  <c r="O5" i="2"/>
  <c r="O1080" i="2"/>
  <c r="O1502" i="2"/>
  <c r="O1309" i="2"/>
  <c r="O822" i="2"/>
  <c r="O669" i="2"/>
  <c r="O180" i="2"/>
  <c r="O1469" i="2"/>
  <c r="O1271" i="2"/>
  <c r="O1112" i="2"/>
  <c r="O485" i="2"/>
  <c r="Q1535" i="2"/>
  <c r="Q1551" i="2"/>
  <c r="Q1567" i="2"/>
  <c r="T1270" i="2"/>
  <c r="T1334" i="2"/>
  <c r="R1378" i="2"/>
  <c r="R1394" i="2"/>
  <c r="R1410" i="2"/>
  <c r="R1424" i="2"/>
  <c r="R1432" i="2"/>
  <c r="R1440" i="2"/>
  <c r="R1448" i="2"/>
  <c r="R1456" i="2"/>
  <c r="R1464" i="2"/>
  <c r="R1472" i="2"/>
  <c r="R1480" i="2"/>
  <c r="R1488" i="2"/>
  <c r="R1496" i="2"/>
  <c r="R1504" i="2"/>
  <c r="R1512" i="2"/>
  <c r="R1520" i="2"/>
  <c r="R1528" i="2"/>
  <c r="R1536" i="2"/>
  <c r="R1544" i="2"/>
  <c r="R1552" i="2"/>
  <c r="R1560" i="2"/>
  <c r="R1568" i="2"/>
  <c r="R1576" i="2"/>
  <c r="R1584" i="2"/>
  <c r="R1592" i="2"/>
  <c r="P1261" i="2"/>
  <c r="P1293" i="2"/>
  <c r="P1325" i="2"/>
  <c r="P1357" i="2"/>
  <c r="S1379" i="2"/>
  <c r="S1395" i="2"/>
  <c r="S1411" i="2"/>
  <c r="S1427" i="2"/>
  <c r="S1443" i="2"/>
  <c r="S1459" i="2"/>
  <c r="S1475" i="2"/>
  <c r="S1491" i="2"/>
  <c r="S1507" i="2"/>
  <c r="S1523" i="2"/>
  <c r="S1539" i="2"/>
  <c r="S1555" i="2"/>
  <c r="S1571" i="2"/>
  <c r="Q1343" i="2"/>
  <c r="P1101" i="2"/>
  <c r="N1150" i="2"/>
  <c r="N1182" i="2"/>
  <c r="N1214" i="2"/>
  <c r="N1246" i="2"/>
  <c r="N1278" i="2"/>
  <c r="N1310" i="2"/>
  <c r="N1342" i="2"/>
  <c r="T1093" i="2"/>
  <c r="S1171" i="2"/>
  <c r="S1235" i="2"/>
  <c r="S1299" i="2"/>
  <c r="S1363" i="2"/>
  <c r="T1143" i="2"/>
  <c r="T1175" i="2"/>
  <c r="T1207" i="2"/>
  <c r="T1239" i="2"/>
  <c r="T1283" i="2"/>
  <c r="T1325" i="2"/>
  <c r="T1367" i="2"/>
  <c r="T1382" i="2"/>
  <c r="T1390" i="2"/>
  <c r="T1398" i="2"/>
  <c r="T1406" i="2"/>
  <c r="T1414" i="2"/>
  <c r="T1422" i="2"/>
  <c r="T1430" i="2"/>
  <c r="T1438" i="2"/>
  <c r="T1446" i="2"/>
  <c r="T1454" i="2"/>
  <c r="T1462" i="2"/>
  <c r="T1470" i="2"/>
  <c r="T1478" i="2"/>
  <c r="T1486" i="2"/>
  <c r="T1494" i="2"/>
  <c r="T1502" i="2"/>
  <c r="T1510" i="2"/>
  <c r="T1518" i="2"/>
  <c r="T1526" i="2"/>
  <c r="T1534" i="2"/>
  <c r="T1542" i="2"/>
  <c r="T1550" i="2"/>
  <c r="T1558" i="2"/>
  <c r="T1566" i="2"/>
  <c r="T1574" i="2"/>
  <c r="P1268" i="2"/>
  <c r="P1300" i="2"/>
  <c r="P1332" i="2"/>
  <c r="P1364" i="2"/>
  <c r="U1377" i="2"/>
  <c r="U1385" i="2"/>
  <c r="U1393" i="2"/>
  <c r="U1401" i="2"/>
  <c r="U1409" i="2"/>
  <c r="U1417" i="2"/>
  <c r="U1425" i="2"/>
  <c r="U1433" i="2"/>
  <c r="U1441" i="2"/>
  <c r="U1449" i="2"/>
  <c r="U1457" i="2"/>
  <c r="U1465" i="2"/>
  <c r="U1473" i="2"/>
  <c r="U1481" i="2"/>
  <c r="U1489" i="2"/>
  <c r="U1497" i="2"/>
  <c r="U1505" i="2"/>
  <c r="U1513" i="2"/>
  <c r="U1521" i="2"/>
  <c r="U1529" i="2"/>
  <c r="U1537" i="2"/>
  <c r="U1545" i="2"/>
  <c r="U1553" i="2"/>
  <c r="U1561" i="2"/>
  <c r="U1569" i="2"/>
  <c r="T1248" i="2"/>
  <c r="T1280" i="2"/>
  <c r="T1312" i="2"/>
  <c r="T1344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P1247" i="2"/>
  <c r="P1279" i="2"/>
  <c r="P1311" i="2"/>
  <c r="P1343" i="2"/>
  <c r="S1372" i="2"/>
  <c r="S1388" i="2"/>
  <c r="S1404" i="2"/>
  <c r="S1420" i="2"/>
  <c r="S1436" i="2"/>
  <c r="S1452" i="2"/>
  <c r="S1468" i="2"/>
  <c r="S1484" i="2"/>
  <c r="S1500" i="2"/>
  <c r="S1516" i="2"/>
  <c r="S1532" i="2"/>
  <c r="S1548" i="2"/>
  <c r="S1564" i="2"/>
  <c r="S1580" i="2"/>
  <c r="P1559" i="2"/>
  <c r="P1302" i="2"/>
  <c r="Q1386" i="2"/>
  <c r="Q1418" i="2"/>
  <c r="Q1450" i="2"/>
  <c r="Q1482" i="2"/>
  <c r="Q1514" i="2"/>
  <c r="Q1546" i="2"/>
  <c r="T1250" i="2"/>
  <c r="R1373" i="2"/>
  <c r="R1405" i="2"/>
  <c r="R1437" i="2"/>
  <c r="R1469" i="2"/>
  <c r="R1501" i="2"/>
  <c r="R1533" i="2"/>
  <c r="R1565" i="2"/>
  <c r="P1249" i="2"/>
  <c r="S1373" i="2"/>
  <c r="S1437" i="2"/>
  <c r="S1501" i="2"/>
  <c r="S1565" i="2"/>
  <c r="P1578" i="2"/>
  <c r="T1598" i="2"/>
  <c r="P1608" i="2"/>
  <c r="P1616" i="2"/>
  <c r="P1624" i="2"/>
  <c r="P1632" i="2"/>
  <c r="P1640" i="2"/>
  <c r="P1648" i="2"/>
  <c r="P1656" i="2"/>
  <c r="P1664" i="2"/>
  <c r="P1672" i="2"/>
  <c r="P1680" i="2"/>
  <c r="P1688" i="2"/>
  <c r="P1696" i="2"/>
  <c r="P1704" i="2"/>
  <c r="P1712" i="2"/>
  <c r="P1720" i="2"/>
  <c r="P1545" i="2"/>
  <c r="P1246" i="2"/>
  <c r="P1372" i="2"/>
  <c r="Q1404" i="2"/>
  <c r="Q1436" i="2"/>
  <c r="Q1468" i="2"/>
  <c r="Q1500" i="2"/>
  <c r="Q1532" i="2"/>
  <c r="Q1564" i="2"/>
  <c r="T1322" i="2"/>
  <c r="R1391" i="2"/>
  <c r="R1423" i="2"/>
  <c r="R1455" i="2"/>
  <c r="R1487" i="2"/>
  <c r="R1519" i="2"/>
  <c r="R1551" i="2"/>
  <c r="R1583" i="2"/>
  <c r="P1321" i="2"/>
  <c r="S1409" i="2"/>
  <c r="S1473" i="2"/>
  <c r="S1537" i="2"/>
  <c r="S1588" i="2"/>
  <c r="P1590" i="2"/>
  <c r="T1604" i="2"/>
  <c r="T1612" i="2"/>
  <c r="T1620" i="2"/>
  <c r="T1628" i="2"/>
  <c r="T1636" i="2"/>
  <c r="T1644" i="2"/>
  <c r="T1652" i="2"/>
  <c r="T1660" i="2"/>
  <c r="T1668" i="2"/>
  <c r="T1676" i="2"/>
  <c r="T1684" i="2"/>
  <c r="T1692" i="2"/>
  <c r="T1700" i="2"/>
  <c r="T1708" i="2"/>
  <c r="T1716" i="2"/>
  <c r="T1724" i="2"/>
  <c r="T1732" i="2"/>
  <c r="Q1590" i="2"/>
  <c r="Q1601" i="2"/>
  <c r="Q1609" i="2"/>
  <c r="Q1617" i="2"/>
  <c r="Q1625" i="2"/>
  <c r="Q1633" i="2"/>
  <c r="Q1641" i="2"/>
  <c r="Q1649" i="2"/>
  <c r="Q1657" i="2"/>
  <c r="Q1665" i="2"/>
  <c r="Q1673" i="2"/>
  <c r="Q1681" i="2"/>
  <c r="Q1689" i="2"/>
  <c r="Q1697" i="2"/>
  <c r="Q1705" i="2"/>
  <c r="Q1713" i="2"/>
  <c r="Q1721" i="2"/>
  <c r="Q1729" i="2"/>
  <c r="T1583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694" i="2"/>
  <c r="N1702" i="2"/>
  <c r="N1710" i="2"/>
  <c r="N1718" i="2"/>
  <c r="N1726" i="2"/>
  <c r="U1577" i="2"/>
  <c r="U1593" i="2"/>
  <c r="S1609" i="2"/>
  <c r="S1625" i="2"/>
  <c r="S1641" i="2"/>
  <c r="S1657" i="2"/>
  <c r="S1673" i="2"/>
  <c r="S1689" i="2"/>
  <c r="S1705" i="2"/>
  <c r="S1721" i="2"/>
  <c r="P2" i="2"/>
  <c r="S1702" i="2"/>
  <c r="S1730" i="2"/>
  <c r="S1723" i="2"/>
  <c r="U1630" i="2"/>
  <c r="U1650" i="2"/>
  <c r="U1670" i="2"/>
  <c r="U1690" i="2"/>
  <c r="U1710" i="2"/>
  <c r="U1730" i="2"/>
  <c r="R1603" i="2"/>
  <c r="R1625" i="2"/>
  <c r="R1647" i="2"/>
  <c r="R1667" i="2"/>
  <c r="R1687" i="2"/>
  <c r="R1707" i="2"/>
  <c r="R1731" i="2"/>
  <c r="S1612" i="2"/>
  <c r="S1652" i="2"/>
  <c r="S1692" i="2"/>
  <c r="N2" i="2"/>
  <c r="P1563" i="2"/>
  <c r="P1318" i="2"/>
  <c r="Q1390" i="2"/>
  <c r="Q1422" i="2"/>
  <c r="Q1454" i="2"/>
  <c r="Q1486" i="2"/>
  <c r="Q1518" i="2"/>
  <c r="Q1550" i="2"/>
  <c r="T1266" i="2"/>
  <c r="R1377" i="2"/>
  <c r="R1409" i="2"/>
  <c r="R1441" i="2"/>
  <c r="R1473" i="2"/>
  <c r="R1505" i="2"/>
  <c r="R1537" i="2"/>
  <c r="R1569" i="2"/>
  <c r="P1265" i="2"/>
  <c r="S1381" i="2"/>
  <c r="S1445" i="2"/>
  <c r="S1509" i="2"/>
  <c r="S1573" i="2"/>
  <c r="P1581" i="2"/>
  <c r="T1599" i="2"/>
  <c r="P1609" i="2"/>
  <c r="P1617" i="2"/>
  <c r="P1625" i="2"/>
  <c r="P1633" i="2"/>
  <c r="P1641" i="2"/>
  <c r="P1649" i="2"/>
  <c r="P1657" i="2"/>
  <c r="P1665" i="2"/>
  <c r="P1673" i="2"/>
  <c r="P1681" i="2"/>
  <c r="P1689" i="2"/>
  <c r="P1697" i="2"/>
  <c r="P1705" i="2"/>
  <c r="P1713" i="2"/>
  <c r="P1721" i="2"/>
  <c r="P1729" i="2"/>
  <c r="Q1583" i="2"/>
  <c r="U1597" i="2"/>
  <c r="U1605" i="2"/>
  <c r="U1613" i="2"/>
  <c r="U1621" i="2"/>
  <c r="U1629" i="2"/>
  <c r="U1637" i="2"/>
  <c r="U1645" i="2"/>
  <c r="U1653" i="2"/>
  <c r="U1661" i="2"/>
  <c r="U1669" i="2"/>
  <c r="U1677" i="2"/>
  <c r="U1685" i="2"/>
  <c r="U1693" i="2"/>
  <c r="U1701" i="2"/>
  <c r="U1709" i="2"/>
  <c r="U1717" i="2"/>
  <c r="U1725" i="2"/>
  <c r="U1733" i="2"/>
  <c r="T1592" i="2"/>
  <c r="R1602" i="2"/>
  <c r="R1610" i="2"/>
  <c r="R1618" i="2"/>
  <c r="R1626" i="2"/>
  <c r="R1634" i="2"/>
  <c r="R1642" i="2"/>
  <c r="R1650" i="2"/>
  <c r="R1658" i="2"/>
  <c r="R1666" i="2"/>
  <c r="R1674" i="2"/>
  <c r="R1682" i="2"/>
  <c r="R1690" i="2"/>
  <c r="R1698" i="2"/>
  <c r="R1706" i="2"/>
  <c r="R1714" i="2"/>
  <c r="R1722" i="2"/>
  <c r="R1730" i="2"/>
  <c r="U1586" i="2"/>
  <c r="S1602" i="2"/>
  <c r="S1618" i="2"/>
  <c r="S1634" i="2"/>
  <c r="S1650" i="2"/>
  <c r="S1666" i="2"/>
  <c r="S1686" i="2"/>
  <c r="S1722" i="2"/>
  <c r="R2" i="2"/>
  <c r="Q1589" i="2"/>
  <c r="U1608" i="2"/>
  <c r="U1626" i="2"/>
  <c r="U1652" i="2"/>
  <c r="U1682" i="2"/>
  <c r="U1708" i="2"/>
  <c r="T1578" i="2"/>
  <c r="R1613" i="2"/>
  <c r="R1637" i="2"/>
  <c r="R1663" i="2"/>
  <c r="R1689" i="2"/>
  <c r="R1715" i="2"/>
  <c r="S1596" i="2"/>
  <c r="S1648" i="2"/>
  <c r="S1696" i="2"/>
  <c r="P1541" i="2"/>
  <c r="P1573" i="2"/>
  <c r="P1358" i="2"/>
  <c r="Q1400" i="2"/>
  <c r="Q1432" i="2"/>
  <c r="Q1464" i="2"/>
  <c r="Q1496" i="2"/>
  <c r="Q1528" i="2"/>
  <c r="Q1560" i="2"/>
  <c r="T1306" i="2"/>
  <c r="R1387" i="2"/>
  <c r="R1419" i="2"/>
  <c r="R1451" i="2"/>
  <c r="R1483" i="2"/>
  <c r="R1515" i="2"/>
  <c r="R1547" i="2"/>
  <c r="R1579" i="2"/>
  <c r="P1305" i="2"/>
  <c r="S1401" i="2"/>
  <c r="S1465" i="2"/>
  <c r="S1529" i="2"/>
  <c r="S1585" i="2"/>
  <c r="P1588" i="2"/>
  <c r="P1603" i="2"/>
  <c r="T1611" i="2"/>
  <c r="T1619" i="2"/>
  <c r="T1627" i="2"/>
  <c r="T1635" i="2"/>
  <c r="T1643" i="2"/>
  <c r="T1651" i="2"/>
  <c r="T1659" i="2"/>
  <c r="T1667" i="2"/>
  <c r="T1675" i="2"/>
  <c r="T1683" i="2"/>
  <c r="T1691" i="2"/>
  <c r="T1699" i="2"/>
  <c r="T1707" i="2"/>
  <c r="T1715" i="2"/>
  <c r="T1723" i="2"/>
  <c r="T1731" i="2"/>
  <c r="Q1588" i="2"/>
  <c r="Q1600" i="2"/>
  <c r="Q1608" i="2"/>
  <c r="Q1616" i="2"/>
  <c r="Q1624" i="2"/>
  <c r="Q1632" i="2"/>
  <c r="Q1640" i="2"/>
  <c r="Q1648" i="2"/>
  <c r="Q1656" i="2"/>
  <c r="Q1664" i="2"/>
  <c r="Q1672" i="2"/>
  <c r="Q1680" i="2"/>
  <c r="Q1688" i="2"/>
  <c r="Q1696" i="2"/>
  <c r="Q1704" i="2"/>
  <c r="Q1712" i="2"/>
  <c r="Q1720" i="2"/>
  <c r="Q1728" i="2"/>
  <c r="T1581" i="2"/>
  <c r="N1597" i="2"/>
  <c r="N1605" i="2"/>
  <c r="N1613" i="2"/>
  <c r="N1621" i="2"/>
  <c r="N1629" i="2"/>
  <c r="N1637" i="2"/>
  <c r="N1645" i="2"/>
  <c r="N1653" i="2"/>
  <c r="N1661" i="2"/>
  <c r="N1669" i="2"/>
  <c r="N1677" i="2"/>
  <c r="N1685" i="2"/>
  <c r="N1693" i="2"/>
  <c r="N1701" i="2"/>
  <c r="N1709" i="2"/>
  <c r="N1717" i="2"/>
  <c r="N1725" i="2"/>
  <c r="N1733" i="2"/>
  <c r="U1591" i="2"/>
  <c r="S1607" i="2"/>
  <c r="S1623" i="2"/>
  <c r="S1639" i="2"/>
  <c r="S1655" i="2"/>
  <c r="S1671" i="2"/>
  <c r="S1687" i="2"/>
  <c r="S1707" i="2"/>
  <c r="P1732" i="2"/>
  <c r="U1602" i="2"/>
  <c r="U1618" i="2"/>
  <c r="U1640" i="2"/>
  <c r="U1666" i="2"/>
  <c r="U1692" i="2"/>
  <c r="U1718" i="2"/>
  <c r="R1597" i="2"/>
  <c r="R1627" i="2"/>
  <c r="R1651" i="2"/>
  <c r="R1677" i="2"/>
  <c r="R1703" i="2"/>
  <c r="R1729" i="2"/>
  <c r="S1616" i="2"/>
  <c r="S1672" i="2"/>
  <c r="S1724" i="2"/>
  <c r="O812" i="2"/>
  <c r="O378" i="2"/>
  <c r="O1721" i="2"/>
  <c r="O1578" i="2"/>
  <c r="O730" i="2"/>
  <c r="O90" i="2"/>
  <c r="O988" i="2"/>
  <c r="O974" i="2"/>
  <c r="O135" i="2"/>
  <c r="O909" i="2"/>
  <c r="O557" i="2"/>
  <c r="O297" i="2"/>
  <c r="O1092" i="2"/>
  <c r="O1708" i="2"/>
  <c r="O1498" i="2"/>
  <c r="O969" i="2"/>
  <c r="O818" i="2"/>
  <c r="O665" i="2"/>
  <c r="O1282" i="2"/>
  <c r="O1465" i="2"/>
  <c r="O1267" i="2"/>
  <c r="O1108" i="2"/>
  <c r="O481" i="2"/>
  <c r="R1633" i="2"/>
  <c r="R1685" i="2"/>
  <c r="U1580" i="2"/>
  <c r="S1684" i="2"/>
  <c r="O808" i="2"/>
  <c r="O1717" i="2"/>
  <c r="O726" i="2"/>
  <c r="O986" i="2"/>
  <c r="O21" i="2"/>
  <c r="O419" i="2"/>
  <c r="O1088" i="2"/>
  <c r="O1361" i="2"/>
  <c r="O677" i="2"/>
  <c r="O1278" i="2"/>
  <c r="O1324" i="2"/>
  <c r="O364" i="2"/>
  <c r="O621" i="2"/>
  <c r="O37" i="2"/>
  <c r="O1399" i="2"/>
  <c r="O1155" i="2"/>
  <c r="O692" i="2"/>
  <c r="O1486" i="2"/>
  <c r="O1140" i="2"/>
  <c r="O1010" i="2"/>
  <c r="O994" i="2"/>
  <c r="O875" i="2"/>
  <c r="O539" i="2"/>
  <c r="O84" i="2"/>
  <c r="O234" i="2"/>
  <c r="O336" i="2"/>
  <c r="O592" i="2"/>
  <c r="O1424" i="2"/>
  <c r="O1408" i="2"/>
  <c r="O1147" i="2"/>
  <c r="O662" i="2"/>
  <c r="O428" i="2"/>
  <c r="O1675" i="2"/>
  <c r="O1456" i="2"/>
  <c r="O1231" i="2"/>
  <c r="O747" i="2"/>
  <c r="O609" i="2"/>
  <c r="O1543" i="2"/>
  <c r="O536" i="2"/>
  <c r="O256" i="2"/>
  <c r="O859" i="2"/>
  <c r="O644" i="2"/>
  <c r="O1654" i="2"/>
  <c r="O1345" i="2"/>
  <c r="O949" i="2"/>
  <c r="O839" i="2"/>
  <c r="O635" i="2"/>
  <c r="O432" i="2"/>
  <c r="O270" i="2"/>
  <c r="O172" i="2"/>
  <c r="O149" i="2"/>
  <c r="O29" i="2"/>
  <c r="O1609" i="2"/>
  <c r="O870" i="2"/>
  <c r="O769" i="2"/>
  <c r="O576" i="2"/>
  <c r="O1128" i="2"/>
  <c r="O755" i="2"/>
  <c r="O1521" i="2"/>
  <c r="O1374" i="2"/>
  <c r="O605" i="2"/>
  <c r="O359" i="2"/>
  <c r="O125" i="2"/>
  <c r="O27" i="2"/>
  <c r="O1249" i="2"/>
  <c r="O790" i="2"/>
  <c r="O393" i="2"/>
  <c r="O15" i="2"/>
  <c r="O1548" i="2"/>
  <c r="O1436" i="2"/>
  <c r="O1188" i="2"/>
  <c r="O1056" i="2"/>
  <c r="O713" i="2"/>
  <c r="O129" i="2"/>
  <c r="O222" i="2"/>
  <c r="O1183" i="2"/>
  <c r="O1293" i="2"/>
  <c r="O1170" i="2"/>
  <c r="O835" i="2"/>
  <c r="O547" i="2"/>
  <c r="O12" i="2"/>
  <c r="O1683" i="2"/>
  <c r="O1351" i="2"/>
  <c r="O1367" i="2"/>
  <c r="O1018" i="2"/>
  <c r="O893" i="2"/>
  <c r="O369" i="2"/>
  <c r="O1048" i="2"/>
  <c r="O700" i="2"/>
  <c r="O1354" i="2"/>
  <c r="O962" i="2"/>
  <c r="O519" i="2"/>
  <c r="O1246" i="2"/>
  <c r="O922" i="2"/>
  <c r="O329" i="2"/>
  <c r="O239" i="2"/>
  <c r="O207" i="2"/>
  <c r="O229" i="2"/>
  <c r="O723" i="2"/>
  <c r="O144" i="2"/>
  <c r="O410" i="2"/>
  <c r="O1590" i="2"/>
  <c r="O670" i="2"/>
  <c r="O1272" i="2"/>
  <c r="O626" i="2"/>
  <c r="O1156" i="2"/>
  <c r="O1137" i="2"/>
  <c r="O651" i="2"/>
  <c r="O69" i="2"/>
  <c r="O1413" i="2"/>
  <c r="O430" i="2"/>
  <c r="O1232" i="2"/>
  <c r="O1540" i="2"/>
  <c r="O860" i="2"/>
  <c r="O1209" i="2"/>
  <c r="O508" i="2"/>
  <c r="O1632" i="2"/>
  <c r="O478" i="2"/>
  <c r="O1724" i="2"/>
  <c r="O1581" i="2"/>
  <c r="O1565" i="2"/>
  <c r="O161" i="2"/>
  <c r="O1506" i="2"/>
  <c r="O977" i="2"/>
  <c r="O138" i="2"/>
  <c r="O912" i="2"/>
  <c r="O560" i="2"/>
  <c r="O337" i="2"/>
  <c r="O1320" i="2"/>
  <c r="O253" i="2"/>
  <c r="O1501" i="2"/>
  <c r="O972" i="2"/>
  <c r="O821" i="2"/>
  <c r="O668" i="2"/>
  <c r="O179" i="2"/>
  <c r="O1468" i="2"/>
  <c r="O1270" i="2"/>
  <c r="O1111" i="2"/>
  <c r="O484" i="2"/>
  <c r="O628" i="2"/>
  <c r="O110" i="2"/>
  <c r="O1597" i="2"/>
  <c r="O1162" i="2"/>
  <c r="O699" i="2"/>
  <c r="O1493" i="2"/>
  <c r="O1239" i="2"/>
  <c r="O1131" i="2"/>
  <c r="O1001" i="2"/>
  <c r="O882" i="2"/>
  <c r="O653" i="2"/>
  <c r="O460" i="2"/>
  <c r="O290" i="2"/>
  <c r="O70" i="2"/>
  <c r="O79" i="2"/>
  <c r="O293" i="2"/>
  <c r="O1415" i="2"/>
  <c r="O1244" i="2"/>
  <c r="O782" i="2"/>
  <c r="O472" i="2"/>
  <c r="O1195" i="2"/>
  <c r="O1560" i="2"/>
  <c r="O1338" i="2"/>
  <c r="O1317" i="2"/>
  <c r="O616" i="2"/>
  <c r="O360" i="2"/>
  <c r="O1534" i="2"/>
  <c r="O527" i="2"/>
  <c r="O1098" i="2"/>
  <c r="O850" i="2"/>
  <c r="O441" i="2"/>
  <c r="O1645" i="2"/>
  <c r="O1203" i="2"/>
  <c r="O846" i="2"/>
  <c r="O733" i="2"/>
  <c r="O506" i="2"/>
  <c r="O54" i="2"/>
  <c r="O190" i="2"/>
  <c r="O48" i="2"/>
  <c r="O496" i="2"/>
  <c r="O1616" i="2"/>
  <c r="O1339" i="2"/>
  <c r="O861" i="2"/>
  <c r="O583" i="2"/>
  <c r="O1479" i="2"/>
  <c r="O1119" i="2"/>
  <c r="O1528" i="2"/>
  <c r="O1381" i="2"/>
  <c r="O1031" i="2"/>
  <c r="O596" i="2"/>
  <c r="O265" i="2"/>
  <c r="O458" i="2"/>
  <c r="O1256" i="2"/>
  <c r="O797" i="2"/>
  <c r="O569" i="2"/>
  <c r="O41" i="2"/>
  <c r="O1624" i="2"/>
  <c r="O1443" i="2"/>
  <c r="O1342" i="2"/>
  <c r="O1063" i="2"/>
  <c r="O720" i="2"/>
  <c r="O261" i="2"/>
  <c r="O86" i="2"/>
  <c r="O2" i="2"/>
  <c r="O1714" i="2"/>
  <c r="O1284" i="2"/>
  <c r="O1073" i="2"/>
  <c r="O554" i="2"/>
  <c r="O321" i="2"/>
  <c r="O1690" i="2"/>
  <c r="O1390" i="2"/>
  <c r="O682" i="2"/>
  <c r="O1025" i="2"/>
  <c r="O900" i="2"/>
  <c r="O403" i="2"/>
  <c r="O1055" i="2"/>
  <c r="O707" i="2"/>
  <c r="O1659" i="2"/>
  <c r="O1215" i="2"/>
  <c r="O953" i="2"/>
  <c r="O1701" i="2"/>
  <c r="O1038" i="2"/>
  <c r="O322" i="2"/>
  <c r="O312" i="2"/>
  <c r="O214" i="2"/>
  <c r="O805" i="2"/>
  <c r="O1575" i="2"/>
  <c r="O983" i="2"/>
  <c r="O562" i="2"/>
  <c r="O1709" i="2"/>
  <c r="O819" i="2"/>
  <c r="O1462" i="2"/>
  <c r="O121" i="2"/>
  <c r="O1164" i="2"/>
  <c r="O1237" i="2"/>
  <c r="O880" i="2"/>
  <c r="O286" i="2"/>
  <c r="O33" i="2"/>
  <c r="O776" i="2"/>
  <c r="O1457" i="2"/>
  <c r="O606" i="2"/>
  <c r="O1100" i="2"/>
  <c r="O1643" i="2"/>
  <c r="O636" i="2"/>
  <c r="O814" i="2"/>
  <c r="O477" i="2"/>
  <c r="O1723" i="2"/>
  <c r="O1580" i="2"/>
  <c r="O1564" i="2"/>
  <c r="O159" i="2"/>
  <c r="O992" i="2"/>
  <c r="O976" i="2"/>
  <c r="O137" i="2"/>
  <c r="O911" i="2"/>
  <c r="O559" i="2"/>
  <c r="O301" i="2"/>
  <c r="O1319" i="2"/>
  <c r="O252" i="2"/>
  <c r="O1500" i="2"/>
  <c r="O971" i="2"/>
  <c r="O820" i="2"/>
  <c r="O667" i="2"/>
  <c r="O130" i="2"/>
  <c r="O1467" i="2"/>
  <c r="O1269" i="2"/>
  <c r="O1110" i="2"/>
  <c r="O483" i="2"/>
  <c r="O627" i="2"/>
  <c r="O109" i="2"/>
  <c r="O1596" i="2"/>
  <c r="O1161" i="2"/>
  <c r="O698" i="2"/>
  <c r="O1492" i="2"/>
  <c r="O1238" i="2"/>
  <c r="O1130" i="2"/>
  <c r="O1000" i="2"/>
  <c r="O881" i="2"/>
  <c r="O652" i="2"/>
  <c r="O381" i="2"/>
  <c r="O288" i="2"/>
  <c r="O71" i="2"/>
  <c r="O46" i="2"/>
  <c r="O294" i="2"/>
  <c r="O1414" i="2"/>
  <c r="O1153" i="2"/>
  <c r="O781" i="2"/>
  <c r="O471" i="2"/>
  <c r="O120" i="2"/>
  <c r="O1559" i="2"/>
  <c r="O1337" i="2"/>
  <c r="O1316" i="2"/>
  <c r="O615" i="2"/>
  <c r="O273" i="2"/>
  <c r="O1533" i="2"/>
  <c r="O361" i="2"/>
  <c r="O1097" i="2"/>
  <c r="O849" i="2"/>
  <c r="O442" i="2"/>
  <c r="O1644" i="2"/>
  <c r="O1202" i="2"/>
  <c r="O845" i="2"/>
  <c r="O732" i="2"/>
  <c r="O505" i="2"/>
  <c r="O53" i="2"/>
  <c r="O189" i="2"/>
  <c r="O307" i="2"/>
  <c r="O495" i="2"/>
  <c r="O1615" i="2"/>
  <c r="O1243" i="2"/>
  <c r="O775" i="2"/>
  <c r="O582" i="2"/>
  <c r="O1478" i="2"/>
  <c r="O1118" i="2"/>
  <c r="O1527" i="2"/>
  <c r="O1380" i="2"/>
  <c r="O1030" i="2"/>
  <c r="O595" i="2"/>
  <c r="O264" i="2"/>
  <c r="O456" i="2"/>
  <c r="O1255" i="2"/>
  <c r="O796" i="2"/>
  <c r="O399" i="2"/>
  <c r="O40" i="2"/>
  <c r="O1554" i="2"/>
  <c r="O1442" i="2"/>
  <c r="O1194" i="2"/>
  <c r="O1062" i="2"/>
  <c r="O719" i="2"/>
  <c r="O227" i="2"/>
  <c r="O85" i="2"/>
  <c r="O4" i="2"/>
  <c r="O1713" i="2"/>
  <c r="O1176" i="2"/>
  <c r="O1072" i="2"/>
  <c r="O553" i="2"/>
  <c r="O319" i="2"/>
  <c r="O1689" i="2"/>
  <c r="O1389" i="2"/>
  <c r="O681" i="2"/>
  <c r="O1024" i="2"/>
  <c r="O899" i="2"/>
  <c r="O409" i="2"/>
  <c r="O1054" i="2"/>
  <c r="O706" i="2"/>
  <c r="O1658" i="2"/>
  <c r="O1214" i="2"/>
  <c r="O952" i="2"/>
  <c r="O1700" i="2"/>
  <c r="O1037" i="2"/>
  <c r="O267" i="2"/>
  <c r="O279" i="2"/>
  <c r="O213" i="2"/>
  <c r="O801" i="2"/>
  <c r="O1567" i="2"/>
  <c r="O989" i="2"/>
  <c r="O906" i="2"/>
  <c r="O6" i="2"/>
  <c r="O1310" i="2"/>
  <c r="O375" i="2"/>
  <c r="O1264" i="2"/>
  <c r="O630" i="2"/>
  <c r="O1400" i="2"/>
  <c r="O67" i="2"/>
  <c r="O1003" i="2"/>
  <c r="O540" i="2"/>
  <c r="O26" i="2"/>
  <c r="O1409" i="2"/>
  <c r="O474" i="2"/>
  <c r="O1449" i="2"/>
  <c r="O610" i="2"/>
  <c r="O257" i="2"/>
  <c r="O443" i="2"/>
  <c r="O946" i="2"/>
  <c r="O434" i="2"/>
  <c r="O498" i="2"/>
  <c r="O585" i="2"/>
  <c r="O1383" i="2"/>
  <c r="O457" i="2"/>
  <c r="O388" i="2"/>
  <c r="O1065" i="2"/>
  <c r="O95" i="2"/>
  <c r="O828" i="2"/>
  <c r="O684" i="2"/>
  <c r="O157" i="2"/>
  <c r="O955" i="2"/>
  <c r="O316" i="2"/>
  <c r="O524" i="2"/>
  <c r="O114" i="2"/>
  <c r="O1630" i="2"/>
  <c r="O1221" i="2"/>
  <c r="O1303" i="2"/>
  <c r="O447" i="2"/>
  <c r="O1441" i="2"/>
  <c r="O1175" i="2"/>
  <c r="O1699" i="2"/>
  <c r="O368" i="2"/>
  <c r="O1325" i="2"/>
  <c r="O1250" i="2"/>
  <c r="O714" i="2"/>
  <c r="O1019" i="2"/>
  <c r="O1695" i="2"/>
  <c r="O1124" i="2"/>
  <c r="O1015" i="2"/>
  <c r="R1639" i="2"/>
  <c r="R1691" i="2"/>
  <c r="U1592" i="2"/>
  <c r="S1700" i="2"/>
  <c r="O804" i="2"/>
  <c r="O1586" i="2"/>
  <c r="O377" i="2"/>
  <c r="O982" i="2"/>
  <c r="O1666" i="2"/>
  <c r="O416" i="2"/>
  <c r="O1084" i="2"/>
  <c r="O1344" i="2"/>
  <c r="O673" i="2"/>
  <c r="O1473" i="2"/>
  <c r="O1116" i="2"/>
  <c r="O633" i="2"/>
  <c r="O370" i="2"/>
  <c r="O1602" i="2"/>
  <c r="O1167" i="2"/>
  <c r="O931" i="2"/>
  <c r="O688" i="2"/>
  <c r="O1482" i="2"/>
  <c r="O1136" i="2"/>
  <c r="O1006" i="2"/>
  <c r="O887" i="2"/>
  <c r="O658" i="2"/>
  <c r="O466" i="2"/>
  <c r="O333" i="2"/>
  <c r="O230" i="2"/>
  <c r="O166" i="2"/>
  <c r="O588" i="2"/>
  <c r="O1420" i="2"/>
  <c r="O1404" i="2"/>
  <c r="O1143" i="2"/>
  <c r="O468" i="2"/>
  <c r="O1333" i="2"/>
  <c r="O1671" i="2"/>
  <c r="O1452" i="2"/>
  <c r="O1227" i="2"/>
  <c r="O743" i="2"/>
  <c r="O383" i="2"/>
  <c r="O1539" i="2"/>
  <c r="O532" i="2"/>
  <c r="O31" i="2"/>
  <c r="O855" i="2"/>
  <c r="O640" i="2"/>
  <c r="O1650" i="2"/>
  <c r="O1208" i="2"/>
  <c r="O945" i="2"/>
  <c r="O738" i="2"/>
  <c r="O511" i="2"/>
  <c r="O338" i="2"/>
  <c r="O249" i="2"/>
  <c r="O107" i="2"/>
  <c r="O501" i="2"/>
  <c r="O1621" i="2"/>
  <c r="O1605" i="2"/>
  <c r="O866" i="2"/>
  <c r="O765" i="2"/>
  <c r="O282" i="2"/>
  <c r="O1125" i="2"/>
  <c r="O112" i="2"/>
  <c r="O1517" i="2"/>
  <c r="O1370" i="2"/>
  <c r="O601" i="2"/>
  <c r="O356" i="2"/>
  <c r="O455" i="2"/>
  <c r="O1261" i="2"/>
  <c r="O1314" i="2"/>
  <c r="O574" i="2"/>
  <c r="O394" i="2"/>
  <c r="O1629" i="2"/>
  <c r="O1544" i="2"/>
  <c r="O1432" i="2"/>
  <c r="O1068" i="2"/>
  <c r="O941" i="2"/>
  <c r="O424" i="2"/>
  <c r="O102" i="2"/>
  <c r="O96" i="2"/>
  <c r="O1179" i="2"/>
  <c r="O1289" i="2"/>
  <c r="O1078" i="2"/>
  <c r="O831" i="2"/>
  <c r="O543" i="2"/>
  <c r="O8" i="2"/>
  <c r="O1395" i="2"/>
  <c r="O1034" i="2"/>
  <c r="O1363" i="2"/>
  <c r="O1305" i="2"/>
  <c r="O889" i="2"/>
  <c r="O366" i="2"/>
  <c r="O712" i="2"/>
  <c r="O1664" i="2"/>
  <c r="O1220" i="2"/>
  <c r="O958" i="2"/>
  <c r="O515" i="2"/>
  <c r="O1043" i="2"/>
  <c r="O918" i="2"/>
  <c r="O328" i="2"/>
  <c r="O75" i="2"/>
  <c r="O203" i="2"/>
  <c r="O1722" i="2"/>
  <c r="O89" i="2"/>
  <c r="O22" i="2"/>
  <c r="O296" i="2"/>
  <c r="O1495" i="2"/>
  <c r="O345" i="2"/>
  <c r="O1113" i="2"/>
  <c r="O66" i="2"/>
  <c r="O697" i="2"/>
  <c r="O1011" i="2"/>
  <c r="O463" i="2"/>
  <c r="O163" i="2"/>
  <c r="O1401" i="2"/>
  <c r="O81" i="2"/>
  <c r="O752" i="2"/>
  <c r="O537" i="2"/>
  <c r="O645" i="2"/>
  <c r="O950" i="2"/>
  <c r="O339" i="2"/>
  <c r="O811" i="2"/>
  <c r="O285" i="2"/>
  <c r="O1720" i="2"/>
  <c r="O1577" i="2"/>
  <c r="O729" i="2"/>
  <c r="O92" i="2"/>
  <c r="O987" i="2"/>
  <c r="O973" i="2"/>
  <c r="O134" i="2"/>
  <c r="O908" i="2"/>
  <c r="O556" i="2"/>
  <c r="O300" i="2"/>
  <c r="O1091" i="2"/>
  <c r="O1707" i="2"/>
  <c r="O1497" i="2"/>
  <c r="O968" i="2"/>
  <c r="O817" i="2"/>
  <c r="O664" i="2"/>
  <c r="O1281" i="2"/>
  <c r="O1464" i="2"/>
  <c r="O1266" i="2"/>
  <c r="O1107" i="2"/>
  <c r="O480" i="2"/>
  <c r="O624" i="2"/>
  <c r="O64" i="2"/>
  <c r="O1593" i="2"/>
  <c r="O1158" i="2"/>
  <c r="O695" i="2"/>
  <c r="O1489" i="2"/>
  <c r="O1235" i="2"/>
  <c r="O1013" i="2"/>
  <c r="O997" i="2"/>
  <c r="O878" i="2"/>
  <c r="O542" i="2"/>
  <c r="O25" i="2"/>
  <c r="O237" i="2"/>
  <c r="O61" i="2"/>
  <c r="O43" i="2"/>
  <c r="O1427" i="2"/>
  <c r="O1411" i="2"/>
  <c r="O1150" i="2"/>
  <c r="O778" i="2"/>
  <c r="O429" i="2"/>
  <c r="O1678" i="2"/>
  <c r="O1556" i="2"/>
  <c r="O1234" i="2"/>
  <c r="O750" i="2"/>
  <c r="O612" i="2"/>
  <c r="O219" i="2"/>
  <c r="O873" i="2"/>
  <c r="O259" i="2"/>
  <c r="O1094" i="2"/>
  <c r="O647" i="2"/>
  <c r="O436" i="2"/>
  <c r="O1641" i="2"/>
  <c r="O1321" i="2"/>
  <c r="O842" i="2"/>
  <c r="O638" i="2"/>
  <c r="O502" i="2"/>
  <c r="O323" i="2"/>
  <c r="O175" i="2"/>
  <c r="O306" i="2"/>
  <c r="O492" i="2"/>
  <c r="O1612" i="2"/>
  <c r="O1301" i="2"/>
  <c r="O772" i="2"/>
  <c r="O579" i="2"/>
  <c r="O1475" i="2"/>
  <c r="O758" i="2"/>
  <c r="O1524" i="2"/>
  <c r="O1377" i="2"/>
  <c r="O1027" i="2"/>
  <c r="O448" i="2"/>
  <c r="O243" i="2"/>
  <c r="O450" i="2"/>
  <c r="O1252" i="2"/>
  <c r="O793" i="2"/>
  <c r="O389" i="2"/>
  <c r="O18" i="2"/>
  <c r="O1551" i="2"/>
  <c r="O1439" i="2"/>
  <c r="O1191" i="2"/>
  <c r="O1059" i="2"/>
  <c r="O716" i="2"/>
  <c r="O170" i="2"/>
  <c r="O225" i="2"/>
  <c r="O1186" i="2"/>
  <c r="O1710" i="2"/>
  <c r="O1173" i="2"/>
  <c r="O1299" i="2"/>
  <c r="O550" i="2"/>
  <c r="O318" i="2"/>
  <c r="O1686" i="2"/>
  <c r="O1386" i="2"/>
  <c r="O678" i="2"/>
  <c r="O1021" i="2"/>
  <c r="O896" i="2"/>
  <c r="O406" i="2"/>
  <c r="O1051" i="2"/>
  <c r="O703" i="2"/>
  <c r="O1357" i="2"/>
  <c r="O965" i="2"/>
  <c r="O522" i="2"/>
  <c r="O1697" i="2"/>
  <c r="O925" i="2"/>
  <c r="O117" i="2"/>
  <c r="O242" i="2"/>
  <c r="O210" i="2"/>
  <c r="O476" i="2"/>
  <c r="O1563" i="2"/>
  <c r="O183" i="2"/>
  <c r="O418" i="2"/>
  <c r="O1503" i="2"/>
  <c r="O666" i="2"/>
  <c r="O1268" i="2"/>
  <c r="O371" i="2"/>
  <c r="O932" i="2"/>
  <c r="O1133" i="2"/>
  <c r="O655" i="2"/>
  <c r="O152" i="2"/>
  <c r="O1417" i="2"/>
  <c r="O469" i="2"/>
  <c r="O1336" i="2"/>
  <c r="O217" i="2"/>
  <c r="O856" i="2"/>
  <c r="O1205" i="2"/>
  <c r="O504" i="2"/>
  <c r="O810" i="2"/>
  <c r="O284" i="2"/>
  <c r="O1719" i="2"/>
  <c r="O1576" i="2"/>
  <c r="O728" i="2"/>
  <c r="O91" i="2"/>
  <c r="O991" i="2"/>
  <c r="O326" i="2"/>
  <c r="O50" i="2"/>
  <c r="O907" i="2"/>
  <c r="O415" i="2"/>
  <c r="O298" i="2"/>
  <c r="O1090" i="2"/>
  <c r="O1706" i="2"/>
  <c r="O1496" i="2"/>
  <c r="O967" i="2"/>
  <c r="O816" i="2"/>
  <c r="O663" i="2"/>
  <c r="O1280" i="2"/>
  <c r="O1463" i="2"/>
  <c r="O1265" i="2"/>
  <c r="O1106" i="2"/>
  <c r="O479" i="2"/>
  <c r="O623" i="2"/>
  <c r="O63" i="2"/>
  <c r="O1592" i="2"/>
  <c r="O1157" i="2"/>
  <c r="O694" i="2"/>
  <c r="O1488" i="2"/>
  <c r="O1142" i="2"/>
  <c r="O1012" i="2"/>
  <c r="O996" i="2"/>
  <c r="O877" i="2"/>
  <c r="O541" i="2"/>
  <c r="O24" i="2"/>
  <c r="O236" i="2"/>
  <c r="O60" i="2"/>
  <c r="O594" i="2"/>
  <c r="O1426" i="2"/>
  <c r="O1410" i="2"/>
  <c r="O1149" i="2"/>
  <c r="O777" i="2"/>
  <c r="O427" i="2"/>
  <c r="O1677" i="2"/>
  <c r="O1555" i="2"/>
  <c r="O1233" i="2"/>
  <c r="O749" i="2"/>
  <c r="O611" i="2"/>
  <c r="O218" i="2"/>
  <c r="O538" i="2"/>
  <c r="O258" i="2"/>
  <c r="O1093" i="2"/>
  <c r="O646" i="2"/>
  <c r="O82" i="2"/>
  <c r="O1347" i="2"/>
  <c r="O951" i="2"/>
  <c r="O841" i="2"/>
  <c r="O637" i="2"/>
  <c r="O433" i="2"/>
  <c r="O303" i="2"/>
  <c r="O174" i="2"/>
  <c r="O304" i="2"/>
  <c r="O491" i="2"/>
  <c r="O1611" i="2"/>
  <c r="O872" i="2"/>
  <c r="O771" i="2"/>
  <c r="O578" i="2"/>
  <c r="O1326" i="2"/>
  <c r="O757" i="2"/>
  <c r="O1523" i="2"/>
  <c r="O1376" i="2"/>
  <c r="O1026" i="2"/>
  <c r="O446" i="2"/>
  <c r="O202" i="2"/>
  <c r="O342" i="2"/>
  <c r="O1251" i="2"/>
  <c r="O792" i="2"/>
  <c r="O395" i="2"/>
  <c r="O17" i="2"/>
  <c r="O1550" i="2"/>
  <c r="O1438" i="2"/>
  <c r="O1190" i="2"/>
  <c r="O1058" i="2"/>
  <c r="O715" i="2"/>
  <c r="O169" i="2"/>
  <c r="O224" i="2"/>
  <c r="O1185" i="2"/>
  <c r="O1295" i="2"/>
  <c r="O1172" i="2"/>
  <c r="O837" i="2"/>
  <c r="O549" i="2"/>
  <c r="O196" i="2"/>
  <c r="O1685" i="2"/>
  <c r="O1385" i="2"/>
  <c r="O155" i="2"/>
  <c r="O1020" i="2"/>
  <c r="O895" i="2"/>
  <c r="O404" i="2"/>
  <c r="O1050" i="2"/>
  <c r="O702" i="2"/>
  <c r="O1356" i="2"/>
  <c r="O964" i="2"/>
  <c r="O521" i="2"/>
  <c r="O1696" i="2"/>
  <c r="O924" i="2"/>
  <c r="O116" i="2"/>
  <c r="O241" i="2"/>
  <c r="O209" i="2"/>
  <c r="O1730" i="2"/>
  <c r="O727" i="2"/>
  <c r="O975" i="2"/>
  <c r="O566" i="2"/>
  <c r="O1085" i="2"/>
  <c r="O827" i="2"/>
  <c r="O1283" i="2"/>
  <c r="O1117" i="2"/>
  <c r="O622" i="2"/>
  <c r="O1160" i="2"/>
  <c r="O1483" i="2"/>
  <c r="O888" i="2"/>
  <c r="O379" i="2"/>
  <c r="O45" i="2"/>
  <c r="O1152" i="2"/>
  <c r="O178" i="2"/>
  <c r="O1228" i="2"/>
  <c r="O272" i="2"/>
  <c r="O1096" i="2"/>
  <c r="O1651" i="2"/>
  <c r="O844" i="2"/>
  <c r="O131" i="2"/>
  <c r="O1618" i="2"/>
  <c r="O176" i="2"/>
  <c r="O1332" i="2"/>
  <c r="O1258" i="2"/>
  <c r="O1626" i="2"/>
  <c r="O938" i="2"/>
  <c r="O354" i="2"/>
  <c r="O352" i="2"/>
  <c r="O1330" i="2"/>
  <c r="O709" i="2"/>
  <c r="O58" i="2"/>
  <c r="O216" i="2"/>
  <c r="O1036" i="2"/>
  <c r="O1606" i="2"/>
  <c r="O358" i="2"/>
  <c r="O1433" i="2"/>
  <c r="O544" i="2"/>
  <c r="O1154" i="2"/>
  <c r="O305" i="2"/>
  <c r="O774" i="2"/>
  <c r="O1526" i="2"/>
  <c r="O263" i="2"/>
  <c r="O391" i="2"/>
  <c r="O1193" i="2"/>
  <c r="O47" i="2"/>
  <c r="O1071" i="2"/>
  <c r="O1388" i="2"/>
  <c r="O401" i="2"/>
  <c r="O186" i="2"/>
  <c r="O1290" i="2"/>
  <c r="O77" i="2"/>
  <c r="O173" i="2"/>
  <c r="O871" i="2"/>
  <c r="O756" i="2"/>
  <c r="O444" i="2"/>
  <c r="O791" i="2"/>
  <c r="O1437" i="2"/>
  <c r="O168" i="2"/>
  <c r="O1171" i="2"/>
  <c r="O1684" i="2"/>
  <c r="O894" i="2"/>
  <c r="O1355" i="2"/>
  <c r="O923" i="2"/>
  <c r="O108" i="2"/>
  <c r="O1518" i="2"/>
  <c r="O396" i="2"/>
  <c r="O1180" i="2"/>
  <c r="O1045" i="2"/>
  <c r="O281" i="2"/>
  <c r="O1035" i="2"/>
  <c r="O494" i="2"/>
  <c r="O1379" i="2"/>
  <c r="O39" i="2"/>
  <c r="O3" i="2"/>
  <c r="O680" i="2"/>
  <c r="O705" i="2"/>
  <c r="O9" i="2"/>
  <c r="O150" i="2"/>
  <c r="O1522" i="2"/>
  <c r="O201" i="2"/>
  <c r="O1189" i="2"/>
  <c r="O836" i="2"/>
  <c r="O1352" i="2"/>
  <c r="O963" i="2"/>
  <c r="O1622" i="2"/>
  <c r="O602" i="2"/>
  <c r="O832" i="2"/>
  <c r="R1659" i="2"/>
  <c r="R1711" i="2"/>
  <c r="S1628" i="2"/>
  <c r="T2" i="2"/>
  <c r="O1733" i="2"/>
  <c r="O1574" i="2"/>
  <c r="O1515" i="2"/>
  <c r="O182" i="2"/>
  <c r="O905" i="2"/>
  <c r="O248" i="2"/>
  <c r="O1704" i="2"/>
  <c r="O1298" i="2"/>
  <c r="O373" i="2"/>
  <c r="O1461" i="2"/>
  <c r="O1104" i="2"/>
  <c r="O629" i="2"/>
  <c r="O274" i="2"/>
  <c r="O1598" i="2"/>
  <c r="O1163" i="2"/>
  <c r="O927" i="2"/>
  <c r="O1494" i="2"/>
  <c r="O1240" i="2"/>
  <c r="O1132" i="2"/>
  <c r="O1002" i="2"/>
  <c r="O883" i="2"/>
  <c r="O654" i="2"/>
  <c r="O462" i="2"/>
  <c r="O292" i="2"/>
  <c r="O151" i="2"/>
  <c r="O78" i="2"/>
  <c r="O334" i="2"/>
  <c r="O1416" i="2"/>
  <c r="O1353" i="2"/>
  <c r="O783" i="2"/>
  <c r="O473" i="2"/>
  <c r="O1196" i="2"/>
  <c r="O1561" i="2"/>
  <c r="O1448" i="2"/>
  <c r="O1223" i="2"/>
  <c r="O617" i="2"/>
  <c r="O382" i="2"/>
  <c r="O1535" i="2"/>
  <c r="O528" i="2"/>
  <c r="O1099" i="2"/>
  <c r="O851" i="2"/>
  <c r="O435" i="2"/>
  <c r="O1646" i="2"/>
  <c r="O1204" i="2"/>
  <c r="O847" i="2"/>
  <c r="O734" i="2"/>
  <c r="O507" i="2"/>
  <c r="O56" i="2"/>
  <c r="O191" i="2"/>
  <c r="O49" i="2"/>
  <c r="O497" i="2"/>
  <c r="O1617" i="2"/>
  <c r="O1340" i="2"/>
  <c r="O862" i="2"/>
  <c r="O584" i="2"/>
  <c r="O1480" i="2"/>
  <c r="O1120" i="2"/>
  <c r="O1529" i="2"/>
  <c r="O1382" i="2"/>
  <c r="O1032" i="2"/>
  <c r="O597" i="2"/>
  <c r="O266" i="2"/>
  <c r="O449" i="2"/>
  <c r="O1257" i="2"/>
  <c r="O798" i="2"/>
  <c r="O570" i="2"/>
  <c r="O42" i="2"/>
  <c r="O1625" i="2"/>
  <c r="O1444" i="2"/>
  <c r="O1343" i="2"/>
  <c r="O1064" i="2"/>
  <c r="O721" i="2"/>
  <c r="O340" i="2"/>
  <c r="O99" i="2"/>
  <c r="O93" i="2"/>
  <c r="O1715" i="2"/>
  <c r="O1285" i="2"/>
  <c r="O1074" i="2"/>
  <c r="O555" i="2"/>
  <c r="O350" i="2"/>
  <c r="O1691" i="2"/>
  <c r="O1391" i="2"/>
  <c r="O683" i="2"/>
  <c r="O1329" i="2"/>
  <c r="O901" i="2"/>
  <c r="O405" i="2"/>
  <c r="O156" i="2"/>
  <c r="O708" i="2"/>
  <c r="O1660" i="2"/>
  <c r="O1216" i="2"/>
  <c r="O954" i="2"/>
  <c r="O1702" i="2"/>
  <c r="O1039" i="2"/>
  <c r="O786" i="2"/>
  <c r="O314" i="2"/>
  <c r="O215" i="2"/>
  <c r="O1634" i="2"/>
  <c r="O1583" i="2"/>
  <c r="O990" i="2"/>
  <c r="O910" i="2"/>
  <c r="O1318" i="2"/>
  <c r="O970" i="2"/>
  <c r="O1279" i="2"/>
  <c r="O490" i="2"/>
  <c r="O1599" i="2"/>
  <c r="O1491" i="2"/>
  <c r="O999" i="2"/>
  <c r="O343" i="2"/>
  <c r="O589" i="2"/>
  <c r="O935" i="2"/>
  <c r="O1562" i="2"/>
  <c r="O618" i="2"/>
  <c r="O362" i="2"/>
  <c r="O440" i="2"/>
  <c r="O840" i="2"/>
  <c r="O1640" i="2"/>
  <c r="O807" i="2"/>
  <c r="O1732" i="2"/>
  <c r="O1716" i="2"/>
  <c r="O1573" i="2"/>
  <c r="O725" i="2"/>
  <c r="O1514" i="2"/>
  <c r="O985" i="2"/>
  <c r="O146" i="2"/>
  <c r="O20" i="2"/>
  <c r="O568" i="2"/>
  <c r="O411" i="2"/>
  <c r="O247" i="2"/>
  <c r="O1087" i="2"/>
  <c r="O1703" i="2"/>
  <c r="O1360" i="2"/>
  <c r="O1297" i="2"/>
  <c r="O676" i="2"/>
  <c r="O376" i="2"/>
  <c r="O1277" i="2"/>
  <c r="O1460" i="2"/>
  <c r="O1323" i="2"/>
  <c r="O1103" i="2"/>
  <c r="O309" i="2"/>
  <c r="O620" i="2"/>
  <c r="O36" i="2"/>
  <c r="O1398" i="2"/>
  <c r="O934" i="2"/>
  <c r="O691" i="2"/>
  <c r="O1485" i="2"/>
  <c r="O1139" i="2"/>
  <c r="O1009" i="2"/>
  <c r="O993" i="2"/>
  <c r="O874" i="2"/>
  <c r="O461" i="2"/>
  <c r="O83" i="2"/>
  <c r="O233" i="2"/>
  <c r="O311" i="2"/>
  <c r="O591" i="2"/>
  <c r="O1423" i="2"/>
  <c r="O1407" i="2"/>
  <c r="O1146" i="2"/>
  <c r="O661" i="2"/>
  <c r="O426" i="2"/>
  <c r="O1674" i="2"/>
  <c r="O1455" i="2"/>
  <c r="O1230" i="2"/>
  <c r="O746" i="2"/>
  <c r="O608" i="2"/>
  <c r="O1542" i="2"/>
  <c r="O535" i="2"/>
  <c r="O88" i="2"/>
  <c r="O858" i="2"/>
  <c r="O643" i="2"/>
  <c r="O1653" i="2"/>
  <c r="O1211" i="2"/>
  <c r="O948" i="2"/>
  <c r="O838" i="2"/>
  <c r="O634" i="2"/>
  <c r="O349" i="2"/>
  <c r="O269" i="2"/>
  <c r="O171" i="2"/>
  <c r="O148" i="2"/>
  <c r="O28" i="2"/>
  <c r="O1608" i="2"/>
  <c r="O869" i="2"/>
  <c r="O768" i="2"/>
  <c r="O324" i="2"/>
  <c r="O1127" i="2"/>
  <c r="O754" i="2"/>
  <c r="O1520" i="2"/>
  <c r="O1373" i="2"/>
  <c r="O604" i="2"/>
  <c r="O357" i="2"/>
  <c r="O124" i="2"/>
  <c r="O1341" i="2"/>
  <c r="O1248" i="2"/>
  <c r="O789" i="2"/>
  <c r="O400" i="2"/>
  <c r="O14" i="2"/>
  <c r="O1547" i="2"/>
  <c r="O1435" i="2"/>
  <c r="O1187" i="2"/>
  <c r="O1308" i="2"/>
  <c r="O423" i="2"/>
  <c r="O128" i="2"/>
  <c r="O221" i="2"/>
  <c r="O1182" i="2"/>
  <c r="O1292" i="2"/>
  <c r="O1169" i="2"/>
  <c r="O834" i="2"/>
  <c r="O546" i="2"/>
  <c r="O11" i="2"/>
  <c r="O1682" i="2"/>
  <c r="O1350" i="2"/>
  <c r="O1366" i="2"/>
  <c r="O1017" i="2"/>
  <c r="O892" i="2"/>
  <c r="O367" i="2"/>
  <c r="O1047" i="2"/>
  <c r="O119" i="2"/>
  <c r="O1334" i="2"/>
  <c r="O961" i="2"/>
  <c r="O518" i="2"/>
  <c r="O1245" i="2"/>
  <c r="O921" i="2"/>
  <c r="O327" i="2"/>
  <c r="O123" i="2"/>
  <c r="O206" i="2"/>
  <c r="O1726" i="2"/>
  <c r="O158" i="2"/>
  <c r="O136" i="2"/>
  <c r="O245" i="2"/>
  <c r="O1358" i="2"/>
  <c r="O181" i="2"/>
  <c r="O1109" i="2"/>
  <c r="O38" i="2"/>
  <c r="O689" i="2"/>
  <c r="O1007" i="2"/>
  <c r="O459" i="2"/>
  <c r="O167" i="2"/>
  <c r="O1405" i="2"/>
  <c r="O1197" i="2"/>
  <c r="O1224" i="2"/>
  <c r="O1532" i="2"/>
  <c r="O641" i="2"/>
  <c r="O942" i="2"/>
  <c r="O1639" i="2"/>
  <c r="O806" i="2"/>
  <c r="O1731" i="2"/>
  <c r="O1588" i="2"/>
  <c r="O1572" i="2"/>
  <c r="O724" i="2"/>
  <c r="O1513" i="2"/>
  <c r="O984" i="2"/>
  <c r="O145" i="2"/>
  <c r="O1668" i="2"/>
  <c r="O567" i="2"/>
  <c r="O417" i="2"/>
  <c r="O246" i="2"/>
  <c r="O1086" i="2"/>
  <c r="O1591" i="2"/>
  <c r="O1359" i="2"/>
  <c r="O1296" i="2"/>
  <c r="O675" i="2"/>
  <c r="O374" i="2"/>
  <c r="O1276" i="2"/>
  <c r="O1459" i="2"/>
  <c r="O1322" i="2"/>
  <c r="O649" i="2"/>
  <c r="O122" i="2"/>
  <c r="O619" i="2"/>
  <c r="O35" i="2"/>
  <c r="O1397" i="2"/>
  <c r="O933" i="2"/>
  <c r="O690" i="2"/>
  <c r="O1484" i="2"/>
  <c r="O1138" i="2"/>
  <c r="O1008" i="2"/>
  <c r="O1304" i="2"/>
  <c r="O762" i="2"/>
  <c r="O464" i="2"/>
  <c r="O72" i="2"/>
  <c r="O232" i="2"/>
  <c r="O310" i="2"/>
  <c r="O590" i="2"/>
  <c r="O1422" i="2"/>
  <c r="O1406" i="2"/>
  <c r="O1145" i="2"/>
  <c r="O660" i="2"/>
  <c r="O228" i="2"/>
  <c r="O1673" i="2"/>
  <c r="O1454" i="2"/>
  <c r="O1229" i="2"/>
  <c r="O745" i="2"/>
  <c r="O607" i="2"/>
  <c r="O1541" i="2"/>
  <c r="O534" i="2"/>
  <c r="O87" i="2"/>
  <c r="O857" i="2"/>
  <c r="O642" i="2"/>
  <c r="O1652" i="2"/>
  <c r="O1210" i="2"/>
  <c r="O947" i="2"/>
  <c r="O740" i="2"/>
  <c r="O513" i="2"/>
  <c r="O348" i="2"/>
  <c r="O251" i="2"/>
  <c r="O106" i="2"/>
  <c r="O147" i="2"/>
  <c r="O1623" i="2"/>
  <c r="O1607" i="2"/>
  <c r="O868" i="2"/>
  <c r="O767" i="2"/>
  <c r="O283" i="2"/>
  <c r="O1126" i="2"/>
  <c r="O753" i="2"/>
  <c r="O1519" i="2"/>
  <c r="O1372" i="2"/>
  <c r="O603" i="2"/>
  <c r="O355" i="2"/>
  <c r="O785" i="2"/>
  <c r="O1263" i="2"/>
  <c r="O1247" i="2"/>
  <c r="O788" i="2"/>
  <c r="O398" i="2"/>
  <c r="O1631" i="2"/>
  <c r="O1546" i="2"/>
  <c r="O1434" i="2"/>
  <c r="O1070" i="2"/>
  <c r="O1307" i="2"/>
  <c r="O421" i="2"/>
  <c r="O98" i="2"/>
  <c r="O127" i="2"/>
  <c r="O1181" i="2"/>
  <c r="O1291" i="2"/>
  <c r="O1168" i="2"/>
  <c r="O833" i="2"/>
  <c r="O545" i="2"/>
  <c r="O10" i="2"/>
  <c r="O1681" i="2"/>
  <c r="O1349" i="2"/>
  <c r="O1365" i="2"/>
  <c r="O1016" i="2"/>
  <c r="O891" i="2"/>
  <c r="O365" i="2"/>
  <c r="O1046" i="2"/>
  <c r="O76" i="2"/>
  <c r="O1222" i="2"/>
  <c r="O960" i="2"/>
  <c r="O517" i="2"/>
  <c r="O1327" i="2"/>
  <c r="O920" i="2"/>
  <c r="O332" i="2"/>
  <c r="O118" i="2"/>
  <c r="O205" i="2"/>
  <c r="O1718" i="2"/>
  <c r="O160" i="2"/>
  <c r="O140" i="2"/>
  <c r="O413" i="2"/>
  <c r="O1705" i="2"/>
  <c r="O815" i="2"/>
  <c r="O1470" i="2"/>
  <c r="O1105" i="2"/>
  <c r="O276" i="2"/>
  <c r="O928" i="2"/>
  <c r="O1141" i="2"/>
  <c r="O876" i="2"/>
  <c r="O287" i="2"/>
  <c r="O335" i="2"/>
  <c r="O1144" i="2"/>
  <c r="O1676" i="2"/>
  <c r="O748" i="2"/>
  <c r="O1536" i="2"/>
  <c r="O852" i="2"/>
  <c r="O1346" i="2"/>
  <c r="O735" i="2"/>
  <c r="O192" i="2"/>
  <c r="O1348" i="2"/>
  <c r="O1121" i="2"/>
  <c r="O598" i="2"/>
  <c r="O799" i="2"/>
  <c r="O1445" i="2"/>
  <c r="O372" i="2"/>
  <c r="O1286" i="2"/>
  <c r="O1692" i="2"/>
  <c r="O902" i="2"/>
  <c r="O1661" i="2"/>
  <c r="O1040" i="2"/>
  <c r="O1053" i="2"/>
  <c r="O280" i="2"/>
  <c r="O1262" i="2"/>
  <c r="O425" i="2"/>
  <c r="O74" i="2"/>
  <c r="O581" i="2"/>
  <c r="O454" i="2"/>
  <c r="O1061" i="2"/>
  <c r="O552" i="2"/>
  <c r="O212" i="2"/>
  <c r="O516" i="2"/>
  <c r="O770" i="2"/>
  <c r="O387" i="2"/>
  <c r="O223" i="2"/>
  <c r="O402" i="2"/>
  <c r="O331" i="2"/>
  <c r="O1545" i="2"/>
  <c r="O959" i="2"/>
  <c r="R1665" i="2"/>
  <c r="R1717" i="2"/>
  <c r="S1644" i="2"/>
  <c r="O1637" i="2"/>
  <c r="O1729" i="2"/>
  <c r="O1570" i="2"/>
  <c r="O1511" i="2"/>
  <c r="O143" i="2"/>
  <c r="O565" i="2"/>
  <c r="O244" i="2"/>
  <c r="O1589" i="2"/>
  <c r="O826" i="2"/>
  <c r="O346" i="2"/>
  <c r="O1275" i="2"/>
  <c r="O489" i="2"/>
  <c r="O625" i="2"/>
  <c r="O65" i="2"/>
  <c r="O1594" i="2"/>
  <c r="O1159" i="2"/>
  <c r="O696" i="2"/>
  <c r="O1490" i="2"/>
  <c r="O1236" i="2"/>
  <c r="O1014" i="2"/>
  <c r="O998" i="2"/>
  <c r="O879" i="2"/>
  <c r="O650" i="2"/>
  <c r="O380" i="2"/>
  <c r="O271" i="2"/>
  <c r="O62" i="2"/>
  <c r="O44" i="2"/>
  <c r="O1428" i="2"/>
  <c r="O1412" i="2"/>
  <c r="O1151" i="2"/>
  <c r="O779" i="2"/>
  <c r="O431" i="2"/>
  <c r="O1679" i="2"/>
  <c r="O1557" i="2"/>
  <c r="O1335" i="2"/>
  <c r="O751" i="2"/>
  <c r="O613" i="2"/>
  <c r="O220" i="2"/>
  <c r="O1531" i="2"/>
  <c r="O260" i="2"/>
  <c r="O1095" i="2"/>
  <c r="O648" i="2"/>
  <c r="O438" i="2"/>
  <c r="O1642" i="2"/>
  <c r="O1200" i="2"/>
  <c r="O843" i="2"/>
  <c r="O639" i="2"/>
  <c r="O503" i="2"/>
  <c r="O51" i="2"/>
  <c r="O187" i="2"/>
  <c r="O308" i="2"/>
  <c r="O493" i="2"/>
  <c r="O1613" i="2"/>
  <c r="O1302" i="2"/>
  <c r="O773" i="2"/>
  <c r="O580" i="2"/>
  <c r="O1476" i="2"/>
  <c r="O759" i="2"/>
  <c r="O1525" i="2"/>
  <c r="O1378" i="2"/>
  <c r="O1028" i="2"/>
  <c r="O445" i="2"/>
  <c r="O262" i="2"/>
  <c r="O452" i="2"/>
  <c r="O1253" i="2"/>
  <c r="O794" i="2"/>
  <c r="O397" i="2"/>
  <c r="O19" i="2"/>
  <c r="O1552" i="2"/>
  <c r="O1440" i="2"/>
  <c r="O1192" i="2"/>
  <c r="O1060" i="2"/>
  <c r="O717" i="2"/>
  <c r="O200" i="2"/>
  <c r="O302" i="2"/>
  <c r="O1328" i="2"/>
  <c r="O1711" i="2"/>
  <c r="O1174" i="2"/>
  <c r="O1300" i="2"/>
  <c r="O551" i="2"/>
  <c r="O320" i="2"/>
  <c r="O1687" i="2"/>
  <c r="O1387" i="2"/>
  <c r="O679" i="2"/>
  <c r="O1022" i="2"/>
  <c r="O897" i="2"/>
  <c r="O408" i="2"/>
  <c r="O1052" i="2"/>
  <c r="O704" i="2"/>
  <c r="O1656" i="2"/>
  <c r="O1212" i="2"/>
  <c r="O523" i="2"/>
  <c r="O1698" i="2"/>
  <c r="O926" i="2"/>
  <c r="O185" i="2"/>
  <c r="O254" i="2"/>
  <c r="O211" i="2"/>
  <c r="O809" i="2"/>
  <c r="O1571" i="2"/>
  <c r="O979" i="2"/>
  <c r="O558" i="2"/>
  <c r="O1081" i="2"/>
  <c r="O823" i="2"/>
  <c r="O1466" i="2"/>
  <c r="O363" i="2"/>
  <c r="O1396" i="2"/>
  <c r="O1241" i="2"/>
  <c r="O884" i="2"/>
  <c r="O235" i="2"/>
  <c r="O1425" i="2"/>
  <c r="O659" i="2"/>
  <c r="O1453" i="2"/>
  <c r="O384" i="2"/>
  <c r="O55" i="2"/>
  <c r="O1647" i="2"/>
  <c r="O731" i="2"/>
  <c r="O1636" i="2"/>
  <c r="O803" i="2"/>
  <c r="O1728" i="2"/>
  <c r="O1585" i="2"/>
  <c r="O1569" i="2"/>
  <c r="O198" i="2"/>
  <c r="O1510" i="2"/>
  <c r="O981" i="2"/>
  <c r="O142" i="2"/>
  <c r="O1665" i="2"/>
  <c r="O564" i="2"/>
  <c r="O414" i="2"/>
  <c r="O115" i="2"/>
  <c r="O1083" i="2"/>
  <c r="O1505" i="2"/>
  <c r="O1312" i="2"/>
  <c r="O825" i="2"/>
  <c r="O672" i="2"/>
  <c r="O344" i="2"/>
  <c r="O1472" i="2"/>
  <c r="O1274" i="2"/>
  <c r="O1115" i="2"/>
  <c r="O488" i="2"/>
  <c r="O632" i="2"/>
  <c r="O277" i="2"/>
  <c r="O1601" i="2"/>
  <c r="O1166" i="2"/>
  <c r="O930" i="2"/>
  <c r="O687" i="2"/>
  <c r="O1481" i="2"/>
  <c r="O1135" i="2"/>
  <c r="O1005" i="2"/>
  <c r="O886" i="2"/>
  <c r="O657" i="2"/>
  <c r="O467" i="2"/>
  <c r="O291" i="2"/>
  <c r="O154" i="2"/>
  <c r="O165" i="2"/>
  <c r="O587" i="2"/>
  <c r="O1419" i="2"/>
  <c r="O1403" i="2"/>
  <c r="O937" i="2"/>
  <c r="O470" i="2"/>
  <c r="O1199" i="2"/>
  <c r="O1670" i="2"/>
  <c r="O1451" i="2"/>
  <c r="O1226" i="2"/>
  <c r="O742" i="2"/>
  <c r="O385" i="2"/>
  <c r="O1538" i="2"/>
  <c r="O531" i="2"/>
  <c r="O1102" i="2"/>
  <c r="O854" i="2"/>
  <c r="O439" i="2"/>
  <c r="O1649" i="2"/>
  <c r="O1207" i="2"/>
  <c r="O944" i="2"/>
  <c r="O737" i="2"/>
  <c r="O510" i="2"/>
  <c r="O133" i="2"/>
  <c r="O194" i="2"/>
  <c r="O105" i="2"/>
  <c r="O500" i="2"/>
  <c r="O1620" i="2"/>
  <c r="O1604" i="2"/>
  <c r="O865" i="2"/>
  <c r="O764" i="2"/>
  <c r="O199" i="2"/>
  <c r="O1123" i="2"/>
  <c r="O113" i="2"/>
  <c r="O1516" i="2"/>
  <c r="O1369" i="2"/>
  <c r="O600" i="2"/>
  <c r="O341" i="2"/>
  <c r="O453" i="2"/>
  <c r="O1260" i="2"/>
  <c r="O1313" i="2"/>
  <c r="O573" i="2"/>
  <c r="O392" i="2"/>
  <c r="O1628" i="2"/>
  <c r="O1447" i="2"/>
  <c r="O1431" i="2"/>
  <c r="O1067" i="2"/>
  <c r="O940" i="2"/>
  <c r="O422" i="2"/>
  <c r="O100" i="2"/>
  <c r="O94" i="2"/>
  <c r="O1178" i="2"/>
  <c r="O1288" i="2"/>
  <c r="O1077" i="2"/>
  <c r="O830" i="2"/>
  <c r="O353" i="2"/>
  <c r="O1694" i="2"/>
  <c r="O1394" i="2"/>
  <c r="O1033" i="2"/>
  <c r="O1362" i="2"/>
  <c r="O904" i="2"/>
  <c r="O526" i="2"/>
  <c r="O255" i="2"/>
  <c r="O711" i="2"/>
  <c r="O1663" i="2"/>
  <c r="O1219" i="2"/>
  <c r="O957" i="2"/>
  <c r="O514" i="2"/>
  <c r="O1042" i="2"/>
  <c r="O917" i="2"/>
  <c r="O315" i="2"/>
  <c r="O73" i="2"/>
  <c r="O1638" i="2"/>
  <c r="O1587" i="2"/>
  <c r="O1508" i="2"/>
  <c r="O914" i="2"/>
  <c r="O1089" i="2"/>
  <c r="O966" i="2"/>
  <c r="O1474" i="2"/>
  <c r="O486" i="2"/>
  <c r="O1595" i="2"/>
  <c r="O1487" i="2"/>
  <c r="O995" i="2"/>
  <c r="O23" i="2"/>
  <c r="O593" i="2"/>
  <c r="O1148" i="2"/>
  <c r="O1672" i="2"/>
  <c r="O744" i="2"/>
  <c r="O529" i="2"/>
  <c r="O1655" i="2"/>
  <c r="O739" i="2"/>
  <c r="O1635" i="2"/>
  <c r="O802" i="2"/>
  <c r="O1727" i="2"/>
  <c r="O1584" i="2"/>
  <c r="O1568" i="2"/>
  <c r="O197" i="2"/>
  <c r="O1509" i="2"/>
  <c r="O980" i="2"/>
  <c r="O141" i="2"/>
  <c r="O915" i="2"/>
  <c r="O563" i="2"/>
  <c r="O412" i="2"/>
  <c r="O7" i="2"/>
  <c r="O1082" i="2"/>
  <c r="O1504" i="2"/>
  <c r="O1311" i="2"/>
  <c r="O824" i="2"/>
  <c r="O671" i="2"/>
  <c r="O278" i="2"/>
  <c r="O1471" i="2"/>
  <c r="O1273" i="2"/>
  <c r="O1114" i="2"/>
  <c r="O487" i="2"/>
  <c r="O631" i="2"/>
  <c r="O275" i="2"/>
  <c r="O1600" i="2"/>
  <c r="O1165" i="2"/>
  <c r="O929" i="2"/>
  <c r="O686" i="2"/>
  <c r="O1242" i="2"/>
  <c r="O1134" i="2"/>
  <c r="O1004" i="2"/>
  <c r="O885" i="2"/>
  <c r="O656" i="2"/>
  <c r="O465" i="2"/>
  <c r="O289" i="2"/>
  <c r="O153" i="2"/>
  <c r="O164" i="2"/>
  <c r="O586" i="2"/>
  <c r="O1418" i="2"/>
  <c r="O1402" i="2"/>
  <c r="O936" i="2"/>
  <c r="O475" i="2"/>
  <c r="O1198" i="2"/>
  <c r="O1669" i="2"/>
  <c r="O1450" i="2"/>
  <c r="O1225" i="2"/>
  <c r="O741" i="2"/>
  <c r="O386" i="2"/>
  <c r="O1537" i="2"/>
  <c r="O530" i="2"/>
  <c r="O1101" i="2"/>
  <c r="O853" i="2"/>
  <c r="O437" i="2"/>
  <c r="O1648" i="2"/>
  <c r="O1206" i="2"/>
  <c r="O943" i="2"/>
  <c r="O736" i="2"/>
  <c r="O509" i="2"/>
  <c r="O132" i="2"/>
  <c r="O193" i="2"/>
  <c r="O68" i="2"/>
  <c r="O499" i="2"/>
  <c r="O1619" i="2"/>
  <c r="O1603" i="2"/>
  <c r="O864" i="2"/>
  <c r="O763" i="2"/>
  <c r="O177" i="2"/>
  <c r="O1122" i="2"/>
  <c r="O111" i="2"/>
  <c r="O1384" i="2"/>
  <c r="O1368" i="2"/>
  <c r="O599" i="2"/>
  <c r="O325" i="2"/>
  <c r="O451" i="2"/>
  <c r="O1259" i="2"/>
  <c r="O1044" i="2"/>
  <c r="O572" i="2"/>
  <c r="O390" i="2"/>
  <c r="O1627" i="2"/>
  <c r="O1446" i="2"/>
  <c r="O1430" i="2"/>
  <c r="O1066" i="2"/>
  <c r="O939" i="2"/>
  <c r="O420" i="2"/>
  <c r="O103" i="2"/>
  <c r="O97" i="2"/>
  <c r="O1177" i="2"/>
  <c r="O1287" i="2"/>
  <c r="O1076" i="2"/>
  <c r="O829" i="2"/>
  <c r="O351" i="2"/>
  <c r="O1693" i="2"/>
  <c r="O1393" i="2"/>
  <c r="O685" i="2"/>
  <c r="O1331" i="2"/>
  <c r="O903" i="2"/>
  <c r="O525" i="2"/>
  <c r="O238" i="2"/>
  <c r="O710" i="2"/>
  <c r="O1662" i="2"/>
  <c r="O1218" i="2"/>
  <c r="O956" i="2"/>
  <c r="O59" i="2"/>
  <c r="O1041" i="2"/>
  <c r="O916" i="2"/>
  <c r="O313" i="2"/>
  <c r="O13" i="2"/>
  <c r="O813" i="2"/>
  <c r="O1579" i="2"/>
  <c r="O1512" i="2"/>
  <c r="O1667" i="2"/>
  <c r="O299" i="2"/>
  <c r="O1499" i="2"/>
  <c r="O674" i="2"/>
  <c r="O1458" i="2"/>
  <c r="O482" i="2"/>
  <c r="O34" i="2"/>
  <c r="O693" i="2"/>
  <c r="O1129" i="2"/>
  <c r="O761" i="2"/>
  <c r="O231" i="2"/>
  <c r="O1421" i="2"/>
  <c r="O780" i="2"/>
  <c r="O1558" i="2"/>
  <c r="O614" i="2"/>
  <c r="O533" i="2"/>
  <c r="O848" i="2"/>
  <c r="O1201" i="2"/>
  <c r="O512" i="2"/>
  <c r="O57" i="2"/>
  <c r="O863" i="2"/>
  <c r="O1530" i="2"/>
  <c r="O295" i="2"/>
  <c r="O571" i="2"/>
  <c r="O1429" i="2"/>
  <c r="O101" i="2"/>
  <c r="O1075" i="2"/>
  <c r="O1392" i="2"/>
  <c r="O407" i="2"/>
  <c r="O1217" i="2"/>
  <c r="O787" i="2"/>
  <c r="O1657" i="2"/>
  <c r="O250" i="2"/>
  <c r="O184" i="2"/>
  <c r="O575" i="2"/>
  <c r="O126" i="2"/>
  <c r="O890" i="2"/>
  <c r="O52" i="2"/>
  <c r="O1614" i="2"/>
  <c r="O1477" i="2"/>
  <c r="O1029" i="2"/>
  <c r="O1254" i="2"/>
  <c r="O1553" i="2"/>
  <c r="O718" i="2"/>
  <c r="O1712" i="2"/>
  <c r="O317" i="2"/>
  <c r="O1023" i="2"/>
  <c r="O1213" i="2"/>
  <c r="O766" i="2"/>
  <c r="O1364" i="2"/>
  <c r="O330" i="2"/>
  <c r="O30" i="2"/>
  <c r="O577" i="2"/>
  <c r="O1375" i="2"/>
  <c r="O80" i="2"/>
  <c r="O16" i="2"/>
  <c r="O1057" i="2"/>
  <c r="O1184" i="2"/>
  <c r="O548" i="2"/>
  <c r="O32" i="2"/>
  <c r="O1049" i="2"/>
  <c r="O520" i="2"/>
  <c r="O240" i="2"/>
  <c r="O867" i="2"/>
  <c r="O784" i="2"/>
  <c r="O1069" i="2"/>
  <c r="O1680" i="2"/>
  <c r="O919" i="2"/>
  <c r="O1371" i="2"/>
  <c r="O1079" i="2"/>
  <c r="O188" i="2"/>
  <c r="O760" i="2"/>
  <c r="O795" i="2"/>
  <c r="O226" i="2"/>
  <c r="O1688" i="2"/>
  <c r="O898" i="2"/>
  <c r="O1306" i="2"/>
  <c r="O268" i="2"/>
  <c r="O1610" i="2"/>
  <c r="O722" i="2"/>
  <c r="O1549" i="2"/>
  <c r="O1294" i="2"/>
  <c r="O195" i="2"/>
  <c r="O701" i="2"/>
  <c r="O208" i="2"/>
  <c r="O1315" i="2"/>
  <c r="O104" i="2"/>
  <c r="O204" i="2"/>
  <c r="B15" i="1" l="1"/>
  <c r="B14" i="1"/>
  <c r="B10" i="1"/>
  <c r="B11" i="1"/>
  <c r="B12" i="1"/>
  <c r="B13" i="1"/>
  <c r="K11" i="3"/>
  <c r="G11" i="3"/>
  <c r="I10" i="3"/>
  <c r="F3" i="3"/>
  <c r="H2" i="3"/>
  <c r="J11" i="3"/>
  <c r="F11" i="3"/>
  <c r="H10" i="3"/>
  <c r="J9" i="3"/>
  <c r="AO1462" i="2" s="1"/>
  <c r="F9" i="3"/>
  <c r="AM1102" i="2" s="1"/>
  <c r="H8" i="3"/>
  <c r="J7" i="3"/>
  <c r="F7" i="3"/>
  <c r="AM1441" i="2" s="1"/>
  <c r="H6" i="3"/>
  <c r="AN352" i="2" s="1"/>
  <c r="J5" i="3"/>
  <c r="F5" i="3"/>
  <c r="H4" i="3"/>
  <c r="J3" i="3"/>
  <c r="K2" i="3"/>
  <c r="G2" i="3"/>
  <c r="J10" i="3"/>
  <c r="H9" i="3"/>
  <c r="AN1515" i="2" s="1"/>
  <c r="H7" i="3"/>
  <c r="F6" i="3"/>
  <c r="AM169" i="2" s="1"/>
  <c r="H5" i="3"/>
  <c r="F4" i="3"/>
  <c r="I2" i="3"/>
  <c r="I11" i="3"/>
  <c r="K10" i="3"/>
  <c r="G10" i="3"/>
  <c r="H3" i="3"/>
  <c r="J2" i="3"/>
  <c r="F2" i="3"/>
  <c r="H11" i="3"/>
  <c r="F10" i="3"/>
  <c r="J8" i="3"/>
  <c r="F8" i="3"/>
  <c r="AM376" i="2" s="1"/>
  <c r="J6" i="3"/>
  <c r="AO227" i="2" s="1"/>
  <c r="J4" i="3"/>
  <c r="AO874" i="2"/>
  <c r="AN874" i="2"/>
  <c r="AM874" i="2"/>
  <c r="AO826" i="2"/>
  <c r="AN826" i="2"/>
  <c r="AM826" i="2"/>
  <c r="AO542" i="2"/>
  <c r="AN542" i="2"/>
  <c r="AM542" i="2"/>
  <c r="AO278" i="2"/>
  <c r="AN278" i="2"/>
  <c r="AM278" i="2"/>
  <c r="AN227" i="2"/>
  <c r="AM227" i="2"/>
  <c r="AO1263" i="2"/>
  <c r="AN1263" i="2"/>
  <c r="AM1263" i="2"/>
  <c r="AO1252" i="2"/>
  <c r="AN1252" i="2"/>
  <c r="AM1252" i="2"/>
  <c r="AO824" i="2"/>
  <c r="AN824" i="2"/>
  <c r="AM824" i="2"/>
  <c r="AO1210" i="2"/>
  <c r="AN1210" i="2"/>
  <c r="AM1210" i="2"/>
  <c r="AO623" i="2"/>
  <c r="AM623" i="2"/>
  <c r="AN623" i="2"/>
  <c r="AO200" i="2"/>
  <c r="AN200" i="2"/>
  <c r="AM200" i="2"/>
  <c r="AO431" i="2"/>
  <c r="AN431" i="2"/>
  <c r="AM431" i="2"/>
  <c r="AO63" i="2"/>
  <c r="AN63" i="2"/>
  <c r="AM63" i="2"/>
  <c r="AO627" i="2"/>
  <c r="AN627" i="2"/>
  <c r="AM627" i="2"/>
  <c r="AO1368" i="2"/>
  <c r="AN1368" i="2"/>
  <c r="AM1368" i="2"/>
  <c r="AO1277" i="2"/>
  <c r="AN1277" i="2"/>
  <c r="AM1277" i="2"/>
  <c r="AO631" i="2"/>
  <c r="AN631" i="2"/>
  <c r="AM631" i="2"/>
  <c r="AO498" i="2"/>
  <c r="AN498" i="2"/>
  <c r="AM498" i="2"/>
  <c r="AO1271" i="2"/>
  <c r="AN1271" i="2"/>
  <c r="AM1271" i="2"/>
  <c r="AO1397" i="2"/>
  <c r="AN1397" i="2"/>
  <c r="AM1397" i="2"/>
  <c r="AO699" i="2"/>
  <c r="AN699" i="2"/>
  <c r="AM699" i="2"/>
  <c r="AO847" i="2"/>
  <c r="AN847" i="2"/>
  <c r="AM847" i="2"/>
  <c r="AN132" i="2"/>
  <c r="AM132" i="2"/>
  <c r="AO1407" i="2"/>
  <c r="AN1407" i="2"/>
  <c r="AM1407" i="2"/>
  <c r="AO1582" i="2"/>
  <c r="AN1582" i="2"/>
  <c r="AM1582" i="2"/>
  <c r="AO782" i="2"/>
  <c r="AN782" i="2"/>
  <c r="AM782" i="2"/>
  <c r="AN433" i="2"/>
  <c r="AM433" i="2"/>
  <c r="AO454" i="2"/>
  <c r="AN454" i="2"/>
  <c r="AM454" i="2"/>
  <c r="AO1094" i="2"/>
  <c r="AN1094" i="2"/>
  <c r="AM1094" i="2"/>
  <c r="AO113" i="2"/>
  <c r="AN113" i="2"/>
  <c r="AM113" i="2"/>
  <c r="AO1262" i="2"/>
  <c r="AN1262" i="2"/>
  <c r="AM1262" i="2"/>
  <c r="AO371" i="2"/>
  <c r="AN371" i="2"/>
  <c r="AM371" i="2"/>
  <c r="AN1134" i="2"/>
  <c r="AO1134" i="2"/>
  <c r="AM1134" i="2"/>
  <c r="AO343" i="2"/>
  <c r="AN343" i="2"/>
  <c r="AM343" i="2"/>
  <c r="AO884" i="2"/>
  <c r="AN884" i="2"/>
  <c r="AM884" i="2"/>
  <c r="AO573" i="2"/>
  <c r="AN573" i="2"/>
  <c r="AM573" i="2"/>
  <c r="AO1461" i="2"/>
  <c r="AN1461" i="2"/>
  <c r="AM1461" i="2"/>
  <c r="AO1511" i="2"/>
  <c r="AN1511" i="2"/>
  <c r="AM1511" i="2"/>
  <c r="AO1494" i="2"/>
  <c r="AN1494" i="2"/>
  <c r="AM1494" i="2"/>
  <c r="AO1471" i="2"/>
  <c r="AN1471" i="2"/>
  <c r="AM1471" i="2"/>
  <c r="AO1181" i="2"/>
  <c r="AN1181" i="2"/>
  <c r="AM1181" i="2"/>
  <c r="AO1117" i="2"/>
  <c r="AN1117" i="2"/>
  <c r="AM1117" i="2"/>
  <c r="AO1049" i="2"/>
  <c r="AN1049" i="2"/>
  <c r="AM1049" i="2"/>
  <c r="AO985" i="2"/>
  <c r="AN985" i="2"/>
  <c r="AM985" i="2"/>
  <c r="AO1422" i="2"/>
  <c r="AN1422" i="2"/>
  <c r="AM1422" i="2"/>
  <c r="AN790" i="2"/>
  <c r="AM790" i="2"/>
  <c r="AO875" i="2"/>
  <c r="AN875" i="2"/>
  <c r="AM875" i="2"/>
  <c r="AO383" i="2"/>
  <c r="AN383" i="2"/>
  <c r="AM383" i="2"/>
  <c r="AN302" i="2"/>
  <c r="AM302" i="2"/>
  <c r="AO228" i="2"/>
  <c r="AN228" i="2"/>
  <c r="AM228" i="2"/>
  <c r="AO112" i="2"/>
  <c r="AN112" i="2"/>
  <c r="AM112" i="2"/>
  <c r="AO33" i="2"/>
  <c r="AN33" i="2"/>
  <c r="AM33" i="2"/>
  <c r="AO331" i="2"/>
  <c r="AN331" i="2"/>
  <c r="AM331" i="2"/>
  <c r="AO836" i="2"/>
  <c r="AN836" i="2"/>
  <c r="AM836" i="2"/>
  <c r="AO565" i="2"/>
  <c r="AN565" i="2"/>
  <c r="AM565" i="2"/>
  <c r="AN288" i="2"/>
  <c r="AM288" i="2"/>
  <c r="AO1543" i="2"/>
  <c r="AN1543" i="2"/>
  <c r="AM1543" i="2"/>
  <c r="AO1503" i="2"/>
  <c r="AN1503" i="2"/>
  <c r="AM1503" i="2"/>
  <c r="AO1241" i="2"/>
  <c r="AN1241" i="2"/>
  <c r="AM1241" i="2"/>
  <c r="AO1477" i="2"/>
  <c r="AN1477" i="2"/>
  <c r="AM1477" i="2"/>
  <c r="AN1177" i="2"/>
  <c r="AM1177" i="2"/>
  <c r="AN1113" i="2"/>
  <c r="AM1113" i="2"/>
  <c r="AN1045" i="2"/>
  <c r="AM1045" i="2"/>
  <c r="AO949" i="2"/>
  <c r="AN949" i="2"/>
  <c r="AM949" i="2"/>
  <c r="AO1193" i="2"/>
  <c r="AN1193" i="2"/>
  <c r="AM1193" i="2"/>
  <c r="AO855" i="2"/>
  <c r="AN855" i="2"/>
  <c r="AM855" i="2"/>
  <c r="AO1130" i="2"/>
  <c r="AN1130" i="2"/>
  <c r="AO827" i="2"/>
  <c r="AN827" i="2"/>
  <c r="AM827" i="2"/>
  <c r="AO367" i="2"/>
  <c r="AN367" i="2"/>
  <c r="AM367" i="2"/>
  <c r="AO306" i="2"/>
  <c r="AN306" i="2"/>
  <c r="AM306" i="2"/>
  <c r="AM282" i="2"/>
  <c r="AN282" i="2"/>
  <c r="AO185" i="2"/>
  <c r="AN185" i="2"/>
  <c r="AM185" i="2"/>
  <c r="AO212" i="2"/>
  <c r="AN212" i="2"/>
  <c r="AM212" i="2"/>
  <c r="AO1153" i="2"/>
  <c r="AN1153" i="2"/>
  <c r="AM1153" i="2"/>
  <c r="AN1051" i="2"/>
  <c r="AM1051" i="2"/>
  <c r="AO868" i="2"/>
  <c r="AN868" i="2"/>
  <c r="AM868" i="2"/>
  <c r="AN272" i="2"/>
  <c r="AM272" i="2"/>
  <c r="AO1478" i="2"/>
  <c r="AN1478" i="2"/>
  <c r="AM1478" i="2"/>
  <c r="AO1189" i="2"/>
  <c r="AN1189" i="2"/>
  <c r="AM1189" i="2"/>
  <c r="AO1109" i="2"/>
  <c r="AN1109" i="2"/>
  <c r="AM1109" i="2"/>
  <c r="AO1025" i="2"/>
  <c r="AN1025" i="2"/>
  <c r="AM1025" i="2"/>
  <c r="AO834" i="2"/>
  <c r="AN834" i="2"/>
  <c r="AM834" i="2"/>
  <c r="AO990" i="2"/>
  <c r="AN990" i="2"/>
  <c r="AM990" i="2"/>
  <c r="AO866" i="2"/>
  <c r="AN866" i="2"/>
  <c r="AM866" i="2"/>
  <c r="AO632" i="2"/>
  <c r="AN632" i="2"/>
  <c r="AM632" i="2"/>
  <c r="AN221" i="2"/>
  <c r="AM221" i="2"/>
  <c r="AO560" i="2"/>
  <c r="AN560" i="2"/>
  <c r="AM560" i="2"/>
  <c r="AO1512" i="2"/>
  <c r="AN1512" i="2"/>
  <c r="AM1512" i="2"/>
  <c r="AO567" i="2"/>
  <c r="AN567" i="2"/>
  <c r="AM567" i="2"/>
  <c r="AN131" i="2"/>
  <c r="AM131" i="2"/>
  <c r="AN1389" i="2"/>
  <c r="AM1389" i="2"/>
  <c r="AO1405" i="2"/>
  <c r="AN1405" i="2"/>
  <c r="AM1405" i="2"/>
  <c r="AO1085" i="2"/>
  <c r="AN1085" i="2"/>
  <c r="AM1085" i="2"/>
  <c r="AO1021" i="2"/>
  <c r="AN1021" i="2"/>
  <c r="AM1021" i="2"/>
  <c r="AO1217" i="2"/>
  <c r="AN1217" i="2"/>
  <c r="AM1217" i="2"/>
  <c r="AO358" i="2"/>
  <c r="AN358" i="2"/>
  <c r="AM358" i="2"/>
  <c r="AO217" i="2"/>
  <c r="AN217" i="2"/>
  <c r="AM217" i="2"/>
  <c r="AO1472" i="2"/>
  <c r="AM1472" i="2"/>
  <c r="AN1472" i="2"/>
  <c r="AO904" i="2"/>
  <c r="AN904" i="2"/>
  <c r="AM904" i="2"/>
  <c r="AO1076" i="2"/>
  <c r="AN1076" i="2"/>
  <c r="AM1076" i="2"/>
  <c r="AO269" i="2"/>
  <c r="AN269" i="2"/>
  <c r="AM269" i="2"/>
  <c r="AO55" i="2"/>
  <c r="AN55" i="2"/>
  <c r="AM55" i="2"/>
  <c r="AO1453" i="2"/>
  <c r="AN1453" i="2"/>
  <c r="AM1453" i="2"/>
  <c r="AO1409" i="2"/>
  <c r="AN1409" i="2"/>
  <c r="AM1409" i="2"/>
  <c r="AO1228" i="2"/>
  <c r="AM1228" i="2"/>
  <c r="AN1228" i="2"/>
  <c r="AO937" i="2"/>
  <c r="AN937" i="2"/>
  <c r="AM937" i="2"/>
  <c r="AO810" i="2"/>
  <c r="AN810" i="2"/>
  <c r="AM810" i="2"/>
  <c r="AO708" i="2"/>
  <c r="AN708" i="2"/>
  <c r="AM708" i="2"/>
  <c r="AO526" i="2"/>
  <c r="AN526" i="2"/>
  <c r="AM526" i="2"/>
  <c r="AN205" i="2"/>
  <c r="AM205" i="2"/>
  <c r="AN326" i="2"/>
  <c r="AM326" i="2"/>
  <c r="AO57" i="2"/>
  <c r="AN57" i="2"/>
  <c r="AM57" i="2"/>
  <c r="AO1404" i="2"/>
  <c r="AM1404" i="2"/>
  <c r="AN1404" i="2"/>
  <c r="AN496" i="2"/>
  <c r="AM496" i="2"/>
  <c r="AO1523" i="2"/>
  <c r="AN1523" i="2"/>
  <c r="AM1523" i="2"/>
  <c r="AO806" i="2"/>
  <c r="AN806" i="2"/>
  <c r="AM806" i="2"/>
  <c r="AO798" i="2"/>
  <c r="AN798" i="2"/>
  <c r="AM798" i="2"/>
  <c r="AN434" i="2"/>
  <c r="AM434" i="2"/>
  <c r="AO338" i="2"/>
  <c r="AN338" i="2"/>
  <c r="AM338" i="2"/>
  <c r="AO224" i="2"/>
  <c r="AN224" i="2"/>
  <c r="AM224" i="2"/>
  <c r="AO38" i="2"/>
  <c r="AN38" i="2"/>
  <c r="AM38" i="2"/>
  <c r="AO661" i="2"/>
  <c r="AN661" i="2"/>
  <c r="AM661" i="2"/>
  <c r="AO769" i="2"/>
  <c r="AN769" i="2"/>
  <c r="AM769" i="2"/>
  <c r="AO901" i="2"/>
  <c r="AN901" i="2"/>
  <c r="AM901" i="2"/>
  <c r="AO607" i="2"/>
  <c r="AN607" i="2"/>
  <c r="AM607" i="2"/>
  <c r="AN206" i="2"/>
  <c r="AM206" i="2"/>
  <c r="AO507" i="2"/>
  <c r="AN507" i="2"/>
  <c r="AM507" i="2"/>
  <c r="AO846" i="2"/>
  <c r="AN846" i="2"/>
  <c r="AM846" i="2"/>
  <c r="AO611" i="2"/>
  <c r="AN611" i="2"/>
  <c r="AM611" i="2"/>
  <c r="AO1279" i="2"/>
  <c r="AN1279" i="2"/>
  <c r="AM1279" i="2"/>
  <c r="AO695" i="2"/>
  <c r="AN695" i="2"/>
  <c r="AM695" i="2"/>
  <c r="AO615" i="2"/>
  <c r="AN615" i="2"/>
  <c r="AM615" i="2"/>
  <c r="AO430" i="2"/>
  <c r="AN430" i="2"/>
  <c r="AM430" i="2"/>
  <c r="AO677" i="2"/>
  <c r="AN677" i="2"/>
  <c r="AM677" i="2"/>
  <c r="AO1293" i="2"/>
  <c r="AN1293" i="2"/>
  <c r="AM1293" i="2"/>
  <c r="AO619" i="2"/>
  <c r="AN619" i="2"/>
  <c r="AM619" i="2"/>
  <c r="AO538" i="2"/>
  <c r="AM538" i="2"/>
  <c r="AN538" i="2"/>
  <c r="AO17" i="2"/>
  <c r="AN17" i="2"/>
  <c r="AM17" i="2"/>
  <c r="AO494" i="2"/>
  <c r="AN494" i="2"/>
  <c r="AM494" i="2"/>
  <c r="AO515" i="2"/>
  <c r="AN515" i="2"/>
  <c r="AM515" i="2"/>
  <c r="AO330" i="2"/>
  <c r="AN330" i="2"/>
  <c r="AM330" i="2"/>
  <c r="AN242" i="2"/>
  <c r="AM242" i="2"/>
  <c r="AO82" i="2"/>
  <c r="AN82" i="2"/>
  <c r="AM82" i="2"/>
  <c r="AO140" i="2"/>
  <c r="AN140" i="2"/>
  <c r="AM140" i="2"/>
  <c r="AO510" i="2"/>
  <c r="AN510" i="2"/>
  <c r="AM510" i="2"/>
  <c r="AO738" i="2"/>
  <c r="AN738" i="2"/>
  <c r="AM738" i="2"/>
  <c r="AO410" i="2"/>
  <c r="AN410" i="2"/>
  <c r="AO546" i="2"/>
  <c r="AN546" i="2"/>
  <c r="AM546" i="2"/>
  <c r="AO253" i="2"/>
  <c r="AN253" i="2"/>
  <c r="AM253" i="2"/>
  <c r="AN318" i="2"/>
  <c r="AM318" i="2"/>
  <c r="AO201" i="2"/>
  <c r="AN201" i="2"/>
  <c r="AM201" i="2"/>
  <c r="AO554" i="2"/>
  <c r="AN554" i="2"/>
  <c r="AM554" i="2"/>
  <c r="AO197" i="2"/>
  <c r="AM197" i="2"/>
  <c r="AN197" i="2"/>
  <c r="AN350" i="2"/>
  <c r="AM350" i="2"/>
  <c r="AH379" i="2"/>
  <c r="AH1374" i="2"/>
  <c r="AH1178" i="2"/>
  <c r="AH1206" i="2"/>
  <c r="AH1070" i="2"/>
  <c r="AH752" i="2"/>
  <c r="AH840" i="2"/>
  <c r="AH325" i="2"/>
  <c r="AH1385" i="2"/>
  <c r="AH1257" i="2"/>
  <c r="AH1522" i="2"/>
  <c r="AH1261" i="2"/>
  <c r="AH1149" i="2"/>
  <c r="AH1081" i="2"/>
  <c r="AH1017" i="2"/>
  <c r="AH925" i="2"/>
  <c r="AH1366" i="2"/>
  <c r="AH1190" i="2"/>
  <c r="AH854" i="2"/>
  <c r="AH161" i="2"/>
  <c r="AH254" i="2"/>
  <c r="AH5" i="2"/>
  <c r="AH97" i="2"/>
  <c r="AH102" i="2"/>
  <c r="AH174" i="2"/>
  <c r="AH816" i="2"/>
  <c r="AH477" i="2"/>
  <c r="AH182" i="2"/>
  <c r="AH1281" i="2"/>
  <c r="AH1454" i="2"/>
  <c r="AH1509" i="2"/>
  <c r="AH1429" i="2"/>
  <c r="AH1145" i="2"/>
  <c r="AH1077" i="2"/>
  <c r="AH1013" i="2"/>
  <c r="AH889" i="2"/>
  <c r="AH770" i="2"/>
  <c r="AH726" i="2"/>
  <c r="AH870" i="2"/>
  <c r="AH735" i="2"/>
  <c r="AH466" i="2"/>
  <c r="AH29" i="2"/>
  <c r="AH181" i="2"/>
  <c r="AH93" i="2"/>
  <c r="AH1526" i="2"/>
  <c r="AH1035" i="2"/>
  <c r="AH1159" i="2"/>
  <c r="AH337" i="2"/>
  <c r="AH1433" i="2"/>
  <c r="AH1421" i="2"/>
  <c r="AH1141" i="2"/>
  <c r="AH1073" i="2"/>
  <c r="AH961" i="2"/>
  <c r="AH1234" i="2"/>
  <c r="AH958" i="2"/>
  <c r="AH696" i="2"/>
  <c r="AH584" i="2"/>
  <c r="AH1185" i="2"/>
  <c r="AH1447" i="2"/>
  <c r="AH812" i="2"/>
  <c r="AH416" i="2"/>
  <c r="AH166" i="2"/>
  <c r="AH1506" i="2"/>
  <c r="AH929" i="2"/>
  <c r="AH1053" i="2"/>
  <c r="AH989" i="2"/>
  <c r="AH558" i="2"/>
  <c r="AH374" i="2"/>
  <c r="AH37" i="2"/>
  <c r="AH737" i="2"/>
  <c r="AH1204" i="2"/>
  <c r="AH475" i="2"/>
  <c r="AH400" i="2"/>
  <c r="AH1490" i="2"/>
  <c r="AH1587" i="2"/>
  <c r="AH1369" i="2"/>
  <c r="AH1282" i="2"/>
  <c r="AH758" i="2"/>
  <c r="AH814" i="2"/>
  <c r="AH458" i="2"/>
  <c r="AH422" i="2"/>
  <c r="AH193" i="2"/>
  <c r="AH116" i="2"/>
  <c r="AH65" i="2"/>
  <c r="AH1099" i="2"/>
  <c r="AH244" i="2"/>
  <c r="AH883" i="2"/>
  <c r="AH587" i="2"/>
  <c r="AH715" i="2"/>
  <c r="AH294" i="2"/>
  <c r="AH61" i="2"/>
  <c r="AH264" i="2"/>
  <c r="AH213" i="2"/>
  <c r="AH685" i="2"/>
  <c r="AH214" i="2"/>
  <c r="AH639" i="2"/>
  <c r="AH386" i="2"/>
  <c r="AH467" i="2"/>
  <c r="AH163" i="2"/>
  <c r="AH675" i="2"/>
  <c r="AH1419" i="2"/>
  <c r="AH867" i="2"/>
  <c r="AH663" i="2"/>
  <c r="AH490" i="2"/>
  <c r="AH406" i="2"/>
  <c r="AH1413" i="2"/>
  <c r="AH786" i="2"/>
  <c r="AH843" i="2"/>
  <c r="AH144" i="2"/>
  <c r="AH553" i="2"/>
  <c r="AH494" i="2"/>
  <c r="AH218" i="2"/>
  <c r="AH1574" i="2"/>
  <c r="AH733" i="2"/>
  <c r="AH354" i="2"/>
  <c r="AH307" i="2"/>
  <c r="AH1278" i="2"/>
  <c r="AH1018" i="2"/>
  <c r="AH1198" i="2"/>
  <c r="AH739" i="2"/>
  <c r="AH469" i="2"/>
  <c r="AH740" i="2"/>
  <c r="AH1449" i="2"/>
  <c r="AH1542" i="2"/>
  <c r="AH1209" i="2"/>
  <c r="AH1493" i="2"/>
  <c r="AH1225" i="2"/>
  <c r="AH1133" i="2"/>
  <c r="AH1065" i="2"/>
  <c r="AH1001" i="2"/>
  <c r="AH1446" i="2"/>
  <c r="AH822" i="2"/>
  <c r="AH950" i="2"/>
  <c r="AH711" i="2"/>
  <c r="AH382" i="2"/>
  <c r="AH231" i="2"/>
  <c r="AH243" i="2"/>
  <c r="AH81" i="2"/>
  <c r="AH1169" i="2"/>
  <c r="AH772" i="2"/>
  <c r="AH820" i="2"/>
  <c r="AH357" i="2"/>
  <c r="AH1417" i="2"/>
  <c r="AH1534" i="2"/>
  <c r="AH1425" i="2"/>
  <c r="AH1502" i="2"/>
  <c r="AH1245" i="2"/>
  <c r="AH1129" i="2"/>
  <c r="AH1061" i="2"/>
  <c r="AH981" i="2"/>
  <c r="AH1222" i="2"/>
  <c r="AH878" i="2"/>
  <c r="AH1146" i="2"/>
  <c r="AH835" i="2"/>
  <c r="AH720" i="2"/>
  <c r="AH446" i="2"/>
  <c r="AH359" i="2"/>
  <c r="AH165" i="2"/>
  <c r="AH229" i="2"/>
  <c r="AH1401" i="2"/>
  <c r="AH1167" i="2"/>
  <c r="AH832" i="2"/>
  <c r="AH324" i="2"/>
  <c r="AH1205" i="2"/>
  <c r="AH1197" i="2"/>
  <c r="AH1125" i="2"/>
  <c r="AH1041" i="2"/>
  <c r="AH945" i="2"/>
  <c r="AH933" i="2"/>
  <c r="AH888" i="2"/>
  <c r="AH648" i="2"/>
  <c r="AH246" i="2"/>
  <c r="AH1137" i="2"/>
  <c r="AH1363" i="2"/>
  <c r="AH1283" i="2"/>
  <c r="AH380" i="2"/>
  <c r="AH71" i="2"/>
  <c r="AH1538" i="2"/>
  <c r="AH1097" i="2"/>
  <c r="AH1037" i="2"/>
  <c r="AH1221" i="2"/>
  <c r="AH724" i="2"/>
  <c r="AH366" i="2"/>
  <c r="AH759" i="2"/>
  <c r="AH959" i="2"/>
  <c r="AH1092" i="2"/>
  <c r="AH364" i="2"/>
  <c r="AH114" i="2"/>
  <c r="AH1457" i="2"/>
  <c r="AH1579" i="2"/>
  <c r="AH1458" i="2"/>
  <c r="AH1242" i="2"/>
  <c r="AH742" i="2"/>
  <c r="AH750" i="2"/>
  <c r="AH438" i="2"/>
  <c r="AH390" i="2"/>
  <c r="AH342" i="2"/>
  <c r="AH104" i="2"/>
  <c r="AH41" i="2"/>
  <c r="AH525" i="2"/>
  <c r="AH2" i="2"/>
  <c r="AH874" i="2"/>
  <c r="AH826" i="2"/>
  <c r="AH542" i="2"/>
  <c r="AH278" i="2"/>
  <c r="AH227" i="2"/>
  <c r="AH1263" i="2"/>
  <c r="AH1252" i="2"/>
  <c r="AH824" i="2"/>
  <c r="AH1210" i="2"/>
  <c r="AH623" i="2"/>
  <c r="AH200" i="2"/>
  <c r="AH431" i="2"/>
  <c r="AH63" i="2"/>
  <c r="AH627" i="2"/>
  <c r="AH1368" i="2"/>
  <c r="AH1277" i="2"/>
  <c r="AH631" i="2"/>
  <c r="AH498" i="2"/>
  <c r="AH1271" i="2"/>
  <c r="AH1397" i="2"/>
  <c r="AH699" i="2"/>
  <c r="AH847" i="2"/>
  <c r="AH132" i="2"/>
  <c r="AH1201" i="2"/>
  <c r="AH474" i="2"/>
  <c r="AH515" i="2"/>
  <c r="AH683" i="2"/>
  <c r="AH120" i="2"/>
  <c r="AH330" i="2"/>
  <c r="AH1094" i="2"/>
  <c r="AH113" i="2"/>
  <c r="AH1262" i="2"/>
  <c r="AH371" i="2"/>
  <c r="AH1134" i="2"/>
  <c r="AH343" i="2"/>
  <c r="AH884" i="2"/>
  <c r="AH573" i="2"/>
  <c r="AH1461" i="2"/>
  <c r="AH1511" i="2"/>
  <c r="AH1494" i="2"/>
  <c r="AH1471" i="2"/>
  <c r="AH1181" i="2"/>
  <c r="AH1117" i="2"/>
  <c r="AH1049" i="2"/>
  <c r="AH985" i="2"/>
  <c r="AH1422" i="2"/>
  <c r="AH790" i="2"/>
  <c r="AH875" i="2"/>
  <c r="AH383" i="2"/>
  <c r="AH302" i="2"/>
  <c r="AH228" i="2"/>
  <c r="AH112" i="2"/>
  <c r="AH33" i="2"/>
  <c r="AH331" i="2"/>
  <c r="AH836" i="2"/>
  <c r="AH565" i="2"/>
  <c r="AH288" i="2"/>
  <c r="AH1543" i="2"/>
  <c r="AH1503" i="2"/>
  <c r="AH1241" i="2"/>
  <c r="AH1477" i="2"/>
  <c r="AH1177" i="2"/>
  <c r="AH1113" i="2"/>
  <c r="AH1045" i="2"/>
  <c r="AH949" i="2"/>
  <c r="AH1193" i="2"/>
  <c r="AH855" i="2"/>
  <c r="AH1130" i="2"/>
  <c r="AH827" i="2"/>
  <c r="AH367" i="2"/>
  <c r="AH306" i="2"/>
  <c r="AH282" i="2"/>
  <c r="AH185" i="2"/>
  <c r="AH212" i="2"/>
  <c r="AH1153" i="2"/>
  <c r="AH1051" i="2"/>
  <c r="AH868" i="2"/>
  <c r="AH272" i="2"/>
  <c r="AH1478" i="2"/>
  <c r="AH1189" i="2"/>
  <c r="AH1109" i="2"/>
  <c r="AH1025" i="2"/>
  <c r="AH834" i="2"/>
  <c r="AH990" i="2"/>
  <c r="AH866" i="2"/>
  <c r="AH632" i="2"/>
  <c r="AH221" i="2"/>
  <c r="AH560" i="2"/>
  <c r="AH1512" i="2"/>
  <c r="AH567" i="2"/>
  <c r="AH131" i="2"/>
  <c r="AH1389" i="2"/>
  <c r="AH1405" i="2"/>
  <c r="AH1085" i="2"/>
  <c r="AH1021" i="2"/>
  <c r="AH1217" i="2"/>
  <c r="AH358" i="2"/>
  <c r="AH217" i="2"/>
  <c r="AH1472" i="2"/>
  <c r="AH904" i="2"/>
  <c r="AH1076" i="2"/>
  <c r="AH269" i="2"/>
  <c r="AH55" i="2"/>
  <c r="AH1453" i="2"/>
  <c r="AH1409" i="2"/>
  <c r="AH1228" i="2"/>
  <c r="AH937" i="2"/>
  <c r="AH810" i="2"/>
  <c r="AH708" i="2"/>
  <c r="AH526" i="2"/>
  <c r="AH205" i="2"/>
  <c r="AH326" i="2"/>
  <c r="AH57" i="2"/>
  <c r="AH1404" i="2"/>
  <c r="AH496" i="2"/>
  <c r="AH1523" i="2"/>
  <c r="AH806" i="2"/>
  <c r="AH798" i="2"/>
  <c r="AH434" i="2"/>
  <c r="AH338" i="2"/>
  <c r="AH224" i="2"/>
  <c r="AH38" i="2"/>
  <c r="AH661" i="2"/>
  <c r="AH769" i="2"/>
  <c r="AH901" i="2"/>
  <c r="AH607" i="2"/>
  <c r="AH206" i="2"/>
  <c r="AH507" i="2"/>
  <c r="AH846" i="2"/>
  <c r="AH611" i="2"/>
  <c r="AH1279" i="2"/>
  <c r="AH695" i="2"/>
  <c r="AH615" i="2"/>
  <c r="AH430" i="2"/>
  <c r="AH677" i="2"/>
  <c r="AH1293" i="2"/>
  <c r="AH619" i="2"/>
  <c r="AH538" i="2"/>
  <c r="AH17" i="2"/>
  <c r="AH858" i="2"/>
  <c r="AH414" i="2"/>
  <c r="AH304" i="2"/>
  <c r="AH635" i="2"/>
  <c r="AH89" i="2"/>
  <c r="AH290" i="2"/>
  <c r="AH859" i="2"/>
  <c r="AH1186" i="2"/>
  <c r="AH871" i="2"/>
  <c r="AH1462" i="2"/>
  <c r="AH1102" i="2"/>
  <c r="AH247" i="2"/>
  <c r="AH541" i="2"/>
  <c r="AH352" i="2"/>
  <c r="AH1237" i="2"/>
  <c r="AH1441" i="2"/>
  <c r="AH1541" i="2"/>
  <c r="AH1445" i="2"/>
  <c r="AH1165" i="2"/>
  <c r="AH1101" i="2"/>
  <c r="AH1033" i="2"/>
  <c r="AH953" i="2"/>
  <c r="AH1398" i="2"/>
  <c r="AH595" i="2"/>
  <c r="AH879" i="2"/>
  <c r="AH478" i="2"/>
  <c r="AH270" i="2"/>
  <c r="AH169" i="2"/>
  <c r="AH232" i="2"/>
  <c r="AH25" i="2"/>
  <c r="AH149" i="2"/>
  <c r="AH833" i="2"/>
  <c r="AH509" i="2"/>
  <c r="AH301" i="2"/>
  <c r="AH1510" i="2"/>
  <c r="AH1470" i="2"/>
  <c r="AH1515" i="2"/>
  <c r="AH1474" i="2"/>
  <c r="AH1161" i="2"/>
  <c r="AH1093" i="2"/>
  <c r="AH1029" i="2"/>
  <c r="AH909" i="2"/>
  <c r="AH969" i="2"/>
  <c r="AH838" i="2"/>
  <c r="AH1082" i="2"/>
  <c r="AH568" i="2"/>
  <c r="AH566" i="2"/>
  <c r="AH177" i="2"/>
  <c r="AH266" i="2"/>
  <c r="AH108" i="2"/>
  <c r="AH164" i="2"/>
  <c r="AH1043" i="2"/>
  <c r="AH837" i="2"/>
  <c r="AH841" i="2"/>
  <c r="AH1554" i="2"/>
  <c r="AH1537" i="2"/>
  <c r="AH1173" i="2"/>
  <c r="AH1089" i="2"/>
  <c r="AH1009" i="2"/>
  <c r="AH1370" i="2"/>
  <c r="AH974" i="2"/>
  <c r="AH716" i="2"/>
  <c r="AH616" i="2"/>
  <c r="AH73" i="2"/>
  <c r="AH872" i="2"/>
  <c r="AH1492" i="2"/>
  <c r="AH376" i="2"/>
  <c r="AH194" i="2"/>
  <c r="AH1550" i="2"/>
  <c r="AH1365" i="2"/>
  <c r="AH1069" i="2"/>
  <c r="AH1005" i="2"/>
  <c r="AH977" i="2"/>
  <c r="AH736" i="2"/>
  <c r="AH225" i="2"/>
  <c r="AH932" i="2"/>
  <c r="AH853" i="2"/>
  <c r="AH427" i="2"/>
  <c r="AH312" i="2"/>
  <c r="AH46" i="2"/>
  <c r="AH1249" i="2"/>
  <c r="AH1393" i="2"/>
  <c r="AH893" i="2"/>
  <c r="AH1233" i="2"/>
  <c r="AH794" i="2"/>
  <c r="AH450" i="2"/>
  <c r="AH506" i="2"/>
  <c r="AH209" i="2"/>
  <c r="AH148" i="2"/>
  <c r="AH53" i="2"/>
  <c r="AH280" i="2"/>
  <c r="AH429" i="2"/>
  <c r="AH897" i="2"/>
  <c r="AH774" i="2"/>
  <c r="AH719" i="2"/>
  <c r="AH189" i="2"/>
  <c r="AH322" i="2"/>
  <c r="AH21" i="2"/>
  <c r="AH913" i="2"/>
  <c r="AH1536" i="2"/>
  <c r="AH373" i="2"/>
  <c r="AH671" i="2"/>
  <c r="AH591" i="2"/>
  <c r="AH547" i="2"/>
  <c r="AH256" i="2"/>
  <c r="AH691" i="2"/>
  <c r="AH346" i="2"/>
  <c r="AH157" i="2"/>
  <c r="AH679" i="2"/>
  <c r="AH599" i="2"/>
  <c r="AH418" i="2"/>
  <c r="AH1095" i="2"/>
  <c r="AH965" i="2"/>
  <c r="AH603" i="2"/>
  <c r="AH514" i="2"/>
  <c r="AH69" i="2"/>
  <c r="AH402" i="2"/>
  <c r="AH1407" i="2"/>
  <c r="AH1582" i="2"/>
  <c r="AH782" i="2"/>
  <c r="AH375" i="2"/>
  <c r="AH242" i="2"/>
  <c r="AO288" i="2" l="1"/>
  <c r="AO1177" i="2"/>
  <c r="AO302" i="2"/>
  <c r="AO272" i="2"/>
  <c r="AO203" i="2"/>
  <c r="AO204" i="2"/>
  <c r="AO257" i="2"/>
  <c r="AO347" i="2"/>
  <c r="AO472" i="2"/>
  <c r="AO544" i="2"/>
  <c r="AO650" i="2"/>
  <c r="AO916" i="2"/>
  <c r="AO956" i="2"/>
  <c r="AO996" i="2"/>
  <c r="AO168" i="2"/>
  <c r="AO241" i="2"/>
  <c r="AO492" i="2"/>
  <c r="AO421" i="2"/>
  <c r="AO796" i="2"/>
  <c r="AO1046" i="2"/>
  <c r="AO115" i="2"/>
  <c r="AO20" i="2"/>
  <c r="AO180" i="2"/>
  <c r="AO319" i="2"/>
  <c r="AO187" i="2"/>
  <c r="AO188" i="2"/>
  <c r="AO339" i="2"/>
  <c r="AO378" i="2"/>
  <c r="AO413" i="2"/>
  <c r="AO787" i="2"/>
  <c r="AO240" i="2"/>
  <c r="AO239" i="2"/>
  <c r="AO281" i="2"/>
  <c r="AO412" i="2"/>
  <c r="AO397" i="2"/>
  <c r="AO1112" i="2"/>
  <c r="AO233" i="2"/>
  <c r="AO171" i="2"/>
  <c r="AO172" i="2"/>
  <c r="AO275" i="2"/>
  <c r="AO440" i="2"/>
  <c r="AO528" i="2"/>
  <c r="AO393" i="2"/>
  <c r="AO634" i="2"/>
  <c r="AO470" i="2"/>
  <c r="AO771" i="2"/>
  <c r="AO1050" i="2"/>
  <c r="AO100" i="2"/>
  <c r="AO271" i="2"/>
  <c r="AO388" i="2"/>
  <c r="AO582" i="2"/>
  <c r="AO576" i="2"/>
  <c r="AO139" i="2"/>
  <c r="AO283" i="2"/>
  <c r="AO351" i="2"/>
  <c r="AO147" i="2"/>
  <c r="AO315" i="2"/>
  <c r="AO355" i="2"/>
  <c r="AO392" i="2"/>
  <c r="AO656" i="2"/>
  <c r="AO763" i="2"/>
  <c r="AO207" i="2"/>
  <c r="AO436" i="2"/>
  <c r="AO179" i="2"/>
  <c r="AO432" i="2"/>
  <c r="AO453" i="2"/>
  <c r="AO600" i="2"/>
  <c r="AO839" i="2"/>
  <c r="AO994" i="2"/>
  <c r="AO223" i="2"/>
  <c r="AO273" i="2"/>
  <c r="AO452" i="2"/>
  <c r="AO861" i="2"/>
  <c r="AO1394" i="2"/>
  <c r="AO87" i="2"/>
  <c r="AO1223" i="2"/>
  <c r="AO1003" i="2"/>
  <c r="AO34" i="2"/>
  <c r="AO655" i="2"/>
  <c r="AO284" i="2"/>
  <c r="AO473" i="2"/>
  <c r="AO377" i="2"/>
  <c r="AO420" i="2"/>
  <c r="AO117" i="2"/>
  <c r="AO267" i="2"/>
  <c r="AO297" i="2"/>
  <c r="AO516" i="2"/>
  <c r="AO462" i="2"/>
  <c r="AO910" i="2"/>
  <c r="AO1002" i="2"/>
  <c r="AO1104" i="2"/>
  <c r="AO1289" i="2"/>
  <c r="AO1288" i="2"/>
  <c r="AO94" i="2"/>
  <c r="AO289" i="2"/>
  <c r="AO995" i="2"/>
  <c r="AO345" i="2"/>
  <c r="AO543" i="2"/>
  <c r="AO1106" i="2"/>
  <c r="AO776" i="2"/>
  <c r="AO993" i="2"/>
  <c r="AO1247" i="2"/>
  <c r="AO391" i="2"/>
  <c r="AO461" i="2"/>
  <c r="AO437" i="2"/>
  <c r="AO370" i="2"/>
  <c r="AO578" i="2"/>
  <c r="AO731" i="2"/>
  <c r="AO389" i="2"/>
  <c r="AO606" i="2"/>
  <c r="AO707" i="2"/>
  <c r="AO938" i="2"/>
  <c r="AO1578" i="2"/>
  <c r="AO356" i="2"/>
  <c r="AO222" i="2"/>
  <c r="AO1111" i="2"/>
  <c r="AO296" i="2"/>
  <c r="AO1576" i="2"/>
  <c r="AO95" i="2"/>
  <c r="AO423" i="2"/>
  <c r="AO460" i="2"/>
  <c r="AO664" i="2"/>
  <c r="AO815" i="2"/>
  <c r="AO936" i="2"/>
  <c r="AO135" i="2"/>
  <c r="AO176" i="2"/>
  <c r="AO249" i="2"/>
  <c r="AO596" i="2"/>
  <c r="AO1200" i="2"/>
  <c r="AO1290" i="2"/>
  <c r="AO1482" i="2"/>
  <c r="AO1557" i="2"/>
  <c r="AO1256" i="2"/>
  <c r="AO1437" i="2"/>
  <c r="AO99" i="2"/>
  <c r="AO1105" i="2"/>
  <c r="AO349" i="2"/>
  <c r="AO138" i="2"/>
  <c r="AO1155" i="2"/>
  <c r="AO1435" i="2"/>
  <c r="AO535" i="2"/>
  <c r="AO459" i="2"/>
  <c r="AO471" i="2"/>
  <c r="AO862" i="2"/>
  <c r="AO1479" i="2"/>
  <c r="AO226" i="2"/>
  <c r="AO1480" i="2"/>
  <c r="AO1544" i="2"/>
  <c r="AO493" i="2"/>
  <c r="AO190" i="2"/>
  <c r="AO439" i="2"/>
  <c r="AO577" i="2"/>
  <c r="AO817" i="2"/>
  <c r="AO911" i="2"/>
  <c r="AO1508" i="2"/>
  <c r="AO531" i="2"/>
  <c r="AO597" i="2"/>
  <c r="AO709" i="2"/>
  <c r="AO495" i="2"/>
  <c r="AO973" i="2"/>
  <c r="AO1248" i="2"/>
  <c r="AO78" i="2"/>
  <c r="AO252" i="2"/>
  <c r="AO1207" i="2"/>
  <c r="AO545" i="2"/>
  <c r="AO935" i="2"/>
  <c r="AO1577" i="2"/>
  <c r="AO170" i="2"/>
  <c r="AO348" i="2"/>
  <c r="AO445" i="2"/>
  <c r="AO713" i="2"/>
  <c r="AO186" i="2"/>
  <c r="AO681" i="2"/>
  <c r="AO344" i="2"/>
  <c r="AO1162" i="2"/>
  <c r="AO530" i="2"/>
  <c r="AO1505" i="2"/>
  <c r="AO1380" i="2"/>
  <c r="AO90" i="2"/>
  <c r="AO276" i="2"/>
  <c r="AO441" i="2"/>
  <c r="AO1027" i="2"/>
  <c r="AO1103" i="2"/>
  <c r="AO701" i="2"/>
  <c r="AO1071" i="2"/>
  <c r="AO340" i="2"/>
  <c r="AO1160" i="2"/>
  <c r="AO777" i="2"/>
  <c r="AO1535" i="2"/>
  <c r="AO98" i="2"/>
  <c r="AO980" i="2"/>
  <c r="AO1280" i="2"/>
  <c r="AO1131" i="2"/>
  <c r="AO1436" i="2"/>
  <c r="AO451" i="2"/>
  <c r="AO641" i="2"/>
  <c r="AO1074" i="2"/>
  <c r="AO1156" i="2"/>
  <c r="AO360" i="2"/>
  <c r="AO657" i="2"/>
  <c r="AO669" i="2"/>
  <c r="AN88" i="2"/>
  <c r="AN8" i="2"/>
  <c r="AN156" i="2"/>
  <c r="AN220" i="2"/>
  <c r="AN263" i="2"/>
  <c r="AN500" i="2"/>
  <c r="AN552" i="2"/>
  <c r="AN562" i="2"/>
  <c r="AN592" i="2"/>
  <c r="AN624" i="2"/>
  <c r="AN811" i="2"/>
  <c r="AN829" i="2"/>
  <c r="AN922" i="2"/>
  <c r="AN962" i="2"/>
  <c r="AN1010" i="2"/>
  <c r="AN1044" i="2"/>
  <c r="AN40" i="2"/>
  <c r="AN143" i="2"/>
  <c r="AN184" i="2"/>
  <c r="AN259" i="2"/>
  <c r="AN424" i="2"/>
  <c r="AN512" i="2"/>
  <c r="AN604" i="2"/>
  <c r="AN662" i="2"/>
  <c r="AN694" i="2"/>
  <c r="AN734" i="2"/>
  <c r="AN813" i="2"/>
  <c r="AN900" i="2"/>
  <c r="AN992" i="2"/>
  <c r="AN1056" i="2"/>
  <c r="AN1090" i="2"/>
  <c r="AN72" i="2"/>
  <c r="AN196" i="2"/>
  <c r="AN277" i="2"/>
  <c r="AN327" i="2"/>
  <c r="AN107" i="2"/>
  <c r="AN299" i="2"/>
  <c r="AN522" i="2"/>
  <c r="AN457" i="2"/>
  <c r="AN586" i="2"/>
  <c r="AN712" i="2"/>
  <c r="AN728" i="2"/>
  <c r="AN755" i="2"/>
  <c r="AN795" i="2"/>
  <c r="AN830" i="2"/>
  <c r="AN762" i="2"/>
  <c r="AN1034" i="2"/>
  <c r="AN80" i="2"/>
  <c r="AN109" i="2"/>
  <c r="AN191" i="2"/>
  <c r="AN295" i="2"/>
  <c r="AN336" i="2"/>
  <c r="AN684" i="2"/>
  <c r="AN890" i="2"/>
  <c r="AN928" i="2"/>
  <c r="AN970" i="2"/>
  <c r="AN1084" i="2"/>
  <c r="AN265" i="2"/>
  <c r="AN64" i="2"/>
  <c r="AN45" i="2"/>
  <c r="AN28" i="2"/>
  <c r="AN251" i="2"/>
  <c r="AN285" i="2"/>
  <c r="AN404" i="2"/>
  <c r="AN464" i="2"/>
  <c r="AN536" i="2"/>
  <c r="AN572" i="2"/>
  <c r="AN608" i="2"/>
  <c r="AN640" i="2"/>
  <c r="AN672" i="2"/>
  <c r="AN747" i="2"/>
  <c r="AN894" i="2"/>
  <c r="AN986" i="2"/>
  <c r="AN1028" i="2"/>
  <c r="AN68" i="2"/>
  <c r="AN103" i="2"/>
  <c r="AN175" i="2"/>
  <c r="AN588" i="2"/>
  <c r="AN630" i="2"/>
  <c r="AN749" i="2"/>
  <c r="AN886" i="2"/>
  <c r="AN952" i="2"/>
  <c r="AN1040" i="2"/>
  <c r="AN105" i="2"/>
  <c r="AN145" i="2"/>
  <c r="AN211" i="2"/>
  <c r="AN255" i="2"/>
  <c r="AN311" i="2"/>
  <c r="AN564" i="2"/>
  <c r="AN698" i="2"/>
  <c r="AN819" i="2"/>
  <c r="AN748" i="2"/>
  <c r="AN934" i="2"/>
  <c r="AN968" i="2"/>
  <c r="AN1022" i="2"/>
  <c r="AN48" i="2"/>
  <c r="AN155" i="2"/>
  <c r="AN216" i="2"/>
  <c r="AN448" i="2"/>
  <c r="AN614" i="2"/>
  <c r="AN668" i="2"/>
  <c r="AN700" i="2"/>
  <c r="AN881" i="2"/>
  <c r="AN946" i="2"/>
  <c r="AN1004" i="2"/>
  <c r="AN1062" i="2"/>
  <c r="AN236" i="2"/>
  <c r="AN329" i="2"/>
  <c r="AN540" i="2"/>
  <c r="AN610" i="2"/>
  <c r="AN775" i="2"/>
  <c r="AN902" i="2"/>
  <c r="AN1006" i="2"/>
  <c r="AN1042" i="2"/>
  <c r="AN36" i="2"/>
  <c r="AN76" i="2"/>
  <c r="AN111" i="2"/>
  <c r="AN215" i="2"/>
  <c r="AN261" i="2"/>
  <c r="AN279" i="2"/>
  <c r="AN574" i="2"/>
  <c r="AN628" i="2"/>
  <c r="AN710" i="2"/>
  <c r="AN722" i="2"/>
  <c r="AN892" i="2"/>
  <c r="AN978" i="2"/>
  <c r="AN1054" i="2"/>
  <c r="AN1120" i="2"/>
  <c r="AN1152" i="2"/>
  <c r="AN723" i="2"/>
  <c r="AN754" i="2"/>
  <c r="AN1402" i="2"/>
  <c r="AN1434" i="2"/>
  <c r="AN1416" i="2"/>
  <c r="AN1243" i="2"/>
  <c r="AN1495" i="2"/>
  <c r="AN1570" i="2"/>
  <c r="AN23" i="2"/>
  <c r="AN555" i="2"/>
  <c r="AN864" i="2"/>
  <c r="AN948" i="2"/>
  <c r="AN987" i="2"/>
  <c r="AN1008" i="2"/>
  <c r="AN1275" i="2"/>
  <c r="AN1067" i="2"/>
  <c r="AN1391" i="2"/>
  <c r="AN1011" i="2"/>
  <c r="AN621" i="2"/>
  <c r="AN497" i="2"/>
  <c r="AN673" i="2"/>
  <c r="AN885" i="2"/>
  <c r="AN1039" i="2"/>
  <c r="AN1088" i="2"/>
  <c r="AN1132" i="2"/>
  <c r="AN1164" i="2"/>
  <c r="AN1180" i="2"/>
  <c r="AN74" i="2"/>
  <c r="AN419" i="2"/>
  <c r="AN405" i="2"/>
  <c r="AN706" i="2"/>
  <c r="AN767" i="2"/>
  <c r="AN807" i="2"/>
  <c r="AN896" i="2"/>
  <c r="AN924" i="2"/>
  <c r="AN1036" i="2"/>
  <c r="AN96" i="2"/>
  <c r="AN353" i="2"/>
  <c r="AN590" i="2"/>
  <c r="AN622" i="2"/>
  <c r="AN660" i="2"/>
  <c r="AN887" i="2"/>
  <c r="AN920" i="2"/>
  <c r="AN972" i="2"/>
  <c r="AN1014" i="2"/>
  <c r="AN1110" i="2"/>
  <c r="AN1142" i="2"/>
  <c r="AN1184" i="2"/>
  <c r="AN1229" i="2"/>
  <c r="AN1274" i="2"/>
  <c r="AN1426" i="2"/>
  <c r="AN1295" i="2"/>
  <c r="AN1498" i="2"/>
  <c r="AN1481" i="2"/>
  <c r="AN1566" i="2"/>
  <c r="AN1211" i="2"/>
  <c r="AN268" i="2"/>
  <c r="AN399" i="2"/>
  <c r="AN465" i="2"/>
  <c r="AN964" i="2"/>
  <c r="AN923" i="2"/>
  <c r="AN983" i="2"/>
  <c r="AN1087" i="2"/>
  <c r="AN178" i="2"/>
  <c r="AN447" i="2"/>
  <c r="AN501" i="2"/>
  <c r="AN479" i="2"/>
  <c r="AN609" i="2"/>
  <c r="AN613" i="2"/>
  <c r="AN1078" i="2"/>
  <c r="AN1116" i="2"/>
  <c r="AN1154" i="2"/>
  <c r="AN808" i="2"/>
  <c r="AN1244" i="2"/>
  <c r="AN1408" i="2"/>
  <c r="AN35" i="2"/>
  <c r="AN122" i="2"/>
  <c r="AN260" i="2"/>
  <c r="AN594" i="2"/>
  <c r="AN690" i="2"/>
  <c r="AN751" i="2"/>
  <c r="AN799" i="2"/>
  <c r="AN831" i="2"/>
  <c r="AN797" i="2"/>
  <c r="AN914" i="2"/>
  <c r="AN988" i="2"/>
  <c r="AN1026" i="2"/>
  <c r="AN92" i="2"/>
  <c r="AN183" i="2"/>
  <c r="AN235" i="2"/>
  <c r="AN192" i="2"/>
  <c r="AN208" i="2"/>
  <c r="AN444" i="2"/>
  <c r="AN488" i="2"/>
  <c r="AN508" i="2"/>
  <c r="AN409" i="2"/>
  <c r="AN612" i="2"/>
  <c r="AN654" i="2"/>
  <c r="AN882" i="2"/>
  <c r="AN960" i="2"/>
  <c r="AN1038" i="2"/>
  <c r="AN1174" i="2"/>
  <c r="AN825" i="2"/>
  <c r="AN1213" i="2"/>
  <c r="AN1266" i="2"/>
  <c r="AN1386" i="2"/>
  <c r="AN1410" i="2"/>
  <c r="AN1418" i="2"/>
  <c r="AN1473" i="2"/>
  <c r="AN1513" i="2"/>
  <c r="AN1463" i="2"/>
  <c r="AN1424" i="2"/>
  <c r="AN1560" i="2"/>
  <c r="AN395" i="2"/>
  <c r="AN753" i="2"/>
  <c r="AN1024" i="2"/>
  <c r="AN1079" i="2"/>
  <c r="AN1364" i="2"/>
  <c r="AN1147" i="2"/>
  <c r="AN384" i="2"/>
  <c r="AN1066" i="2"/>
  <c r="AN1148" i="2"/>
  <c r="AN31" i="2"/>
  <c r="AN162" i="2"/>
  <c r="AN198" i="2"/>
  <c r="AN234" i="2"/>
  <c r="AN362" i="2"/>
  <c r="AN468" i="2"/>
  <c r="AN425" i="2"/>
  <c r="AN626" i="2"/>
  <c r="AN674" i="2"/>
  <c r="AN727" i="2"/>
  <c r="AN783" i="2"/>
  <c r="AN823" i="2"/>
  <c r="AN781" i="2"/>
  <c r="AN84" i="2"/>
  <c r="AN219" i="2"/>
  <c r="AN291" i="2"/>
  <c r="AN396" i="2"/>
  <c r="AN638" i="2"/>
  <c r="AN676" i="2"/>
  <c r="AN898" i="2"/>
  <c r="AN984" i="2"/>
  <c r="AN1032" i="2"/>
  <c r="AN1064" i="2"/>
  <c r="AN1126" i="2"/>
  <c r="AN745" i="2"/>
  <c r="AN1258" i="2"/>
  <c r="AN1362" i="2"/>
  <c r="AN1467" i="2"/>
  <c r="AN1489" i="2"/>
  <c r="AN1273" i="2"/>
  <c r="AN1428" i="2"/>
  <c r="AN67" i="2"/>
  <c r="AN876" i="2"/>
  <c r="AN730" i="2"/>
  <c r="AN915" i="2"/>
  <c r="AN951" i="2"/>
  <c r="AN991" i="2"/>
  <c r="AN1016" i="2"/>
  <c r="AN1484" i="2"/>
  <c r="AN316" i="2"/>
  <c r="AN717" i="2"/>
  <c r="AN511" i="2"/>
  <c r="AN788" i="2"/>
  <c r="AN1138" i="2"/>
  <c r="AN1259" i="2"/>
  <c r="AN387" i="2"/>
  <c r="AN202" i="2"/>
  <c r="AN328" i="2"/>
  <c r="AN491" i="2"/>
  <c r="AN1231" i="2"/>
  <c r="AN1431" i="2"/>
  <c r="AN1496" i="2"/>
  <c r="AN1561" i="2"/>
  <c r="AN66" i="2"/>
  <c r="AN585" i="2"/>
  <c r="AN499" i="2"/>
  <c r="AN895" i="2"/>
  <c r="AN757" i="2"/>
  <c r="AN1192" i="2"/>
  <c r="AN1218" i="2"/>
  <c r="AN1254" i="2"/>
  <c r="AN1390" i="2"/>
  <c r="AN1499" i="2"/>
  <c r="AN1563" i="2"/>
  <c r="AN1272" i="2"/>
  <c r="AN119" i="2"/>
  <c r="AN300" i="2"/>
  <c r="AN341" i="2"/>
  <c r="AN489" i="2"/>
  <c r="AN721" i="2"/>
  <c r="AN575" i="2"/>
  <c r="AN571" i="2"/>
  <c r="AN589" i="2"/>
  <c r="AN931" i="2"/>
  <c r="AN27" i="2"/>
  <c r="AN629" i="2"/>
  <c r="AN1194" i="2"/>
  <c r="AN761" i="2"/>
  <c r="AN1216" i="2"/>
  <c r="AN921" i="2"/>
  <c r="AN1415" i="2"/>
  <c r="AN1501" i="2"/>
  <c r="AN1530" i="2"/>
  <c r="AN70" i="2"/>
  <c r="AN320" i="2"/>
  <c r="AN368" i="2"/>
  <c r="AN741" i="2"/>
  <c r="AN828" i="2"/>
  <c r="AN971" i="2"/>
  <c r="AN1023" i="2"/>
  <c r="AN1423" i="2"/>
  <c r="AN1524" i="2"/>
  <c r="AN1548" i="2"/>
  <c r="AN1063" i="2"/>
  <c r="AN210" i="2"/>
  <c r="AN569" i="2"/>
  <c r="AN605" i="2"/>
  <c r="AN869" i="2"/>
  <c r="AN449" i="2"/>
  <c r="AN768" i="2"/>
  <c r="AN1399" i="2"/>
  <c r="AN1464" i="2"/>
  <c r="AN317" i="2"/>
  <c r="AN381" i="2"/>
  <c r="AN1528" i="2"/>
  <c r="AN1150" i="2"/>
  <c r="AN1182" i="2"/>
  <c r="AN1238" i="2"/>
  <c r="AN1382" i="2"/>
  <c r="AN1430" i="2"/>
  <c r="AN1466" i="2"/>
  <c r="AN1559" i="2"/>
  <c r="AN1240" i="2"/>
  <c r="AN91" i="2"/>
  <c r="AN411" i="2"/>
  <c r="AN523" i="2"/>
  <c r="AN563" i="2"/>
  <c r="AN919" i="2"/>
  <c r="AN955" i="2"/>
  <c r="AN1403" i="2"/>
  <c r="AN1151" i="2"/>
  <c r="AN1091" i="2"/>
  <c r="AN83" i="2"/>
  <c r="AN248" i="2"/>
  <c r="AN1581" i="2"/>
  <c r="AN1068" i="2"/>
  <c r="AN1098" i="2"/>
  <c r="AN1140" i="2"/>
  <c r="AN1400" i="2"/>
  <c r="AN1514" i="2"/>
  <c r="AN1412" i="2"/>
  <c r="AN1456" i="2"/>
  <c r="AN403" i="2"/>
  <c r="AN305" i="2"/>
  <c r="AN456" i="2"/>
  <c r="AN476" i="2"/>
  <c r="AN537" i="2"/>
  <c r="AN1219" i="2"/>
  <c r="AN899" i="2"/>
  <c r="AN1183" i="2"/>
  <c r="AN1388" i="2"/>
  <c r="AN1432" i="2"/>
  <c r="AN11" i="2"/>
  <c r="AN593" i="2"/>
  <c r="AN785" i="2"/>
  <c r="AN756" i="2"/>
  <c r="AN559" i="2"/>
  <c r="AN1123" i="2"/>
  <c r="AN1552" i="2"/>
  <c r="AN1055" i="2"/>
  <c r="AN1588" i="2"/>
  <c r="AN1144" i="2"/>
  <c r="AN845" i="2"/>
  <c r="AN1294" i="2"/>
  <c r="AN1414" i="2"/>
  <c r="AN1519" i="2"/>
  <c r="AN1553" i="2"/>
  <c r="AN1276" i="2"/>
  <c r="AN1527" i="2"/>
  <c r="AN1580" i="2"/>
  <c r="AN146" i="2"/>
  <c r="AN408" i="2"/>
  <c r="AN292" i="2"/>
  <c r="AN805" i="2"/>
  <c r="AN725" i="2"/>
  <c r="AN903" i="2"/>
  <c r="AN873" i="2"/>
  <c r="AN1143" i="2"/>
  <c r="AN1007" i="2"/>
  <c r="AN1239" i="2"/>
  <c r="AN42" i="2"/>
  <c r="AN238" i="2"/>
  <c r="AN443" i="2"/>
  <c r="AN1052" i="2"/>
  <c r="AN1086" i="2"/>
  <c r="AN1124" i="2"/>
  <c r="AN1172" i="2"/>
  <c r="AN1220" i="2"/>
  <c r="AN1383" i="2"/>
  <c r="AN1485" i="2"/>
  <c r="AN1507" i="2"/>
  <c r="AN1546" i="2"/>
  <c r="AN1396" i="2"/>
  <c r="AN47" i="2"/>
  <c r="AN106" i="2"/>
  <c r="AN385" i="2"/>
  <c r="AN513" i="2"/>
  <c r="AN1171" i="2"/>
  <c r="AN1139" i="2"/>
  <c r="AN1520" i="2"/>
  <c r="AN1584" i="2"/>
  <c r="AN309" i="2"/>
  <c r="AN372" i="2"/>
  <c r="AN633" i="2"/>
  <c r="AN697" i="2"/>
  <c r="AN561" i="2"/>
  <c r="AN705" i="2"/>
  <c r="AN880" i="2"/>
  <c r="AN1115" i="2"/>
  <c r="AN1083" i="2"/>
  <c r="AN1451" i="2"/>
  <c r="AN1031" i="2"/>
  <c r="AN1420" i="2"/>
  <c r="AN1585" i="2"/>
  <c r="AN50" i="2"/>
  <c r="AN617" i="2"/>
  <c r="AN625" i="2"/>
  <c r="AN729" i="2"/>
  <c r="AN947" i="2"/>
  <c r="AN365" i="2"/>
  <c r="AN1166" i="2"/>
  <c r="AN809" i="2"/>
  <c r="AN1230" i="2"/>
  <c r="AN1270" i="2"/>
  <c r="AN1406" i="2"/>
  <c r="AN1549" i="2"/>
  <c r="AN1260" i="2"/>
  <c r="AN1583" i="2"/>
  <c r="AN43" i="2"/>
  <c r="AN773" i="2"/>
  <c r="AN852" i="2"/>
  <c r="AN1127" i="2"/>
  <c r="AN1175" i="2"/>
  <c r="AN1459" i="2"/>
  <c r="AN1468" i="2"/>
  <c r="AN1573" i="2"/>
  <c r="AN1411" i="2"/>
  <c r="AN1572" i="2"/>
  <c r="AN689" i="2"/>
  <c r="AN1516" i="2"/>
  <c r="AN1080" i="2"/>
  <c r="AN1114" i="2"/>
  <c r="AN1367" i="2"/>
  <c r="AN1448" i="2"/>
  <c r="AN86" i="2"/>
  <c r="AN79" i="2"/>
  <c r="AN857" i="2"/>
  <c r="AN293" i="2"/>
  <c r="AN455" i="2"/>
  <c r="AN856" i="2"/>
  <c r="AM13" i="2"/>
  <c r="AM77" i="2"/>
  <c r="AM398" i="2"/>
  <c r="AM602" i="2"/>
  <c r="AM666" i="2"/>
  <c r="AM732" i="2"/>
  <c r="AM850" i="2"/>
  <c r="AM101" i="2"/>
  <c r="AM258" i="2"/>
  <c r="AM520" i="2"/>
  <c r="AM442" i="2"/>
  <c r="AM1096" i="2"/>
  <c r="AM195" i="2"/>
  <c r="AM85" i="2"/>
  <c r="AM428" i="2"/>
  <c r="AM482" i="2"/>
  <c r="AM863" i="2"/>
  <c r="AM128" i="2"/>
  <c r="AM940" i="2"/>
  <c r="AM127" i="2"/>
  <c r="AM49" i="2"/>
  <c r="AM136" i="2"/>
  <c r="AM286" i="2"/>
  <c r="AM682" i="2"/>
  <c r="AM778" i="2"/>
  <c r="AM598" i="2"/>
  <c r="AM714" i="2"/>
  <c r="AM56" i="2"/>
  <c r="AM159" i="2"/>
  <c r="AM124" i="2"/>
  <c r="AM314" i="2"/>
  <c r="AM486" i="2"/>
  <c r="AM550" i="2"/>
  <c r="AM766" i="2"/>
  <c r="AM944" i="2"/>
  <c r="AM152" i="2"/>
  <c r="AM274" i="2"/>
  <c r="AM484" i="2"/>
  <c r="AM570" i="2"/>
  <c r="AM678" i="2"/>
  <c r="AM310" i="2"/>
  <c r="AM1072" i="2"/>
  <c r="AM548" i="2"/>
  <c r="AM908" i="2"/>
  <c r="AM976" i="2"/>
  <c r="AM173" i="2"/>
  <c r="AM1168" i="2"/>
  <c r="AM579" i="2"/>
  <c r="AM917" i="2"/>
  <c r="AM1558" i="2"/>
  <c r="AM1269" i="2"/>
  <c r="AM154" i="2"/>
  <c r="AM153" i="2"/>
  <c r="AM744" i="2"/>
  <c r="AM930" i="2"/>
  <c r="AM1202" i="2"/>
  <c r="AM1488" i="2"/>
  <c r="AM1439" i="2"/>
  <c r="AM649" i="2"/>
  <c r="AM1235" i="2"/>
  <c r="AM891" i="2"/>
  <c r="AM134" i="2"/>
  <c r="AM1476" i="2"/>
  <c r="AM1060" i="2"/>
  <c r="AM703" i="2"/>
  <c r="AM1224" i="2"/>
  <c r="AM1121" i="2"/>
  <c r="AM1525" i="2"/>
  <c r="AM1226" i="2"/>
  <c r="AM158" i="2"/>
  <c r="AM534" i="2"/>
  <c r="AM746" i="2"/>
  <c r="AM9" i="2"/>
  <c r="AM298" i="2"/>
  <c r="AM363" i="2"/>
  <c r="AM480" i="2"/>
  <c r="AM394" i="2"/>
  <c r="AM670" i="2"/>
  <c r="AM518" i="2"/>
  <c r="AM1020" i="2"/>
  <c r="AM851" i="2"/>
  <c r="AM118" i="2"/>
  <c r="AM141" i="2"/>
  <c r="AM533" i="2"/>
  <c r="AM1119" i="2"/>
  <c r="AM620" i="2"/>
  <c r="AM1284" i="2"/>
  <c r="AM487" i="2"/>
  <c r="AM687" i="2"/>
  <c r="AM818" i="2"/>
  <c r="AM1518" i="2"/>
  <c r="AM1377" i="2"/>
  <c r="AM26" i="2"/>
  <c r="AM313" i="2"/>
  <c r="AM262" i="2"/>
  <c r="AM532" i="2"/>
  <c r="AM658" i="2"/>
  <c r="AM123" i="2"/>
  <c r="AM160" i="2"/>
  <c r="AM250" i="2"/>
  <c r="AM702" i="2"/>
  <c r="AM502" i="2"/>
  <c r="AM1048" i="2"/>
  <c r="AM659" i="2"/>
  <c r="AM1475" i="2"/>
  <c r="AM1545" i="2"/>
  <c r="AM10" i="2"/>
  <c r="AM792" i="2"/>
  <c r="AM803" i="2"/>
  <c r="AM1000" i="2"/>
  <c r="AM1251" i="2"/>
  <c r="AM779" i="2"/>
  <c r="AM1118" i="2"/>
  <c r="AM1438" i="2"/>
  <c r="AM485" i="2"/>
  <c r="AM967" i="2"/>
  <c r="AM1392" i="2"/>
  <c r="AM1203" i="2"/>
  <c r="AM975" i="2"/>
  <c r="AM1057" i="2"/>
  <c r="AM1373" i="2"/>
  <c r="AM14" i="2"/>
  <c r="AM556" i="2"/>
  <c r="AM642" i="2"/>
  <c r="AM334" i="2"/>
  <c r="AM686" i="2"/>
  <c r="AM1136" i="2"/>
  <c r="AM643" i="2"/>
  <c r="AM1491" i="2"/>
  <c r="AM1562" i="2"/>
  <c r="AM1586" i="2"/>
  <c r="AM62" i="2"/>
  <c r="AM133" i="2"/>
  <c r="AM237" i="2"/>
  <c r="AM789" i="2"/>
  <c r="AM906" i="2"/>
  <c r="AM821" i="2"/>
  <c r="AM1215" i="2"/>
  <c r="AM1236" i="2"/>
  <c r="AM130" i="2"/>
  <c r="AM849" i="2"/>
  <c r="AM1246" i="2"/>
  <c r="AM927" i="2"/>
  <c r="AM1107" i="2"/>
  <c r="AM1047" i="2"/>
  <c r="AM645" i="2"/>
  <c r="AM688" i="2"/>
  <c r="AM1379" i="2"/>
  <c r="AM505" i="2"/>
  <c r="AM966" i="2"/>
  <c r="AM1292" i="2"/>
  <c r="AM1075" i="2"/>
  <c r="AM692" i="2"/>
  <c r="AM1163" i="2"/>
  <c r="AM651" i="2"/>
  <c r="AM1517" i="2"/>
  <c r="AM1529" i="2"/>
  <c r="AM1521" i="2"/>
  <c r="AM1285" i="2"/>
  <c r="AM230" i="2"/>
  <c r="AM848" i="2"/>
  <c r="AM519" i="2"/>
  <c r="AM1287" i="2"/>
  <c r="AM1187" i="2"/>
  <c r="AM954" i="2"/>
  <c r="AM644" i="2"/>
  <c r="AM780" i="2"/>
  <c r="AM1208" i="2"/>
  <c r="AM1539" i="2"/>
  <c r="AM1486" i="2"/>
  <c r="AM125" i="2"/>
  <c r="AM129" i="2"/>
  <c r="AM784" i="2"/>
  <c r="AM1450" i="2"/>
  <c r="AM1291" i="2"/>
  <c r="AM126" i="2"/>
  <c r="AM680" i="2"/>
  <c r="AM1443" i="2"/>
  <c r="AM581" i="2"/>
  <c r="AM1575" i="2"/>
  <c r="AM1444" i="2"/>
  <c r="AM793" i="2"/>
  <c r="AM504" i="2"/>
  <c r="AM804" i="2"/>
  <c r="AM551" i="2"/>
  <c r="AM999" i="2"/>
  <c r="AM943" i="2"/>
  <c r="AM1019" i="2"/>
  <c r="AM907" i="2"/>
  <c r="AM693" i="2"/>
  <c r="AM802" i="2"/>
  <c r="AM1157" i="2"/>
  <c r="AM1497" i="2"/>
  <c r="AM415" i="2"/>
  <c r="AM765" i="2"/>
  <c r="AM539" i="2"/>
  <c r="AM1267" i="2"/>
  <c r="AM1442" i="2"/>
  <c r="AM12" i="2"/>
  <c r="AM1372" i="2"/>
  <c r="AM1556" i="2"/>
  <c r="AM1567" i="2"/>
  <c r="AM142" i="2"/>
  <c r="AM1170" i="2"/>
  <c r="AM1571" i="2"/>
  <c r="AM1108" i="2"/>
  <c r="AM151" i="2"/>
  <c r="AM137" i="2"/>
  <c r="AM407" i="2"/>
  <c r="AM503" i="2"/>
  <c r="AM361" i="2"/>
  <c r="AM1250" i="2"/>
  <c r="AM1227" i="2"/>
  <c r="AM1376" i="2"/>
  <c r="AM59" i="2"/>
  <c r="AM601" i="2"/>
  <c r="AM527" i="2"/>
  <c r="AM1158" i="2"/>
  <c r="AM743" i="2"/>
  <c r="AM1384" i="2"/>
  <c r="AM791" i="2"/>
  <c r="AM801" i="2"/>
  <c r="AM982" i="2"/>
  <c r="AM844" i="2"/>
  <c r="AM1214" i="2"/>
  <c r="AM653" i="2"/>
  <c r="AM580" i="2"/>
  <c r="AM997" i="2"/>
  <c r="AM1533" i="2"/>
  <c r="AM1555" i="2"/>
  <c r="AM303" i="2"/>
  <c r="AM800" i="2"/>
  <c r="AM529" i="2"/>
  <c r="AM865" i="2"/>
  <c r="AM1569" i="2"/>
  <c r="AM463" i="2"/>
  <c r="AM704" i="2"/>
  <c r="AM1188" i="2"/>
  <c r="AM647" i="2"/>
  <c r="AM957" i="2"/>
  <c r="AM1487" i="2"/>
  <c r="AM1568" i="2"/>
  <c r="AM521" i="2"/>
  <c r="AM652" i="2"/>
  <c r="AM1135" i="2"/>
  <c r="AM1531" i="2"/>
  <c r="AM1565" i="2"/>
  <c r="AM1268" i="2"/>
  <c r="AM517" i="2"/>
  <c r="AM718" i="2"/>
  <c r="AM764" i="2"/>
  <c r="AM939" i="2"/>
  <c r="AM1286" i="2"/>
  <c r="AM1030" i="2"/>
  <c r="AM665" i="2"/>
  <c r="AM636" i="2"/>
  <c r="AM1395" i="2"/>
  <c r="AM401" i="2"/>
  <c r="AM1122" i="2"/>
  <c r="AM1015" i="2"/>
  <c r="AM667" i="2"/>
  <c r="AM905" i="2"/>
  <c r="AM1465" i="2"/>
  <c r="AM1265" i="2"/>
  <c r="AM335" i="2"/>
  <c r="AM557" i="2"/>
  <c r="AM1375" i="2"/>
  <c r="AM1564" i="2"/>
  <c r="AM1440" i="2"/>
  <c r="AM1179" i="2"/>
  <c r="AM481" i="2"/>
  <c r="AM998" i="2"/>
  <c r="AM1532" i="2"/>
  <c r="AM1378" i="2"/>
  <c r="AM583" i="2"/>
  <c r="AM941" i="2"/>
  <c r="AM1212" i="2"/>
  <c r="AM121" i="2"/>
  <c r="AM287" i="2"/>
  <c r="AM549" i="2"/>
  <c r="AM877" i="2"/>
  <c r="AM1264" i="2"/>
  <c r="AM1483" i="2"/>
  <c r="AM1371" i="2"/>
  <c r="AM483" i="2"/>
  <c r="AM637" i="2"/>
  <c r="AM1059" i="2"/>
  <c r="AM942" i="2"/>
  <c r="AM19" i="2"/>
  <c r="AM1058" i="2"/>
  <c r="AM39" i="2"/>
  <c r="AO107" i="2"/>
  <c r="AO299" i="2"/>
  <c r="AO522" i="2"/>
  <c r="AO457" i="2"/>
  <c r="AO586" i="2"/>
  <c r="AO698" i="2"/>
  <c r="AO712" i="2"/>
  <c r="AO755" i="2"/>
  <c r="AO795" i="2"/>
  <c r="AO830" i="2"/>
  <c r="AO1034" i="2"/>
  <c r="AO80" i="2"/>
  <c r="AO109" i="2"/>
  <c r="AO191" i="2"/>
  <c r="AO295" i="2"/>
  <c r="AO336" i="2"/>
  <c r="AO684" i="2"/>
  <c r="AO890" i="2"/>
  <c r="AO928" i="2"/>
  <c r="AO970" i="2"/>
  <c r="AO1084" i="2"/>
  <c r="AO265" i="2"/>
  <c r="AO45" i="2"/>
  <c r="AO28" i="2"/>
  <c r="AO251" i="2"/>
  <c r="AO285" i="2"/>
  <c r="AO404" i="2"/>
  <c r="AO464" i="2"/>
  <c r="AO536" i="2"/>
  <c r="AO572" i="2"/>
  <c r="AO608" i="2"/>
  <c r="AO640" i="2"/>
  <c r="AO672" i="2"/>
  <c r="AO747" i="2"/>
  <c r="AO894" i="2"/>
  <c r="AO986" i="2"/>
  <c r="AO1028" i="2"/>
  <c r="AO68" i="2"/>
  <c r="AO103" i="2"/>
  <c r="AO175" i="2"/>
  <c r="AO424" i="2"/>
  <c r="AO588" i="2"/>
  <c r="AO630" i="2"/>
  <c r="AO749" i="2"/>
  <c r="AO886" i="2"/>
  <c r="AO952" i="2"/>
  <c r="AO1040" i="2"/>
  <c r="AO105" i="2"/>
  <c r="AO145" i="2"/>
  <c r="AO211" i="2"/>
  <c r="AO255" i="2"/>
  <c r="AO311" i="2"/>
  <c r="AO564" i="2"/>
  <c r="AO819" i="2"/>
  <c r="AO748" i="2"/>
  <c r="AO762" i="2"/>
  <c r="AO934" i="2"/>
  <c r="AO968" i="2"/>
  <c r="AO1022" i="2"/>
  <c r="AO48" i="2"/>
  <c r="AO155" i="2"/>
  <c r="AO216" i="2"/>
  <c r="AO448" i="2"/>
  <c r="AO614" i="2"/>
  <c r="AO668" i="2"/>
  <c r="AO700" i="2"/>
  <c r="AO881" i="2"/>
  <c r="AO946" i="2"/>
  <c r="AO1004" i="2"/>
  <c r="AO1062" i="2"/>
  <c r="AO236" i="2"/>
  <c r="AO88" i="2"/>
  <c r="AO64" i="2"/>
  <c r="AO8" i="2"/>
  <c r="AO156" i="2"/>
  <c r="AO220" i="2"/>
  <c r="AO263" i="2"/>
  <c r="AO500" i="2"/>
  <c r="AO552" i="2"/>
  <c r="AO562" i="2"/>
  <c r="AO592" i="2"/>
  <c r="AO624" i="2"/>
  <c r="AO728" i="2"/>
  <c r="AO811" i="2"/>
  <c r="AO829" i="2"/>
  <c r="AO922" i="2"/>
  <c r="AO962" i="2"/>
  <c r="AO1010" i="2"/>
  <c r="AO1044" i="2"/>
  <c r="AO40" i="2"/>
  <c r="AO143" i="2"/>
  <c r="AO184" i="2"/>
  <c r="AO259" i="2"/>
  <c r="AO512" i="2"/>
  <c r="AO604" i="2"/>
  <c r="AO662" i="2"/>
  <c r="AO694" i="2"/>
  <c r="AO734" i="2"/>
  <c r="AO813" i="2"/>
  <c r="AO900" i="2"/>
  <c r="AO992" i="2"/>
  <c r="AO1056" i="2"/>
  <c r="AO1090" i="2"/>
  <c r="AO72" i="2"/>
  <c r="AO196" i="2"/>
  <c r="AO277" i="2"/>
  <c r="AO327" i="2"/>
  <c r="AO405" i="2"/>
  <c r="AO425" i="2"/>
  <c r="AO706" i="2"/>
  <c r="AO767" i="2"/>
  <c r="AO807" i="2"/>
  <c r="AO896" i="2"/>
  <c r="AO924" i="2"/>
  <c r="AO1036" i="2"/>
  <c r="AO96" i="2"/>
  <c r="AO353" i="2"/>
  <c r="AO590" i="2"/>
  <c r="AO622" i="2"/>
  <c r="AO660" i="2"/>
  <c r="AO887" i="2"/>
  <c r="AO920" i="2"/>
  <c r="AO972" i="2"/>
  <c r="AO1014" i="2"/>
  <c r="AO1110" i="2"/>
  <c r="AO1142" i="2"/>
  <c r="AO1184" i="2"/>
  <c r="AO1229" i="2"/>
  <c r="AO1274" i="2"/>
  <c r="AO1426" i="2"/>
  <c r="AO1295" i="2"/>
  <c r="AO1498" i="2"/>
  <c r="AO1481" i="2"/>
  <c r="AO1566" i="2"/>
  <c r="AO1211" i="2"/>
  <c r="AO1424" i="2"/>
  <c r="AO268" i="2"/>
  <c r="AO399" i="2"/>
  <c r="AO465" i="2"/>
  <c r="AO964" i="2"/>
  <c r="AO730" i="2"/>
  <c r="AO923" i="2"/>
  <c r="AO983" i="2"/>
  <c r="AO1087" i="2"/>
  <c r="AO178" i="2"/>
  <c r="AO447" i="2"/>
  <c r="AO501" i="2"/>
  <c r="AO479" i="2"/>
  <c r="AO609" i="2"/>
  <c r="AO613" i="2"/>
  <c r="AO1078" i="2"/>
  <c r="AO1116" i="2"/>
  <c r="AO1154" i="2"/>
  <c r="AO808" i="2"/>
  <c r="AO35" i="2"/>
  <c r="AO122" i="2"/>
  <c r="AO260" i="2"/>
  <c r="AO594" i="2"/>
  <c r="AO690" i="2"/>
  <c r="AO751" i="2"/>
  <c r="AO799" i="2"/>
  <c r="AO831" i="2"/>
  <c r="AO797" i="2"/>
  <c r="AO914" i="2"/>
  <c r="AO988" i="2"/>
  <c r="AO1026" i="2"/>
  <c r="AO92" i="2"/>
  <c r="AO183" i="2"/>
  <c r="AO235" i="2"/>
  <c r="AO208" i="2"/>
  <c r="AO444" i="2"/>
  <c r="AO508" i="2"/>
  <c r="AO409" i="2"/>
  <c r="AO612" i="2"/>
  <c r="AO654" i="2"/>
  <c r="AO882" i="2"/>
  <c r="AO960" i="2"/>
  <c r="AO1038" i="2"/>
  <c r="AO1174" i="2"/>
  <c r="AO825" i="2"/>
  <c r="AO1213" i="2"/>
  <c r="AO1266" i="2"/>
  <c r="AO1386" i="2"/>
  <c r="AO1418" i="2"/>
  <c r="AO1473" i="2"/>
  <c r="AO1513" i="2"/>
  <c r="AO1463" i="2"/>
  <c r="AO1560" i="2"/>
  <c r="AO395" i="2"/>
  <c r="AO753" i="2"/>
  <c r="AO1024" i="2"/>
  <c r="AO1079" i="2"/>
  <c r="AO1364" i="2"/>
  <c r="AO1147" i="2"/>
  <c r="AO1484" i="2"/>
  <c r="AO384" i="2"/>
  <c r="AO1066" i="2"/>
  <c r="AO1148" i="2"/>
  <c r="AO31" i="2"/>
  <c r="AO162" i="2"/>
  <c r="AO198" i="2"/>
  <c r="AO234" i="2"/>
  <c r="AO362" i="2"/>
  <c r="AO468" i="2"/>
  <c r="AO626" i="2"/>
  <c r="AO674" i="2"/>
  <c r="AO727" i="2"/>
  <c r="AO783" i="2"/>
  <c r="AO823" i="2"/>
  <c r="AO781" i="2"/>
  <c r="AO84" i="2"/>
  <c r="AO111" i="2"/>
  <c r="AO219" i="2"/>
  <c r="AO261" i="2"/>
  <c r="AO291" i="2"/>
  <c r="AO396" i="2"/>
  <c r="AO638" i="2"/>
  <c r="AO676" i="2"/>
  <c r="AO898" i="2"/>
  <c r="AO984" i="2"/>
  <c r="AO1032" i="2"/>
  <c r="AO1064" i="2"/>
  <c r="AO1126" i="2"/>
  <c r="AO745" i="2"/>
  <c r="AO1258" i="2"/>
  <c r="AO1362" i="2"/>
  <c r="AO1467" i="2"/>
  <c r="AO1489" i="2"/>
  <c r="AO1273" i="2"/>
  <c r="AO1428" i="2"/>
  <c r="AO67" i="2"/>
  <c r="AO876" i="2"/>
  <c r="AO915" i="2"/>
  <c r="AO951" i="2"/>
  <c r="AO991" i="2"/>
  <c r="AO1016" i="2"/>
  <c r="AO316" i="2"/>
  <c r="AO717" i="2"/>
  <c r="AO511" i="2"/>
  <c r="AO788" i="2"/>
  <c r="AO1138" i="2"/>
  <c r="AO1180" i="2"/>
  <c r="AO1259" i="2"/>
  <c r="AO387" i="2"/>
  <c r="AO202" i="2"/>
  <c r="AO328" i="2"/>
  <c r="AO329" i="2"/>
  <c r="AO540" i="2"/>
  <c r="AO610" i="2"/>
  <c r="AO775" i="2"/>
  <c r="AO902" i="2"/>
  <c r="AO1006" i="2"/>
  <c r="AO1042" i="2"/>
  <c r="AO36" i="2"/>
  <c r="AO76" i="2"/>
  <c r="AO215" i="2"/>
  <c r="AO192" i="2"/>
  <c r="AO279" i="2"/>
  <c r="AO488" i="2"/>
  <c r="AO574" i="2"/>
  <c r="AO628" i="2"/>
  <c r="AO710" i="2"/>
  <c r="AO722" i="2"/>
  <c r="AO892" i="2"/>
  <c r="AO978" i="2"/>
  <c r="AO1054" i="2"/>
  <c r="AO1120" i="2"/>
  <c r="AO1152" i="2"/>
  <c r="AO723" i="2"/>
  <c r="AO754" i="2"/>
  <c r="AO1402" i="2"/>
  <c r="AO1410" i="2"/>
  <c r="AO1434" i="2"/>
  <c r="AO1416" i="2"/>
  <c r="AO1243" i="2"/>
  <c r="AO1495" i="2"/>
  <c r="AO1570" i="2"/>
  <c r="AO23" i="2"/>
  <c r="AO555" i="2"/>
  <c r="AO864" i="2"/>
  <c r="AO948" i="2"/>
  <c r="AO987" i="2"/>
  <c r="AO1008" i="2"/>
  <c r="AO1275" i="2"/>
  <c r="AO1067" i="2"/>
  <c r="AO1391" i="2"/>
  <c r="AO1011" i="2"/>
  <c r="AO621" i="2"/>
  <c r="AO497" i="2"/>
  <c r="AO673" i="2"/>
  <c r="AO885" i="2"/>
  <c r="AO1039" i="2"/>
  <c r="AO1088" i="2"/>
  <c r="AO1132" i="2"/>
  <c r="AO1164" i="2"/>
  <c r="AO1244" i="2"/>
  <c r="AO1408" i="2"/>
  <c r="AO74" i="2"/>
  <c r="AO419" i="2"/>
  <c r="AO449" i="2"/>
  <c r="AO756" i="2"/>
  <c r="AO768" i="2"/>
  <c r="AO1399" i="2"/>
  <c r="AO1552" i="2"/>
  <c r="AO1464" i="2"/>
  <c r="AO317" i="2"/>
  <c r="AO381" i="2"/>
  <c r="AO1528" i="2"/>
  <c r="AO1150" i="2"/>
  <c r="AO1182" i="2"/>
  <c r="AO1238" i="2"/>
  <c r="AO1382" i="2"/>
  <c r="AO1430" i="2"/>
  <c r="AO1466" i="2"/>
  <c r="AO1276" i="2"/>
  <c r="AO1559" i="2"/>
  <c r="AO1240" i="2"/>
  <c r="AO91" i="2"/>
  <c r="AO411" i="2"/>
  <c r="AO523" i="2"/>
  <c r="AO563" i="2"/>
  <c r="AO919" i="2"/>
  <c r="AO955" i="2"/>
  <c r="AO1403" i="2"/>
  <c r="AO1151" i="2"/>
  <c r="AO1091" i="2"/>
  <c r="AO83" i="2"/>
  <c r="AO248" i="2"/>
  <c r="AO1581" i="2"/>
  <c r="AO1068" i="2"/>
  <c r="AO1098" i="2"/>
  <c r="AO1140" i="2"/>
  <c r="AO1400" i="2"/>
  <c r="AO1514" i="2"/>
  <c r="AO1412" i="2"/>
  <c r="AO403" i="2"/>
  <c r="AO305" i="2"/>
  <c r="AO476" i="2"/>
  <c r="AO1219" i="2"/>
  <c r="AO899" i="2"/>
  <c r="AO1183" i="2"/>
  <c r="AO1432" i="2"/>
  <c r="AO1520" i="2"/>
  <c r="AO1584" i="2"/>
  <c r="AO11" i="2"/>
  <c r="AO593" i="2"/>
  <c r="AO785" i="2"/>
  <c r="AO559" i="2"/>
  <c r="AO1123" i="2"/>
  <c r="AO1055" i="2"/>
  <c r="AO1420" i="2"/>
  <c r="AO1588" i="2"/>
  <c r="AO1144" i="2"/>
  <c r="AO845" i="2"/>
  <c r="AO1294" i="2"/>
  <c r="AO1414" i="2"/>
  <c r="AO1519" i="2"/>
  <c r="AO1553" i="2"/>
  <c r="AO1260" i="2"/>
  <c r="AO1527" i="2"/>
  <c r="AO1580" i="2"/>
  <c r="AO146" i="2"/>
  <c r="AO408" i="2"/>
  <c r="AO292" i="2"/>
  <c r="AO489" i="2"/>
  <c r="AO805" i="2"/>
  <c r="AO725" i="2"/>
  <c r="AO903" i="2"/>
  <c r="AO873" i="2"/>
  <c r="AO1143" i="2"/>
  <c r="AO1007" i="2"/>
  <c r="AO1239" i="2"/>
  <c r="AO1468" i="2"/>
  <c r="AO42" i="2"/>
  <c r="AO238" i="2"/>
  <c r="AO443" i="2"/>
  <c r="AO1516" i="2"/>
  <c r="AO1052" i="2"/>
  <c r="AO1086" i="2"/>
  <c r="AO1124" i="2"/>
  <c r="AO1172" i="2"/>
  <c r="AO1220" i="2"/>
  <c r="AO1383" i="2"/>
  <c r="AO1485" i="2"/>
  <c r="AO1507" i="2"/>
  <c r="AO1546" i="2"/>
  <c r="AO1396" i="2"/>
  <c r="AO47" i="2"/>
  <c r="AO106" i="2"/>
  <c r="AO320" i="2"/>
  <c r="AO385" i="2"/>
  <c r="AO513" i="2"/>
  <c r="AO1171" i="2"/>
  <c r="AO1139" i="2"/>
  <c r="AO309" i="2"/>
  <c r="AO372" i="2"/>
  <c r="AO697" i="2"/>
  <c r="AO561" i="2"/>
  <c r="AO569" i="2"/>
  <c r="AO705" i="2"/>
  <c r="AO880" i="2"/>
  <c r="AO1115" i="2"/>
  <c r="AO1083" i="2"/>
  <c r="AO1451" i="2"/>
  <c r="AO1031" i="2"/>
  <c r="AO1585" i="2"/>
  <c r="AO50" i="2"/>
  <c r="AO617" i="2"/>
  <c r="AO625" i="2"/>
  <c r="AO729" i="2"/>
  <c r="AO947" i="2"/>
  <c r="AO365" i="2"/>
  <c r="AO1166" i="2"/>
  <c r="AO809" i="2"/>
  <c r="AO1230" i="2"/>
  <c r="AO1270" i="2"/>
  <c r="AO1406" i="2"/>
  <c r="AO1549" i="2"/>
  <c r="AO1583" i="2"/>
  <c r="AO43" i="2"/>
  <c r="AO773" i="2"/>
  <c r="AO852" i="2"/>
  <c r="AO1127" i="2"/>
  <c r="AO1175" i="2"/>
  <c r="AO1459" i="2"/>
  <c r="AO1573" i="2"/>
  <c r="AO1411" i="2"/>
  <c r="AO1572" i="2"/>
  <c r="AO689" i="2"/>
  <c r="AO1080" i="2"/>
  <c r="AO1114" i="2"/>
  <c r="AO1216" i="2"/>
  <c r="AO1367" i="2"/>
  <c r="AO1448" i="2"/>
  <c r="AO86" i="2"/>
  <c r="AO79" i="2"/>
  <c r="AO456" i="2"/>
  <c r="AO537" i="2"/>
  <c r="AO857" i="2"/>
  <c r="AO1548" i="2"/>
  <c r="AO293" i="2"/>
  <c r="AO455" i="2"/>
  <c r="AO856" i="2"/>
  <c r="AO491" i="2"/>
  <c r="AO1231" i="2"/>
  <c r="AO1431" i="2"/>
  <c r="AO1496" i="2"/>
  <c r="AO1561" i="2"/>
  <c r="AO66" i="2"/>
  <c r="AO585" i="2"/>
  <c r="AO499" i="2"/>
  <c r="AO895" i="2"/>
  <c r="AO757" i="2"/>
  <c r="AO1192" i="2"/>
  <c r="AO1218" i="2"/>
  <c r="AO1254" i="2"/>
  <c r="AO1390" i="2"/>
  <c r="AO1499" i="2"/>
  <c r="AO1563" i="2"/>
  <c r="AO1272" i="2"/>
  <c r="AO119" i="2"/>
  <c r="AO300" i="2"/>
  <c r="AO341" i="2"/>
  <c r="AO721" i="2"/>
  <c r="AO575" i="2"/>
  <c r="AO571" i="2"/>
  <c r="AO589" i="2"/>
  <c r="AO931" i="2"/>
  <c r="AO27" i="2"/>
  <c r="AO629" i="2"/>
  <c r="AO1194" i="2"/>
  <c r="AO761" i="2"/>
  <c r="AO921" i="2"/>
  <c r="AO1415" i="2"/>
  <c r="AO1501" i="2"/>
  <c r="AO1530" i="2"/>
  <c r="AO1456" i="2"/>
  <c r="AO70" i="2"/>
  <c r="AO368" i="2"/>
  <c r="AO741" i="2"/>
  <c r="AO828" i="2"/>
  <c r="AO971" i="2"/>
  <c r="AO1023" i="2"/>
  <c r="AO1388" i="2"/>
  <c r="AO1423" i="2"/>
  <c r="AO1524" i="2"/>
  <c r="AO1063" i="2"/>
  <c r="AO633" i="2"/>
  <c r="AO210" i="2"/>
  <c r="AO605" i="2"/>
  <c r="AO869" i="2"/>
  <c r="AM1460" i="2"/>
  <c r="AM1641" i="2"/>
  <c r="AM1711" i="2"/>
  <c r="AM1598" i="2"/>
  <c r="AM1662" i="2"/>
  <c r="AM1726" i="2"/>
  <c r="AM1605" i="2"/>
  <c r="AM1733" i="2"/>
  <c r="AM1625" i="2"/>
  <c r="AM1697" i="2"/>
  <c r="AM1688" i="2"/>
  <c r="AM1610" i="2"/>
  <c r="AM1674" i="2"/>
  <c r="AM1646" i="2"/>
  <c r="AM1710" i="2"/>
  <c r="AM1701" i="2"/>
  <c r="AM1681" i="2"/>
  <c r="AM1680" i="2"/>
  <c r="AM1663" i="2"/>
  <c r="AM1594" i="2"/>
  <c r="AM1658" i="2"/>
  <c r="AM1722" i="2"/>
  <c r="AM1630" i="2"/>
  <c r="AM1694" i="2"/>
  <c r="AM1669" i="2"/>
  <c r="AM1617" i="2"/>
  <c r="AM1671" i="2"/>
  <c r="AM1632" i="2"/>
  <c r="AM1642" i="2"/>
  <c r="AM1706" i="2"/>
  <c r="AM1614" i="2"/>
  <c r="AM1678" i="2"/>
  <c r="AM1637" i="2"/>
  <c r="AM1672" i="2"/>
  <c r="AM1705" i="2"/>
  <c r="AM1626" i="2"/>
  <c r="AM1690" i="2"/>
  <c r="AM1645" i="2"/>
  <c r="AM1620" i="2"/>
  <c r="AM1652" i="2"/>
  <c r="AM1684" i="2"/>
  <c r="AM1716" i="2"/>
  <c r="AM1593" i="2"/>
  <c r="AM1648" i="2"/>
  <c r="AM1665" i="2"/>
  <c r="AM1727" i="2"/>
  <c r="AM1606" i="2"/>
  <c r="AM1670" i="2"/>
  <c r="AM1653" i="2"/>
  <c r="AM1713" i="2"/>
  <c r="AM1607" i="2"/>
  <c r="AM1695" i="2"/>
  <c r="AM1655" i="2"/>
  <c r="AM1599" i="2"/>
  <c r="AM1634" i="2"/>
  <c r="AM1698" i="2"/>
  <c r="AM1693" i="2"/>
  <c r="AM1603" i="2"/>
  <c r="AM1635" i="2"/>
  <c r="AM1667" i="2"/>
  <c r="AM1699" i="2"/>
  <c r="AM1731" i="2"/>
  <c r="AM1704" i="2"/>
  <c r="AM1703" i="2"/>
  <c r="AM1719" i="2"/>
  <c r="AM1673" i="2"/>
  <c r="AM1615" i="2"/>
  <c r="AM1613" i="2"/>
  <c r="AM1612" i="2"/>
  <c r="AM1644" i="2"/>
  <c r="AM1676" i="2"/>
  <c r="AM1708" i="2"/>
  <c r="AM1720" i="2"/>
  <c r="AM1647" i="2"/>
  <c r="AM1590" i="2"/>
  <c r="AM1654" i="2"/>
  <c r="AM1718" i="2"/>
  <c r="AM1621" i="2"/>
  <c r="AM1649" i="2"/>
  <c r="AM1689" i="2"/>
  <c r="AM1609" i="2"/>
  <c r="AM1696" i="2"/>
  <c r="AM1618" i="2"/>
  <c r="AM1682" i="2"/>
  <c r="AM1661" i="2"/>
  <c r="AM1595" i="2"/>
  <c r="AM1627" i="2"/>
  <c r="AM1659" i="2"/>
  <c r="AM1691" i="2"/>
  <c r="AM1723" i="2"/>
  <c r="AM1657" i="2"/>
  <c r="AM1601" i="2"/>
  <c r="AM1679" i="2"/>
  <c r="AM1592" i="2"/>
  <c r="AM1709" i="2"/>
  <c r="AM1604" i="2"/>
  <c r="AM1636" i="2"/>
  <c r="AM1668" i="2"/>
  <c r="AM1700" i="2"/>
  <c r="AM1732" i="2"/>
  <c r="AM1639" i="2"/>
  <c r="AM1623" i="2"/>
  <c r="AM1638" i="2"/>
  <c r="AM1702" i="2"/>
  <c r="AM1589" i="2"/>
  <c r="AM1717" i="2"/>
  <c r="AM1608" i="2"/>
  <c r="AM1633" i="2"/>
  <c r="AM1687" i="2"/>
  <c r="AM1602" i="2"/>
  <c r="AM1666" i="2"/>
  <c r="AM1730" i="2"/>
  <c r="AM1629" i="2"/>
  <c r="AM1619" i="2"/>
  <c r="AM1651" i="2"/>
  <c r="AM1683" i="2"/>
  <c r="AM1715" i="2"/>
  <c r="AM1712" i="2"/>
  <c r="AM1729" i="2"/>
  <c r="AM1656" i="2"/>
  <c r="AM1677" i="2"/>
  <c r="AM1596" i="2"/>
  <c r="AM1628" i="2"/>
  <c r="AM1660" i="2"/>
  <c r="AM1692" i="2"/>
  <c r="AM1724" i="2"/>
  <c r="AM1640" i="2"/>
  <c r="AM1591" i="2"/>
  <c r="AM1664" i="2"/>
  <c r="AM1622" i="2"/>
  <c r="AM1686" i="2"/>
  <c r="AM1685" i="2"/>
  <c r="AM1616" i="2"/>
  <c r="AM1728" i="2"/>
  <c r="AM1721" i="2"/>
  <c r="AM1650" i="2"/>
  <c r="AM1714" i="2"/>
  <c r="AM1597" i="2"/>
  <c r="AM1725" i="2"/>
  <c r="AM1611" i="2"/>
  <c r="AM1643" i="2"/>
  <c r="AM1675" i="2"/>
  <c r="AM1707" i="2"/>
  <c r="AM1600" i="2"/>
  <c r="AM1624" i="2"/>
  <c r="AM1631" i="2"/>
  <c r="AO2" i="2"/>
  <c r="AM41" i="2"/>
  <c r="AN104" i="2"/>
  <c r="AO342" i="2"/>
  <c r="AM438" i="2"/>
  <c r="AN750" i="2"/>
  <c r="AO742" i="2"/>
  <c r="AM1458" i="2"/>
  <c r="AN1579" i="2"/>
  <c r="AO1457" i="2"/>
  <c r="AM364" i="2"/>
  <c r="AN1092" i="2"/>
  <c r="AO959" i="2"/>
  <c r="AM366" i="2"/>
  <c r="AN724" i="2"/>
  <c r="AO1221" i="2"/>
  <c r="AM1097" i="2"/>
  <c r="AO1538" i="2"/>
  <c r="AO71" i="2"/>
  <c r="AM1283" i="2"/>
  <c r="AN1363" i="2"/>
  <c r="AO1137" i="2"/>
  <c r="AM648" i="2"/>
  <c r="AN888" i="2"/>
  <c r="AO933" i="2"/>
  <c r="AM1041" i="2"/>
  <c r="AN1125" i="2"/>
  <c r="AO1197" i="2"/>
  <c r="AM324" i="2"/>
  <c r="AN832" i="2"/>
  <c r="AO1167" i="2"/>
  <c r="AN229" i="2"/>
  <c r="AN165" i="2"/>
  <c r="AO359" i="2"/>
  <c r="AM720" i="2"/>
  <c r="AN835" i="2"/>
  <c r="AO1146" i="2"/>
  <c r="AM1222" i="2"/>
  <c r="AN981" i="2"/>
  <c r="AO1061" i="2"/>
  <c r="AM1245" i="2"/>
  <c r="AN1502" i="2"/>
  <c r="AO1425" i="2"/>
  <c r="AM1417" i="2"/>
  <c r="AM357" i="2"/>
  <c r="AO820" i="2"/>
  <c r="AM1169" i="2"/>
  <c r="AN81" i="2"/>
  <c r="AO243" i="2"/>
  <c r="AM382" i="2"/>
  <c r="AN711" i="2"/>
  <c r="AO950" i="2"/>
  <c r="AM1446" i="2"/>
  <c r="AN1001" i="2"/>
  <c r="AO1065" i="2"/>
  <c r="AM1225" i="2"/>
  <c r="AN1493" i="2"/>
  <c r="AO1209" i="2"/>
  <c r="AM1449" i="2"/>
  <c r="AN740" i="2"/>
  <c r="AO469" i="2"/>
  <c r="AM1198" i="2"/>
  <c r="AN1018" i="2"/>
  <c r="AO1278" i="2"/>
  <c r="AM426" i="2"/>
  <c r="AN842" i="2"/>
  <c r="AO354" i="2"/>
  <c r="AM683" i="2"/>
  <c r="AN218" i="2"/>
  <c r="AO414" i="2"/>
  <c r="AM144" i="2"/>
  <c r="AN843" i="2"/>
  <c r="AO786" i="2"/>
  <c r="AM406" i="2"/>
  <c r="AN490" i="2"/>
  <c r="AO663" i="2"/>
  <c r="AM1419" i="2"/>
  <c r="AN675" i="2"/>
  <c r="AO163" i="2"/>
  <c r="AM386" i="2"/>
  <c r="AN639" i="2"/>
  <c r="AO214" i="2"/>
  <c r="AM213" i="2"/>
  <c r="AN264" i="2"/>
  <c r="AO61" i="2"/>
  <c r="AM715" i="2"/>
  <c r="AN587" i="2"/>
  <c r="AO883" i="2"/>
  <c r="AM1099" i="2"/>
  <c r="AN65" i="2"/>
  <c r="AO116" i="2"/>
  <c r="AM422" i="2"/>
  <c r="AN458" i="2"/>
  <c r="AO814" i="2"/>
  <c r="AM1282" i="2"/>
  <c r="AN1369" i="2"/>
  <c r="AO1587" i="2"/>
  <c r="AM400" i="2"/>
  <c r="AN475" i="2"/>
  <c r="AO1204" i="2"/>
  <c r="AM37" i="2"/>
  <c r="AN374" i="2"/>
  <c r="AO558" i="2"/>
  <c r="AM1053" i="2"/>
  <c r="AN929" i="2"/>
  <c r="AN1506" i="2"/>
  <c r="AM416" i="2"/>
  <c r="AN812" i="2"/>
  <c r="AO1447" i="2"/>
  <c r="AM584" i="2"/>
  <c r="AN696" i="2"/>
  <c r="AO958" i="2"/>
  <c r="AM961" i="2"/>
  <c r="AN1073" i="2"/>
  <c r="AO1141" i="2"/>
  <c r="AM1433" i="2"/>
  <c r="AN337" i="2"/>
  <c r="AO1159" i="2"/>
  <c r="AM1526" i="2"/>
  <c r="AN93" i="2"/>
  <c r="AO181" i="2"/>
  <c r="AM466" i="2"/>
  <c r="AN735" i="2"/>
  <c r="AO870" i="2"/>
  <c r="AM770" i="2"/>
  <c r="AN889" i="2"/>
  <c r="AO1013" i="2"/>
  <c r="AM1145" i="2"/>
  <c r="AN1429" i="2"/>
  <c r="AO1509" i="2"/>
  <c r="AM1281" i="2"/>
  <c r="AN182" i="2"/>
  <c r="AO477" i="2"/>
  <c r="AM174" i="2"/>
  <c r="AN102" i="2"/>
  <c r="AO97" i="2"/>
  <c r="AM254" i="2"/>
  <c r="AN161" i="2"/>
  <c r="AO854" i="2"/>
  <c r="AM1366" i="2"/>
  <c r="AN925" i="2"/>
  <c r="AO1017" i="2"/>
  <c r="AM1149" i="2"/>
  <c r="AN1261" i="2"/>
  <c r="AO1522" i="2"/>
  <c r="AM1385" i="2"/>
  <c r="AM325" i="2"/>
  <c r="AO840" i="2"/>
  <c r="AM1070" i="2"/>
  <c r="AN1206" i="2"/>
  <c r="AO1178" i="2"/>
  <c r="AM379" i="2"/>
  <c r="AN1381" i="2"/>
  <c r="AO333" i="2"/>
  <c r="AM375" i="2"/>
  <c r="AN89" i="2"/>
  <c r="AO733" i="2"/>
  <c r="AM1574" i="2"/>
  <c r="AN304" i="2"/>
  <c r="AO474" i="2"/>
  <c r="AM858" i="2"/>
  <c r="AN553" i="2"/>
  <c r="AO69" i="2"/>
  <c r="AM603" i="2"/>
  <c r="AN965" i="2"/>
  <c r="AO1095" i="2"/>
  <c r="AM599" i="2"/>
  <c r="AN679" i="2"/>
  <c r="AO157" i="2"/>
  <c r="AM691" i="2"/>
  <c r="AO256" i="2"/>
  <c r="AO547" i="2"/>
  <c r="AM671" i="2"/>
  <c r="AN373" i="2"/>
  <c r="AO1536" i="2"/>
  <c r="AN21" i="2"/>
  <c r="AN322" i="2"/>
  <c r="AO189" i="2"/>
  <c r="AM774" i="2"/>
  <c r="AN897" i="2"/>
  <c r="AO429" i="2"/>
  <c r="AM53" i="2"/>
  <c r="AN148" i="2"/>
  <c r="AO209" i="2"/>
  <c r="AM450" i="2"/>
  <c r="AO794" i="2"/>
  <c r="AO1233" i="2"/>
  <c r="AM1393" i="2"/>
  <c r="AN1249" i="2"/>
  <c r="AO46" i="2"/>
  <c r="AM427" i="2"/>
  <c r="AN853" i="2"/>
  <c r="AO932" i="2"/>
  <c r="AM736" i="2"/>
  <c r="AN977" i="2"/>
  <c r="AO1005" i="2"/>
  <c r="AM1365" i="2"/>
  <c r="AN1550" i="2"/>
  <c r="AO194" i="2"/>
  <c r="AM1492" i="2"/>
  <c r="AN872" i="2"/>
  <c r="AO73" i="2"/>
  <c r="AM716" i="2"/>
  <c r="AN974" i="2"/>
  <c r="AO1370" i="2"/>
  <c r="AM1089" i="2"/>
  <c r="AN1173" i="2"/>
  <c r="AO1537" i="2"/>
  <c r="AM841" i="2"/>
  <c r="AN837" i="2"/>
  <c r="AO1043" i="2"/>
  <c r="AM108" i="2"/>
  <c r="AN266" i="2"/>
  <c r="AO177" i="2"/>
  <c r="AM568" i="2"/>
  <c r="AN1082" i="2"/>
  <c r="AO838" i="2"/>
  <c r="AM909" i="2"/>
  <c r="AN1029" i="2"/>
  <c r="AO1093" i="2"/>
  <c r="AM1474" i="2"/>
  <c r="AO1470" i="2"/>
  <c r="AM301" i="2"/>
  <c r="AN509" i="2"/>
  <c r="AO833" i="2"/>
  <c r="AM25" i="2"/>
  <c r="AN232" i="2"/>
  <c r="AO169" i="2"/>
  <c r="AM478" i="2"/>
  <c r="AN879" i="2"/>
  <c r="AO595" i="2"/>
  <c r="AM953" i="2"/>
  <c r="AN1033" i="2"/>
  <c r="AO1101" i="2"/>
  <c r="AM1445" i="2"/>
  <c r="AN1541" i="2"/>
  <c r="AO1441" i="2"/>
  <c r="AM352" i="2"/>
  <c r="AN541" i="2"/>
  <c r="AO247" i="2"/>
  <c r="AM1462" i="2"/>
  <c r="AN871" i="2"/>
  <c r="AO1186" i="2"/>
  <c r="AM1130" i="2"/>
  <c r="AM1312" i="2"/>
  <c r="AM1308" i="2"/>
  <c r="AM1325" i="2"/>
  <c r="AM1351" i="2"/>
  <c r="AM1310" i="2"/>
  <c r="AM1322" i="2"/>
  <c r="AM1335" i="2"/>
  <c r="AM1301" i="2"/>
  <c r="AM1353" i="2"/>
  <c r="AM1319" i="2"/>
  <c r="AM1327" i="2"/>
  <c r="AM1330" i="2"/>
  <c r="AM1303" i="2"/>
  <c r="AM1307" i="2"/>
  <c r="AM1329" i="2"/>
  <c r="AM1306" i="2"/>
  <c r="AM1320" i="2"/>
  <c r="AM1332" i="2"/>
  <c r="AM1304" i="2"/>
  <c r="AM1299" i="2"/>
  <c r="AM1300" i="2"/>
  <c r="AM1349" i="2"/>
  <c r="AM1321" i="2"/>
  <c r="AM1348" i="2"/>
  <c r="AM1309" i="2"/>
  <c r="AM1305" i="2"/>
  <c r="AM1341" i="2"/>
  <c r="AM1324" i="2"/>
  <c r="AM1347" i="2"/>
  <c r="AM1355" i="2"/>
  <c r="AM1345" i="2"/>
  <c r="AM1314" i="2"/>
  <c r="AM1352" i="2"/>
  <c r="AM1354" i="2"/>
  <c r="AM1297" i="2"/>
  <c r="AM1328" i="2"/>
  <c r="AM1350" i="2"/>
  <c r="AM1342" i="2"/>
  <c r="AM1302" i="2"/>
  <c r="AM1317" i="2"/>
  <c r="AM1361" i="2"/>
  <c r="AM1343" i="2"/>
  <c r="AM1326" i="2"/>
  <c r="AM1315" i="2"/>
  <c r="AM1356" i="2"/>
  <c r="AM1340" i="2"/>
  <c r="AM1358" i="2"/>
  <c r="AM1331" i="2"/>
  <c r="AM1338" i="2"/>
  <c r="AM1316" i="2"/>
  <c r="AM1337" i="2"/>
  <c r="AM1357" i="2"/>
  <c r="AM1344" i="2"/>
  <c r="AM1298" i="2"/>
  <c r="AM1334" i="2"/>
  <c r="AM1296" i="2"/>
  <c r="AM1318" i="2"/>
  <c r="AM1360" i="2"/>
  <c r="AM1323" i="2"/>
  <c r="AM1311" i="2"/>
  <c r="AM1339" i="2"/>
  <c r="AM1336" i="2"/>
  <c r="AM1313" i="2"/>
  <c r="AM1333" i="2"/>
  <c r="AM1346" i="2"/>
  <c r="AM1359" i="2"/>
  <c r="AN3" i="2"/>
  <c r="AN369" i="2"/>
  <c r="AN75" i="2"/>
  <c r="AN308" i="2"/>
  <c r="AN51" i="2"/>
  <c r="AN60" i="2"/>
  <c r="AN417" i="2"/>
  <c r="AN618" i="2"/>
  <c r="AN32" i="2"/>
  <c r="AN110" i="2"/>
  <c r="AN646" i="2"/>
  <c r="AN18" i="2"/>
  <c r="AN918" i="2"/>
  <c r="AN245" i="2"/>
  <c r="AN15" i="2"/>
  <c r="AN150" i="2"/>
  <c r="AN16" i="2"/>
  <c r="AN926" i="2"/>
  <c r="AN321" i="2"/>
  <c r="AN1452" i="2"/>
  <c r="AN30" i="2"/>
  <c r="AN4" i="2"/>
  <c r="AN199" i="2"/>
  <c r="AN1500" i="2"/>
  <c r="AN1469" i="2"/>
  <c r="AN1551" i="2"/>
  <c r="AN524" i="2"/>
  <c r="AN22" i="2"/>
  <c r="AN52" i="2"/>
  <c r="AN1199" i="2"/>
  <c r="AN979" i="2"/>
  <c r="AN1547" i="2"/>
  <c r="AN1012" i="2"/>
  <c r="AN6" i="2"/>
  <c r="AN44" i="2"/>
  <c r="AN167" i="2"/>
  <c r="AN332" i="2"/>
  <c r="AN1191" i="2"/>
  <c r="AN1255" i="2"/>
  <c r="AN1100" i="2"/>
  <c r="AN1196" i="2"/>
  <c r="AN1540" i="2"/>
  <c r="AN1253" i="2"/>
  <c r="AN1427" i="2"/>
  <c r="AN1387" i="2"/>
  <c r="AN760" i="2"/>
  <c r="AN24" i="2"/>
  <c r="AN54" i="2"/>
  <c r="AN7" i="2"/>
  <c r="AN58" i="2"/>
  <c r="AN1455" i="2"/>
  <c r="AN1176" i="2"/>
  <c r="AN1232" i="2"/>
  <c r="AN1128" i="2"/>
  <c r="AN963" i="2"/>
  <c r="AN1195" i="2"/>
  <c r="AN1504" i="2"/>
  <c r="AN860" i="2"/>
  <c r="AO49" i="2"/>
  <c r="AO136" i="2"/>
  <c r="AO286" i="2"/>
  <c r="AO128" i="2"/>
  <c r="AO598" i="2"/>
  <c r="AO56" i="2"/>
  <c r="AO159" i="2"/>
  <c r="AO124" i="2"/>
  <c r="AO486" i="2"/>
  <c r="AO682" i="2"/>
  <c r="AO550" i="2"/>
  <c r="AO766" i="2"/>
  <c r="AO778" i="2"/>
  <c r="AO944" i="2"/>
  <c r="AO152" i="2"/>
  <c r="AO274" i="2"/>
  <c r="AO484" i="2"/>
  <c r="AO678" i="2"/>
  <c r="AO310" i="2"/>
  <c r="AO714" i="2"/>
  <c r="AO1072" i="2"/>
  <c r="AO13" i="2"/>
  <c r="AO77" i="2"/>
  <c r="AO314" i="2"/>
  <c r="AO398" i="2"/>
  <c r="AO602" i="2"/>
  <c r="AO732" i="2"/>
  <c r="AO850" i="2"/>
  <c r="AO258" i="2"/>
  <c r="AO520" i="2"/>
  <c r="AO570" i="2"/>
  <c r="AO1096" i="2"/>
  <c r="AO195" i="2"/>
  <c r="AO85" i="2"/>
  <c r="AO428" i="2"/>
  <c r="AO482" i="2"/>
  <c r="AO666" i="2"/>
  <c r="AO863" i="2"/>
  <c r="AO101" i="2"/>
  <c r="AO442" i="2"/>
  <c r="AO940" i="2"/>
  <c r="AO127" i="2"/>
  <c r="AO262" i="2"/>
  <c r="AO532" i="2"/>
  <c r="AO658" i="2"/>
  <c r="AO746" i="2"/>
  <c r="AO123" i="2"/>
  <c r="AO160" i="2"/>
  <c r="AO250" i="2"/>
  <c r="AO702" i="2"/>
  <c r="AO502" i="2"/>
  <c r="AO1048" i="2"/>
  <c r="AO659" i="2"/>
  <c r="AO1475" i="2"/>
  <c r="AO1545" i="2"/>
  <c r="AO10" i="2"/>
  <c r="AO792" i="2"/>
  <c r="AO803" i="2"/>
  <c r="AO1000" i="2"/>
  <c r="AO1251" i="2"/>
  <c r="AO779" i="2"/>
  <c r="AO1118" i="2"/>
  <c r="AO1438" i="2"/>
  <c r="AO967" i="2"/>
  <c r="AO1203" i="2"/>
  <c r="AO975" i="2"/>
  <c r="AO1057" i="2"/>
  <c r="AO1373" i="2"/>
  <c r="AO14" i="2"/>
  <c r="AO556" i="2"/>
  <c r="AO642" i="2"/>
  <c r="AO334" i="2"/>
  <c r="AO686" i="2"/>
  <c r="AO1136" i="2"/>
  <c r="AO643" i="2"/>
  <c r="AO1491" i="2"/>
  <c r="AO1562" i="2"/>
  <c r="AO1586" i="2"/>
  <c r="AO62" i="2"/>
  <c r="AO237" i="2"/>
  <c r="AO789" i="2"/>
  <c r="AO906" i="2"/>
  <c r="AO821" i="2"/>
  <c r="AO1215" i="2"/>
  <c r="AO1236" i="2"/>
  <c r="AO130" i="2"/>
  <c r="AO485" i="2"/>
  <c r="AO849" i="2"/>
  <c r="AO1246" i="2"/>
  <c r="AO927" i="2"/>
  <c r="AO1107" i="2"/>
  <c r="AO1392" i="2"/>
  <c r="AO1047" i="2"/>
  <c r="AO645" i="2"/>
  <c r="AO688" i="2"/>
  <c r="AO1379" i="2"/>
  <c r="AO548" i="2"/>
  <c r="AO908" i="2"/>
  <c r="AO976" i="2"/>
  <c r="AO173" i="2"/>
  <c r="AO1168" i="2"/>
  <c r="AO579" i="2"/>
  <c r="AO917" i="2"/>
  <c r="AO1558" i="2"/>
  <c r="AO1269" i="2"/>
  <c r="AO153" i="2"/>
  <c r="AO133" i="2"/>
  <c r="AO744" i="2"/>
  <c r="AO930" i="2"/>
  <c r="AO1202" i="2"/>
  <c r="AO1439" i="2"/>
  <c r="AO649" i="2"/>
  <c r="AO1235" i="2"/>
  <c r="AO891" i="2"/>
  <c r="AO134" i="2"/>
  <c r="AO1476" i="2"/>
  <c r="AO1060" i="2"/>
  <c r="AO703" i="2"/>
  <c r="AO1224" i="2"/>
  <c r="AO1121" i="2"/>
  <c r="AO1525" i="2"/>
  <c r="AO1226" i="2"/>
  <c r="AO158" i="2"/>
  <c r="AO534" i="2"/>
  <c r="AO9" i="2"/>
  <c r="AO298" i="2"/>
  <c r="AO363" i="2"/>
  <c r="AO480" i="2"/>
  <c r="AO394" i="2"/>
  <c r="AO670" i="2"/>
  <c r="AO518" i="2"/>
  <c r="AO1020" i="2"/>
  <c r="AO851" i="2"/>
  <c r="AO154" i="2"/>
  <c r="AO118" i="2"/>
  <c r="AO141" i="2"/>
  <c r="AO1488" i="2"/>
  <c r="AO533" i="2"/>
  <c r="AO1119" i="2"/>
  <c r="AO620" i="2"/>
  <c r="AO1284" i="2"/>
  <c r="AO487" i="2"/>
  <c r="AO687" i="2"/>
  <c r="AO818" i="2"/>
  <c r="AO1518" i="2"/>
  <c r="AO1377" i="2"/>
  <c r="AO26" i="2"/>
  <c r="AO313" i="2"/>
  <c r="AO791" i="2"/>
  <c r="AO801" i="2"/>
  <c r="AO982" i="2"/>
  <c r="AO844" i="2"/>
  <c r="AO1214" i="2"/>
  <c r="AO653" i="2"/>
  <c r="AO580" i="2"/>
  <c r="AO997" i="2"/>
  <c r="AO1533" i="2"/>
  <c r="AO1555" i="2"/>
  <c r="AO303" i="2"/>
  <c r="AO800" i="2"/>
  <c r="AO1372" i="2"/>
  <c r="AO529" i="2"/>
  <c r="AO865" i="2"/>
  <c r="AO1569" i="2"/>
  <c r="AO463" i="2"/>
  <c r="AO704" i="2"/>
  <c r="AO1188" i="2"/>
  <c r="AO647" i="2"/>
  <c r="AO957" i="2"/>
  <c r="AO1487" i="2"/>
  <c r="AO361" i="2"/>
  <c r="AO1376" i="2"/>
  <c r="AO521" i="2"/>
  <c r="AO601" i="2"/>
  <c r="AO652" i="2"/>
  <c r="AO1135" i="2"/>
  <c r="AO1531" i="2"/>
  <c r="AO1565" i="2"/>
  <c r="AO1158" i="2"/>
  <c r="AO1268" i="2"/>
  <c r="AO718" i="2"/>
  <c r="AO764" i="2"/>
  <c r="AO939" i="2"/>
  <c r="AO1286" i="2"/>
  <c r="AO1030" i="2"/>
  <c r="AO665" i="2"/>
  <c r="AO636" i="2"/>
  <c r="AO1395" i="2"/>
  <c r="AO401" i="2"/>
  <c r="AO1122" i="2"/>
  <c r="AO1015" i="2"/>
  <c r="AO667" i="2"/>
  <c r="AO905" i="2"/>
  <c r="AO1465" i="2"/>
  <c r="AO1265" i="2"/>
  <c r="AO335" i="2"/>
  <c r="AO557" i="2"/>
  <c r="AO1375" i="2"/>
  <c r="AO1564" i="2"/>
  <c r="AO1179" i="2"/>
  <c r="AO481" i="2"/>
  <c r="AO998" i="2"/>
  <c r="AO583" i="2"/>
  <c r="AO941" i="2"/>
  <c r="AO121" i="2"/>
  <c r="AO287" i="2"/>
  <c r="AO549" i="2"/>
  <c r="AO877" i="2"/>
  <c r="AO1483" i="2"/>
  <c r="AO1568" i="2"/>
  <c r="AO1371" i="2"/>
  <c r="AO483" i="2"/>
  <c r="AO637" i="2"/>
  <c r="AO1059" i="2"/>
  <c r="AO942" i="2"/>
  <c r="AO19" i="2"/>
  <c r="AO1058" i="2"/>
  <c r="AO39" i="2"/>
  <c r="AO505" i="2"/>
  <c r="AO517" i="2"/>
  <c r="AO966" i="2"/>
  <c r="AO1075" i="2"/>
  <c r="AO692" i="2"/>
  <c r="AO1163" i="2"/>
  <c r="AO651" i="2"/>
  <c r="AO1517" i="2"/>
  <c r="AO1529" i="2"/>
  <c r="AO1521" i="2"/>
  <c r="AO1285" i="2"/>
  <c r="AO230" i="2"/>
  <c r="AO848" i="2"/>
  <c r="AO519" i="2"/>
  <c r="AO1287" i="2"/>
  <c r="AO1187" i="2"/>
  <c r="AO1440" i="2"/>
  <c r="AO954" i="2"/>
  <c r="AO644" i="2"/>
  <c r="AO780" i="2"/>
  <c r="AO1532" i="2"/>
  <c r="AO1378" i="2"/>
  <c r="AO1208" i="2"/>
  <c r="AO1539" i="2"/>
  <c r="AO1212" i="2"/>
  <c r="AO1486" i="2"/>
  <c r="AO125" i="2"/>
  <c r="AO129" i="2"/>
  <c r="AO784" i="2"/>
  <c r="AO1264" i="2"/>
  <c r="AO1450" i="2"/>
  <c r="AO1291" i="2"/>
  <c r="AO126" i="2"/>
  <c r="AO680" i="2"/>
  <c r="AO1443" i="2"/>
  <c r="AO581" i="2"/>
  <c r="AO1575" i="2"/>
  <c r="AO1444" i="2"/>
  <c r="AO793" i="2"/>
  <c r="AO504" i="2"/>
  <c r="AO804" i="2"/>
  <c r="AO551" i="2"/>
  <c r="AO999" i="2"/>
  <c r="AO943" i="2"/>
  <c r="AO1292" i="2"/>
  <c r="AO1019" i="2"/>
  <c r="AO907" i="2"/>
  <c r="AO693" i="2"/>
  <c r="AO802" i="2"/>
  <c r="AO1157" i="2"/>
  <c r="AO1497" i="2"/>
  <c r="AO415" i="2"/>
  <c r="AO765" i="2"/>
  <c r="AO539" i="2"/>
  <c r="AO1267" i="2"/>
  <c r="AO1442" i="2"/>
  <c r="AO12" i="2"/>
  <c r="AO1556" i="2"/>
  <c r="AO1567" i="2"/>
  <c r="AO142" i="2"/>
  <c r="AO1170" i="2"/>
  <c r="AO1571" i="2"/>
  <c r="AO1108" i="2"/>
  <c r="AO151" i="2"/>
  <c r="AO137" i="2"/>
  <c r="AO407" i="2"/>
  <c r="AO503" i="2"/>
  <c r="AO1250" i="2"/>
  <c r="AO1227" i="2"/>
  <c r="AO59" i="2"/>
  <c r="AO527" i="2"/>
  <c r="AO743" i="2"/>
  <c r="AO1384" i="2"/>
  <c r="AN323" i="2"/>
  <c r="AN912" i="2"/>
  <c r="AN435" i="2"/>
  <c r="AM525" i="2"/>
  <c r="AN41" i="2"/>
  <c r="AO104" i="2"/>
  <c r="AM390" i="2"/>
  <c r="AN438" i="2"/>
  <c r="AO750" i="2"/>
  <c r="AM1242" i="2"/>
  <c r="AN1458" i="2"/>
  <c r="AO1579" i="2"/>
  <c r="AM114" i="2"/>
  <c r="AN364" i="2"/>
  <c r="AO1092" i="2"/>
  <c r="AM759" i="2"/>
  <c r="AN366" i="2"/>
  <c r="AO724" i="2"/>
  <c r="AM1037" i="2"/>
  <c r="AN1097" i="2"/>
  <c r="AN1538" i="2"/>
  <c r="AM380" i="2"/>
  <c r="AN1283" i="2"/>
  <c r="AO1363" i="2"/>
  <c r="AM246" i="2"/>
  <c r="AN648" i="2"/>
  <c r="AO888" i="2"/>
  <c r="AM945" i="2"/>
  <c r="AN1041" i="2"/>
  <c r="AO1125" i="2"/>
  <c r="AM1205" i="2"/>
  <c r="AN324" i="2"/>
  <c r="AO832" i="2"/>
  <c r="AM1401" i="2"/>
  <c r="AM229" i="2"/>
  <c r="AO165" i="2"/>
  <c r="AM446" i="2"/>
  <c r="AN720" i="2"/>
  <c r="AO835" i="2"/>
  <c r="AM878" i="2"/>
  <c r="AN1222" i="2"/>
  <c r="AO981" i="2"/>
  <c r="AM1129" i="2"/>
  <c r="AN1245" i="2"/>
  <c r="AO1502" i="2"/>
  <c r="AM1534" i="2"/>
  <c r="AN1417" i="2"/>
  <c r="AO357" i="2"/>
  <c r="AM772" i="2"/>
  <c r="AN1169" i="2"/>
  <c r="AO81" i="2"/>
  <c r="AM231" i="2"/>
  <c r="AN382" i="2"/>
  <c r="AO711" i="2"/>
  <c r="AM822" i="2"/>
  <c r="AN1446" i="2"/>
  <c r="AO1001" i="2"/>
  <c r="AM1133" i="2"/>
  <c r="AN1225" i="2"/>
  <c r="AO1493" i="2"/>
  <c r="AM1542" i="2"/>
  <c r="AN1449" i="2"/>
  <c r="AO740" i="2"/>
  <c r="AM739" i="2"/>
  <c r="AO1198" i="2"/>
  <c r="AO1018" i="2"/>
  <c r="AM307" i="2"/>
  <c r="AN426" i="2"/>
  <c r="AO842" i="2"/>
  <c r="AM120" i="2"/>
  <c r="AN683" i="2"/>
  <c r="AO218" i="2"/>
  <c r="AM1201" i="2"/>
  <c r="AN144" i="2"/>
  <c r="AO843" i="2"/>
  <c r="AM1413" i="2"/>
  <c r="AN406" i="2"/>
  <c r="AO490" i="2"/>
  <c r="AM867" i="2"/>
  <c r="AN1419" i="2"/>
  <c r="AO675" i="2"/>
  <c r="AM467" i="2"/>
  <c r="AN386" i="2"/>
  <c r="AO639" i="2"/>
  <c r="AM685" i="2"/>
  <c r="AN213" i="2"/>
  <c r="AO264" i="2"/>
  <c r="AM294" i="2"/>
  <c r="AN715" i="2"/>
  <c r="AO587" i="2"/>
  <c r="AM244" i="2"/>
  <c r="AN1099" i="2"/>
  <c r="AO65" i="2"/>
  <c r="AM193" i="2"/>
  <c r="AN422" i="2"/>
  <c r="AO458" i="2"/>
  <c r="AM758" i="2"/>
  <c r="AN1282" i="2"/>
  <c r="AO1369" i="2"/>
  <c r="AM1490" i="2"/>
  <c r="AN400" i="2"/>
  <c r="AO475" i="2"/>
  <c r="AM737" i="2"/>
  <c r="AN37" i="2"/>
  <c r="AO374" i="2"/>
  <c r="AM989" i="2"/>
  <c r="AN1053" i="2"/>
  <c r="AO929" i="2"/>
  <c r="AM166" i="2"/>
  <c r="AN416" i="2"/>
  <c r="AO812" i="2"/>
  <c r="AM1185" i="2"/>
  <c r="AN584" i="2"/>
  <c r="AO696" i="2"/>
  <c r="AM1234" i="2"/>
  <c r="AN961" i="2"/>
  <c r="AO1073" i="2"/>
  <c r="AM1421" i="2"/>
  <c r="AN1433" i="2"/>
  <c r="AO337" i="2"/>
  <c r="AM1035" i="2"/>
  <c r="AN1526" i="2"/>
  <c r="AO93" i="2"/>
  <c r="AM29" i="2"/>
  <c r="AN466" i="2"/>
  <c r="AO735" i="2"/>
  <c r="AM726" i="2"/>
  <c r="AN770" i="2"/>
  <c r="AO889" i="2"/>
  <c r="AM1077" i="2"/>
  <c r="AN1145" i="2"/>
  <c r="AO1429" i="2"/>
  <c r="AM1454" i="2"/>
  <c r="AN1281" i="2"/>
  <c r="AO182" i="2"/>
  <c r="AM816" i="2"/>
  <c r="AN174" i="2"/>
  <c r="AO102" i="2"/>
  <c r="AN5" i="2"/>
  <c r="AN254" i="2"/>
  <c r="AO161" i="2"/>
  <c r="AM1190" i="2"/>
  <c r="AN1366" i="2"/>
  <c r="AO925" i="2"/>
  <c r="AM1081" i="2"/>
  <c r="AN1149" i="2"/>
  <c r="AO1261" i="2"/>
  <c r="AM1257" i="2"/>
  <c r="AN1385" i="2"/>
  <c r="AO325" i="2"/>
  <c r="AM752" i="2"/>
  <c r="AN1070" i="2"/>
  <c r="AO1206" i="2"/>
  <c r="AM1374" i="2"/>
  <c r="AN379" i="2"/>
  <c r="AO1381" i="2"/>
  <c r="AM290" i="2"/>
  <c r="AN375" i="2"/>
  <c r="AO89" i="2"/>
  <c r="AM635" i="2"/>
  <c r="AN1574" i="2"/>
  <c r="AO304" i="2"/>
  <c r="AM402" i="2"/>
  <c r="AO858" i="2"/>
  <c r="AO553" i="2"/>
  <c r="AM514" i="2"/>
  <c r="AN603" i="2"/>
  <c r="AO965" i="2"/>
  <c r="AM418" i="2"/>
  <c r="AN599" i="2"/>
  <c r="AO679" i="2"/>
  <c r="AM346" i="2"/>
  <c r="AN691" i="2"/>
  <c r="AN256" i="2"/>
  <c r="AM591" i="2"/>
  <c r="AN671" i="2"/>
  <c r="AO373" i="2"/>
  <c r="AM913" i="2"/>
  <c r="AM21" i="2"/>
  <c r="AO322" i="2"/>
  <c r="AM719" i="2"/>
  <c r="AN774" i="2"/>
  <c r="AO897" i="2"/>
  <c r="AM280" i="2"/>
  <c r="AN53" i="2"/>
  <c r="AO148" i="2"/>
  <c r="AM506" i="2"/>
  <c r="AN450" i="2"/>
  <c r="AN794" i="2"/>
  <c r="AM893" i="2"/>
  <c r="AN1393" i="2"/>
  <c r="AO1249" i="2"/>
  <c r="AM312" i="2"/>
  <c r="AN427" i="2"/>
  <c r="AO853" i="2"/>
  <c r="AM225" i="2"/>
  <c r="AN736" i="2"/>
  <c r="AO977" i="2"/>
  <c r="AM1069" i="2"/>
  <c r="AN1365" i="2"/>
  <c r="AO1550" i="2"/>
  <c r="AN1492" i="2"/>
  <c r="AO872" i="2"/>
  <c r="AM616" i="2"/>
  <c r="AN716" i="2"/>
  <c r="AO974" i="2"/>
  <c r="AM1009" i="2"/>
  <c r="AN1089" i="2"/>
  <c r="AO1173" i="2"/>
  <c r="AM1554" i="2"/>
  <c r="AN841" i="2"/>
  <c r="AO837" i="2"/>
  <c r="AM164" i="2"/>
  <c r="AN108" i="2"/>
  <c r="AO266" i="2"/>
  <c r="AM566" i="2"/>
  <c r="AN568" i="2"/>
  <c r="AO1082" i="2"/>
  <c r="AM969" i="2"/>
  <c r="AN909" i="2"/>
  <c r="AO1029" i="2"/>
  <c r="AM1161" i="2"/>
  <c r="AN1474" i="2"/>
  <c r="AO1515" i="2"/>
  <c r="AM1510" i="2"/>
  <c r="AN301" i="2"/>
  <c r="AO509" i="2"/>
  <c r="AM149" i="2"/>
  <c r="AN25" i="2"/>
  <c r="AO232" i="2"/>
  <c r="AM270" i="2"/>
  <c r="AN478" i="2"/>
  <c r="AO879" i="2"/>
  <c r="AM1398" i="2"/>
  <c r="AN953" i="2"/>
  <c r="AO1033" i="2"/>
  <c r="AM1165" i="2"/>
  <c r="AN1445" i="2"/>
  <c r="AO1541" i="2"/>
  <c r="AM1237" i="2"/>
  <c r="AO541" i="2"/>
  <c r="AN1462" i="2"/>
  <c r="AO871" i="2"/>
  <c r="AM859" i="2"/>
  <c r="AM323" i="2"/>
  <c r="G8" i="3" s="1"/>
  <c r="AM912" i="2"/>
  <c r="AM435" i="2"/>
  <c r="AO350" i="2"/>
  <c r="AO318" i="2"/>
  <c r="AM410" i="2"/>
  <c r="AO242" i="2"/>
  <c r="AO206" i="2"/>
  <c r="AO434" i="2"/>
  <c r="AO496" i="2"/>
  <c r="AO205" i="2"/>
  <c r="AO131" i="2"/>
  <c r="AO221" i="2"/>
  <c r="AO1113" i="2"/>
  <c r="AO790" i="2"/>
  <c r="AO323" i="2"/>
  <c r="AO912" i="2"/>
  <c r="AO435" i="2"/>
  <c r="AN314" i="2"/>
  <c r="AN428" i="2"/>
  <c r="AN482" i="2"/>
  <c r="AN682" i="2"/>
  <c r="AN863" i="2"/>
  <c r="AN778" i="2"/>
  <c r="AN570" i="2"/>
  <c r="AN714" i="2"/>
  <c r="AN940" i="2"/>
  <c r="AN127" i="2"/>
  <c r="AN49" i="2"/>
  <c r="AN136" i="2"/>
  <c r="AN286" i="2"/>
  <c r="AN101" i="2"/>
  <c r="AN442" i="2"/>
  <c r="AN598" i="2"/>
  <c r="AN56" i="2"/>
  <c r="AN159" i="2"/>
  <c r="AN124" i="2"/>
  <c r="AN486" i="2"/>
  <c r="AN666" i="2"/>
  <c r="AN550" i="2"/>
  <c r="AN766" i="2"/>
  <c r="AN944" i="2"/>
  <c r="AN152" i="2"/>
  <c r="AN274" i="2"/>
  <c r="AN484" i="2"/>
  <c r="AN678" i="2"/>
  <c r="AN310" i="2"/>
  <c r="AN1072" i="2"/>
  <c r="AN13" i="2"/>
  <c r="AN77" i="2"/>
  <c r="AN398" i="2"/>
  <c r="AN602" i="2"/>
  <c r="AN732" i="2"/>
  <c r="AN850" i="2"/>
  <c r="AN128" i="2"/>
  <c r="AN258" i="2"/>
  <c r="AN520" i="2"/>
  <c r="AN1096" i="2"/>
  <c r="AN195" i="2"/>
  <c r="AN85" i="2"/>
  <c r="AN534" i="2"/>
  <c r="AN9" i="2"/>
  <c r="AN298" i="2"/>
  <c r="AN363" i="2"/>
  <c r="AN480" i="2"/>
  <c r="AN394" i="2"/>
  <c r="AN670" i="2"/>
  <c r="AN518" i="2"/>
  <c r="AN1020" i="2"/>
  <c r="AN851" i="2"/>
  <c r="AN118" i="2"/>
  <c r="AN133" i="2"/>
  <c r="AN141" i="2"/>
  <c r="AN533" i="2"/>
  <c r="AN1119" i="2"/>
  <c r="AN620" i="2"/>
  <c r="AN1284" i="2"/>
  <c r="AN487" i="2"/>
  <c r="AN687" i="2"/>
  <c r="AN818" i="2"/>
  <c r="AN1518" i="2"/>
  <c r="AN1377" i="2"/>
  <c r="AN26" i="2"/>
  <c r="AN313" i="2"/>
  <c r="AN262" i="2"/>
  <c r="AN532" i="2"/>
  <c r="AN658" i="2"/>
  <c r="AN123" i="2"/>
  <c r="AN160" i="2"/>
  <c r="AN250" i="2"/>
  <c r="AN702" i="2"/>
  <c r="AN502" i="2"/>
  <c r="AN1048" i="2"/>
  <c r="AN659" i="2"/>
  <c r="AN1475" i="2"/>
  <c r="AN1545" i="2"/>
  <c r="AN10" i="2"/>
  <c r="AN154" i="2"/>
  <c r="AN792" i="2"/>
  <c r="AN803" i="2"/>
  <c r="AN1000" i="2"/>
  <c r="AN1251" i="2"/>
  <c r="AN779" i="2"/>
  <c r="AN1488" i="2"/>
  <c r="AN1118" i="2"/>
  <c r="AN1438" i="2"/>
  <c r="AN967" i="2"/>
  <c r="AN1203" i="2"/>
  <c r="AN975" i="2"/>
  <c r="AN1057" i="2"/>
  <c r="AN1373" i="2"/>
  <c r="AN14" i="2"/>
  <c r="AN556" i="2"/>
  <c r="AN642" i="2"/>
  <c r="AN334" i="2"/>
  <c r="AN686" i="2"/>
  <c r="AN1136" i="2"/>
  <c r="AN643" i="2"/>
  <c r="AN1491" i="2"/>
  <c r="AN1562" i="2"/>
  <c r="AN1586" i="2"/>
  <c r="AN62" i="2"/>
  <c r="AN237" i="2"/>
  <c r="AN789" i="2"/>
  <c r="AN906" i="2"/>
  <c r="AN821" i="2"/>
  <c r="AN1215" i="2"/>
  <c r="AN1236" i="2"/>
  <c r="AN130" i="2"/>
  <c r="AN849" i="2"/>
  <c r="AN1246" i="2"/>
  <c r="AN927" i="2"/>
  <c r="AN1107" i="2"/>
  <c r="AN1047" i="2"/>
  <c r="AN645" i="2"/>
  <c r="AN688" i="2"/>
  <c r="AN1379" i="2"/>
  <c r="AN548" i="2"/>
  <c r="AN746" i="2"/>
  <c r="AN908" i="2"/>
  <c r="AN976" i="2"/>
  <c r="AN173" i="2"/>
  <c r="AN1168" i="2"/>
  <c r="AN579" i="2"/>
  <c r="AN917" i="2"/>
  <c r="AN1558" i="2"/>
  <c r="AN1269" i="2"/>
  <c r="AN153" i="2"/>
  <c r="AN744" i="2"/>
  <c r="AN930" i="2"/>
  <c r="AN1202" i="2"/>
  <c r="AN1439" i="2"/>
  <c r="AN649" i="2"/>
  <c r="AN485" i="2"/>
  <c r="AN1235" i="2"/>
  <c r="AN891" i="2"/>
  <c r="AN1392" i="2"/>
  <c r="AN134" i="2"/>
  <c r="AN1476" i="2"/>
  <c r="AN1060" i="2"/>
  <c r="AN703" i="2"/>
  <c r="AN1224" i="2"/>
  <c r="AN1121" i="2"/>
  <c r="AN1525" i="2"/>
  <c r="AN1226" i="2"/>
  <c r="AN158" i="2"/>
  <c r="AN793" i="2"/>
  <c r="AN517" i="2"/>
  <c r="AN504" i="2"/>
  <c r="AN804" i="2"/>
  <c r="AN551" i="2"/>
  <c r="AN999" i="2"/>
  <c r="AN943" i="2"/>
  <c r="AN1019" i="2"/>
  <c r="AN907" i="2"/>
  <c r="AN693" i="2"/>
  <c r="AN802" i="2"/>
  <c r="AN1157" i="2"/>
  <c r="AN1497" i="2"/>
  <c r="AN415" i="2"/>
  <c r="AN765" i="2"/>
  <c r="AN539" i="2"/>
  <c r="AN1267" i="2"/>
  <c r="AN1442" i="2"/>
  <c r="AN12" i="2"/>
  <c r="AN1440" i="2"/>
  <c r="AN1556" i="2"/>
  <c r="AN1567" i="2"/>
  <c r="AN142" i="2"/>
  <c r="AN1532" i="2"/>
  <c r="AN1170" i="2"/>
  <c r="AN1571" i="2"/>
  <c r="AN1108" i="2"/>
  <c r="AN1212" i="2"/>
  <c r="AN151" i="2"/>
  <c r="AN137" i="2"/>
  <c r="AN407" i="2"/>
  <c r="AN503" i="2"/>
  <c r="AN1250" i="2"/>
  <c r="AN1264" i="2"/>
  <c r="AN1227" i="2"/>
  <c r="AN59" i="2"/>
  <c r="AN527" i="2"/>
  <c r="AN743" i="2"/>
  <c r="AN1384" i="2"/>
  <c r="AN791" i="2"/>
  <c r="AN801" i="2"/>
  <c r="AN982" i="2"/>
  <c r="AN844" i="2"/>
  <c r="AN1214" i="2"/>
  <c r="AN1292" i="2"/>
  <c r="AN653" i="2"/>
  <c r="AN580" i="2"/>
  <c r="AN997" i="2"/>
  <c r="AN1533" i="2"/>
  <c r="AN1555" i="2"/>
  <c r="AN303" i="2"/>
  <c r="AN800" i="2"/>
  <c r="AN529" i="2"/>
  <c r="AN865" i="2"/>
  <c r="AN1569" i="2"/>
  <c r="AN463" i="2"/>
  <c r="AN1378" i="2"/>
  <c r="AN704" i="2"/>
  <c r="AN1188" i="2"/>
  <c r="AN647" i="2"/>
  <c r="AN957" i="2"/>
  <c r="AN1487" i="2"/>
  <c r="AN521" i="2"/>
  <c r="AN652" i="2"/>
  <c r="AN1135" i="2"/>
  <c r="AN1531" i="2"/>
  <c r="AN1565" i="2"/>
  <c r="AN1268" i="2"/>
  <c r="AN718" i="2"/>
  <c r="AN764" i="2"/>
  <c r="AN939" i="2"/>
  <c r="AN1286" i="2"/>
  <c r="AN1030" i="2"/>
  <c r="AN665" i="2"/>
  <c r="AN636" i="2"/>
  <c r="AN1395" i="2"/>
  <c r="AN401" i="2"/>
  <c r="AN1122" i="2"/>
  <c r="AN1015" i="2"/>
  <c r="AN667" i="2"/>
  <c r="AN905" i="2"/>
  <c r="AN1465" i="2"/>
  <c r="AN1265" i="2"/>
  <c r="AN335" i="2"/>
  <c r="AN557" i="2"/>
  <c r="AN1375" i="2"/>
  <c r="AN1564" i="2"/>
  <c r="AN1372" i="2"/>
  <c r="AN1179" i="2"/>
  <c r="AN481" i="2"/>
  <c r="AN998" i="2"/>
  <c r="AN583" i="2"/>
  <c r="AN941" i="2"/>
  <c r="AN121" i="2"/>
  <c r="AN287" i="2"/>
  <c r="AN549" i="2"/>
  <c r="AN877" i="2"/>
  <c r="AN1376" i="2"/>
  <c r="AN1483" i="2"/>
  <c r="AN1371" i="2"/>
  <c r="AN483" i="2"/>
  <c r="AN637" i="2"/>
  <c r="AN1059" i="2"/>
  <c r="AN942" i="2"/>
  <c r="AN1158" i="2"/>
  <c r="AN19" i="2"/>
  <c r="AN1058" i="2"/>
  <c r="AN39" i="2"/>
  <c r="AN505" i="2"/>
  <c r="AN966" i="2"/>
  <c r="AN1075" i="2"/>
  <c r="AN692" i="2"/>
  <c r="AN1163" i="2"/>
  <c r="AN651" i="2"/>
  <c r="AN1517" i="2"/>
  <c r="AN1529" i="2"/>
  <c r="AN1521" i="2"/>
  <c r="AN1285" i="2"/>
  <c r="AN230" i="2"/>
  <c r="AN848" i="2"/>
  <c r="AN519" i="2"/>
  <c r="AN1287" i="2"/>
  <c r="AN1187" i="2"/>
  <c r="AN954" i="2"/>
  <c r="AN644" i="2"/>
  <c r="AN780" i="2"/>
  <c r="AN1208" i="2"/>
  <c r="AN1539" i="2"/>
  <c r="AN1486" i="2"/>
  <c r="AN125" i="2"/>
  <c r="AN129" i="2"/>
  <c r="AN784" i="2"/>
  <c r="AN361" i="2"/>
  <c r="AN1450" i="2"/>
  <c r="AN1568" i="2"/>
  <c r="AN1291" i="2"/>
  <c r="AN126" i="2"/>
  <c r="AN601" i="2"/>
  <c r="AN680" i="2"/>
  <c r="AN1443" i="2"/>
  <c r="AN581" i="2"/>
  <c r="AN1575" i="2"/>
  <c r="AN1444" i="2"/>
  <c r="AO1641" i="2"/>
  <c r="AO1711" i="2"/>
  <c r="AO1460" i="2"/>
  <c r="AO1630" i="2"/>
  <c r="AO1694" i="2"/>
  <c r="AO1669" i="2"/>
  <c r="AO1617" i="2"/>
  <c r="AO1671" i="2"/>
  <c r="AO1642" i="2"/>
  <c r="AO1706" i="2"/>
  <c r="AO1614" i="2"/>
  <c r="AO1678" i="2"/>
  <c r="AO1637" i="2"/>
  <c r="AO1672" i="2"/>
  <c r="AO1705" i="2"/>
  <c r="AO1632" i="2"/>
  <c r="AO1626" i="2"/>
  <c r="AO1690" i="2"/>
  <c r="AO1598" i="2"/>
  <c r="AO1662" i="2"/>
  <c r="AO1726" i="2"/>
  <c r="AO1605" i="2"/>
  <c r="AO1733" i="2"/>
  <c r="AO1625" i="2"/>
  <c r="AO1697" i="2"/>
  <c r="AO1688" i="2"/>
  <c r="AO1610" i="2"/>
  <c r="AO1674" i="2"/>
  <c r="AO1646" i="2"/>
  <c r="AO1710" i="2"/>
  <c r="AO1701" i="2"/>
  <c r="AO1681" i="2"/>
  <c r="AO1680" i="2"/>
  <c r="AO1663" i="2"/>
  <c r="AO1594" i="2"/>
  <c r="AO1658" i="2"/>
  <c r="AO1722" i="2"/>
  <c r="AO1709" i="2"/>
  <c r="AO1604" i="2"/>
  <c r="AO1636" i="2"/>
  <c r="AO1668" i="2"/>
  <c r="AO1700" i="2"/>
  <c r="AO1732" i="2"/>
  <c r="AO1639" i="2"/>
  <c r="AO1623" i="2"/>
  <c r="AO1638" i="2"/>
  <c r="AO1702" i="2"/>
  <c r="AO1589" i="2"/>
  <c r="AO1717" i="2"/>
  <c r="AO1608" i="2"/>
  <c r="AO1633" i="2"/>
  <c r="AO1696" i="2"/>
  <c r="AO1687" i="2"/>
  <c r="AO1602" i="2"/>
  <c r="AO1730" i="2"/>
  <c r="AO1629" i="2"/>
  <c r="AO1619" i="2"/>
  <c r="AO1651" i="2"/>
  <c r="AO1683" i="2"/>
  <c r="AO1715" i="2"/>
  <c r="AO1729" i="2"/>
  <c r="AO1656" i="2"/>
  <c r="AO1677" i="2"/>
  <c r="AO1596" i="2"/>
  <c r="AO1628" i="2"/>
  <c r="AO1660" i="2"/>
  <c r="AO1692" i="2"/>
  <c r="AO1724" i="2"/>
  <c r="AO1640" i="2"/>
  <c r="AO1591" i="2"/>
  <c r="AO1664" i="2"/>
  <c r="AO1622" i="2"/>
  <c r="AO1686" i="2"/>
  <c r="AO1685" i="2"/>
  <c r="AO1616" i="2"/>
  <c r="AO1728" i="2"/>
  <c r="AO1650" i="2"/>
  <c r="AO1666" i="2"/>
  <c r="AO1714" i="2"/>
  <c r="AO1597" i="2"/>
  <c r="AO1725" i="2"/>
  <c r="AO1611" i="2"/>
  <c r="AO1643" i="2"/>
  <c r="AO1675" i="2"/>
  <c r="AO1707" i="2"/>
  <c r="AO1712" i="2"/>
  <c r="AO1600" i="2"/>
  <c r="AO1624" i="2"/>
  <c r="AO1631" i="2"/>
  <c r="AO1645" i="2"/>
  <c r="AO1620" i="2"/>
  <c r="AO1652" i="2"/>
  <c r="AO1684" i="2"/>
  <c r="AO1716" i="2"/>
  <c r="AO1593" i="2"/>
  <c r="AO1665" i="2"/>
  <c r="AO1727" i="2"/>
  <c r="AO1606" i="2"/>
  <c r="AO1670" i="2"/>
  <c r="AO1653" i="2"/>
  <c r="AO1713" i="2"/>
  <c r="AO1607" i="2"/>
  <c r="AO1695" i="2"/>
  <c r="AO1655" i="2"/>
  <c r="AO1721" i="2"/>
  <c r="AO1599" i="2"/>
  <c r="AO1698" i="2"/>
  <c r="AO1693" i="2"/>
  <c r="AO1603" i="2"/>
  <c r="AO1635" i="2"/>
  <c r="AO1667" i="2"/>
  <c r="AO1699" i="2"/>
  <c r="AO1731" i="2"/>
  <c r="AO1704" i="2"/>
  <c r="AO1703" i="2"/>
  <c r="AO1719" i="2"/>
  <c r="AO1673" i="2"/>
  <c r="AO1615" i="2"/>
  <c r="AO1613" i="2"/>
  <c r="AO1612" i="2"/>
  <c r="AO1644" i="2"/>
  <c r="AO1676" i="2"/>
  <c r="AO1708" i="2"/>
  <c r="AO1648" i="2"/>
  <c r="AO1720" i="2"/>
  <c r="AO1647" i="2"/>
  <c r="AO1590" i="2"/>
  <c r="AO1654" i="2"/>
  <c r="AO1718" i="2"/>
  <c r="AO1621" i="2"/>
  <c r="AO1649" i="2"/>
  <c r="AO1689" i="2"/>
  <c r="AO1609" i="2"/>
  <c r="AO1618" i="2"/>
  <c r="AO1634" i="2"/>
  <c r="AO1682" i="2"/>
  <c r="AO1661" i="2"/>
  <c r="AO1595" i="2"/>
  <c r="AO1627" i="2"/>
  <c r="AO1659" i="2"/>
  <c r="AO1691" i="2"/>
  <c r="AO1723" i="2"/>
  <c r="AO1657" i="2"/>
  <c r="AO1601" i="2"/>
  <c r="AO1679" i="2"/>
  <c r="AO1592" i="2"/>
  <c r="AN147" i="2"/>
  <c r="AN315" i="2"/>
  <c r="AN355" i="2"/>
  <c r="AN656" i="2"/>
  <c r="AN763" i="2"/>
  <c r="AN207" i="2"/>
  <c r="AN436" i="2"/>
  <c r="AN179" i="2"/>
  <c r="AN203" i="2"/>
  <c r="AN204" i="2"/>
  <c r="AN257" i="2"/>
  <c r="AN347" i="2"/>
  <c r="AN472" i="2"/>
  <c r="AN544" i="2"/>
  <c r="AN650" i="2"/>
  <c r="AN916" i="2"/>
  <c r="AN956" i="2"/>
  <c r="AN996" i="2"/>
  <c r="AN168" i="2"/>
  <c r="AN241" i="2"/>
  <c r="AN492" i="2"/>
  <c r="AN421" i="2"/>
  <c r="AN796" i="2"/>
  <c r="AN1046" i="2"/>
  <c r="AN115" i="2"/>
  <c r="AN20" i="2"/>
  <c r="AN180" i="2"/>
  <c r="AN319" i="2"/>
  <c r="AN187" i="2"/>
  <c r="AN188" i="2"/>
  <c r="AN339" i="2"/>
  <c r="AN378" i="2"/>
  <c r="AN392" i="2"/>
  <c r="AN413" i="2"/>
  <c r="AN787" i="2"/>
  <c r="AN240" i="2"/>
  <c r="AN281" i="2"/>
  <c r="AN412" i="2"/>
  <c r="AN397" i="2"/>
  <c r="AN1112" i="2"/>
  <c r="AN233" i="2"/>
  <c r="AN171" i="2"/>
  <c r="AN172" i="2"/>
  <c r="AN275" i="2"/>
  <c r="AN440" i="2"/>
  <c r="AN528" i="2"/>
  <c r="AN393" i="2"/>
  <c r="AN634" i="2"/>
  <c r="AN470" i="2"/>
  <c r="AN771" i="2"/>
  <c r="AN1050" i="2"/>
  <c r="AN100" i="2"/>
  <c r="AN239" i="2"/>
  <c r="AN271" i="2"/>
  <c r="AN388" i="2"/>
  <c r="AN582" i="2"/>
  <c r="AN576" i="2"/>
  <c r="AN139" i="2"/>
  <c r="AN283" i="2"/>
  <c r="AN460" i="2"/>
  <c r="AN664" i="2"/>
  <c r="AN815" i="2"/>
  <c r="AN936" i="2"/>
  <c r="AN135" i="2"/>
  <c r="AN176" i="2"/>
  <c r="AN249" i="2"/>
  <c r="AN516" i="2"/>
  <c r="AN389" i="2"/>
  <c r="AN596" i="2"/>
  <c r="AN1290" i="2"/>
  <c r="AN1482" i="2"/>
  <c r="AN1557" i="2"/>
  <c r="AN1256" i="2"/>
  <c r="AN1437" i="2"/>
  <c r="AN99" i="2"/>
  <c r="AN1105" i="2"/>
  <c r="AN349" i="2"/>
  <c r="AN138" i="2"/>
  <c r="AN351" i="2"/>
  <c r="AN432" i="2"/>
  <c r="AN600" i="2"/>
  <c r="AN839" i="2"/>
  <c r="AN994" i="2"/>
  <c r="AN223" i="2"/>
  <c r="AN273" i="2"/>
  <c r="AN452" i="2"/>
  <c r="AN1200" i="2"/>
  <c r="AN861" i="2"/>
  <c r="AN1394" i="2"/>
  <c r="AN87" i="2"/>
  <c r="AN1223" i="2"/>
  <c r="AN1003" i="2"/>
  <c r="AN34" i="2"/>
  <c r="AN655" i="2"/>
  <c r="AN284" i="2"/>
  <c r="AN473" i="2"/>
  <c r="AN377" i="2"/>
  <c r="AN420" i="2"/>
  <c r="AN453" i="2"/>
  <c r="AN117" i="2"/>
  <c r="AN267" i="2"/>
  <c r="AN297" i="2"/>
  <c r="AN462" i="2"/>
  <c r="AN910" i="2"/>
  <c r="AN1002" i="2"/>
  <c r="AN1104" i="2"/>
  <c r="AN1289" i="2"/>
  <c r="AN1288" i="2"/>
  <c r="AN94" i="2"/>
  <c r="AN289" i="2"/>
  <c r="AN995" i="2"/>
  <c r="AN345" i="2"/>
  <c r="AN543" i="2"/>
  <c r="AN1106" i="2"/>
  <c r="AN776" i="2"/>
  <c r="AN993" i="2"/>
  <c r="AN1247" i="2"/>
  <c r="AN391" i="2"/>
  <c r="AN461" i="2"/>
  <c r="AN370" i="2"/>
  <c r="AN578" i="2"/>
  <c r="AN731" i="2"/>
  <c r="AN606" i="2"/>
  <c r="AN707" i="2"/>
  <c r="AN938" i="2"/>
  <c r="AN1578" i="2"/>
  <c r="AN356" i="2"/>
  <c r="AN222" i="2"/>
  <c r="AN1111" i="2"/>
  <c r="AN296" i="2"/>
  <c r="AN1576" i="2"/>
  <c r="AN95" i="2"/>
  <c r="AN423" i="2"/>
  <c r="AN1071" i="2"/>
  <c r="AN340" i="2"/>
  <c r="AN1160" i="2"/>
  <c r="AN777" i="2"/>
  <c r="AN1535" i="2"/>
  <c r="AN98" i="2"/>
  <c r="AN980" i="2"/>
  <c r="AN1131" i="2"/>
  <c r="AN186" i="2"/>
  <c r="AN451" i="2"/>
  <c r="AN641" i="2"/>
  <c r="AN1074" i="2"/>
  <c r="AN1156" i="2"/>
  <c r="AN657" i="2"/>
  <c r="AN669" i="2"/>
  <c r="AN1155" i="2"/>
  <c r="AN1435" i="2"/>
  <c r="AN535" i="2"/>
  <c r="AN459" i="2"/>
  <c r="AN471" i="2"/>
  <c r="AN862" i="2"/>
  <c r="AN1479" i="2"/>
  <c r="AN226" i="2"/>
  <c r="AN1280" i="2"/>
  <c r="AN1436" i="2"/>
  <c r="AN1480" i="2"/>
  <c r="AN1544" i="2"/>
  <c r="AN493" i="2"/>
  <c r="AN190" i="2"/>
  <c r="AN439" i="2"/>
  <c r="AN577" i="2"/>
  <c r="AN817" i="2"/>
  <c r="AN911" i="2"/>
  <c r="AN1508" i="2"/>
  <c r="AN531" i="2"/>
  <c r="AN597" i="2"/>
  <c r="AN437" i="2"/>
  <c r="AN709" i="2"/>
  <c r="AN495" i="2"/>
  <c r="AN973" i="2"/>
  <c r="AN78" i="2"/>
  <c r="AN252" i="2"/>
  <c r="AN360" i="2"/>
  <c r="AN1207" i="2"/>
  <c r="AN545" i="2"/>
  <c r="AN935" i="2"/>
  <c r="AN1577" i="2"/>
  <c r="AN1248" i="2"/>
  <c r="AN170" i="2"/>
  <c r="AN348" i="2"/>
  <c r="AN445" i="2"/>
  <c r="AN713" i="2"/>
  <c r="AN681" i="2"/>
  <c r="AN344" i="2"/>
  <c r="AN1162" i="2"/>
  <c r="AN530" i="2"/>
  <c r="AN1505" i="2"/>
  <c r="AN1380" i="2"/>
  <c r="AN90" i="2"/>
  <c r="AN276" i="2"/>
  <c r="AN441" i="2"/>
  <c r="AN1027" i="2"/>
  <c r="AN1103" i="2"/>
  <c r="AN701" i="2"/>
  <c r="AM245" i="2"/>
  <c r="AM15" i="2"/>
  <c r="AM150" i="2"/>
  <c r="AM16" i="2"/>
  <c r="AM3" i="2"/>
  <c r="AM369" i="2"/>
  <c r="AM75" i="2"/>
  <c r="AM308" i="2"/>
  <c r="AM51" i="2"/>
  <c r="AM60" i="2"/>
  <c r="AM417" i="2"/>
  <c r="AM618" i="2"/>
  <c r="AM32" i="2"/>
  <c r="AM110" i="2"/>
  <c r="AM646" i="2"/>
  <c r="AM18" i="2"/>
  <c r="AM918" i="2"/>
  <c r="AM1012" i="2"/>
  <c r="AM6" i="2"/>
  <c r="AM44" i="2"/>
  <c r="AM167" i="2"/>
  <c r="AM332" i="2"/>
  <c r="AM1191" i="2"/>
  <c r="AM1500" i="2"/>
  <c r="AM1255" i="2"/>
  <c r="AM1100" i="2"/>
  <c r="AM926" i="2"/>
  <c r="AM321" i="2"/>
  <c r="AM30" i="2"/>
  <c r="AM4" i="2"/>
  <c r="AM199" i="2"/>
  <c r="AM1196" i="2"/>
  <c r="AM1469" i="2"/>
  <c r="AM1551" i="2"/>
  <c r="AM524" i="2"/>
  <c r="AM22" i="2"/>
  <c r="AM52" i="2"/>
  <c r="AM1199" i="2"/>
  <c r="AM979" i="2"/>
  <c r="AM1452" i="2"/>
  <c r="AM1547" i="2"/>
  <c r="AM1128" i="2"/>
  <c r="AM963" i="2"/>
  <c r="AM1195" i="2"/>
  <c r="AM58" i="2"/>
  <c r="AM860" i="2"/>
  <c r="AM1540" i="2"/>
  <c r="AM1232" i="2"/>
  <c r="AM1253" i="2"/>
  <c r="AM1427" i="2"/>
  <c r="AM1387" i="2"/>
  <c r="AM760" i="2"/>
  <c r="AM24" i="2"/>
  <c r="AM1504" i="2"/>
  <c r="AM54" i="2"/>
  <c r="AM7" i="2"/>
  <c r="AM1455" i="2"/>
  <c r="AM1176" i="2"/>
  <c r="AM2" i="2"/>
  <c r="AN525" i="2"/>
  <c r="AO41" i="2"/>
  <c r="AM342" i="2"/>
  <c r="AN390" i="2"/>
  <c r="AO438" i="2"/>
  <c r="AM742" i="2"/>
  <c r="AN1242" i="2"/>
  <c r="AO1458" i="2"/>
  <c r="AM1457" i="2"/>
  <c r="AN114" i="2"/>
  <c r="AO364" i="2"/>
  <c r="AM959" i="2"/>
  <c r="AN759" i="2"/>
  <c r="AO366" i="2"/>
  <c r="AM1221" i="2"/>
  <c r="AN1037" i="2"/>
  <c r="AO1097" i="2"/>
  <c r="AM71" i="2"/>
  <c r="AN380" i="2"/>
  <c r="AO1283" i="2"/>
  <c r="AN1137" i="2"/>
  <c r="AN246" i="2"/>
  <c r="AO648" i="2"/>
  <c r="AM933" i="2"/>
  <c r="AN945" i="2"/>
  <c r="AO1041" i="2"/>
  <c r="AM1197" i="2"/>
  <c r="AN1205" i="2"/>
  <c r="AO324" i="2"/>
  <c r="AM1167" i="2"/>
  <c r="AN1401" i="2"/>
  <c r="AO229" i="2"/>
  <c r="AM359" i="2"/>
  <c r="AN446" i="2"/>
  <c r="AO720" i="2"/>
  <c r="AM1146" i="2"/>
  <c r="AN878" i="2"/>
  <c r="AO1222" i="2"/>
  <c r="AM1061" i="2"/>
  <c r="AN1129" i="2"/>
  <c r="AO1245" i="2"/>
  <c r="AM1425" i="2"/>
  <c r="AN1534" i="2"/>
  <c r="AO1417" i="2"/>
  <c r="AM820" i="2"/>
  <c r="AN772" i="2"/>
  <c r="AO1169" i="2"/>
  <c r="AM243" i="2"/>
  <c r="AN231" i="2"/>
  <c r="AO382" i="2"/>
  <c r="AM950" i="2"/>
  <c r="AN822" i="2"/>
  <c r="AO1446" i="2"/>
  <c r="AM1065" i="2"/>
  <c r="AN1133" i="2"/>
  <c r="AO1225" i="2"/>
  <c r="AM1209" i="2"/>
  <c r="AN1542" i="2"/>
  <c r="AO1449" i="2"/>
  <c r="AM469" i="2"/>
  <c r="AN739" i="2"/>
  <c r="AN1198" i="2"/>
  <c r="AM1278" i="2"/>
  <c r="AN307" i="2"/>
  <c r="AO426" i="2"/>
  <c r="AM354" i="2"/>
  <c r="AN120" i="2"/>
  <c r="AO683" i="2"/>
  <c r="AM414" i="2"/>
  <c r="AN1201" i="2"/>
  <c r="AO144" i="2"/>
  <c r="AM786" i="2"/>
  <c r="AN1413" i="2"/>
  <c r="AO406" i="2"/>
  <c r="AM663" i="2"/>
  <c r="AN867" i="2"/>
  <c r="AO1419" i="2"/>
  <c r="AM163" i="2"/>
  <c r="AN467" i="2"/>
  <c r="AO386" i="2"/>
  <c r="AM214" i="2"/>
  <c r="AN685" i="2"/>
  <c r="AO213" i="2"/>
  <c r="AM61" i="2"/>
  <c r="AN294" i="2"/>
  <c r="AO715" i="2"/>
  <c r="AM883" i="2"/>
  <c r="AN244" i="2"/>
  <c r="AO1099" i="2"/>
  <c r="AM116" i="2"/>
  <c r="AN193" i="2"/>
  <c r="AO422" i="2"/>
  <c r="AM814" i="2"/>
  <c r="AN758" i="2"/>
  <c r="AO1282" i="2"/>
  <c r="AM1587" i="2"/>
  <c r="AN1490" i="2"/>
  <c r="AO400" i="2"/>
  <c r="AM1204" i="2"/>
  <c r="AN737" i="2"/>
  <c r="AO37" i="2"/>
  <c r="AM558" i="2"/>
  <c r="AN989" i="2"/>
  <c r="AO1053" i="2"/>
  <c r="AM1506" i="2"/>
  <c r="AN166" i="2"/>
  <c r="AO416" i="2"/>
  <c r="AM1447" i="2"/>
  <c r="AN1185" i="2"/>
  <c r="AO584" i="2"/>
  <c r="AM958" i="2"/>
  <c r="AN1234" i="2"/>
  <c r="AO961" i="2"/>
  <c r="AM1141" i="2"/>
  <c r="AN1421" i="2"/>
  <c r="AO1433" i="2"/>
  <c r="AM1159" i="2"/>
  <c r="AN1035" i="2"/>
  <c r="AO1526" i="2"/>
  <c r="AM181" i="2"/>
  <c r="AN29" i="2"/>
  <c r="AO466" i="2"/>
  <c r="AM870" i="2"/>
  <c r="AN726" i="2"/>
  <c r="AO770" i="2"/>
  <c r="AM1013" i="2"/>
  <c r="AN1077" i="2"/>
  <c r="AO1145" i="2"/>
  <c r="AM1509" i="2"/>
  <c r="AN1454" i="2"/>
  <c r="AO1281" i="2"/>
  <c r="AM477" i="2"/>
  <c r="AN816" i="2"/>
  <c r="AO174" i="2"/>
  <c r="AM97" i="2"/>
  <c r="AM5" i="2"/>
  <c r="AO254" i="2"/>
  <c r="AM854" i="2"/>
  <c r="AN1190" i="2"/>
  <c r="AO1366" i="2"/>
  <c r="AM1017" i="2"/>
  <c r="AN1081" i="2"/>
  <c r="AO1149" i="2"/>
  <c r="AM1522" i="2"/>
  <c r="AN1257" i="2"/>
  <c r="AO1385" i="2"/>
  <c r="AM840" i="2"/>
  <c r="AN752" i="2"/>
  <c r="AO1070" i="2"/>
  <c r="AM1178" i="2"/>
  <c r="AN1374" i="2"/>
  <c r="AO379" i="2"/>
  <c r="AM333" i="2"/>
  <c r="AN290" i="2"/>
  <c r="AO375" i="2"/>
  <c r="AM733" i="2"/>
  <c r="AN635" i="2"/>
  <c r="AO1574" i="2"/>
  <c r="AM474" i="2"/>
  <c r="AN402" i="2"/>
  <c r="AN858" i="2"/>
  <c r="AN69" i="2"/>
  <c r="AN514" i="2"/>
  <c r="AO603" i="2"/>
  <c r="AM1095" i="2"/>
  <c r="AN418" i="2"/>
  <c r="AO599" i="2"/>
  <c r="AM157" i="2"/>
  <c r="AN346" i="2"/>
  <c r="AO691" i="2"/>
  <c r="AM547" i="2"/>
  <c r="AN591" i="2"/>
  <c r="AO671" i="2"/>
  <c r="AN1536" i="2"/>
  <c r="AN913" i="2"/>
  <c r="AO21" i="2"/>
  <c r="AM189" i="2"/>
  <c r="AN719" i="2"/>
  <c r="AO774" i="2"/>
  <c r="AM429" i="2"/>
  <c r="AN280" i="2"/>
  <c r="AO53" i="2"/>
  <c r="AM209" i="2"/>
  <c r="AN506" i="2"/>
  <c r="AO450" i="2"/>
  <c r="AM1233" i="2"/>
  <c r="AN893" i="2"/>
  <c r="AO1393" i="2"/>
  <c r="AM46" i="2"/>
  <c r="AN312" i="2"/>
  <c r="AO427" i="2"/>
  <c r="AM932" i="2"/>
  <c r="AN225" i="2"/>
  <c r="AO736" i="2"/>
  <c r="AM1005" i="2"/>
  <c r="AN1069" i="2"/>
  <c r="AO1365" i="2"/>
  <c r="AM194" i="2"/>
  <c r="AN376" i="2"/>
  <c r="AO1492" i="2"/>
  <c r="AM73" i="2"/>
  <c r="AN616" i="2"/>
  <c r="AO716" i="2"/>
  <c r="AM1370" i="2"/>
  <c r="AN1009" i="2"/>
  <c r="AO1089" i="2"/>
  <c r="AM1537" i="2"/>
  <c r="AN1554" i="2"/>
  <c r="AO841" i="2"/>
  <c r="AM1043" i="2"/>
  <c r="AN164" i="2"/>
  <c r="AO108" i="2"/>
  <c r="AM177" i="2"/>
  <c r="AN566" i="2"/>
  <c r="AO568" i="2"/>
  <c r="AM838" i="2"/>
  <c r="AN969" i="2"/>
  <c r="AO909" i="2"/>
  <c r="AM1093" i="2"/>
  <c r="AN1161" i="2"/>
  <c r="AO1474" i="2"/>
  <c r="AM1470" i="2"/>
  <c r="AN1510" i="2"/>
  <c r="AO301" i="2"/>
  <c r="AM833" i="2"/>
  <c r="AN149" i="2"/>
  <c r="AO25" i="2"/>
  <c r="AN270" i="2"/>
  <c r="AO478" i="2"/>
  <c r="AM595" i="2"/>
  <c r="AN1398" i="2"/>
  <c r="AO953" i="2"/>
  <c r="AM1101" i="2"/>
  <c r="AN1165" i="2"/>
  <c r="AO1445" i="2"/>
  <c r="AN1237" i="2"/>
  <c r="AO352" i="2"/>
  <c r="AM247" i="2"/>
  <c r="AN1102" i="2"/>
  <c r="AM1186" i="2"/>
  <c r="AN859" i="2"/>
  <c r="AO326" i="2"/>
  <c r="AO1389" i="2"/>
  <c r="AO1051" i="2"/>
  <c r="AO282" i="2"/>
  <c r="AO1045" i="2"/>
  <c r="AO433" i="2"/>
  <c r="AO132" i="2"/>
  <c r="AO1312" i="2"/>
  <c r="AO1308" i="2"/>
  <c r="AO1329" i="2"/>
  <c r="AO1306" i="2"/>
  <c r="AO1320" i="2"/>
  <c r="AO1332" i="2"/>
  <c r="AO1304" i="2"/>
  <c r="AO1299" i="2"/>
  <c r="AO1300" i="2"/>
  <c r="AO1349" i="2"/>
  <c r="AO1321" i="2"/>
  <c r="AO1348" i="2"/>
  <c r="AO1309" i="2"/>
  <c r="AO1305" i="2"/>
  <c r="AO1341" i="2"/>
  <c r="AO1325" i="2"/>
  <c r="AO1351" i="2"/>
  <c r="AO1310" i="2"/>
  <c r="AO1322" i="2"/>
  <c r="AO1335" i="2"/>
  <c r="AO1301" i="2"/>
  <c r="AO1353" i="2"/>
  <c r="AO1319" i="2"/>
  <c r="AO1327" i="2"/>
  <c r="AO1330" i="2"/>
  <c r="AO1303" i="2"/>
  <c r="AO1307" i="2"/>
  <c r="AO1315" i="2"/>
  <c r="AO1358" i="2"/>
  <c r="AO1331" i="2"/>
  <c r="AO1328" i="2"/>
  <c r="AO1338" i="2"/>
  <c r="AO1316" i="2"/>
  <c r="AO1337" i="2"/>
  <c r="AO1357" i="2"/>
  <c r="AO1298" i="2"/>
  <c r="AO1334" i="2"/>
  <c r="AO1356" i="2"/>
  <c r="AO1340" i="2"/>
  <c r="AO1318" i="2"/>
  <c r="AO1323" i="2"/>
  <c r="AO1311" i="2"/>
  <c r="AO1339" i="2"/>
  <c r="AO1336" i="2"/>
  <c r="AO1313" i="2"/>
  <c r="AO1333" i="2"/>
  <c r="AO1346" i="2"/>
  <c r="AO1359" i="2"/>
  <c r="AO1344" i="2"/>
  <c r="AO1347" i="2"/>
  <c r="AO1355" i="2"/>
  <c r="AO1345" i="2"/>
  <c r="AO1296" i="2"/>
  <c r="AO1360" i="2"/>
  <c r="AO1314" i="2"/>
  <c r="AO1352" i="2"/>
  <c r="AO1354" i="2"/>
  <c r="AO1324" i="2"/>
  <c r="AO1297" i="2"/>
  <c r="AO1350" i="2"/>
  <c r="AO1342" i="2"/>
  <c r="AO1302" i="2"/>
  <c r="AO1317" i="2"/>
  <c r="AO1361" i="2"/>
  <c r="AO1343" i="2"/>
  <c r="AO1326" i="2"/>
  <c r="AN1641" i="2"/>
  <c r="AN1711" i="2"/>
  <c r="AN1460" i="2"/>
  <c r="AN1646" i="2"/>
  <c r="AN1710" i="2"/>
  <c r="AN1701" i="2"/>
  <c r="AN1681" i="2"/>
  <c r="AN1680" i="2"/>
  <c r="AN1663" i="2"/>
  <c r="AN1594" i="2"/>
  <c r="AN1658" i="2"/>
  <c r="AN1722" i="2"/>
  <c r="AN1630" i="2"/>
  <c r="AN1694" i="2"/>
  <c r="AN1669" i="2"/>
  <c r="AN1617" i="2"/>
  <c r="AN1671" i="2"/>
  <c r="AN1642" i="2"/>
  <c r="AN1706" i="2"/>
  <c r="AN1614" i="2"/>
  <c r="AN1678" i="2"/>
  <c r="AN1637" i="2"/>
  <c r="AN1672" i="2"/>
  <c r="AN1705" i="2"/>
  <c r="AN1626" i="2"/>
  <c r="AN1690" i="2"/>
  <c r="AN1598" i="2"/>
  <c r="AN1662" i="2"/>
  <c r="AN1726" i="2"/>
  <c r="AN1605" i="2"/>
  <c r="AN1733" i="2"/>
  <c r="AN1625" i="2"/>
  <c r="AN1697" i="2"/>
  <c r="AN1632" i="2"/>
  <c r="AN1688" i="2"/>
  <c r="AN1610" i="2"/>
  <c r="AN1674" i="2"/>
  <c r="AN1613" i="2"/>
  <c r="AN1612" i="2"/>
  <c r="AN1644" i="2"/>
  <c r="AN1676" i="2"/>
  <c r="AN1708" i="2"/>
  <c r="AN1720" i="2"/>
  <c r="AN1647" i="2"/>
  <c r="AN1590" i="2"/>
  <c r="AN1654" i="2"/>
  <c r="AN1718" i="2"/>
  <c r="AN1621" i="2"/>
  <c r="AN1649" i="2"/>
  <c r="AN1689" i="2"/>
  <c r="AN1609" i="2"/>
  <c r="AN1618" i="2"/>
  <c r="AN1666" i="2"/>
  <c r="AN1682" i="2"/>
  <c r="AN1661" i="2"/>
  <c r="AN1595" i="2"/>
  <c r="AN1627" i="2"/>
  <c r="AN1659" i="2"/>
  <c r="AN1691" i="2"/>
  <c r="AN1723" i="2"/>
  <c r="AN1657" i="2"/>
  <c r="AN1601" i="2"/>
  <c r="AN1679" i="2"/>
  <c r="AN1592" i="2"/>
  <c r="AN1709" i="2"/>
  <c r="AN1604" i="2"/>
  <c r="AN1636" i="2"/>
  <c r="AN1668" i="2"/>
  <c r="AN1700" i="2"/>
  <c r="AN1732" i="2"/>
  <c r="AN1639" i="2"/>
  <c r="AN1648" i="2"/>
  <c r="AN1623" i="2"/>
  <c r="AN1638" i="2"/>
  <c r="AN1702" i="2"/>
  <c r="AN1589" i="2"/>
  <c r="AN1717" i="2"/>
  <c r="AN1608" i="2"/>
  <c r="AN1633" i="2"/>
  <c r="AN1687" i="2"/>
  <c r="AN1721" i="2"/>
  <c r="AN1602" i="2"/>
  <c r="AN1730" i="2"/>
  <c r="AN1629" i="2"/>
  <c r="AN1619" i="2"/>
  <c r="AN1651" i="2"/>
  <c r="AN1683" i="2"/>
  <c r="AN1715" i="2"/>
  <c r="AN1729" i="2"/>
  <c r="AN1656" i="2"/>
  <c r="AN1677" i="2"/>
  <c r="AN1596" i="2"/>
  <c r="AN1628" i="2"/>
  <c r="AN1660" i="2"/>
  <c r="AN1692" i="2"/>
  <c r="AN1724" i="2"/>
  <c r="AN1640" i="2"/>
  <c r="AN1591" i="2"/>
  <c r="AN1664" i="2"/>
  <c r="AN1622" i="2"/>
  <c r="AN1686" i="2"/>
  <c r="AN1685" i="2"/>
  <c r="AN1616" i="2"/>
  <c r="AN1728" i="2"/>
  <c r="AN1696" i="2"/>
  <c r="AN1634" i="2"/>
  <c r="AN1650" i="2"/>
  <c r="AN1714" i="2"/>
  <c r="AN1597" i="2"/>
  <c r="AN1725" i="2"/>
  <c r="AN1611" i="2"/>
  <c r="AN1643" i="2"/>
  <c r="AN1675" i="2"/>
  <c r="AN1707" i="2"/>
  <c r="AN1600" i="2"/>
  <c r="AN1624" i="2"/>
  <c r="AN1631" i="2"/>
  <c r="AN1645" i="2"/>
  <c r="AN1620" i="2"/>
  <c r="AN1652" i="2"/>
  <c r="AN1684" i="2"/>
  <c r="AN1716" i="2"/>
  <c r="AN1593" i="2"/>
  <c r="AN1665" i="2"/>
  <c r="AN1727" i="2"/>
  <c r="AN1606" i="2"/>
  <c r="AN1670" i="2"/>
  <c r="AN1653" i="2"/>
  <c r="AN1713" i="2"/>
  <c r="AN1607" i="2"/>
  <c r="AN1695" i="2"/>
  <c r="AN1655" i="2"/>
  <c r="AN1599" i="2"/>
  <c r="AN1698" i="2"/>
  <c r="AN1693" i="2"/>
  <c r="AN1603" i="2"/>
  <c r="AN1635" i="2"/>
  <c r="AN1667" i="2"/>
  <c r="AN1699" i="2"/>
  <c r="AN1731" i="2"/>
  <c r="AN1704" i="2"/>
  <c r="AN1703" i="2"/>
  <c r="AN1712" i="2"/>
  <c r="AN1719" i="2"/>
  <c r="AN1673" i="2"/>
  <c r="AN1615" i="2"/>
  <c r="AM171" i="2"/>
  <c r="AM172" i="2"/>
  <c r="AM275" i="2"/>
  <c r="AM392" i="2"/>
  <c r="AM440" i="2"/>
  <c r="AM528" i="2"/>
  <c r="AM393" i="2"/>
  <c r="AM634" i="2"/>
  <c r="AM470" i="2"/>
  <c r="AM771" i="2"/>
  <c r="AM1050" i="2"/>
  <c r="AM100" i="2"/>
  <c r="AM271" i="2"/>
  <c r="AM388" i="2"/>
  <c r="AM582" i="2"/>
  <c r="AM576" i="2"/>
  <c r="AM139" i="2"/>
  <c r="AM283" i="2"/>
  <c r="AM351" i="2"/>
  <c r="AM147" i="2"/>
  <c r="AM315" i="2"/>
  <c r="AM355" i="2"/>
  <c r="AM656" i="2"/>
  <c r="AM763" i="2"/>
  <c r="AM207" i="2"/>
  <c r="AM436" i="2"/>
  <c r="AM179" i="2"/>
  <c r="AM203" i="2"/>
  <c r="AM204" i="2"/>
  <c r="AM257" i="2"/>
  <c r="AM347" i="2"/>
  <c r="AM472" i="2"/>
  <c r="AM544" i="2"/>
  <c r="AM650" i="2"/>
  <c r="AM916" i="2"/>
  <c r="AM956" i="2"/>
  <c r="AM996" i="2"/>
  <c r="AM168" i="2"/>
  <c r="AM239" i="2"/>
  <c r="AM241" i="2"/>
  <c r="AM492" i="2"/>
  <c r="AM421" i="2"/>
  <c r="AM796" i="2"/>
  <c r="AM1046" i="2"/>
  <c r="AM115" i="2"/>
  <c r="AM20" i="2"/>
  <c r="AM180" i="2"/>
  <c r="AM319" i="2"/>
  <c r="AM187" i="2"/>
  <c r="AM188" i="2"/>
  <c r="AM339" i="2"/>
  <c r="AM378" i="2"/>
  <c r="AM413" i="2"/>
  <c r="AM787" i="2"/>
  <c r="AM240" i="2"/>
  <c r="AM281" i="2"/>
  <c r="AM412" i="2"/>
  <c r="AM397" i="2"/>
  <c r="AM1112" i="2"/>
  <c r="AM233" i="2"/>
  <c r="AM370" i="2"/>
  <c r="AM578" i="2"/>
  <c r="AM731" i="2"/>
  <c r="AM606" i="2"/>
  <c r="AM707" i="2"/>
  <c r="AM938" i="2"/>
  <c r="AM1200" i="2"/>
  <c r="AM1578" i="2"/>
  <c r="AM356" i="2"/>
  <c r="AM222" i="2"/>
  <c r="AM1111" i="2"/>
  <c r="AM296" i="2"/>
  <c r="AM1576" i="2"/>
  <c r="AM95" i="2"/>
  <c r="AM423" i="2"/>
  <c r="AM460" i="2"/>
  <c r="AM453" i="2"/>
  <c r="AM664" i="2"/>
  <c r="AM815" i="2"/>
  <c r="AM936" i="2"/>
  <c r="AM135" i="2"/>
  <c r="AM176" i="2"/>
  <c r="AM249" i="2"/>
  <c r="AM596" i="2"/>
  <c r="AM1290" i="2"/>
  <c r="AM1482" i="2"/>
  <c r="AM1557" i="2"/>
  <c r="AM1256" i="2"/>
  <c r="AM1437" i="2"/>
  <c r="AM99" i="2"/>
  <c r="AM1105" i="2"/>
  <c r="AM349" i="2"/>
  <c r="AM138" i="2"/>
  <c r="AM432" i="2"/>
  <c r="AM600" i="2"/>
  <c r="AM839" i="2"/>
  <c r="AM994" i="2"/>
  <c r="AM223" i="2"/>
  <c r="AM273" i="2"/>
  <c r="AM452" i="2"/>
  <c r="AM516" i="2"/>
  <c r="AM861" i="2"/>
  <c r="AM1394" i="2"/>
  <c r="AM87" i="2"/>
  <c r="AM1223" i="2"/>
  <c r="AM1003" i="2"/>
  <c r="AM34" i="2"/>
  <c r="AM655" i="2"/>
  <c r="AM284" i="2"/>
  <c r="AM473" i="2"/>
  <c r="AM377" i="2"/>
  <c r="AM420" i="2"/>
  <c r="AM117" i="2"/>
  <c r="AM267" i="2"/>
  <c r="AM297" i="2"/>
  <c r="AM389" i="2"/>
  <c r="AM462" i="2"/>
  <c r="AM910" i="2"/>
  <c r="AM1002" i="2"/>
  <c r="AM1104" i="2"/>
  <c r="AM1289" i="2"/>
  <c r="AM1288" i="2"/>
  <c r="AM94" i="2"/>
  <c r="AM289" i="2"/>
  <c r="AM995" i="2"/>
  <c r="AM345" i="2"/>
  <c r="AM543" i="2"/>
  <c r="AM1106" i="2"/>
  <c r="AM776" i="2"/>
  <c r="AM993" i="2"/>
  <c r="AM1247" i="2"/>
  <c r="AM391" i="2"/>
  <c r="AM461" i="2"/>
  <c r="AM545" i="2"/>
  <c r="AM935" i="2"/>
  <c r="AM1577" i="2"/>
  <c r="AM170" i="2"/>
  <c r="AM348" i="2"/>
  <c r="AM445" i="2"/>
  <c r="AM713" i="2"/>
  <c r="AM1280" i="2"/>
  <c r="AM1436" i="2"/>
  <c r="AM681" i="2"/>
  <c r="AM344" i="2"/>
  <c r="AM1162" i="2"/>
  <c r="AM530" i="2"/>
  <c r="AM1505" i="2"/>
  <c r="AM1380" i="2"/>
  <c r="AM90" i="2"/>
  <c r="AM360" i="2"/>
  <c r="AM276" i="2"/>
  <c r="AM441" i="2"/>
  <c r="AM1027" i="2"/>
  <c r="AM1103" i="2"/>
  <c r="AM701" i="2"/>
  <c r="AM1071" i="2"/>
  <c r="AM340" i="2"/>
  <c r="AM1160" i="2"/>
  <c r="AM777" i="2"/>
  <c r="AM1535" i="2"/>
  <c r="AM98" i="2"/>
  <c r="AM980" i="2"/>
  <c r="AM1131" i="2"/>
  <c r="AM451" i="2"/>
  <c r="AM641" i="2"/>
  <c r="AM1074" i="2"/>
  <c r="AM1156" i="2"/>
  <c r="AM657" i="2"/>
  <c r="AM669" i="2"/>
  <c r="AM1155" i="2"/>
  <c r="AM1435" i="2"/>
  <c r="AM535" i="2"/>
  <c r="AM459" i="2"/>
  <c r="AM471" i="2"/>
  <c r="AM862" i="2"/>
  <c r="AM1248" i="2"/>
  <c r="AM1479" i="2"/>
  <c r="AM226" i="2"/>
  <c r="AM1480" i="2"/>
  <c r="AM1544" i="2"/>
  <c r="AM493" i="2"/>
  <c r="AM190" i="2"/>
  <c r="AM439" i="2"/>
  <c r="AM577" i="2"/>
  <c r="AM817" i="2"/>
  <c r="AM911" i="2"/>
  <c r="AM1508" i="2"/>
  <c r="AM531" i="2"/>
  <c r="AM597" i="2"/>
  <c r="AM437" i="2"/>
  <c r="AM709" i="2"/>
  <c r="AM495" i="2"/>
  <c r="AM973" i="2"/>
  <c r="AM78" i="2"/>
  <c r="AM186" i="2"/>
  <c r="AM252" i="2"/>
  <c r="AM1207" i="2"/>
  <c r="AN1308" i="2"/>
  <c r="AN1312" i="2"/>
  <c r="AN1353" i="2"/>
  <c r="AN1319" i="2"/>
  <c r="AN1327" i="2"/>
  <c r="AN1330" i="2"/>
  <c r="AN1303" i="2"/>
  <c r="AN1307" i="2"/>
  <c r="AN1329" i="2"/>
  <c r="AN1306" i="2"/>
  <c r="AN1320" i="2"/>
  <c r="AN1332" i="2"/>
  <c r="AN1304" i="2"/>
  <c r="AN1299" i="2"/>
  <c r="AN1300" i="2"/>
  <c r="AN1349" i="2"/>
  <c r="AN1321" i="2"/>
  <c r="AN1348" i="2"/>
  <c r="AN1309" i="2"/>
  <c r="AN1305" i="2"/>
  <c r="AN1341" i="2"/>
  <c r="AN1325" i="2"/>
  <c r="AN1351" i="2"/>
  <c r="AN1310" i="2"/>
  <c r="AN1322" i="2"/>
  <c r="AN1335" i="2"/>
  <c r="AN1301" i="2"/>
  <c r="AN1297" i="2"/>
  <c r="AN1296" i="2"/>
  <c r="AN1350" i="2"/>
  <c r="AN1360" i="2"/>
  <c r="AN1342" i="2"/>
  <c r="AN1302" i="2"/>
  <c r="AN1317" i="2"/>
  <c r="AN1361" i="2"/>
  <c r="AN1343" i="2"/>
  <c r="AN1326" i="2"/>
  <c r="AN1315" i="2"/>
  <c r="AN1324" i="2"/>
  <c r="AN1358" i="2"/>
  <c r="AN1331" i="2"/>
  <c r="AN1338" i="2"/>
  <c r="AN1316" i="2"/>
  <c r="AN1337" i="2"/>
  <c r="AN1357" i="2"/>
  <c r="AN1298" i="2"/>
  <c r="AN1334" i="2"/>
  <c r="AN1318" i="2"/>
  <c r="AN1328" i="2"/>
  <c r="AN1323" i="2"/>
  <c r="AN1311" i="2"/>
  <c r="AN1339" i="2"/>
  <c r="AN1336" i="2"/>
  <c r="AN1313" i="2"/>
  <c r="AN1333" i="2"/>
  <c r="AN1346" i="2"/>
  <c r="AN1359" i="2"/>
  <c r="AN1347" i="2"/>
  <c r="AN1356" i="2"/>
  <c r="AN1355" i="2"/>
  <c r="AN1340" i="2"/>
  <c r="AN1345" i="2"/>
  <c r="AN1314" i="2"/>
  <c r="AN1352" i="2"/>
  <c r="AN1354" i="2"/>
  <c r="AN1344" i="2"/>
  <c r="AM64" i="2"/>
  <c r="AM564" i="2"/>
  <c r="AM728" i="2"/>
  <c r="AM819" i="2"/>
  <c r="AM748" i="2"/>
  <c r="AM934" i="2"/>
  <c r="AM968" i="2"/>
  <c r="AM1022" i="2"/>
  <c r="AM48" i="2"/>
  <c r="AM155" i="2"/>
  <c r="AM216" i="2"/>
  <c r="AM448" i="2"/>
  <c r="AM614" i="2"/>
  <c r="AM668" i="2"/>
  <c r="AM700" i="2"/>
  <c r="AM881" i="2"/>
  <c r="AM946" i="2"/>
  <c r="AM1004" i="2"/>
  <c r="AM1062" i="2"/>
  <c r="AM236" i="2"/>
  <c r="AM88" i="2"/>
  <c r="AM8" i="2"/>
  <c r="AM156" i="2"/>
  <c r="AM220" i="2"/>
  <c r="AM263" i="2"/>
  <c r="AM500" i="2"/>
  <c r="AM552" i="2"/>
  <c r="AM562" i="2"/>
  <c r="AM592" i="2"/>
  <c r="AM624" i="2"/>
  <c r="AM698" i="2"/>
  <c r="AM811" i="2"/>
  <c r="AM829" i="2"/>
  <c r="AM922" i="2"/>
  <c r="AM962" i="2"/>
  <c r="AM1010" i="2"/>
  <c r="AM1044" i="2"/>
  <c r="AM40" i="2"/>
  <c r="AM143" i="2"/>
  <c r="AM184" i="2"/>
  <c r="AM259" i="2"/>
  <c r="AM512" i="2"/>
  <c r="AM604" i="2"/>
  <c r="AM662" i="2"/>
  <c r="AM694" i="2"/>
  <c r="AM734" i="2"/>
  <c r="AM813" i="2"/>
  <c r="AM900" i="2"/>
  <c r="AM992" i="2"/>
  <c r="AM1056" i="2"/>
  <c r="AM1090" i="2"/>
  <c r="AM72" i="2"/>
  <c r="AM196" i="2"/>
  <c r="AM277" i="2"/>
  <c r="AM327" i="2"/>
  <c r="AM107" i="2"/>
  <c r="AM299" i="2"/>
  <c r="AM522" i="2"/>
  <c r="AM457" i="2"/>
  <c r="AM586" i="2"/>
  <c r="AM712" i="2"/>
  <c r="AM755" i="2"/>
  <c r="AM795" i="2"/>
  <c r="AM830" i="2"/>
  <c r="AM1034" i="2"/>
  <c r="AM80" i="2"/>
  <c r="AM109" i="2"/>
  <c r="AM191" i="2"/>
  <c r="AM295" i="2"/>
  <c r="AM336" i="2"/>
  <c r="AM424" i="2"/>
  <c r="AM684" i="2"/>
  <c r="AM890" i="2"/>
  <c r="AM928" i="2"/>
  <c r="AM970" i="2"/>
  <c r="AM1084" i="2"/>
  <c r="AM265" i="2"/>
  <c r="AM45" i="2"/>
  <c r="AM28" i="2"/>
  <c r="AM251" i="2"/>
  <c r="AM285" i="2"/>
  <c r="AM404" i="2"/>
  <c r="AM464" i="2"/>
  <c r="AM536" i="2"/>
  <c r="AM572" i="2"/>
  <c r="AM608" i="2"/>
  <c r="AM640" i="2"/>
  <c r="AM672" i="2"/>
  <c r="AM747" i="2"/>
  <c r="AM762" i="2"/>
  <c r="AM894" i="2"/>
  <c r="AM986" i="2"/>
  <c r="AM1028" i="2"/>
  <c r="AM68" i="2"/>
  <c r="AM103" i="2"/>
  <c r="AM175" i="2"/>
  <c r="AM588" i="2"/>
  <c r="AM630" i="2"/>
  <c r="AM749" i="2"/>
  <c r="AM886" i="2"/>
  <c r="AM952" i="2"/>
  <c r="AM1040" i="2"/>
  <c r="AM105" i="2"/>
  <c r="AM145" i="2"/>
  <c r="AM211" i="2"/>
  <c r="AM255" i="2"/>
  <c r="AM311" i="2"/>
  <c r="AM362" i="2"/>
  <c r="AM468" i="2"/>
  <c r="AM626" i="2"/>
  <c r="AM674" i="2"/>
  <c r="AM727" i="2"/>
  <c r="AM783" i="2"/>
  <c r="AM823" i="2"/>
  <c r="AM781" i="2"/>
  <c r="AM84" i="2"/>
  <c r="AM219" i="2"/>
  <c r="AM192" i="2"/>
  <c r="AM291" i="2"/>
  <c r="AM396" i="2"/>
  <c r="AM488" i="2"/>
  <c r="AM638" i="2"/>
  <c r="AM676" i="2"/>
  <c r="AM898" i="2"/>
  <c r="AM984" i="2"/>
  <c r="AM1032" i="2"/>
  <c r="AM1064" i="2"/>
  <c r="AM1126" i="2"/>
  <c r="AM745" i="2"/>
  <c r="AM1258" i="2"/>
  <c r="AM1362" i="2"/>
  <c r="AM1410" i="2"/>
  <c r="AM1467" i="2"/>
  <c r="AM1489" i="2"/>
  <c r="AM1273" i="2"/>
  <c r="AM1428" i="2"/>
  <c r="AM67" i="2"/>
  <c r="AM876" i="2"/>
  <c r="AM915" i="2"/>
  <c r="AM951" i="2"/>
  <c r="AM991" i="2"/>
  <c r="AM1016" i="2"/>
  <c r="AM316" i="2"/>
  <c r="AM717" i="2"/>
  <c r="AM511" i="2"/>
  <c r="AM788" i="2"/>
  <c r="AM1138" i="2"/>
  <c r="AM1244" i="2"/>
  <c r="AM1259" i="2"/>
  <c r="AM1408" i="2"/>
  <c r="AM387" i="2"/>
  <c r="AM202" i="2"/>
  <c r="AM328" i="2"/>
  <c r="AM329" i="2"/>
  <c r="AM540" i="2"/>
  <c r="AM425" i="2"/>
  <c r="AM610" i="2"/>
  <c r="AM775" i="2"/>
  <c r="AM902" i="2"/>
  <c r="AM1006" i="2"/>
  <c r="AM1042" i="2"/>
  <c r="AM36" i="2"/>
  <c r="AM76" i="2"/>
  <c r="AM215" i="2"/>
  <c r="AM279" i="2"/>
  <c r="AM574" i="2"/>
  <c r="AM628" i="2"/>
  <c r="AM710" i="2"/>
  <c r="AM722" i="2"/>
  <c r="AM892" i="2"/>
  <c r="AM978" i="2"/>
  <c r="AM1054" i="2"/>
  <c r="AM1120" i="2"/>
  <c r="AM1152" i="2"/>
  <c r="AM723" i="2"/>
  <c r="AM754" i="2"/>
  <c r="AM1402" i="2"/>
  <c r="AM1434" i="2"/>
  <c r="AM1416" i="2"/>
  <c r="AM1243" i="2"/>
  <c r="AM1495" i="2"/>
  <c r="AM1570" i="2"/>
  <c r="AM1424" i="2"/>
  <c r="AM23" i="2"/>
  <c r="AM555" i="2"/>
  <c r="AM864" i="2"/>
  <c r="AM730" i="2"/>
  <c r="AM948" i="2"/>
  <c r="AM987" i="2"/>
  <c r="AM1008" i="2"/>
  <c r="AM1275" i="2"/>
  <c r="AM1067" i="2"/>
  <c r="AM1391" i="2"/>
  <c r="AM1011" i="2"/>
  <c r="AM621" i="2"/>
  <c r="AM497" i="2"/>
  <c r="AM673" i="2"/>
  <c r="AM885" i="2"/>
  <c r="AM1039" i="2"/>
  <c r="AM1088" i="2"/>
  <c r="AM1132" i="2"/>
  <c r="AM1164" i="2"/>
  <c r="AM74" i="2"/>
  <c r="AM419" i="2"/>
  <c r="AM405" i="2"/>
  <c r="AM706" i="2"/>
  <c r="AM767" i="2"/>
  <c r="AM807" i="2"/>
  <c r="AM896" i="2"/>
  <c r="AM924" i="2"/>
  <c r="AM1036" i="2"/>
  <c r="AM96" i="2"/>
  <c r="AM353" i="2"/>
  <c r="AM590" i="2"/>
  <c r="AM622" i="2"/>
  <c r="AM660" i="2"/>
  <c r="AM887" i="2"/>
  <c r="AM920" i="2"/>
  <c r="AM972" i="2"/>
  <c r="AM1014" i="2"/>
  <c r="AM1110" i="2"/>
  <c r="AM1142" i="2"/>
  <c r="AM1184" i="2"/>
  <c r="AM1229" i="2"/>
  <c r="AM1274" i="2"/>
  <c r="AM1426" i="2"/>
  <c r="AM1295" i="2"/>
  <c r="AM1498" i="2"/>
  <c r="AM1481" i="2"/>
  <c r="AM1566" i="2"/>
  <c r="AM1211" i="2"/>
  <c r="AM268" i="2"/>
  <c r="AM399" i="2"/>
  <c r="AM465" i="2"/>
  <c r="AM964" i="2"/>
  <c r="AM923" i="2"/>
  <c r="AM983" i="2"/>
  <c r="AM1087" i="2"/>
  <c r="AM1484" i="2"/>
  <c r="AM178" i="2"/>
  <c r="AM447" i="2"/>
  <c r="AM501" i="2"/>
  <c r="AM479" i="2"/>
  <c r="AM609" i="2"/>
  <c r="AM613" i="2"/>
  <c r="AM1078" i="2"/>
  <c r="AM1116" i="2"/>
  <c r="AM1154" i="2"/>
  <c r="AM808" i="2"/>
  <c r="AM35" i="2"/>
  <c r="AM122" i="2"/>
  <c r="AM260" i="2"/>
  <c r="AM594" i="2"/>
  <c r="AM690" i="2"/>
  <c r="AM751" i="2"/>
  <c r="AM799" i="2"/>
  <c r="AM831" i="2"/>
  <c r="AM797" i="2"/>
  <c r="AM914" i="2"/>
  <c r="AM988" i="2"/>
  <c r="AM1026" i="2"/>
  <c r="AM92" i="2"/>
  <c r="AM111" i="2"/>
  <c r="AM183" i="2"/>
  <c r="AM235" i="2"/>
  <c r="AM208" i="2"/>
  <c r="AM261" i="2"/>
  <c r="AM444" i="2"/>
  <c r="AM508" i="2"/>
  <c r="AM409" i="2"/>
  <c r="AM612" i="2"/>
  <c r="AM654" i="2"/>
  <c r="AM882" i="2"/>
  <c r="AM960" i="2"/>
  <c r="AM1038" i="2"/>
  <c r="AM1174" i="2"/>
  <c r="AM825" i="2"/>
  <c r="AM1213" i="2"/>
  <c r="AM1266" i="2"/>
  <c r="AM1386" i="2"/>
  <c r="AM1418" i="2"/>
  <c r="AM1473" i="2"/>
  <c r="AM1513" i="2"/>
  <c r="AM1463" i="2"/>
  <c r="AM1560" i="2"/>
  <c r="AM395" i="2"/>
  <c r="AM753" i="2"/>
  <c r="AM1024" i="2"/>
  <c r="AM1079" i="2"/>
  <c r="AM1364" i="2"/>
  <c r="AM1147" i="2"/>
  <c r="AM384" i="2"/>
  <c r="AM1066" i="2"/>
  <c r="AM1148" i="2"/>
  <c r="AM1180" i="2"/>
  <c r="AM31" i="2"/>
  <c r="AM162" i="2"/>
  <c r="AM198" i="2"/>
  <c r="AM234" i="2"/>
  <c r="AM880" i="2"/>
  <c r="AM1115" i="2"/>
  <c r="AM1083" i="2"/>
  <c r="AM1451" i="2"/>
  <c r="AM1031" i="2"/>
  <c r="AM1585" i="2"/>
  <c r="AM50" i="2"/>
  <c r="AM617" i="2"/>
  <c r="AM625" i="2"/>
  <c r="AM729" i="2"/>
  <c r="AM947" i="2"/>
  <c r="AM365" i="2"/>
  <c r="AM1166" i="2"/>
  <c r="AM809" i="2"/>
  <c r="AM1230" i="2"/>
  <c r="AM1270" i="2"/>
  <c r="AM1406" i="2"/>
  <c r="AM1549" i="2"/>
  <c r="AM1583" i="2"/>
  <c r="AM43" i="2"/>
  <c r="AM773" i="2"/>
  <c r="AM852" i="2"/>
  <c r="AM1127" i="2"/>
  <c r="AM1175" i="2"/>
  <c r="AM1459" i="2"/>
  <c r="AM1573" i="2"/>
  <c r="AM1411" i="2"/>
  <c r="AM1572" i="2"/>
  <c r="AM689" i="2"/>
  <c r="AM1080" i="2"/>
  <c r="AM1114" i="2"/>
  <c r="AM1367" i="2"/>
  <c r="AM1448" i="2"/>
  <c r="AM1456" i="2"/>
  <c r="AM86" i="2"/>
  <c r="AM79" i="2"/>
  <c r="AM857" i="2"/>
  <c r="AM1388" i="2"/>
  <c r="AM633" i="2"/>
  <c r="AM293" i="2"/>
  <c r="AM455" i="2"/>
  <c r="AM856" i="2"/>
  <c r="AM491" i="2"/>
  <c r="AM756" i="2"/>
  <c r="AM1231" i="2"/>
  <c r="AM1431" i="2"/>
  <c r="AM1552" i="2"/>
  <c r="AM1496" i="2"/>
  <c r="AM1561" i="2"/>
  <c r="AM66" i="2"/>
  <c r="AM585" i="2"/>
  <c r="AM499" i="2"/>
  <c r="AM895" i="2"/>
  <c r="AM757" i="2"/>
  <c r="AM1192" i="2"/>
  <c r="AM1218" i="2"/>
  <c r="AM1254" i="2"/>
  <c r="AM1390" i="2"/>
  <c r="AM1499" i="2"/>
  <c r="AM1276" i="2"/>
  <c r="AM1563" i="2"/>
  <c r="AM1272" i="2"/>
  <c r="AM119" i="2"/>
  <c r="AM300" i="2"/>
  <c r="AM341" i="2"/>
  <c r="AM721" i="2"/>
  <c r="AM575" i="2"/>
  <c r="AM571" i="2"/>
  <c r="AM589" i="2"/>
  <c r="AM931" i="2"/>
  <c r="AM27" i="2"/>
  <c r="AM629" i="2"/>
  <c r="AM1194" i="2"/>
  <c r="AM761" i="2"/>
  <c r="AM921" i="2"/>
  <c r="AM1415" i="2"/>
  <c r="AM1501" i="2"/>
  <c r="AM1530" i="2"/>
  <c r="AM70" i="2"/>
  <c r="AM368" i="2"/>
  <c r="AM741" i="2"/>
  <c r="AM828" i="2"/>
  <c r="AM971" i="2"/>
  <c r="AM1023" i="2"/>
  <c r="AM1423" i="2"/>
  <c r="AM1520" i="2"/>
  <c r="AM1524" i="2"/>
  <c r="AM1584" i="2"/>
  <c r="AM1063" i="2"/>
  <c r="AM210" i="2"/>
  <c r="AM605" i="2"/>
  <c r="AM869" i="2"/>
  <c r="AM449" i="2"/>
  <c r="AM768" i="2"/>
  <c r="AM1399" i="2"/>
  <c r="AM1420" i="2"/>
  <c r="AM1464" i="2"/>
  <c r="AM317" i="2"/>
  <c r="AM381" i="2"/>
  <c r="AM1528" i="2"/>
  <c r="AM1150" i="2"/>
  <c r="AM1182" i="2"/>
  <c r="AM1238" i="2"/>
  <c r="AM1382" i="2"/>
  <c r="AM1430" i="2"/>
  <c r="AM1466" i="2"/>
  <c r="AM1260" i="2"/>
  <c r="AM1559" i="2"/>
  <c r="AM1240" i="2"/>
  <c r="AM91" i="2"/>
  <c r="AM411" i="2"/>
  <c r="AM489" i="2"/>
  <c r="AM523" i="2"/>
  <c r="AM563" i="2"/>
  <c r="AM919" i="2"/>
  <c r="AM955" i="2"/>
  <c r="AM1403" i="2"/>
  <c r="AM1151" i="2"/>
  <c r="AM1091" i="2"/>
  <c r="AM1468" i="2"/>
  <c r="AM83" i="2"/>
  <c r="AM248" i="2"/>
  <c r="AM1581" i="2"/>
  <c r="AM1516" i="2"/>
  <c r="AM1068" i="2"/>
  <c r="AM1098" i="2"/>
  <c r="AM1140" i="2"/>
  <c r="AM1400" i="2"/>
  <c r="AM1514" i="2"/>
  <c r="AM1412" i="2"/>
  <c r="AM320" i="2"/>
  <c r="AM403" i="2"/>
  <c r="AM305" i="2"/>
  <c r="AM476" i="2"/>
  <c r="AM1219" i="2"/>
  <c r="AM899" i="2"/>
  <c r="AM1183" i="2"/>
  <c r="AM1432" i="2"/>
  <c r="AM11" i="2"/>
  <c r="AM569" i="2"/>
  <c r="AM593" i="2"/>
  <c r="AM785" i="2"/>
  <c r="AM559" i="2"/>
  <c r="AM1123" i="2"/>
  <c r="AM1055" i="2"/>
  <c r="AM1588" i="2"/>
  <c r="AM1144" i="2"/>
  <c r="AM845" i="2"/>
  <c r="AM1294" i="2"/>
  <c r="AM1414" i="2"/>
  <c r="AM1519" i="2"/>
  <c r="AM1553" i="2"/>
  <c r="AM1527" i="2"/>
  <c r="AM1580" i="2"/>
  <c r="AM146" i="2"/>
  <c r="AM408" i="2"/>
  <c r="AM292" i="2"/>
  <c r="AM805" i="2"/>
  <c r="AM725" i="2"/>
  <c r="AM903" i="2"/>
  <c r="AM873" i="2"/>
  <c r="AM1143" i="2"/>
  <c r="AM1007" i="2"/>
  <c r="AM1239" i="2"/>
  <c r="AM42" i="2"/>
  <c r="AM238" i="2"/>
  <c r="AM443" i="2"/>
  <c r="AM1052" i="2"/>
  <c r="AM1086" i="2"/>
  <c r="AM1124" i="2"/>
  <c r="AM1172" i="2"/>
  <c r="AM1216" i="2"/>
  <c r="AM1220" i="2"/>
  <c r="AM1383" i="2"/>
  <c r="AM1485" i="2"/>
  <c r="AM1507" i="2"/>
  <c r="AM1546" i="2"/>
  <c r="AM1396" i="2"/>
  <c r="AM47" i="2"/>
  <c r="AM106" i="2"/>
  <c r="AM385" i="2"/>
  <c r="AM456" i="2"/>
  <c r="AM513" i="2"/>
  <c r="AM537" i="2"/>
  <c r="AM1171" i="2"/>
  <c r="AM1139" i="2"/>
  <c r="AM1548" i="2"/>
  <c r="AM309" i="2"/>
  <c r="AM372" i="2"/>
  <c r="AM697" i="2"/>
  <c r="AM561" i="2"/>
  <c r="AM705" i="2"/>
  <c r="AO60" i="2"/>
  <c r="AO417" i="2"/>
  <c r="AO618" i="2"/>
  <c r="AO32" i="2"/>
  <c r="AO110" i="2"/>
  <c r="AO646" i="2"/>
  <c r="AO18" i="2"/>
  <c r="AO918" i="2"/>
  <c r="AO245" i="2"/>
  <c r="AO15" i="2"/>
  <c r="AO150" i="2"/>
  <c r="AO16" i="2"/>
  <c r="AO3" i="2"/>
  <c r="AO369" i="2"/>
  <c r="AO75" i="2"/>
  <c r="AO308" i="2"/>
  <c r="AO51" i="2"/>
  <c r="AO30" i="2"/>
  <c r="AO4" i="2"/>
  <c r="AO199" i="2"/>
  <c r="AO1469" i="2"/>
  <c r="AO1551" i="2"/>
  <c r="AO524" i="2"/>
  <c r="AO22" i="2"/>
  <c r="AO52" i="2"/>
  <c r="AO1199" i="2"/>
  <c r="AO979" i="2"/>
  <c r="AO1196" i="2"/>
  <c r="AO1547" i="2"/>
  <c r="AO1012" i="2"/>
  <c r="AO6" i="2"/>
  <c r="AO44" i="2"/>
  <c r="AO167" i="2"/>
  <c r="AO332" i="2"/>
  <c r="AO1191" i="2"/>
  <c r="AO1452" i="2"/>
  <c r="AO1255" i="2"/>
  <c r="AO1100" i="2"/>
  <c r="AO926" i="2"/>
  <c r="AO321" i="2"/>
  <c r="AO1500" i="2"/>
  <c r="AO760" i="2"/>
  <c r="AO24" i="2"/>
  <c r="AO1232" i="2"/>
  <c r="AO54" i="2"/>
  <c r="AO7" i="2"/>
  <c r="AO1455" i="2"/>
  <c r="AO1176" i="2"/>
  <c r="AO1504" i="2"/>
  <c r="AO1128" i="2"/>
  <c r="AO963" i="2"/>
  <c r="AO1195" i="2"/>
  <c r="AO860" i="2"/>
  <c r="AO1540" i="2"/>
  <c r="AO1253" i="2"/>
  <c r="AO1427" i="2"/>
  <c r="AO58" i="2"/>
  <c r="AO1387" i="2"/>
  <c r="AN2" i="2"/>
  <c r="AO525" i="2"/>
  <c r="AM104" i="2"/>
  <c r="AN342" i="2"/>
  <c r="AO390" i="2"/>
  <c r="AM750" i="2"/>
  <c r="AN742" i="2"/>
  <c r="AO1242" i="2"/>
  <c r="AM1579" i="2"/>
  <c r="AN1457" i="2"/>
  <c r="AO114" i="2"/>
  <c r="AM1092" i="2"/>
  <c r="AN959" i="2"/>
  <c r="AO759" i="2"/>
  <c r="AM724" i="2"/>
  <c r="AN1221" i="2"/>
  <c r="AO1037" i="2"/>
  <c r="AM1538" i="2"/>
  <c r="AN71" i="2"/>
  <c r="AO380" i="2"/>
  <c r="AM1363" i="2"/>
  <c r="AM1137" i="2"/>
  <c r="AO246" i="2"/>
  <c r="AM888" i="2"/>
  <c r="AN933" i="2"/>
  <c r="AO945" i="2"/>
  <c r="AM1125" i="2"/>
  <c r="AN1197" i="2"/>
  <c r="AO1205" i="2"/>
  <c r="AM832" i="2"/>
  <c r="AN1167" i="2"/>
  <c r="AO1401" i="2"/>
  <c r="AM165" i="2"/>
  <c r="AN359" i="2"/>
  <c r="AO446" i="2"/>
  <c r="AM835" i="2"/>
  <c r="AN1146" i="2"/>
  <c r="AO878" i="2"/>
  <c r="AM981" i="2"/>
  <c r="AN1061" i="2"/>
  <c r="AO1129" i="2"/>
  <c r="AM1502" i="2"/>
  <c r="AN1425" i="2"/>
  <c r="AO1534" i="2"/>
  <c r="AN357" i="2"/>
  <c r="AN820" i="2"/>
  <c r="AO772" i="2"/>
  <c r="AM81" i="2"/>
  <c r="AN243" i="2"/>
  <c r="AO231" i="2"/>
  <c r="AM711" i="2"/>
  <c r="AN950" i="2"/>
  <c r="AO822" i="2"/>
  <c r="AM1001" i="2"/>
  <c r="AN1065" i="2"/>
  <c r="AO1133" i="2"/>
  <c r="AM1493" i="2"/>
  <c r="AN1209" i="2"/>
  <c r="AO1542" i="2"/>
  <c r="AM740" i="2"/>
  <c r="AN469" i="2"/>
  <c r="AO739" i="2"/>
  <c r="AM1018" i="2"/>
  <c r="AN1278" i="2"/>
  <c r="AO307" i="2"/>
  <c r="AM842" i="2"/>
  <c r="AN354" i="2"/>
  <c r="AO120" i="2"/>
  <c r="AM218" i="2"/>
  <c r="AN414" i="2"/>
  <c r="AO1201" i="2"/>
  <c r="AM843" i="2"/>
  <c r="AN786" i="2"/>
  <c r="AO1413" i="2"/>
  <c r="AM490" i="2"/>
  <c r="AN663" i="2"/>
  <c r="AO867" i="2"/>
  <c r="AM675" i="2"/>
  <c r="AN163" i="2"/>
  <c r="AO467" i="2"/>
  <c r="AM639" i="2"/>
  <c r="AN214" i="2"/>
  <c r="AO685" i="2"/>
  <c r="AM264" i="2"/>
  <c r="AN61" i="2"/>
  <c r="AO294" i="2"/>
  <c r="AM587" i="2"/>
  <c r="AN883" i="2"/>
  <c r="AO244" i="2"/>
  <c r="AM65" i="2"/>
  <c r="AN116" i="2"/>
  <c r="AO193" i="2"/>
  <c r="AM458" i="2"/>
  <c r="AN814" i="2"/>
  <c r="AO758" i="2"/>
  <c r="AM1369" i="2"/>
  <c r="AN1587" i="2"/>
  <c r="AO1490" i="2"/>
  <c r="AM475" i="2"/>
  <c r="AN1204" i="2"/>
  <c r="AO737" i="2"/>
  <c r="AM374" i="2"/>
  <c r="AN558" i="2"/>
  <c r="AO989" i="2"/>
  <c r="AM929" i="2"/>
  <c r="AO1506" i="2"/>
  <c r="AO166" i="2"/>
  <c r="AM812" i="2"/>
  <c r="AN1447" i="2"/>
  <c r="AO1185" i="2"/>
  <c r="AM696" i="2"/>
  <c r="AN958" i="2"/>
  <c r="AO1234" i="2"/>
  <c r="AM1073" i="2"/>
  <c r="AN1141" i="2"/>
  <c r="AO1421" i="2"/>
  <c r="AM337" i="2"/>
  <c r="AN1159" i="2"/>
  <c r="AO1035" i="2"/>
  <c r="AM93" i="2"/>
  <c r="AN181" i="2"/>
  <c r="AO29" i="2"/>
  <c r="AM735" i="2"/>
  <c r="AN870" i="2"/>
  <c r="AO726" i="2"/>
  <c r="AM889" i="2"/>
  <c r="AN1013" i="2"/>
  <c r="AO1077" i="2"/>
  <c r="AM1429" i="2"/>
  <c r="AN1509" i="2"/>
  <c r="AO1454" i="2"/>
  <c r="AM182" i="2"/>
  <c r="AN477" i="2"/>
  <c r="AO816" i="2"/>
  <c r="AM102" i="2"/>
  <c r="AN97" i="2"/>
  <c r="AO5" i="2"/>
  <c r="AM161" i="2"/>
  <c r="AN854" i="2"/>
  <c r="AO1190" i="2"/>
  <c r="AM925" i="2"/>
  <c r="AN1017" i="2"/>
  <c r="AO1081" i="2"/>
  <c r="AM1261" i="2"/>
  <c r="AN1522" i="2"/>
  <c r="AO1257" i="2"/>
  <c r="AN325" i="2"/>
  <c r="AN840" i="2"/>
  <c r="AO752" i="2"/>
  <c r="AM1206" i="2"/>
  <c r="AN1178" i="2"/>
  <c r="AO1374" i="2"/>
  <c r="AM1381" i="2"/>
  <c r="AN333" i="2"/>
  <c r="AO290" i="2"/>
  <c r="AM89" i="2"/>
  <c r="AN733" i="2"/>
  <c r="AO635" i="2"/>
  <c r="AM304" i="2"/>
  <c r="AN474" i="2"/>
  <c r="AO402" i="2"/>
  <c r="AM553" i="2"/>
  <c r="AM69" i="2"/>
  <c r="AO514" i="2"/>
  <c r="AM965" i="2"/>
  <c r="AN1095" i="2"/>
  <c r="AO418" i="2"/>
  <c r="AM679" i="2"/>
  <c r="AN157" i="2"/>
  <c r="AO346" i="2"/>
  <c r="AM256" i="2"/>
  <c r="AN547" i="2"/>
  <c r="AO591" i="2"/>
  <c r="AM373" i="2"/>
  <c r="AM1536" i="2"/>
  <c r="AO913" i="2"/>
  <c r="AM322" i="2"/>
  <c r="AN189" i="2"/>
  <c r="AO719" i="2"/>
  <c r="AM897" i="2"/>
  <c r="AN429" i="2"/>
  <c r="AO280" i="2"/>
  <c r="AM148" i="2"/>
  <c r="AN209" i="2"/>
  <c r="AO506" i="2"/>
  <c r="AM794" i="2"/>
  <c r="AN1233" i="2"/>
  <c r="AO893" i="2"/>
  <c r="AM1249" i="2"/>
  <c r="AN46" i="2"/>
  <c r="AO312" i="2"/>
  <c r="AM853" i="2"/>
  <c r="AN932" i="2"/>
  <c r="AO225" i="2"/>
  <c r="AM977" i="2"/>
  <c r="AN1005" i="2"/>
  <c r="AO1069" i="2"/>
  <c r="AM1550" i="2"/>
  <c r="AN194" i="2"/>
  <c r="AO376" i="2"/>
  <c r="AM872" i="2"/>
  <c r="AN73" i="2"/>
  <c r="AO616" i="2"/>
  <c r="AM974" i="2"/>
  <c r="AN1370" i="2"/>
  <c r="AO1009" i="2"/>
  <c r="AM1173" i="2"/>
  <c r="AN1537" i="2"/>
  <c r="AO1554" i="2"/>
  <c r="AM837" i="2"/>
  <c r="AN1043" i="2"/>
  <c r="AO164" i="2"/>
  <c r="AM266" i="2"/>
  <c r="AN177" i="2"/>
  <c r="AO566" i="2"/>
  <c r="AM1082" i="2"/>
  <c r="AN838" i="2"/>
  <c r="AO969" i="2"/>
  <c r="AM1029" i="2"/>
  <c r="AN1093" i="2"/>
  <c r="AO1161" i="2"/>
  <c r="AM1515" i="2"/>
  <c r="AN1470" i="2"/>
  <c r="AO1510" i="2"/>
  <c r="AM509" i="2"/>
  <c r="AN833" i="2"/>
  <c r="AO149" i="2"/>
  <c r="AM232" i="2"/>
  <c r="AN169" i="2"/>
  <c r="AO270" i="2"/>
  <c r="AM879" i="2"/>
  <c r="AN595" i="2"/>
  <c r="AO1398" i="2"/>
  <c r="AM1033" i="2"/>
  <c r="AN1101" i="2"/>
  <c r="AO1165" i="2"/>
  <c r="AM1541" i="2"/>
  <c r="AN1441" i="2"/>
  <c r="AO1237" i="2"/>
  <c r="AM541" i="2"/>
  <c r="AN247" i="2"/>
  <c r="AO1102" i="2"/>
  <c r="AM871" i="2"/>
  <c r="AN1186" i="2"/>
  <c r="AO859" i="2"/>
  <c r="I4" i="3" l="1"/>
  <c r="G6" i="3"/>
  <c r="I6" i="3"/>
  <c r="I8" i="3"/>
  <c r="G4" i="3"/>
  <c r="I9" i="3"/>
  <c r="G7" i="3"/>
  <c r="I3" i="3"/>
  <c r="K4" i="3"/>
  <c r="K3" i="3"/>
  <c r="K8" i="3"/>
  <c r="G3" i="3"/>
  <c r="I7" i="3"/>
  <c r="G9" i="3"/>
  <c r="K6" i="3"/>
  <c r="I5" i="3"/>
  <c r="K5" i="3"/>
  <c r="K9" i="3"/>
  <c r="K7" i="3"/>
  <c r="G5" i="3"/>
</calcChain>
</file>

<file path=xl/sharedStrings.xml><?xml version="1.0" encoding="utf-8"?>
<sst xmlns="http://schemas.openxmlformats.org/spreadsheetml/2006/main" count="7699" uniqueCount="406">
  <si>
    <t>Date</t>
  </si>
  <si>
    <t>Estevan</t>
  </si>
  <si>
    <t>Weyburn</t>
  </si>
  <si>
    <t>Oxbow</t>
  </si>
  <si>
    <t>Yellow Grass North</t>
  </si>
  <si>
    <t>Melita</t>
  </si>
  <si>
    <t>Kipling</t>
  </si>
  <si>
    <t>Temp.Mean</t>
  </si>
  <si>
    <t>SD</t>
  </si>
  <si>
    <t>Temp.Roll</t>
  </si>
  <si>
    <t>day</t>
  </si>
  <si>
    <t>mth</t>
  </si>
  <si>
    <t>yr</t>
  </si>
  <si>
    <t>ID</t>
  </si>
  <si>
    <t>Producer</t>
  </si>
  <si>
    <t>Producer.1</t>
  </si>
  <si>
    <t>Battery</t>
  </si>
  <si>
    <t>Battery.1</t>
  </si>
  <si>
    <t>SDate</t>
  </si>
  <si>
    <t>VP</t>
  </si>
  <si>
    <t>Sulf Input</t>
  </si>
  <si>
    <t>Sulf</t>
  </si>
  <si>
    <t>S.Temp</t>
  </si>
  <si>
    <t>A.Temp</t>
  </si>
  <si>
    <t>Dens Input</t>
  </si>
  <si>
    <t>Dens</t>
  </si>
  <si>
    <t>VolumeM3</t>
  </si>
  <si>
    <t>CrudeType</t>
  </si>
  <si>
    <t>Unknown</t>
  </si>
  <si>
    <t>C5</t>
  </si>
  <si>
    <t>Light_LSB</t>
  </si>
  <si>
    <t>Light_SW</t>
  </si>
  <si>
    <t>Medium_LSB</t>
  </si>
  <si>
    <t>Medium_SW</t>
  </si>
  <si>
    <t>Midale</t>
  </si>
  <si>
    <t>Heavy_Sour</t>
  </si>
  <si>
    <t>Heavy_SW</t>
  </si>
  <si>
    <t>Crude_Breakdown</t>
  </si>
  <si>
    <t>Crude_Num</t>
  </si>
  <si>
    <t>Net Sulf</t>
  </si>
  <si>
    <t>Net Dens</t>
  </si>
  <si>
    <t>Net VP</t>
  </si>
  <si>
    <t>SS_VP</t>
  </si>
  <si>
    <t>SS_Dens</t>
  </si>
  <si>
    <t>SS_Sulf</t>
  </si>
  <si>
    <t>VP_95_Spec</t>
  </si>
  <si>
    <t>CENOV</t>
  </si>
  <si>
    <t>05-16-006-13W2</t>
  </si>
  <si>
    <t>Crude</t>
  </si>
  <si>
    <t>CRESC</t>
  </si>
  <si>
    <t>07-07-006-15W2</t>
  </si>
  <si>
    <t>SPAEN</t>
  </si>
  <si>
    <t>11-12-006-15W2</t>
  </si>
  <si>
    <t>PMCL</t>
  </si>
  <si>
    <t>01-07-006-10W2</t>
  </si>
  <si>
    <t xml:space="preserve"> SALES</t>
  </si>
  <si>
    <t>LRE</t>
  </si>
  <si>
    <t>11-02-005-12W2</t>
  </si>
  <si>
    <t>01-28-002-14W2</t>
  </si>
  <si>
    <t>02-13-006-06W2</t>
  </si>
  <si>
    <t xml:space="preserve">SECUR </t>
  </si>
  <si>
    <t>08-28-005-33W1</t>
  </si>
  <si>
    <t>RDGBK</t>
  </si>
  <si>
    <t>12-22-007-11W2</t>
  </si>
  <si>
    <t>APACH</t>
  </si>
  <si>
    <t>07-12-006-11W2</t>
  </si>
  <si>
    <t>03-03-002-32W1</t>
  </si>
  <si>
    <t>04-08-008-08W2</t>
  </si>
  <si>
    <t>TORCO</t>
  </si>
  <si>
    <t>04-17-004-31W1</t>
  </si>
  <si>
    <t>05-14-003-01W2</t>
  </si>
  <si>
    <t>16-18-011-04W2</t>
  </si>
  <si>
    <t>09-08-004-03W2</t>
  </si>
  <si>
    <t xml:space="preserve"> REV</t>
  </si>
  <si>
    <t>09-14-009-08W2</t>
  </si>
  <si>
    <t>13-29-008-07W2</t>
  </si>
  <si>
    <t>VERMILLION - TRUCKED IN LOCATION</t>
  </si>
  <si>
    <t>14-03-001-03W2</t>
  </si>
  <si>
    <t>01-21-001-14W2</t>
  </si>
  <si>
    <t>03-33-008-06W2</t>
  </si>
  <si>
    <t>09-13-007-11W2</t>
  </si>
  <si>
    <t>14-13-001-05W2</t>
  </si>
  <si>
    <t>05-34-005-06W2</t>
  </si>
  <si>
    <t>12-06-009-07W2</t>
  </si>
  <si>
    <t>PEMCO</t>
  </si>
  <si>
    <t>05-03-009-33W1</t>
  </si>
  <si>
    <t>12-30-006-15W2</t>
  </si>
  <si>
    <t>02-26-009-09W2</t>
  </si>
  <si>
    <t>05-20-004-04W2</t>
  </si>
  <si>
    <t>11-15-007-09W2</t>
  </si>
  <si>
    <t>13-13-007-02W2</t>
  </si>
  <si>
    <t>13-02-007-14W2</t>
  </si>
  <si>
    <t>14-27-001-13W2</t>
  </si>
  <si>
    <t>09-26-007-09W2</t>
  </si>
  <si>
    <t>04-05-002-15W2</t>
  </si>
  <si>
    <t>13-03-006-34W1</t>
  </si>
  <si>
    <t>FEDER</t>
  </si>
  <si>
    <t>05-31-002-01W2</t>
  </si>
  <si>
    <t>03-15-004-06W2</t>
  </si>
  <si>
    <t>09-20-008-08W2</t>
  </si>
  <si>
    <t>13-30-007-10W2</t>
  </si>
  <si>
    <t>01-04-007-09W2</t>
  </si>
  <si>
    <t>01-17-005-08W2</t>
  </si>
  <si>
    <t>08-22-004-09W2</t>
  </si>
  <si>
    <t>13-15-005-08W2</t>
  </si>
  <si>
    <t>13-18-010-06W2</t>
  </si>
  <si>
    <t>14-18-001-04W2</t>
  </si>
  <si>
    <t>14-30-001-04W2</t>
  </si>
  <si>
    <t>CAT</t>
  </si>
  <si>
    <t>14-09-002-29W1</t>
  </si>
  <si>
    <t>11-30-005-03W2</t>
  </si>
  <si>
    <t>ENERM</t>
  </si>
  <si>
    <t>08-31-004-18W2</t>
  </si>
  <si>
    <t>07-28-007-08W2</t>
  </si>
  <si>
    <t>15-23-006-08W2</t>
  </si>
  <si>
    <t>01-26-006-09W2</t>
  </si>
  <si>
    <t>03-05-006-05W2</t>
  </si>
  <si>
    <t>05-10-006-05W2</t>
  </si>
  <si>
    <t>09-33-005-05W2</t>
  </si>
  <si>
    <t>SPECT</t>
  </si>
  <si>
    <t>16-33-005-06W2</t>
  </si>
  <si>
    <t>13-34-006-05W2</t>
  </si>
  <si>
    <t>13-30-005-05W2</t>
  </si>
  <si>
    <t>16-21-003-32W1</t>
  </si>
  <si>
    <t>16-23-006-11W2</t>
  </si>
  <si>
    <t>07-02-007-11W2</t>
  </si>
  <si>
    <t>15-33-006-14W2</t>
  </si>
  <si>
    <t>ALDON</t>
  </si>
  <si>
    <t>10-22-006-14W2</t>
  </si>
  <si>
    <t>CAPRI</t>
  </si>
  <si>
    <t>14-33-006-14W2</t>
  </si>
  <si>
    <t>15-25-007-11W2</t>
  </si>
  <si>
    <t>HUMMI</t>
  </si>
  <si>
    <t>04-21-006-14W2</t>
  </si>
  <si>
    <t>VALLE</t>
  </si>
  <si>
    <t>15-30-007-12W2</t>
  </si>
  <si>
    <t>09-31-007-12W2</t>
  </si>
  <si>
    <t>05-18-004-17W2</t>
  </si>
  <si>
    <t>12-25-004-19W2</t>
  </si>
  <si>
    <t>05-13-003-02W2</t>
  </si>
  <si>
    <t>02-10-003-01W2</t>
  </si>
  <si>
    <t>14-20-005-33W1</t>
  </si>
  <si>
    <t>14-28-002-34W1</t>
  </si>
  <si>
    <t>11-23-002-34W1</t>
  </si>
  <si>
    <t>16-13-004-32W1</t>
  </si>
  <si>
    <t>09-23-002-01W2</t>
  </si>
  <si>
    <t>05-13-008-06W2</t>
  </si>
  <si>
    <t>05-35-006-11W2</t>
  </si>
  <si>
    <t>06-02-008-02W2</t>
  </si>
  <si>
    <t>11-27-005-33W1</t>
  </si>
  <si>
    <t>13-11-004-02W2</t>
  </si>
  <si>
    <t>12-12-005-34W1</t>
  </si>
  <si>
    <t>10-33-004-32W1</t>
  </si>
  <si>
    <t>08-05-006-33W1</t>
  </si>
  <si>
    <t>04-05-007-33W1</t>
  </si>
  <si>
    <t>06-04-006-33W1</t>
  </si>
  <si>
    <t>02-15-006-01W2</t>
  </si>
  <si>
    <t>07-24-006-15W2</t>
  </si>
  <si>
    <t>11-04-005-12W2</t>
  </si>
  <si>
    <t>15-32-004-12W2</t>
  </si>
  <si>
    <t>09-34-005-15W2</t>
  </si>
  <si>
    <t>MIDAL</t>
  </si>
  <si>
    <t>04-27-003-33W1</t>
  </si>
  <si>
    <t>06-03-001-16W2</t>
  </si>
  <si>
    <t>02-29-001-17W2</t>
  </si>
  <si>
    <t>03-12-002-19W2</t>
  </si>
  <si>
    <t>03-05-005-11W2</t>
  </si>
  <si>
    <t>03-06-005-12W2</t>
  </si>
  <si>
    <t>FIREZ</t>
  </si>
  <si>
    <t>04-11-007-13W2</t>
  </si>
  <si>
    <t>01-03-008-13W2</t>
  </si>
  <si>
    <t>16-08-007-12W2</t>
  </si>
  <si>
    <t>14-04-007-13W2</t>
  </si>
  <si>
    <t>07-12-005-34W1</t>
  </si>
  <si>
    <t>12-23-005-31W1</t>
  </si>
  <si>
    <t>16-10-006-30W1</t>
  </si>
  <si>
    <t>02-14-005-32W1</t>
  </si>
  <si>
    <t>02-17-005-31W1</t>
  </si>
  <si>
    <t>POSTE</t>
  </si>
  <si>
    <t>07-24-001-32W1</t>
  </si>
  <si>
    <t>11-25-001-32W1</t>
  </si>
  <si>
    <t>03-23-001-32W1</t>
  </si>
  <si>
    <t>07-31-001-31W1</t>
  </si>
  <si>
    <t>SILVE</t>
  </si>
  <si>
    <t>05-01-001-32W1</t>
  </si>
  <si>
    <t>02-30-001-31W1</t>
  </si>
  <si>
    <t>02-20-006-32W1</t>
  </si>
  <si>
    <t>08-13-006-33W1</t>
  </si>
  <si>
    <t>14-33-003-01W2</t>
  </si>
  <si>
    <t>03-29-003-04W2</t>
  </si>
  <si>
    <t>03-13-006-33W1</t>
  </si>
  <si>
    <t>05-07-005-03W2</t>
  </si>
  <si>
    <t>11-02-005-04W2</t>
  </si>
  <si>
    <t>07-35-004-04W2</t>
  </si>
  <si>
    <t>09-10-005-04W2</t>
  </si>
  <si>
    <t>05-24-005-04W2</t>
  </si>
  <si>
    <t>02-16-010-02W2</t>
  </si>
  <si>
    <t>08-18-011-03W2</t>
  </si>
  <si>
    <t>02-18-007-13W2</t>
  </si>
  <si>
    <t>08-35-011-04W2</t>
  </si>
  <si>
    <t>16-09-004-31W1</t>
  </si>
  <si>
    <t>15-26-007-04W2</t>
  </si>
  <si>
    <t>15-21-008-03W2</t>
  </si>
  <si>
    <t>09-02-007-05W2</t>
  </si>
  <si>
    <t>01-24-007-05W2</t>
  </si>
  <si>
    <t>07-12-008-04W2</t>
  </si>
  <si>
    <t>12-35-008-03W2</t>
  </si>
  <si>
    <t>09-18-007-04W2</t>
  </si>
  <si>
    <t>09-27-008-03W2</t>
  </si>
  <si>
    <t>14-26-002-30W1</t>
  </si>
  <si>
    <t>12-01-003-30W1</t>
  </si>
  <si>
    <t>BONTE</t>
  </si>
  <si>
    <t>09-30-007-08W2</t>
  </si>
  <si>
    <t>04-15-008-33W1</t>
  </si>
  <si>
    <t>02-14-010-01W2</t>
  </si>
  <si>
    <t>04-22-009-33W1</t>
  </si>
  <si>
    <t>02-12-010-02W2</t>
  </si>
  <si>
    <t>09-19-009-33W1</t>
  </si>
  <si>
    <t>15-09-010-02W2</t>
  </si>
  <si>
    <t>13-07-010-09W2</t>
  </si>
  <si>
    <t>09-06-010-07W2</t>
  </si>
  <si>
    <t>16-35-009-09W2</t>
  </si>
  <si>
    <t>04-18-009-06W2</t>
  </si>
  <si>
    <t>HIRES</t>
  </si>
  <si>
    <t>13-14-009-09W2</t>
  </si>
  <si>
    <t>06-03-004-31W1</t>
  </si>
  <si>
    <t>07-04-010-08W2</t>
  </si>
  <si>
    <t>05-31-009-07W2</t>
  </si>
  <si>
    <t>09-11-010-08W2</t>
  </si>
  <si>
    <t xml:space="preserve">TOGP </t>
  </si>
  <si>
    <t>07-28-002-30W1</t>
  </si>
  <si>
    <t>11-25-005-06W2</t>
  </si>
  <si>
    <t>VENTU</t>
  </si>
  <si>
    <t>16-36-004-06W2</t>
  </si>
  <si>
    <t>05-31-003-16W2</t>
  </si>
  <si>
    <t>06-01-007-01W2</t>
  </si>
  <si>
    <t>08-33-005-03W2</t>
  </si>
  <si>
    <t>04-33-006-01W2</t>
  </si>
  <si>
    <t>08-31-005-03W2</t>
  </si>
  <si>
    <t>06-27-006-01W2</t>
  </si>
  <si>
    <t>08-32-006-01W2</t>
  </si>
  <si>
    <t>07-23-006-02W2</t>
  </si>
  <si>
    <t>09-28-006-34W1</t>
  </si>
  <si>
    <t>02-02-006-03W2</t>
  </si>
  <si>
    <t>10-13-006-03W2</t>
  </si>
  <si>
    <t>04-10-004-31W1</t>
  </si>
  <si>
    <t>16-24-004-01W2</t>
  </si>
  <si>
    <t>02-08-004-33W1</t>
  </si>
  <si>
    <t>08-36-003-34W1</t>
  </si>
  <si>
    <t>07-25-009-08W2</t>
  </si>
  <si>
    <t>02-27-004-33W1</t>
  </si>
  <si>
    <t>09-08-004-33W1</t>
  </si>
  <si>
    <t>16-30-004-08W2</t>
  </si>
  <si>
    <t>06-24-004-09W2</t>
  </si>
  <si>
    <t>04-14-005-33W1</t>
  </si>
  <si>
    <t>11-16-005-04W2</t>
  </si>
  <si>
    <t>08-14-004-07W2</t>
  </si>
  <si>
    <t>07-08-004-05W2</t>
  </si>
  <si>
    <t>07-18-005-04W2</t>
  </si>
  <si>
    <t>BURGE</t>
  </si>
  <si>
    <t>10-22-004-07W2</t>
  </si>
  <si>
    <t>16-12-004-31W1</t>
  </si>
  <si>
    <t>04-24-005-15W2</t>
  </si>
  <si>
    <t>13-34-007-14W2</t>
  </si>
  <si>
    <t>15-29-005-15W2</t>
  </si>
  <si>
    <t>LANSING</t>
  </si>
  <si>
    <t>Watford City</t>
  </si>
  <si>
    <t>WATFORD CITY</t>
  </si>
  <si>
    <t>C5+</t>
  </si>
  <si>
    <t>TESORO</t>
  </si>
  <si>
    <t>Tesoro Robinson Lake Gas Plant</t>
  </si>
  <si>
    <t xml:space="preserve">ROBINSON LAKE     </t>
  </si>
  <si>
    <t xml:space="preserve">CENTENNIAL </t>
  </si>
  <si>
    <t>Hiland Bakken</t>
  </si>
  <si>
    <t xml:space="preserve">HIGHLAND BAKKEN </t>
  </si>
  <si>
    <t xml:space="preserve">NGL </t>
  </si>
  <si>
    <t>Tioga Gas Plant Condensate</t>
  </si>
  <si>
    <t>TIOGA</t>
  </si>
  <si>
    <t>Tesoro Belfield Gas Plant</t>
  </si>
  <si>
    <t>BELFIELD</t>
  </si>
  <si>
    <t>Little Knife Gas Plant</t>
  </si>
  <si>
    <t>LITTLE KNIFE</t>
  </si>
  <si>
    <t>Palermo Gas Plant</t>
  </si>
  <si>
    <t>PALERMO</t>
  </si>
  <si>
    <t xml:space="preserve">KINDER MORGAN </t>
  </si>
  <si>
    <t>Red Wing Condy NGL</t>
  </si>
  <si>
    <t>REDWING</t>
  </si>
  <si>
    <t xml:space="preserve">LANSING </t>
  </si>
  <si>
    <t>PETRO HUNT</t>
  </si>
  <si>
    <t>SALES</t>
  </si>
  <si>
    <t>REV</t>
  </si>
  <si>
    <t>CANAT</t>
  </si>
  <si>
    <t>NALRE</t>
  </si>
  <si>
    <t>08-12-006-01W2</t>
  </si>
  <si>
    <t>01-09-001-31W1</t>
  </si>
  <si>
    <t>01-15-005-32W1</t>
  </si>
  <si>
    <t>05-29-005-32W1</t>
  </si>
  <si>
    <t>10-11-006-34W1</t>
  </si>
  <si>
    <t>16-27-004-33W1</t>
  </si>
  <si>
    <t>13-25-001-01W2</t>
  </si>
  <si>
    <t>06-24-001-34W1</t>
  </si>
  <si>
    <t>16-24-001-34W1</t>
  </si>
  <si>
    <t>07-36-001-34W1</t>
  </si>
  <si>
    <t>05-12-002-32W1</t>
  </si>
  <si>
    <t>03-19-001-31W1</t>
  </si>
  <si>
    <t>13-17-001-31W1</t>
  </si>
  <si>
    <t>09-30-002-30W1</t>
  </si>
  <si>
    <t>10-33-003-31W1</t>
  </si>
  <si>
    <t>01-01-006-06W2</t>
  </si>
  <si>
    <t>14-18-001-04W1</t>
  </si>
  <si>
    <t/>
  </si>
  <si>
    <t>11-28-006-05W2</t>
  </si>
  <si>
    <t>01-29-004-07W2</t>
  </si>
  <si>
    <t>RIFER</t>
  </si>
  <si>
    <t>14-35-006-05W2</t>
  </si>
  <si>
    <t>01-11-005-04W2</t>
  </si>
  <si>
    <t>09-27-006-05W2</t>
  </si>
  <si>
    <t>05-13-009-06W2</t>
  </si>
  <si>
    <t>07-25-003-13W2</t>
  </si>
  <si>
    <t>09-28-001-15W2</t>
  </si>
  <si>
    <t>11-26-002-19W2</t>
  </si>
  <si>
    <t>06-17-006-14W2</t>
  </si>
  <si>
    <t>01-22-006-14W2</t>
  </si>
  <si>
    <t>01-22-010-07W2</t>
  </si>
  <si>
    <t>10-09-004-33W1</t>
  </si>
  <si>
    <t>04-04-007-01W2</t>
  </si>
  <si>
    <t>09-10-009-06W2</t>
  </si>
  <si>
    <t>14-30-009-33W1</t>
  </si>
  <si>
    <t>15-09-010-08W2</t>
  </si>
  <si>
    <t>STEPP</t>
  </si>
  <si>
    <t>03-16-001-11W2</t>
  </si>
  <si>
    <t>13-13-006-34W1</t>
  </si>
  <si>
    <t>Month</t>
  </si>
  <si>
    <t>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</si>
  <si>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</si>
  <si>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</si>
  <si>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</si>
  <si>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</si>
  <si>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</si>
  <si>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</si>
  <si>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</si>
  <si>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</si>
  <si>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</si>
  <si>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</si>
  <si>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</si>
  <si>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</si>
  <si>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Crude Breakdown</t>
  </si>
  <si>
    <t>Number</t>
  </si>
  <si>
    <t>Mean_VP</t>
  </si>
  <si>
    <t>SD_VP</t>
  </si>
  <si>
    <t>Mean_Dens</t>
  </si>
  <si>
    <t>SD_Dens</t>
  </si>
  <si>
    <t>Mean_Sulf</t>
  </si>
  <si>
    <t>SD_Sulf</t>
  </si>
  <si>
    <t>All</t>
  </si>
  <si>
    <t>Density:</t>
  </si>
  <si>
    <t>Sulfur:</t>
  </si>
  <si>
    <t>7 Day Rolling Temp Average:</t>
  </si>
  <si>
    <t>Month:</t>
  </si>
  <si>
    <t>Intercept</t>
  </si>
  <si>
    <t>Sulf:C5</t>
  </si>
  <si>
    <t>Sulf:Light_LSB</t>
  </si>
  <si>
    <t>Sulf:Light_SW</t>
  </si>
  <si>
    <t>Sulf:Medium_LSB</t>
  </si>
  <si>
    <t>Sulf:Medium_SW</t>
  </si>
  <si>
    <t>Sulf:Midale</t>
  </si>
  <si>
    <t>Sulf:Heavy_Sour</t>
  </si>
  <si>
    <t>Sulf:Heavy_SW</t>
  </si>
  <si>
    <t>Dens:C5</t>
  </si>
  <si>
    <t>Dens:Light_LSB</t>
  </si>
  <si>
    <t>Dens:Light_SW</t>
  </si>
  <si>
    <t>Dens:Medium_LSB</t>
  </si>
  <si>
    <t>Dens:Medium_SW</t>
  </si>
  <si>
    <t>Dens:Midale</t>
  </si>
  <si>
    <t>Dens:Heavy_Sour</t>
  </si>
  <si>
    <t>Dens:Heavy_SW</t>
  </si>
  <si>
    <t>Temp.Roll:C5</t>
  </si>
  <si>
    <t>Temp.Roll:Light_LSB</t>
  </si>
  <si>
    <t>Temp.Roll:Light_SW</t>
  </si>
  <si>
    <t>Temp.Roll:Medium_LSB</t>
  </si>
  <si>
    <t>Temp.Roll:Medium_SW</t>
  </si>
  <si>
    <t>Temp.Roll:Midale</t>
  </si>
  <si>
    <t>Temp.Roll:Heavy_Sour</t>
  </si>
  <si>
    <t>Temp.Roll:Heavy_SW</t>
  </si>
  <si>
    <t>Predicted VP</t>
  </si>
  <si>
    <t>Mean Predicted VP</t>
  </si>
  <si>
    <t>Median Predicted VP</t>
  </si>
  <si>
    <t>SD Predicted VP</t>
  </si>
  <si>
    <t>Min Predicted VP</t>
  </si>
  <si>
    <t>Max Predicted VP</t>
  </si>
  <si>
    <t>Coefficients:</t>
  </si>
  <si>
    <t>Density</t>
  </si>
  <si>
    <t>Sulfur</t>
  </si>
  <si>
    <t>Crude Type</t>
  </si>
  <si>
    <t>7 Day Temperature Average</t>
  </si>
  <si>
    <t>Mean Historical VP</t>
  </si>
  <si>
    <t>Data Points</t>
  </si>
  <si>
    <t>January</t>
  </si>
  <si>
    <t>Medium LSB</t>
  </si>
  <si>
    <t>February</t>
  </si>
  <si>
    <t>March</t>
  </si>
  <si>
    <t>April</t>
  </si>
  <si>
    <t>Iteration</t>
  </si>
  <si>
    <t>Bin Size</t>
  </si>
  <si>
    <t>Post_Aquisition</t>
  </si>
  <si>
    <t>SD Multiplier: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</si>
</sst>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0"/>
    <numFmt numFmtId="165" formatCode="mm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1" applyNumberFormat="1" applyFont="1"/>
    <xf numFmtId="4" fontId="0" fillId="0" borderId="0" xfId="0" applyNumberFormat="1"/>
    <xf numFmtId="1" fontId="0" fillId="0" borderId="0" xfId="0" applyNumberFormat="1"/>
    <xf numFmtId="0" fontId="4" fillId="3" borderId="1" xfId="4"/>
    <xf numFmtId="0" fontId="2" fillId="2" borderId="1" xfId="2"/>
    <xf numFmtId="164" fontId="2" fillId="2" borderId="1" xfId="2" applyNumberFormat="1"/>
    <xf numFmtId="0" fontId="5" fillId="2" borderId="1" xfId="2" applyFont="1"/>
    <xf numFmtId="0" fontId="3" fillId="3" borderId="2" xfId="3" applyFont="1"/>
    <xf numFmtId="164" fontId="6" fillId="3" borderId="2" xfId="3" applyNumberFormat="1" applyFont="1"/>
    <xf numFmtId="0" fontId="2" fillId="2" borderId="1" xfId="2" applyAlignment="1">
      <alignment horizontal="right"/>
    </xf>
    <xf numFmtId="165" fontId="0" fillId="0" borderId="0" xfId="0" applyNumberFormat="1"/>
    <xf numFmtId="3" fontId="0" fillId="0" borderId="0" xfId="1" applyNumberFormat="1" applyFont="1"/>
    <xf numFmtId="2" fontId="2" fillId="2" borderId="1" xfId="2" applyNumberFormat="1"/>
  </cellXfs>
  <cellStyles count="5">
    <cellStyle name="Calculation" xfId="4" builtinId="22"/>
    <cellStyle name="Comma" xfId="1" builtinId="3"/>
    <cellStyle name="Input" xfId="2" builtinId="20"/>
    <cellStyle name="Normal" xfId="0" builtinId="0"/>
    <cellStyle name="Output" xfId="3" builtinId="21"/>
  </cellStyles>
  <dxfs count="103">
    <dxf>
      <numFmt numFmtId="3" formatCode="#,##0"/>
    </dxf>
    <dxf>
      <numFmt numFmtId="0" formatCode="General"/>
    </dxf>
    <dxf>
      <numFmt numFmtId="1" formatCode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" formatCode="0"/>
    </dxf>
    <dxf>
      <numFmt numFmtId="165" formatCode="mmmm"/>
    </dxf>
    <dxf>
      <numFmt numFmtId="4" formatCode="#,##0.00"/>
    </dxf>
    <dxf>
      <numFmt numFmtId="164" formatCode="#,##0.0000"/>
    </dxf>
    <dxf>
      <numFmt numFmtId="164" formatCode="#,##0.0000"/>
    </dxf>
    <dxf>
      <numFmt numFmtId="164" formatCode="#,##0.0000"/>
    </dxf>
    <dxf>
      <numFmt numFmtId="164" formatCode="#,##0.0000"/>
    </dxf>
    <dxf>
      <numFmt numFmtId="164" formatCode="#,##0.0000"/>
    </dxf>
    <dxf>
      <numFmt numFmtId="164" formatCode="#,##0.00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6"/>
          <c:tx>
            <c:strRef>
              <c:f>Results!$M$2</c:f>
              <c:strCache>
                <c:ptCount val="1"/>
                <c:pt idx="0">
                  <c:v>Data Points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Results!$M$3:$M$9</c:f>
              <c:numCache>
                <c:formatCode>General</c:formatCode>
                <c:ptCount val="7"/>
                <c:pt idx="0">
                  <c:v>166</c:v>
                </c:pt>
                <c:pt idx="1">
                  <c:v>158</c:v>
                </c:pt>
                <c:pt idx="2">
                  <c:v>189</c:v>
                </c:pt>
                <c:pt idx="3">
                  <c:v>80</c:v>
                </c:pt>
                <c:pt idx="4">
                  <c:v>200</c:v>
                </c:pt>
                <c:pt idx="5">
                  <c:v>125</c:v>
                </c:pt>
                <c:pt idx="6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04-4CE4-A4E9-E0147784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087536"/>
        <c:axId val="423517168"/>
      </c:barChart>
      <c:lineChart>
        <c:grouping val="standard"/>
        <c:varyColors val="0"/>
        <c:ser>
          <c:idx val="1"/>
          <c:order val="0"/>
          <c:tx>
            <c:strRef>
              <c:f>Results!$G$2</c:f>
              <c:strCache>
                <c:ptCount val="1"/>
                <c:pt idx="0">
                  <c:v>Mean Historical 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Results!$G$3:$G$9</c:f>
              <c:numCache>
                <c:formatCode>General</c:formatCode>
                <c:ptCount val="7"/>
                <c:pt idx="0">
                  <c:v>87.444000000000003</c:v>
                </c:pt>
                <c:pt idx="1">
                  <c:v>86.402500000000003</c:v>
                </c:pt>
                <c:pt idx="2">
                  <c:v>84.281499999999994</c:v>
                </c:pt>
                <c:pt idx="3">
                  <c:v>72.898099999999999</c:v>
                </c:pt>
                <c:pt idx="4">
                  <c:v>85.914100000000005</c:v>
                </c:pt>
                <c:pt idx="5">
                  <c:v>82.48</c:v>
                </c:pt>
                <c:pt idx="6">
                  <c:v>83.834599999999995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4-4CE4-A4E9-E0147784F776}"/>
            </c:ext>
          </c:extLst>
        </c:ser>
        <c:ser>
          <c:idx val="3"/>
          <c:order val="2"/>
          <c:tx>
            <c:strRef>
              <c:f>Results!$I$2</c:f>
              <c:strCache>
                <c:ptCount val="1"/>
                <c:pt idx="0">
                  <c:v>Median Predicted VP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Results!$I$3:$I$9</c:f>
              <c:numCache>
                <c:formatCode>General</c:formatCode>
                <c:ptCount val="7"/>
                <c:pt idx="0">
                  <c:v>85.884100000000004</c:v>
                </c:pt>
                <c:pt idx="1">
                  <c:v>83.415899999999993</c:v>
                </c:pt>
                <c:pt idx="2">
                  <c:v>82.532899999999998</c:v>
                </c:pt>
                <c:pt idx="3">
                  <c:v>74.668700000000001</c:v>
                </c:pt>
                <c:pt idx="4">
                  <c:v>85.686000000000007</c:v>
                </c:pt>
                <c:pt idx="5">
                  <c:v>87.063100000000006</c:v>
                </c:pt>
                <c:pt idx="6">
                  <c:v>86.238600000000005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04-4CE4-A4E9-E0147784F776}"/>
            </c:ext>
          </c:extLst>
        </c:ser>
        <c:ser>
          <c:idx val="2"/>
          <c:order val="1"/>
          <c:tx>
            <c:strRef>
              <c:f>Results!$H$2</c:f>
              <c:strCache>
                <c:ptCount val="1"/>
                <c:pt idx="0">
                  <c:v>Mean Predicted VP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Results!$H$3:$H$9</c:f>
              <c:numCache>
                <c:formatCode>General</c:formatCode>
                <c:ptCount val="7"/>
                <c:pt idx="0">
                  <c:v>86.6524</c:v>
                </c:pt>
                <c:pt idx="1">
                  <c:v>84.599900000000005</c:v>
                </c:pt>
                <c:pt idx="2">
                  <c:v>82.957400000000007</c:v>
                </c:pt>
                <c:pt idx="3">
                  <c:v>74.365700000000004</c:v>
                </c:pt>
                <c:pt idx="4">
                  <c:v>85.320400000000006</c:v>
                </c:pt>
                <c:pt idx="5">
                  <c:v>85.583100000000002</c:v>
                </c:pt>
                <c:pt idx="6">
                  <c:v>85.191000000000003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4-4CE4-A4E9-E0147784F776}"/>
            </c:ext>
          </c:extLst>
        </c:ser>
        <c:ser>
          <c:idx val="5"/>
          <c:order val="4"/>
          <c:tx>
            <c:strRef>
              <c:f>Results!$K$2</c:f>
              <c:strCache>
                <c:ptCount val="1"/>
                <c:pt idx="0">
                  <c:v>Min Predicted VP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Results!$K$3:$K$9</c:f>
              <c:numCache>
                <c:formatCode>General</c:formatCode>
                <c:ptCount val="7"/>
                <c:pt idx="0">
                  <c:v>74.597899999999996</c:v>
                </c:pt>
                <c:pt idx="1">
                  <c:v>74.145099999999999</c:v>
                </c:pt>
                <c:pt idx="2">
                  <c:v>72.393600000000006</c:v>
                </c:pt>
                <c:pt idx="3">
                  <c:v>65.760599999999997</c:v>
                </c:pt>
                <c:pt idx="4">
                  <c:v>73.577799999999996</c:v>
                </c:pt>
                <c:pt idx="5">
                  <c:v>74.530900000000003</c:v>
                </c:pt>
                <c:pt idx="6">
                  <c:v>68.290000000000006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04-4CE4-A4E9-E0147784F776}"/>
            </c:ext>
          </c:extLst>
        </c:ser>
        <c:ser>
          <c:idx val="6"/>
          <c:order val="5"/>
          <c:tx>
            <c:strRef>
              <c:f>Results!$L$2</c:f>
              <c:strCache>
                <c:ptCount val="1"/>
                <c:pt idx="0">
                  <c:v>Max Predicted VP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Results!$A$3:$A$9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Results!$L$3:$L$9</c:f>
              <c:numCache>
                <c:formatCode>General</c:formatCode>
                <c:ptCount val="7"/>
                <c:pt idx="0">
                  <c:v>100.56010000000001</c:v>
                </c:pt>
                <c:pt idx="1">
                  <c:v>100.8659</c:v>
                </c:pt>
                <c:pt idx="2">
                  <c:v>99.373999999999995</c:v>
                </c:pt>
                <c:pt idx="3">
                  <c:v>83.115099999999998</c:v>
                </c:pt>
                <c:pt idx="4">
                  <c:v>102.2086</c:v>
                </c:pt>
                <c:pt idx="5">
                  <c:v>98.833799999999997</c:v>
                </c:pt>
                <c:pt idx="6">
                  <c:v>103.2642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04-4CE4-A4E9-E0147784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553856"/>
        <c:axId val="309872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Results!$J$2</c15:sqref>
                        </c15:formulaRef>
                      </c:ext>
                    </c:extLst>
                    <c:strCache>
                      <c:ptCount val="1"/>
                      <c:pt idx="0">
                        <c:v>SD Predicted VP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Results!$A$3:$A$9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Results!$J$3:$J$9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6.5400999999999998</c:v>
                      </c:pt>
                      <c:pt idx="1">
                        <c:v>6.2008999999999999</c:v>
                      </c:pt>
                      <c:pt idx="2">
                        <c:v>6.1028000000000002</c:v>
                      </c:pt>
                      <c:pt idx="3">
                        <c:v>4.0587</c:v>
                      </c:pt>
                      <c:pt idx="4">
                        <c:v>5.8151000000000002</c:v>
                      </c:pt>
                      <c:pt idx="5">
                        <c:v>5.5239000000000003</c:v>
                      </c:pt>
                      <c:pt idx="6">
                        <c:v>7.2542999999999997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504-4CE4-A4E9-E0147784F776}"/>
                  </c:ext>
                </c:extLst>
              </c15:ser>
            </c15:filteredLineSeries>
          </c:ext>
        </c:extLst>
      </c:lineChart>
      <c:catAx>
        <c:axId val="30955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72288"/>
        <c:crosses val="autoZero"/>
        <c:auto val="1"/>
        <c:lblAlgn val="ctr"/>
        <c:lblOffset val="100"/>
        <c:noMultiLvlLbl val="0"/>
      </c:catAx>
      <c:valAx>
        <c:axId val="3098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</a:t>
                </a:r>
                <a:r>
                  <a:rPr lang="en-US" baseline="0"/>
                  <a:t> (kPa)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53856"/>
        <c:crosses val="autoZero"/>
        <c:crossBetween val="between"/>
      </c:valAx>
      <c:valAx>
        <c:axId val="423517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7536"/>
        <c:crosses val="max"/>
        <c:crossBetween val="between"/>
      </c:valAx>
      <c:catAx>
        <c:axId val="31108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51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Predicted VP 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Predicted VP Histogram</a:t>
          </a:r>
        </a:p>
      </cx:txPr>
    </cx:title>
    <cx:plotArea>
      <cx:plotAreaRegion>
        <cx:series layoutId="clusteredColumn" uniqueId="{8A79ABDD-3AD2-488B-B272-58C89214C561}">
          <cx:tx>
            <cx:txData>
              <cx:f>_xlchart.v1.0</cx:f>
              <cx:v>Predicted VP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VP (kPa)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VP (kPa)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0</xdr:rowOff>
    </xdr:from>
    <xdr:to>
      <xdr:col>14</xdr:col>
      <xdr:colOff>0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B7BF44-1F8C-42BC-B968-0CED6C047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2286000"/>
              <a:ext cx="7029450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9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44AC3-FB0C-46F5-939E-B3A59027C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ndraenergy-my.sharepoint.com/personal/scott_graham_teml_com/Documents/Documents/Marketing/VP/Post%20Split/VP%20Sim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"/>
      <sheetName val="Predictions"/>
      <sheetName val="Lookups"/>
      <sheetName val="VP Data"/>
      <sheetName val="VP Data Complete"/>
      <sheetName val="Weather Data Raw Input"/>
      <sheetName val="Weather Data Raw"/>
      <sheetName val="Weather Data"/>
      <sheetName val="VP Simulation"/>
      <sheetName val="KS - Test"/>
      <sheetName val="VP Simulation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id="2" name="vp.tbl" displayName="vp.tbl" ref="A1:AQ1733" totalsRowShown="0">
  <autoFilter ref="A1:AQ1733"/>
  <tableColumns count="43">
    <tableColumn id="1" name="ID"/>
    <tableColumn id="2" name="Producer"/>
    <tableColumn id="3" name="Producer.1"/>
    <tableColumn id="4" name="Battery"/>
    <tableColumn id="5" name="Battery.1"/>
    <tableColumn id="6" name="SDate" dataDxfId="102"/>
    <tableColumn id="7" name="VP" dataDxfId="101"/>
    <tableColumn id="8" name="Sulf Input" dataDxfId="100"/>
    <tableColumn id="9" name="Sulf" dataDxfId="99"/>
    <tableColumn id="10" name="S.Temp" dataDxfId="98"/>
    <tableColumn id="11" name="A.Temp" dataDxfId="97"/>
    <tableColumn id="12" name="Dens Input" dataDxfId="96"/>
    <tableColumn id="13" name="Dens" dataDxfId="95"/>
    <tableColumn id="14" name="Temp.Mean" dataDxfId="94">
      <calculatedColumnFormula>INDEX(INDIRECT(_xlfn.CONCAT("weather.tbl[",N$1,"]")),MATCH(vp.tbl[[#This Row],[SDate]],weather.tbl[Date],0))</calculatedColumnFormula>
    </tableColumn>
    <tableColumn id="15" name="Temp.Roll" dataDxfId="93">
      <calculatedColumnFormula>INDEX(INDIRECT(_xlfn.CONCAT("weather.tbl[",O$1,"]")),MATCH(vp.tbl[[#This Row],[SDate]],weather.tbl[Date],0))</calculatedColumnFormula>
    </tableColumn>
    <tableColumn id="16" name="Estevan" dataDxfId="92">
      <calculatedColumnFormula>INDEX(INDIRECT(_xlfn.CONCAT("weather.tbl[",P$1,"]")),MATCH(vp.tbl[[#This Row],[SDate]],weather.tbl[Date],0))</calculatedColumnFormula>
    </tableColumn>
    <tableColumn id="17" name="Weyburn" dataDxfId="91">
      <calculatedColumnFormula>INDEX(INDIRECT(_xlfn.CONCAT("weather.tbl[",Q$1,"]")),MATCH(vp.tbl[[#This Row],[SDate]],weather.tbl[Date],0))</calculatedColumnFormula>
    </tableColumn>
    <tableColumn id="18" name="Oxbow" dataDxfId="90">
      <calculatedColumnFormula>INDEX(INDIRECT(_xlfn.CONCAT("weather.tbl[",R$1,"]")),MATCH(vp.tbl[[#This Row],[SDate]],weather.tbl[Date],0))</calculatedColumnFormula>
    </tableColumn>
    <tableColumn id="19" name="Yellow Grass North" dataDxfId="89">
      <calculatedColumnFormula>INDEX(INDIRECT(_xlfn.CONCAT("weather.tbl[",S$1,"]")),MATCH(vp.tbl[[#This Row],[SDate]],weather.tbl[Date],0))</calculatedColumnFormula>
    </tableColumn>
    <tableColumn id="20" name="Melita" dataDxfId="88">
      <calculatedColumnFormula>INDEX(INDIRECT(_xlfn.CONCAT("weather.tbl[",T$1,"]")),MATCH(vp.tbl[[#This Row],[SDate]],weather.tbl[Date],0))</calculatedColumnFormula>
    </tableColumn>
    <tableColumn id="21" name="Kipling" dataDxfId="87">
      <calculatedColumnFormula>INDEX(INDIRECT(_xlfn.CONCAT("weather.tbl[",U$1,"]")),MATCH(vp.tbl[[#This Row],[SDate]],weather.tbl[Date],0))</calculatedColumnFormula>
    </tableColumn>
    <tableColumn id="22" name="VolumeM3" dataDxfId="86"/>
    <tableColumn id="23" name="CrudeType"/>
    <tableColumn id="24" name="Unknown">
      <calculatedColumnFormula>IF(OR(vp.tbl[[#This Row],[Sulf]]="",vp.tbl[[#This Row],[Dens]]=""),1,0)</calculatedColumnFormula>
    </tableColumn>
    <tableColumn id="25" name="C5">
      <calculatedColumnFormula>IF(vp.tbl[[#This Row],[CrudeType]]="C5+",1,0)</calculatedColumnFormula>
    </tableColumn>
    <tableColumn id="26" name="Light_LSB">
      <calculatedColumnFormula>IF(AND(vp.tbl[[#This Row],[CrudeType]]="Crude",vp.tbl[[#This Row],[Dens]]&lt;=825,vp.tbl[[#This Row],[Sulf]]&gt;0.5,vp.tbl[[#This Row],[Unknown]]=0),1,0)</calculatedColumnFormula>
    </tableColumn>
    <tableColumn id="27" name="Light_SW">
      <calculatedColumnFormula>IF(AND(vp.tbl[[#This Row],[CrudeType]]="Crude",vp.tbl[[#This Row],[Dens]]&lt;=825,vp.tbl[[#This Row],[Sulf]]&lt;=0.5,vp.tbl[[#This Row],[Unknown]]=0),1,0)</calculatedColumnFormula>
    </tableColumn>
    <tableColumn id="28" name="Medium_LSB">
      <calculatedColumnFormula>IF(AND(vp.tbl[[#This Row],[CrudeType]]="Crude",vp.tbl[[#This Row],[Dens]]&gt;825,vp.tbl[[#This Row],[Dens]]&lt;=870,vp.tbl[[#This Row],[Sulf]]&gt;0.5,vp.tbl[[#This Row],[Unknown]]=0),1,0)</calculatedColumnFormula>
    </tableColumn>
    <tableColumn id="29" name="Medium_SW">
      <calculatedColumnFormula>IF(AND(vp.tbl[[#This Row],[CrudeType]]="Crude",vp.tbl[[#This Row],[Dens]]&gt;825,vp.tbl[[#This Row],[Dens]]&lt;=900,vp.tbl[[#This Row],[Sulf]]&lt;=0.5,vp.tbl[[#This Row],[Unknown]]=0),1,0)</calculatedColumnFormula>
    </tableColumn>
    <tableColumn id="30" name="Midale">
      <calculatedColumnFormula>IF(AND(vp.tbl[[#This Row],[CrudeType]]="Crude",vp.tbl[[#This Row],[Dens]]&gt;870,vp.tbl[[#This Row],[Dens]]&lt;=900,vp.tbl[[#This Row],[Sulf]]&gt;0.5,vp.tbl[[#This Row],[Unknown]]=0),1,0)</calculatedColumnFormula>
    </tableColumn>
    <tableColumn id="31" name="Heavy_Sour">
      <calculatedColumnFormula>IF(AND(vp.tbl[[#This Row],[CrudeType]]="Crude",vp.tbl[[#This Row],[Dens]]&gt;900,vp.tbl[[#This Row],[Sulf]]&lt;=0.5,vp.tbl[[#This Row],[Unknown]]=0),1,0)</calculatedColumnFormula>
    </tableColumn>
    <tableColumn id="32" name="Heavy_SW">
      <calculatedColumnFormula>IF(AND(vp.tbl[[#This Row],[CrudeType]]="Crude",vp.tbl[[#This Row],[Dens]]&gt;900,vp.tbl[[#This Row],[Sulf]]&lt;=0.5,vp.tbl[[#This Row],[Unknown]]=0),1,0)</calculatedColumnFormula>
    </tableColumn>
    <tableColumn id="33" name="Crude_Breakdown">
      <calculatedColumnFormula>INDEX(vp.tbl[[#Headers],[Unknown]:[Heavy_SW]],MATCH(1,vp.tbl[[#This Row],[Unknown]:[Heavy_SW]],0))</calculatedColumnFormula>
    </tableColumn>
    <tableColumn id="34" name="Crude_Num">
      <calculatedColumnFormula>INDEX([1]!crudeBD.lkup[Number],MATCH(vp.tbl[[#This Row],[Crude_Breakdown]],[1]!crudeBD.lkup[Crude Breakdown],0))</calculatedColumnFormula>
    </tableColumn>
    <tableColumn id="35" name="mth" dataDxfId="85">
      <calculatedColumnFormula>MONTH(vp.tbl[[#This Row],[SDate]])</calculatedColumnFormula>
    </tableColumn>
    <tableColumn id="36" name="Net Sulf" dataDxfId="84">
      <calculatedColumnFormula>IFERROR(vp.tbl[[#This Row],[Sulf]]*vp.tbl[[#This Row],[Net Dens]],"")</calculatedColumnFormula>
    </tableColumn>
    <tableColumn id="37" name="Net Dens" dataDxfId="83">
      <calculatedColumnFormula>IFERROR(vp.tbl[[#This Row],[Dens]]*vp.tbl[[#This Row],[VolumeM3]],"")</calculatedColumnFormula>
    </tableColumn>
    <tableColumn id="38" name="Net VP" dataDxfId="82">
      <calculatedColumnFormula>IFERROR(vp.tbl[[#This Row],[VP]]*vp.tbl[[#This Row],[VolumeM3]],"")</calculatedColumnFormula>
    </tableColumn>
    <tableColumn id="39" name="SS_VP" dataDxfId="81" dataCellStyle="Comma">
      <calculatedColumnFormula>IFERROR((vp.tbl[[#This Row],[VP]]-INDEX(crudeBD.lkup.complete[Mean_VP],MATCH(vp.tbl[[#This Row],[Crude_Breakdown]],crudeBD.lkup.complete[Crude Breakdown],0)))^2,"")</calculatedColumnFormula>
    </tableColumn>
    <tableColumn id="40" name="SS_Dens" dataDxfId="80" dataCellStyle="Comma">
      <calculatedColumnFormula>IFERROR((vp.tbl[[#This Row],[Dens]]-INDEX(crudeBD.lkup.complete[Mean_Dens],MATCH(vp.tbl[[#This Row],[Crude_Breakdown]],crudeBD.lkup.complete[Crude Breakdown],0)))^2,"")</calculatedColumnFormula>
    </tableColumn>
    <tableColumn id="41" name="SS_Sulf" dataDxfId="79" dataCellStyle="Comma">
      <calculatedColumnFormula>IFERROR((vp.tbl[[#This Row],[Sulf]]-INDEX(crudeBD.lkup.complete[Mean_Sulf],MATCH(vp.tbl[[#This Row],[Crude_Breakdown]],crudeBD.lkup.complete[Crude Breakdown],0)))^2,"")</calculatedColumnFormula>
    </tableColumn>
    <tableColumn id="42" name="VP_95_Spec" dataDxfId="1">
      <calculatedColumnFormula>IF(AND(vp.tbl[[#This Row],[SDate]]&gt;=DATE(YEAR(vp.tbl[[#This Row],[SDate]]),5,1),vp.tbl[[#This Row],[SDate]]&lt;=DATE(YEAR(vp.tbl[[#This Row],[SDate]]),9,15)),1,0)</calculatedColumnFormula>
    </tableColumn>
    <tableColumn id="43" name="Post_Aquisition" dataDxfId="0" dataCellStyle="Comma">
      <calculatedColumnFormula>IF(vp.tbl[[#This Row],[SDate]]&lt;DATE(2016,12,1),0,1)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weather.tbl" displayName="weather.tbl" ref="A1:M1281" totalsRowShown="0">
  <autoFilter ref="A1:M1281"/>
  <tableColumns count="13">
    <tableColumn id="1" name="Date" dataDxfId="78"/>
    <tableColumn id="2" name="Estevan" dataDxfId="77"/>
    <tableColumn id="3" name="Weyburn" dataDxfId="76"/>
    <tableColumn id="4" name="Oxbow" dataDxfId="75"/>
    <tableColumn id="5" name="Yellow Grass North" dataDxfId="74"/>
    <tableColumn id="6" name="Melita" dataDxfId="73"/>
    <tableColumn id="7" name="Kipling" dataDxfId="72"/>
    <tableColumn id="8" name="Temp.Mean" dataDxfId="71">
      <calculatedColumnFormula>AVERAGE(weather.tbl[[#This Row],[Estevan]:[Kipling]])</calculatedColumnFormula>
    </tableColumn>
    <tableColumn id="9" name="SD" dataDxfId="70">
      <calculatedColumnFormula>_xlfn.STDEV.S(weather.tbl[[#This Row],[Estevan]:[Kipling]])</calculatedColumnFormula>
    </tableColumn>
    <tableColumn id="10" name="Temp.Roll" dataDxfId="69"/>
    <tableColumn id="11" name="day" dataDxfId="68">
      <calculatedColumnFormula>DAY(weather.tbl[[#This Row],[Date]])</calculatedColumnFormula>
    </tableColumn>
    <tableColumn id="12" name="mth" dataDxfId="67">
      <calculatedColumnFormula>MONTH(weather.tbl[[#This Row],[Date]])</calculatedColumnFormula>
    </tableColumn>
    <tableColumn id="13" name="yr" dataDxfId="66">
      <calculatedColumnFormula>YEAR(weather.tbl[[#This Row],[Date]])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mthLkUp.tbl" displayName="mthLkUp.tbl" ref="A1:B13" totalsRowShown="0">
  <autoFilter ref="A1:B13"/>
  <tableColumns count="2">
    <tableColumn id="1" name="Month"/>
    <tableColumn id="2" name="Nu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crudeBD.lkup.complete" displayName="crudeBD.lkup.complete" ref="D1:K11" totalsRowShown="0">
  <autoFilter ref="D1:K11"/>
  <tableColumns count="8">
    <tableColumn id="1" name="Crude Breakdown"/>
    <tableColumn id="2" name="Number"/>
    <tableColumn id="3" name="Mean_VP" dataDxfId="65">
      <calculatedColumnFormula>IFERROR(AVERAGEIFS(vp.tbl[VP],vp.tbl[Crude_Breakdown],_xlfn.CONCAT("=",crudeBD.lkup.complete[[#This Row],[Crude Breakdown]])),"")</calculatedColumnFormula>
    </tableColumn>
    <tableColumn id="4" name="SD_VP" dataDxfId="64">
      <calculatedColumnFormula>SQRT(SUMIFS(vp.tbl[SS_VP],vp.tbl[Crude_Breakdown],_xlfn.CONCAT("=",crudeBD.lkup.complete[[#This Row],[Crude Breakdown]]))/(COUNTIF(vp.tbl[Crude_Breakdown],crudeBD.lkup.complete[[#This Row],[Crude Breakdown]])-1))</calculatedColumnFormula>
    </tableColumn>
    <tableColumn id="7" name="Mean_Dens" dataDxfId="63">
      <calculatedColumnFormula>IFERROR(AVERAGEIFS(vp.tbl[Dens],vp.tbl[Crude_Breakdown],_xlfn.CONCAT("=",crudeBD.lkup.complete[[#This Row],[Crude Breakdown]])),"")</calculatedColumnFormula>
    </tableColumn>
    <tableColumn id="5" name="SD_Dens" dataDxfId="62">
      <calculatedColumnFormula>SQRT(SUMIFS(vp.tbl[SS_Dens],vp.tbl[Crude_Breakdown],_xlfn.CONCAT("=",crudeBD.lkup.complete[[#This Row],[Crude Breakdown]]))/(COUNTIF(vp.tbl[Crude_Breakdown],crudeBD.lkup.complete[[#This Row],[Crude Breakdown]])-1))</calculatedColumnFormula>
    </tableColumn>
    <tableColumn id="6" name="Mean_Sulf" dataDxfId="61">
      <calculatedColumnFormula>IFERROR(AVERAGEIFS(vp.tbl[Sulf],vp.tbl[Crude_Breakdown],_xlfn.CONCAT("=",crudeBD.lkup.complete[[#This Row],[Crude Breakdown]])),"")</calculatedColumnFormula>
    </tableColumn>
    <tableColumn id="8" name="SD_Sulf" dataDxfId="60">
      <calculatedColumnFormula>IFERROR(SQRT(SUMIFS(vp.tbl[SS_Sulf],vp.tbl[Crude_Breakdown],_xlfn.CONCAT("=",crudeBD.lkup.complete[[#This Row],[Crude Breakdown]]))/(COUNTIF(vp.tbl[Crude_Breakdown],crudeBD.lkup.complete[[#This Row],[Crude Breakdown]])-1)),0)</calculatedColumnFormula>
    </tableColumn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5" name="sim.tbl" displayName="sim.tbl" ref="D3:BI204" totalsRowShown="0">
  <autoFilter ref="D3:BI204"/>
  <tableColumns count="58">
    <tableColumn id="57" name="Predicted VP" dataDxfId="59">
      <calculatedColumnFormula>SUMPRODUCT($F$1:$BI$1,sim.tbl[[#This Row],[Intercept]:[Temp.Roll:Heavy_SW]])</calculatedColumnFormula>
    </tableColumn>
    <tableColumn id="1" name="SDate" dataDxfId="58">
      <calculatedColumnFormula>DATE(YEAR(TODAY()),INDEX(mthLkUp.tbl[Num],MATCH(mth.input,mthLkUp.tbl[Month],0)),1)</calculatedColumnFormula>
    </tableColumn>
    <tableColumn id="2" name="Intercept" dataDxfId="57">
      <calculatedColumnFormula>1</calculatedColumnFormula>
    </tableColumn>
    <tableColumn id="3" name="Sulf" dataDxfId="56"/>
    <tableColumn id="4" name="Dens" dataDxfId="55"/>
    <tableColumn id="5" name="Temp.Mean" dataDxfId="54"/>
    <tableColumn id="6" name="Temp.Roll" dataDxfId="53"/>
    <tableColumn id="7" name="Estevan" dataDxfId="52"/>
    <tableColumn id="8" name="Weyburn" dataDxfId="51"/>
    <tableColumn id="9" name="Oxbow" dataDxfId="50"/>
    <tableColumn id="10" name="Yellow Grass North" dataDxfId="49"/>
    <tableColumn id="11" name="Melita" dataDxfId="48"/>
    <tableColumn id="12" name="Kipling" dataDxfId="47"/>
    <tableColumn id="13" name="C5" dataDxfId="46">
      <calculatedColumnFormula>IF(sim.tbl[[#This Row],[Dens]]&lt;=770,1,0)</calculatedColumnFormula>
    </tableColumn>
    <tableColumn id="14" name="Light_LSB" dataDxfId="45">
      <calculatedColumnFormula>IF(AND(sim.tbl[[#This Row],[Sulf]]&gt;0.5,sim.tbl[[#This Row],[Dens]]&gt;770,sim.tbl[[#This Row],[Dens]]&lt;=825),1,0)</calculatedColumnFormula>
    </tableColumn>
    <tableColumn id="15" name="Light_SW" dataDxfId="44">
      <calculatedColumnFormula>IF(AND(sim.tbl[[#This Row],[Sulf]]&lt;=0.5,sim.tbl[[#This Row],[Dens]]&gt;770,sim.tbl[[#This Row],[Dens]]&lt;=825),1,0)</calculatedColumnFormula>
    </tableColumn>
    <tableColumn id="16" name="Medium_LSB" dataDxfId="43">
      <calculatedColumnFormula>IF(AND(sim.tbl[[#This Row],[Sulf]]&gt;0.5,sim.tbl[[#This Row],[Dens]]&gt;825,sim.tbl[[#This Row],[Dens]]&lt;=870),1,0)</calculatedColumnFormula>
    </tableColumn>
    <tableColumn id="17" name="Medium_SW" dataDxfId="42">
      <calculatedColumnFormula>IF(AND(sim.tbl[[#This Row],[Sulf]]&lt;0.5,sim.tbl[[#This Row],[Dens]]&gt;825,sim.tbl[[#This Row],[Dens]]&lt;=900),1,0)</calculatedColumnFormula>
    </tableColumn>
    <tableColumn id="18" name="Midale" dataDxfId="41">
      <calculatedColumnFormula>IF(AND(sim.tbl[[#This Row],[Sulf]]&gt;0.5,sim.tbl[[#This Row],[Dens]]&gt;870,sim.tbl[[#This Row],[Dens]]&lt;=900),1,0)</calculatedColumnFormula>
    </tableColumn>
    <tableColumn id="19" name="Heavy_Sour" dataDxfId="40">
      <calculatedColumnFormula>IF(AND(sim.tbl[[#This Row],[Sulf]]&gt;0.5,sim.tbl[[#This Row],[Dens]]&gt;900),1,0)</calculatedColumnFormula>
    </tableColumn>
    <tableColumn id="20" name="Heavy_SW" dataDxfId="39">
      <calculatedColumnFormula>IF(AND(sim.tbl[[#This Row],[Sulf]]&lt;=0.5,sim.tbl[[#This Row],[Dens]]&gt;900),1,0)</calculatedColumnFormula>
    </tableColumn>
    <tableColumn id="21" name="Jan" dataDxfId="38">
      <calculatedColumnFormula>IF(MONTH(sim.tbl[[#This Row],[SDate]])=INDEX(mthLkUp.tbl[Num],MATCH(Y$3,mthLkUp.tbl[Month],0)),1,0)</calculatedColumnFormula>
    </tableColumn>
    <tableColumn id="22" name="Feb" dataDxfId="37">
      <calculatedColumnFormula>IF(MONTH(sim.tbl[[#This Row],[SDate]])=INDEX(mthLkUp.tbl[Num],MATCH(Z$3,mthLkUp.tbl[Month],0)),1,0)</calculatedColumnFormula>
    </tableColumn>
    <tableColumn id="23" name="Mar" dataDxfId="36">
      <calculatedColumnFormula>IF(MONTH(sim.tbl[[#This Row],[SDate]])=INDEX(mthLkUp.tbl[Num],MATCH(AA$3,mthLkUp.tbl[Month],0)),1,0)</calculatedColumnFormula>
    </tableColumn>
    <tableColumn id="24" name="Apr" dataDxfId="35">
      <calculatedColumnFormula>IF(MONTH(sim.tbl[[#This Row],[SDate]])=INDEX(mthLkUp.tbl[Num],MATCH(AB$3,mthLkUp.tbl[Month],0)),1,0)</calculatedColumnFormula>
    </tableColumn>
    <tableColumn id="25" name="May" dataDxfId="34">
      <calculatedColumnFormula>IF(MONTH(sim.tbl[[#This Row],[SDate]])=INDEX(mthLkUp.tbl[Num],MATCH(AC$3,mthLkUp.tbl[Month],0)),1,0)</calculatedColumnFormula>
    </tableColumn>
    <tableColumn id="26" name="Jun" dataDxfId="33">
      <calculatedColumnFormula>IF(MONTH(sim.tbl[[#This Row],[SDate]])=INDEX(mthLkUp.tbl[Num],MATCH(AD$3,mthLkUp.tbl[Month],0)),1,0)</calculatedColumnFormula>
    </tableColumn>
    <tableColumn id="27" name="Jul" dataDxfId="32">
      <calculatedColumnFormula>IF(MONTH(sim.tbl[[#This Row],[SDate]])=INDEX(mthLkUp.tbl[Num],MATCH(AE$3,mthLkUp.tbl[Month],0)),1,0)</calculatedColumnFormula>
    </tableColumn>
    <tableColumn id="28" name="Aug" dataDxfId="31">
      <calculatedColumnFormula>IF(MONTH(sim.tbl[[#This Row],[SDate]])=INDEX(mthLkUp.tbl[Num],MATCH(AF$3,mthLkUp.tbl[Month],0)),1,0)</calculatedColumnFormula>
    </tableColumn>
    <tableColumn id="29" name="Sep" dataDxfId="30">
      <calculatedColumnFormula>IF(MONTH(sim.tbl[[#This Row],[SDate]])=INDEX(mthLkUp.tbl[Num],MATCH(AG$3,mthLkUp.tbl[Month],0)),1,0)</calculatedColumnFormula>
    </tableColumn>
    <tableColumn id="30" name="Oct" dataDxfId="29">
      <calculatedColumnFormula>IF(MONTH(sim.tbl[[#This Row],[SDate]])=INDEX(mthLkUp.tbl[Num],MATCH(AH$3,mthLkUp.tbl[Month],0)),1,0)</calculatedColumnFormula>
    </tableColumn>
    <tableColumn id="31" name="Nov" dataDxfId="28">
      <calculatedColumnFormula>IF(MONTH(sim.tbl[[#This Row],[SDate]])=INDEX(mthLkUp.tbl[Num],MATCH(AI$3,mthLkUp.tbl[Month],0)),1,0)</calculatedColumnFormula>
    </tableColumn>
    <tableColumn id="32" name="Dec" dataDxfId="27">
      <calculatedColumnFormula>IF(MONTH(sim.tbl[[#This Row],[SDate]])=INDEX(mthLkUp.tbl[Num],MATCH(AJ$3,mthLkUp.tbl[Month],0)),1,0)</calculatedColumnFormula>
    </tableColumn>
    <tableColumn id="58" name="Post_Aquisition" dataDxfId="2"/>
    <tableColumn id="33" name="Sulf:C5" dataDxfId="26">
      <calculatedColumnFormula>sim.tbl[[#This Row],[Sulf]]*sim.tbl[[#This Row],[C5]]</calculatedColumnFormula>
    </tableColumn>
    <tableColumn id="34" name="Sulf:Light_LSB" dataDxfId="25">
      <calculatedColumnFormula>sim.tbl[[#This Row],[Sulf]]*sim.tbl[[#This Row],[Light_LSB]]</calculatedColumnFormula>
    </tableColumn>
    <tableColumn id="35" name="Sulf:Light_SW" dataDxfId="24">
      <calculatedColumnFormula>sim.tbl[[#This Row],[Sulf]]*sim.tbl[[#This Row],[Light_SW]]</calculatedColumnFormula>
    </tableColumn>
    <tableColumn id="36" name="Sulf:Medium_LSB" dataDxfId="23">
      <calculatedColumnFormula>sim.tbl[[#This Row],[Sulf]]*sim.tbl[[#This Row],[Medium_LSB]]</calculatedColumnFormula>
    </tableColumn>
    <tableColumn id="37" name="Sulf:Medium_SW" dataDxfId="22">
      <calculatedColumnFormula>sim.tbl[[#This Row],[Sulf]]*sim.tbl[[#This Row],[Medium_SW]]</calculatedColumnFormula>
    </tableColumn>
    <tableColumn id="38" name="Sulf:Midale" dataDxfId="21">
      <calculatedColumnFormula>sim.tbl[[#This Row],[Sulf]]*sim.tbl[[#This Row],[Midale]]</calculatedColumnFormula>
    </tableColumn>
    <tableColumn id="39" name="Sulf:Heavy_Sour" dataDxfId="20">
      <calculatedColumnFormula>sim.tbl[[#This Row],[Sulf]]*sim.tbl[[#This Row],[Heavy_Sour]]</calculatedColumnFormula>
    </tableColumn>
    <tableColumn id="40" name="Sulf:Heavy_SW" dataDxfId="19">
      <calculatedColumnFormula>sim.tbl[[#This Row],[Sulf]]*sim.tbl[[#This Row],[Heavy_SW]]</calculatedColumnFormula>
    </tableColumn>
    <tableColumn id="41" name="Dens:C5" dataDxfId="18">
      <calculatedColumnFormula>sim.tbl[[#This Row],[Dens]]*sim.tbl[[#This Row],[C5]]</calculatedColumnFormula>
    </tableColumn>
    <tableColumn id="42" name="Dens:Light_LSB" dataDxfId="17">
      <calculatedColumnFormula>sim.tbl[[#This Row],[Dens]]*sim.tbl[[#This Row],[Light_LSB]]</calculatedColumnFormula>
    </tableColumn>
    <tableColumn id="43" name="Dens:Light_SW" dataDxfId="16">
      <calculatedColumnFormula>sim.tbl[[#This Row],[Dens]]*sim.tbl[[#This Row],[Light_SW]]</calculatedColumnFormula>
    </tableColumn>
    <tableColumn id="44" name="Dens:Medium_LSB" dataDxfId="15">
      <calculatedColumnFormula>sim.tbl[[#This Row],[Dens]]*sim.tbl[[#This Row],[Medium_LSB]]</calculatedColumnFormula>
    </tableColumn>
    <tableColumn id="45" name="Dens:Medium_SW" dataDxfId="14">
      <calculatedColumnFormula>sim.tbl[[#This Row],[Dens]]*sim.tbl[[#This Row],[Medium_SW]]</calculatedColumnFormula>
    </tableColumn>
    <tableColumn id="46" name="Dens:Midale" dataDxfId="13">
      <calculatedColumnFormula>sim.tbl[[#This Row],[Dens]]*sim.tbl[[#This Row],[Midale]]</calculatedColumnFormula>
    </tableColumn>
    <tableColumn id="47" name="Dens:Heavy_Sour" dataDxfId="12">
      <calculatedColumnFormula>sim.tbl[[#This Row],[Dens]]*sim.tbl[[#This Row],[Heavy_Sour]]</calculatedColumnFormula>
    </tableColumn>
    <tableColumn id="48" name="Dens:Heavy_SW" dataDxfId="11">
      <calculatedColumnFormula>sim.tbl[[#This Row],[Dens]]*sim.tbl[[#This Row],[Heavy_SW]]</calculatedColumnFormula>
    </tableColumn>
    <tableColumn id="49" name="Temp.Roll:C5" dataDxfId="10">
      <calculatedColumnFormula>sim.tbl[[#This Row],[Temp.Roll]]*sim.tbl[[#This Row],[C5]]</calculatedColumnFormula>
    </tableColumn>
    <tableColumn id="50" name="Temp.Roll:Light_LSB" dataDxfId="9">
      <calculatedColumnFormula>sim.tbl[[#This Row],[Temp.Roll]]*sim.tbl[[#This Row],[Light_LSB]]</calculatedColumnFormula>
    </tableColumn>
    <tableColumn id="51" name="Temp.Roll:Light_SW" dataDxfId="8">
      <calculatedColumnFormula>sim.tbl[[#This Row],[Temp.Roll]]*sim.tbl[[#This Row],[Light_SW]]</calculatedColumnFormula>
    </tableColumn>
    <tableColumn id="52" name="Temp.Roll:Medium_LSB" dataDxfId="7">
      <calculatedColumnFormula>sim.tbl[[#This Row],[Temp.Roll]]*sim.tbl[[#This Row],[Medium_LSB]]</calculatedColumnFormula>
    </tableColumn>
    <tableColumn id="53" name="Temp.Roll:Medium_SW" dataDxfId="6">
      <calculatedColumnFormula>sim.tbl[[#This Row],[Temp.Roll]]*sim.tbl[[#This Row],[Medium_SW]]</calculatedColumnFormula>
    </tableColumn>
    <tableColumn id="54" name="Temp.Roll:Midale" dataDxfId="5">
      <calculatedColumnFormula>sim.tbl[[#This Row],[Temp.Roll]]*sim.tbl[[#This Row],[Midale]]</calculatedColumnFormula>
    </tableColumn>
    <tableColumn id="55" name="Temp.Roll:Heavy_Sour" dataDxfId="4">
      <calculatedColumnFormula>sim.tbl[[#This Row],[Temp.Roll]]*sim.tbl[[#This Row],[Heavy_Sour]]</calculatedColumnFormula>
    </tableColumn>
    <tableColumn id="56" name="Temp.Roll:Heavy_SW" dataDxfId="3">
      <calculatedColumnFormula>sim.tbl[[#This Row],[Temp.Roll]]*sim.tbl[[#This Row],[Heavy_SW]]</calculatedColumnFormula>
    </tableColumn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id="6" name="results.tbl" displayName="results.tbl" ref="A2:M9" totalsRowShown="0">
  <autoFilter ref="A2:M9"/>
  <tableColumns count="13">
    <tableColumn id="1" name="Iteration"/>
    <tableColumn id="2" name="Month"/>
    <tableColumn id="3" name="Density"/>
    <tableColumn id="4" name="Sulfur"/>
    <tableColumn id="5" name="Crude Type"/>
    <tableColumn id="6" name="7 Day Temperature Average"/>
    <tableColumn id="7" name="Mean Historical VP"/>
    <tableColumn id="8" name="Mean Predicted VP"/>
    <tableColumn id="9" name="Median Predicted VP"/>
    <tableColumn id="10" name="SD Predicted VP"/>
    <tableColumn id="11" name="Min Predicted VP"/>
    <tableColumn id="12" name="Max Predicted VP"/>
    <tableColumn id="13" name="Data Point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Set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6C2A5"/>
      </a:accent1>
      <a:accent2>
        <a:srgbClr val="FC8D62"/>
      </a:accent2>
      <a:accent3>
        <a:srgbClr val="8DA0CB"/>
      </a:accent3>
      <a:accent4>
        <a:srgbClr val="E78AC3"/>
      </a:accent4>
      <a:accent5>
        <a:srgbClr val="A6D854"/>
      </a:accent5>
      <a:accent6>
        <a:srgbClr val="FFD92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33"/>
  <sheetViews>
    <sheetView topLeftCell="X1" workbookViewId="0">
      <selection activeCell="AK11" sqref="AK11"/>
    </sheetView>
  </sheetViews>
  <sheetFormatPr defaultRowHeight="15" x14ac:dyDescent="0.25"/>
  <cols>
    <col min="1" max="1" width="5" bestFit="1" customWidth="1"/>
    <col min="2" max="3" width="34.28515625" bestFit="1" customWidth="1"/>
    <col min="4" max="4" width="18.5703125" bestFit="1" customWidth="1"/>
    <col min="5" max="5" width="11.140625" customWidth="1"/>
    <col min="6" max="6" width="10.7109375" bestFit="1" customWidth="1"/>
    <col min="7" max="7" width="7" bestFit="1" customWidth="1"/>
    <col min="8" max="8" width="11.7109375" customWidth="1"/>
    <col min="9" max="9" width="9" bestFit="1" customWidth="1"/>
    <col min="10" max="10" width="9.7109375" customWidth="1"/>
    <col min="11" max="11" width="10" customWidth="1"/>
    <col min="12" max="12" width="12.7109375" customWidth="1"/>
    <col min="13" max="13" width="7.5703125" customWidth="1"/>
    <col min="14" max="14" width="13.85546875" customWidth="1"/>
    <col min="15" max="15" width="12.7109375" bestFit="1" customWidth="1"/>
    <col min="16" max="16" width="10" customWidth="1"/>
    <col min="17" max="17" width="11.42578125" customWidth="1"/>
    <col min="18" max="18" width="9.42578125" customWidth="1"/>
    <col min="19" max="19" width="20.140625" customWidth="1"/>
    <col min="20" max="20" width="9" customWidth="1"/>
    <col min="21" max="21" width="9.28515625" customWidth="1"/>
    <col min="22" max="22" width="13" customWidth="1"/>
    <col min="23" max="23" width="12.7109375" customWidth="1"/>
    <col min="24" max="24" width="11.7109375" customWidth="1"/>
    <col min="25" max="25" width="5.28515625" customWidth="1"/>
    <col min="26" max="27" width="11.42578125" customWidth="1"/>
    <col min="28" max="29" width="14.7109375" customWidth="1"/>
    <col min="30" max="30" width="9.42578125" customWidth="1"/>
    <col min="31" max="31" width="13.5703125" customWidth="1"/>
    <col min="32" max="32" width="12.5703125" customWidth="1"/>
    <col min="33" max="33" width="19.42578125" customWidth="1"/>
    <col min="34" max="34" width="13.7109375" customWidth="1"/>
    <col min="35" max="35" width="6.7109375" customWidth="1"/>
    <col min="36" max="37" width="13.85546875" bestFit="1" customWidth="1"/>
    <col min="38" max="38" width="12.7109375" bestFit="1" customWidth="1"/>
    <col min="39" max="41" width="12" bestFit="1" customWidth="1"/>
    <col min="42" max="42" width="13.7109375" customWidth="1"/>
    <col min="43" max="43" width="17.42578125" bestFit="1" customWidth="1"/>
  </cols>
  <sheetData>
    <row r="1" spans="1:4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7</v>
      </c>
      <c r="O1" t="s">
        <v>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11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404</v>
      </c>
    </row>
    <row r="2" spans="1:43" x14ac:dyDescent="0.25">
      <c r="A2">
        <v>1</v>
      </c>
      <c r="B2" t="s">
        <v>46</v>
      </c>
      <c r="C2" t="s">
        <v>46</v>
      </c>
      <c r="D2" t="s">
        <v>47</v>
      </c>
      <c r="F2" s="1">
        <v>42279</v>
      </c>
      <c r="G2" s="2">
        <v>53.1</v>
      </c>
      <c r="H2" s="2"/>
      <c r="I2" s="2">
        <v>2.41</v>
      </c>
      <c r="J2" s="2"/>
      <c r="K2" s="2"/>
      <c r="L2" s="2"/>
      <c r="M2" s="2">
        <v>872.7</v>
      </c>
      <c r="N2" s="2">
        <f ca="1">INDEX(INDIRECT(_xlfn.CONCAT("weather.tbl[",N$1,"]")),MATCH(vp.tbl[[#This Row],[SDate]],weather.tbl[Date],0))</f>
        <v>11.733333333333334</v>
      </c>
      <c r="O2" s="2">
        <f ca="1">INDEX(INDIRECT(_xlfn.CONCAT("weather.tbl[",O$1,"]")),MATCH(vp.tbl[[#This Row],[SDate]],weather.tbl[Date],0))</f>
        <v>13.05</v>
      </c>
      <c r="P2" s="2">
        <f ca="1">INDEX(INDIRECT(_xlfn.CONCAT("weather.tbl[",P$1,"]")),MATCH(vp.tbl[[#This Row],[SDate]],weather.tbl[Date],0))</f>
        <v>10.9</v>
      </c>
      <c r="Q2" s="2">
        <f ca="1">INDEX(INDIRECT(_xlfn.CONCAT("weather.tbl[",Q$1,"]")),MATCH(vp.tbl[[#This Row],[SDate]],weather.tbl[Date],0))</f>
        <v>11.7</v>
      </c>
      <c r="R2" s="2">
        <f ca="1">INDEX(INDIRECT(_xlfn.CONCAT("weather.tbl[",R$1,"]")),MATCH(vp.tbl[[#This Row],[SDate]],weather.tbl[Date],0))</f>
        <v>11</v>
      </c>
      <c r="S2" s="2">
        <f ca="1">INDEX(INDIRECT(_xlfn.CONCAT("weather.tbl[",S$1,"]")),MATCH(vp.tbl[[#This Row],[SDate]],weather.tbl[Date],0))</f>
        <v>12.5</v>
      </c>
      <c r="T2" s="2">
        <f ca="1">INDEX(INDIRECT(_xlfn.CONCAT("weather.tbl[",T$1,"]")),MATCH(vp.tbl[[#This Row],[SDate]],weather.tbl[Date],0))</f>
        <v>13.5</v>
      </c>
      <c r="U2" s="2">
        <f ca="1">INDEX(INDIRECT(_xlfn.CONCAT("weather.tbl[",U$1,"]")),MATCH(vp.tbl[[#This Row],[SDate]],weather.tbl[Date],0))</f>
        <v>10.8</v>
      </c>
      <c r="V2" s="2">
        <v>115049.71</v>
      </c>
      <c r="W2" t="s">
        <v>48</v>
      </c>
      <c r="X2">
        <f>IF(OR(vp.tbl[[#This Row],[Sulf]]="",vp.tbl[[#This Row],[Dens]]=""),1,0)</f>
        <v>0</v>
      </c>
      <c r="Y2">
        <f>IF(vp.tbl[[#This Row],[CrudeType]]="C5+",1,0)</f>
        <v>0</v>
      </c>
      <c r="Z2">
        <f>IF(AND(vp.tbl[[#This Row],[CrudeType]]="Crude",vp.tbl[[#This Row],[Dens]]&lt;=825,vp.tbl[[#This Row],[Sulf]]&gt;0.5,vp.tbl[[#This Row],[Unknown]]=0),1,0)</f>
        <v>0</v>
      </c>
      <c r="AA2">
        <f>IF(AND(vp.tbl[[#This Row],[CrudeType]]="Crude",vp.tbl[[#This Row],[Dens]]&lt;=825,vp.tbl[[#This Row],[Sulf]]&lt;=0.5,vp.tbl[[#This Row],[Unknown]]=0),1,0)</f>
        <v>0</v>
      </c>
      <c r="AB2">
        <f>IF(AND(vp.tbl[[#This Row],[CrudeType]]="Crude",vp.tbl[[#This Row],[Dens]]&gt;825,vp.tbl[[#This Row],[Dens]]&lt;=870,vp.tbl[[#This Row],[Sulf]]&gt;0.5,vp.tbl[[#This Row],[Unknown]]=0),1,0)</f>
        <v>0</v>
      </c>
      <c r="AC2">
        <f>IF(AND(vp.tbl[[#This Row],[CrudeType]]="Crude",vp.tbl[[#This Row],[Dens]]&gt;825,vp.tbl[[#This Row],[Dens]]&lt;=900,vp.tbl[[#This Row],[Sulf]]&lt;=0.5,vp.tbl[[#This Row],[Unknown]]=0),1,0)</f>
        <v>0</v>
      </c>
      <c r="AD2">
        <f>IF(AND(vp.tbl[[#This Row],[CrudeType]]="Crude",vp.tbl[[#This Row],[Dens]]&gt;870,vp.tbl[[#This Row],[Dens]]&lt;=900,vp.tbl[[#This Row],[Sulf]]&gt;0.5,vp.tbl[[#This Row],[Unknown]]=0),1,0)</f>
        <v>1</v>
      </c>
      <c r="AE2">
        <f>IF(AND(vp.tbl[[#This Row],[CrudeType]]="Crude",vp.tbl[[#This Row],[Dens]]&gt;900,vp.tbl[[#This Row],[Sulf]]&lt;=0.5,vp.tbl[[#This Row],[Unknown]]=0),1,0)</f>
        <v>0</v>
      </c>
      <c r="AF2">
        <f>IF(AND(vp.tbl[[#This Row],[CrudeType]]="Crude",vp.tbl[[#This Row],[Dens]]&gt;900,vp.tbl[[#This Row],[Sulf]]&lt;=0.5,vp.tbl[[#This Row],[Unknown]]=0),1,0)</f>
        <v>0</v>
      </c>
      <c r="AG2" t="str">
        <f>INDEX(vp.tbl[[#Headers],[Unknown]:[Heavy_SW]],MATCH(1,vp.tbl[[#This Row],[Unknown]:[Heavy_SW]],0))</f>
        <v>Midale</v>
      </c>
      <c r="AH2" t="e">
        <f>INDEX([1]!crudeBD.lkup[Number],MATCH(vp.tbl[[#This Row],[Crude_Breakdown]],[1]!crudeBD.lkup[Crude Breakdown],0))</f>
        <v>#REF!</v>
      </c>
      <c r="AI2">
        <f>MONTH(vp.tbl[[#This Row],[SDate]])</f>
        <v>10</v>
      </c>
      <c r="AJ2" s="5">
        <f>IFERROR(vp.tbl[[#This Row],[Sulf]]*vp.tbl[[#This Row],[Net Dens]],"")</f>
        <v>241973355.41997004</v>
      </c>
      <c r="AK2" s="5">
        <f>IFERROR(vp.tbl[[#This Row],[Dens]]*vp.tbl[[#This Row],[VolumeM3]],"")</f>
        <v>100403881.91700001</v>
      </c>
      <c r="AL2" s="5">
        <f>IFERROR(vp.tbl[[#This Row],[VP]]*vp.tbl[[#This Row],[VolumeM3]],"")</f>
        <v>6109139.6010000007</v>
      </c>
      <c r="AM2" s="4">
        <f>IFERROR((vp.tbl[[#This Row],[VP]]-INDEX(crudeBD.lkup.complete[Mean_VP],MATCH(vp.tbl[[#This Row],[Crude_Breakdown]],crudeBD.lkup.complete[Crude Breakdown],0)))^2,"")</f>
        <v>229.16982735973014</v>
      </c>
      <c r="AN2" s="4">
        <f>IFERROR((vp.tbl[[#This Row],[Dens]]-INDEX(crudeBD.lkup.complete[Mean_Dens],MATCH(vp.tbl[[#This Row],[Crude_Breakdown]],crudeBD.lkup.complete[Crude Breakdown],0)))^2,"")</f>
        <v>23.542435729026458</v>
      </c>
      <c r="AO2" s="4">
        <f>IFERROR((vp.tbl[[#This Row],[Sulf]]-INDEX(crudeBD.lkup.complete[Mean_Sulf],MATCH(vp.tbl[[#This Row],[Crude_Breakdown]],crudeBD.lkup.complete[Crude Breakdown],0)))^2,"")</f>
        <v>2.8517063032449047E-5</v>
      </c>
      <c r="AP2">
        <f>IF(AND(vp.tbl[[#This Row],[SDate]]&gt;=DATE(YEAR(vp.tbl[[#This Row],[SDate]]),5,1),vp.tbl[[#This Row],[SDate]]&lt;=DATE(YEAR(vp.tbl[[#This Row],[SDate]]),9,15)),1,0)</f>
        <v>0</v>
      </c>
      <c r="AQ2" s="15">
        <f>IF(vp.tbl[[#This Row],[SDate]]&lt;DATE(2016,12,1),0,1)</f>
        <v>0</v>
      </c>
    </row>
    <row r="3" spans="1:43" x14ac:dyDescent="0.25">
      <c r="A3">
        <v>2</v>
      </c>
      <c r="B3" t="s">
        <v>49</v>
      </c>
      <c r="C3" t="s">
        <v>49</v>
      </c>
      <c r="D3" t="s">
        <v>50</v>
      </c>
      <c r="F3" s="1">
        <v>42279</v>
      </c>
      <c r="G3" s="2">
        <v>72.099999999999994</v>
      </c>
      <c r="H3" s="2"/>
      <c r="I3" s="2">
        <v>2.59</v>
      </c>
      <c r="J3" s="2"/>
      <c r="K3" s="2"/>
      <c r="L3" s="2"/>
      <c r="M3" s="2">
        <v>876</v>
      </c>
      <c r="N3" s="2">
        <f ca="1">INDEX(INDIRECT(_xlfn.CONCAT("weather.tbl[",N$1,"]")),MATCH(vp.tbl[[#This Row],[SDate]],weather.tbl[Date],0))</f>
        <v>11.733333333333334</v>
      </c>
      <c r="O3" s="2">
        <f ca="1">INDEX(INDIRECT(_xlfn.CONCAT("weather.tbl[",O$1,"]")),MATCH(vp.tbl[[#This Row],[SDate]],weather.tbl[Date],0))</f>
        <v>13.05</v>
      </c>
      <c r="P3" s="2">
        <f ca="1">INDEX(INDIRECT(_xlfn.CONCAT("weather.tbl[",P$1,"]")),MATCH(vp.tbl[[#This Row],[SDate]],weather.tbl[Date],0))</f>
        <v>10.9</v>
      </c>
      <c r="Q3" s="2">
        <f ca="1">INDEX(INDIRECT(_xlfn.CONCAT("weather.tbl[",Q$1,"]")),MATCH(vp.tbl[[#This Row],[SDate]],weather.tbl[Date],0))</f>
        <v>11.7</v>
      </c>
      <c r="R3" s="2">
        <f ca="1">INDEX(INDIRECT(_xlfn.CONCAT("weather.tbl[",R$1,"]")),MATCH(vp.tbl[[#This Row],[SDate]],weather.tbl[Date],0))</f>
        <v>11</v>
      </c>
      <c r="S3" s="2">
        <f ca="1">INDEX(INDIRECT(_xlfn.CONCAT("weather.tbl[",S$1,"]")),MATCH(vp.tbl[[#This Row],[SDate]],weather.tbl[Date],0))</f>
        <v>12.5</v>
      </c>
      <c r="T3" s="2">
        <f ca="1">INDEX(INDIRECT(_xlfn.CONCAT("weather.tbl[",T$1,"]")),MATCH(vp.tbl[[#This Row],[SDate]],weather.tbl[Date],0))</f>
        <v>13.5</v>
      </c>
      <c r="U3" s="2">
        <f ca="1">INDEX(INDIRECT(_xlfn.CONCAT("weather.tbl[",U$1,"]")),MATCH(vp.tbl[[#This Row],[SDate]],weather.tbl[Date],0))</f>
        <v>10.8</v>
      </c>
      <c r="V3" s="2">
        <v>7328.8639999999996</v>
      </c>
      <c r="W3" t="s">
        <v>48</v>
      </c>
      <c r="X3">
        <f>IF(OR(vp.tbl[[#This Row],[Sulf]]="",vp.tbl[[#This Row],[Dens]]=""),1,0)</f>
        <v>0</v>
      </c>
      <c r="Y3">
        <f>IF(vp.tbl[[#This Row],[CrudeType]]="C5+",1,0)</f>
        <v>0</v>
      </c>
      <c r="Z3">
        <f>IF(AND(vp.tbl[[#This Row],[CrudeType]]="Crude",vp.tbl[[#This Row],[Dens]]&lt;=825,vp.tbl[[#This Row],[Sulf]]&gt;0.5,vp.tbl[[#This Row],[Unknown]]=0),1,0)</f>
        <v>0</v>
      </c>
      <c r="AA3">
        <f>IF(AND(vp.tbl[[#This Row],[CrudeType]]="Crude",vp.tbl[[#This Row],[Dens]]&lt;=825,vp.tbl[[#This Row],[Sulf]]&lt;=0.5,vp.tbl[[#This Row],[Unknown]]=0),1,0)</f>
        <v>0</v>
      </c>
      <c r="AB3">
        <f>IF(AND(vp.tbl[[#This Row],[CrudeType]]="Crude",vp.tbl[[#This Row],[Dens]]&gt;825,vp.tbl[[#This Row],[Dens]]&lt;=870,vp.tbl[[#This Row],[Sulf]]&gt;0.5,vp.tbl[[#This Row],[Unknown]]=0),1,0)</f>
        <v>0</v>
      </c>
      <c r="AC3">
        <f>IF(AND(vp.tbl[[#This Row],[CrudeType]]="Crude",vp.tbl[[#This Row],[Dens]]&gt;825,vp.tbl[[#This Row],[Dens]]&lt;=900,vp.tbl[[#This Row],[Sulf]]&lt;=0.5,vp.tbl[[#This Row],[Unknown]]=0),1,0)</f>
        <v>0</v>
      </c>
      <c r="AD3">
        <f>IF(AND(vp.tbl[[#This Row],[CrudeType]]="Crude",vp.tbl[[#This Row],[Dens]]&gt;870,vp.tbl[[#This Row],[Dens]]&lt;=900,vp.tbl[[#This Row],[Sulf]]&gt;0.5,vp.tbl[[#This Row],[Unknown]]=0),1,0)</f>
        <v>1</v>
      </c>
      <c r="AE3">
        <f>IF(AND(vp.tbl[[#This Row],[CrudeType]]="Crude",vp.tbl[[#This Row],[Dens]]&gt;900,vp.tbl[[#This Row],[Sulf]]&lt;=0.5,vp.tbl[[#This Row],[Unknown]]=0),1,0)</f>
        <v>0</v>
      </c>
      <c r="AF3">
        <f>IF(AND(vp.tbl[[#This Row],[CrudeType]]="Crude",vp.tbl[[#This Row],[Dens]]&gt;900,vp.tbl[[#This Row],[Sulf]]&lt;=0.5,vp.tbl[[#This Row],[Unknown]]=0),1,0)</f>
        <v>0</v>
      </c>
      <c r="AG3" t="str">
        <f>INDEX(vp.tbl[[#Headers],[Unknown]:[Heavy_SW]],MATCH(1,vp.tbl[[#This Row],[Unknown]:[Heavy_SW]],0))</f>
        <v>Midale</v>
      </c>
      <c r="AH3" t="e">
        <f>INDEX([1]!crudeBD.lkup[Number],MATCH(vp.tbl[[#This Row],[Crude_Breakdown]],[1]!crudeBD.lkup[Crude Breakdown],0))</f>
        <v>#REF!</v>
      </c>
      <c r="AI3">
        <f>MONTH(vp.tbl[[#This Row],[SDate]])</f>
        <v>10</v>
      </c>
      <c r="AJ3" s="5">
        <f>IFERROR(vp.tbl[[#This Row],[Sulf]]*vp.tbl[[#This Row],[Net Dens]],"")</f>
        <v>16628019.797759999</v>
      </c>
      <c r="AK3" s="5">
        <f>IFERROR(vp.tbl[[#This Row],[Dens]]*vp.tbl[[#This Row],[VolumeM3]],"")</f>
        <v>6420084.8640000001</v>
      </c>
      <c r="AL3" s="5">
        <f>IFERROR(vp.tbl[[#This Row],[VP]]*vp.tbl[[#This Row],[VolumeM3]],"")</f>
        <v>528411.09439999994</v>
      </c>
      <c r="AM3" s="4">
        <f>IFERROR((vp.tbl[[#This Row],[VP]]-INDEX(crudeBD.lkup.complete[Mean_VP],MATCH(vp.tbl[[#This Row],[Crude_Breakdown]],crudeBD.lkup.complete[Crude Breakdown],0)))^2,"")</f>
        <v>14.912293113154293</v>
      </c>
      <c r="AN3" s="4">
        <f>IFERROR((vp.tbl[[#This Row],[Dens]]-INDEX(crudeBD.lkup.complete[Mean_Dens],MATCH(vp.tbl[[#This Row],[Crude_Breakdown]],crudeBD.lkup.complete[Crude Breakdown],0)))^2,"")</f>
        <v>2.4088740851932804</v>
      </c>
      <c r="AO3" s="4">
        <f>IFERROR((vp.tbl[[#This Row],[Sulf]]-INDEX(crudeBD.lkup.complete[Mean_Sulf],MATCH(vp.tbl[[#This Row],[Crude_Breakdown]],crudeBD.lkup.complete[Crude Breakdown],0)))^2,"")</f>
        <v>3.0506067747964355E-2</v>
      </c>
      <c r="AP3">
        <f>IF(AND(vp.tbl[[#This Row],[SDate]]&gt;=DATE(YEAR(vp.tbl[[#This Row],[SDate]]),5,1),vp.tbl[[#This Row],[SDate]]&lt;=DATE(YEAR(vp.tbl[[#This Row],[SDate]]),9,15)),1,0)</f>
        <v>0</v>
      </c>
      <c r="AQ3" s="15">
        <f>IF(vp.tbl[[#This Row],[SDate]]&lt;DATE(2016,12,1),0,1)</f>
        <v>0</v>
      </c>
    </row>
    <row r="4" spans="1:43" x14ac:dyDescent="0.25">
      <c r="A4">
        <v>3</v>
      </c>
      <c r="B4" t="s">
        <v>51</v>
      </c>
      <c r="C4" t="s">
        <v>51</v>
      </c>
      <c r="D4" t="s">
        <v>52</v>
      </c>
      <c r="F4" s="1">
        <v>42279</v>
      </c>
      <c r="G4" s="2">
        <v>104.8</v>
      </c>
      <c r="H4" s="2"/>
      <c r="I4" s="2">
        <v>2.2999999999999998</v>
      </c>
      <c r="J4" s="2"/>
      <c r="K4" s="2"/>
      <c r="L4" s="2"/>
      <c r="M4" s="2">
        <v>872</v>
      </c>
      <c r="N4" s="2">
        <f ca="1">INDEX(INDIRECT(_xlfn.CONCAT("weather.tbl[",N$1,"]")),MATCH(vp.tbl[[#This Row],[SDate]],weather.tbl[Date],0))</f>
        <v>11.733333333333334</v>
      </c>
      <c r="O4" s="2">
        <f ca="1">INDEX(INDIRECT(_xlfn.CONCAT("weather.tbl[",O$1,"]")),MATCH(vp.tbl[[#This Row],[SDate]],weather.tbl[Date],0))</f>
        <v>13.05</v>
      </c>
      <c r="P4" s="2">
        <f ca="1">INDEX(INDIRECT(_xlfn.CONCAT("weather.tbl[",P$1,"]")),MATCH(vp.tbl[[#This Row],[SDate]],weather.tbl[Date],0))</f>
        <v>10.9</v>
      </c>
      <c r="Q4" s="2">
        <f ca="1">INDEX(INDIRECT(_xlfn.CONCAT("weather.tbl[",Q$1,"]")),MATCH(vp.tbl[[#This Row],[SDate]],weather.tbl[Date],0))</f>
        <v>11.7</v>
      </c>
      <c r="R4" s="2">
        <f ca="1">INDEX(INDIRECT(_xlfn.CONCAT("weather.tbl[",R$1,"]")),MATCH(vp.tbl[[#This Row],[SDate]],weather.tbl[Date],0))</f>
        <v>11</v>
      </c>
      <c r="S4" s="2">
        <f ca="1">INDEX(INDIRECT(_xlfn.CONCAT("weather.tbl[",S$1,"]")),MATCH(vp.tbl[[#This Row],[SDate]],weather.tbl[Date],0))</f>
        <v>12.5</v>
      </c>
      <c r="T4" s="2">
        <f ca="1">INDEX(INDIRECT(_xlfn.CONCAT("weather.tbl[",T$1,"]")),MATCH(vp.tbl[[#This Row],[SDate]],weather.tbl[Date],0))</f>
        <v>13.5</v>
      </c>
      <c r="U4" s="2">
        <f ca="1">INDEX(INDIRECT(_xlfn.CONCAT("weather.tbl[",U$1,"]")),MATCH(vp.tbl[[#This Row],[SDate]],weather.tbl[Date],0))</f>
        <v>10.8</v>
      </c>
      <c r="V4" s="2">
        <v>8216.5169999999998</v>
      </c>
      <c r="W4" t="s">
        <v>48</v>
      </c>
      <c r="X4">
        <f>IF(OR(vp.tbl[[#This Row],[Sulf]]="",vp.tbl[[#This Row],[Dens]]=""),1,0)</f>
        <v>0</v>
      </c>
      <c r="Y4">
        <f>IF(vp.tbl[[#This Row],[CrudeType]]="C5+",1,0)</f>
        <v>0</v>
      </c>
      <c r="Z4">
        <f>IF(AND(vp.tbl[[#This Row],[CrudeType]]="Crude",vp.tbl[[#This Row],[Dens]]&lt;=825,vp.tbl[[#This Row],[Sulf]]&gt;0.5,vp.tbl[[#This Row],[Unknown]]=0),1,0)</f>
        <v>0</v>
      </c>
      <c r="AA4">
        <f>IF(AND(vp.tbl[[#This Row],[CrudeType]]="Crude",vp.tbl[[#This Row],[Dens]]&lt;=825,vp.tbl[[#This Row],[Sulf]]&lt;=0.5,vp.tbl[[#This Row],[Unknown]]=0),1,0)</f>
        <v>0</v>
      </c>
      <c r="AB4">
        <f>IF(AND(vp.tbl[[#This Row],[CrudeType]]="Crude",vp.tbl[[#This Row],[Dens]]&gt;825,vp.tbl[[#This Row],[Dens]]&lt;=870,vp.tbl[[#This Row],[Sulf]]&gt;0.5,vp.tbl[[#This Row],[Unknown]]=0),1,0)</f>
        <v>0</v>
      </c>
      <c r="AC4">
        <f>IF(AND(vp.tbl[[#This Row],[CrudeType]]="Crude",vp.tbl[[#This Row],[Dens]]&gt;825,vp.tbl[[#This Row],[Dens]]&lt;=900,vp.tbl[[#This Row],[Sulf]]&lt;=0.5,vp.tbl[[#This Row],[Unknown]]=0),1,0)</f>
        <v>0</v>
      </c>
      <c r="AD4">
        <f>IF(AND(vp.tbl[[#This Row],[CrudeType]]="Crude",vp.tbl[[#This Row],[Dens]]&gt;870,vp.tbl[[#This Row],[Dens]]&lt;=900,vp.tbl[[#This Row],[Sulf]]&gt;0.5,vp.tbl[[#This Row],[Unknown]]=0),1,0)</f>
        <v>1</v>
      </c>
      <c r="AE4">
        <f>IF(AND(vp.tbl[[#This Row],[CrudeType]]="Crude",vp.tbl[[#This Row],[Dens]]&gt;900,vp.tbl[[#This Row],[Sulf]]&lt;=0.5,vp.tbl[[#This Row],[Unknown]]=0),1,0)</f>
        <v>0</v>
      </c>
      <c r="AF4">
        <f>IF(AND(vp.tbl[[#This Row],[CrudeType]]="Crude",vp.tbl[[#This Row],[Dens]]&gt;900,vp.tbl[[#This Row],[Sulf]]&lt;=0.5,vp.tbl[[#This Row],[Unknown]]=0),1,0)</f>
        <v>0</v>
      </c>
      <c r="AG4" t="str">
        <f>INDEX(vp.tbl[[#Headers],[Unknown]:[Heavy_SW]],MATCH(1,vp.tbl[[#This Row],[Unknown]:[Heavy_SW]],0))</f>
        <v>Midale</v>
      </c>
      <c r="AH4" t="e">
        <f>INDEX([1]!crudeBD.lkup[Number],MATCH(vp.tbl[[#This Row],[Crude_Breakdown]],[1]!crudeBD.lkup[Crude Breakdown],0))</f>
        <v>#REF!</v>
      </c>
      <c r="AI4">
        <f>MONTH(vp.tbl[[#This Row],[SDate]])</f>
        <v>10</v>
      </c>
      <c r="AJ4" s="5">
        <f>IFERROR(vp.tbl[[#This Row],[Sulf]]*vp.tbl[[#This Row],[Net Dens]],"")</f>
        <v>16479046.495199999</v>
      </c>
      <c r="AK4" s="5">
        <f>IFERROR(vp.tbl[[#This Row],[Dens]]*vp.tbl[[#This Row],[VolumeM3]],"")</f>
        <v>7164802.824</v>
      </c>
      <c r="AL4" s="5">
        <f>IFERROR(vp.tbl[[#This Row],[VP]]*vp.tbl[[#This Row],[VolumeM3]],"")</f>
        <v>861090.98159999994</v>
      </c>
      <c r="AM4" s="4">
        <f>IFERROR((vp.tbl[[#This Row],[VP]]-INDEX(crudeBD.lkup.complete[Mean_VP],MATCH(vp.tbl[[#This Row],[Crude_Breakdown]],crudeBD.lkup.complete[Crude Breakdown],0)))^2,"")</f>
        <v>1336.7537999624683</v>
      </c>
      <c r="AN4" s="4">
        <f>IFERROR((vp.tbl[[#This Row],[Dens]]-INDEX(crudeBD.lkup.complete[Mean_Dens],MATCH(vp.tbl[[#This Row],[Crude_Breakdown]],crudeBD.lkup.complete[Crude Breakdown],0)))^2,"")</f>
        <v>30.825312441355241</v>
      </c>
      <c r="AO4" s="4">
        <f>IFERROR((vp.tbl[[#This Row],[Sulf]]-INDEX(crudeBD.lkup.complete[Mean_Sulf],MATCH(vp.tbl[[#This Row],[Crude_Breakdown]],crudeBD.lkup.complete[Crude Breakdown],0)))^2,"")</f>
        <v>1.3303347200018519E-2</v>
      </c>
      <c r="AP4">
        <f>IF(AND(vp.tbl[[#This Row],[SDate]]&gt;=DATE(YEAR(vp.tbl[[#This Row],[SDate]]),5,1),vp.tbl[[#This Row],[SDate]]&lt;=DATE(YEAR(vp.tbl[[#This Row],[SDate]]),9,15)),1,0)</f>
        <v>0</v>
      </c>
      <c r="AQ4" s="15">
        <f>IF(vp.tbl[[#This Row],[SDate]]&lt;DATE(2016,12,1),0,1)</f>
        <v>0</v>
      </c>
    </row>
    <row r="5" spans="1:43" x14ac:dyDescent="0.25">
      <c r="A5">
        <v>4</v>
      </c>
      <c r="B5" t="s">
        <v>49</v>
      </c>
      <c r="C5" t="s">
        <v>49</v>
      </c>
      <c r="D5" t="s">
        <v>50</v>
      </c>
      <c r="F5" s="1">
        <v>42286</v>
      </c>
      <c r="G5" s="2">
        <v>70.7</v>
      </c>
      <c r="H5" s="2"/>
      <c r="I5" s="2">
        <v>2.59</v>
      </c>
      <c r="J5" s="2"/>
      <c r="K5" s="2"/>
      <c r="L5" s="2">
        <v>877.2</v>
      </c>
      <c r="M5" s="2">
        <v>877.2</v>
      </c>
      <c r="N5" s="2">
        <f ca="1">INDEX(INDIRECT(_xlfn.CONCAT("weather.tbl[",N$1,"]")),MATCH(vp.tbl[[#This Row],[SDate]],weather.tbl[Date],0))</f>
        <v>11.4</v>
      </c>
      <c r="O5" s="2">
        <f ca="1">INDEX(INDIRECT(_xlfn.CONCAT("weather.tbl[",O$1,"]")),MATCH(vp.tbl[[#This Row],[SDate]],weather.tbl[Date],0))</f>
        <v>8.7190476190476183</v>
      </c>
      <c r="P5" s="2">
        <f ca="1">INDEX(INDIRECT(_xlfn.CONCAT("weather.tbl[",P$1,"]")),MATCH(vp.tbl[[#This Row],[SDate]],weather.tbl[Date],0))</f>
        <v>12.2</v>
      </c>
      <c r="Q5" s="2">
        <f ca="1">INDEX(INDIRECT(_xlfn.CONCAT("weather.tbl[",Q$1,"]")),MATCH(vp.tbl[[#This Row],[SDate]],weather.tbl[Date],0))</f>
        <v>12.3</v>
      </c>
      <c r="R5" s="2">
        <f ca="1">INDEX(INDIRECT(_xlfn.CONCAT("weather.tbl[",R$1,"]")),MATCH(vp.tbl[[#This Row],[SDate]],weather.tbl[Date],0))</f>
        <v>10.3</v>
      </c>
      <c r="S5" s="2">
        <f ca="1">INDEX(INDIRECT(_xlfn.CONCAT("weather.tbl[",S$1,"]")),MATCH(vp.tbl[[#This Row],[SDate]],weather.tbl[Date],0))</f>
        <v>13.5</v>
      </c>
      <c r="T5" s="2">
        <f ca="1">INDEX(INDIRECT(_xlfn.CONCAT("weather.tbl[",T$1,"]")),MATCH(vp.tbl[[#This Row],[SDate]],weather.tbl[Date],0))</f>
        <v>9.1</v>
      </c>
      <c r="U5" s="2">
        <f ca="1">INDEX(INDIRECT(_xlfn.CONCAT("weather.tbl[",U$1,"]")),MATCH(vp.tbl[[#This Row],[SDate]],weather.tbl[Date],0))</f>
        <v>11</v>
      </c>
      <c r="V5" s="2">
        <v>7328.8639999999996</v>
      </c>
      <c r="W5" t="s">
        <v>48</v>
      </c>
      <c r="X5">
        <f>IF(OR(vp.tbl[[#This Row],[Sulf]]="",vp.tbl[[#This Row],[Dens]]=""),1,0)</f>
        <v>0</v>
      </c>
      <c r="Y5">
        <f>IF(vp.tbl[[#This Row],[CrudeType]]="C5+",1,0)</f>
        <v>0</v>
      </c>
      <c r="Z5">
        <f>IF(AND(vp.tbl[[#This Row],[CrudeType]]="Crude",vp.tbl[[#This Row],[Dens]]&lt;=825,vp.tbl[[#This Row],[Sulf]]&gt;0.5,vp.tbl[[#This Row],[Unknown]]=0),1,0)</f>
        <v>0</v>
      </c>
      <c r="AA5">
        <f>IF(AND(vp.tbl[[#This Row],[CrudeType]]="Crude",vp.tbl[[#This Row],[Dens]]&lt;=825,vp.tbl[[#This Row],[Sulf]]&lt;=0.5,vp.tbl[[#This Row],[Unknown]]=0),1,0)</f>
        <v>0</v>
      </c>
      <c r="AB5">
        <f>IF(AND(vp.tbl[[#This Row],[CrudeType]]="Crude",vp.tbl[[#This Row],[Dens]]&gt;825,vp.tbl[[#This Row],[Dens]]&lt;=870,vp.tbl[[#This Row],[Sulf]]&gt;0.5,vp.tbl[[#This Row],[Unknown]]=0),1,0)</f>
        <v>0</v>
      </c>
      <c r="AC5">
        <f>IF(AND(vp.tbl[[#This Row],[CrudeType]]="Crude",vp.tbl[[#This Row],[Dens]]&gt;825,vp.tbl[[#This Row],[Dens]]&lt;=900,vp.tbl[[#This Row],[Sulf]]&lt;=0.5,vp.tbl[[#This Row],[Unknown]]=0),1,0)</f>
        <v>0</v>
      </c>
      <c r="AD5">
        <f>IF(AND(vp.tbl[[#This Row],[CrudeType]]="Crude",vp.tbl[[#This Row],[Dens]]&gt;870,vp.tbl[[#This Row],[Dens]]&lt;=900,vp.tbl[[#This Row],[Sulf]]&gt;0.5,vp.tbl[[#This Row],[Unknown]]=0),1,0)</f>
        <v>1</v>
      </c>
      <c r="AE5">
        <f>IF(AND(vp.tbl[[#This Row],[CrudeType]]="Crude",vp.tbl[[#This Row],[Dens]]&gt;900,vp.tbl[[#This Row],[Sulf]]&lt;=0.5,vp.tbl[[#This Row],[Unknown]]=0),1,0)</f>
        <v>0</v>
      </c>
      <c r="AF5">
        <f>IF(AND(vp.tbl[[#This Row],[CrudeType]]="Crude",vp.tbl[[#This Row],[Dens]]&gt;900,vp.tbl[[#This Row],[Sulf]]&lt;=0.5,vp.tbl[[#This Row],[Unknown]]=0),1,0)</f>
        <v>0</v>
      </c>
      <c r="AG5" t="str">
        <f>INDEX(vp.tbl[[#Headers],[Unknown]:[Heavy_SW]],MATCH(1,vp.tbl[[#This Row],[Unknown]:[Heavy_SW]],0))</f>
        <v>Midale</v>
      </c>
      <c r="AH5" t="e">
        <f>INDEX([1]!crudeBD.lkup[Number],MATCH(vp.tbl[[#This Row],[Crude_Breakdown]],[1]!crudeBD.lkup[Crude Breakdown],0))</f>
        <v>#REF!</v>
      </c>
      <c r="AI5">
        <f>MONTH(vp.tbl[[#This Row],[SDate]])</f>
        <v>10</v>
      </c>
      <c r="AJ5" s="5">
        <f>IFERROR(vp.tbl[[#This Row],[Sulf]]*vp.tbl[[#This Row],[Net Dens]],"")</f>
        <v>16650797.907071998</v>
      </c>
      <c r="AK5" s="5">
        <f>IFERROR(vp.tbl[[#This Row],[Dens]]*vp.tbl[[#This Row],[VolumeM3]],"")</f>
        <v>6428879.5007999996</v>
      </c>
      <c r="AL5" s="5">
        <f>IFERROR(vp.tbl[[#This Row],[VP]]*vp.tbl[[#This Row],[VolumeM3]],"")</f>
        <v>518150.68479999999</v>
      </c>
      <c r="AM5" s="4">
        <f>IFERROR((vp.tbl[[#This Row],[VP]]-INDEX(crudeBD.lkup.complete[Mean_VP],MATCH(vp.tbl[[#This Row],[Crude_Breakdown]],crudeBD.lkup.complete[Crude Breakdown],0)))^2,"")</f>
        <v>6.05969037342836</v>
      </c>
      <c r="AN5" s="4">
        <f>IFERROR((vp.tbl[[#This Row],[Dens]]-INDEX(crudeBD.lkup.complete[Mean_Dens],MATCH(vp.tbl[[#This Row],[Crude_Breakdown]],crudeBD.lkup.complete[Crude Breakdown],0)))^2,"")</f>
        <v>0.12394257834466005</v>
      </c>
      <c r="AO5" s="4">
        <f>IFERROR((vp.tbl[[#This Row],[Sulf]]-INDEX(crudeBD.lkup.complete[Mean_Sulf],MATCH(vp.tbl[[#This Row],[Crude_Breakdown]],crudeBD.lkup.complete[Crude Breakdown],0)))^2,"")</f>
        <v>3.0506067747964355E-2</v>
      </c>
      <c r="AP5">
        <f>IF(AND(vp.tbl[[#This Row],[SDate]]&gt;=DATE(YEAR(vp.tbl[[#This Row],[SDate]]),5,1),vp.tbl[[#This Row],[SDate]]&lt;=DATE(YEAR(vp.tbl[[#This Row],[SDate]]),9,15)),1,0)</f>
        <v>0</v>
      </c>
      <c r="AQ5" s="15">
        <f>IF(vp.tbl[[#This Row],[SDate]]&lt;DATE(2016,12,1),0,1)</f>
        <v>0</v>
      </c>
    </row>
    <row r="6" spans="1:43" x14ac:dyDescent="0.25">
      <c r="A6">
        <v>5</v>
      </c>
      <c r="B6" t="s">
        <v>46</v>
      </c>
      <c r="C6" t="s">
        <v>46</v>
      </c>
      <c r="D6" t="s">
        <v>47</v>
      </c>
      <c r="F6" s="1">
        <v>42286</v>
      </c>
      <c r="G6" s="2">
        <v>73.2</v>
      </c>
      <c r="H6" s="2"/>
      <c r="I6" s="2">
        <v>2.41</v>
      </c>
      <c r="J6" s="2"/>
      <c r="K6" s="2"/>
      <c r="L6" s="2"/>
      <c r="M6" s="2">
        <v>872.7</v>
      </c>
      <c r="N6" s="2">
        <f ca="1">INDEX(INDIRECT(_xlfn.CONCAT("weather.tbl[",N$1,"]")),MATCH(vp.tbl[[#This Row],[SDate]],weather.tbl[Date],0))</f>
        <v>11.4</v>
      </c>
      <c r="O6" s="2">
        <f ca="1">INDEX(INDIRECT(_xlfn.CONCAT("weather.tbl[",O$1,"]")),MATCH(vp.tbl[[#This Row],[SDate]],weather.tbl[Date],0))</f>
        <v>8.7190476190476183</v>
      </c>
      <c r="P6" s="2">
        <f ca="1">INDEX(INDIRECT(_xlfn.CONCAT("weather.tbl[",P$1,"]")),MATCH(vp.tbl[[#This Row],[SDate]],weather.tbl[Date],0))</f>
        <v>12.2</v>
      </c>
      <c r="Q6" s="2">
        <f ca="1">INDEX(INDIRECT(_xlfn.CONCAT("weather.tbl[",Q$1,"]")),MATCH(vp.tbl[[#This Row],[SDate]],weather.tbl[Date],0))</f>
        <v>12.3</v>
      </c>
      <c r="R6" s="2">
        <f ca="1">INDEX(INDIRECT(_xlfn.CONCAT("weather.tbl[",R$1,"]")),MATCH(vp.tbl[[#This Row],[SDate]],weather.tbl[Date],0))</f>
        <v>10.3</v>
      </c>
      <c r="S6" s="2">
        <f ca="1">INDEX(INDIRECT(_xlfn.CONCAT("weather.tbl[",S$1,"]")),MATCH(vp.tbl[[#This Row],[SDate]],weather.tbl[Date],0))</f>
        <v>13.5</v>
      </c>
      <c r="T6" s="2">
        <f ca="1">INDEX(INDIRECT(_xlfn.CONCAT("weather.tbl[",T$1,"]")),MATCH(vp.tbl[[#This Row],[SDate]],weather.tbl[Date],0))</f>
        <v>9.1</v>
      </c>
      <c r="U6" s="2">
        <f ca="1">INDEX(INDIRECT(_xlfn.CONCAT("weather.tbl[",U$1,"]")),MATCH(vp.tbl[[#This Row],[SDate]],weather.tbl[Date],0))</f>
        <v>11</v>
      </c>
      <c r="V6" s="2">
        <v>115049.71</v>
      </c>
      <c r="W6" t="s">
        <v>48</v>
      </c>
      <c r="X6">
        <f>IF(OR(vp.tbl[[#This Row],[Sulf]]="",vp.tbl[[#This Row],[Dens]]=""),1,0)</f>
        <v>0</v>
      </c>
      <c r="Y6">
        <f>IF(vp.tbl[[#This Row],[CrudeType]]="C5+",1,0)</f>
        <v>0</v>
      </c>
      <c r="Z6">
        <f>IF(AND(vp.tbl[[#This Row],[CrudeType]]="Crude",vp.tbl[[#This Row],[Dens]]&lt;=825,vp.tbl[[#This Row],[Sulf]]&gt;0.5,vp.tbl[[#This Row],[Unknown]]=0),1,0)</f>
        <v>0</v>
      </c>
      <c r="AA6">
        <f>IF(AND(vp.tbl[[#This Row],[CrudeType]]="Crude",vp.tbl[[#This Row],[Dens]]&lt;=825,vp.tbl[[#This Row],[Sulf]]&lt;=0.5,vp.tbl[[#This Row],[Unknown]]=0),1,0)</f>
        <v>0</v>
      </c>
      <c r="AB6">
        <f>IF(AND(vp.tbl[[#This Row],[CrudeType]]="Crude",vp.tbl[[#This Row],[Dens]]&gt;825,vp.tbl[[#This Row],[Dens]]&lt;=870,vp.tbl[[#This Row],[Sulf]]&gt;0.5,vp.tbl[[#This Row],[Unknown]]=0),1,0)</f>
        <v>0</v>
      </c>
      <c r="AC6">
        <f>IF(AND(vp.tbl[[#This Row],[CrudeType]]="Crude",vp.tbl[[#This Row],[Dens]]&gt;825,vp.tbl[[#This Row],[Dens]]&lt;=900,vp.tbl[[#This Row],[Sulf]]&lt;=0.5,vp.tbl[[#This Row],[Unknown]]=0),1,0)</f>
        <v>0</v>
      </c>
      <c r="AD6">
        <f>IF(AND(vp.tbl[[#This Row],[CrudeType]]="Crude",vp.tbl[[#This Row],[Dens]]&gt;870,vp.tbl[[#This Row],[Dens]]&lt;=900,vp.tbl[[#This Row],[Sulf]]&gt;0.5,vp.tbl[[#This Row],[Unknown]]=0),1,0)</f>
        <v>1</v>
      </c>
      <c r="AE6">
        <f>IF(AND(vp.tbl[[#This Row],[CrudeType]]="Crude",vp.tbl[[#This Row],[Dens]]&gt;900,vp.tbl[[#This Row],[Sulf]]&lt;=0.5,vp.tbl[[#This Row],[Unknown]]=0),1,0)</f>
        <v>0</v>
      </c>
      <c r="AF6">
        <f>IF(AND(vp.tbl[[#This Row],[CrudeType]]="Crude",vp.tbl[[#This Row],[Dens]]&gt;900,vp.tbl[[#This Row],[Sulf]]&lt;=0.5,vp.tbl[[#This Row],[Unknown]]=0),1,0)</f>
        <v>0</v>
      </c>
      <c r="AG6" t="str">
        <f>INDEX(vp.tbl[[#Headers],[Unknown]:[Heavy_SW]],MATCH(1,vp.tbl[[#This Row],[Unknown]:[Heavy_SW]],0))</f>
        <v>Midale</v>
      </c>
      <c r="AH6" t="e">
        <f>INDEX([1]!crudeBD.lkup[Number],MATCH(vp.tbl[[#This Row],[Crude_Breakdown]],[1]!crudeBD.lkup[Crude Breakdown],0))</f>
        <v>#REF!</v>
      </c>
      <c r="AI6">
        <f>MONTH(vp.tbl[[#This Row],[SDate]])</f>
        <v>10</v>
      </c>
      <c r="AJ6" s="5">
        <f>IFERROR(vp.tbl[[#This Row],[Sulf]]*vp.tbl[[#This Row],[Net Dens]],"")</f>
        <v>241973355.41997004</v>
      </c>
      <c r="AK6" s="5">
        <f>IFERROR(vp.tbl[[#This Row],[Dens]]*vp.tbl[[#This Row],[VolumeM3]],"")</f>
        <v>100403881.91700001</v>
      </c>
      <c r="AL6" s="5">
        <f>IFERROR(vp.tbl[[#This Row],[VP]]*vp.tbl[[#This Row],[VolumeM3]],"")</f>
        <v>8421638.7719999999</v>
      </c>
      <c r="AM6" s="4">
        <f>IFERROR((vp.tbl[[#This Row],[VP]]-INDEX(crudeBD.lkup.complete[Mean_VP],MATCH(vp.tbl[[#This Row],[Crude_Breakdown]],crudeBD.lkup.complete[Crude Breakdown],0)))^2,"")</f>
        <v>24.6179095515105</v>
      </c>
      <c r="AN6" s="4">
        <f>IFERROR((vp.tbl[[#This Row],[Dens]]-INDEX(crudeBD.lkup.complete[Mean_Dens],MATCH(vp.tbl[[#This Row],[Crude_Breakdown]],crudeBD.lkup.complete[Crude Breakdown],0)))^2,"")</f>
        <v>23.542435729026458</v>
      </c>
      <c r="AO6" s="4">
        <f>IFERROR((vp.tbl[[#This Row],[Sulf]]-INDEX(crudeBD.lkup.complete[Mean_Sulf],MATCH(vp.tbl[[#This Row],[Crude_Breakdown]],crudeBD.lkup.complete[Crude Breakdown],0)))^2,"")</f>
        <v>2.8517063032449047E-5</v>
      </c>
      <c r="AP6">
        <f>IF(AND(vp.tbl[[#This Row],[SDate]]&gt;=DATE(YEAR(vp.tbl[[#This Row],[SDate]]),5,1),vp.tbl[[#This Row],[SDate]]&lt;=DATE(YEAR(vp.tbl[[#This Row],[SDate]]),9,15)),1,0)</f>
        <v>0</v>
      </c>
      <c r="AQ6" s="15">
        <f>IF(vp.tbl[[#This Row],[SDate]]&lt;DATE(2016,12,1),0,1)</f>
        <v>0</v>
      </c>
    </row>
    <row r="7" spans="1:43" x14ac:dyDescent="0.25">
      <c r="A7">
        <v>6</v>
      </c>
      <c r="B7" t="s">
        <v>51</v>
      </c>
      <c r="C7" t="s">
        <v>51</v>
      </c>
      <c r="D7" t="s">
        <v>52</v>
      </c>
      <c r="F7" s="1">
        <v>42286</v>
      </c>
      <c r="G7" s="2">
        <v>62.8</v>
      </c>
      <c r="H7" s="2"/>
      <c r="I7" s="2">
        <v>2.2999999999999998</v>
      </c>
      <c r="J7" s="2"/>
      <c r="K7" s="2"/>
      <c r="L7" s="2"/>
      <c r="M7" s="2">
        <v>872</v>
      </c>
      <c r="N7" s="2">
        <f ca="1">INDEX(INDIRECT(_xlfn.CONCAT("weather.tbl[",N$1,"]")),MATCH(vp.tbl[[#This Row],[SDate]],weather.tbl[Date],0))</f>
        <v>11.4</v>
      </c>
      <c r="O7" s="2">
        <f ca="1">INDEX(INDIRECT(_xlfn.CONCAT("weather.tbl[",O$1,"]")),MATCH(vp.tbl[[#This Row],[SDate]],weather.tbl[Date],0))</f>
        <v>8.7190476190476183</v>
      </c>
      <c r="P7" s="2">
        <f ca="1">INDEX(INDIRECT(_xlfn.CONCAT("weather.tbl[",P$1,"]")),MATCH(vp.tbl[[#This Row],[SDate]],weather.tbl[Date],0))</f>
        <v>12.2</v>
      </c>
      <c r="Q7" s="2">
        <f ca="1">INDEX(INDIRECT(_xlfn.CONCAT("weather.tbl[",Q$1,"]")),MATCH(vp.tbl[[#This Row],[SDate]],weather.tbl[Date],0))</f>
        <v>12.3</v>
      </c>
      <c r="R7" s="2">
        <f ca="1">INDEX(INDIRECT(_xlfn.CONCAT("weather.tbl[",R$1,"]")),MATCH(vp.tbl[[#This Row],[SDate]],weather.tbl[Date],0))</f>
        <v>10.3</v>
      </c>
      <c r="S7" s="2">
        <f ca="1">INDEX(INDIRECT(_xlfn.CONCAT("weather.tbl[",S$1,"]")),MATCH(vp.tbl[[#This Row],[SDate]],weather.tbl[Date],0))</f>
        <v>13.5</v>
      </c>
      <c r="T7" s="2">
        <f ca="1">INDEX(INDIRECT(_xlfn.CONCAT("weather.tbl[",T$1,"]")),MATCH(vp.tbl[[#This Row],[SDate]],weather.tbl[Date],0))</f>
        <v>9.1</v>
      </c>
      <c r="U7" s="2">
        <f ca="1">INDEX(INDIRECT(_xlfn.CONCAT("weather.tbl[",U$1,"]")),MATCH(vp.tbl[[#This Row],[SDate]],weather.tbl[Date],0))</f>
        <v>11</v>
      </c>
      <c r="V7" s="2">
        <v>8216.5169999999998</v>
      </c>
      <c r="W7" t="s">
        <v>48</v>
      </c>
      <c r="X7">
        <f>IF(OR(vp.tbl[[#This Row],[Sulf]]="",vp.tbl[[#This Row],[Dens]]=""),1,0)</f>
        <v>0</v>
      </c>
      <c r="Y7">
        <f>IF(vp.tbl[[#This Row],[CrudeType]]="C5+",1,0)</f>
        <v>0</v>
      </c>
      <c r="Z7">
        <f>IF(AND(vp.tbl[[#This Row],[CrudeType]]="Crude",vp.tbl[[#This Row],[Dens]]&lt;=825,vp.tbl[[#This Row],[Sulf]]&gt;0.5,vp.tbl[[#This Row],[Unknown]]=0),1,0)</f>
        <v>0</v>
      </c>
      <c r="AA7">
        <f>IF(AND(vp.tbl[[#This Row],[CrudeType]]="Crude",vp.tbl[[#This Row],[Dens]]&lt;=825,vp.tbl[[#This Row],[Sulf]]&lt;=0.5,vp.tbl[[#This Row],[Unknown]]=0),1,0)</f>
        <v>0</v>
      </c>
      <c r="AB7">
        <f>IF(AND(vp.tbl[[#This Row],[CrudeType]]="Crude",vp.tbl[[#This Row],[Dens]]&gt;825,vp.tbl[[#This Row],[Dens]]&lt;=870,vp.tbl[[#This Row],[Sulf]]&gt;0.5,vp.tbl[[#This Row],[Unknown]]=0),1,0)</f>
        <v>0</v>
      </c>
      <c r="AC7">
        <f>IF(AND(vp.tbl[[#This Row],[CrudeType]]="Crude",vp.tbl[[#This Row],[Dens]]&gt;825,vp.tbl[[#This Row],[Dens]]&lt;=900,vp.tbl[[#This Row],[Sulf]]&lt;=0.5,vp.tbl[[#This Row],[Unknown]]=0),1,0)</f>
        <v>0</v>
      </c>
      <c r="AD7">
        <f>IF(AND(vp.tbl[[#This Row],[CrudeType]]="Crude",vp.tbl[[#This Row],[Dens]]&gt;870,vp.tbl[[#This Row],[Dens]]&lt;=900,vp.tbl[[#This Row],[Sulf]]&gt;0.5,vp.tbl[[#This Row],[Unknown]]=0),1,0)</f>
        <v>1</v>
      </c>
      <c r="AE7">
        <f>IF(AND(vp.tbl[[#This Row],[CrudeType]]="Crude",vp.tbl[[#This Row],[Dens]]&gt;900,vp.tbl[[#This Row],[Sulf]]&lt;=0.5,vp.tbl[[#This Row],[Unknown]]=0),1,0)</f>
        <v>0</v>
      </c>
      <c r="AF7">
        <f>IF(AND(vp.tbl[[#This Row],[CrudeType]]="Crude",vp.tbl[[#This Row],[Dens]]&gt;900,vp.tbl[[#This Row],[Sulf]]&lt;=0.5,vp.tbl[[#This Row],[Unknown]]=0),1,0)</f>
        <v>0</v>
      </c>
      <c r="AG7" t="str">
        <f>INDEX(vp.tbl[[#Headers],[Unknown]:[Heavy_SW]],MATCH(1,vp.tbl[[#This Row],[Unknown]:[Heavy_SW]],0))</f>
        <v>Midale</v>
      </c>
      <c r="AH7" t="e">
        <f>INDEX([1]!crudeBD.lkup[Number],MATCH(vp.tbl[[#This Row],[Crude_Breakdown]],[1]!crudeBD.lkup[Crude Breakdown],0))</f>
        <v>#REF!</v>
      </c>
      <c r="AI7">
        <f>MONTH(vp.tbl[[#This Row],[SDate]])</f>
        <v>10</v>
      </c>
      <c r="AJ7" s="5">
        <f>IFERROR(vp.tbl[[#This Row],[Sulf]]*vp.tbl[[#This Row],[Net Dens]],"")</f>
        <v>16479046.495199999</v>
      </c>
      <c r="AK7" s="5">
        <f>IFERROR(vp.tbl[[#This Row],[Dens]]*vp.tbl[[#This Row],[VolumeM3]],"")</f>
        <v>7164802.824</v>
      </c>
      <c r="AL7" s="5">
        <f>IFERROR(vp.tbl[[#This Row],[VP]]*vp.tbl[[#This Row],[VolumeM3]],"")</f>
        <v>515997.26759999996</v>
      </c>
      <c r="AM7" s="4">
        <f>IFERROR((vp.tbl[[#This Row],[VP]]-INDEX(crudeBD.lkup.complete[Mean_VP],MATCH(vp.tbl[[#This Row],[Crude_Breakdown]],crudeBD.lkup.complete[Crude Breakdown],0)))^2,"")</f>
        <v>29.575717770688858</v>
      </c>
      <c r="AN7" s="4">
        <f>IFERROR((vp.tbl[[#This Row],[Dens]]-INDEX(crudeBD.lkup.complete[Mean_Dens],MATCH(vp.tbl[[#This Row],[Crude_Breakdown]],crudeBD.lkup.complete[Crude Breakdown],0)))^2,"")</f>
        <v>30.825312441355241</v>
      </c>
      <c r="AO7" s="4">
        <f>IFERROR((vp.tbl[[#This Row],[Sulf]]-INDEX(crudeBD.lkup.complete[Mean_Sulf],MATCH(vp.tbl[[#This Row],[Crude_Breakdown]],crudeBD.lkup.complete[Crude Breakdown],0)))^2,"")</f>
        <v>1.3303347200018519E-2</v>
      </c>
      <c r="AP7">
        <f>IF(AND(vp.tbl[[#This Row],[SDate]]&gt;=DATE(YEAR(vp.tbl[[#This Row],[SDate]]),5,1),vp.tbl[[#This Row],[SDate]]&lt;=DATE(YEAR(vp.tbl[[#This Row],[SDate]]),9,15)),1,0)</f>
        <v>0</v>
      </c>
      <c r="AQ7" s="15">
        <f>IF(vp.tbl[[#This Row],[SDate]]&lt;DATE(2016,12,1),0,1)</f>
        <v>0</v>
      </c>
    </row>
    <row r="8" spans="1:43" x14ac:dyDescent="0.25">
      <c r="A8">
        <v>7</v>
      </c>
      <c r="B8" t="s">
        <v>53</v>
      </c>
      <c r="C8" t="s">
        <v>53</v>
      </c>
      <c r="D8" t="s">
        <v>54</v>
      </c>
      <c r="E8" t="s">
        <v>55</v>
      </c>
      <c r="F8" s="1">
        <v>42291</v>
      </c>
      <c r="G8" s="2">
        <v>112</v>
      </c>
      <c r="H8" s="2"/>
      <c r="I8" s="2">
        <v>2.02</v>
      </c>
      <c r="J8" s="2"/>
      <c r="K8" s="2"/>
      <c r="L8" s="2">
        <v>848</v>
      </c>
      <c r="M8" s="2">
        <v>848</v>
      </c>
      <c r="N8" s="2">
        <f ca="1">INDEX(INDIRECT(_xlfn.CONCAT("weather.tbl[",N$1,"]")),MATCH(vp.tbl[[#This Row],[SDate]],weather.tbl[Date],0))</f>
        <v>8.75</v>
      </c>
      <c r="O8" s="2">
        <f ca="1">INDEX(INDIRECT(_xlfn.CONCAT("weather.tbl[",O$1,"]")),MATCH(vp.tbl[[#This Row],[SDate]],weather.tbl[Date],0))</f>
        <v>11.204761904761906</v>
      </c>
      <c r="P8" s="2">
        <f ca="1">INDEX(INDIRECT(_xlfn.CONCAT("weather.tbl[",P$1,"]")),MATCH(vp.tbl[[#This Row],[SDate]],weather.tbl[Date],0))</f>
        <v>9.1</v>
      </c>
      <c r="Q8" s="2">
        <f ca="1">INDEX(INDIRECT(_xlfn.CONCAT("weather.tbl[",Q$1,"]")),MATCH(vp.tbl[[#This Row],[SDate]],weather.tbl[Date],0))</f>
        <v>7.7</v>
      </c>
      <c r="R8" s="2">
        <f ca="1">INDEX(INDIRECT(_xlfn.CONCAT("weather.tbl[",R$1,"]")),MATCH(vp.tbl[[#This Row],[SDate]],weather.tbl[Date],0))</f>
        <v>8.8000000000000007</v>
      </c>
      <c r="S8" s="2">
        <f ca="1">INDEX(INDIRECT(_xlfn.CONCAT("weather.tbl[",S$1,"]")),MATCH(vp.tbl[[#This Row],[SDate]],weather.tbl[Date],0))</f>
        <v>9</v>
      </c>
      <c r="T8" s="2">
        <f ca="1">INDEX(INDIRECT(_xlfn.CONCAT("weather.tbl[",T$1,"]")),MATCH(vp.tbl[[#This Row],[SDate]],weather.tbl[Date],0))</f>
        <v>10.1</v>
      </c>
      <c r="U8" s="2">
        <f ca="1">INDEX(INDIRECT(_xlfn.CONCAT("weather.tbl[",U$1,"]")),MATCH(vp.tbl[[#This Row],[SDate]],weather.tbl[Date],0))</f>
        <v>7.8</v>
      </c>
      <c r="V8" s="2">
        <v>65534.339</v>
      </c>
      <c r="W8" t="s">
        <v>48</v>
      </c>
      <c r="X8">
        <f>IF(OR(vp.tbl[[#This Row],[Sulf]]="",vp.tbl[[#This Row],[Dens]]=""),1,0)</f>
        <v>0</v>
      </c>
      <c r="Y8">
        <f>IF(vp.tbl[[#This Row],[CrudeType]]="C5+",1,0)</f>
        <v>0</v>
      </c>
      <c r="Z8">
        <f>IF(AND(vp.tbl[[#This Row],[CrudeType]]="Crude",vp.tbl[[#This Row],[Dens]]&lt;=825,vp.tbl[[#This Row],[Sulf]]&gt;0.5,vp.tbl[[#This Row],[Unknown]]=0),1,0)</f>
        <v>0</v>
      </c>
      <c r="AA8">
        <f>IF(AND(vp.tbl[[#This Row],[CrudeType]]="Crude",vp.tbl[[#This Row],[Dens]]&lt;=825,vp.tbl[[#This Row],[Sulf]]&lt;=0.5,vp.tbl[[#This Row],[Unknown]]=0),1,0)</f>
        <v>0</v>
      </c>
      <c r="AB8">
        <f>IF(AND(vp.tbl[[#This Row],[CrudeType]]="Crude",vp.tbl[[#This Row],[Dens]]&gt;825,vp.tbl[[#This Row],[Dens]]&lt;=870,vp.tbl[[#This Row],[Sulf]]&gt;0.5,vp.tbl[[#This Row],[Unknown]]=0),1,0)</f>
        <v>1</v>
      </c>
      <c r="AC8">
        <f>IF(AND(vp.tbl[[#This Row],[CrudeType]]="Crude",vp.tbl[[#This Row],[Dens]]&gt;825,vp.tbl[[#This Row],[Dens]]&lt;=900,vp.tbl[[#This Row],[Sulf]]&lt;=0.5,vp.tbl[[#This Row],[Unknown]]=0),1,0)</f>
        <v>0</v>
      </c>
      <c r="AD8">
        <f>IF(AND(vp.tbl[[#This Row],[CrudeType]]="Crude",vp.tbl[[#This Row],[Dens]]&gt;870,vp.tbl[[#This Row],[Dens]]&lt;=900,vp.tbl[[#This Row],[Sulf]]&gt;0.5,vp.tbl[[#This Row],[Unknown]]=0),1,0)</f>
        <v>0</v>
      </c>
      <c r="AE8">
        <f>IF(AND(vp.tbl[[#This Row],[CrudeType]]="Crude",vp.tbl[[#This Row],[Dens]]&gt;900,vp.tbl[[#This Row],[Sulf]]&lt;=0.5,vp.tbl[[#This Row],[Unknown]]=0),1,0)</f>
        <v>0</v>
      </c>
      <c r="AF8">
        <f>IF(AND(vp.tbl[[#This Row],[CrudeType]]="Crude",vp.tbl[[#This Row],[Dens]]&gt;900,vp.tbl[[#This Row],[Sulf]]&lt;=0.5,vp.tbl[[#This Row],[Unknown]]=0),1,0)</f>
        <v>0</v>
      </c>
      <c r="AG8" t="str">
        <f>INDEX(vp.tbl[[#Headers],[Unknown]:[Heavy_SW]],MATCH(1,vp.tbl[[#This Row],[Unknown]:[Heavy_SW]],0))</f>
        <v>Medium_LSB</v>
      </c>
      <c r="AH8" t="e">
        <f>INDEX([1]!crudeBD.lkup[Number],MATCH(vp.tbl[[#This Row],[Crude_Breakdown]],[1]!crudeBD.lkup[Crude Breakdown],0))</f>
        <v>#REF!</v>
      </c>
      <c r="AI8">
        <f>MONTH(vp.tbl[[#This Row],[SDate]])</f>
        <v>10</v>
      </c>
      <c r="AJ8" s="5">
        <f>IFERROR(vp.tbl[[#This Row],[Sulf]]*vp.tbl[[#This Row],[Net Dens]],"")</f>
        <v>112257701.33344001</v>
      </c>
      <c r="AK8" s="5">
        <f>IFERROR(vp.tbl[[#This Row],[Dens]]*vp.tbl[[#This Row],[VolumeM3]],"")</f>
        <v>55573119.472000003</v>
      </c>
      <c r="AL8" s="5">
        <f>IFERROR(vp.tbl[[#This Row],[VP]]*vp.tbl[[#This Row],[VolumeM3]],"")</f>
        <v>7339845.9680000003</v>
      </c>
      <c r="AM8" s="4">
        <f>IFERROR((vp.tbl[[#This Row],[VP]]-INDEX(crudeBD.lkup.complete[Mean_VP],MATCH(vp.tbl[[#This Row],[Crude_Breakdown]],crudeBD.lkup.complete[Crude Breakdown],0)))^2,"")</f>
        <v>1012.9200592526862</v>
      </c>
      <c r="AN8" s="4">
        <f>IFERROR((vp.tbl[[#This Row],[Dens]]-INDEX(crudeBD.lkup.complete[Mean_Dens],MATCH(vp.tbl[[#This Row],[Crude_Breakdown]],crudeBD.lkup.complete[Crude Breakdown],0)))^2,"")</f>
        <v>7.334223828878911</v>
      </c>
      <c r="AO8" s="4">
        <f>IFERROR((vp.tbl[[#This Row],[Sulf]]-INDEX(crudeBD.lkup.complete[Mean_Sulf],MATCH(vp.tbl[[#This Row],[Crude_Breakdown]],crudeBD.lkup.complete[Crude Breakdown],0)))^2,"")</f>
        <v>0.31930426226128356</v>
      </c>
      <c r="AP8">
        <f>IF(AND(vp.tbl[[#This Row],[SDate]]&gt;=DATE(YEAR(vp.tbl[[#This Row],[SDate]]),5,1),vp.tbl[[#This Row],[SDate]]&lt;=DATE(YEAR(vp.tbl[[#This Row],[SDate]]),9,15)),1,0)</f>
        <v>0</v>
      </c>
      <c r="AQ8" s="15">
        <f>IF(vp.tbl[[#This Row],[SDate]]&lt;DATE(2016,12,1),0,1)</f>
        <v>0</v>
      </c>
    </row>
    <row r="9" spans="1:43" x14ac:dyDescent="0.25">
      <c r="A9">
        <v>8</v>
      </c>
      <c r="B9" t="s">
        <v>56</v>
      </c>
      <c r="C9" t="s">
        <v>56</v>
      </c>
      <c r="D9" t="s">
        <v>57</v>
      </c>
      <c r="F9" s="1">
        <v>42291</v>
      </c>
      <c r="G9" s="2">
        <v>111.3</v>
      </c>
      <c r="H9" s="2"/>
      <c r="I9" s="2">
        <v>1.44</v>
      </c>
      <c r="J9" s="2"/>
      <c r="K9" s="2"/>
      <c r="L9" s="2">
        <v>822.6</v>
      </c>
      <c r="M9" s="2">
        <v>822.6</v>
      </c>
      <c r="N9" s="2">
        <f ca="1">INDEX(INDIRECT(_xlfn.CONCAT("weather.tbl[",N$1,"]")),MATCH(vp.tbl[[#This Row],[SDate]],weather.tbl[Date],0))</f>
        <v>8.75</v>
      </c>
      <c r="O9" s="2">
        <f ca="1">INDEX(INDIRECT(_xlfn.CONCAT("weather.tbl[",O$1,"]")),MATCH(vp.tbl[[#This Row],[SDate]],weather.tbl[Date],0))</f>
        <v>11.204761904761906</v>
      </c>
      <c r="P9" s="2">
        <f ca="1">INDEX(INDIRECT(_xlfn.CONCAT("weather.tbl[",P$1,"]")),MATCH(vp.tbl[[#This Row],[SDate]],weather.tbl[Date],0))</f>
        <v>9.1</v>
      </c>
      <c r="Q9" s="2">
        <f ca="1">INDEX(INDIRECT(_xlfn.CONCAT("weather.tbl[",Q$1,"]")),MATCH(vp.tbl[[#This Row],[SDate]],weather.tbl[Date],0))</f>
        <v>7.7</v>
      </c>
      <c r="R9" s="2">
        <f ca="1">INDEX(INDIRECT(_xlfn.CONCAT("weather.tbl[",R$1,"]")),MATCH(vp.tbl[[#This Row],[SDate]],weather.tbl[Date],0))</f>
        <v>8.8000000000000007</v>
      </c>
      <c r="S9" s="2">
        <f ca="1">INDEX(INDIRECT(_xlfn.CONCAT("weather.tbl[",S$1,"]")),MATCH(vp.tbl[[#This Row],[SDate]],weather.tbl[Date],0))</f>
        <v>9</v>
      </c>
      <c r="T9" s="2">
        <f ca="1">INDEX(INDIRECT(_xlfn.CONCAT("weather.tbl[",T$1,"]")),MATCH(vp.tbl[[#This Row],[SDate]],weather.tbl[Date],0))</f>
        <v>10.1</v>
      </c>
      <c r="U9" s="2">
        <f ca="1">INDEX(INDIRECT(_xlfn.CONCAT("weather.tbl[",U$1,"]")),MATCH(vp.tbl[[#This Row],[SDate]],weather.tbl[Date],0))</f>
        <v>7.8</v>
      </c>
      <c r="V9" s="2">
        <v>4182.07</v>
      </c>
      <c r="W9" t="s">
        <v>48</v>
      </c>
      <c r="X9">
        <f>IF(OR(vp.tbl[[#This Row],[Sulf]]="",vp.tbl[[#This Row],[Dens]]=""),1,0)</f>
        <v>0</v>
      </c>
      <c r="Y9">
        <f>IF(vp.tbl[[#This Row],[CrudeType]]="C5+",1,0)</f>
        <v>0</v>
      </c>
      <c r="Z9">
        <f>IF(AND(vp.tbl[[#This Row],[CrudeType]]="Crude",vp.tbl[[#This Row],[Dens]]&lt;=825,vp.tbl[[#This Row],[Sulf]]&gt;0.5,vp.tbl[[#This Row],[Unknown]]=0),1,0)</f>
        <v>1</v>
      </c>
      <c r="AA9">
        <f>IF(AND(vp.tbl[[#This Row],[CrudeType]]="Crude",vp.tbl[[#This Row],[Dens]]&lt;=825,vp.tbl[[#This Row],[Sulf]]&lt;=0.5,vp.tbl[[#This Row],[Unknown]]=0),1,0)</f>
        <v>0</v>
      </c>
      <c r="AB9">
        <f>IF(AND(vp.tbl[[#This Row],[CrudeType]]="Crude",vp.tbl[[#This Row],[Dens]]&gt;825,vp.tbl[[#This Row],[Dens]]&lt;=870,vp.tbl[[#This Row],[Sulf]]&gt;0.5,vp.tbl[[#This Row],[Unknown]]=0),1,0)</f>
        <v>0</v>
      </c>
      <c r="AC9">
        <f>IF(AND(vp.tbl[[#This Row],[CrudeType]]="Crude",vp.tbl[[#This Row],[Dens]]&gt;825,vp.tbl[[#This Row],[Dens]]&lt;=900,vp.tbl[[#This Row],[Sulf]]&lt;=0.5,vp.tbl[[#This Row],[Unknown]]=0),1,0)</f>
        <v>0</v>
      </c>
      <c r="AD9">
        <f>IF(AND(vp.tbl[[#This Row],[CrudeType]]="Crude",vp.tbl[[#This Row],[Dens]]&gt;870,vp.tbl[[#This Row],[Dens]]&lt;=900,vp.tbl[[#This Row],[Sulf]]&gt;0.5,vp.tbl[[#This Row],[Unknown]]=0),1,0)</f>
        <v>0</v>
      </c>
      <c r="AE9">
        <f>IF(AND(vp.tbl[[#This Row],[CrudeType]]="Crude",vp.tbl[[#This Row],[Dens]]&gt;900,vp.tbl[[#This Row],[Sulf]]&lt;=0.5,vp.tbl[[#This Row],[Unknown]]=0),1,0)</f>
        <v>0</v>
      </c>
      <c r="AF9">
        <f>IF(AND(vp.tbl[[#This Row],[CrudeType]]="Crude",vp.tbl[[#This Row],[Dens]]&gt;900,vp.tbl[[#This Row],[Sulf]]&lt;=0.5,vp.tbl[[#This Row],[Unknown]]=0),1,0)</f>
        <v>0</v>
      </c>
      <c r="AG9" t="str">
        <f>INDEX(vp.tbl[[#Headers],[Unknown]:[Heavy_SW]],MATCH(1,vp.tbl[[#This Row],[Unknown]:[Heavy_SW]],0))</f>
        <v>Light_LSB</v>
      </c>
      <c r="AH9" t="e">
        <f>INDEX([1]!crudeBD.lkup[Number],MATCH(vp.tbl[[#This Row],[Crude_Breakdown]],[1]!crudeBD.lkup[Crude Breakdown],0))</f>
        <v>#REF!</v>
      </c>
      <c r="AI9">
        <f>MONTH(vp.tbl[[#This Row],[SDate]])</f>
        <v>10</v>
      </c>
      <c r="AJ9" s="5">
        <f>IFERROR(vp.tbl[[#This Row],[Sulf]]*vp.tbl[[#This Row],[Net Dens]],"")</f>
        <v>4953845.9260799997</v>
      </c>
      <c r="AK9" s="5">
        <f>IFERROR(vp.tbl[[#This Row],[Dens]]*vp.tbl[[#This Row],[VolumeM3]],"")</f>
        <v>3440170.7819999997</v>
      </c>
      <c r="AL9" s="5">
        <f>IFERROR(vp.tbl[[#This Row],[VP]]*vp.tbl[[#This Row],[VolumeM3]],"")</f>
        <v>465464.39099999995</v>
      </c>
      <c r="AM9" s="4">
        <f>IFERROR((vp.tbl[[#This Row],[VP]]-INDEX(crudeBD.lkup.complete[Mean_VP],MATCH(vp.tbl[[#This Row],[Crude_Breakdown]],crudeBD.lkup.complete[Crude Breakdown],0)))^2,"")</f>
        <v>390.21318465299049</v>
      </c>
      <c r="AN9" s="4">
        <f>IFERROR((vp.tbl[[#This Row],[Dens]]-INDEX(crudeBD.lkup.complete[Mean_Dens],MATCH(vp.tbl[[#This Row],[Crude_Breakdown]],crudeBD.lkup.complete[Crude Breakdown],0)))^2,"")</f>
        <v>16.67276919734336</v>
      </c>
      <c r="AO9" s="4">
        <f>IFERROR((vp.tbl[[#This Row],[Sulf]]-INDEX(crudeBD.lkup.complete[Mean_Sulf],MATCH(vp.tbl[[#This Row],[Crude_Breakdown]],crudeBD.lkup.complete[Crude Breakdown],0)))^2,"")</f>
        <v>0.26731881272129659</v>
      </c>
      <c r="AP9">
        <f>IF(AND(vp.tbl[[#This Row],[SDate]]&gt;=DATE(YEAR(vp.tbl[[#This Row],[SDate]]),5,1),vp.tbl[[#This Row],[SDate]]&lt;=DATE(YEAR(vp.tbl[[#This Row],[SDate]]),9,15)),1,0)</f>
        <v>0</v>
      </c>
      <c r="AQ9" s="15">
        <f>IF(vp.tbl[[#This Row],[SDate]]&lt;DATE(2016,12,1),0,1)</f>
        <v>0</v>
      </c>
    </row>
    <row r="10" spans="1:43" x14ac:dyDescent="0.25">
      <c r="A10">
        <v>9</v>
      </c>
      <c r="B10" t="s">
        <v>51</v>
      </c>
      <c r="C10" t="s">
        <v>51</v>
      </c>
      <c r="D10" t="s">
        <v>58</v>
      </c>
      <c r="F10" s="1">
        <v>42291</v>
      </c>
      <c r="G10" s="2">
        <v>91.2</v>
      </c>
      <c r="H10" s="2"/>
      <c r="I10" s="2">
        <v>1.26</v>
      </c>
      <c r="J10" s="2"/>
      <c r="K10" s="2"/>
      <c r="L10" s="2">
        <v>823.1</v>
      </c>
      <c r="M10" s="2">
        <v>823.1</v>
      </c>
      <c r="N10" s="2">
        <f ca="1">INDEX(INDIRECT(_xlfn.CONCAT("weather.tbl[",N$1,"]")),MATCH(vp.tbl[[#This Row],[SDate]],weather.tbl[Date],0))</f>
        <v>8.75</v>
      </c>
      <c r="O10" s="2">
        <f ca="1">INDEX(INDIRECT(_xlfn.CONCAT("weather.tbl[",O$1,"]")),MATCH(vp.tbl[[#This Row],[SDate]],weather.tbl[Date],0))</f>
        <v>11.204761904761906</v>
      </c>
      <c r="P10" s="2">
        <f ca="1">INDEX(INDIRECT(_xlfn.CONCAT("weather.tbl[",P$1,"]")),MATCH(vp.tbl[[#This Row],[SDate]],weather.tbl[Date],0))</f>
        <v>9.1</v>
      </c>
      <c r="Q10" s="2">
        <f ca="1">INDEX(INDIRECT(_xlfn.CONCAT("weather.tbl[",Q$1,"]")),MATCH(vp.tbl[[#This Row],[SDate]],weather.tbl[Date],0))</f>
        <v>7.7</v>
      </c>
      <c r="R10" s="2">
        <f ca="1">INDEX(INDIRECT(_xlfn.CONCAT("weather.tbl[",R$1,"]")),MATCH(vp.tbl[[#This Row],[SDate]],weather.tbl[Date],0))</f>
        <v>8.8000000000000007</v>
      </c>
      <c r="S10" s="2">
        <f ca="1">INDEX(INDIRECT(_xlfn.CONCAT("weather.tbl[",S$1,"]")),MATCH(vp.tbl[[#This Row],[SDate]],weather.tbl[Date],0))</f>
        <v>9</v>
      </c>
      <c r="T10" s="2">
        <f ca="1">INDEX(INDIRECT(_xlfn.CONCAT("weather.tbl[",T$1,"]")),MATCH(vp.tbl[[#This Row],[SDate]],weather.tbl[Date],0))</f>
        <v>10.1</v>
      </c>
      <c r="U10" s="2">
        <f ca="1">INDEX(INDIRECT(_xlfn.CONCAT("weather.tbl[",U$1,"]")),MATCH(vp.tbl[[#This Row],[SDate]],weather.tbl[Date],0))</f>
        <v>7.8</v>
      </c>
      <c r="V10" s="2">
        <v>6800.9520000000002</v>
      </c>
      <c r="W10" t="s">
        <v>48</v>
      </c>
      <c r="X10">
        <f>IF(OR(vp.tbl[[#This Row],[Sulf]]="",vp.tbl[[#This Row],[Dens]]=""),1,0)</f>
        <v>0</v>
      </c>
      <c r="Y10">
        <f>IF(vp.tbl[[#This Row],[CrudeType]]="C5+",1,0)</f>
        <v>0</v>
      </c>
      <c r="Z10">
        <f>IF(AND(vp.tbl[[#This Row],[CrudeType]]="Crude",vp.tbl[[#This Row],[Dens]]&lt;=825,vp.tbl[[#This Row],[Sulf]]&gt;0.5,vp.tbl[[#This Row],[Unknown]]=0),1,0)</f>
        <v>1</v>
      </c>
      <c r="AA10">
        <f>IF(AND(vp.tbl[[#This Row],[CrudeType]]="Crude",vp.tbl[[#This Row],[Dens]]&lt;=825,vp.tbl[[#This Row],[Sulf]]&lt;=0.5,vp.tbl[[#This Row],[Unknown]]=0),1,0)</f>
        <v>0</v>
      </c>
      <c r="AB10">
        <f>IF(AND(vp.tbl[[#This Row],[CrudeType]]="Crude",vp.tbl[[#This Row],[Dens]]&gt;825,vp.tbl[[#This Row],[Dens]]&lt;=870,vp.tbl[[#This Row],[Sulf]]&gt;0.5,vp.tbl[[#This Row],[Unknown]]=0),1,0)</f>
        <v>0</v>
      </c>
      <c r="AC10">
        <f>IF(AND(vp.tbl[[#This Row],[CrudeType]]="Crude",vp.tbl[[#This Row],[Dens]]&gt;825,vp.tbl[[#This Row],[Dens]]&lt;=900,vp.tbl[[#This Row],[Sulf]]&lt;=0.5,vp.tbl[[#This Row],[Unknown]]=0),1,0)</f>
        <v>0</v>
      </c>
      <c r="AD10">
        <f>IF(AND(vp.tbl[[#This Row],[CrudeType]]="Crude",vp.tbl[[#This Row],[Dens]]&gt;870,vp.tbl[[#This Row],[Dens]]&lt;=900,vp.tbl[[#This Row],[Sulf]]&gt;0.5,vp.tbl[[#This Row],[Unknown]]=0),1,0)</f>
        <v>0</v>
      </c>
      <c r="AE10">
        <f>IF(AND(vp.tbl[[#This Row],[CrudeType]]="Crude",vp.tbl[[#This Row],[Dens]]&gt;900,vp.tbl[[#This Row],[Sulf]]&lt;=0.5,vp.tbl[[#This Row],[Unknown]]=0),1,0)</f>
        <v>0</v>
      </c>
      <c r="AF10">
        <f>IF(AND(vp.tbl[[#This Row],[CrudeType]]="Crude",vp.tbl[[#This Row],[Dens]]&gt;900,vp.tbl[[#This Row],[Sulf]]&lt;=0.5,vp.tbl[[#This Row],[Unknown]]=0),1,0)</f>
        <v>0</v>
      </c>
      <c r="AG10" t="str">
        <f>INDEX(vp.tbl[[#Headers],[Unknown]:[Heavy_SW]],MATCH(1,vp.tbl[[#This Row],[Unknown]:[Heavy_SW]],0))</f>
        <v>Light_LSB</v>
      </c>
      <c r="AH10" t="e">
        <f>INDEX([1]!crudeBD.lkup[Number],MATCH(vp.tbl[[#This Row],[Crude_Breakdown]],[1]!crudeBD.lkup[Crude Breakdown],0))</f>
        <v>#REF!</v>
      </c>
      <c r="AI10">
        <f>MONTH(vp.tbl[[#This Row],[SDate]])</f>
        <v>10</v>
      </c>
      <c r="AJ10" s="5">
        <f>IFERROR(vp.tbl[[#This Row],[Sulf]]*vp.tbl[[#This Row],[Net Dens]],"")</f>
        <v>7053308.1249120012</v>
      </c>
      <c r="AK10" s="5">
        <f>IFERROR(vp.tbl[[#This Row],[Dens]]*vp.tbl[[#This Row],[VolumeM3]],"")</f>
        <v>5597863.5912000006</v>
      </c>
      <c r="AL10" s="5">
        <f>IFERROR(vp.tbl[[#This Row],[VP]]*vp.tbl[[#This Row],[VolumeM3]],"")</f>
        <v>620246.82240000006</v>
      </c>
      <c r="AM10" s="4">
        <f>IFERROR((vp.tbl[[#This Row],[VP]]-INDEX(crudeBD.lkup.complete[Mean_VP],MATCH(vp.tbl[[#This Row],[Crude_Breakdown]],crudeBD.lkup.complete[Crude Breakdown],0)))^2,"")</f>
        <v>0.11984444680626891</v>
      </c>
      <c r="AN10" s="4">
        <f>IFERROR((vp.tbl[[#This Row],[Dens]]-INDEX(crudeBD.lkup.complete[Mean_Dens],MATCH(vp.tbl[[#This Row],[Crude_Breakdown]],crudeBD.lkup.complete[Crude Breakdown],0)))^2,"")</f>
        <v>21.005999437893525</v>
      </c>
      <c r="AO10" s="4">
        <f>IFERROR((vp.tbl[[#This Row],[Sulf]]-INDEX(crudeBD.lkup.complete[Mean_Sulf],MATCH(vp.tbl[[#This Row],[Crude_Breakdown]],crudeBD.lkup.complete[Crude Breakdown],0)))^2,"")</f>
        <v>0.11358843333985327</v>
      </c>
      <c r="AP10">
        <f>IF(AND(vp.tbl[[#This Row],[SDate]]&gt;=DATE(YEAR(vp.tbl[[#This Row],[SDate]]),5,1),vp.tbl[[#This Row],[SDate]]&lt;=DATE(YEAR(vp.tbl[[#This Row],[SDate]]),9,15)),1,0)</f>
        <v>0</v>
      </c>
      <c r="AQ10" s="15">
        <f>IF(vp.tbl[[#This Row],[SDate]]&lt;DATE(2016,12,1),0,1)</f>
        <v>0</v>
      </c>
    </row>
    <row r="11" spans="1:43" x14ac:dyDescent="0.25">
      <c r="A11">
        <v>10</v>
      </c>
      <c r="B11" t="s">
        <v>49</v>
      </c>
      <c r="C11" t="s">
        <v>49</v>
      </c>
      <c r="D11" t="s">
        <v>59</v>
      </c>
      <c r="F11" s="1">
        <v>42291</v>
      </c>
      <c r="G11" s="2">
        <v>72.900000000000006</v>
      </c>
      <c r="H11" s="2"/>
      <c r="I11" s="2">
        <v>1.53</v>
      </c>
      <c r="J11" s="2"/>
      <c r="K11" s="2"/>
      <c r="L11" s="2">
        <v>843.3</v>
      </c>
      <c r="M11" s="2">
        <v>843.3</v>
      </c>
      <c r="N11" s="2">
        <f ca="1">INDEX(INDIRECT(_xlfn.CONCAT("weather.tbl[",N$1,"]")),MATCH(vp.tbl[[#This Row],[SDate]],weather.tbl[Date],0))</f>
        <v>8.75</v>
      </c>
      <c r="O11" s="2">
        <f ca="1">INDEX(INDIRECT(_xlfn.CONCAT("weather.tbl[",O$1,"]")),MATCH(vp.tbl[[#This Row],[SDate]],weather.tbl[Date],0))</f>
        <v>11.204761904761906</v>
      </c>
      <c r="P11" s="2">
        <f ca="1">INDEX(INDIRECT(_xlfn.CONCAT("weather.tbl[",P$1,"]")),MATCH(vp.tbl[[#This Row],[SDate]],weather.tbl[Date],0))</f>
        <v>9.1</v>
      </c>
      <c r="Q11" s="2">
        <f ca="1">INDEX(INDIRECT(_xlfn.CONCAT("weather.tbl[",Q$1,"]")),MATCH(vp.tbl[[#This Row],[SDate]],weather.tbl[Date],0))</f>
        <v>7.7</v>
      </c>
      <c r="R11" s="2">
        <f ca="1">INDEX(INDIRECT(_xlfn.CONCAT("weather.tbl[",R$1,"]")),MATCH(vp.tbl[[#This Row],[SDate]],weather.tbl[Date],0))</f>
        <v>8.8000000000000007</v>
      </c>
      <c r="S11" s="2">
        <f ca="1">INDEX(INDIRECT(_xlfn.CONCAT("weather.tbl[",S$1,"]")),MATCH(vp.tbl[[#This Row],[SDate]],weather.tbl[Date],0))</f>
        <v>9</v>
      </c>
      <c r="T11" s="2">
        <f ca="1">INDEX(INDIRECT(_xlfn.CONCAT("weather.tbl[",T$1,"]")),MATCH(vp.tbl[[#This Row],[SDate]],weather.tbl[Date],0))</f>
        <v>10.1</v>
      </c>
      <c r="U11" s="2">
        <f ca="1">INDEX(INDIRECT(_xlfn.CONCAT("weather.tbl[",U$1,"]")),MATCH(vp.tbl[[#This Row],[SDate]],weather.tbl[Date],0))</f>
        <v>7.8</v>
      </c>
      <c r="V11" s="2">
        <v>1980.316</v>
      </c>
      <c r="W11" t="s">
        <v>48</v>
      </c>
      <c r="X11">
        <f>IF(OR(vp.tbl[[#This Row],[Sulf]]="",vp.tbl[[#This Row],[Dens]]=""),1,0)</f>
        <v>0</v>
      </c>
      <c r="Y11">
        <f>IF(vp.tbl[[#This Row],[CrudeType]]="C5+",1,0)</f>
        <v>0</v>
      </c>
      <c r="Z11">
        <f>IF(AND(vp.tbl[[#This Row],[CrudeType]]="Crude",vp.tbl[[#This Row],[Dens]]&lt;=825,vp.tbl[[#This Row],[Sulf]]&gt;0.5,vp.tbl[[#This Row],[Unknown]]=0),1,0)</f>
        <v>0</v>
      </c>
      <c r="AA11">
        <f>IF(AND(vp.tbl[[#This Row],[CrudeType]]="Crude",vp.tbl[[#This Row],[Dens]]&lt;=825,vp.tbl[[#This Row],[Sulf]]&lt;=0.5,vp.tbl[[#This Row],[Unknown]]=0),1,0)</f>
        <v>0</v>
      </c>
      <c r="AB11">
        <f>IF(AND(vp.tbl[[#This Row],[CrudeType]]="Crude",vp.tbl[[#This Row],[Dens]]&gt;825,vp.tbl[[#This Row],[Dens]]&lt;=870,vp.tbl[[#This Row],[Sulf]]&gt;0.5,vp.tbl[[#This Row],[Unknown]]=0),1,0)</f>
        <v>1</v>
      </c>
      <c r="AC11">
        <f>IF(AND(vp.tbl[[#This Row],[CrudeType]]="Crude",vp.tbl[[#This Row],[Dens]]&gt;825,vp.tbl[[#This Row],[Dens]]&lt;=900,vp.tbl[[#This Row],[Sulf]]&lt;=0.5,vp.tbl[[#This Row],[Unknown]]=0),1,0)</f>
        <v>0</v>
      </c>
      <c r="AD11">
        <f>IF(AND(vp.tbl[[#This Row],[CrudeType]]="Crude",vp.tbl[[#This Row],[Dens]]&gt;870,vp.tbl[[#This Row],[Dens]]&lt;=900,vp.tbl[[#This Row],[Sulf]]&gt;0.5,vp.tbl[[#This Row],[Unknown]]=0),1,0)</f>
        <v>0</v>
      </c>
      <c r="AE11">
        <f>IF(AND(vp.tbl[[#This Row],[CrudeType]]="Crude",vp.tbl[[#This Row],[Dens]]&gt;900,vp.tbl[[#This Row],[Sulf]]&lt;=0.5,vp.tbl[[#This Row],[Unknown]]=0),1,0)</f>
        <v>0</v>
      </c>
      <c r="AF11">
        <f>IF(AND(vp.tbl[[#This Row],[CrudeType]]="Crude",vp.tbl[[#This Row],[Dens]]&gt;900,vp.tbl[[#This Row],[Sulf]]&lt;=0.5,vp.tbl[[#This Row],[Unknown]]=0),1,0)</f>
        <v>0</v>
      </c>
      <c r="AG11" t="str">
        <f>INDEX(vp.tbl[[#Headers],[Unknown]:[Heavy_SW]],MATCH(1,vp.tbl[[#This Row],[Unknown]:[Heavy_SW]],0))</f>
        <v>Medium_LSB</v>
      </c>
      <c r="AH11" t="e">
        <f>INDEX([1]!crudeBD.lkup[Number],MATCH(vp.tbl[[#This Row],[Crude_Breakdown]],[1]!crudeBD.lkup[Crude Breakdown],0))</f>
        <v>#REF!</v>
      </c>
      <c r="AI11">
        <f>MONTH(vp.tbl[[#This Row],[SDate]])</f>
        <v>10</v>
      </c>
      <c r="AJ11" s="5">
        <f>IFERROR(vp.tbl[[#This Row],[Sulf]]*vp.tbl[[#This Row],[Net Dens]],"")</f>
        <v>2555100.738684</v>
      </c>
      <c r="AK11" s="5">
        <f>IFERROR(vp.tbl[[#This Row],[Dens]]*vp.tbl[[#This Row],[VolumeM3]],"")</f>
        <v>1670000.4827999999</v>
      </c>
      <c r="AL11" s="5">
        <f>IFERROR(vp.tbl[[#This Row],[VP]]*vp.tbl[[#This Row],[VolumeM3]],"")</f>
        <v>144365.03640000001</v>
      </c>
      <c r="AM11" s="4">
        <f>IFERROR((vp.tbl[[#This Row],[VP]]-INDEX(crudeBD.lkup.complete[Mean_VP],MATCH(vp.tbl[[#This Row],[Crude_Breakdown]],crudeBD.lkup.complete[Crude Breakdown],0)))^2,"")</f>
        <v>52.905183303316157</v>
      </c>
      <c r="AN11" s="4">
        <f>IFERROR((vp.tbl[[#This Row],[Dens]]-INDEX(crudeBD.lkup.complete[Mean_Dens],MATCH(vp.tbl[[#This Row],[Crude_Breakdown]],crudeBD.lkup.complete[Crude Breakdown],0)))^2,"")</f>
        <v>3.9673580060850266</v>
      </c>
      <c r="AO11" s="4">
        <f>IFERROR((vp.tbl[[#This Row],[Sulf]]-INDEX(crudeBD.lkup.complete[Mean_Sulf],MATCH(vp.tbl[[#This Row],[Crude_Breakdown]],crudeBD.lkup.complete[Crude Breakdown],0)))^2,"")</f>
        <v>5.6355258055887899E-3</v>
      </c>
      <c r="AP11">
        <f>IF(AND(vp.tbl[[#This Row],[SDate]]&gt;=DATE(YEAR(vp.tbl[[#This Row],[SDate]]),5,1),vp.tbl[[#This Row],[SDate]]&lt;=DATE(YEAR(vp.tbl[[#This Row],[SDate]]),9,15)),1,0)</f>
        <v>0</v>
      </c>
      <c r="AQ11" s="15">
        <f>IF(vp.tbl[[#This Row],[SDate]]&lt;DATE(2016,12,1),0,1)</f>
        <v>0</v>
      </c>
    </row>
    <row r="12" spans="1:43" x14ac:dyDescent="0.25">
      <c r="A12">
        <v>11</v>
      </c>
      <c r="B12" t="s">
        <v>60</v>
      </c>
      <c r="C12" t="s">
        <v>60</v>
      </c>
      <c r="D12" t="s">
        <v>61</v>
      </c>
      <c r="E12" t="s">
        <v>55</v>
      </c>
      <c r="F12" s="1">
        <v>42291</v>
      </c>
      <c r="G12" s="2">
        <v>101.3</v>
      </c>
      <c r="H12" s="2"/>
      <c r="I12" s="2">
        <v>1.03</v>
      </c>
      <c r="J12" s="2"/>
      <c r="K12" s="2"/>
      <c r="L12" s="2"/>
      <c r="M12" s="2">
        <v>820.9</v>
      </c>
      <c r="N12" s="2">
        <f ca="1">INDEX(INDIRECT(_xlfn.CONCAT("weather.tbl[",N$1,"]")),MATCH(vp.tbl[[#This Row],[SDate]],weather.tbl[Date],0))</f>
        <v>8.75</v>
      </c>
      <c r="O12" s="2">
        <f ca="1">INDEX(INDIRECT(_xlfn.CONCAT("weather.tbl[",O$1,"]")),MATCH(vp.tbl[[#This Row],[SDate]],weather.tbl[Date],0))</f>
        <v>11.204761904761906</v>
      </c>
      <c r="P12" s="2">
        <f ca="1">INDEX(INDIRECT(_xlfn.CONCAT("weather.tbl[",P$1,"]")),MATCH(vp.tbl[[#This Row],[SDate]],weather.tbl[Date],0))</f>
        <v>9.1</v>
      </c>
      <c r="Q12" s="2">
        <f ca="1">INDEX(INDIRECT(_xlfn.CONCAT("weather.tbl[",Q$1,"]")),MATCH(vp.tbl[[#This Row],[SDate]],weather.tbl[Date],0))</f>
        <v>7.7</v>
      </c>
      <c r="R12" s="2">
        <f ca="1">INDEX(INDIRECT(_xlfn.CONCAT("weather.tbl[",R$1,"]")),MATCH(vp.tbl[[#This Row],[SDate]],weather.tbl[Date],0))</f>
        <v>8.8000000000000007</v>
      </c>
      <c r="S12" s="2">
        <f ca="1">INDEX(INDIRECT(_xlfn.CONCAT("weather.tbl[",S$1,"]")),MATCH(vp.tbl[[#This Row],[SDate]],weather.tbl[Date],0))</f>
        <v>9</v>
      </c>
      <c r="T12" s="2">
        <f ca="1">INDEX(INDIRECT(_xlfn.CONCAT("weather.tbl[",T$1,"]")),MATCH(vp.tbl[[#This Row],[SDate]],weather.tbl[Date],0))</f>
        <v>10.1</v>
      </c>
      <c r="U12" s="2">
        <f ca="1">INDEX(INDIRECT(_xlfn.CONCAT("weather.tbl[",U$1,"]")),MATCH(vp.tbl[[#This Row],[SDate]],weather.tbl[Date],0))</f>
        <v>7.8</v>
      </c>
      <c r="V12" s="2">
        <v>109960.599</v>
      </c>
      <c r="W12" t="s">
        <v>48</v>
      </c>
      <c r="X12">
        <f>IF(OR(vp.tbl[[#This Row],[Sulf]]="",vp.tbl[[#This Row],[Dens]]=""),1,0)</f>
        <v>0</v>
      </c>
      <c r="Y12">
        <f>IF(vp.tbl[[#This Row],[CrudeType]]="C5+",1,0)</f>
        <v>0</v>
      </c>
      <c r="Z12">
        <f>IF(AND(vp.tbl[[#This Row],[CrudeType]]="Crude",vp.tbl[[#This Row],[Dens]]&lt;=825,vp.tbl[[#This Row],[Sulf]]&gt;0.5,vp.tbl[[#This Row],[Unknown]]=0),1,0)</f>
        <v>1</v>
      </c>
      <c r="AA12">
        <f>IF(AND(vp.tbl[[#This Row],[CrudeType]]="Crude",vp.tbl[[#This Row],[Dens]]&lt;=825,vp.tbl[[#This Row],[Sulf]]&lt;=0.5,vp.tbl[[#This Row],[Unknown]]=0),1,0)</f>
        <v>0</v>
      </c>
      <c r="AB12">
        <f>IF(AND(vp.tbl[[#This Row],[CrudeType]]="Crude",vp.tbl[[#This Row],[Dens]]&gt;825,vp.tbl[[#This Row],[Dens]]&lt;=870,vp.tbl[[#This Row],[Sulf]]&gt;0.5,vp.tbl[[#This Row],[Unknown]]=0),1,0)</f>
        <v>0</v>
      </c>
      <c r="AC12">
        <f>IF(AND(vp.tbl[[#This Row],[CrudeType]]="Crude",vp.tbl[[#This Row],[Dens]]&gt;825,vp.tbl[[#This Row],[Dens]]&lt;=900,vp.tbl[[#This Row],[Sulf]]&lt;=0.5,vp.tbl[[#This Row],[Unknown]]=0),1,0)</f>
        <v>0</v>
      </c>
      <c r="AD12">
        <f>IF(AND(vp.tbl[[#This Row],[CrudeType]]="Crude",vp.tbl[[#This Row],[Dens]]&gt;870,vp.tbl[[#This Row],[Dens]]&lt;=900,vp.tbl[[#This Row],[Sulf]]&gt;0.5,vp.tbl[[#This Row],[Unknown]]=0),1,0)</f>
        <v>0</v>
      </c>
      <c r="AE12">
        <f>IF(AND(vp.tbl[[#This Row],[CrudeType]]="Crude",vp.tbl[[#This Row],[Dens]]&gt;900,vp.tbl[[#This Row],[Sulf]]&lt;=0.5,vp.tbl[[#This Row],[Unknown]]=0),1,0)</f>
        <v>0</v>
      </c>
      <c r="AF12">
        <f>IF(AND(vp.tbl[[#This Row],[CrudeType]]="Crude",vp.tbl[[#This Row],[Dens]]&gt;900,vp.tbl[[#This Row],[Sulf]]&lt;=0.5,vp.tbl[[#This Row],[Unknown]]=0),1,0)</f>
        <v>0</v>
      </c>
      <c r="AG12" t="str">
        <f>INDEX(vp.tbl[[#Headers],[Unknown]:[Heavy_SW]],MATCH(1,vp.tbl[[#This Row],[Unknown]:[Heavy_SW]],0))</f>
        <v>Light_LSB</v>
      </c>
      <c r="AH12" t="e">
        <f>INDEX([1]!crudeBD.lkup[Number],MATCH(vp.tbl[[#This Row],[Crude_Breakdown]],[1]!crudeBD.lkup[Crude Breakdown],0))</f>
        <v>#REF!</v>
      </c>
      <c r="AI12">
        <f>MONTH(vp.tbl[[#This Row],[SDate]])</f>
        <v>10</v>
      </c>
      <c r="AJ12" s="5">
        <f>IFERROR(vp.tbl[[#This Row],[Sulf]]*vp.tbl[[#This Row],[Net Dens]],"")</f>
        <v>92974655.390672997</v>
      </c>
      <c r="AK12" s="5">
        <f>IFERROR(vp.tbl[[#This Row],[Dens]]*vp.tbl[[#This Row],[VolumeM3]],"")</f>
        <v>90266655.719099998</v>
      </c>
      <c r="AL12" s="5">
        <f>IFERROR(vp.tbl[[#This Row],[VP]]*vp.tbl[[#This Row],[VolumeM3]],"")</f>
        <v>11139008.6787</v>
      </c>
      <c r="AM12" s="4">
        <f>IFERROR((vp.tbl[[#This Row],[VP]]-INDEX(crudeBD.lkup.complete[Mean_VP],MATCH(vp.tbl[[#This Row],[Crude_Breakdown]],crudeBD.lkup.complete[Crude Breakdown],0)))^2,"")</f>
        <v>95.136895993197342</v>
      </c>
      <c r="AN12" s="4">
        <f>IFERROR((vp.tbl[[#This Row],[Dens]]-INDEX(crudeBD.lkup.complete[Mean_Dens],MATCH(vp.tbl[[#This Row],[Crude_Breakdown]],crudeBD.lkup.complete[Crude Breakdown],0)))^2,"")</f>
        <v>5.6797863794725805</v>
      </c>
      <c r="AO12" s="4">
        <f>IFERROR((vp.tbl[[#This Row],[Sulf]]-INDEX(crudeBD.lkup.complete[Mean_Sulf],MATCH(vp.tbl[[#This Row],[Crude_Breakdown]],crudeBD.lkup.complete[Crude Breakdown],0)))^2,"")</f>
        <v>1.145517079689783E-2</v>
      </c>
      <c r="AP12">
        <f>IF(AND(vp.tbl[[#This Row],[SDate]]&gt;=DATE(YEAR(vp.tbl[[#This Row],[SDate]]),5,1),vp.tbl[[#This Row],[SDate]]&lt;=DATE(YEAR(vp.tbl[[#This Row],[SDate]]),9,15)),1,0)</f>
        <v>0</v>
      </c>
      <c r="AQ12" s="15">
        <f>IF(vp.tbl[[#This Row],[SDate]]&lt;DATE(2016,12,1),0,1)</f>
        <v>0</v>
      </c>
    </row>
    <row r="13" spans="1:43" x14ac:dyDescent="0.25">
      <c r="A13">
        <v>12</v>
      </c>
      <c r="B13" t="s">
        <v>62</v>
      </c>
      <c r="C13" t="s">
        <v>62</v>
      </c>
      <c r="D13" t="s">
        <v>63</v>
      </c>
      <c r="F13" s="1">
        <v>42292</v>
      </c>
      <c r="G13" s="2">
        <v>90.5</v>
      </c>
      <c r="H13" s="2"/>
      <c r="I13" s="2">
        <v>1.26</v>
      </c>
      <c r="J13" s="2"/>
      <c r="K13" s="2"/>
      <c r="L13" s="2"/>
      <c r="M13" s="2">
        <v>825</v>
      </c>
      <c r="N13" s="2">
        <f ca="1">INDEX(INDIRECT(_xlfn.CONCAT("weather.tbl[",N$1,"]")),MATCH(vp.tbl[[#This Row],[SDate]],weather.tbl[Date],0))</f>
        <v>5.7</v>
      </c>
      <c r="O13" s="2">
        <f ca="1">INDEX(INDIRECT(_xlfn.CONCAT("weather.tbl[",O$1,"]")),MATCH(vp.tbl[[#This Row],[SDate]],weather.tbl[Date],0))</f>
        <v>10.652380952380954</v>
      </c>
      <c r="P13" s="2">
        <f ca="1">INDEX(INDIRECT(_xlfn.CONCAT("weather.tbl[",P$1,"]")),MATCH(vp.tbl[[#This Row],[SDate]],weather.tbl[Date],0))</f>
        <v>4.5</v>
      </c>
      <c r="Q13" s="2">
        <f ca="1">INDEX(INDIRECT(_xlfn.CONCAT("weather.tbl[",Q$1,"]")),MATCH(vp.tbl[[#This Row],[SDate]],weather.tbl[Date],0))</f>
        <v>4.8</v>
      </c>
      <c r="R13" s="2">
        <f ca="1">INDEX(INDIRECT(_xlfn.CONCAT("weather.tbl[",R$1,"]")),MATCH(vp.tbl[[#This Row],[SDate]],weather.tbl[Date],0))</f>
        <v>8.8000000000000007</v>
      </c>
      <c r="S13" s="2">
        <f ca="1">INDEX(INDIRECT(_xlfn.CONCAT("weather.tbl[",S$1,"]")),MATCH(vp.tbl[[#This Row],[SDate]],weather.tbl[Date],0))</f>
        <v>6.5</v>
      </c>
      <c r="T13" s="2">
        <f ca="1">INDEX(INDIRECT(_xlfn.CONCAT("weather.tbl[",T$1,"]")),MATCH(vp.tbl[[#This Row],[SDate]],weather.tbl[Date],0))</f>
        <v>4.7</v>
      </c>
      <c r="U13" s="2">
        <f ca="1">INDEX(INDIRECT(_xlfn.CONCAT("weather.tbl[",U$1,"]")),MATCH(vp.tbl[[#This Row],[SDate]],weather.tbl[Date],0))</f>
        <v>4.9000000000000004</v>
      </c>
      <c r="V13" s="2">
        <v>5481.71</v>
      </c>
      <c r="W13" t="s">
        <v>48</v>
      </c>
      <c r="X13">
        <f>IF(OR(vp.tbl[[#This Row],[Sulf]]="",vp.tbl[[#This Row],[Dens]]=""),1,0)</f>
        <v>0</v>
      </c>
      <c r="Y13">
        <f>IF(vp.tbl[[#This Row],[CrudeType]]="C5+",1,0)</f>
        <v>0</v>
      </c>
      <c r="Z13">
        <f>IF(AND(vp.tbl[[#This Row],[CrudeType]]="Crude",vp.tbl[[#This Row],[Dens]]&lt;=825,vp.tbl[[#This Row],[Sulf]]&gt;0.5,vp.tbl[[#This Row],[Unknown]]=0),1,0)</f>
        <v>1</v>
      </c>
      <c r="AA13">
        <f>IF(AND(vp.tbl[[#This Row],[CrudeType]]="Crude",vp.tbl[[#This Row],[Dens]]&lt;=825,vp.tbl[[#This Row],[Sulf]]&lt;=0.5,vp.tbl[[#This Row],[Unknown]]=0),1,0)</f>
        <v>0</v>
      </c>
      <c r="AB13">
        <f>IF(AND(vp.tbl[[#This Row],[CrudeType]]="Crude",vp.tbl[[#This Row],[Dens]]&gt;825,vp.tbl[[#This Row],[Dens]]&lt;=870,vp.tbl[[#This Row],[Sulf]]&gt;0.5,vp.tbl[[#This Row],[Unknown]]=0),1,0)</f>
        <v>0</v>
      </c>
      <c r="AC13">
        <f>IF(AND(vp.tbl[[#This Row],[CrudeType]]="Crude",vp.tbl[[#This Row],[Dens]]&gt;825,vp.tbl[[#This Row],[Dens]]&lt;=900,vp.tbl[[#This Row],[Sulf]]&lt;=0.5,vp.tbl[[#This Row],[Unknown]]=0),1,0)</f>
        <v>0</v>
      </c>
      <c r="AD13">
        <f>IF(AND(vp.tbl[[#This Row],[CrudeType]]="Crude",vp.tbl[[#This Row],[Dens]]&gt;870,vp.tbl[[#This Row],[Dens]]&lt;=900,vp.tbl[[#This Row],[Sulf]]&gt;0.5,vp.tbl[[#This Row],[Unknown]]=0),1,0)</f>
        <v>0</v>
      </c>
      <c r="AE13">
        <f>IF(AND(vp.tbl[[#This Row],[CrudeType]]="Crude",vp.tbl[[#This Row],[Dens]]&gt;900,vp.tbl[[#This Row],[Sulf]]&lt;=0.5,vp.tbl[[#This Row],[Unknown]]=0),1,0)</f>
        <v>0</v>
      </c>
      <c r="AF13">
        <f>IF(AND(vp.tbl[[#This Row],[CrudeType]]="Crude",vp.tbl[[#This Row],[Dens]]&gt;900,vp.tbl[[#This Row],[Sulf]]&lt;=0.5,vp.tbl[[#This Row],[Unknown]]=0),1,0)</f>
        <v>0</v>
      </c>
      <c r="AG13" t="str">
        <f>INDEX(vp.tbl[[#Headers],[Unknown]:[Heavy_SW]],MATCH(1,vp.tbl[[#This Row],[Unknown]:[Heavy_SW]],0))</f>
        <v>Light_LSB</v>
      </c>
      <c r="AH13" t="e">
        <f>INDEX([1]!crudeBD.lkup[Number],MATCH(vp.tbl[[#This Row],[Crude_Breakdown]],[1]!crudeBD.lkup[Crude Breakdown],0))</f>
        <v>#REF!</v>
      </c>
      <c r="AI13">
        <f>MONTH(vp.tbl[[#This Row],[SDate]])</f>
        <v>10</v>
      </c>
      <c r="AJ13" s="5">
        <f>IFERROR(vp.tbl[[#This Row],[Sulf]]*vp.tbl[[#This Row],[Net Dens]],"")</f>
        <v>5698237.5449999999</v>
      </c>
      <c r="AK13" s="5">
        <f>IFERROR(vp.tbl[[#This Row],[Dens]]*vp.tbl[[#This Row],[VolumeM3]],"")</f>
        <v>4522410.75</v>
      </c>
      <c r="AL13" s="5">
        <f>IFERROR(vp.tbl[[#This Row],[VP]]*vp.tbl[[#This Row],[VolumeM3]],"")</f>
        <v>496094.755</v>
      </c>
      <c r="AM13" s="4">
        <f>IFERROR((vp.tbl[[#This Row],[VP]]-INDEX(crudeBD.lkup.complete[Mean_VP],MATCH(vp.tbl[[#This Row],[Crude_Breakdown]],crudeBD.lkup.complete[Crude Breakdown],0)))^2,"")</f>
        <v>1.0945042406207475</v>
      </c>
      <c r="AN13" s="4">
        <f>IFERROR((vp.tbl[[#This Row],[Dens]]-INDEX(crudeBD.lkup.complete[Mean_Dens],MATCH(vp.tbl[[#This Row],[Crude_Breakdown]],crudeBD.lkup.complete[Crude Breakdown],0)))^2,"")</f>
        <v>42.032274351983858</v>
      </c>
      <c r="AO13" s="4">
        <f>IFERROR((vp.tbl[[#This Row],[Sulf]]-INDEX(crudeBD.lkup.complete[Mean_Sulf],MATCH(vp.tbl[[#This Row],[Crude_Breakdown]],crudeBD.lkup.complete[Crude Breakdown],0)))^2,"")</f>
        <v>0.11358843333985327</v>
      </c>
      <c r="AP13">
        <f>IF(AND(vp.tbl[[#This Row],[SDate]]&gt;=DATE(YEAR(vp.tbl[[#This Row],[SDate]]),5,1),vp.tbl[[#This Row],[SDate]]&lt;=DATE(YEAR(vp.tbl[[#This Row],[SDate]]),9,15)),1,0)</f>
        <v>0</v>
      </c>
      <c r="AQ13" s="15">
        <f>IF(vp.tbl[[#This Row],[SDate]]&lt;DATE(2016,12,1),0,1)</f>
        <v>0</v>
      </c>
    </row>
    <row r="14" spans="1:43" x14ac:dyDescent="0.25">
      <c r="A14">
        <v>13</v>
      </c>
      <c r="B14" t="s">
        <v>56</v>
      </c>
      <c r="C14" t="s">
        <v>56</v>
      </c>
      <c r="D14" t="s">
        <v>57</v>
      </c>
      <c r="F14" s="1">
        <v>42293</v>
      </c>
      <c r="G14" s="2">
        <v>97.1</v>
      </c>
      <c r="H14" s="2"/>
      <c r="I14" s="2">
        <v>1.44</v>
      </c>
      <c r="J14" s="2"/>
      <c r="K14" s="2"/>
      <c r="L14" s="2">
        <v>822.2</v>
      </c>
      <c r="M14" s="2">
        <v>822.2</v>
      </c>
      <c r="N14" s="2">
        <f ca="1">INDEX(INDIRECT(_xlfn.CONCAT("weather.tbl[",N$1,"]")),MATCH(vp.tbl[[#This Row],[SDate]],weather.tbl[Date],0))</f>
        <v>6.0166666666666666</v>
      </c>
      <c r="O14" s="2">
        <f ca="1">INDEX(INDIRECT(_xlfn.CONCAT("weather.tbl[",O$1,"]")),MATCH(vp.tbl[[#This Row],[SDate]],weather.tbl[Date],0))</f>
        <v>9.8833333333333346</v>
      </c>
      <c r="P14" s="2">
        <f ca="1">INDEX(INDIRECT(_xlfn.CONCAT("weather.tbl[",P$1,"]")),MATCH(vp.tbl[[#This Row],[SDate]],weather.tbl[Date],0))</f>
        <v>5.2</v>
      </c>
      <c r="Q14" s="2">
        <f ca="1">INDEX(INDIRECT(_xlfn.CONCAT("weather.tbl[",Q$1,"]")),MATCH(vp.tbl[[#This Row],[SDate]],weather.tbl[Date],0))</f>
        <v>5.5</v>
      </c>
      <c r="R14" s="2">
        <f ca="1">INDEX(INDIRECT(_xlfn.CONCAT("weather.tbl[",R$1,"]")),MATCH(vp.tbl[[#This Row],[SDate]],weather.tbl[Date],0))</f>
        <v>8.8000000000000007</v>
      </c>
      <c r="S14" s="2">
        <f ca="1">INDEX(INDIRECT(_xlfn.CONCAT("weather.tbl[",S$1,"]")),MATCH(vp.tbl[[#This Row],[SDate]],weather.tbl[Date],0))</f>
        <v>7.5</v>
      </c>
      <c r="T14" s="2">
        <f ca="1">INDEX(INDIRECT(_xlfn.CONCAT("weather.tbl[",T$1,"]")),MATCH(vp.tbl[[#This Row],[SDate]],weather.tbl[Date],0))</f>
        <v>4.5</v>
      </c>
      <c r="U14" s="2">
        <f ca="1">INDEX(INDIRECT(_xlfn.CONCAT("weather.tbl[",U$1,"]")),MATCH(vp.tbl[[#This Row],[SDate]],weather.tbl[Date],0))</f>
        <v>4.5999999999999996</v>
      </c>
      <c r="V14" s="2">
        <v>4182.07</v>
      </c>
      <c r="W14" t="s">
        <v>48</v>
      </c>
      <c r="X14">
        <f>IF(OR(vp.tbl[[#This Row],[Sulf]]="",vp.tbl[[#This Row],[Dens]]=""),1,0)</f>
        <v>0</v>
      </c>
      <c r="Y14">
        <f>IF(vp.tbl[[#This Row],[CrudeType]]="C5+",1,0)</f>
        <v>0</v>
      </c>
      <c r="Z14">
        <f>IF(AND(vp.tbl[[#This Row],[CrudeType]]="Crude",vp.tbl[[#This Row],[Dens]]&lt;=825,vp.tbl[[#This Row],[Sulf]]&gt;0.5,vp.tbl[[#This Row],[Unknown]]=0),1,0)</f>
        <v>1</v>
      </c>
      <c r="AA14">
        <f>IF(AND(vp.tbl[[#This Row],[CrudeType]]="Crude",vp.tbl[[#This Row],[Dens]]&lt;=825,vp.tbl[[#This Row],[Sulf]]&lt;=0.5,vp.tbl[[#This Row],[Unknown]]=0),1,0)</f>
        <v>0</v>
      </c>
      <c r="AB14">
        <f>IF(AND(vp.tbl[[#This Row],[CrudeType]]="Crude",vp.tbl[[#This Row],[Dens]]&gt;825,vp.tbl[[#This Row],[Dens]]&lt;=870,vp.tbl[[#This Row],[Sulf]]&gt;0.5,vp.tbl[[#This Row],[Unknown]]=0),1,0)</f>
        <v>0</v>
      </c>
      <c r="AC14">
        <f>IF(AND(vp.tbl[[#This Row],[CrudeType]]="Crude",vp.tbl[[#This Row],[Dens]]&gt;825,vp.tbl[[#This Row],[Dens]]&lt;=900,vp.tbl[[#This Row],[Sulf]]&lt;=0.5,vp.tbl[[#This Row],[Unknown]]=0),1,0)</f>
        <v>0</v>
      </c>
      <c r="AD14">
        <f>IF(AND(vp.tbl[[#This Row],[CrudeType]]="Crude",vp.tbl[[#This Row],[Dens]]&gt;870,vp.tbl[[#This Row],[Dens]]&lt;=900,vp.tbl[[#This Row],[Sulf]]&gt;0.5,vp.tbl[[#This Row],[Unknown]]=0),1,0)</f>
        <v>0</v>
      </c>
      <c r="AE14">
        <f>IF(AND(vp.tbl[[#This Row],[CrudeType]]="Crude",vp.tbl[[#This Row],[Dens]]&gt;900,vp.tbl[[#This Row],[Sulf]]&lt;=0.5,vp.tbl[[#This Row],[Unknown]]=0),1,0)</f>
        <v>0</v>
      </c>
      <c r="AF14">
        <f>IF(AND(vp.tbl[[#This Row],[CrudeType]]="Crude",vp.tbl[[#This Row],[Dens]]&gt;900,vp.tbl[[#This Row],[Sulf]]&lt;=0.5,vp.tbl[[#This Row],[Unknown]]=0),1,0)</f>
        <v>0</v>
      </c>
      <c r="AG14" t="str">
        <f>INDEX(vp.tbl[[#Headers],[Unknown]:[Heavy_SW]],MATCH(1,vp.tbl[[#This Row],[Unknown]:[Heavy_SW]],0))</f>
        <v>Light_LSB</v>
      </c>
      <c r="AH14" t="e">
        <f>INDEX([1]!crudeBD.lkup[Number],MATCH(vp.tbl[[#This Row],[Crude_Breakdown]],[1]!crudeBD.lkup[Crude Breakdown],0))</f>
        <v>#REF!</v>
      </c>
      <c r="AI14">
        <f>MONTH(vp.tbl[[#This Row],[SDate]])</f>
        <v>10</v>
      </c>
      <c r="AJ14" s="5">
        <f>IFERROR(vp.tbl[[#This Row],[Sulf]]*vp.tbl[[#This Row],[Net Dens]],"")</f>
        <v>4951437.0537599996</v>
      </c>
      <c r="AK14" s="5">
        <f>IFERROR(vp.tbl[[#This Row],[Dens]]*vp.tbl[[#This Row],[VolumeM3]],"")</f>
        <v>3438497.9539999999</v>
      </c>
      <c r="AL14" s="5">
        <f>IFERROR(vp.tbl[[#This Row],[VP]]*vp.tbl[[#This Row],[VolumeM3]],"")</f>
        <v>406078.99699999997</v>
      </c>
      <c r="AM14" s="4">
        <f>IFERROR((vp.tbl[[#This Row],[VP]]-INDEX(crudeBD.lkup.complete[Mean_VP],MATCH(vp.tbl[[#This Row],[Crude_Breakdown]],crudeBD.lkup.complete[Crude Breakdown],0)))^2,"")</f>
        <v>30.844854756084192</v>
      </c>
      <c r="AN14" s="4">
        <f>IFERROR((vp.tbl[[#This Row],[Dens]]-INDEX(crudeBD.lkup.complete[Mean_Dens],MATCH(vp.tbl[[#This Row],[Crude_Breakdown]],crudeBD.lkup.complete[Crude Breakdown],0)))^2,"")</f>
        <v>13.566185004903394</v>
      </c>
      <c r="AO14" s="4">
        <f>IFERROR((vp.tbl[[#This Row],[Sulf]]-INDEX(crudeBD.lkup.complete[Mean_Sulf],MATCH(vp.tbl[[#This Row],[Crude_Breakdown]],crudeBD.lkup.complete[Crude Breakdown],0)))^2,"")</f>
        <v>0.26731881272129659</v>
      </c>
      <c r="AP14">
        <f>IF(AND(vp.tbl[[#This Row],[SDate]]&gt;=DATE(YEAR(vp.tbl[[#This Row],[SDate]]),5,1),vp.tbl[[#This Row],[SDate]]&lt;=DATE(YEAR(vp.tbl[[#This Row],[SDate]]),9,15)),1,0)</f>
        <v>0</v>
      </c>
      <c r="AQ14" s="15">
        <f>IF(vp.tbl[[#This Row],[SDate]]&lt;DATE(2016,12,1),0,1)</f>
        <v>0</v>
      </c>
    </row>
    <row r="15" spans="1:43" x14ac:dyDescent="0.25">
      <c r="A15">
        <v>14</v>
      </c>
      <c r="B15" t="s">
        <v>51</v>
      </c>
      <c r="C15" t="s">
        <v>51</v>
      </c>
      <c r="D15" t="s">
        <v>52</v>
      </c>
      <c r="F15" s="1">
        <v>42293</v>
      </c>
      <c r="G15" s="2">
        <v>62.1</v>
      </c>
      <c r="H15" s="2"/>
      <c r="I15" s="2">
        <v>2.2999999999999998</v>
      </c>
      <c r="J15" s="2"/>
      <c r="K15" s="2"/>
      <c r="L15" s="2">
        <v>870.1</v>
      </c>
      <c r="M15" s="2">
        <v>870.1</v>
      </c>
      <c r="N15" s="2">
        <f ca="1">INDEX(INDIRECT(_xlfn.CONCAT("weather.tbl[",N$1,"]")),MATCH(vp.tbl[[#This Row],[SDate]],weather.tbl[Date],0))</f>
        <v>6.0166666666666666</v>
      </c>
      <c r="O15" s="2">
        <f ca="1">INDEX(INDIRECT(_xlfn.CONCAT("weather.tbl[",O$1,"]")),MATCH(vp.tbl[[#This Row],[SDate]],weather.tbl[Date],0))</f>
        <v>9.8833333333333346</v>
      </c>
      <c r="P15" s="2">
        <f ca="1">INDEX(INDIRECT(_xlfn.CONCAT("weather.tbl[",P$1,"]")),MATCH(vp.tbl[[#This Row],[SDate]],weather.tbl[Date],0))</f>
        <v>5.2</v>
      </c>
      <c r="Q15" s="2">
        <f ca="1">INDEX(INDIRECT(_xlfn.CONCAT("weather.tbl[",Q$1,"]")),MATCH(vp.tbl[[#This Row],[SDate]],weather.tbl[Date],0))</f>
        <v>5.5</v>
      </c>
      <c r="R15" s="2">
        <f ca="1">INDEX(INDIRECT(_xlfn.CONCAT("weather.tbl[",R$1,"]")),MATCH(vp.tbl[[#This Row],[SDate]],weather.tbl[Date],0))</f>
        <v>8.8000000000000007</v>
      </c>
      <c r="S15" s="2">
        <f ca="1">INDEX(INDIRECT(_xlfn.CONCAT("weather.tbl[",S$1,"]")),MATCH(vp.tbl[[#This Row],[SDate]],weather.tbl[Date],0))</f>
        <v>7.5</v>
      </c>
      <c r="T15" s="2">
        <f ca="1">INDEX(INDIRECT(_xlfn.CONCAT("weather.tbl[",T$1,"]")),MATCH(vp.tbl[[#This Row],[SDate]],weather.tbl[Date],0))</f>
        <v>4.5</v>
      </c>
      <c r="U15" s="2">
        <f ca="1">INDEX(INDIRECT(_xlfn.CONCAT("weather.tbl[",U$1,"]")),MATCH(vp.tbl[[#This Row],[SDate]],weather.tbl[Date],0))</f>
        <v>4.5999999999999996</v>
      </c>
      <c r="V15" s="2">
        <v>8216.5169999999998</v>
      </c>
      <c r="W15" t="s">
        <v>48</v>
      </c>
      <c r="X15">
        <f>IF(OR(vp.tbl[[#This Row],[Sulf]]="",vp.tbl[[#This Row],[Dens]]=""),1,0)</f>
        <v>0</v>
      </c>
      <c r="Y15">
        <f>IF(vp.tbl[[#This Row],[CrudeType]]="C5+",1,0)</f>
        <v>0</v>
      </c>
      <c r="Z15">
        <f>IF(AND(vp.tbl[[#This Row],[CrudeType]]="Crude",vp.tbl[[#This Row],[Dens]]&lt;=825,vp.tbl[[#This Row],[Sulf]]&gt;0.5,vp.tbl[[#This Row],[Unknown]]=0),1,0)</f>
        <v>0</v>
      </c>
      <c r="AA15">
        <f>IF(AND(vp.tbl[[#This Row],[CrudeType]]="Crude",vp.tbl[[#This Row],[Dens]]&lt;=825,vp.tbl[[#This Row],[Sulf]]&lt;=0.5,vp.tbl[[#This Row],[Unknown]]=0),1,0)</f>
        <v>0</v>
      </c>
      <c r="AB15">
        <f>IF(AND(vp.tbl[[#This Row],[CrudeType]]="Crude",vp.tbl[[#This Row],[Dens]]&gt;825,vp.tbl[[#This Row],[Dens]]&lt;=870,vp.tbl[[#This Row],[Sulf]]&gt;0.5,vp.tbl[[#This Row],[Unknown]]=0),1,0)</f>
        <v>0</v>
      </c>
      <c r="AC15">
        <f>IF(AND(vp.tbl[[#This Row],[CrudeType]]="Crude",vp.tbl[[#This Row],[Dens]]&gt;825,vp.tbl[[#This Row],[Dens]]&lt;=900,vp.tbl[[#This Row],[Sulf]]&lt;=0.5,vp.tbl[[#This Row],[Unknown]]=0),1,0)</f>
        <v>0</v>
      </c>
      <c r="AD15">
        <f>IF(AND(vp.tbl[[#This Row],[CrudeType]]="Crude",vp.tbl[[#This Row],[Dens]]&gt;870,vp.tbl[[#This Row],[Dens]]&lt;=900,vp.tbl[[#This Row],[Sulf]]&gt;0.5,vp.tbl[[#This Row],[Unknown]]=0),1,0)</f>
        <v>1</v>
      </c>
      <c r="AE15">
        <f>IF(AND(vp.tbl[[#This Row],[CrudeType]]="Crude",vp.tbl[[#This Row],[Dens]]&gt;900,vp.tbl[[#This Row],[Sulf]]&lt;=0.5,vp.tbl[[#This Row],[Unknown]]=0),1,0)</f>
        <v>0</v>
      </c>
      <c r="AF15">
        <f>IF(AND(vp.tbl[[#This Row],[CrudeType]]="Crude",vp.tbl[[#This Row],[Dens]]&gt;900,vp.tbl[[#This Row],[Sulf]]&lt;=0.5,vp.tbl[[#This Row],[Unknown]]=0),1,0)</f>
        <v>0</v>
      </c>
      <c r="AG15" t="str">
        <f>INDEX(vp.tbl[[#Headers],[Unknown]:[Heavy_SW]],MATCH(1,vp.tbl[[#This Row],[Unknown]:[Heavy_SW]],0))</f>
        <v>Midale</v>
      </c>
      <c r="AH15" t="e">
        <f>INDEX([1]!crudeBD.lkup[Number],MATCH(vp.tbl[[#This Row],[Crude_Breakdown]],[1]!crudeBD.lkup[Crude Breakdown],0))</f>
        <v>#REF!</v>
      </c>
      <c r="AI15">
        <f>MONTH(vp.tbl[[#This Row],[SDate]])</f>
        <v>10</v>
      </c>
      <c r="AJ15" s="5">
        <f>IFERROR(vp.tbl[[#This Row],[Sulf]]*vp.tbl[[#This Row],[Net Dens]],"")</f>
        <v>16443140.31591</v>
      </c>
      <c r="AK15" s="5">
        <f>IFERROR(vp.tbl[[#This Row],[Dens]]*vp.tbl[[#This Row],[VolumeM3]],"")</f>
        <v>7149191.4417000003</v>
      </c>
      <c r="AL15" s="5">
        <f>IFERROR(vp.tbl[[#This Row],[VP]]*vp.tbl[[#This Row],[VolumeM3]],"")</f>
        <v>510245.70569999999</v>
      </c>
      <c r="AM15" s="4">
        <f>IFERROR((vp.tbl[[#This Row],[VP]]-INDEX(crudeBD.lkup.complete[Mean_VP],MATCH(vp.tbl[[#This Row],[Crude_Breakdown]],crudeBD.lkup.complete[Crude Breakdown],0)))^2,"")</f>
        <v>37.679416400825815</v>
      </c>
      <c r="AN15" s="4">
        <f>IFERROR((vp.tbl[[#This Row],[Dens]]-INDEX(crudeBD.lkup.complete[Mean_Dens],MATCH(vp.tbl[[#This Row],[Crude_Breakdown]],crudeBD.lkup.complete[Crude Breakdown],0)))^2,"")</f>
        <v>55.533120660531836</v>
      </c>
      <c r="AO15" s="4">
        <f>IFERROR((vp.tbl[[#This Row],[Sulf]]-INDEX(crudeBD.lkup.complete[Mean_Sulf],MATCH(vp.tbl[[#This Row],[Crude_Breakdown]],crudeBD.lkup.complete[Crude Breakdown],0)))^2,"")</f>
        <v>1.3303347200018519E-2</v>
      </c>
      <c r="AP15">
        <f>IF(AND(vp.tbl[[#This Row],[SDate]]&gt;=DATE(YEAR(vp.tbl[[#This Row],[SDate]]),5,1),vp.tbl[[#This Row],[SDate]]&lt;=DATE(YEAR(vp.tbl[[#This Row],[SDate]]),9,15)),1,0)</f>
        <v>0</v>
      </c>
      <c r="AQ15" s="15">
        <f>IF(vp.tbl[[#This Row],[SDate]]&lt;DATE(2016,12,1),0,1)</f>
        <v>0</v>
      </c>
    </row>
    <row r="16" spans="1:43" x14ac:dyDescent="0.25">
      <c r="A16">
        <v>15</v>
      </c>
      <c r="B16" t="s">
        <v>46</v>
      </c>
      <c r="C16" t="s">
        <v>46</v>
      </c>
      <c r="D16" t="s">
        <v>47</v>
      </c>
      <c r="F16" s="1">
        <v>42293</v>
      </c>
      <c r="G16" s="2">
        <v>113.2</v>
      </c>
      <c r="H16" s="2"/>
      <c r="I16" s="2">
        <v>2.41</v>
      </c>
      <c r="J16" s="2"/>
      <c r="K16" s="2"/>
      <c r="L16" s="2">
        <v>871.3</v>
      </c>
      <c r="M16" s="2">
        <v>871.3</v>
      </c>
      <c r="N16" s="2">
        <f ca="1">INDEX(INDIRECT(_xlfn.CONCAT("weather.tbl[",N$1,"]")),MATCH(vp.tbl[[#This Row],[SDate]],weather.tbl[Date],0))</f>
        <v>6.0166666666666666</v>
      </c>
      <c r="O16" s="2">
        <f ca="1">INDEX(INDIRECT(_xlfn.CONCAT("weather.tbl[",O$1,"]")),MATCH(vp.tbl[[#This Row],[SDate]],weather.tbl[Date],0))</f>
        <v>9.8833333333333346</v>
      </c>
      <c r="P16" s="2">
        <f ca="1">INDEX(INDIRECT(_xlfn.CONCAT("weather.tbl[",P$1,"]")),MATCH(vp.tbl[[#This Row],[SDate]],weather.tbl[Date],0))</f>
        <v>5.2</v>
      </c>
      <c r="Q16" s="2">
        <f ca="1">INDEX(INDIRECT(_xlfn.CONCAT("weather.tbl[",Q$1,"]")),MATCH(vp.tbl[[#This Row],[SDate]],weather.tbl[Date],0))</f>
        <v>5.5</v>
      </c>
      <c r="R16" s="2">
        <f ca="1">INDEX(INDIRECT(_xlfn.CONCAT("weather.tbl[",R$1,"]")),MATCH(vp.tbl[[#This Row],[SDate]],weather.tbl[Date],0))</f>
        <v>8.8000000000000007</v>
      </c>
      <c r="S16" s="2">
        <f ca="1">INDEX(INDIRECT(_xlfn.CONCAT("weather.tbl[",S$1,"]")),MATCH(vp.tbl[[#This Row],[SDate]],weather.tbl[Date],0))</f>
        <v>7.5</v>
      </c>
      <c r="T16" s="2">
        <f ca="1">INDEX(INDIRECT(_xlfn.CONCAT("weather.tbl[",T$1,"]")),MATCH(vp.tbl[[#This Row],[SDate]],weather.tbl[Date],0))</f>
        <v>4.5</v>
      </c>
      <c r="U16" s="2">
        <f ca="1">INDEX(INDIRECT(_xlfn.CONCAT("weather.tbl[",U$1,"]")),MATCH(vp.tbl[[#This Row],[SDate]],weather.tbl[Date],0))</f>
        <v>4.5999999999999996</v>
      </c>
      <c r="V16" s="2">
        <v>115049.71</v>
      </c>
      <c r="W16" t="s">
        <v>48</v>
      </c>
      <c r="X16">
        <f>IF(OR(vp.tbl[[#This Row],[Sulf]]="",vp.tbl[[#This Row],[Dens]]=""),1,0)</f>
        <v>0</v>
      </c>
      <c r="Y16">
        <f>IF(vp.tbl[[#This Row],[CrudeType]]="C5+",1,0)</f>
        <v>0</v>
      </c>
      <c r="Z16">
        <f>IF(AND(vp.tbl[[#This Row],[CrudeType]]="Crude",vp.tbl[[#This Row],[Dens]]&lt;=825,vp.tbl[[#This Row],[Sulf]]&gt;0.5,vp.tbl[[#This Row],[Unknown]]=0),1,0)</f>
        <v>0</v>
      </c>
      <c r="AA16">
        <f>IF(AND(vp.tbl[[#This Row],[CrudeType]]="Crude",vp.tbl[[#This Row],[Dens]]&lt;=825,vp.tbl[[#This Row],[Sulf]]&lt;=0.5,vp.tbl[[#This Row],[Unknown]]=0),1,0)</f>
        <v>0</v>
      </c>
      <c r="AB16">
        <f>IF(AND(vp.tbl[[#This Row],[CrudeType]]="Crude",vp.tbl[[#This Row],[Dens]]&gt;825,vp.tbl[[#This Row],[Dens]]&lt;=870,vp.tbl[[#This Row],[Sulf]]&gt;0.5,vp.tbl[[#This Row],[Unknown]]=0),1,0)</f>
        <v>0</v>
      </c>
      <c r="AC16">
        <f>IF(AND(vp.tbl[[#This Row],[CrudeType]]="Crude",vp.tbl[[#This Row],[Dens]]&gt;825,vp.tbl[[#This Row],[Dens]]&lt;=900,vp.tbl[[#This Row],[Sulf]]&lt;=0.5,vp.tbl[[#This Row],[Unknown]]=0),1,0)</f>
        <v>0</v>
      </c>
      <c r="AD16">
        <f>IF(AND(vp.tbl[[#This Row],[CrudeType]]="Crude",vp.tbl[[#This Row],[Dens]]&gt;870,vp.tbl[[#This Row],[Dens]]&lt;=900,vp.tbl[[#This Row],[Sulf]]&gt;0.5,vp.tbl[[#This Row],[Unknown]]=0),1,0)</f>
        <v>1</v>
      </c>
      <c r="AE16">
        <f>IF(AND(vp.tbl[[#This Row],[CrudeType]]="Crude",vp.tbl[[#This Row],[Dens]]&gt;900,vp.tbl[[#This Row],[Sulf]]&lt;=0.5,vp.tbl[[#This Row],[Unknown]]=0),1,0)</f>
        <v>0</v>
      </c>
      <c r="AF16">
        <f>IF(AND(vp.tbl[[#This Row],[CrudeType]]="Crude",vp.tbl[[#This Row],[Dens]]&gt;900,vp.tbl[[#This Row],[Sulf]]&lt;=0.5,vp.tbl[[#This Row],[Unknown]]=0),1,0)</f>
        <v>0</v>
      </c>
      <c r="AG16" t="str">
        <f>INDEX(vp.tbl[[#Headers],[Unknown]:[Heavy_SW]],MATCH(1,vp.tbl[[#This Row],[Unknown]:[Heavy_SW]],0))</f>
        <v>Midale</v>
      </c>
      <c r="AH16" t="e">
        <f>INDEX([1]!crudeBD.lkup[Number],MATCH(vp.tbl[[#This Row],[Crude_Breakdown]],[1]!crudeBD.lkup[Crude Breakdown],0))</f>
        <v>#REF!</v>
      </c>
      <c r="AI16">
        <f>MONTH(vp.tbl[[#This Row],[SDate]])</f>
        <v>10</v>
      </c>
      <c r="AJ16" s="5">
        <f>IFERROR(vp.tbl[[#This Row],[Sulf]]*vp.tbl[[#This Row],[Net Dens]],"")</f>
        <v>241585177.69843</v>
      </c>
      <c r="AK16" s="5">
        <f>IFERROR(vp.tbl[[#This Row],[Dens]]*vp.tbl[[#This Row],[VolumeM3]],"")</f>
        <v>100242812.323</v>
      </c>
      <c r="AL16" s="5">
        <f>IFERROR(vp.tbl[[#This Row],[VP]]*vp.tbl[[#This Row],[VolumeM3]],"")</f>
        <v>13023627.172</v>
      </c>
      <c r="AM16" s="4">
        <f>IFERROR((vp.tbl[[#This Row],[VP]]-INDEX(crudeBD.lkup.complete[Mean_VP],MATCH(vp.tbl[[#This Row],[Crude_Breakdown]],crudeBD.lkup.complete[Crude Breakdown],0)))^2,"")</f>
        <v>2021.5494164008248</v>
      </c>
      <c r="AN16" s="4">
        <f>IFERROR((vp.tbl[[#This Row],[Dens]]-INDEX(crudeBD.lkup.complete[Mean_Dens],MATCH(vp.tbl[[#This Row],[Crude_Breakdown]],crudeBD.lkup.complete[Crude Breakdown],0)))^2,"")</f>
        <v>39.088189153684155</v>
      </c>
      <c r="AO16" s="4">
        <f>IFERROR((vp.tbl[[#This Row],[Sulf]]-INDEX(crudeBD.lkup.complete[Mean_Sulf],MATCH(vp.tbl[[#This Row],[Crude_Breakdown]],crudeBD.lkup.complete[Crude Breakdown],0)))^2,"")</f>
        <v>2.8517063032449047E-5</v>
      </c>
      <c r="AP16">
        <f>IF(AND(vp.tbl[[#This Row],[SDate]]&gt;=DATE(YEAR(vp.tbl[[#This Row],[SDate]]),5,1),vp.tbl[[#This Row],[SDate]]&lt;=DATE(YEAR(vp.tbl[[#This Row],[SDate]]),9,15)),1,0)</f>
        <v>0</v>
      </c>
      <c r="AQ16" s="15">
        <f>IF(vp.tbl[[#This Row],[SDate]]&lt;DATE(2016,12,1),0,1)</f>
        <v>0</v>
      </c>
    </row>
    <row r="17" spans="1:43" x14ac:dyDescent="0.25">
      <c r="A17">
        <v>16</v>
      </c>
      <c r="B17" t="s">
        <v>64</v>
      </c>
      <c r="C17" t="s">
        <v>64</v>
      </c>
      <c r="D17" t="s">
        <v>65</v>
      </c>
      <c r="F17" s="1">
        <v>42293</v>
      </c>
      <c r="G17" s="2">
        <v>105.1</v>
      </c>
      <c r="H17" s="2"/>
      <c r="I17" s="2">
        <v>2.08</v>
      </c>
      <c r="J17" s="2"/>
      <c r="K17" s="2"/>
      <c r="L17" s="2">
        <v>875</v>
      </c>
      <c r="M17" s="2">
        <v>875</v>
      </c>
      <c r="N17" s="2">
        <f ca="1">INDEX(INDIRECT(_xlfn.CONCAT("weather.tbl[",N$1,"]")),MATCH(vp.tbl[[#This Row],[SDate]],weather.tbl[Date],0))</f>
        <v>6.0166666666666666</v>
      </c>
      <c r="O17" s="2">
        <f ca="1">INDEX(INDIRECT(_xlfn.CONCAT("weather.tbl[",O$1,"]")),MATCH(vp.tbl[[#This Row],[SDate]],weather.tbl[Date],0))</f>
        <v>9.8833333333333346</v>
      </c>
      <c r="P17" s="2">
        <f ca="1">INDEX(INDIRECT(_xlfn.CONCAT("weather.tbl[",P$1,"]")),MATCH(vp.tbl[[#This Row],[SDate]],weather.tbl[Date],0))</f>
        <v>5.2</v>
      </c>
      <c r="Q17" s="2">
        <f ca="1">INDEX(INDIRECT(_xlfn.CONCAT("weather.tbl[",Q$1,"]")),MATCH(vp.tbl[[#This Row],[SDate]],weather.tbl[Date],0))</f>
        <v>5.5</v>
      </c>
      <c r="R17" s="2">
        <f ca="1">INDEX(INDIRECT(_xlfn.CONCAT("weather.tbl[",R$1,"]")),MATCH(vp.tbl[[#This Row],[SDate]],weather.tbl[Date],0))</f>
        <v>8.8000000000000007</v>
      </c>
      <c r="S17" s="2">
        <f ca="1">INDEX(INDIRECT(_xlfn.CONCAT("weather.tbl[",S$1,"]")),MATCH(vp.tbl[[#This Row],[SDate]],weather.tbl[Date],0))</f>
        <v>7.5</v>
      </c>
      <c r="T17" s="2">
        <f ca="1">INDEX(INDIRECT(_xlfn.CONCAT("weather.tbl[",T$1,"]")),MATCH(vp.tbl[[#This Row],[SDate]],weather.tbl[Date],0))</f>
        <v>4.5</v>
      </c>
      <c r="U17" s="2">
        <f ca="1">INDEX(INDIRECT(_xlfn.CONCAT("weather.tbl[",U$1,"]")),MATCH(vp.tbl[[#This Row],[SDate]],weather.tbl[Date],0))</f>
        <v>4.5999999999999996</v>
      </c>
      <c r="V17" s="2">
        <v>24012.701000000001</v>
      </c>
      <c r="W17" t="s">
        <v>48</v>
      </c>
      <c r="X17">
        <f>IF(OR(vp.tbl[[#This Row],[Sulf]]="",vp.tbl[[#This Row],[Dens]]=""),1,0)</f>
        <v>0</v>
      </c>
      <c r="Y17">
        <f>IF(vp.tbl[[#This Row],[CrudeType]]="C5+",1,0)</f>
        <v>0</v>
      </c>
      <c r="Z17">
        <f>IF(AND(vp.tbl[[#This Row],[CrudeType]]="Crude",vp.tbl[[#This Row],[Dens]]&lt;=825,vp.tbl[[#This Row],[Sulf]]&gt;0.5,vp.tbl[[#This Row],[Unknown]]=0),1,0)</f>
        <v>0</v>
      </c>
      <c r="AA17">
        <f>IF(AND(vp.tbl[[#This Row],[CrudeType]]="Crude",vp.tbl[[#This Row],[Dens]]&lt;=825,vp.tbl[[#This Row],[Sulf]]&lt;=0.5,vp.tbl[[#This Row],[Unknown]]=0),1,0)</f>
        <v>0</v>
      </c>
      <c r="AB17">
        <f>IF(AND(vp.tbl[[#This Row],[CrudeType]]="Crude",vp.tbl[[#This Row],[Dens]]&gt;825,vp.tbl[[#This Row],[Dens]]&lt;=870,vp.tbl[[#This Row],[Sulf]]&gt;0.5,vp.tbl[[#This Row],[Unknown]]=0),1,0)</f>
        <v>0</v>
      </c>
      <c r="AC17">
        <f>IF(AND(vp.tbl[[#This Row],[CrudeType]]="Crude",vp.tbl[[#This Row],[Dens]]&gt;825,vp.tbl[[#This Row],[Dens]]&lt;=900,vp.tbl[[#This Row],[Sulf]]&lt;=0.5,vp.tbl[[#This Row],[Unknown]]=0),1,0)</f>
        <v>0</v>
      </c>
      <c r="AD17">
        <f>IF(AND(vp.tbl[[#This Row],[CrudeType]]="Crude",vp.tbl[[#This Row],[Dens]]&gt;870,vp.tbl[[#This Row],[Dens]]&lt;=900,vp.tbl[[#This Row],[Sulf]]&gt;0.5,vp.tbl[[#This Row],[Unknown]]=0),1,0)</f>
        <v>1</v>
      </c>
      <c r="AE17">
        <f>IF(AND(vp.tbl[[#This Row],[CrudeType]]="Crude",vp.tbl[[#This Row],[Dens]]&gt;900,vp.tbl[[#This Row],[Sulf]]&lt;=0.5,vp.tbl[[#This Row],[Unknown]]=0),1,0)</f>
        <v>0</v>
      </c>
      <c r="AF17">
        <f>IF(AND(vp.tbl[[#This Row],[CrudeType]]="Crude",vp.tbl[[#This Row],[Dens]]&gt;900,vp.tbl[[#This Row],[Sulf]]&lt;=0.5,vp.tbl[[#This Row],[Unknown]]=0),1,0)</f>
        <v>0</v>
      </c>
      <c r="AG17" t="str">
        <f>INDEX(vp.tbl[[#Headers],[Unknown]:[Heavy_SW]],MATCH(1,vp.tbl[[#This Row],[Unknown]:[Heavy_SW]],0))</f>
        <v>Midale</v>
      </c>
      <c r="AH17" t="e">
        <f>INDEX([1]!crudeBD.lkup[Number],MATCH(vp.tbl[[#This Row],[Crude_Breakdown]],[1]!crudeBD.lkup[Crude Breakdown],0))</f>
        <v>#REF!</v>
      </c>
      <c r="AI17">
        <f>MONTH(vp.tbl[[#This Row],[SDate]])</f>
        <v>10</v>
      </c>
      <c r="AJ17" s="5">
        <f>IFERROR(vp.tbl[[#This Row],[Sulf]]*vp.tbl[[#This Row],[Net Dens]],"")</f>
        <v>43703115.82</v>
      </c>
      <c r="AK17" s="5">
        <f>IFERROR(vp.tbl[[#This Row],[Dens]]*vp.tbl[[#This Row],[VolumeM3]],"")</f>
        <v>21011113.375</v>
      </c>
      <c r="AL17" s="5">
        <f>IFERROR(vp.tbl[[#This Row],[VP]]*vp.tbl[[#This Row],[VolumeM3]],"")</f>
        <v>2523734.8750999998</v>
      </c>
      <c r="AM17" s="4">
        <f>IFERROR((vp.tbl[[#This Row],[VP]]-INDEX(crudeBD.lkup.complete[Mean_VP],MATCH(vp.tbl[[#This Row],[Crude_Breakdown]],crudeBD.lkup.complete[Crude Breakdown],0)))^2,"")</f>
        <v>1358.7807862638381</v>
      </c>
      <c r="AN17" s="4">
        <f>IFERROR((vp.tbl[[#This Row],[Dens]]-INDEX(crudeBD.lkup.complete[Mean_Dens],MATCH(vp.tbl[[#This Row],[Crude_Breakdown]],crudeBD.lkup.complete[Crude Breakdown],0)))^2,"")</f>
        <v>6.5129836742337712</v>
      </c>
      <c r="AO17" s="4">
        <f>IFERROR((vp.tbl[[#This Row],[Sulf]]-INDEX(crudeBD.lkup.complete[Mean_Sulf],MATCH(vp.tbl[[#This Row],[Crude_Breakdown]],crudeBD.lkup.complete[Crude Breakdown],0)))^2,"")</f>
        <v>0.11245300747399048</v>
      </c>
      <c r="AP17">
        <f>IF(AND(vp.tbl[[#This Row],[SDate]]&gt;=DATE(YEAR(vp.tbl[[#This Row],[SDate]]),5,1),vp.tbl[[#This Row],[SDate]]&lt;=DATE(YEAR(vp.tbl[[#This Row],[SDate]]),9,15)),1,0)</f>
        <v>0</v>
      </c>
      <c r="AQ17" s="15">
        <f>IF(vp.tbl[[#This Row],[SDate]]&lt;DATE(2016,12,1),0,1)</f>
        <v>0</v>
      </c>
    </row>
    <row r="18" spans="1:43" x14ac:dyDescent="0.25">
      <c r="A18">
        <v>17</v>
      </c>
      <c r="B18" t="s">
        <v>49</v>
      </c>
      <c r="C18" t="s">
        <v>49</v>
      </c>
      <c r="D18" t="s">
        <v>50</v>
      </c>
      <c r="F18" s="1">
        <v>42293</v>
      </c>
      <c r="G18" s="2">
        <v>112.9</v>
      </c>
      <c r="H18" s="2"/>
      <c r="I18" s="2">
        <v>2.59</v>
      </c>
      <c r="J18" s="2"/>
      <c r="K18" s="2"/>
      <c r="L18" s="2">
        <v>877.5</v>
      </c>
      <c r="M18" s="2">
        <v>877.5</v>
      </c>
      <c r="N18" s="2">
        <f ca="1">INDEX(INDIRECT(_xlfn.CONCAT("weather.tbl[",N$1,"]")),MATCH(vp.tbl[[#This Row],[SDate]],weather.tbl[Date],0))</f>
        <v>6.0166666666666666</v>
      </c>
      <c r="O18" s="2">
        <f ca="1">INDEX(INDIRECT(_xlfn.CONCAT("weather.tbl[",O$1,"]")),MATCH(vp.tbl[[#This Row],[SDate]],weather.tbl[Date],0))</f>
        <v>9.8833333333333346</v>
      </c>
      <c r="P18" s="2">
        <f ca="1">INDEX(INDIRECT(_xlfn.CONCAT("weather.tbl[",P$1,"]")),MATCH(vp.tbl[[#This Row],[SDate]],weather.tbl[Date],0))</f>
        <v>5.2</v>
      </c>
      <c r="Q18" s="2">
        <f ca="1">INDEX(INDIRECT(_xlfn.CONCAT("weather.tbl[",Q$1,"]")),MATCH(vp.tbl[[#This Row],[SDate]],weather.tbl[Date],0))</f>
        <v>5.5</v>
      </c>
      <c r="R18" s="2">
        <f ca="1">INDEX(INDIRECT(_xlfn.CONCAT("weather.tbl[",R$1,"]")),MATCH(vp.tbl[[#This Row],[SDate]],weather.tbl[Date],0))</f>
        <v>8.8000000000000007</v>
      </c>
      <c r="S18" s="2">
        <f ca="1">INDEX(INDIRECT(_xlfn.CONCAT("weather.tbl[",S$1,"]")),MATCH(vp.tbl[[#This Row],[SDate]],weather.tbl[Date],0))</f>
        <v>7.5</v>
      </c>
      <c r="T18" s="2">
        <f ca="1">INDEX(INDIRECT(_xlfn.CONCAT("weather.tbl[",T$1,"]")),MATCH(vp.tbl[[#This Row],[SDate]],weather.tbl[Date],0))</f>
        <v>4.5</v>
      </c>
      <c r="U18" s="2">
        <f ca="1">INDEX(INDIRECT(_xlfn.CONCAT("weather.tbl[",U$1,"]")),MATCH(vp.tbl[[#This Row],[SDate]],weather.tbl[Date],0))</f>
        <v>4.5999999999999996</v>
      </c>
      <c r="V18" s="2">
        <v>7328.8639999999996</v>
      </c>
      <c r="W18" t="s">
        <v>48</v>
      </c>
      <c r="X18">
        <f>IF(OR(vp.tbl[[#This Row],[Sulf]]="",vp.tbl[[#This Row],[Dens]]=""),1,0)</f>
        <v>0</v>
      </c>
      <c r="Y18">
        <f>IF(vp.tbl[[#This Row],[CrudeType]]="C5+",1,0)</f>
        <v>0</v>
      </c>
      <c r="Z18">
        <f>IF(AND(vp.tbl[[#This Row],[CrudeType]]="Crude",vp.tbl[[#This Row],[Dens]]&lt;=825,vp.tbl[[#This Row],[Sulf]]&gt;0.5,vp.tbl[[#This Row],[Unknown]]=0),1,0)</f>
        <v>0</v>
      </c>
      <c r="AA18">
        <f>IF(AND(vp.tbl[[#This Row],[CrudeType]]="Crude",vp.tbl[[#This Row],[Dens]]&lt;=825,vp.tbl[[#This Row],[Sulf]]&lt;=0.5,vp.tbl[[#This Row],[Unknown]]=0),1,0)</f>
        <v>0</v>
      </c>
      <c r="AB18">
        <f>IF(AND(vp.tbl[[#This Row],[CrudeType]]="Crude",vp.tbl[[#This Row],[Dens]]&gt;825,vp.tbl[[#This Row],[Dens]]&lt;=870,vp.tbl[[#This Row],[Sulf]]&gt;0.5,vp.tbl[[#This Row],[Unknown]]=0),1,0)</f>
        <v>0</v>
      </c>
      <c r="AC18">
        <f>IF(AND(vp.tbl[[#This Row],[CrudeType]]="Crude",vp.tbl[[#This Row],[Dens]]&gt;825,vp.tbl[[#This Row],[Dens]]&lt;=900,vp.tbl[[#This Row],[Sulf]]&lt;=0.5,vp.tbl[[#This Row],[Unknown]]=0),1,0)</f>
        <v>0</v>
      </c>
      <c r="AD18">
        <f>IF(AND(vp.tbl[[#This Row],[CrudeType]]="Crude",vp.tbl[[#This Row],[Dens]]&gt;870,vp.tbl[[#This Row],[Dens]]&lt;=900,vp.tbl[[#This Row],[Sulf]]&gt;0.5,vp.tbl[[#This Row],[Unknown]]=0),1,0)</f>
        <v>1</v>
      </c>
      <c r="AE18">
        <f>IF(AND(vp.tbl[[#This Row],[CrudeType]]="Crude",vp.tbl[[#This Row],[Dens]]&gt;900,vp.tbl[[#This Row],[Sulf]]&lt;=0.5,vp.tbl[[#This Row],[Unknown]]=0),1,0)</f>
        <v>0</v>
      </c>
      <c r="AF18">
        <f>IF(AND(vp.tbl[[#This Row],[CrudeType]]="Crude",vp.tbl[[#This Row],[Dens]]&gt;900,vp.tbl[[#This Row],[Sulf]]&lt;=0.5,vp.tbl[[#This Row],[Unknown]]=0),1,0)</f>
        <v>0</v>
      </c>
      <c r="AG18" t="str">
        <f>INDEX(vp.tbl[[#Headers],[Unknown]:[Heavy_SW]],MATCH(1,vp.tbl[[#This Row],[Unknown]:[Heavy_SW]],0))</f>
        <v>Midale</v>
      </c>
      <c r="AH18" t="e">
        <f>INDEX([1]!crudeBD.lkup[Number],MATCH(vp.tbl[[#This Row],[Crude_Breakdown]],[1]!crudeBD.lkup[Crude Breakdown],0))</f>
        <v>#REF!</v>
      </c>
      <c r="AI18">
        <f>MONTH(vp.tbl[[#This Row],[SDate]])</f>
        <v>10</v>
      </c>
      <c r="AJ18" s="5">
        <f>IFERROR(vp.tbl[[#This Row],[Sulf]]*vp.tbl[[#This Row],[Net Dens]],"")</f>
        <v>16656492.434399998</v>
      </c>
      <c r="AK18" s="5">
        <f>IFERROR(vp.tbl[[#This Row],[Dens]]*vp.tbl[[#This Row],[VolumeM3]],"")</f>
        <v>6431078.1599999992</v>
      </c>
      <c r="AL18" s="5">
        <f>IFERROR(vp.tbl[[#This Row],[VP]]*vp.tbl[[#This Row],[VolumeM3]],"")</f>
        <v>827428.74560000002</v>
      </c>
      <c r="AM18" s="4">
        <f>IFERROR((vp.tbl[[#This Row],[VP]]-INDEX(crudeBD.lkup.complete[Mean_VP],MATCH(vp.tbl[[#This Row],[Crude_Breakdown]],crudeBD.lkup.complete[Crude Breakdown],0)))^2,"")</f>
        <v>1994.6624300994552</v>
      </c>
      <c r="AN18" s="4">
        <f>IFERROR((vp.tbl[[#This Row],[Dens]]-INDEX(crudeBD.lkup.complete[Mean_Dens],MATCH(vp.tbl[[#This Row],[Crude_Breakdown]],crudeBD.lkup.complete[Crude Breakdown],0)))^2,"")</f>
        <v>2.7097016325449493E-3</v>
      </c>
      <c r="AO18" s="4">
        <f>IFERROR((vp.tbl[[#This Row],[Sulf]]-INDEX(crudeBD.lkup.complete[Mean_Sulf],MATCH(vp.tbl[[#This Row],[Crude_Breakdown]],crudeBD.lkup.complete[Crude Breakdown],0)))^2,"")</f>
        <v>3.0506067747964355E-2</v>
      </c>
      <c r="AP18">
        <f>IF(AND(vp.tbl[[#This Row],[SDate]]&gt;=DATE(YEAR(vp.tbl[[#This Row],[SDate]]),5,1),vp.tbl[[#This Row],[SDate]]&lt;=DATE(YEAR(vp.tbl[[#This Row],[SDate]]),9,15)),1,0)</f>
        <v>0</v>
      </c>
      <c r="AQ18" s="15">
        <f>IF(vp.tbl[[#This Row],[SDate]]&lt;DATE(2016,12,1),0,1)</f>
        <v>0</v>
      </c>
    </row>
    <row r="19" spans="1:43" x14ac:dyDescent="0.25">
      <c r="A19">
        <v>18</v>
      </c>
      <c r="B19" t="s">
        <v>51</v>
      </c>
      <c r="C19" t="s">
        <v>51</v>
      </c>
      <c r="D19" t="s">
        <v>66</v>
      </c>
      <c r="F19" s="1">
        <v>42293</v>
      </c>
      <c r="G19" s="2">
        <v>96</v>
      </c>
      <c r="H19" s="2"/>
      <c r="I19" s="2">
        <v>1.1499999999999999</v>
      </c>
      <c r="J19" s="2"/>
      <c r="K19" s="2"/>
      <c r="L19" s="2"/>
      <c r="M19" s="2">
        <v>823.8</v>
      </c>
      <c r="N19" s="2">
        <f ca="1">INDEX(INDIRECT(_xlfn.CONCAT("weather.tbl[",N$1,"]")),MATCH(vp.tbl[[#This Row],[SDate]],weather.tbl[Date],0))</f>
        <v>6.0166666666666666</v>
      </c>
      <c r="O19" s="2">
        <f ca="1">INDEX(INDIRECT(_xlfn.CONCAT("weather.tbl[",O$1,"]")),MATCH(vp.tbl[[#This Row],[SDate]],weather.tbl[Date],0))</f>
        <v>9.8833333333333346</v>
      </c>
      <c r="P19" s="2">
        <f ca="1">INDEX(INDIRECT(_xlfn.CONCAT("weather.tbl[",P$1,"]")),MATCH(vp.tbl[[#This Row],[SDate]],weather.tbl[Date],0))</f>
        <v>5.2</v>
      </c>
      <c r="Q19" s="2">
        <f ca="1">INDEX(INDIRECT(_xlfn.CONCAT("weather.tbl[",Q$1,"]")),MATCH(vp.tbl[[#This Row],[SDate]],weather.tbl[Date],0))</f>
        <v>5.5</v>
      </c>
      <c r="R19" s="2">
        <f ca="1">INDEX(INDIRECT(_xlfn.CONCAT("weather.tbl[",R$1,"]")),MATCH(vp.tbl[[#This Row],[SDate]],weather.tbl[Date],0))</f>
        <v>8.8000000000000007</v>
      </c>
      <c r="S19" s="2">
        <f ca="1">INDEX(INDIRECT(_xlfn.CONCAT("weather.tbl[",S$1,"]")),MATCH(vp.tbl[[#This Row],[SDate]],weather.tbl[Date],0))</f>
        <v>7.5</v>
      </c>
      <c r="T19" s="2">
        <f ca="1">INDEX(INDIRECT(_xlfn.CONCAT("weather.tbl[",T$1,"]")),MATCH(vp.tbl[[#This Row],[SDate]],weather.tbl[Date],0))</f>
        <v>4.5</v>
      </c>
      <c r="U19" s="2">
        <f ca="1">INDEX(INDIRECT(_xlfn.CONCAT("weather.tbl[",U$1,"]")),MATCH(vp.tbl[[#This Row],[SDate]],weather.tbl[Date],0))</f>
        <v>4.5999999999999996</v>
      </c>
      <c r="V19" s="2">
        <v>5226.393</v>
      </c>
      <c r="W19" t="s">
        <v>48</v>
      </c>
      <c r="X19">
        <f>IF(OR(vp.tbl[[#This Row],[Sulf]]="",vp.tbl[[#This Row],[Dens]]=""),1,0)</f>
        <v>0</v>
      </c>
      <c r="Y19">
        <f>IF(vp.tbl[[#This Row],[CrudeType]]="C5+",1,0)</f>
        <v>0</v>
      </c>
      <c r="Z19">
        <f>IF(AND(vp.tbl[[#This Row],[CrudeType]]="Crude",vp.tbl[[#This Row],[Dens]]&lt;=825,vp.tbl[[#This Row],[Sulf]]&gt;0.5,vp.tbl[[#This Row],[Unknown]]=0),1,0)</f>
        <v>1</v>
      </c>
      <c r="AA19">
        <f>IF(AND(vp.tbl[[#This Row],[CrudeType]]="Crude",vp.tbl[[#This Row],[Dens]]&lt;=825,vp.tbl[[#This Row],[Sulf]]&lt;=0.5,vp.tbl[[#This Row],[Unknown]]=0),1,0)</f>
        <v>0</v>
      </c>
      <c r="AB19">
        <f>IF(AND(vp.tbl[[#This Row],[CrudeType]]="Crude",vp.tbl[[#This Row],[Dens]]&gt;825,vp.tbl[[#This Row],[Dens]]&lt;=870,vp.tbl[[#This Row],[Sulf]]&gt;0.5,vp.tbl[[#This Row],[Unknown]]=0),1,0)</f>
        <v>0</v>
      </c>
      <c r="AC19">
        <f>IF(AND(vp.tbl[[#This Row],[CrudeType]]="Crude",vp.tbl[[#This Row],[Dens]]&gt;825,vp.tbl[[#This Row],[Dens]]&lt;=900,vp.tbl[[#This Row],[Sulf]]&lt;=0.5,vp.tbl[[#This Row],[Unknown]]=0),1,0)</f>
        <v>0</v>
      </c>
      <c r="AD19">
        <f>IF(AND(vp.tbl[[#This Row],[CrudeType]]="Crude",vp.tbl[[#This Row],[Dens]]&gt;870,vp.tbl[[#This Row],[Dens]]&lt;=900,vp.tbl[[#This Row],[Sulf]]&gt;0.5,vp.tbl[[#This Row],[Unknown]]=0),1,0)</f>
        <v>0</v>
      </c>
      <c r="AE19">
        <f>IF(AND(vp.tbl[[#This Row],[CrudeType]]="Crude",vp.tbl[[#This Row],[Dens]]&gt;900,vp.tbl[[#This Row],[Sulf]]&lt;=0.5,vp.tbl[[#This Row],[Unknown]]=0),1,0)</f>
        <v>0</v>
      </c>
      <c r="AF19">
        <f>IF(AND(vp.tbl[[#This Row],[CrudeType]]="Crude",vp.tbl[[#This Row],[Dens]]&gt;900,vp.tbl[[#This Row],[Sulf]]&lt;=0.5,vp.tbl[[#This Row],[Unknown]]=0),1,0)</f>
        <v>0</v>
      </c>
      <c r="AG19" t="str">
        <f>INDEX(vp.tbl[[#Headers],[Unknown]:[Heavy_SW]],MATCH(1,vp.tbl[[#This Row],[Unknown]:[Heavy_SW]],0))</f>
        <v>Light_LSB</v>
      </c>
      <c r="AH19" t="e">
        <f>INDEX([1]!crudeBD.lkup[Number],MATCH(vp.tbl[[#This Row],[Crude_Breakdown]],[1]!crudeBD.lkup[Crude Breakdown],0))</f>
        <v>#REF!</v>
      </c>
      <c r="AI19">
        <f>MONTH(vp.tbl[[#This Row],[SDate]])</f>
        <v>10</v>
      </c>
      <c r="AJ19" s="5">
        <f>IFERROR(vp.tbl[[#This Row],[Sulf]]*vp.tbl[[#This Row],[Net Dens]],"")</f>
        <v>4951327.9364099996</v>
      </c>
      <c r="AK19" s="5">
        <f>IFERROR(vp.tbl[[#This Row],[Dens]]*vp.tbl[[#This Row],[VolumeM3]],"")</f>
        <v>4305502.5533999996</v>
      </c>
      <c r="AL19" s="5">
        <f>IFERROR(vp.tbl[[#This Row],[VP]]*vp.tbl[[#This Row],[VolumeM3]],"")</f>
        <v>501733.728</v>
      </c>
      <c r="AM19" s="4">
        <f>IFERROR((vp.tbl[[#This Row],[VP]]-INDEX(crudeBD.lkup.complete[Mean_VP],MATCH(vp.tbl[[#This Row],[Crude_Breakdown]],crudeBD.lkup.complete[Crude Breakdown],0)))^2,"")</f>
        <v>19.836463003507003</v>
      </c>
      <c r="AN19" s="4">
        <f>IFERROR((vp.tbl[[#This Row],[Dens]]-INDEX(crudeBD.lkup.complete[Mean_Dens],MATCH(vp.tbl[[#This Row],[Crude_Breakdown]],crudeBD.lkup.complete[Crude Breakdown],0)))^2,"")</f>
        <v>27.912521774663034</v>
      </c>
      <c r="AO19" s="4">
        <f>IFERROR((vp.tbl[[#This Row],[Sulf]]-INDEX(crudeBD.lkup.complete[Mean_Sulf],MATCH(vp.tbl[[#This Row],[Crude_Breakdown]],crudeBD.lkup.complete[Crude Breakdown],0)))^2,"")</f>
        <v>5.1542090384526708E-2</v>
      </c>
      <c r="AP19">
        <f>IF(AND(vp.tbl[[#This Row],[SDate]]&gt;=DATE(YEAR(vp.tbl[[#This Row],[SDate]]),5,1),vp.tbl[[#This Row],[SDate]]&lt;=DATE(YEAR(vp.tbl[[#This Row],[SDate]]),9,15)),1,0)</f>
        <v>0</v>
      </c>
      <c r="AQ19" s="15">
        <f>IF(vp.tbl[[#This Row],[SDate]]&lt;DATE(2016,12,1),0,1)</f>
        <v>0</v>
      </c>
    </row>
    <row r="20" spans="1:43" x14ac:dyDescent="0.25">
      <c r="A20">
        <v>19</v>
      </c>
      <c r="B20" t="s">
        <v>49</v>
      </c>
      <c r="C20" t="s">
        <v>49</v>
      </c>
      <c r="D20" t="s">
        <v>67</v>
      </c>
      <c r="F20" s="1">
        <v>42298</v>
      </c>
      <c r="G20" s="2">
        <v>95.4</v>
      </c>
      <c r="H20" s="2"/>
      <c r="I20" s="2">
        <v>0.16</v>
      </c>
      <c r="J20" s="2"/>
      <c r="K20" s="2"/>
      <c r="L20" s="2">
        <v>801</v>
      </c>
      <c r="M20" s="2">
        <v>801</v>
      </c>
      <c r="N20" s="2">
        <f ca="1">INDEX(INDIRECT(_xlfn.CONCAT("weather.tbl[",N$1,"]")),MATCH(vp.tbl[[#This Row],[SDate]],weather.tbl[Date],0))</f>
        <v>7.4666666666666677</v>
      </c>
      <c r="O20" s="2">
        <f ca="1">INDEX(INDIRECT(_xlfn.CONCAT("weather.tbl[",O$1,"]")),MATCH(vp.tbl[[#This Row],[SDate]],weather.tbl[Date],0))</f>
        <v>7.4714285714285706</v>
      </c>
      <c r="P20" s="2">
        <f ca="1">INDEX(INDIRECT(_xlfn.CONCAT("weather.tbl[",P$1,"]")),MATCH(vp.tbl[[#This Row],[SDate]],weather.tbl[Date],0))</f>
        <v>7.7</v>
      </c>
      <c r="Q20" s="2">
        <f ca="1">INDEX(INDIRECT(_xlfn.CONCAT("weather.tbl[",Q$1,"]")),MATCH(vp.tbl[[#This Row],[SDate]],weather.tbl[Date],0))</f>
        <v>7.6</v>
      </c>
      <c r="R20" s="2">
        <f ca="1">INDEX(INDIRECT(_xlfn.CONCAT("weather.tbl[",R$1,"]")),MATCH(vp.tbl[[#This Row],[SDate]],weather.tbl[Date],0))</f>
        <v>7</v>
      </c>
      <c r="S20" s="2">
        <f ca="1">INDEX(INDIRECT(_xlfn.CONCAT("weather.tbl[",S$1,"]")),MATCH(vp.tbl[[#This Row],[SDate]],weather.tbl[Date],0))</f>
        <v>8.8000000000000007</v>
      </c>
      <c r="T20" s="2">
        <f ca="1">INDEX(INDIRECT(_xlfn.CONCAT("weather.tbl[",T$1,"]")),MATCH(vp.tbl[[#This Row],[SDate]],weather.tbl[Date],0))</f>
        <v>7.2</v>
      </c>
      <c r="U20" s="2">
        <f ca="1">INDEX(INDIRECT(_xlfn.CONCAT("weather.tbl[",U$1,"]")),MATCH(vp.tbl[[#This Row],[SDate]],weather.tbl[Date],0))</f>
        <v>6.5</v>
      </c>
      <c r="V20" s="2">
        <v>34080.487999999998</v>
      </c>
      <c r="W20" t="s">
        <v>48</v>
      </c>
      <c r="X20">
        <f>IF(OR(vp.tbl[[#This Row],[Sulf]]="",vp.tbl[[#This Row],[Dens]]=""),1,0)</f>
        <v>0</v>
      </c>
      <c r="Y20">
        <f>IF(vp.tbl[[#This Row],[CrudeType]]="C5+",1,0)</f>
        <v>0</v>
      </c>
      <c r="Z20">
        <f>IF(AND(vp.tbl[[#This Row],[CrudeType]]="Crude",vp.tbl[[#This Row],[Dens]]&lt;=825,vp.tbl[[#This Row],[Sulf]]&gt;0.5,vp.tbl[[#This Row],[Unknown]]=0),1,0)</f>
        <v>0</v>
      </c>
      <c r="AA20">
        <f>IF(AND(vp.tbl[[#This Row],[CrudeType]]="Crude",vp.tbl[[#This Row],[Dens]]&lt;=825,vp.tbl[[#This Row],[Sulf]]&lt;=0.5,vp.tbl[[#This Row],[Unknown]]=0),1,0)</f>
        <v>1</v>
      </c>
      <c r="AB20">
        <f>IF(AND(vp.tbl[[#This Row],[CrudeType]]="Crude",vp.tbl[[#This Row],[Dens]]&gt;825,vp.tbl[[#This Row],[Dens]]&lt;=870,vp.tbl[[#This Row],[Sulf]]&gt;0.5,vp.tbl[[#This Row],[Unknown]]=0),1,0)</f>
        <v>0</v>
      </c>
      <c r="AC20">
        <f>IF(AND(vp.tbl[[#This Row],[CrudeType]]="Crude",vp.tbl[[#This Row],[Dens]]&gt;825,vp.tbl[[#This Row],[Dens]]&lt;=900,vp.tbl[[#This Row],[Sulf]]&lt;=0.5,vp.tbl[[#This Row],[Unknown]]=0),1,0)</f>
        <v>0</v>
      </c>
      <c r="AD20">
        <f>IF(AND(vp.tbl[[#This Row],[CrudeType]]="Crude",vp.tbl[[#This Row],[Dens]]&gt;870,vp.tbl[[#This Row],[Dens]]&lt;=900,vp.tbl[[#This Row],[Sulf]]&gt;0.5,vp.tbl[[#This Row],[Unknown]]=0),1,0)</f>
        <v>0</v>
      </c>
      <c r="AE20">
        <f>IF(AND(vp.tbl[[#This Row],[CrudeType]]="Crude",vp.tbl[[#This Row],[Dens]]&gt;900,vp.tbl[[#This Row],[Sulf]]&lt;=0.5,vp.tbl[[#This Row],[Unknown]]=0),1,0)</f>
        <v>0</v>
      </c>
      <c r="AF20">
        <f>IF(AND(vp.tbl[[#This Row],[CrudeType]]="Crude",vp.tbl[[#This Row],[Dens]]&gt;900,vp.tbl[[#This Row],[Sulf]]&lt;=0.5,vp.tbl[[#This Row],[Unknown]]=0),1,0)</f>
        <v>0</v>
      </c>
      <c r="AG20" t="str">
        <f>INDEX(vp.tbl[[#Headers],[Unknown]:[Heavy_SW]],MATCH(1,vp.tbl[[#This Row],[Unknown]:[Heavy_SW]],0))</f>
        <v>Light_SW</v>
      </c>
      <c r="AH20" t="e">
        <f>INDEX([1]!crudeBD.lkup[Number],MATCH(vp.tbl[[#This Row],[Crude_Breakdown]],[1]!crudeBD.lkup[Crude Breakdown],0))</f>
        <v>#REF!</v>
      </c>
      <c r="AI20">
        <f>MONTH(vp.tbl[[#This Row],[SDate]])</f>
        <v>10</v>
      </c>
      <c r="AJ20" s="5">
        <f>IFERROR(vp.tbl[[#This Row],[Sulf]]*vp.tbl[[#This Row],[Net Dens]],"")</f>
        <v>4367755.3420799999</v>
      </c>
      <c r="AK20" s="5">
        <f>IFERROR(vp.tbl[[#This Row],[Dens]]*vp.tbl[[#This Row],[VolumeM3]],"")</f>
        <v>27298470.887999997</v>
      </c>
      <c r="AL20" s="5">
        <f>IFERROR(vp.tbl[[#This Row],[VP]]*vp.tbl[[#This Row],[VolumeM3]],"")</f>
        <v>3251278.5551999998</v>
      </c>
      <c r="AM20" s="4">
        <f>IFERROR((vp.tbl[[#This Row],[VP]]-INDEX(crudeBD.lkup.complete[Mean_VP],MATCH(vp.tbl[[#This Row],[Crude_Breakdown]],crudeBD.lkup.complete[Crude Breakdown],0)))^2,"")</f>
        <v>8.1207126418921742</v>
      </c>
      <c r="AN20" s="4">
        <f>IFERROR((vp.tbl[[#This Row],[Dens]]-INDEX(crudeBD.lkup.complete[Mean_Dens],MATCH(vp.tbl[[#This Row],[Crude_Breakdown]],crudeBD.lkup.complete[Crude Breakdown],0)))^2,"")</f>
        <v>53.458006774390086</v>
      </c>
      <c r="AO20" s="4">
        <f>IFERROR((vp.tbl[[#This Row],[Sulf]]-INDEX(crudeBD.lkup.complete[Mean_Sulf],MATCH(vp.tbl[[#This Row],[Crude_Breakdown]],crudeBD.lkup.complete[Crude Breakdown],0)))^2,"")</f>
        <v>5.8128138736660397E-3</v>
      </c>
      <c r="AP20">
        <f>IF(AND(vp.tbl[[#This Row],[SDate]]&gt;=DATE(YEAR(vp.tbl[[#This Row],[SDate]]),5,1),vp.tbl[[#This Row],[SDate]]&lt;=DATE(YEAR(vp.tbl[[#This Row],[SDate]]),9,15)),1,0)</f>
        <v>0</v>
      </c>
      <c r="AQ20" s="15">
        <f>IF(vp.tbl[[#This Row],[SDate]]&lt;DATE(2016,12,1),0,1)</f>
        <v>0</v>
      </c>
    </row>
    <row r="21" spans="1:43" x14ac:dyDescent="0.25">
      <c r="A21">
        <v>20</v>
      </c>
      <c r="B21" t="s">
        <v>56</v>
      </c>
      <c r="C21" t="s">
        <v>56</v>
      </c>
      <c r="D21" t="s">
        <v>57</v>
      </c>
      <c r="F21" s="1">
        <v>42298</v>
      </c>
      <c r="G21" s="2">
        <v>111.4</v>
      </c>
      <c r="H21" s="2"/>
      <c r="I21" s="2">
        <v>1.44</v>
      </c>
      <c r="J21" s="2"/>
      <c r="K21" s="2"/>
      <c r="L21" s="2">
        <v>831</v>
      </c>
      <c r="M21" s="2">
        <v>831</v>
      </c>
      <c r="N21" s="2">
        <f ca="1">INDEX(INDIRECT(_xlfn.CONCAT("weather.tbl[",N$1,"]")),MATCH(vp.tbl[[#This Row],[SDate]],weather.tbl[Date],0))</f>
        <v>7.4666666666666677</v>
      </c>
      <c r="O21" s="2">
        <f ca="1">INDEX(INDIRECT(_xlfn.CONCAT("weather.tbl[",O$1,"]")),MATCH(vp.tbl[[#This Row],[SDate]],weather.tbl[Date],0))</f>
        <v>7.4714285714285706</v>
      </c>
      <c r="P21" s="2">
        <f ca="1">INDEX(INDIRECT(_xlfn.CONCAT("weather.tbl[",P$1,"]")),MATCH(vp.tbl[[#This Row],[SDate]],weather.tbl[Date],0))</f>
        <v>7.7</v>
      </c>
      <c r="Q21" s="2">
        <f ca="1">INDEX(INDIRECT(_xlfn.CONCAT("weather.tbl[",Q$1,"]")),MATCH(vp.tbl[[#This Row],[SDate]],weather.tbl[Date],0))</f>
        <v>7.6</v>
      </c>
      <c r="R21" s="2">
        <f ca="1">INDEX(INDIRECT(_xlfn.CONCAT("weather.tbl[",R$1,"]")),MATCH(vp.tbl[[#This Row],[SDate]],weather.tbl[Date],0))</f>
        <v>7</v>
      </c>
      <c r="S21" s="2">
        <f ca="1">INDEX(INDIRECT(_xlfn.CONCAT("weather.tbl[",S$1,"]")),MATCH(vp.tbl[[#This Row],[SDate]],weather.tbl[Date],0))</f>
        <v>8.8000000000000007</v>
      </c>
      <c r="T21" s="2">
        <f ca="1">INDEX(INDIRECT(_xlfn.CONCAT("weather.tbl[",T$1,"]")),MATCH(vp.tbl[[#This Row],[SDate]],weather.tbl[Date],0))</f>
        <v>7.2</v>
      </c>
      <c r="U21" s="2">
        <f ca="1">INDEX(INDIRECT(_xlfn.CONCAT("weather.tbl[",U$1,"]")),MATCH(vp.tbl[[#This Row],[SDate]],weather.tbl[Date],0))</f>
        <v>6.5</v>
      </c>
      <c r="V21" s="2">
        <v>4182.07</v>
      </c>
      <c r="W21" t="s">
        <v>48</v>
      </c>
      <c r="X21">
        <f>IF(OR(vp.tbl[[#This Row],[Sulf]]="",vp.tbl[[#This Row],[Dens]]=""),1,0)</f>
        <v>0</v>
      </c>
      <c r="Y21">
        <f>IF(vp.tbl[[#This Row],[CrudeType]]="C5+",1,0)</f>
        <v>0</v>
      </c>
      <c r="Z21">
        <f>IF(AND(vp.tbl[[#This Row],[CrudeType]]="Crude",vp.tbl[[#This Row],[Dens]]&lt;=825,vp.tbl[[#This Row],[Sulf]]&gt;0.5,vp.tbl[[#This Row],[Unknown]]=0),1,0)</f>
        <v>0</v>
      </c>
      <c r="AA21">
        <f>IF(AND(vp.tbl[[#This Row],[CrudeType]]="Crude",vp.tbl[[#This Row],[Dens]]&lt;=825,vp.tbl[[#This Row],[Sulf]]&lt;=0.5,vp.tbl[[#This Row],[Unknown]]=0),1,0)</f>
        <v>0</v>
      </c>
      <c r="AB21">
        <f>IF(AND(vp.tbl[[#This Row],[CrudeType]]="Crude",vp.tbl[[#This Row],[Dens]]&gt;825,vp.tbl[[#This Row],[Dens]]&lt;=870,vp.tbl[[#This Row],[Sulf]]&gt;0.5,vp.tbl[[#This Row],[Unknown]]=0),1,0)</f>
        <v>1</v>
      </c>
      <c r="AC21">
        <f>IF(AND(vp.tbl[[#This Row],[CrudeType]]="Crude",vp.tbl[[#This Row],[Dens]]&gt;825,vp.tbl[[#This Row],[Dens]]&lt;=900,vp.tbl[[#This Row],[Sulf]]&lt;=0.5,vp.tbl[[#This Row],[Unknown]]=0),1,0)</f>
        <v>0</v>
      </c>
      <c r="AD21">
        <f>IF(AND(vp.tbl[[#This Row],[CrudeType]]="Crude",vp.tbl[[#This Row],[Dens]]&gt;870,vp.tbl[[#This Row],[Dens]]&lt;=900,vp.tbl[[#This Row],[Sulf]]&gt;0.5,vp.tbl[[#This Row],[Unknown]]=0),1,0)</f>
        <v>0</v>
      </c>
      <c r="AE21">
        <f>IF(AND(vp.tbl[[#This Row],[CrudeType]]="Crude",vp.tbl[[#This Row],[Dens]]&gt;900,vp.tbl[[#This Row],[Sulf]]&lt;=0.5,vp.tbl[[#This Row],[Unknown]]=0),1,0)</f>
        <v>0</v>
      </c>
      <c r="AF21">
        <f>IF(AND(vp.tbl[[#This Row],[CrudeType]]="Crude",vp.tbl[[#This Row],[Dens]]&gt;900,vp.tbl[[#This Row],[Sulf]]&lt;=0.5,vp.tbl[[#This Row],[Unknown]]=0),1,0)</f>
        <v>0</v>
      </c>
      <c r="AG21" t="str">
        <f>INDEX(vp.tbl[[#Headers],[Unknown]:[Heavy_SW]],MATCH(1,vp.tbl[[#This Row],[Unknown]:[Heavy_SW]],0))</f>
        <v>Medium_LSB</v>
      </c>
      <c r="AH21" t="e">
        <f>INDEX([1]!crudeBD.lkup[Number],MATCH(vp.tbl[[#This Row],[Crude_Breakdown]],[1]!crudeBD.lkup[Crude Breakdown],0))</f>
        <v>#REF!</v>
      </c>
      <c r="AI21">
        <f>MONTH(vp.tbl[[#This Row],[SDate]])</f>
        <v>10</v>
      </c>
      <c r="AJ21" s="5">
        <f>IFERROR(vp.tbl[[#This Row],[Sulf]]*vp.tbl[[#This Row],[Net Dens]],"")</f>
        <v>5004432.2447999995</v>
      </c>
      <c r="AK21" s="5">
        <f>IFERROR(vp.tbl[[#This Row],[Dens]]*vp.tbl[[#This Row],[VolumeM3]],"")</f>
        <v>3475300.17</v>
      </c>
      <c r="AL21" s="5">
        <f>IFERROR(vp.tbl[[#This Row],[VP]]*vp.tbl[[#This Row],[VolumeM3]],"")</f>
        <v>465882.598</v>
      </c>
      <c r="AM21" s="4">
        <f>IFERROR((vp.tbl[[#This Row],[VP]]-INDEX(crudeBD.lkup.complete[Mean_VP],MATCH(vp.tbl[[#This Row],[Crude_Breakdown]],crudeBD.lkup.complete[Crude Breakdown],0)))^2,"")</f>
        <v>975.08837317673715</v>
      </c>
      <c r="AN21" s="4">
        <f>IFERROR((vp.tbl[[#This Row],[Dens]]-INDEX(crudeBD.lkup.complete[Mean_Dens],MATCH(vp.tbl[[#This Row],[Crude_Breakdown]],crudeBD.lkup.complete[Crude Breakdown],0)))^2,"")</f>
        <v>204.25619851238974</v>
      </c>
      <c r="AO21" s="4">
        <f>IFERROR((vp.tbl[[#This Row],[Sulf]]-INDEX(crudeBD.lkup.complete[Mean_Sulf],MATCH(vp.tbl[[#This Row],[Crude_Breakdown]],crudeBD.lkup.complete[Crude Breakdown],0)))^2,"")</f>
        <v>2.2290074229791476E-4</v>
      </c>
      <c r="AP21">
        <f>IF(AND(vp.tbl[[#This Row],[SDate]]&gt;=DATE(YEAR(vp.tbl[[#This Row],[SDate]]),5,1),vp.tbl[[#This Row],[SDate]]&lt;=DATE(YEAR(vp.tbl[[#This Row],[SDate]]),9,15)),1,0)</f>
        <v>0</v>
      </c>
      <c r="AQ21" s="15">
        <f>IF(vp.tbl[[#This Row],[SDate]]&lt;DATE(2016,12,1),0,1)</f>
        <v>0</v>
      </c>
    </row>
    <row r="22" spans="1:43" x14ac:dyDescent="0.25">
      <c r="A22">
        <v>21</v>
      </c>
      <c r="B22" t="s">
        <v>46</v>
      </c>
      <c r="C22" t="s">
        <v>46</v>
      </c>
      <c r="D22" t="s">
        <v>47</v>
      </c>
      <c r="F22" s="1">
        <v>42298</v>
      </c>
      <c r="G22" s="2">
        <v>83.3</v>
      </c>
      <c r="H22" s="2"/>
      <c r="I22" s="2">
        <v>2.41</v>
      </c>
      <c r="J22" s="2"/>
      <c r="K22" s="2"/>
      <c r="L22" s="2">
        <v>875</v>
      </c>
      <c r="M22" s="2">
        <v>875</v>
      </c>
      <c r="N22" s="2">
        <f ca="1">INDEX(INDIRECT(_xlfn.CONCAT("weather.tbl[",N$1,"]")),MATCH(vp.tbl[[#This Row],[SDate]],weather.tbl[Date],0))</f>
        <v>7.4666666666666677</v>
      </c>
      <c r="O22" s="2">
        <f ca="1">INDEX(INDIRECT(_xlfn.CONCAT("weather.tbl[",O$1,"]")),MATCH(vp.tbl[[#This Row],[SDate]],weather.tbl[Date],0))</f>
        <v>7.4714285714285706</v>
      </c>
      <c r="P22" s="2">
        <f ca="1">INDEX(INDIRECT(_xlfn.CONCAT("weather.tbl[",P$1,"]")),MATCH(vp.tbl[[#This Row],[SDate]],weather.tbl[Date],0))</f>
        <v>7.7</v>
      </c>
      <c r="Q22" s="2">
        <f ca="1">INDEX(INDIRECT(_xlfn.CONCAT("weather.tbl[",Q$1,"]")),MATCH(vp.tbl[[#This Row],[SDate]],weather.tbl[Date],0))</f>
        <v>7.6</v>
      </c>
      <c r="R22" s="2">
        <f ca="1">INDEX(INDIRECT(_xlfn.CONCAT("weather.tbl[",R$1,"]")),MATCH(vp.tbl[[#This Row],[SDate]],weather.tbl[Date],0))</f>
        <v>7</v>
      </c>
      <c r="S22" s="2">
        <f ca="1">INDEX(INDIRECT(_xlfn.CONCAT("weather.tbl[",S$1,"]")),MATCH(vp.tbl[[#This Row],[SDate]],weather.tbl[Date],0))</f>
        <v>8.8000000000000007</v>
      </c>
      <c r="T22" s="2">
        <f ca="1">INDEX(INDIRECT(_xlfn.CONCAT("weather.tbl[",T$1,"]")),MATCH(vp.tbl[[#This Row],[SDate]],weather.tbl[Date],0))</f>
        <v>7.2</v>
      </c>
      <c r="U22" s="2">
        <f ca="1">INDEX(INDIRECT(_xlfn.CONCAT("weather.tbl[",U$1,"]")),MATCH(vp.tbl[[#This Row],[SDate]],weather.tbl[Date],0))</f>
        <v>6.5</v>
      </c>
      <c r="V22" s="2">
        <v>115049.71</v>
      </c>
      <c r="W22" t="s">
        <v>48</v>
      </c>
      <c r="X22">
        <f>IF(OR(vp.tbl[[#This Row],[Sulf]]="",vp.tbl[[#This Row],[Dens]]=""),1,0)</f>
        <v>0</v>
      </c>
      <c r="Y22">
        <f>IF(vp.tbl[[#This Row],[CrudeType]]="C5+",1,0)</f>
        <v>0</v>
      </c>
      <c r="Z22">
        <f>IF(AND(vp.tbl[[#This Row],[CrudeType]]="Crude",vp.tbl[[#This Row],[Dens]]&lt;=825,vp.tbl[[#This Row],[Sulf]]&gt;0.5,vp.tbl[[#This Row],[Unknown]]=0),1,0)</f>
        <v>0</v>
      </c>
      <c r="AA22">
        <f>IF(AND(vp.tbl[[#This Row],[CrudeType]]="Crude",vp.tbl[[#This Row],[Dens]]&lt;=825,vp.tbl[[#This Row],[Sulf]]&lt;=0.5,vp.tbl[[#This Row],[Unknown]]=0),1,0)</f>
        <v>0</v>
      </c>
      <c r="AB22">
        <f>IF(AND(vp.tbl[[#This Row],[CrudeType]]="Crude",vp.tbl[[#This Row],[Dens]]&gt;825,vp.tbl[[#This Row],[Dens]]&lt;=870,vp.tbl[[#This Row],[Sulf]]&gt;0.5,vp.tbl[[#This Row],[Unknown]]=0),1,0)</f>
        <v>0</v>
      </c>
      <c r="AC22">
        <f>IF(AND(vp.tbl[[#This Row],[CrudeType]]="Crude",vp.tbl[[#This Row],[Dens]]&gt;825,vp.tbl[[#This Row],[Dens]]&lt;=900,vp.tbl[[#This Row],[Sulf]]&lt;=0.5,vp.tbl[[#This Row],[Unknown]]=0),1,0)</f>
        <v>0</v>
      </c>
      <c r="AD22">
        <f>IF(AND(vp.tbl[[#This Row],[CrudeType]]="Crude",vp.tbl[[#This Row],[Dens]]&gt;870,vp.tbl[[#This Row],[Dens]]&lt;=900,vp.tbl[[#This Row],[Sulf]]&gt;0.5,vp.tbl[[#This Row],[Unknown]]=0),1,0)</f>
        <v>1</v>
      </c>
      <c r="AE22">
        <f>IF(AND(vp.tbl[[#This Row],[CrudeType]]="Crude",vp.tbl[[#This Row],[Dens]]&gt;900,vp.tbl[[#This Row],[Sulf]]&lt;=0.5,vp.tbl[[#This Row],[Unknown]]=0),1,0)</f>
        <v>0</v>
      </c>
      <c r="AF22">
        <f>IF(AND(vp.tbl[[#This Row],[CrudeType]]="Crude",vp.tbl[[#This Row],[Dens]]&gt;900,vp.tbl[[#This Row],[Sulf]]&lt;=0.5,vp.tbl[[#This Row],[Unknown]]=0),1,0)</f>
        <v>0</v>
      </c>
      <c r="AG22" t="str">
        <f>INDEX(vp.tbl[[#Headers],[Unknown]:[Heavy_SW]],MATCH(1,vp.tbl[[#This Row],[Unknown]:[Heavy_SW]],0))</f>
        <v>Midale</v>
      </c>
      <c r="AH22" t="e">
        <f>INDEX([1]!crudeBD.lkup[Number],MATCH(vp.tbl[[#This Row],[Crude_Breakdown]],[1]!crudeBD.lkup[Crude Breakdown],0))</f>
        <v>#REF!</v>
      </c>
      <c r="AI22">
        <f>MONTH(vp.tbl[[#This Row],[SDate]])</f>
        <v>10</v>
      </c>
      <c r="AJ22" s="5">
        <f>IFERROR(vp.tbl[[#This Row],[Sulf]]*vp.tbl[[#This Row],[Net Dens]],"")</f>
        <v>242611075.96250001</v>
      </c>
      <c r="AK22" s="5">
        <f>IFERROR(vp.tbl[[#This Row],[Dens]]*vp.tbl[[#This Row],[VolumeM3]],"")</f>
        <v>100668496.25</v>
      </c>
      <c r="AL22" s="5">
        <f>IFERROR(vp.tbl[[#This Row],[VP]]*vp.tbl[[#This Row],[VolumeM3]],"")</f>
        <v>9583640.8430000003</v>
      </c>
      <c r="AM22" s="4">
        <f>IFERROR((vp.tbl[[#This Row],[VP]]-INDEX(crudeBD.lkup.complete[Mean_VP],MATCH(vp.tbl[[#This Row],[Crude_Breakdown]],crudeBD.lkup.complete[Crude Breakdown],0)))^2,"")</f>
        <v>226.85311503096219</v>
      </c>
      <c r="AN22" s="4">
        <f>IFERROR((vp.tbl[[#This Row],[Dens]]-INDEX(crudeBD.lkup.complete[Mean_Dens],MATCH(vp.tbl[[#This Row],[Crude_Breakdown]],crudeBD.lkup.complete[Crude Breakdown],0)))^2,"")</f>
        <v>6.5129836742337712</v>
      </c>
      <c r="AO22" s="4">
        <f>IFERROR((vp.tbl[[#This Row],[Sulf]]-INDEX(crudeBD.lkup.complete[Mean_Sulf],MATCH(vp.tbl[[#This Row],[Crude_Breakdown]],crudeBD.lkup.complete[Crude Breakdown],0)))^2,"")</f>
        <v>2.8517063032449047E-5</v>
      </c>
      <c r="AP22">
        <f>IF(AND(vp.tbl[[#This Row],[SDate]]&gt;=DATE(YEAR(vp.tbl[[#This Row],[SDate]]),5,1),vp.tbl[[#This Row],[SDate]]&lt;=DATE(YEAR(vp.tbl[[#This Row],[SDate]]),9,15)),1,0)</f>
        <v>0</v>
      </c>
      <c r="AQ22" s="15">
        <f>IF(vp.tbl[[#This Row],[SDate]]&lt;DATE(2016,12,1),0,1)</f>
        <v>0</v>
      </c>
    </row>
    <row r="23" spans="1:43" x14ac:dyDescent="0.25">
      <c r="A23">
        <v>22</v>
      </c>
      <c r="B23" t="s">
        <v>53</v>
      </c>
      <c r="C23" t="s">
        <v>53</v>
      </c>
      <c r="D23" t="s">
        <v>54</v>
      </c>
      <c r="E23" t="s">
        <v>55</v>
      </c>
      <c r="F23" s="1">
        <v>42299</v>
      </c>
      <c r="G23" s="2">
        <v>78.400000000000006</v>
      </c>
      <c r="H23" s="2"/>
      <c r="I23" s="2">
        <v>2.02</v>
      </c>
      <c r="J23" s="2"/>
      <c r="K23" s="2"/>
      <c r="L23" s="2">
        <v>850</v>
      </c>
      <c r="M23" s="2">
        <v>850</v>
      </c>
      <c r="N23" s="2">
        <f ca="1">INDEX(INDIRECT(_xlfn.CONCAT("weather.tbl[",N$1,"]")),MATCH(vp.tbl[[#This Row],[SDate]],weather.tbl[Date],0))</f>
        <v>9.3333333333333339</v>
      </c>
      <c r="O23" s="2">
        <f ca="1">INDEX(INDIRECT(_xlfn.CONCAT("weather.tbl[",O$1,"]")),MATCH(vp.tbl[[#This Row],[SDate]],weather.tbl[Date],0))</f>
        <v>7.9904761904761896</v>
      </c>
      <c r="P23" s="2">
        <f ca="1">INDEX(INDIRECT(_xlfn.CONCAT("weather.tbl[",P$1,"]")),MATCH(vp.tbl[[#This Row],[SDate]],weather.tbl[Date],0))</f>
        <v>10.1</v>
      </c>
      <c r="Q23" s="2">
        <f ca="1">INDEX(INDIRECT(_xlfn.CONCAT("weather.tbl[",Q$1,"]")),MATCH(vp.tbl[[#This Row],[SDate]],weather.tbl[Date],0))</f>
        <v>10.8</v>
      </c>
      <c r="R23" s="2">
        <f ca="1">INDEX(INDIRECT(_xlfn.CONCAT("weather.tbl[",R$1,"]")),MATCH(vp.tbl[[#This Row],[SDate]],weather.tbl[Date],0))</f>
        <v>7.5</v>
      </c>
      <c r="S23" s="2">
        <f ca="1">INDEX(INDIRECT(_xlfn.CONCAT("weather.tbl[",S$1,"]")),MATCH(vp.tbl[[#This Row],[SDate]],weather.tbl[Date],0))</f>
        <v>10</v>
      </c>
      <c r="T23" s="2">
        <f ca="1">INDEX(INDIRECT(_xlfn.CONCAT("weather.tbl[",T$1,"]")),MATCH(vp.tbl[[#This Row],[SDate]],weather.tbl[Date],0))</f>
        <v>7.4</v>
      </c>
      <c r="U23" s="2">
        <f ca="1">INDEX(INDIRECT(_xlfn.CONCAT("weather.tbl[",U$1,"]")),MATCH(vp.tbl[[#This Row],[SDate]],weather.tbl[Date],0))</f>
        <v>10.199999999999999</v>
      </c>
      <c r="V23" s="2">
        <v>65534.339</v>
      </c>
      <c r="W23" t="s">
        <v>48</v>
      </c>
      <c r="X23">
        <f>IF(OR(vp.tbl[[#This Row],[Sulf]]="",vp.tbl[[#This Row],[Dens]]=""),1,0)</f>
        <v>0</v>
      </c>
      <c r="Y23">
        <f>IF(vp.tbl[[#This Row],[CrudeType]]="C5+",1,0)</f>
        <v>0</v>
      </c>
      <c r="Z23">
        <f>IF(AND(vp.tbl[[#This Row],[CrudeType]]="Crude",vp.tbl[[#This Row],[Dens]]&lt;=825,vp.tbl[[#This Row],[Sulf]]&gt;0.5,vp.tbl[[#This Row],[Unknown]]=0),1,0)</f>
        <v>0</v>
      </c>
      <c r="AA23">
        <f>IF(AND(vp.tbl[[#This Row],[CrudeType]]="Crude",vp.tbl[[#This Row],[Dens]]&lt;=825,vp.tbl[[#This Row],[Sulf]]&lt;=0.5,vp.tbl[[#This Row],[Unknown]]=0),1,0)</f>
        <v>0</v>
      </c>
      <c r="AB23">
        <f>IF(AND(vp.tbl[[#This Row],[CrudeType]]="Crude",vp.tbl[[#This Row],[Dens]]&gt;825,vp.tbl[[#This Row],[Dens]]&lt;=870,vp.tbl[[#This Row],[Sulf]]&gt;0.5,vp.tbl[[#This Row],[Unknown]]=0),1,0)</f>
        <v>1</v>
      </c>
      <c r="AC23">
        <f>IF(AND(vp.tbl[[#This Row],[CrudeType]]="Crude",vp.tbl[[#This Row],[Dens]]&gt;825,vp.tbl[[#This Row],[Dens]]&lt;=900,vp.tbl[[#This Row],[Sulf]]&lt;=0.5,vp.tbl[[#This Row],[Unknown]]=0),1,0)</f>
        <v>0</v>
      </c>
      <c r="AD23">
        <f>IF(AND(vp.tbl[[#This Row],[CrudeType]]="Crude",vp.tbl[[#This Row],[Dens]]&gt;870,vp.tbl[[#This Row],[Dens]]&lt;=900,vp.tbl[[#This Row],[Sulf]]&gt;0.5,vp.tbl[[#This Row],[Unknown]]=0),1,0)</f>
        <v>0</v>
      </c>
      <c r="AE23">
        <f>IF(AND(vp.tbl[[#This Row],[CrudeType]]="Crude",vp.tbl[[#This Row],[Dens]]&gt;900,vp.tbl[[#This Row],[Sulf]]&lt;=0.5,vp.tbl[[#This Row],[Unknown]]=0),1,0)</f>
        <v>0</v>
      </c>
      <c r="AF23">
        <f>IF(AND(vp.tbl[[#This Row],[CrudeType]]="Crude",vp.tbl[[#This Row],[Dens]]&gt;900,vp.tbl[[#This Row],[Sulf]]&lt;=0.5,vp.tbl[[#This Row],[Unknown]]=0),1,0)</f>
        <v>0</v>
      </c>
      <c r="AG23" t="str">
        <f>INDEX(vp.tbl[[#Headers],[Unknown]:[Heavy_SW]],MATCH(1,vp.tbl[[#This Row],[Unknown]:[Heavy_SW]],0))</f>
        <v>Medium_LSB</v>
      </c>
      <c r="AH23" t="e">
        <f>INDEX([1]!crudeBD.lkup[Number],MATCH(vp.tbl[[#This Row],[Crude_Breakdown]],[1]!crudeBD.lkup[Crude Breakdown],0))</f>
        <v>#REF!</v>
      </c>
      <c r="AI23">
        <f>MONTH(vp.tbl[[#This Row],[SDate]])</f>
        <v>10</v>
      </c>
      <c r="AJ23" s="5">
        <f>IFERROR(vp.tbl[[#This Row],[Sulf]]*vp.tbl[[#This Row],[Net Dens]],"")</f>
        <v>112522460.06299999</v>
      </c>
      <c r="AK23" s="5">
        <f>IFERROR(vp.tbl[[#This Row],[Dens]]*vp.tbl[[#This Row],[VolumeM3]],"")</f>
        <v>55704188.149999999</v>
      </c>
      <c r="AL23" s="5">
        <f>IFERROR(vp.tbl[[#This Row],[VP]]*vp.tbl[[#This Row],[VolumeM3]],"")</f>
        <v>5137892.1776000001</v>
      </c>
      <c r="AM23" s="4">
        <f>IFERROR((vp.tbl[[#This Row],[VP]]-INDEX(crudeBD.lkup.complete[Mean_VP],MATCH(vp.tbl[[#This Row],[Crude_Breakdown]],crudeBD.lkup.complete[Crude Breakdown],0)))^2,"")</f>
        <v>3.1456389995191567</v>
      </c>
      <c r="AN23" s="4">
        <f>IFERROR((vp.tbl[[#This Row],[Dens]]-INDEX(crudeBD.lkup.complete[Mean_Dens],MATCH(vp.tbl[[#This Row],[Crude_Breakdown]],crudeBD.lkup.complete[Crude Breakdown],0)))^2,"")</f>
        <v>22.166932689642344</v>
      </c>
      <c r="AO23" s="4">
        <f>IFERROR((vp.tbl[[#This Row],[Sulf]]-INDEX(crudeBD.lkup.complete[Mean_Sulf],MATCH(vp.tbl[[#This Row],[Crude_Breakdown]],crudeBD.lkup.complete[Crude Breakdown],0)))^2,"")</f>
        <v>0.31930426226128356</v>
      </c>
      <c r="AP23">
        <f>IF(AND(vp.tbl[[#This Row],[SDate]]&gt;=DATE(YEAR(vp.tbl[[#This Row],[SDate]]),5,1),vp.tbl[[#This Row],[SDate]]&lt;=DATE(YEAR(vp.tbl[[#This Row],[SDate]]),9,15)),1,0)</f>
        <v>0</v>
      </c>
      <c r="AQ23" s="15">
        <f>IF(vp.tbl[[#This Row],[SDate]]&lt;DATE(2016,12,1),0,1)</f>
        <v>0</v>
      </c>
    </row>
    <row r="24" spans="1:43" x14ac:dyDescent="0.25">
      <c r="A24">
        <v>23</v>
      </c>
      <c r="B24" t="s">
        <v>49</v>
      </c>
      <c r="C24" t="s">
        <v>49</v>
      </c>
      <c r="D24" t="s">
        <v>50</v>
      </c>
      <c r="F24" s="1">
        <v>42299</v>
      </c>
      <c r="G24" s="2">
        <v>74.2</v>
      </c>
      <c r="H24" s="2"/>
      <c r="I24" s="2">
        <v>2.59</v>
      </c>
      <c r="J24" s="2"/>
      <c r="K24" s="2"/>
      <c r="L24" s="2">
        <v>875.5</v>
      </c>
      <c r="M24" s="2">
        <v>875.5</v>
      </c>
      <c r="N24" s="2">
        <f ca="1">INDEX(INDIRECT(_xlfn.CONCAT("weather.tbl[",N$1,"]")),MATCH(vp.tbl[[#This Row],[SDate]],weather.tbl[Date],0))</f>
        <v>9.3333333333333339</v>
      </c>
      <c r="O24" s="2">
        <f ca="1">INDEX(INDIRECT(_xlfn.CONCAT("weather.tbl[",O$1,"]")),MATCH(vp.tbl[[#This Row],[SDate]],weather.tbl[Date],0))</f>
        <v>7.9904761904761896</v>
      </c>
      <c r="P24" s="2">
        <f ca="1">INDEX(INDIRECT(_xlfn.CONCAT("weather.tbl[",P$1,"]")),MATCH(vp.tbl[[#This Row],[SDate]],weather.tbl[Date],0))</f>
        <v>10.1</v>
      </c>
      <c r="Q24" s="2">
        <f ca="1">INDEX(INDIRECT(_xlfn.CONCAT("weather.tbl[",Q$1,"]")),MATCH(vp.tbl[[#This Row],[SDate]],weather.tbl[Date],0))</f>
        <v>10.8</v>
      </c>
      <c r="R24" s="2">
        <f ca="1">INDEX(INDIRECT(_xlfn.CONCAT("weather.tbl[",R$1,"]")),MATCH(vp.tbl[[#This Row],[SDate]],weather.tbl[Date],0))</f>
        <v>7.5</v>
      </c>
      <c r="S24" s="2">
        <f ca="1">INDEX(INDIRECT(_xlfn.CONCAT("weather.tbl[",S$1,"]")),MATCH(vp.tbl[[#This Row],[SDate]],weather.tbl[Date],0))</f>
        <v>10</v>
      </c>
      <c r="T24" s="2">
        <f ca="1">INDEX(INDIRECT(_xlfn.CONCAT("weather.tbl[",T$1,"]")),MATCH(vp.tbl[[#This Row],[SDate]],weather.tbl[Date],0))</f>
        <v>7.4</v>
      </c>
      <c r="U24" s="2">
        <f ca="1">INDEX(INDIRECT(_xlfn.CONCAT("weather.tbl[",U$1,"]")),MATCH(vp.tbl[[#This Row],[SDate]],weather.tbl[Date],0))</f>
        <v>10.199999999999999</v>
      </c>
      <c r="V24" s="2">
        <v>7328.8639999999996</v>
      </c>
      <c r="W24" t="s">
        <v>48</v>
      </c>
      <c r="X24">
        <f>IF(OR(vp.tbl[[#This Row],[Sulf]]="",vp.tbl[[#This Row],[Dens]]=""),1,0)</f>
        <v>0</v>
      </c>
      <c r="Y24">
        <f>IF(vp.tbl[[#This Row],[CrudeType]]="C5+",1,0)</f>
        <v>0</v>
      </c>
      <c r="Z24">
        <f>IF(AND(vp.tbl[[#This Row],[CrudeType]]="Crude",vp.tbl[[#This Row],[Dens]]&lt;=825,vp.tbl[[#This Row],[Sulf]]&gt;0.5,vp.tbl[[#This Row],[Unknown]]=0),1,0)</f>
        <v>0</v>
      </c>
      <c r="AA24">
        <f>IF(AND(vp.tbl[[#This Row],[CrudeType]]="Crude",vp.tbl[[#This Row],[Dens]]&lt;=825,vp.tbl[[#This Row],[Sulf]]&lt;=0.5,vp.tbl[[#This Row],[Unknown]]=0),1,0)</f>
        <v>0</v>
      </c>
      <c r="AB24">
        <f>IF(AND(vp.tbl[[#This Row],[CrudeType]]="Crude",vp.tbl[[#This Row],[Dens]]&gt;825,vp.tbl[[#This Row],[Dens]]&lt;=870,vp.tbl[[#This Row],[Sulf]]&gt;0.5,vp.tbl[[#This Row],[Unknown]]=0),1,0)</f>
        <v>0</v>
      </c>
      <c r="AC24">
        <f>IF(AND(vp.tbl[[#This Row],[CrudeType]]="Crude",vp.tbl[[#This Row],[Dens]]&gt;825,vp.tbl[[#This Row],[Dens]]&lt;=900,vp.tbl[[#This Row],[Sulf]]&lt;=0.5,vp.tbl[[#This Row],[Unknown]]=0),1,0)</f>
        <v>0</v>
      </c>
      <c r="AD24">
        <f>IF(AND(vp.tbl[[#This Row],[CrudeType]]="Crude",vp.tbl[[#This Row],[Dens]]&gt;870,vp.tbl[[#This Row],[Dens]]&lt;=900,vp.tbl[[#This Row],[Sulf]]&gt;0.5,vp.tbl[[#This Row],[Unknown]]=0),1,0)</f>
        <v>1</v>
      </c>
      <c r="AE24">
        <f>IF(AND(vp.tbl[[#This Row],[CrudeType]]="Crude",vp.tbl[[#This Row],[Dens]]&gt;900,vp.tbl[[#This Row],[Sulf]]&lt;=0.5,vp.tbl[[#This Row],[Unknown]]=0),1,0)</f>
        <v>0</v>
      </c>
      <c r="AF24">
        <f>IF(AND(vp.tbl[[#This Row],[CrudeType]]="Crude",vp.tbl[[#This Row],[Dens]]&gt;900,vp.tbl[[#This Row],[Sulf]]&lt;=0.5,vp.tbl[[#This Row],[Unknown]]=0),1,0)</f>
        <v>0</v>
      </c>
      <c r="AG24" t="str">
        <f>INDEX(vp.tbl[[#Headers],[Unknown]:[Heavy_SW]],MATCH(1,vp.tbl[[#This Row],[Unknown]:[Heavy_SW]],0))</f>
        <v>Midale</v>
      </c>
      <c r="AH24" t="e">
        <f>INDEX([1]!crudeBD.lkup[Number],MATCH(vp.tbl[[#This Row],[Crude_Breakdown]],[1]!crudeBD.lkup[Crude Breakdown],0))</f>
        <v>#REF!</v>
      </c>
      <c r="AI24">
        <f>MONTH(vp.tbl[[#This Row],[SDate]])</f>
        <v>10</v>
      </c>
      <c r="AJ24" s="5">
        <f>IFERROR(vp.tbl[[#This Row],[Sulf]]*vp.tbl[[#This Row],[Net Dens]],"")</f>
        <v>16618528.918879999</v>
      </c>
      <c r="AK24" s="5">
        <f>IFERROR(vp.tbl[[#This Row],[Dens]]*vp.tbl[[#This Row],[VolumeM3]],"")</f>
        <v>6416420.432</v>
      </c>
      <c r="AL24" s="5">
        <f>IFERROR(vp.tbl[[#This Row],[VP]]*vp.tbl[[#This Row],[VolumeM3]],"")</f>
        <v>543801.70880000002</v>
      </c>
      <c r="AM24" s="4">
        <f>IFERROR((vp.tbl[[#This Row],[VP]]-INDEX(crudeBD.lkup.complete[Mean_VP],MATCH(vp.tbl[[#This Row],[Crude_Breakdown]],crudeBD.lkup.complete[Crude Breakdown],0)))^2,"")</f>
        <v>35.541197222743357</v>
      </c>
      <c r="AN24" s="4">
        <f>IFERROR((vp.tbl[[#This Row],[Dens]]-INDEX(crudeBD.lkup.complete[Mean_Dens],MATCH(vp.tbl[[#This Row],[Crude_Breakdown]],crudeBD.lkup.complete[Crude Breakdown],0)))^2,"")</f>
        <v>4.210928879713526</v>
      </c>
      <c r="AO24" s="4">
        <f>IFERROR((vp.tbl[[#This Row],[Sulf]]-INDEX(crudeBD.lkup.complete[Mean_Sulf],MATCH(vp.tbl[[#This Row],[Crude_Breakdown]],crudeBD.lkup.complete[Crude Breakdown],0)))^2,"")</f>
        <v>3.0506067747964355E-2</v>
      </c>
      <c r="AP24">
        <f>IF(AND(vp.tbl[[#This Row],[SDate]]&gt;=DATE(YEAR(vp.tbl[[#This Row],[SDate]]),5,1),vp.tbl[[#This Row],[SDate]]&lt;=DATE(YEAR(vp.tbl[[#This Row],[SDate]]),9,15)),1,0)</f>
        <v>0</v>
      </c>
      <c r="AQ24" s="15">
        <f>IF(vp.tbl[[#This Row],[SDate]]&lt;DATE(2016,12,1),0,1)</f>
        <v>0</v>
      </c>
    </row>
    <row r="25" spans="1:43" x14ac:dyDescent="0.25">
      <c r="A25">
        <v>24</v>
      </c>
      <c r="B25" t="s">
        <v>68</v>
      </c>
      <c r="C25" t="s">
        <v>68</v>
      </c>
      <c r="D25" t="s">
        <v>69</v>
      </c>
      <c r="F25" s="1">
        <v>42299</v>
      </c>
      <c r="G25" s="2">
        <v>72.8</v>
      </c>
      <c r="H25" s="2"/>
      <c r="I25" s="2">
        <v>1.73</v>
      </c>
      <c r="J25" s="2"/>
      <c r="K25" s="2"/>
      <c r="L25" s="2"/>
      <c r="M25" s="2">
        <v>862.9</v>
      </c>
      <c r="N25" s="2">
        <f ca="1">INDEX(INDIRECT(_xlfn.CONCAT("weather.tbl[",N$1,"]")),MATCH(vp.tbl[[#This Row],[SDate]],weather.tbl[Date],0))</f>
        <v>9.3333333333333339</v>
      </c>
      <c r="O25" s="2">
        <f ca="1">INDEX(INDIRECT(_xlfn.CONCAT("weather.tbl[",O$1,"]")),MATCH(vp.tbl[[#This Row],[SDate]],weather.tbl[Date],0))</f>
        <v>7.9904761904761896</v>
      </c>
      <c r="P25" s="2">
        <f ca="1">INDEX(INDIRECT(_xlfn.CONCAT("weather.tbl[",P$1,"]")),MATCH(vp.tbl[[#This Row],[SDate]],weather.tbl[Date],0))</f>
        <v>10.1</v>
      </c>
      <c r="Q25" s="2">
        <f ca="1">INDEX(INDIRECT(_xlfn.CONCAT("weather.tbl[",Q$1,"]")),MATCH(vp.tbl[[#This Row],[SDate]],weather.tbl[Date],0))</f>
        <v>10.8</v>
      </c>
      <c r="R25" s="2">
        <f ca="1">INDEX(INDIRECT(_xlfn.CONCAT("weather.tbl[",R$1,"]")),MATCH(vp.tbl[[#This Row],[SDate]],weather.tbl[Date],0))</f>
        <v>7.5</v>
      </c>
      <c r="S25" s="2">
        <f ca="1">INDEX(INDIRECT(_xlfn.CONCAT("weather.tbl[",S$1,"]")),MATCH(vp.tbl[[#This Row],[SDate]],weather.tbl[Date],0))</f>
        <v>10</v>
      </c>
      <c r="T25" s="2">
        <f ca="1">INDEX(INDIRECT(_xlfn.CONCAT("weather.tbl[",T$1,"]")),MATCH(vp.tbl[[#This Row],[SDate]],weather.tbl[Date],0))</f>
        <v>7.4</v>
      </c>
      <c r="U25" s="2">
        <f ca="1">INDEX(INDIRECT(_xlfn.CONCAT("weather.tbl[",U$1,"]")),MATCH(vp.tbl[[#This Row],[SDate]],weather.tbl[Date],0))</f>
        <v>10.199999999999999</v>
      </c>
      <c r="V25" s="2">
        <v>1620.019</v>
      </c>
      <c r="W25" t="s">
        <v>48</v>
      </c>
      <c r="X25">
        <f>IF(OR(vp.tbl[[#This Row],[Sulf]]="",vp.tbl[[#This Row],[Dens]]=""),1,0)</f>
        <v>0</v>
      </c>
      <c r="Y25">
        <f>IF(vp.tbl[[#This Row],[CrudeType]]="C5+",1,0)</f>
        <v>0</v>
      </c>
      <c r="Z25">
        <f>IF(AND(vp.tbl[[#This Row],[CrudeType]]="Crude",vp.tbl[[#This Row],[Dens]]&lt;=825,vp.tbl[[#This Row],[Sulf]]&gt;0.5,vp.tbl[[#This Row],[Unknown]]=0),1,0)</f>
        <v>0</v>
      </c>
      <c r="AA25">
        <f>IF(AND(vp.tbl[[#This Row],[CrudeType]]="Crude",vp.tbl[[#This Row],[Dens]]&lt;=825,vp.tbl[[#This Row],[Sulf]]&lt;=0.5,vp.tbl[[#This Row],[Unknown]]=0),1,0)</f>
        <v>0</v>
      </c>
      <c r="AB25">
        <f>IF(AND(vp.tbl[[#This Row],[CrudeType]]="Crude",vp.tbl[[#This Row],[Dens]]&gt;825,vp.tbl[[#This Row],[Dens]]&lt;=870,vp.tbl[[#This Row],[Sulf]]&gt;0.5,vp.tbl[[#This Row],[Unknown]]=0),1,0)</f>
        <v>1</v>
      </c>
      <c r="AC25">
        <f>IF(AND(vp.tbl[[#This Row],[CrudeType]]="Crude",vp.tbl[[#This Row],[Dens]]&gt;825,vp.tbl[[#This Row],[Dens]]&lt;=900,vp.tbl[[#This Row],[Sulf]]&lt;=0.5,vp.tbl[[#This Row],[Unknown]]=0),1,0)</f>
        <v>0</v>
      </c>
      <c r="AD25">
        <f>IF(AND(vp.tbl[[#This Row],[CrudeType]]="Crude",vp.tbl[[#This Row],[Dens]]&gt;870,vp.tbl[[#This Row],[Dens]]&lt;=900,vp.tbl[[#This Row],[Sulf]]&gt;0.5,vp.tbl[[#This Row],[Unknown]]=0),1,0)</f>
        <v>0</v>
      </c>
      <c r="AE25">
        <f>IF(AND(vp.tbl[[#This Row],[CrudeType]]="Crude",vp.tbl[[#This Row],[Dens]]&gt;900,vp.tbl[[#This Row],[Sulf]]&lt;=0.5,vp.tbl[[#This Row],[Unknown]]=0),1,0)</f>
        <v>0</v>
      </c>
      <c r="AF25">
        <f>IF(AND(vp.tbl[[#This Row],[CrudeType]]="Crude",vp.tbl[[#This Row],[Dens]]&gt;900,vp.tbl[[#This Row],[Sulf]]&lt;=0.5,vp.tbl[[#This Row],[Unknown]]=0),1,0)</f>
        <v>0</v>
      </c>
      <c r="AG25" t="str">
        <f>INDEX(vp.tbl[[#Headers],[Unknown]:[Heavy_SW]],MATCH(1,vp.tbl[[#This Row],[Unknown]:[Heavy_SW]],0))</f>
        <v>Medium_LSB</v>
      </c>
      <c r="AH25" t="e">
        <f>INDEX([1]!crudeBD.lkup[Number],MATCH(vp.tbl[[#This Row],[Crude_Breakdown]],[1]!crudeBD.lkup[Crude Breakdown],0))</f>
        <v>#REF!</v>
      </c>
      <c r="AI25">
        <f>MONTH(vp.tbl[[#This Row],[SDate]])</f>
        <v>10</v>
      </c>
      <c r="AJ25" s="5">
        <f>IFERROR(vp.tbl[[#This Row],[Sulf]]*vp.tbl[[#This Row],[Net Dens]],"")</f>
        <v>2418391.903523</v>
      </c>
      <c r="AK25" s="5">
        <f>IFERROR(vp.tbl[[#This Row],[Dens]]*vp.tbl[[#This Row],[VolumeM3]],"")</f>
        <v>1397914.3951000001</v>
      </c>
      <c r="AL25" s="5">
        <f>IFERROR(vp.tbl[[#This Row],[VP]]*vp.tbl[[#This Row],[VolumeM3]],"")</f>
        <v>117937.3832</v>
      </c>
      <c r="AM25" s="4">
        <f>IFERROR((vp.tbl[[#This Row],[VP]]-INDEX(crudeBD.lkup.complete[Mean_VP],MATCH(vp.tbl[[#This Row],[Crude_Breakdown]],crudeBD.lkup.complete[Crude Breakdown],0)))^2,"")</f>
        <v>54.369902290658047</v>
      </c>
      <c r="AN25" s="4">
        <f>IFERROR((vp.tbl[[#This Row],[Dens]]-INDEX(crudeBD.lkup.complete[Mean_Dens],MATCH(vp.tbl[[#This Row],[Crude_Breakdown]],crudeBD.lkup.complete[Crude Breakdown],0)))^2,"")</f>
        <v>310.0479048415657</v>
      </c>
      <c r="AO25" s="4">
        <f>IFERROR((vp.tbl[[#This Row],[Sulf]]-INDEX(crudeBD.lkup.complete[Mean_Sulf],MATCH(vp.tbl[[#This Row],[Crude_Breakdown]],crudeBD.lkup.complete[Crude Breakdown],0)))^2,"")</f>
        <v>7.5663581501790714E-2</v>
      </c>
      <c r="AP25">
        <f>IF(AND(vp.tbl[[#This Row],[SDate]]&gt;=DATE(YEAR(vp.tbl[[#This Row],[SDate]]),5,1),vp.tbl[[#This Row],[SDate]]&lt;=DATE(YEAR(vp.tbl[[#This Row],[SDate]]),9,15)),1,0)</f>
        <v>0</v>
      </c>
      <c r="AQ25" s="15">
        <f>IF(vp.tbl[[#This Row],[SDate]]&lt;DATE(2016,12,1),0,1)</f>
        <v>0</v>
      </c>
    </row>
    <row r="26" spans="1:43" x14ac:dyDescent="0.25">
      <c r="A26">
        <v>25</v>
      </c>
      <c r="B26" t="s">
        <v>49</v>
      </c>
      <c r="C26" t="s">
        <v>49</v>
      </c>
      <c r="D26" t="s">
        <v>70</v>
      </c>
      <c r="F26" s="1">
        <v>42304</v>
      </c>
      <c r="G26" s="2">
        <v>82.7</v>
      </c>
      <c r="H26" s="2"/>
      <c r="I26" s="2">
        <v>0.71</v>
      </c>
      <c r="J26" s="2"/>
      <c r="K26" s="2"/>
      <c r="L26" s="2"/>
      <c r="M26" s="2">
        <v>819.3</v>
      </c>
      <c r="N26" s="2">
        <f ca="1">INDEX(INDIRECT(_xlfn.CONCAT("weather.tbl[",N$1,"]")),MATCH(vp.tbl[[#This Row],[SDate]],weather.tbl[Date],0))</f>
        <v>3.1500000000000004</v>
      </c>
      <c r="O26" s="2">
        <f ca="1">INDEX(INDIRECT(_xlfn.CONCAT("weather.tbl[",O$1,"]")),MATCH(vp.tbl[[#This Row],[SDate]],weather.tbl[Date],0))</f>
        <v>5.6119047619047624</v>
      </c>
      <c r="P26" s="2">
        <f ca="1">INDEX(INDIRECT(_xlfn.CONCAT("weather.tbl[",P$1,"]")),MATCH(vp.tbl[[#This Row],[SDate]],weather.tbl[Date],0))</f>
        <v>3.4</v>
      </c>
      <c r="Q26" s="2">
        <f ca="1">INDEX(INDIRECT(_xlfn.CONCAT("weather.tbl[",Q$1,"]")),MATCH(vp.tbl[[#This Row],[SDate]],weather.tbl[Date],0))</f>
        <v>1.9</v>
      </c>
      <c r="R26" s="2">
        <f ca="1">INDEX(INDIRECT(_xlfn.CONCAT("weather.tbl[",R$1,"]")),MATCH(vp.tbl[[#This Row],[SDate]],weather.tbl[Date],0))</f>
        <v>3</v>
      </c>
      <c r="S26" s="2">
        <f ca="1">INDEX(INDIRECT(_xlfn.CONCAT("weather.tbl[",S$1,"]")),MATCH(vp.tbl[[#This Row],[SDate]],weather.tbl[Date],0))</f>
        <v>3.8</v>
      </c>
      <c r="T26" s="2">
        <f ca="1">INDEX(INDIRECT(_xlfn.CONCAT("weather.tbl[",T$1,"]")),MATCH(vp.tbl[[#This Row],[SDate]],weather.tbl[Date],0))</f>
        <v>4</v>
      </c>
      <c r="U26" s="2">
        <f ca="1">INDEX(INDIRECT(_xlfn.CONCAT("weather.tbl[",U$1,"]")),MATCH(vp.tbl[[#This Row],[SDate]],weather.tbl[Date],0))</f>
        <v>2.8</v>
      </c>
      <c r="V26" s="2">
        <v>3798.73</v>
      </c>
      <c r="W26" t="s">
        <v>48</v>
      </c>
      <c r="X26">
        <f>IF(OR(vp.tbl[[#This Row],[Sulf]]="",vp.tbl[[#This Row],[Dens]]=""),1,0)</f>
        <v>0</v>
      </c>
      <c r="Y26">
        <f>IF(vp.tbl[[#This Row],[CrudeType]]="C5+",1,0)</f>
        <v>0</v>
      </c>
      <c r="Z26">
        <f>IF(AND(vp.tbl[[#This Row],[CrudeType]]="Crude",vp.tbl[[#This Row],[Dens]]&lt;=825,vp.tbl[[#This Row],[Sulf]]&gt;0.5,vp.tbl[[#This Row],[Unknown]]=0),1,0)</f>
        <v>1</v>
      </c>
      <c r="AA26">
        <f>IF(AND(vp.tbl[[#This Row],[CrudeType]]="Crude",vp.tbl[[#This Row],[Dens]]&lt;=825,vp.tbl[[#This Row],[Sulf]]&lt;=0.5,vp.tbl[[#This Row],[Unknown]]=0),1,0)</f>
        <v>0</v>
      </c>
      <c r="AB26">
        <f>IF(AND(vp.tbl[[#This Row],[CrudeType]]="Crude",vp.tbl[[#This Row],[Dens]]&gt;825,vp.tbl[[#This Row],[Dens]]&lt;=870,vp.tbl[[#This Row],[Sulf]]&gt;0.5,vp.tbl[[#This Row],[Unknown]]=0),1,0)</f>
        <v>0</v>
      </c>
      <c r="AC26">
        <f>IF(AND(vp.tbl[[#This Row],[CrudeType]]="Crude",vp.tbl[[#This Row],[Dens]]&gt;825,vp.tbl[[#This Row],[Dens]]&lt;=900,vp.tbl[[#This Row],[Sulf]]&lt;=0.5,vp.tbl[[#This Row],[Unknown]]=0),1,0)</f>
        <v>0</v>
      </c>
      <c r="AD26">
        <f>IF(AND(vp.tbl[[#This Row],[CrudeType]]="Crude",vp.tbl[[#This Row],[Dens]]&gt;870,vp.tbl[[#This Row],[Dens]]&lt;=900,vp.tbl[[#This Row],[Sulf]]&gt;0.5,vp.tbl[[#This Row],[Unknown]]=0),1,0)</f>
        <v>0</v>
      </c>
      <c r="AE26">
        <f>IF(AND(vp.tbl[[#This Row],[CrudeType]]="Crude",vp.tbl[[#This Row],[Dens]]&gt;900,vp.tbl[[#This Row],[Sulf]]&lt;=0.5,vp.tbl[[#This Row],[Unknown]]=0),1,0)</f>
        <v>0</v>
      </c>
      <c r="AF26">
        <f>IF(AND(vp.tbl[[#This Row],[CrudeType]]="Crude",vp.tbl[[#This Row],[Dens]]&gt;900,vp.tbl[[#This Row],[Sulf]]&lt;=0.5,vp.tbl[[#This Row],[Unknown]]=0),1,0)</f>
        <v>0</v>
      </c>
      <c r="AG26" t="str">
        <f>INDEX(vp.tbl[[#Headers],[Unknown]:[Heavy_SW]],MATCH(1,vp.tbl[[#This Row],[Unknown]:[Heavy_SW]],0))</f>
        <v>Light_LSB</v>
      </c>
      <c r="AH26" t="e">
        <f>INDEX([1]!crudeBD.lkup[Number],MATCH(vp.tbl[[#This Row],[Crude_Breakdown]],[1]!crudeBD.lkup[Crude Breakdown],0))</f>
        <v>#REF!</v>
      </c>
      <c r="AI26">
        <f>MONTH(vp.tbl[[#This Row],[SDate]])</f>
        <v>10</v>
      </c>
      <c r="AJ26" s="5">
        <f>IFERROR(vp.tbl[[#This Row],[Sulf]]*vp.tbl[[#This Row],[Net Dens]],"")</f>
        <v>2209732.6371900002</v>
      </c>
      <c r="AK26" s="5">
        <f>IFERROR(vp.tbl[[#This Row],[Dens]]*vp.tbl[[#This Row],[VolumeM3]],"")</f>
        <v>3112299.4890000001</v>
      </c>
      <c r="AL26" s="5">
        <f>IFERROR(vp.tbl[[#This Row],[VP]]*vp.tbl[[#This Row],[VolumeM3]],"")</f>
        <v>314154.97100000002</v>
      </c>
      <c r="AM26" s="4">
        <f>IFERROR((vp.tbl[[#This Row],[VP]]-INDEX(crudeBD.lkup.complete[Mean_VP],MATCH(vp.tbl[[#This Row],[Crude_Breakdown]],crudeBD.lkup.complete[Crude Breakdown],0)))^2,"")</f>
        <v>78.254999085982007</v>
      </c>
      <c r="AN26" s="4">
        <f>IFERROR((vp.tbl[[#This Row],[Dens]]-INDEX(crudeBD.lkup.complete[Mean_Dens],MATCH(vp.tbl[[#This Row],[Crude_Breakdown]],crudeBD.lkup.complete[Crude Breakdown],0)))^2,"")</f>
        <v>0.61344960971216256</v>
      </c>
      <c r="AO26" s="4">
        <f>IFERROR((vp.tbl[[#This Row],[Sulf]]-INDEX(crudeBD.lkup.complete[Mean_Sulf],MATCH(vp.tbl[[#This Row],[Crude_Breakdown]],crudeBD.lkup.complete[Crude Breakdown],0)))^2,"")</f>
        <v>4.5356718563220697E-2</v>
      </c>
      <c r="AP26">
        <f>IF(AND(vp.tbl[[#This Row],[SDate]]&gt;=DATE(YEAR(vp.tbl[[#This Row],[SDate]]),5,1),vp.tbl[[#This Row],[SDate]]&lt;=DATE(YEAR(vp.tbl[[#This Row],[SDate]]),9,15)),1,0)</f>
        <v>0</v>
      </c>
      <c r="AQ26" s="15">
        <f>IF(vp.tbl[[#This Row],[SDate]]&lt;DATE(2016,12,1),0,1)</f>
        <v>0</v>
      </c>
    </row>
    <row r="27" spans="1:43" x14ac:dyDescent="0.25">
      <c r="A27">
        <v>26</v>
      </c>
      <c r="B27" t="s">
        <v>56</v>
      </c>
      <c r="C27" t="s">
        <v>56</v>
      </c>
      <c r="D27" t="s">
        <v>57</v>
      </c>
      <c r="F27" s="1">
        <v>42305</v>
      </c>
      <c r="G27" s="2">
        <v>115.4</v>
      </c>
      <c r="H27" s="2"/>
      <c r="I27" s="2">
        <v>1.44</v>
      </c>
      <c r="J27" s="2"/>
      <c r="K27" s="2"/>
      <c r="L27" s="2">
        <v>837.5</v>
      </c>
      <c r="M27" s="2">
        <v>837.5</v>
      </c>
      <c r="N27" s="2">
        <f ca="1">INDEX(INDIRECT(_xlfn.CONCAT("weather.tbl[",N$1,"]")),MATCH(vp.tbl[[#This Row],[SDate]],weather.tbl[Date],0))</f>
        <v>0.83333333333333337</v>
      </c>
      <c r="O27" s="2">
        <f ca="1">INDEX(INDIRECT(_xlfn.CONCAT("weather.tbl[",O$1,"]")),MATCH(vp.tbl[[#This Row],[SDate]],weather.tbl[Date],0))</f>
        <v>4.6642857142857155</v>
      </c>
      <c r="P27" s="2">
        <f ca="1">INDEX(INDIRECT(_xlfn.CONCAT("weather.tbl[",P$1,"]")),MATCH(vp.tbl[[#This Row],[SDate]],weather.tbl[Date],0))</f>
        <v>0.8</v>
      </c>
      <c r="Q27" s="2">
        <f ca="1">INDEX(INDIRECT(_xlfn.CONCAT("weather.tbl[",Q$1,"]")),MATCH(vp.tbl[[#This Row],[SDate]],weather.tbl[Date],0))</f>
        <v>0.8</v>
      </c>
      <c r="R27" s="2">
        <f ca="1">INDEX(INDIRECT(_xlfn.CONCAT("weather.tbl[",R$1,"]")),MATCH(vp.tbl[[#This Row],[SDate]],weather.tbl[Date],0))</f>
        <v>3</v>
      </c>
      <c r="S27" s="2">
        <f ca="1">INDEX(INDIRECT(_xlfn.CONCAT("weather.tbl[",S$1,"]")),MATCH(vp.tbl[[#This Row],[SDate]],weather.tbl[Date],0))</f>
        <v>0.5</v>
      </c>
      <c r="T27" s="2">
        <f ca="1">INDEX(INDIRECT(_xlfn.CONCAT("weather.tbl[",T$1,"]")),MATCH(vp.tbl[[#This Row],[SDate]],weather.tbl[Date],0))</f>
        <v>1</v>
      </c>
      <c r="U27" s="2">
        <f ca="1">INDEX(INDIRECT(_xlfn.CONCAT("weather.tbl[",U$1,"]")),MATCH(vp.tbl[[#This Row],[SDate]],weather.tbl[Date],0))</f>
        <v>-1.1000000000000001</v>
      </c>
      <c r="V27" s="2">
        <v>4182.07</v>
      </c>
      <c r="W27" t="s">
        <v>48</v>
      </c>
      <c r="X27">
        <f>IF(OR(vp.tbl[[#This Row],[Sulf]]="",vp.tbl[[#This Row],[Dens]]=""),1,0)</f>
        <v>0</v>
      </c>
      <c r="Y27">
        <f>IF(vp.tbl[[#This Row],[CrudeType]]="C5+",1,0)</f>
        <v>0</v>
      </c>
      <c r="Z27">
        <f>IF(AND(vp.tbl[[#This Row],[CrudeType]]="Crude",vp.tbl[[#This Row],[Dens]]&lt;=825,vp.tbl[[#This Row],[Sulf]]&gt;0.5,vp.tbl[[#This Row],[Unknown]]=0),1,0)</f>
        <v>0</v>
      </c>
      <c r="AA27">
        <f>IF(AND(vp.tbl[[#This Row],[CrudeType]]="Crude",vp.tbl[[#This Row],[Dens]]&lt;=825,vp.tbl[[#This Row],[Sulf]]&lt;=0.5,vp.tbl[[#This Row],[Unknown]]=0),1,0)</f>
        <v>0</v>
      </c>
      <c r="AB27">
        <f>IF(AND(vp.tbl[[#This Row],[CrudeType]]="Crude",vp.tbl[[#This Row],[Dens]]&gt;825,vp.tbl[[#This Row],[Dens]]&lt;=870,vp.tbl[[#This Row],[Sulf]]&gt;0.5,vp.tbl[[#This Row],[Unknown]]=0),1,0)</f>
        <v>1</v>
      </c>
      <c r="AC27">
        <f>IF(AND(vp.tbl[[#This Row],[CrudeType]]="Crude",vp.tbl[[#This Row],[Dens]]&gt;825,vp.tbl[[#This Row],[Dens]]&lt;=900,vp.tbl[[#This Row],[Sulf]]&lt;=0.5,vp.tbl[[#This Row],[Unknown]]=0),1,0)</f>
        <v>0</v>
      </c>
      <c r="AD27">
        <f>IF(AND(vp.tbl[[#This Row],[CrudeType]]="Crude",vp.tbl[[#This Row],[Dens]]&gt;870,vp.tbl[[#This Row],[Dens]]&lt;=900,vp.tbl[[#This Row],[Sulf]]&gt;0.5,vp.tbl[[#This Row],[Unknown]]=0),1,0)</f>
        <v>0</v>
      </c>
      <c r="AE27">
        <f>IF(AND(vp.tbl[[#This Row],[CrudeType]]="Crude",vp.tbl[[#This Row],[Dens]]&gt;900,vp.tbl[[#This Row],[Sulf]]&lt;=0.5,vp.tbl[[#This Row],[Unknown]]=0),1,0)</f>
        <v>0</v>
      </c>
      <c r="AF27">
        <f>IF(AND(vp.tbl[[#This Row],[CrudeType]]="Crude",vp.tbl[[#This Row],[Dens]]&gt;900,vp.tbl[[#This Row],[Sulf]]&lt;=0.5,vp.tbl[[#This Row],[Unknown]]=0),1,0)</f>
        <v>0</v>
      </c>
      <c r="AG27" t="str">
        <f>INDEX(vp.tbl[[#Headers],[Unknown]:[Heavy_SW]],MATCH(1,vp.tbl[[#This Row],[Unknown]:[Heavy_SW]],0))</f>
        <v>Medium_LSB</v>
      </c>
      <c r="AH27" t="e">
        <f>INDEX([1]!crudeBD.lkup[Number],MATCH(vp.tbl[[#This Row],[Crude_Breakdown]],[1]!crudeBD.lkup[Crude Breakdown],0))</f>
        <v>#REF!</v>
      </c>
      <c r="AI27">
        <f>MONTH(vp.tbl[[#This Row],[SDate]])</f>
        <v>10</v>
      </c>
      <c r="AJ27" s="5">
        <f>IFERROR(vp.tbl[[#This Row],[Sulf]]*vp.tbl[[#This Row],[Net Dens]],"")</f>
        <v>5043576.419999999</v>
      </c>
      <c r="AK27" s="5">
        <f>IFERROR(vp.tbl[[#This Row],[Dens]]*vp.tbl[[#This Row],[VolumeM3]],"")</f>
        <v>3502483.6249999995</v>
      </c>
      <c r="AL27" s="5">
        <f>IFERROR(vp.tbl[[#This Row],[VP]]*vp.tbl[[#This Row],[VolumeM3]],"")</f>
        <v>482610.87799999997</v>
      </c>
      <c r="AM27" s="4">
        <f>IFERROR((vp.tbl[[#This Row],[VP]]-INDEX(crudeBD.lkup.complete[Mean_VP],MATCH(vp.tbl[[#This Row],[Crude_Breakdown]],crudeBD.lkup.complete[Crude Breakdown],0)))^2,"")</f>
        <v>1240.8996136830667</v>
      </c>
      <c r="AN27" s="4">
        <f>IFERROR((vp.tbl[[#This Row],[Dens]]-INDEX(crudeBD.lkup.complete[Mean_Dens],MATCH(vp.tbl[[#This Row],[Crude_Breakdown]],crudeBD.lkup.complete[Crude Breakdown],0)))^2,"")</f>
        <v>60.712502309870892</v>
      </c>
      <c r="AO27" s="4">
        <f>IFERROR((vp.tbl[[#This Row],[Sulf]]-INDEX(crudeBD.lkup.complete[Mean_Sulf],MATCH(vp.tbl[[#This Row],[Crude_Breakdown]],crudeBD.lkup.complete[Crude Breakdown],0)))^2,"")</f>
        <v>2.2290074229791476E-4</v>
      </c>
      <c r="AP27">
        <f>IF(AND(vp.tbl[[#This Row],[SDate]]&gt;=DATE(YEAR(vp.tbl[[#This Row],[SDate]]),5,1),vp.tbl[[#This Row],[SDate]]&lt;=DATE(YEAR(vp.tbl[[#This Row],[SDate]]),9,15)),1,0)</f>
        <v>0</v>
      </c>
      <c r="AQ27" s="15">
        <f>IF(vp.tbl[[#This Row],[SDate]]&lt;DATE(2016,12,1),0,1)</f>
        <v>0</v>
      </c>
    </row>
    <row r="28" spans="1:43" x14ac:dyDescent="0.25">
      <c r="A28">
        <v>27</v>
      </c>
      <c r="B28" t="s">
        <v>53</v>
      </c>
      <c r="C28" t="s">
        <v>53</v>
      </c>
      <c r="D28" t="s">
        <v>54</v>
      </c>
      <c r="E28" t="s">
        <v>55</v>
      </c>
      <c r="F28" s="1">
        <v>42306</v>
      </c>
      <c r="G28" s="2">
        <v>83.8</v>
      </c>
      <c r="H28" s="2"/>
      <c r="I28" s="2">
        <v>2.02</v>
      </c>
      <c r="J28" s="2"/>
      <c r="K28" s="2"/>
      <c r="L28" s="2">
        <v>850.4</v>
      </c>
      <c r="M28" s="2">
        <v>850.4</v>
      </c>
      <c r="N28" s="2">
        <f ca="1">INDEX(INDIRECT(_xlfn.CONCAT("weather.tbl[",N$1,"]")),MATCH(vp.tbl[[#This Row],[SDate]],weather.tbl[Date],0))</f>
        <v>0.33333333333333331</v>
      </c>
      <c r="O28" s="2">
        <f ca="1">INDEX(INDIRECT(_xlfn.CONCAT("weather.tbl[",O$1,"]")),MATCH(vp.tbl[[#This Row],[SDate]],weather.tbl[Date],0))</f>
        <v>3.3785714285714286</v>
      </c>
      <c r="P28" s="2">
        <f ca="1">INDEX(INDIRECT(_xlfn.CONCAT("weather.tbl[",P$1,"]")),MATCH(vp.tbl[[#This Row],[SDate]],weather.tbl[Date],0))</f>
        <v>-1.2</v>
      </c>
      <c r="Q28" s="2">
        <f ca="1">INDEX(INDIRECT(_xlfn.CONCAT("weather.tbl[",Q$1,"]")),MATCH(vp.tbl[[#This Row],[SDate]],weather.tbl[Date],0))</f>
        <v>-0.1</v>
      </c>
      <c r="R28" s="2">
        <f ca="1">INDEX(INDIRECT(_xlfn.CONCAT("weather.tbl[",R$1,"]")),MATCH(vp.tbl[[#This Row],[SDate]],weather.tbl[Date],0))</f>
        <v>3</v>
      </c>
      <c r="S28" s="2">
        <f ca="1">INDEX(INDIRECT(_xlfn.CONCAT("weather.tbl[",S$1,"]")),MATCH(vp.tbl[[#This Row],[SDate]],weather.tbl[Date],0))</f>
        <v>1.5</v>
      </c>
      <c r="T28" s="2">
        <f ca="1">INDEX(INDIRECT(_xlfn.CONCAT("weather.tbl[",T$1,"]")),MATCH(vp.tbl[[#This Row],[SDate]],weather.tbl[Date],0))</f>
        <v>-0.5</v>
      </c>
      <c r="U28" s="2">
        <f ca="1">INDEX(INDIRECT(_xlfn.CONCAT("weather.tbl[",U$1,"]")),MATCH(vp.tbl[[#This Row],[SDate]],weather.tbl[Date],0))</f>
        <v>-0.7</v>
      </c>
      <c r="V28" s="2">
        <v>65534.339</v>
      </c>
      <c r="W28" t="s">
        <v>48</v>
      </c>
      <c r="X28">
        <f>IF(OR(vp.tbl[[#This Row],[Sulf]]="",vp.tbl[[#This Row],[Dens]]=""),1,0)</f>
        <v>0</v>
      </c>
      <c r="Y28">
        <f>IF(vp.tbl[[#This Row],[CrudeType]]="C5+",1,0)</f>
        <v>0</v>
      </c>
      <c r="Z28">
        <f>IF(AND(vp.tbl[[#This Row],[CrudeType]]="Crude",vp.tbl[[#This Row],[Dens]]&lt;=825,vp.tbl[[#This Row],[Sulf]]&gt;0.5,vp.tbl[[#This Row],[Unknown]]=0),1,0)</f>
        <v>0</v>
      </c>
      <c r="AA28">
        <f>IF(AND(vp.tbl[[#This Row],[CrudeType]]="Crude",vp.tbl[[#This Row],[Dens]]&lt;=825,vp.tbl[[#This Row],[Sulf]]&lt;=0.5,vp.tbl[[#This Row],[Unknown]]=0),1,0)</f>
        <v>0</v>
      </c>
      <c r="AB28">
        <f>IF(AND(vp.tbl[[#This Row],[CrudeType]]="Crude",vp.tbl[[#This Row],[Dens]]&gt;825,vp.tbl[[#This Row],[Dens]]&lt;=870,vp.tbl[[#This Row],[Sulf]]&gt;0.5,vp.tbl[[#This Row],[Unknown]]=0),1,0)</f>
        <v>1</v>
      </c>
      <c r="AC28">
        <f>IF(AND(vp.tbl[[#This Row],[CrudeType]]="Crude",vp.tbl[[#This Row],[Dens]]&gt;825,vp.tbl[[#This Row],[Dens]]&lt;=900,vp.tbl[[#This Row],[Sulf]]&lt;=0.5,vp.tbl[[#This Row],[Unknown]]=0),1,0)</f>
        <v>0</v>
      </c>
      <c r="AD28">
        <f>IF(AND(vp.tbl[[#This Row],[CrudeType]]="Crude",vp.tbl[[#This Row],[Dens]]&gt;870,vp.tbl[[#This Row],[Dens]]&lt;=900,vp.tbl[[#This Row],[Sulf]]&gt;0.5,vp.tbl[[#This Row],[Unknown]]=0),1,0)</f>
        <v>0</v>
      </c>
      <c r="AE28">
        <f>IF(AND(vp.tbl[[#This Row],[CrudeType]]="Crude",vp.tbl[[#This Row],[Dens]]&gt;900,vp.tbl[[#This Row],[Sulf]]&lt;=0.5,vp.tbl[[#This Row],[Unknown]]=0),1,0)</f>
        <v>0</v>
      </c>
      <c r="AF28">
        <f>IF(AND(vp.tbl[[#This Row],[CrudeType]]="Crude",vp.tbl[[#This Row],[Dens]]&gt;900,vp.tbl[[#This Row],[Sulf]]&lt;=0.5,vp.tbl[[#This Row],[Unknown]]=0),1,0)</f>
        <v>0</v>
      </c>
      <c r="AG28" t="str">
        <f>INDEX(vp.tbl[[#Headers],[Unknown]:[Heavy_SW]],MATCH(1,vp.tbl[[#This Row],[Unknown]:[Heavy_SW]],0))</f>
        <v>Medium_LSB</v>
      </c>
      <c r="AH28" t="e">
        <f>INDEX([1]!crudeBD.lkup[Number],MATCH(vp.tbl[[#This Row],[Crude_Breakdown]],[1]!crudeBD.lkup[Crude Breakdown],0))</f>
        <v>#REF!</v>
      </c>
      <c r="AI28">
        <f>MONTH(vp.tbl[[#This Row],[SDate]])</f>
        <v>10</v>
      </c>
      <c r="AJ28" s="5">
        <f>IFERROR(vp.tbl[[#This Row],[Sulf]]*vp.tbl[[#This Row],[Net Dens]],"")</f>
        <v>112575411.80891201</v>
      </c>
      <c r="AK28" s="5">
        <f>IFERROR(vp.tbl[[#This Row],[Dens]]*vp.tbl[[#This Row],[VolumeM3]],"")</f>
        <v>55730401.885600001</v>
      </c>
      <c r="AL28" s="5">
        <f>IFERROR(vp.tbl[[#This Row],[VP]]*vp.tbl[[#This Row],[VolumeM3]],"")</f>
        <v>5491777.6081999997</v>
      </c>
      <c r="AM28" s="4">
        <f>IFERROR((vp.tbl[[#This Row],[VP]]-INDEX(crudeBD.lkup.complete[Mean_VP],MATCH(vp.tbl[[#This Row],[Crude_Breakdown]],crudeBD.lkup.complete[Crude Breakdown],0)))^2,"")</f>
        <v>13.150813683063859</v>
      </c>
      <c r="AN28" s="4">
        <f>IFERROR((vp.tbl[[#This Row],[Dens]]-INDEX(crudeBD.lkup.complete[Mean_Dens],MATCH(vp.tbl[[#This Row],[Crude_Breakdown]],crudeBD.lkup.complete[Crude Breakdown],0)))^2,"")</f>
        <v>26.093474461794798</v>
      </c>
      <c r="AO28" s="4">
        <f>IFERROR((vp.tbl[[#This Row],[Sulf]]-INDEX(crudeBD.lkup.complete[Mean_Sulf],MATCH(vp.tbl[[#This Row],[Crude_Breakdown]],crudeBD.lkup.complete[Crude Breakdown],0)))^2,"")</f>
        <v>0.31930426226128356</v>
      </c>
      <c r="AP28">
        <f>IF(AND(vp.tbl[[#This Row],[SDate]]&gt;=DATE(YEAR(vp.tbl[[#This Row],[SDate]]),5,1),vp.tbl[[#This Row],[SDate]]&lt;=DATE(YEAR(vp.tbl[[#This Row],[SDate]]),9,15)),1,0)</f>
        <v>0</v>
      </c>
      <c r="AQ28" s="15">
        <f>IF(vp.tbl[[#This Row],[SDate]]&lt;DATE(2016,12,1),0,1)</f>
        <v>0</v>
      </c>
    </row>
    <row r="29" spans="1:43" x14ac:dyDescent="0.25">
      <c r="A29">
        <v>28</v>
      </c>
      <c r="B29" t="s">
        <v>49</v>
      </c>
      <c r="C29" t="s">
        <v>49</v>
      </c>
      <c r="D29" t="s">
        <v>50</v>
      </c>
      <c r="F29" s="1">
        <v>42306</v>
      </c>
      <c r="G29" s="2">
        <v>82.9</v>
      </c>
      <c r="H29" s="2"/>
      <c r="I29" s="2">
        <v>2.59</v>
      </c>
      <c r="J29" s="2"/>
      <c r="K29" s="2"/>
      <c r="L29" s="2">
        <v>870.5</v>
      </c>
      <c r="M29" s="2">
        <v>870.5</v>
      </c>
      <c r="N29" s="2">
        <f ca="1">INDEX(INDIRECT(_xlfn.CONCAT("weather.tbl[",N$1,"]")),MATCH(vp.tbl[[#This Row],[SDate]],weather.tbl[Date],0))</f>
        <v>0.33333333333333331</v>
      </c>
      <c r="O29" s="2">
        <f ca="1">INDEX(INDIRECT(_xlfn.CONCAT("weather.tbl[",O$1,"]")),MATCH(vp.tbl[[#This Row],[SDate]],weather.tbl[Date],0))</f>
        <v>3.3785714285714286</v>
      </c>
      <c r="P29" s="2">
        <f ca="1">INDEX(INDIRECT(_xlfn.CONCAT("weather.tbl[",P$1,"]")),MATCH(vp.tbl[[#This Row],[SDate]],weather.tbl[Date],0))</f>
        <v>-1.2</v>
      </c>
      <c r="Q29" s="2">
        <f ca="1">INDEX(INDIRECT(_xlfn.CONCAT("weather.tbl[",Q$1,"]")),MATCH(vp.tbl[[#This Row],[SDate]],weather.tbl[Date],0))</f>
        <v>-0.1</v>
      </c>
      <c r="R29" s="2">
        <f ca="1">INDEX(INDIRECT(_xlfn.CONCAT("weather.tbl[",R$1,"]")),MATCH(vp.tbl[[#This Row],[SDate]],weather.tbl[Date],0))</f>
        <v>3</v>
      </c>
      <c r="S29" s="2">
        <f ca="1">INDEX(INDIRECT(_xlfn.CONCAT("weather.tbl[",S$1,"]")),MATCH(vp.tbl[[#This Row],[SDate]],weather.tbl[Date],0))</f>
        <v>1.5</v>
      </c>
      <c r="T29" s="2">
        <f ca="1">INDEX(INDIRECT(_xlfn.CONCAT("weather.tbl[",T$1,"]")),MATCH(vp.tbl[[#This Row],[SDate]],weather.tbl[Date],0))</f>
        <v>-0.5</v>
      </c>
      <c r="U29" s="2">
        <f ca="1">INDEX(INDIRECT(_xlfn.CONCAT("weather.tbl[",U$1,"]")),MATCH(vp.tbl[[#This Row],[SDate]],weather.tbl[Date],0))</f>
        <v>-0.7</v>
      </c>
      <c r="V29" s="2">
        <v>7328.8639999999996</v>
      </c>
      <c r="W29" t="s">
        <v>48</v>
      </c>
      <c r="X29">
        <f>IF(OR(vp.tbl[[#This Row],[Sulf]]="",vp.tbl[[#This Row],[Dens]]=""),1,0)</f>
        <v>0</v>
      </c>
      <c r="Y29">
        <f>IF(vp.tbl[[#This Row],[CrudeType]]="C5+",1,0)</f>
        <v>0</v>
      </c>
      <c r="Z29">
        <f>IF(AND(vp.tbl[[#This Row],[CrudeType]]="Crude",vp.tbl[[#This Row],[Dens]]&lt;=825,vp.tbl[[#This Row],[Sulf]]&gt;0.5,vp.tbl[[#This Row],[Unknown]]=0),1,0)</f>
        <v>0</v>
      </c>
      <c r="AA29">
        <f>IF(AND(vp.tbl[[#This Row],[CrudeType]]="Crude",vp.tbl[[#This Row],[Dens]]&lt;=825,vp.tbl[[#This Row],[Sulf]]&lt;=0.5,vp.tbl[[#This Row],[Unknown]]=0),1,0)</f>
        <v>0</v>
      </c>
      <c r="AB29">
        <f>IF(AND(vp.tbl[[#This Row],[CrudeType]]="Crude",vp.tbl[[#This Row],[Dens]]&gt;825,vp.tbl[[#This Row],[Dens]]&lt;=870,vp.tbl[[#This Row],[Sulf]]&gt;0.5,vp.tbl[[#This Row],[Unknown]]=0),1,0)</f>
        <v>0</v>
      </c>
      <c r="AC29">
        <f>IF(AND(vp.tbl[[#This Row],[CrudeType]]="Crude",vp.tbl[[#This Row],[Dens]]&gt;825,vp.tbl[[#This Row],[Dens]]&lt;=900,vp.tbl[[#This Row],[Sulf]]&lt;=0.5,vp.tbl[[#This Row],[Unknown]]=0),1,0)</f>
        <v>0</v>
      </c>
      <c r="AD29">
        <f>IF(AND(vp.tbl[[#This Row],[CrudeType]]="Crude",vp.tbl[[#This Row],[Dens]]&gt;870,vp.tbl[[#This Row],[Dens]]&lt;=900,vp.tbl[[#This Row],[Sulf]]&gt;0.5,vp.tbl[[#This Row],[Unknown]]=0),1,0)</f>
        <v>1</v>
      </c>
      <c r="AE29">
        <f>IF(AND(vp.tbl[[#This Row],[CrudeType]]="Crude",vp.tbl[[#This Row],[Dens]]&gt;900,vp.tbl[[#This Row],[Sulf]]&lt;=0.5,vp.tbl[[#This Row],[Unknown]]=0),1,0)</f>
        <v>0</v>
      </c>
      <c r="AF29">
        <f>IF(AND(vp.tbl[[#This Row],[CrudeType]]="Crude",vp.tbl[[#This Row],[Dens]]&gt;900,vp.tbl[[#This Row],[Sulf]]&lt;=0.5,vp.tbl[[#This Row],[Unknown]]=0),1,0)</f>
        <v>0</v>
      </c>
      <c r="AG29" t="str">
        <f>INDEX(vp.tbl[[#Headers],[Unknown]:[Heavy_SW]],MATCH(1,vp.tbl[[#This Row],[Unknown]:[Heavy_SW]],0))</f>
        <v>Midale</v>
      </c>
      <c r="AH29" t="e">
        <f>INDEX([1]!crudeBD.lkup[Number],MATCH(vp.tbl[[#This Row],[Crude_Breakdown]],[1]!crudeBD.lkup[Crude Breakdown],0))</f>
        <v>#REF!</v>
      </c>
      <c r="AI29">
        <f>MONTH(vp.tbl[[#This Row],[SDate]])</f>
        <v>10</v>
      </c>
      <c r="AJ29" s="5">
        <f>IFERROR(vp.tbl[[#This Row],[Sulf]]*vp.tbl[[#This Row],[Net Dens]],"")</f>
        <v>16523620.130079998</v>
      </c>
      <c r="AK29" s="5">
        <f>IFERROR(vp.tbl[[#This Row],[Dens]]*vp.tbl[[#This Row],[VolumeM3]],"")</f>
        <v>6379776.1119999997</v>
      </c>
      <c r="AL29" s="5">
        <f>IFERROR(vp.tbl[[#This Row],[VP]]*vp.tbl[[#This Row],[VolumeM3]],"")</f>
        <v>607562.82559999998</v>
      </c>
      <c r="AM29" s="4">
        <f>IFERROR((vp.tbl[[#This Row],[VP]]-INDEX(crudeBD.lkup.complete[Mean_VP],MATCH(vp.tbl[[#This Row],[Crude_Breakdown]],crudeBD.lkup.complete[Crude Breakdown],0)))^2,"")</f>
        <v>214.9637999624693</v>
      </c>
      <c r="AN29" s="4">
        <f>IFERROR((vp.tbl[[#This Row],[Dens]]-INDEX(crudeBD.lkup.complete[Mean_Dens],MATCH(vp.tbl[[#This Row],[Crude_Breakdown]],crudeBD.lkup.complete[Crude Breakdown],0)))^2,"")</f>
        <v>49.73147682491598</v>
      </c>
      <c r="AO29" s="4">
        <f>IFERROR((vp.tbl[[#This Row],[Sulf]]-INDEX(crudeBD.lkup.complete[Mean_Sulf],MATCH(vp.tbl[[#This Row],[Crude_Breakdown]],crudeBD.lkup.complete[Crude Breakdown],0)))^2,"")</f>
        <v>3.0506067747964355E-2</v>
      </c>
      <c r="AP29">
        <f>IF(AND(vp.tbl[[#This Row],[SDate]]&gt;=DATE(YEAR(vp.tbl[[#This Row],[SDate]]),5,1),vp.tbl[[#This Row],[SDate]]&lt;=DATE(YEAR(vp.tbl[[#This Row],[SDate]]),9,15)),1,0)</f>
        <v>0</v>
      </c>
      <c r="AQ29" s="15">
        <f>IF(vp.tbl[[#This Row],[SDate]]&lt;DATE(2016,12,1),0,1)</f>
        <v>0</v>
      </c>
    </row>
    <row r="30" spans="1:43" x14ac:dyDescent="0.25">
      <c r="A30">
        <v>29</v>
      </c>
      <c r="B30" t="s">
        <v>46</v>
      </c>
      <c r="C30" t="s">
        <v>46</v>
      </c>
      <c r="D30" t="s">
        <v>47</v>
      </c>
      <c r="F30" s="1">
        <v>42306</v>
      </c>
      <c r="G30" s="2">
        <v>80.8</v>
      </c>
      <c r="H30" s="2"/>
      <c r="I30" s="2">
        <v>2.41</v>
      </c>
      <c r="J30" s="2"/>
      <c r="K30" s="2"/>
      <c r="L30" s="2">
        <v>872.5</v>
      </c>
      <c r="M30" s="2">
        <v>872.5</v>
      </c>
      <c r="N30" s="2">
        <f ca="1">INDEX(INDIRECT(_xlfn.CONCAT("weather.tbl[",N$1,"]")),MATCH(vp.tbl[[#This Row],[SDate]],weather.tbl[Date],0))</f>
        <v>0.33333333333333331</v>
      </c>
      <c r="O30" s="2">
        <f ca="1">INDEX(INDIRECT(_xlfn.CONCAT("weather.tbl[",O$1,"]")),MATCH(vp.tbl[[#This Row],[SDate]],weather.tbl[Date],0))</f>
        <v>3.3785714285714286</v>
      </c>
      <c r="P30" s="2">
        <f ca="1">INDEX(INDIRECT(_xlfn.CONCAT("weather.tbl[",P$1,"]")),MATCH(vp.tbl[[#This Row],[SDate]],weather.tbl[Date],0))</f>
        <v>-1.2</v>
      </c>
      <c r="Q30" s="2">
        <f ca="1">INDEX(INDIRECT(_xlfn.CONCAT("weather.tbl[",Q$1,"]")),MATCH(vp.tbl[[#This Row],[SDate]],weather.tbl[Date],0))</f>
        <v>-0.1</v>
      </c>
      <c r="R30" s="2">
        <f ca="1">INDEX(INDIRECT(_xlfn.CONCAT("weather.tbl[",R$1,"]")),MATCH(vp.tbl[[#This Row],[SDate]],weather.tbl[Date],0))</f>
        <v>3</v>
      </c>
      <c r="S30" s="2">
        <f ca="1">INDEX(INDIRECT(_xlfn.CONCAT("weather.tbl[",S$1,"]")),MATCH(vp.tbl[[#This Row],[SDate]],weather.tbl[Date],0))</f>
        <v>1.5</v>
      </c>
      <c r="T30" s="2">
        <f ca="1">INDEX(INDIRECT(_xlfn.CONCAT("weather.tbl[",T$1,"]")),MATCH(vp.tbl[[#This Row],[SDate]],weather.tbl[Date],0))</f>
        <v>-0.5</v>
      </c>
      <c r="U30" s="2">
        <f ca="1">INDEX(INDIRECT(_xlfn.CONCAT("weather.tbl[",U$1,"]")),MATCH(vp.tbl[[#This Row],[SDate]],weather.tbl[Date],0))</f>
        <v>-0.7</v>
      </c>
      <c r="V30" s="2">
        <v>115049.71</v>
      </c>
      <c r="W30" t="s">
        <v>48</v>
      </c>
      <c r="X30">
        <f>IF(OR(vp.tbl[[#This Row],[Sulf]]="",vp.tbl[[#This Row],[Dens]]=""),1,0)</f>
        <v>0</v>
      </c>
      <c r="Y30">
        <f>IF(vp.tbl[[#This Row],[CrudeType]]="C5+",1,0)</f>
        <v>0</v>
      </c>
      <c r="Z30">
        <f>IF(AND(vp.tbl[[#This Row],[CrudeType]]="Crude",vp.tbl[[#This Row],[Dens]]&lt;=825,vp.tbl[[#This Row],[Sulf]]&gt;0.5,vp.tbl[[#This Row],[Unknown]]=0),1,0)</f>
        <v>0</v>
      </c>
      <c r="AA30">
        <f>IF(AND(vp.tbl[[#This Row],[CrudeType]]="Crude",vp.tbl[[#This Row],[Dens]]&lt;=825,vp.tbl[[#This Row],[Sulf]]&lt;=0.5,vp.tbl[[#This Row],[Unknown]]=0),1,0)</f>
        <v>0</v>
      </c>
      <c r="AB30">
        <f>IF(AND(vp.tbl[[#This Row],[CrudeType]]="Crude",vp.tbl[[#This Row],[Dens]]&gt;825,vp.tbl[[#This Row],[Dens]]&lt;=870,vp.tbl[[#This Row],[Sulf]]&gt;0.5,vp.tbl[[#This Row],[Unknown]]=0),1,0)</f>
        <v>0</v>
      </c>
      <c r="AC30">
        <f>IF(AND(vp.tbl[[#This Row],[CrudeType]]="Crude",vp.tbl[[#This Row],[Dens]]&gt;825,vp.tbl[[#This Row],[Dens]]&lt;=900,vp.tbl[[#This Row],[Sulf]]&lt;=0.5,vp.tbl[[#This Row],[Unknown]]=0),1,0)</f>
        <v>0</v>
      </c>
      <c r="AD30">
        <f>IF(AND(vp.tbl[[#This Row],[CrudeType]]="Crude",vp.tbl[[#This Row],[Dens]]&gt;870,vp.tbl[[#This Row],[Dens]]&lt;=900,vp.tbl[[#This Row],[Sulf]]&gt;0.5,vp.tbl[[#This Row],[Unknown]]=0),1,0)</f>
        <v>1</v>
      </c>
      <c r="AE30">
        <f>IF(AND(vp.tbl[[#This Row],[CrudeType]]="Crude",vp.tbl[[#This Row],[Dens]]&gt;900,vp.tbl[[#This Row],[Sulf]]&lt;=0.5,vp.tbl[[#This Row],[Unknown]]=0),1,0)</f>
        <v>0</v>
      </c>
      <c r="AF30">
        <f>IF(AND(vp.tbl[[#This Row],[CrudeType]]="Crude",vp.tbl[[#This Row],[Dens]]&gt;900,vp.tbl[[#This Row],[Sulf]]&lt;=0.5,vp.tbl[[#This Row],[Unknown]]=0),1,0)</f>
        <v>0</v>
      </c>
      <c r="AG30" t="str">
        <f>INDEX(vp.tbl[[#Headers],[Unknown]:[Heavy_SW]],MATCH(1,vp.tbl[[#This Row],[Unknown]:[Heavy_SW]],0))</f>
        <v>Midale</v>
      </c>
      <c r="AH30" t="e">
        <f>INDEX([1]!crudeBD.lkup[Number],MATCH(vp.tbl[[#This Row],[Crude_Breakdown]],[1]!crudeBD.lkup[Crude Breakdown],0))</f>
        <v>#REF!</v>
      </c>
      <c r="AI30">
        <f>MONTH(vp.tbl[[#This Row],[SDate]])</f>
        <v>10</v>
      </c>
      <c r="AJ30" s="5">
        <f>IFERROR(vp.tbl[[#This Row],[Sulf]]*vp.tbl[[#This Row],[Net Dens]],"")</f>
        <v>241917901.45975003</v>
      </c>
      <c r="AK30" s="5">
        <f>IFERROR(vp.tbl[[#This Row],[Dens]]*vp.tbl[[#This Row],[VolumeM3]],"")</f>
        <v>100380871.97500001</v>
      </c>
      <c r="AL30" s="5">
        <f>IFERROR(vp.tbl[[#This Row],[VP]]*vp.tbl[[#This Row],[VolumeM3]],"")</f>
        <v>9296016.568</v>
      </c>
      <c r="AM30" s="4">
        <f>IFERROR((vp.tbl[[#This Row],[VP]]-INDEX(crudeBD.lkup.complete[Mean_VP],MATCH(vp.tbl[[#This Row],[Crude_Breakdown]],crudeBD.lkup.complete[Crude Breakdown],0)))^2,"")</f>
        <v>157.79489585288007</v>
      </c>
      <c r="AN30" s="4">
        <f>IFERROR((vp.tbl[[#This Row],[Dens]]-INDEX(crudeBD.lkup.complete[Mean_Dens],MATCH(vp.tbl[[#This Row],[Crude_Breakdown]],crudeBD.lkup.complete[Crude Breakdown],0)))^2,"")</f>
        <v>25.523257646834995</v>
      </c>
      <c r="AO30" s="4">
        <f>IFERROR((vp.tbl[[#This Row],[Sulf]]-INDEX(crudeBD.lkup.complete[Mean_Sulf],MATCH(vp.tbl[[#This Row],[Crude_Breakdown]],crudeBD.lkup.complete[Crude Breakdown],0)))^2,"")</f>
        <v>2.8517063032449047E-5</v>
      </c>
      <c r="AP30">
        <f>IF(AND(vp.tbl[[#This Row],[SDate]]&gt;=DATE(YEAR(vp.tbl[[#This Row],[SDate]]),5,1),vp.tbl[[#This Row],[SDate]]&lt;=DATE(YEAR(vp.tbl[[#This Row],[SDate]]),9,15)),1,0)</f>
        <v>0</v>
      </c>
      <c r="AQ30" s="15">
        <f>IF(vp.tbl[[#This Row],[SDate]]&lt;DATE(2016,12,1),0,1)</f>
        <v>0</v>
      </c>
    </row>
    <row r="31" spans="1:43" x14ac:dyDescent="0.25">
      <c r="A31">
        <v>30</v>
      </c>
      <c r="B31" t="s">
        <v>56</v>
      </c>
      <c r="C31" t="s">
        <v>56</v>
      </c>
      <c r="D31" t="s">
        <v>57</v>
      </c>
      <c r="F31" s="1">
        <v>42313</v>
      </c>
      <c r="G31" s="2">
        <v>62.5</v>
      </c>
      <c r="H31" s="2"/>
      <c r="I31" s="2">
        <v>1.44</v>
      </c>
      <c r="J31" s="2"/>
      <c r="K31" s="2"/>
      <c r="L31" s="2">
        <v>865</v>
      </c>
      <c r="M31" s="2">
        <v>865</v>
      </c>
      <c r="N31" s="2">
        <f ca="1">INDEX(INDIRECT(_xlfn.CONCAT("weather.tbl[",N$1,"]")),MATCH(vp.tbl[[#This Row],[SDate]],weather.tbl[Date],0))</f>
        <v>1.7666666666666668</v>
      </c>
      <c r="O31" s="2">
        <f ca="1">INDEX(INDIRECT(_xlfn.CONCAT("weather.tbl[",O$1,"]")),MATCH(vp.tbl[[#This Row],[SDate]],weather.tbl[Date],0))</f>
        <v>3.5214285714285714</v>
      </c>
      <c r="P31" s="2">
        <f ca="1">INDEX(INDIRECT(_xlfn.CONCAT("weather.tbl[",P$1,"]")),MATCH(vp.tbl[[#This Row],[SDate]],weather.tbl[Date],0))</f>
        <v>1.4</v>
      </c>
      <c r="Q31" s="2">
        <f ca="1">INDEX(INDIRECT(_xlfn.CONCAT("weather.tbl[",Q$1,"]")),MATCH(vp.tbl[[#This Row],[SDate]],weather.tbl[Date],0))</f>
        <v>1.5</v>
      </c>
      <c r="R31" s="2">
        <f ca="1">INDEX(INDIRECT(_xlfn.CONCAT("weather.tbl[",R$1,"]")),MATCH(vp.tbl[[#This Row],[SDate]],weather.tbl[Date],0))</f>
        <v>3</v>
      </c>
      <c r="S31" s="2">
        <f ca="1">INDEX(INDIRECT(_xlfn.CONCAT("weather.tbl[",S$1,"]")),MATCH(vp.tbl[[#This Row],[SDate]],weather.tbl[Date],0))</f>
        <v>2.5</v>
      </c>
      <c r="T31" s="2">
        <f ca="1">INDEX(INDIRECT(_xlfn.CONCAT("weather.tbl[",T$1,"]")),MATCH(vp.tbl[[#This Row],[SDate]],weather.tbl[Date],0))</f>
        <v>1.8</v>
      </c>
      <c r="U31" s="2">
        <f ca="1">INDEX(INDIRECT(_xlfn.CONCAT("weather.tbl[",U$1,"]")),MATCH(vp.tbl[[#This Row],[SDate]],weather.tbl[Date],0))</f>
        <v>0.4</v>
      </c>
      <c r="V31" s="2">
        <v>3565.95</v>
      </c>
      <c r="W31" t="s">
        <v>48</v>
      </c>
      <c r="X31">
        <f>IF(OR(vp.tbl[[#This Row],[Sulf]]="",vp.tbl[[#This Row],[Dens]]=""),1,0)</f>
        <v>0</v>
      </c>
      <c r="Y31">
        <f>IF(vp.tbl[[#This Row],[CrudeType]]="C5+",1,0)</f>
        <v>0</v>
      </c>
      <c r="Z31">
        <f>IF(AND(vp.tbl[[#This Row],[CrudeType]]="Crude",vp.tbl[[#This Row],[Dens]]&lt;=825,vp.tbl[[#This Row],[Sulf]]&gt;0.5,vp.tbl[[#This Row],[Unknown]]=0),1,0)</f>
        <v>0</v>
      </c>
      <c r="AA31">
        <f>IF(AND(vp.tbl[[#This Row],[CrudeType]]="Crude",vp.tbl[[#This Row],[Dens]]&lt;=825,vp.tbl[[#This Row],[Sulf]]&lt;=0.5,vp.tbl[[#This Row],[Unknown]]=0),1,0)</f>
        <v>0</v>
      </c>
      <c r="AB31">
        <f>IF(AND(vp.tbl[[#This Row],[CrudeType]]="Crude",vp.tbl[[#This Row],[Dens]]&gt;825,vp.tbl[[#This Row],[Dens]]&lt;=870,vp.tbl[[#This Row],[Sulf]]&gt;0.5,vp.tbl[[#This Row],[Unknown]]=0),1,0)</f>
        <v>1</v>
      </c>
      <c r="AC31">
        <f>IF(AND(vp.tbl[[#This Row],[CrudeType]]="Crude",vp.tbl[[#This Row],[Dens]]&gt;825,vp.tbl[[#This Row],[Dens]]&lt;=900,vp.tbl[[#This Row],[Sulf]]&lt;=0.5,vp.tbl[[#This Row],[Unknown]]=0),1,0)</f>
        <v>0</v>
      </c>
      <c r="AD31">
        <f>IF(AND(vp.tbl[[#This Row],[CrudeType]]="Crude",vp.tbl[[#This Row],[Dens]]&gt;870,vp.tbl[[#This Row],[Dens]]&lt;=900,vp.tbl[[#This Row],[Sulf]]&gt;0.5,vp.tbl[[#This Row],[Unknown]]=0),1,0)</f>
        <v>0</v>
      </c>
      <c r="AE31">
        <f>IF(AND(vp.tbl[[#This Row],[CrudeType]]="Crude",vp.tbl[[#This Row],[Dens]]&gt;900,vp.tbl[[#This Row],[Sulf]]&lt;=0.5,vp.tbl[[#This Row],[Unknown]]=0),1,0)</f>
        <v>0</v>
      </c>
      <c r="AF31">
        <f>IF(AND(vp.tbl[[#This Row],[CrudeType]]="Crude",vp.tbl[[#This Row],[Dens]]&gt;900,vp.tbl[[#This Row],[Sulf]]&lt;=0.5,vp.tbl[[#This Row],[Unknown]]=0),1,0)</f>
        <v>0</v>
      </c>
      <c r="AG31" t="str">
        <f>INDEX(vp.tbl[[#Headers],[Unknown]:[Heavy_SW]],MATCH(1,vp.tbl[[#This Row],[Unknown]:[Heavy_SW]],0))</f>
        <v>Medium_LSB</v>
      </c>
      <c r="AH31" t="e">
        <f>INDEX([1]!crudeBD.lkup[Number],MATCH(vp.tbl[[#This Row],[Crude_Breakdown]],[1]!crudeBD.lkup[Crude Breakdown],0))</f>
        <v>#REF!</v>
      </c>
      <c r="AI31">
        <f>MONTH(vp.tbl[[#This Row],[SDate]])</f>
        <v>11</v>
      </c>
      <c r="AJ31" s="5">
        <f>IFERROR(vp.tbl[[#This Row],[Sulf]]*vp.tbl[[#This Row],[Net Dens]],"")</f>
        <v>4441747.32</v>
      </c>
      <c r="AK31" s="5">
        <f>IFERROR(vp.tbl[[#This Row],[Dens]]*vp.tbl[[#This Row],[VolumeM3]],"")</f>
        <v>3084546.75</v>
      </c>
      <c r="AL31" s="5">
        <f>IFERROR(vp.tbl[[#This Row],[VP]]*vp.tbl[[#This Row],[VolumeM3]],"")</f>
        <v>222871.875</v>
      </c>
      <c r="AM31" s="4">
        <f>IFERROR((vp.tbl[[#This Row],[VP]]-INDEX(crudeBD.lkup.complete[Mean_VP],MATCH(vp.tbl[[#This Row],[Crude_Breakdown]],crudeBD.lkup.complete[Crude Breakdown],0)))^2,"")</f>
        <v>312.35595798685978</v>
      </c>
      <c r="AN31" s="4">
        <f>IFERROR((vp.tbl[[#This Row],[Dens]]-INDEX(crudeBD.lkup.complete[Mean_Dens],MATCH(vp.tbl[[#This Row],[Crude_Breakdown]],crudeBD.lkup.complete[Crude Breakdown],0)))^2,"")</f>
        <v>388.41224914536809</v>
      </c>
      <c r="AO31" s="4">
        <f>IFERROR((vp.tbl[[#This Row],[Sulf]]-INDEX(crudeBD.lkup.complete[Mean_Sulf],MATCH(vp.tbl[[#This Row],[Crude_Breakdown]],crudeBD.lkup.complete[Crude Breakdown],0)))^2,"")</f>
        <v>2.2290074229791476E-4</v>
      </c>
      <c r="AP31">
        <f>IF(AND(vp.tbl[[#This Row],[SDate]]&gt;=DATE(YEAR(vp.tbl[[#This Row],[SDate]]),5,1),vp.tbl[[#This Row],[SDate]]&lt;=DATE(YEAR(vp.tbl[[#This Row],[SDate]]),9,15)),1,0)</f>
        <v>0</v>
      </c>
      <c r="AQ31" s="15">
        <f>IF(vp.tbl[[#This Row],[SDate]]&lt;DATE(2016,12,1),0,1)</f>
        <v>0</v>
      </c>
    </row>
    <row r="32" spans="1:43" x14ac:dyDescent="0.25">
      <c r="A32">
        <v>31</v>
      </c>
      <c r="B32" t="s">
        <v>46</v>
      </c>
      <c r="C32" t="s">
        <v>46</v>
      </c>
      <c r="D32" t="s">
        <v>47</v>
      </c>
      <c r="F32" s="1">
        <v>42314</v>
      </c>
      <c r="G32" s="2">
        <v>63.6</v>
      </c>
      <c r="H32" s="2"/>
      <c r="I32" s="2">
        <v>2.41</v>
      </c>
      <c r="J32" s="2"/>
      <c r="K32" s="2"/>
      <c r="L32" s="2">
        <v>871.1</v>
      </c>
      <c r="M32" s="2">
        <v>871.1</v>
      </c>
      <c r="N32" s="2">
        <f ca="1">INDEX(INDIRECT(_xlfn.CONCAT("weather.tbl[",N$1,"]")),MATCH(vp.tbl[[#This Row],[SDate]],weather.tbl[Date],0))</f>
        <v>0.33333333333333326</v>
      </c>
      <c r="O32" s="2">
        <f ca="1">INDEX(INDIRECT(_xlfn.CONCAT("weather.tbl[",O$1,"]")),MATCH(vp.tbl[[#This Row],[SDate]],weather.tbl[Date],0))</f>
        <v>2.7642857142857147</v>
      </c>
      <c r="P32" s="2">
        <f ca="1">INDEX(INDIRECT(_xlfn.CONCAT("weather.tbl[",P$1,"]")),MATCH(vp.tbl[[#This Row],[SDate]],weather.tbl[Date],0))</f>
        <v>-0.3</v>
      </c>
      <c r="Q32" s="2">
        <f ca="1">INDEX(INDIRECT(_xlfn.CONCAT("weather.tbl[",Q$1,"]")),MATCH(vp.tbl[[#This Row],[SDate]],weather.tbl[Date],0))</f>
        <v>-1.1000000000000001</v>
      </c>
      <c r="R32" s="2">
        <f ca="1">INDEX(INDIRECT(_xlfn.CONCAT("weather.tbl[",R$1,"]")),MATCH(vp.tbl[[#This Row],[SDate]],weather.tbl[Date],0))</f>
        <v>3</v>
      </c>
      <c r="S32" s="2">
        <f ca="1">INDEX(INDIRECT(_xlfn.CONCAT("weather.tbl[",S$1,"]")),MATCH(vp.tbl[[#This Row],[SDate]],weather.tbl[Date],0))</f>
        <v>2</v>
      </c>
      <c r="T32" s="2">
        <f ca="1">INDEX(INDIRECT(_xlfn.CONCAT("weather.tbl[",T$1,"]")),MATCH(vp.tbl[[#This Row],[SDate]],weather.tbl[Date],0))</f>
        <v>-1.1000000000000001</v>
      </c>
      <c r="U32" s="2">
        <f ca="1">INDEX(INDIRECT(_xlfn.CONCAT("weather.tbl[",U$1,"]")),MATCH(vp.tbl[[#This Row],[SDate]],weather.tbl[Date],0))</f>
        <v>-0.5</v>
      </c>
      <c r="V32" s="2">
        <v>113621.71</v>
      </c>
      <c r="W32" t="s">
        <v>48</v>
      </c>
      <c r="X32">
        <f>IF(OR(vp.tbl[[#This Row],[Sulf]]="",vp.tbl[[#This Row],[Dens]]=""),1,0)</f>
        <v>0</v>
      </c>
      <c r="Y32">
        <f>IF(vp.tbl[[#This Row],[CrudeType]]="C5+",1,0)</f>
        <v>0</v>
      </c>
      <c r="Z32">
        <f>IF(AND(vp.tbl[[#This Row],[CrudeType]]="Crude",vp.tbl[[#This Row],[Dens]]&lt;=825,vp.tbl[[#This Row],[Sulf]]&gt;0.5,vp.tbl[[#This Row],[Unknown]]=0),1,0)</f>
        <v>0</v>
      </c>
      <c r="AA32">
        <f>IF(AND(vp.tbl[[#This Row],[CrudeType]]="Crude",vp.tbl[[#This Row],[Dens]]&lt;=825,vp.tbl[[#This Row],[Sulf]]&lt;=0.5,vp.tbl[[#This Row],[Unknown]]=0),1,0)</f>
        <v>0</v>
      </c>
      <c r="AB32">
        <f>IF(AND(vp.tbl[[#This Row],[CrudeType]]="Crude",vp.tbl[[#This Row],[Dens]]&gt;825,vp.tbl[[#This Row],[Dens]]&lt;=870,vp.tbl[[#This Row],[Sulf]]&gt;0.5,vp.tbl[[#This Row],[Unknown]]=0),1,0)</f>
        <v>0</v>
      </c>
      <c r="AC32">
        <f>IF(AND(vp.tbl[[#This Row],[CrudeType]]="Crude",vp.tbl[[#This Row],[Dens]]&gt;825,vp.tbl[[#This Row],[Dens]]&lt;=900,vp.tbl[[#This Row],[Sulf]]&lt;=0.5,vp.tbl[[#This Row],[Unknown]]=0),1,0)</f>
        <v>0</v>
      </c>
      <c r="AD32">
        <f>IF(AND(vp.tbl[[#This Row],[CrudeType]]="Crude",vp.tbl[[#This Row],[Dens]]&gt;870,vp.tbl[[#This Row],[Dens]]&lt;=900,vp.tbl[[#This Row],[Sulf]]&gt;0.5,vp.tbl[[#This Row],[Unknown]]=0),1,0)</f>
        <v>1</v>
      </c>
      <c r="AE32">
        <f>IF(AND(vp.tbl[[#This Row],[CrudeType]]="Crude",vp.tbl[[#This Row],[Dens]]&gt;900,vp.tbl[[#This Row],[Sulf]]&lt;=0.5,vp.tbl[[#This Row],[Unknown]]=0),1,0)</f>
        <v>0</v>
      </c>
      <c r="AF32">
        <f>IF(AND(vp.tbl[[#This Row],[CrudeType]]="Crude",vp.tbl[[#This Row],[Dens]]&gt;900,vp.tbl[[#This Row],[Sulf]]&lt;=0.5,vp.tbl[[#This Row],[Unknown]]=0),1,0)</f>
        <v>0</v>
      </c>
      <c r="AG32" t="str">
        <f>INDEX(vp.tbl[[#Headers],[Unknown]:[Heavy_SW]],MATCH(1,vp.tbl[[#This Row],[Unknown]:[Heavy_SW]],0))</f>
        <v>Midale</v>
      </c>
      <c r="AH32" t="e">
        <f>INDEX([1]!crudeBD.lkup[Number],MATCH(vp.tbl[[#This Row],[Crude_Breakdown]],[1]!crudeBD.lkup[Crude Breakdown],0))</f>
        <v>#REF!</v>
      </c>
      <c r="AI32">
        <f>MONTH(vp.tbl[[#This Row],[SDate]])</f>
        <v>11</v>
      </c>
      <c r="AJ32" s="5">
        <f>IFERROR(vp.tbl[[#This Row],[Sulf]]*vp.tbl[[#This Row],[Net Dens]],"")</f>
        <v>238531850.51021004</v>
      </c>
      <c r="AK32" s="5">
        <f>IFERROR(vp.tbl[[#This Row],[Dens]]*vp.tbl[[#This Row],[VolumeM3]],"")</f>
        <v>98975871.581000015</v>
      </c>
      <c r="AL32" s="5">
        <f>IFERROR(vp.tbl[[#This Row],[VP]]*vp.tbl[[#This Row],[VolumeM3]],"")</f>
        <v>7226340.756000001</v>
      </c>
      <c r="AM32" s="4">
        <f>IFERROR((vp.tbl[[#This Row],[VP]]-INDEX(crudeBD.lkup.complete[Mean_VP],MATCH(vp.tbl[[#This Row],[Crude_Breakdown]],crudeBD.lkup.complete[Crude Breakdown],0)))^2,"")</f>
        <v>21.514347907675095</v>
      </c>
      <c r="AN32" s="4">
        <f>IFERROR((vp.tbl[[#This Row],[Dens]]-INDEX(crudeBD.lkup.complete[Mean_Dens],MATCH(vp.tbl[[#This Row],[Crude_Breakdown]],crudeBD.lkup.complete[Crude Breakdown],0)))^2,"")</f>
        <v>41.629011071491391</v>
      </c>
      <c r="AO32" s="4">
        <f>IFERROR((vp.tbl[[#This Row],[Sulf]]-INDEX(crudeBD.lkup.complete[Mean_Sulf],MATCH(vp.tbl[[#This Row],[Crude_Breakdown]],crudeBD.lkup.complete[Crude Breakdown],0)))^2,"")</f>
        <v>2.8517063032449047E-5</v>
      </c>
      <c r="AP32">
        <f>IF(AND(vp.tbl[[#This Row],[SDate]]&gt;=DATE(YEAR(vp.tbl[[#This Row],[SDate]]),5,1),vp.tbl[[#This Row],[SDate]]&lt;=DATE(YEAR(vp.tbl[[#This Row],[SDate]]),9,15)),1,0)</f>
        <v>0</v>
      </c>
      <c r="AQ32" s="15">
        <f>IF(vp.tbl[[#This Row],[SDate]]&lt;DATE(2016,12,1),0,1)</f>
        <v>0</v>
      </c>
    </row>
    <row r="33" spans="1:43" x14ac:dyDescent="0.25">
      <c r="A33">
        <v>32</v>
      </c>
      <c r="B33" t="s">
        <v>49</v>
      </c>
      <c r="C33" t="s">
        <v>49</v>
      </c>
      <c r="D33" t="s">
        <v>59</v>
      </c>
      <c r="F33" s="1">
        <v>42318</v>
      </c>
      <c r="G33" s="2">
        <v>75.2</v>
      </c>
      <c r="H33" s="2"/>
      <c r="I33" s="2">
        <v>1.53</v>
      </c>
      <c r="J33" s="2"/>
      <c r="K33" s="2"/>
      <c r="L33" s="2">
        <v>848.6</v>
      </c>
      <c r="M33" s="2">
        <v>848.6</v>
      </c>
      <c r="N33" s="2">
        <f ca="1">INDEX(INDIRECT(_xlfn.CONCAT("weather.tbl[",N$1,"]")),MATCH(vp.tbl[[#This Row],[SDate]],weather.tbl[Date],0))</f>
        <v>1.1500000000000001</v>
      </c>
      <c r="O33" s="2">
        <f ca="1">INDEX(INDIRECT(_xlfn.CONCAT("weather.tbl[",O$1,"]")),MATCH(vp.tbl[[#This Row],[SDate]],weather.tbl[Date],0))</f>
        <v>2.4023809523809523</v>
      </c>
      <c r="P33" s="2">
        <f ca="1">INDEX(INDIRECT(_xlfn.CONCAT("weather.tbl[",P$1,"]")),MATCH(vp.tbl[[#This Row],[SDate]],weather.tbl[Date],0))</f>
        <v>0.9</v>
      </c>
      <c r="Q33" s="2">
        <f ca="1">INDEX(INDIRECT(_xlfn.CONCAT("weather.tbl[",Q$1,"]")),MATCH(vp.tbl[[#This Row],[SDate]],weather.tbl[Date],0))</f>
        <v>0.6</v>
      </c>
      <c r="R33" s="2">
        <f ca="1">INDEX(INDIRECT(_xlfn.CONCAT("weather.tbl[",R$1,"]")),MATCH(vp.tbl[[#This Row],[SDate]],weather.tbl[Date],0))</f>
        <v>3</v>
      </c>
      <c r="S33" s="2">
        <f ca="1">INDEX(INDIRECT(_xlfn.CONCAT("weather.tbl[",S$1,"]")),MATCH(vp.tbl[[#This Row],[SDate]],weather.tbl[Date],0))</f>
        <v>0.8</v>
      </c>
      <c r="T33" s="2">
        <f ca="1">INDEX(INDIRECT(_xlfn.CONCAT("weather.tbl[",T$1,"]")),MATCH(vp.tbl[[#This Row],[SDate]],weather.tbl[Date],0))</f>
        <v>1.6</v>
      </c>
      <c r="U33" s="2">
        <f ca="1">INDEX(INDIRECT(_xlfn.CONCAT("weather.tbl[",U$1,"]")),MATCH(vp.tbl[[#This Row],[SDate]],weather.tbl[Date],0))</f>
        <v>0</v>
      </c>
      <c r="V33" s="2">
        <v>2083.98</v>
      </c>
      <c r="W33" t="s">
        <v>48</v>
      </c>
      <c r="X33">
        <f>IF(OR(vp.tbl[[#This Row],[Sulf]]="",vp.tbl[[#This Row],[Dens]]=""),1,0)</f>
        <v>0</v>
      </c>
      <c r="Y33">
        <f>IF(vp.tbl[[#This Row],[CrudeType]]="C5+",1,0)</f>
        <v>0</v>
      </c>
      <c r="Z33">
        <f>IF(AND(vp.tbl[[#This Row],[CrudeType]]="Crude",vp.tbl[[#This Row],[Dens]]&lt;=825,vp.tbl[[#This Row],[Sulf]]&gt;0.5,vp.tbl[[#This Row],[Unknown]]=0),1,0)</f>
        <v>0</v>
      </c>
      <c r="AA33">
        <f>IF(AND(vp.tbl[[#This Row],[CrudeType]]="Crude",vp.tbl[[#This Row],[Dens]]&lt;=825,vp.tbl[[#This Row],[Sulf]]&lt;=0.5,vp.tbl[[#This Row],[Unknown]]=0),1,0)</f>
        <v>0</v>
      </c>
      <c r="AB33">
        <f>IF(AND(vp.tbl[[#This Row],[CrudeType]]="Crude",vp.tbl[[#This Row],[Dens]]&gt;825,vp.tbl[[#This Row],[Dens]]&lt;=870,vp.tbl[[#This Row],[Sulf]]&gt;0.5,vp.tbl[[#This Row],[Unknown]]=0),1,0)</f>
        <v>1</v>
      </c>
      <c r="AC33">
        <f>IF(AND(vp.tbl[[#This Row],[CrudeType]]="Crude",vp.tbl[[#This Row],[Dens]]&gt;825,vp.tbl[[#This Row],[Dens]]&lt;=900,vp.tbl[[#This Row],[Sulf]]&lt;=0.5,vp.tbl[[#This Row],[Unknown]]=0),1,0)</f>
        <v>0</v>
      </c>
      <c r="AD33">
        <f>IF(AND(vp.tbl[[#This Row],[CrudeType]]="Crude",vp.tbl[[#This Row],[Dens]]&gt;870,vp.tbl[[#This Row],[Dens]]&lt;=900,vp.tbl[[#This Row],[Sulf]]&gt;0.5,vp.tbl[[#This Row],[Unknown]]=0),1,0)</f>
        <v>0</v>
      </c>
      <c r="AE33">
        <f>IF(AND(vp.tbl[[#This Row],[CrudeType]]="Crude",vp.tbl[[#This Row],[Dens]]&gt;900,vp.tbl[[#This Row],[Sulf]]&lt;=0.5,vp.tbl[[#This Row],[Unknown]]=0),1,0)</f>
        <v>0</v>
      </c>
      <c r="AF33">
        <f>IF(AND(vp.tbl[[#This Row],[CrudeType]]="Crude",vp.tbl[[#This Row],[Dens]]&gt;900,vp.tbl[[#This Row],[Sulf]]&lt;=0.5,vp.tbl[[#This Row],[Unknown]]=0),1,0)</f>
        <v>0</v>
      </c>
      <c r="AG33" t="str">
        <f>INDEX(vp.tbl[[#Headers],[Unknown]:[Heavy_SW]],MATCH(1,vp.tbl[[#This Row],[Unknown]:[Heavy_SW]],0))</f>
        <v>Medium_LSB</v>
      </c>
      <c r="AH33" t="e">
        <f>INDEX([1]!crudeBD.lkup[Number],MATCH(vp.tbl[[#This Row],[Crude_Breakdown]],[1]!crudeBD.lkup[Crude Breakdown],0))</f>
        <v>#REF!</v>
      </c>
      <c r="AI33">
        <f>MONTH(vp.tbl[[#This Row],[SDate]])</f>
        <v>11</v>
      </c>
      <c r="AJ33" s="5">
        <f>IFERROR(vp.tbl[[#This Row],[Sulf]]*vp.tbl[[#This Row],[Net Dens]],"")</f>
        <v>2705752.1048400002</v>
      </c>
      <c r="AK33" s="5">
        <f>IFERROR(vp.tbl[[#This Row],[Dens]]*vp.tbl[[#This Row],[VolumeM3]],"")</f>
        <v>1768465.4280000001</v>
      </c>
      <c r="AL33" s="5">
        <f>IFERROR(vp.tbl[[#This Row],[VP]]*vp.tbl[[#This Row],[VolumeM3]],"")</f>
        <v>156715.296</v>
      </c>
      <c r="AM33" s="4">
        <f>IFERROR((vp.tbl[[#This Row],[VP]]-INDEX(crudeBD.lkup.complete[Mean_VP],MATCH(vp.tbl[[#This Row],[Crude_Breakdown]],crudeBD.lkup.complete[Crude Breakdown],0)))^2,"")</f>
        <v>24.736646594455621</v>
      </c>
      <c r="AN33" s="4">
        <f>IFERROR((vp.tbl[[#This Row],[Dens]]-INDEX(crudeBD.lkup.complete[Mean_Dens],MATCH(vp.tbl[[#This Row],[Crude_Breakdown]],crudeBD.lkup.complete[Crude Breakdown],0)))^2,"")</f>
        <v>10.944036487108091</v>
      </c>
      <c r="AO33" s="4">
        <f>IFERROR((vp.tbl[[#This Row],[Sulf]]-INDEX(crudeBD.lkup.complete[Mean_Sulf],MATCH(vp.tbl[[#This Row],[Crude_Breakdown]],crudeBD.lkup.complete[Crude Breakdown],0)))^2,"")</f>
        <v>5.6355258055887899E-3</v>
      </c>
      <c r="AP33">
        <f>IF(AND(vp.tbl[[#This Row],[SDate]]&gt;=DATE(YEAR(vp.tbl[[#This Row],[SDate]]),5,1),vp.tbl[[#This Row],[SDate]]&lt;=DATE(YEAR(vp.tbl[[#This Row],[SDate]]),9,15)),1,0)</f>
        <v>0</v>
      </c>
      <c r="AQ33" s="15">
        <f>IF(vp.tbl[[#This Row],[SDate]]&lt;DATE(2016,12,1),0,1)</f>
        <v>0</v>
      </c>
    </row>
    <row r="34" spans="1:43" x14ac:dyDescent="0.25">
      <c r="A34">
        <v>33</v>
      </c>
      <c r="B34" t="s">
        <v>49</v>
      </c>
      <c r="C34" t="s">
        <v>49</v>
      </c>
      <c r="D34" t="s">
        <v>67</v>
      </c>
      <c r="F34" s="1">
        <v>42321</v>
      </c>
      <c r="G34" s="2">
        <v>84.5</v>
      </c>
      <c r="H34" s="2"/>
      <c r="I34" s="2">
        <v>0.21</v>
      </c>
      <c r="J34" s="2"/>
      <c r="K34" s="2"/>
      <c r="L34" s="2">
        <v>803.6</v>
      </c>
      <c r="M34" s="2">
        <v>803.6</v>
      </c>
      <c r="N34" s="2">
        <f ca="1">INDEX(INDIRECT(_xlfn.CONCAT("weather.tbl[",N$1,"]")),MATCH(vp.tbl[[#This Row],[SDate]],weather.tbl[Date],0))</f>
        <v>1.3666666666666665</v>
      </c>
      <c r="O34" s="2">
        <f ca="1">INDEX(INDIRECT(_xlfn.CONCAT("weather.tbl[",O$1,"]")),MATCH(vp.tbl[[#This Row],[SDate]],weather.tbl[Date],0))</f>
        <v>2.1714285714285717</v>
      </c>
      <c r="P34" s="2">
        <f ca="1">INDEX(INDIRECT(_xlfn.CONCAT("weather.tbl[",P$1,"]")),MATCH(vp.tbl[[#This Row],[SDate]],weather.tbl[Date],0))</f>
        <v>1.8</v>
      </c>
      <c r="Q34" s="2">
        <f ca="1">INDEX(INDIRECT(_xlfn.CONCAT("weather.tbl[",Q$1,"]")),MATCH(vp.tbl[[#This Row],[SDate]],weather.tbl[Date],0))</f>
        <v>1.5</v>
      </c>
      <c r="R34" s="2">
        <f ca="1">INDEX(INDIRECT(_xlfn.CONCAT("weather.tbl[",R$1,"]")),MATCH(vp.tbl[[#This Row],[SDate]],weather.tbl[Date],0))</f>
        <v>3</v>
      </c>
      <c r="S34" s="2">
        <f ca="1">INDEX(INDIRECT(_xlfn.CONCAT("weather.tbl[",S$1,"]")),MATCH(vp.tbl[[#This Row],[SDate]],weather.tbl[Date],0))</f>
        <v>1.3</v>
      </c>
      <c r="T34" s="2">
        <f ca="1">INDEX(INDIRECT(_xlfn.CONCAT("weather.tbl[",T$1,"]")),MATCH(vp.tbl[[#This Row],[SDate]],weather.tbl[Date],0))</f>
        <v>0.4</v>
      </c>
      <c r="U34" s="2">
        <f ca="1">INDEX(INDIRECT(_xlfn.CONCAT("weather.tbl[",U$1,"]")),MATCH(vp.tbl[[#This Row],[SDate]],weather.tbl[Date],0))</f>
        <v>0.2</v>
      </c>
      <c r="V34" s="2">
        <v>32357.971000000001</v>
      </c>
      <c r="W34" t="s">
        <v>48</v>
      </c>
      <c r="X34">
        <f>IF(OR(vp.tbl[[#This Row],[Sulf]]="",vp.tbl[[#This Row],[Dens]]=""),1,0)</f>
        <v>0</v>
      </c>
      <c r="Y34">
        <f>IF(vp.tbl[[#This Row],[CrudeType]]="C5+",1,0)</f>
        <v>0</v>
      </c>
      <c r="Z34">
        <f>IF(AND(vp.tbl[[#This Row],[CrudeType]]="Crude",vp.tbl[[#This Row],[Dens]]&lt;=825,vp.tbl[[#This Row],[Sulf]]&gt;0.5,vp.tbl[[#This Row],[Unknown]]=0),1,0)</f>
        <v>0</v>
      </c>
      <c r="AA34">
        <f>IF(AND(vp.tbl[[#This Row],[CrudeType]]="Crude",vp.tbl[[#This Row],[Dens]]&lt;=825,vp.tbl[[#This Row],[Sulf]]&lt;=0.5,vp.tbl[[#This Row],[Unknown]]=0),1,0)</f>
        <v>1</v>
      </c>
      <c r="AB34">
        <f>IF(AND(vp.tbl[[#This Row],[CrudeType]]="Crude",vp.tbl[[#This Row],[Dens]]&gt;825,vp.tbl[[#This Row],[Dens]]&lt;=870,vp.tbl[[#This Row],[Sulf]]&gt;0.5,vp.tbl[[#This Row],[Unknown]]=0),1,0)</f>
        <v>0</v>
      </c>
      <c r="AC34">
        <f>IF(AND(vp.tbl[[#This Row],[CrudeType]]="Crude",vp.tbl[[#This Row],[Dens]]&gt;825,vp.tbl[[#This Row],[Dens]]&lt;=900,vp.tbl[[#This Row],[Sulf]]&lt;=0.5,vp.tbl[[#This Row],[Unknown]]=0),1,0)</f>
        <v>0</v>
      </c>
      <c r="AD34">
        <f>IF(AND(vp.tbl[[#This Row],[CrudeType]]="Crude",vp.tbl[[#This Row],[Dens]]&gt;870,vp.tbl[[#This Row],[Dens]]&lt;=900,vp.tbl[[#This Row],[Sulf]]&gt;0.5,vp.tbl[[#This Row],[Unknown]]=0),1,0)</f>
        <v>0</v>
      </c>
      <c r="AE34">
        <f>IF(AND(vp.tbl[[#This Row],[CrudeType]]="Crude",vp.tbl[[#This Row],[Dens]]&gt;900,vp.tbl[[#This Row],[Sulf]]&lt;=0.5,vp.tbl[[#This Row],[Unknown]]=0),1,0)</f>
        <v>0</v>
      </c>
      <c r="AF34">
        <f>IF(AND(vp.tbl[[#This Row],[CrudeType]]="Crude",vp.tbl[[#This Row],[Dens]]&gt;900,vp.tbl[[#This Row],[Sulf]]&lt;=0.5,vp.tbl[[#This Row],[Unknown]]=0),1,0)</f>
        <v>0</v>
      </c>
      <c r="AG34" t="str">
        <f>INDEX(vp.tbl[[#Headers],[Unknown]:[Heavy_SW]],MATCH(1,vp.tbl[[#This Row],[Unknown]:[Heavy_SW]],0))</f>
        <v>Light_SW</v>
      </c>
      <c r="AH34" t="e">
        <f>INDEX([1]!crudeBD.lkup[Number],MATCH(vp.tbl[[#This Row],[Crude_Breakdown]],[1]!crudeBD.lkup[Crude Breakdown],0))</f>
        <v>#REF!</v>
      </c>
      <c r="AI34">
        <f>MONTH(vp.tbl[[#This Row],[SDate]])</f>
        <v>11</v>
      </c>
      <c r="AJ34" s="5">
        <f>IFERROR(vp.tbl[[#This Row],[Sulf]]*vp.tbl[[#This Row],[Net Dens]],"")</f>
        <v>5460601.7540759994</v>
      </c>
      <c r="AK34" s="5">
        <f>IFERROR(vp.tbl[[#This Row],[Dens]]*vp.tbl[[#This Row],[VolumeM3]],"")</f>
        <v>26002865.4956</v>
      </c>
      <c r="AL34" s="5">
        <f>IFERROR(vp.tbl[[#This Row],[VP]]*vp.tbl[[#This Row],[VolumeM3]],"")</f>
        <v>2734248.5495000002</v>
      </c>
      <c r="AM34" s="4">
        <f>IFERROR((vp.tbl[[#This Row],[VP]]-INDEX(crudeBD.lkup.complete[Mean_VP],MATCH(vp.tbl[[#This Row],[Crude_Breakdown]],crudeBD.lkup.complete[Crude Breakdown],0)))^2,"")</f>
        <v>64.807548878825301</v>
      </c>
      <c r="AN34" s="4">
        <f>IFERROR((vp.tbl[[#This Row],[Dens]]-INDEX(crudeBD.lkup.complete[Mean_Dens],MATCH(vp.tbl[[#This Row],[Crude_Breakdown]],crudeBD.lkup.complete[Crude Breakdown],0)))^2,"")</f>
        <v>22.198215833624456</v>
      </c>
      <c r="AO34" s="4">
        <f>IFERROR((vp.tbl[[#This Row],[Sulf]]-INDEX(crudeBD.lkup.complete[Mean_Sulf],MATCH(vp.tbl[[#This Row],[Crude_Breakdown]],crudeBD.lkup.complete[Crude Breakdown],0)))^2,"")</f>
        <v>6.8863268899706654E-4</v>
      </c>
      <c r="AP34">
        <f>IF(AND(vp.tbl[[#This Row],[SDate]]&gt;=DATE(YEAR(vp.tbl[[#This Row],[SDate]]),5,1),vp.tbl[[#This Row],[SDate]]&lt;=DATE(YEAR(vp.tbl[[#This Row],[SDate]]),9,15)),1,0)</f>
        <v>0</v>
      </c>
      <c r="AQ34" s="15">
        <f>IF(vp.tbl[[#This Row],[SDate]]&lt;DATE(2016,12,1),0,1)</f>
        <v>0</v>
      </c>
    </row>
    <row r="35" spans="1:43" x14ac:dyDescent="0.25">
      <c r="A35">
        <v>34</v>
      </c>
      <c r="B35" t="s">
        <v>56</v>
      </c>
      <c r="C35" t="s">
        <v>56</v>
      </c>
      <c r="D35" t="s">
        <v>57</v>
      </c>
      <c r="F35" s="1">
        <v>42321</v>
      </c>
      <c r="G35" s="2">
        <v>94.7</v>
      </c>
      <c r="H35" s="2"/>
      <c r="I35" s="2">
        <v>1.44</v>
      </c>
      <c r="J35" s="2"/>
      <c r="K35" s="2"/>
      <c r="L35" s="2">
        <v>841.4</v>
      </c>
      <c r="M35" s="2">
        <v>841.4</v>
      </c>
      <c r="N35" s="2">
        <f ca="1">INDEX(INDIRECT(_xlfn.CONCAT("weather.tbl[",N$1,"]")),MATCH(vp.tbl[[#This Row],[SDate]],weather.tbl[Date],0))</f>
        <v>1.3666666666666665</v>
      </c>
      <c r="O35" s="2">
        <f ca="1">INDEX(INDIRECT(_xlfn.CONCAT("weather.tbl[",O$1,"]")),MATCH(vp.tbl[[#This Row],[SDate]],weather.tbl[Date],0))</f>
        <v>2.1714285714285717</v>
      </c>
      <c r="P35" s="2">
        <f ca="1">INDEX(INDIRECT(_xlfn.CONCAT("weather.tbl[",P$1,"]")),MATCH(vp.tbl[[#This Row],[SDate]],weather.tbl[Date],0))</f>
        <v>1.8</v>
      </c>
      <c r="Q35" s="2">
        <f ca="1">INDEX(INDIRECT(_xlfn.CONCAT("weather.tbl[",Q$1,"]")),MATCH(vp.tbl[[#This Row],[SDate]],weather.tbl[Date],0))</f>
        <v>1.5</v>
      </c>
      <c r="R35" s="2">
        <f ca="1">INDEX(INDIRECT(_xlfn.CONCAT("weather.tbl[",R$1,"]")),MATCH(vp.tbl[[#This Row],[SDate]],weather.tbl[Date],0))</f>
        <v>3</v>
      </c>
      <c r="S35" s="2">
        <f ca="1">INDEX(INDIRECT(_xlfn.CONCAT("weather.tbl[",S$1,"]")),MATCH(vp.tbl[[#This Row],[SDate]],weather.tbl[Date],0))</f>
        <v>1.3</v>
      </c>
      <c r="T35" s="2">
        <f ca="1">INDEX(INDIRECT(_xlfn.CONCAT("weather.tbl[",T$1,"]")),MATCH(vp.tbl[[#This Row],[SDate]],weather.tbl[Date],0))</f>
        <v>0.4</v>
      </c>
      <c r="U35" s="2">
        <f ca="1">INDEX(INDIRECT(_xlfn.CONCAT("weather.tbl[",U$1,"]")),MATCH(vp.tbl[[#This Row],[SDate]],weather.tbl[Date],0))</f>
        <v>0.2</v>
      </c>
      <c r="V35" s="2">
        <v>3565.95</v>
      </c>
      <c r="W35" t="s">
        <v>48</v>
      </c>
      <c r="X35">
        <f>IF(OR(vp.tbl[[#This Row],[Sulf]]="",vp.tbl[[#This Row],[Dens]]=""),1,0)</f>
        <v>0</v>
      </c>
      <c r="Y35">
        <f>IF(vp.tbl[[#This Row],[CrudeType]]="C5+",1,0)</f>
        <v>0</v>
      </c>
      <c r="Z35">
        <f>IF(AND(vp.tbl[[#This Row],[CrudeType]]="Crude",vp.tbl[[#This Row],[Dens]]&lt;=825,vp.tbl[[#This Row],[Sulf]]&gt;0.5,vp.tbl[[#This Row],[Unknown]]=0),1,0)</f>
        <v>0</v>
      </c>
      <c r="AA35">
        <f>IF(AND(vp.tbl[[#This Row],[CrudeType]]="Crude",vp.tbl[[#This Row],[Dens]]&lt;=825,vp.tbl[[#This Row],[Sulf]]&lt;=0.5,vp.tbl[[#This Row],[Unknown]]=0),1,0)</f>
        <v>0</v>
      </c>
      <c r="AB35">
        <f>IF(AND(vp.tbl[[#This Row],[CrudeType]]="Crude",vp.tbl[[#This Row],[Dens]]&gt;825,vp.tbl[[#This Row],[Dens]]&lt;=870,vp.tbl[[#This Row],[Sulf]]&gt;0.5,vp.tbl[[#This Row],[Unknown]]=0),1,0)</f>
        <v>1</v>
      </c>
      <c r="AC35">
        <f>IF(AND(vp.tbl[[#This Row],[CrudeType]]="Crude",vp.tbl[[#This Row],[Dens]]&gt;825,vp.tbl[[#This Row],[Dens]]&lt;=900,vp.tbl[[#This Row],[Sulf]]&lt;=0.5,vp.tbl[[#This Row],[Unknown]]=0),1,0)</f>
        <v>0</v>
      </c>
      <c r="AD35">
        <f>IF(AND(vp.tbl[[#This Row],[CrudeType]]="Crude",vp.tbl[[#This Row],[Dens]]&gt;870,vp.tbl[[#This Row],[Dens]]&lt;=900,vp.tbl[[#This Row],[Sulf]]&gt;0.5,vp.tbl[[#This Row],[Unknown]]=0),1,0)</f>
        <v>0</v>
      </c>
      <c r="AE35">
        <f>IF(AND(vp.tbl[[#This Row],[CrudeType]]="Crude",vp.tbl[[#This Row],[Dens]]&gt;900,vp.tbl[[#This Row],[Sulf]]&lt;=0.5,vp.tbl[[#This Row],[Unknown]]=0),1,0)</f>
        <v>0</v>
      </c>
      <c r="AF35">
        <f>IF(AND(vp.tbl[[#This Row],[CrudeType]]="Crude",vp.tbl[[#This Row],[Dens]]&gt;900,vp.tbl[[#This Row],[Sulf]]&lt;=0.5,vp.tbl[[#This Row],[Unknown]]=0),1,0)</f>
        <v>0</v>
      </c>
      <c r="AG35" t="str">
        <f>INDEX(vp.tbl[[#Headers],[Unknown]:[Heavy_SW]],MATCH(1,vp.tbl[[#This Row],[Unknown]:[Heavy_SW]],0))</f>
        <v>Medium_LSB</v>
      </c>
      <c r="AH35" t="e">
        <f>INDEX([1]!crudeBD.lkup[Number],MATCH(vp.tbl[[#This Row],[Crude_Breakdown]],[1]!crudeBD.lkup[Crude Breakdown],0))</f>
        <v>#REF!</v>
      </c>
      <c r="AI35">
        <f>MONTH(vp.tbl[[#This Row],[SDate]])</f>
        <v>11</v>
      </c>
      <c r="AJ35" s="5">
        <f>IFERROR(vp.tbl[[#This Row],[Sulf]]*vp.tbl[[#This Row],[Net Dens]],"")</f>
        <v>4320562.0751999989</v>
      </c>
      <c r="AK35" s="5">
        <f>IFERROR(vp.tbl[[#This Row],[Dens]]*vp.tbl[[#This Row],[VolumeM3]],"")</f>
        <v>3000390.3299999996</v>
      </c>
      <c r="AL35" s="5">
        <f>IFERROR(vp.tbl[[#This Row],[VP]]*vp.tbl[[#This Row],[VolumeM3]],"")</f>
        <v>337695.46499999997</v>
      </c>
      <c r="AM35" s="4">
        <f>IFERROR((vp.tbl[[#This Row],[VP]]-INDEX(crudeBD.lkup.complete[Mean_VP],MATCH(vp.tbl[[#This Row],[Crude_Breakdown]],crudeBD.lkup.complete[Crude Breakdown],0)))^2,"")</f>
        <v>211.01644406281162</v>
      </c>
      <c r="AN35" s="4">
        <f>IFERROR((vp.tbl[[#This Row],[Dens]]-INDEX(crudeBD.lkup.complete[Mean_Dens],MATCH(vp.tbl[[#This Row],[Crude_Breakdown]],crudeBD.lkup.complete[Crude Breakdown],0)))^2,"")</f>
        <v>15.146284588359762</v>
      </c>
      <c r="AO35" s="4">
        <f>IFERROR((vp.tbl[[#This Row],[Sulf]]-INDEX(crudeBD.lkup.complete[Mean_Sulf],MATCH(vp.tbl[[#This Row],[Crude_Breakdown]],crudeBD.lkup.complete[Crude Breakdown],0)))^2,"")</f>
        <v>2.2290074229791476E-4</v>
      </c>
      <c r="AP35">
        <f>IF(AND(vp.tbl[[#This Row],[SDate]]&gt;=DATE(YEAR(vp.tbl[[#This Row],[SDate]]),5,1),vp.tbl[[#This Row],[SDate]]&lt;=DATE(YEAR(vp.tbl[[#This Row],[SDate]]),9,15)),1,0)</f>
        <v>0</v>
      </c>
      <c r="AQ35" s="15">
        <f>IF(vp.tbl[[#This Row],[SDate]]&lt;DATE(2016,12,1),0,1)</f>
        <v>0</v>
      </c>
    </row>
    <row r="36" spans="1:43" x14ac:dyDescent="0.25">
      <c r="A36">
        <v>35</v>
      </c>
      <c r="B36" t="s">
        <v>51</v>
      </c>
      <c r="C36" t="s">
        <v>51</v>
      </c>
      <c r="D36" t="s">
        <v>52</v>
      </c>
      <c r="F36" s="1">
        <v>42321</v>
      </c>
      <c r="G36" s="2">
        <v>111.6</v>
      </c>
      <c r="H36" s="2"/>
      <c r="I36" s="2">
        <v>2.2999999999999998</v>
      </c>
      <c r="J36" s="2"/>
      <c r="K36" s="2"/>
      <c r="L36" s="2">
        <v>869</v>
      </c>
      <c r="M36" s="2">
        <v>869</v>
      </c>
      <c r="N36" s="2">
        <f ca="1">INDEX(INDIRECT(_xlfn.CONCAT("weather.tbl[",N$1,"]")),MATCH(vp.tbl[[#This Row],[SDate]],weather.tbl[Date],0))</f>
        <v>1.3666666666666665</v>
      </c>
      <c r="O36" s="2">
        <f ca="1">INDEX(INDIRECT(_xlfn.CONCAT("weather.tbl[",O$1,"]")),MATCH(vp.tbl[[#This Row],[SDate]],weather.tbl[Date],0))</f>
        <v>2.1714285714285717</v>
      </c>
      <c r="P36" s="2">
        <f ca="1">INDEX(INDIRECT(_xlfn.CONCAT("weather.tbl[",P$1,"]")),MATCH(vp.tbl[[#This Row],[SDate]],weather.tbl[Date],0))</f>
        <v>1.8</v>
      </c>
      <c r="Q36" s="2">
        <f ca="1">INDEX(INDIRECT(_xlfn.CONCAT("weather.tbl[",Q$1,"]")),MATCH(vp.tbl[[#This Row],[SDate]],weather.tbl[Date],0))</f>
        <v>1.5</v>
      </c>
      <c r="R36" s="2">
        <f ca="1">INDEX(INDIRECT(_xlfn.CONCAT("weather.tbl[",R$1,"]")),MATCH(vp.tbl[[#This Row],[SDate]],weather.tbl[Date],0))</f>
        <v>3</v>
      </c>
      <c r="S36" s="2">
        <f ca="1">INDEX(INDIRECT(_xlfn.CONCAT("weather.tbl[",S$1,"]")),MATCH(vp.tbl[[#This Row],[SDate]],weather.tbl[Date],0))</f>
        <v>1.3</v>
      </c>
      <c r="T36" s="2">
        <f ca="1">INDEX(INDIRECT(_xlfn.CONCAT("weather.tbl[",T$1,"]")),MATCH(vp.tbl[[#This Row],[SDate]],weather.tbl[Date],0))</f>
        <v>0.4</v>
      </c>
      <c r="U36" s="2">
        <f ca="1">INDEX(INDIRECT(_xlfn.CONCAT("weather.tbl[",U$1,"]")),MATCH(vp.tbl[[#This Row],[SDate]],weather.tbl[Date],0))</f>
        <v>0.2</v>
      </c>
      <c r="V36" s="2">
        <v>7873.1390000000001</v>
      </c>
      <c r="W36" t="s">
        <v>48</v>
      </c>
      <c r="X36">
        <f>IF(OR(vp.tbl[[#This Row],[Sulf]]="",vp.tbl[[#This Row],[Dens]]=""),1,0)</f>
        <v>0</v>
      </c>
      <c r="Y36">
        <f>IF(vp.tbl[[#This Row],[CrudeType]]="C5+",1,0)</f>
        <v>0</v>
      </c>
      <c r="Z36">
        <f>IF(AND(vp.tbl[[#This Row],[CrudeType]]="Crude",vp.tbl[[#This Row],[Dens]]&lt;=825,vp.tbl[[#This Row],[Sulf]]&gt;0.5,vp.tbl[[#This Row],[Unknown]]=0),1,0)</f>
        <v>0</v>
      </c>
      <c r="AA36">
        <f>IF(AND(vp.tbl[[#This Row],[CrudeType]]="Crude",vp.tbl[[#This Row],[Dens]]&lt;=825,vp.tbl[[#This Row],[Sulf]]&lt;=0.5,vp.tbl[[#This Row],[Unknown]]=0),1,0)</f>
        <v>0</v>
      </c>
      <c r="AB36">
        <f>IF(AND(vp.tbl[[#This Row],[CrudeType]]="Crude",vp.tbl[[#This Row],[Dens]]&gt;825,vp.tbl[[#This Row],[Dens]]&lt;=870,vp.tbl[[#This Row],[Sulf]]&gt;0.5,vp.tbl[[#This Row],[Unknown]]=0),1,0)</f>
        <v>1</v>
      </c>
      <c r="AC36">
        <f>IF(AND(vp.tbl[[#This Row],[CrudeType]]="Crude",vp.tbl[[#This Row],[Dens]]&gt;825,vp.tbl[[#This Row],[Dens]]&lt;=900,vp.tbl[[#This Row],[Sulf]]&lt;=0.5,vp.tbl[[#This Row],[Unknown]]=0),1,0)</f>
        <v>0</v>
      </c>
      <c r="AD36">
        <f>IF(AND(vp.tbl[[#This Row],[CrudeType]]="Crude",vp.tbl[[#This Row],[Dens]]&gt;870,vp.tbl[[#This Row],[Dens]]&lt;=900,vp.tbl[[#This Row],[Sulf]]&gt;0.5,vp.tbl[[#This Row],[Unknown]]=0),1,0)</f>
        <v>0</v>
      </c>
      <c r="AE36">
        <f>IF(AND(vp.tbl[[#This Row],[CrudeType]]="Crude",vp.tbl[[#This Row],[Dens]]&gt;900,vp.tbl[[#This Row],[Sulf]]&lt;=0.5,vp.tbl[[#This Row],[Unknown]]=0),1,0)</f>
        <v>0</v>
      </c>
      <c r="AF36">
        <f>IF(AND(vp.tbl[[#This Row],[CrudeType]]="Crude",vp.tbl[[#This Row],[Dens]]&gt;900,vp.tbl[[#This Row],[Sulf]]&lt;=0.5,vp.tbl[[#This Row],[Unknown]]=0),1,0)</f>
        <v>0</v>
      </c>
      <c r="AG36" t="str">
        <f>INDEX(vp.tbl[[#Headers],[Unknown]:[Heavy_SW]],MATCH(1,vp.tbl[[#This Row],[Unknown]:[Heavy_SW]],0))</f>
        <v>Medium_LSB</v>
      </c>
      <c r="AH36" t="e">
        <f>INDEX([1]!crudeBD.lkup[Number],MATCH(vp.tbl[[#This Row],[Crude_Breakdown]],[1]!crudeBD.lkup[Crude Breakdown],0))</f>
        <v>#REF!</v>
      </c>
      <c r="AI36">
        <f>MONTH(vp.tbl[[#This Row],[SDate]])</f>
        <v>11</v>
      </c>
      <c r="AJ36" s="5">
        <f>IFERROR(vp.tbl[[#This Row],[Sulf]]*vp.tbl[[#This Row],[Net Dens]],"")</f>
        <v>15736042.919299999</v>
      </c>
      <c r="AK36" s="5">
        <f>IFERROR(vp.tbl[[#This Row],[Dens]]*vp.tbl[[#This Row],[VolumeM3]],"")</f>
        <v>6841757.7910000002</v>
      </c>
      <c r="AL36" s="5">
        <f>IFERROR(vp.tbl[[#This Row],[VP]]*vp.tbl[[#This Row],[VolumeM3]],"")</f>
        <v>878642.31239999994</v>
      </c>
      <c r="AM36" s="4">
        <f>IFERROR((vp.tbl[[#This Row],[VP]]-INDEX(crudeBD.lkup.complete[Mean_VP],MATCH(vp.tbl[[#This Row],[Crude_Breakdown]],crudeBD.lkup.complete[Crude Breakdown],0)))^2,"")</f>
        <v>987.61893520205297</v>
      </c>
      <c r="AN36" s="4">
        <f>IFERROR((vp.tbl[[#This Row],[Dens]]-INDEX(crudeBD.lkup.complete[Mean_Dens],MATCH(vp.tbl[[#This Row],[Crude_Breakdown]],crudeBD.lkup.complete[Crude Breakdown],0)))^2,"")</f>
        <v>562.0776668668949</v>
      </c>
      <c r="AO36" s="4">
        <f>IFERROR((vp.tbl[[#This Row],[Sulf]]-INDEX(crudeBD.lkup.complete[Mean_Sulf],MATCH(vp.tbl[[#This Row],[Crude_Breakdown]],crudeBD.lkup.complete[Crude Breakdown],0)))^2,"")</f>
        <v>0.71414354023596593</v>
      </c>
      <c r="AP36">
        <f>IF(AND(vp.tbl[[#This Row],[SDate]]&gt;=DATE(YEAR(vp.tbl[[#This Row],[SDate]]),5,1),vp.tbl[[#This Row],[SDate]]&lt;=DATE(YEAR(vp.tbl[[#This Row],[SDate]]),9,15)),1,0)</f>
        <v>0</v>
      </c>
      <c r="AQ36" s="15">
        <f>IF(vp.tbl[[#This Row],[SDate]]&lt;DATE(2016,12,1),0,1)</f>
        <v>0</v>
      </c>
    </row>
    <row r="37" spans="1:43" x14ac:dyDescent="0.25">
      <c r="A37">
        <v>36</v>
      </c>
      <c r="B37" t="s">
        <v>46</v>
      </c>
      <c r="C37" t="s">
        <v>46</v>
      </c>
      <c r="D37" t="s">
        <v>47</v>
      </c>
      <c r="F37" s="1">
        <v>42321</v>
      </c>
      <c r="G37" s="2">
        <v>70.8</v>
      </c>
      <c r="H37" s="2"/>
      <c r="I37" s="2">
        <v>2.41</v>
      </c>
      <c r="J37" s="2"/>
      <c r="K37" s="2"/>
      <c r="L37" s="2">
        <v>870.6</v>
      </c>
      <c r="M37" s="2">
        <v>870.6</v>
      </c>
      <c r="N37" s="2">
        <f ca="1">INDEX(INDIRECT(_xlfn.CONCAT("weather.tbl[",N$1,"]")),MATCH(vp.tbl[[#This Row],[SDate]],weather.tbl[Date],0))</f>
        <v>1.3666666666666665</v>
      </c>
      <c r="O37" s="2">
        <f ca="1">INDEX(INDIRECT(_xlfn.CONCAT("weather.tbl[",O$1,"]")),MATCH(vp.tbl[[#This Row],[SDate]],weather.tbl[Date],0))</f>
        <v>2.1714285714285717</v>
      </c>
      <c r="P37" s="2">
        <f ca="1">INDEX(INDIRECT(_xlfn.CONCAT("weather.tbl[",P$1,"]")),MATCH(vp.tbl[[#This Row],[SDate]],weather.tbl[Date],0))</f>
        <v>1.8</v>
      </c>
      <c r="Q37" s="2">
        <f ca="1">INDEX(INDIRECT(_xlfn.CONCAT("weather.tbl[",Q$1,"]")),MATCH(vp.tbl[[#This Row],[SDate]],weather.tbl[Date],0))</f>
        <v>1.5</v>
      </c>
      <c r="R37" s="2">
        <f ca="1">INDEX(INDIRECT(_xlfn.CONCAT("weather.tbl[",R$1,"]")),MATCH(vp.tbl[[#This Row],[SDate]],weather.tbl[Date],0))</f>
        <v>3</v>
      </c>
      <c r="S37" s="2">
        <f ca="1">INDEX(INDIRECT(_xlfn.CONCAT("weather.tbl[",S$1,"]")),MATCH(vp.tbl[[#This Row],[SDate]],weather.tbl[Date],0))</f>
        <v>1.3</v>
      </c>
      <c r="T37" s="2">
        <f ca="1">INDEX(INDIRECT(_xlfn.CONCAT("weather.tbl[",T$1,"]")),MATCH(vp.tbl[[#This Row],[SDate]],weather.tbl[Date],0))</f>
        <v>0.4</v>
      </c>
      <c r="U37" s="2">
        <f ca="1">INDEX(INDIRECT(_xlfn.CONCAT("weather.tbl[",U$1,"]")),MATCH(vp.tbl[[#This Row],[SDate]],weather.tbl[Date],0))</f>
        <v>0.2</v>
      </c>
      <c r="V37" s="2">
        <v>113621.71</v>
      </c>
      <c r="W37" t="s">
        <v>48</v>
      </c>
      <c r="X37">
        <f>IF(OR(vp.tbl[[#This Row],[Sulf]]="",vp.tbl[[#This Row],[Dens]]=""),1,0)</f>
        <v>0</v>
      </c>
      <c r="Y37">
        <f>IF(vp.tbl[[#This Row],[CrudeType]]="C5+",1,0)</f>
        <v>0</v>
      </c>
      <c r="Z37">
        <f>IF(AND(vp.tbl[[#This Row],[CrudeType]]="Crude",vp.tbl[[#This Row],[Dens]]&lt;=825,vp.tbl[[#This Row],[Sulf]]&gt;0.5,vp.tbl[[#This Row],[Unknown]]=0),1,0)</f>
        <v>0</v>
      </c>
      <c r="AA37">
        <f>IF(AND(vp.tbl[[#This Row],[CrudeType]]="Crude",vp.tbl[[#This Row],[Dens]]&lt;=825,vp.tbl[[#This Row],[Sulf]]&lt;=0.5,vp.tbl[[#This Row],[Unknown]]=0),1,0)</f>
        <v>0</v>
      </c>
      <c r="AB37">
        <f>IF(AND(vp.tbl[[#This Row],[CrudeType]]="Crude",vp.tbl[[#This Row],[Dens]]&gt;825,vp.tbl[[#This Row],[Dens]]&lt;=870,vp.tbl[[#This Row],[Sulf]]&gt;0.5,vp.tbl[[#This Row],[Unknown]]=0),1,0)</f>
        <v>0</v>
      </c>
      <c r="AC37">
        <f>IF(AND(vp.tbl[[#This Row],[CrudeType]]="Crude",vp.tbl[[#This Row],[Dens]]&gt;825,vp.tbl[[#This Row],[Dens]]&lt;=900,vp.tbl[[#This Row],[Sulf]]&lt;=0.5,vp.tbl[[#This Row],[Unknown]]=0),1,0)</f>
        <v>0</v>
      </c>
      <c r="AD37">
        <f>IF(AND(vp.tbl[[#This Row],[CrudeType]]="Crude",vp.tbl[[#This Row],[Dens]]&gt;870,vp.tbl[[#This Row],[Dens]]&lt;=900,vp.tbl[[#This Row],[Sulf]]&gt;0.5,vp.tbl[[#This Row],[Unknown]]=0),1,0)</f>
        <v>1</v>
      </c>
      <c r="AE37">
        <f>IF(AND(vp.tbl[[#This Row],[CrudeType]]="Crude",vp.tbl[[#This Row],[Dens]]&gt;900,vp.tbl[[#This Row],[Sulf]]&lt;=0.5,vp.tbl[[#This Row],[Unknown]]=0),1,0)</f>
        <v>0</v>
      </c>
      <c r="AF37">
        <f>IF(AND(vp.tbl[[#This Row],[CrudeType]]="Crude",vp.tbl[[#This Row],[Dens]]&gt;900,vp.tbl[[#This Row],[Sulf]]&lt;=0.5,vp.tbl[[#This Row],[Unknown]]=0),1,0)</f>
        <v>0</v>
      </c>
      <c r="AG37" t="str">
        <f>INDEX(vp.tbl[[#Headers],[Unknown]:[Heavy_SW]],MATCH(1,vp.tbl[[#This Row],[Unknown]:[Heavy_SW]],0))</f>
        <v>Midale</v>
      </c>
      <c r="AH37" t="e">
        <f>INDEX([1]!crudeBD.lkup[Number],MATCH(vp.tbl[[#This Row],[Crude_Breakdown]],[1]!crudeBD.lkup[Crude Breakdown],0))</f>
        <v>#REF!</v>
      </c>
      <c r="AI37">
        <f>MONTH(vp.tbl[[#This Row],[SDate]])</f>
        <v>11</v>
      </c>
      <c r="AJ37" s="5">
        <f>IFERROR(vp.tbl[[#This Row],[Sulf]]*vp.tbl[[#This Row],[Net Dens]],"")</f>
        <v>238394936.34966004</v>
      </c>
      <c r="AK37" s="5">
        <f>IFERROR(vp.tbl[[#This Row],[Dens]]*vp.tbl[[#This Row],[VolumeM3]],"")</f>
        <v>98919060.726000011</v>
      </c>
      <c r="AL37" s="5">
        <f>IFERROR(vp.tbl[[#This Row],[VP]]*vp.tbl[[#This Row],[VolumeM3]],"")</f>
        <v>8044417.068</v>
      </c>
      <c r="AM37" s="4">
        <f>IFERROR((vp.tbl[[#This Row],[VP]]-INDEX(crudeBD.lkup.complete[Mean_VP],MATCH(vp.tbl[[#This Row],[Crude_Breakdown]],crudeBD.lkup.complete[Crude Breakdown],0)))^2,"")</f>
        <v>6.5620191405516168</v>
      </c>
      <c r="AN37" s="4">
        <f>IFERROR((vp.tbl[[#This Row],[Dens]]-INDEX(crudeBD.lkup.complete[Mean_Dens],MATCH(vp.tbl[[#This Row],[Crude_Breakdown]],crudeBD.lkup.complete[Crude Breakdown],0)))^2,"")</f>
        <v>48.331065866011613</v>
      </c>
      <c r="AO37" s="4">
        <f>IFERROR((vp.tbl[[#This Row],[Sulf]]-INDEX(crudeBD.lkup.complete[Mean_Sulf],MATCH(vp.tbl[[#This Row],[Crude_Breakdown]],crudeBD.lkup.complete[Crude Breakdown],0)))^2,"")</f>
        <v>2.8517063032449047E-5</v>
      </c>
      <c r="AP37">
        <f>IF(AND(vp.tbl[[#This Row],[SDate]]&gt;=DATE(YEAR(vp.tbl[[#This Row],[SDate]]),5,1),vp.tbl[[#This Row],[SDate]]&lt;=DATE(YEAR(vp.tbl[[#This Row],[SDate]]),9,15)),1,0)</f>
        <v>0</v>
      </c>
      <c r="AQ37" s="15">
        <f>IF(vp.tbl[[#This Row],[SDate]]&lt;DATE(2016,12,1),0,1)</f>
        <v>0</v>
      </c>
    </row>
    <row r="38" spans="1:43" x14ac:dyDescent="0.25">
      <c r="A38">
        <v>37</v>
      </c>
      <c r="B38" t="s">
        <v>49</v>
      </c>
      <c r="C38" t="s">
        <v>49</v>
      </c>
      <c r="D38" t="s">
        <v>50</v>
      </c>
      <c r="F38" s="1">
        <v>42321</v>
      </c>
      <c r="G38" s="2">
        <v>115.1</v>
      </c>
      <c r="H38" s="2"/>
      <c r="I38" s="2">
        <v>2.59</v>
      </c>
      <c r="J38" s="2"/>
      <c r="K38" s="2"/>
      <c r="L38" s="2">
        <v>875.8</v>
      </c>
      <c r="M38" s="2">
        <v>875.8</v>
      </c>
      <c r="N38" s="2">
        <f ca="1">INDEX(INDIRECT(_xlfn.CONCAT("weather.tbl[",N$1,"]")),MATCH(vp.tbl[[#This Row],[SDate]],weather.tbl[Date],0))</f>
        <v>1.3666666666666665</v>
      </c>
      <c r="O38" s="2">
        <f ca="1">INDEX(INDIRECT(_xlfn.CONCAT("weather.tbl[",O$1,"]")),MATCH(vp.tbl[[#This Row],[SDate]],weather.tbl[Date],0))</f>
        <v>2.1714285714285717</v>
      </c>
      <c r="P38" s="2">
        <f ca="1">INDEX(INDIRECT(_xlfn.CONCAT("weather.tbl[",P$1,"]")),MATCH(vp.tbl[[#This Row],[SDate]],weather.tbl[Date],0))</f>
        <v>1.8</v>
      </c>
      <c r="Q38" s="2">
        <f ca="1">INDEX(INDIRECT(_xlfn.CONCAT("weather.tbl[",Q$1,"]")),MATCH(vp.tbl[[#This Row],[SDate]],weather.tbl[Date],0))</f>
        <v>1.5</v>
      </c>
      <c r="R38" s="2">
        <f ca="1">INDEX(INDIRECT(_xlfn.CONCAT("weather.tbl[",R$1,"]")),MATCH(vp.tbl[[#This Row],[SDate]],weather.tbl[Date],0))</f>
        <v>3</v>
      </c>
      <c r="S38" s="2">
        <f ca="1">INDEX(INDIRECT(_xlfn.CONCAT("weather.tbl[",S$1,"]")),MATCH(vp.tbl[[#This Row],[SDate]],weather.tbl[Date],0))</f>
        <v>1.3</v>
      </c>
      <c r="T38" s="2">
        <f ca="1">INDEX(INDIRECT(_xlfn.CONCAT("weather.tbl[",T$1,"]")),MATCH(vp.tbl[[#This Row],[SDate]],weather.tbl[Date],0))</f>
        <v>0.4</v>
      </c>
      <c r="U38" s="2">
        <f ca="1">INDEX(INDIRECT(_xlfn.CONCAT("weather.tbl[",U$1,"]")),MATCH(vp.tbl[[#This Row],[SDate]],weather.tbl[Date],0))</f>
        <v>0.2</v>
      </c>
      <c r="V38" s="2">
        <v>7369.9489999999996</v>
      </c>
      <c r="W38" t="s">
        <v>48</v>
      </c>
      <c r="X38">
        <f>IF(OR(vp.tbl[[#This Row],[Sulf]]="",vp.tbl[[#This Row],[Dens]]=""),1,0)</f>
        <v>0</v>
      </c>
      <c r="Y38">
        <f>IF(vp.tbl[[#This Row],[CrudeType]]="C5+",1,0)</f>
        <v>0</v>
      </c>
      <c r="Z38">
        <f>IF(AND(vp.tbl[[#This Row],[CrudeType]]="Crude",vp.tbl[[#This Row],[Dens]]&lt;=825,vp.tbl[[#This Row],[Sulf]]&gt;0.5,vp.tbl[[#This Row],[Unknown]]=0),1,0)</f>
        <v>0</v>
      </c>
      <c r="AA38">
        <f>IF(AND(vp.tbl[[#This Row],[CrudeType]]="Crude",vp.tbl[[#This Row],[Dens]]&lt;=825,vp.tbl[[#This Row],[Sulf]]&lt;=0.5,vp.tbl[[#This Row],[Unknown]]=0),1,0)</f>
        <v>0</v>
      </c>
      <c r="AB38">
        <f>IF(AND(vp.tbl[[#This Row],[CrudeType]]="Crude",vp.tbl[[#This Row],[Dens]]&gt;825,vp.tbl[[#This Row],[Dens]]&lt;=870,vp.tbl[[#This Row],[Sulf]]&gt;0.5,vp.tbl[[#This Row],[Unknown]]=0),1,0)</f>
        <v>0</v>
      </c>
      <c r="AC38">
        <f>IF(AND(vp.tbl[[#This Row],[CrudeType]]="Crude",vp.tbl[[#This Row],[Dens]]&gt;825,vp.tbl[[#This Row],[Dens]]&lt;=900,vp.tbl[[#This Row],[Sulf]]&lt;=0.5,vp.tbl[[#This Row],[Unknown]]=0),1,0)</f>
        <v>0</v>
      </c>
      <c r="AD38">
        <f>IF(AND(vp.tbl[[#This Row],[CrudeType]]="Crude",vp.tbl[[#This Row],[Dens]]&gt;870,vp.tbl[[#This Row],[Dens]]&lt;=900,vp.tbl[[#This Row],[Sulf]]&gt;0.5,vp.tbl[[#This Row],[Unknown]]=0),1,0)</f>
        <v>1</v>
      </c>
      <c r="AE38">
        <f>IF(AND(vp.tbl[[#This Row],[CrudeType]]="Crude",vp.tbl[[#This Row],[Dens]]&gt;900,vp.tbl[[#This Row],[Sulf]]&lt;=0.5,vp.tbl[[#This Row],[Unknown]]=0),1,0)</f>
        <v>0</v>
      </c>
      <c r="AF38">
        <f>IF(AND(vp.tbl[[#This Row],[CrudeType]]="Crude",vp.tbl[[#This Row],[Dens]]&gt;900,vp.tbl[[#This Row],[Sulf]]&lt;=0.5,vp.tbl[[#This Row],[Unknown]]=0),1,0)</f>
        <v>0</v>
      </c>
      <c r="AG38" t="str">
        <f>INDEX(vp.tbl[[#Headers],[Unknown]:[Heavy_SW]],MATCH(1,vp.tbl[[#This Row],[Unknown]:[Heavy_SW]],0))</f>
        <v>Midale</v>
      </c>
      <c r="AH38" t="e">
        <f>INDEX([1]!crudeBD.lkup[Number],MATCH(vp.tbl[[#This Row],[Crude_Breakdown]],[1]!crudeBD.lkup[Crude Breakdown],0))</f>
        <v>#REF!</v>
      </c>
      <c r="AI38">
        <f>MONTH(vp.tbl[[#This Row],[SDate]])</f>
        <v>11</v>
      </c>
      <c r="AJ38" s="5">
        <f>IFERROR(vp.tbl[[#This Row],[Sulf]]*vp.tbl[[#This Row],[Net Dens]],"")</f>
        <v>16717417.455577997</v>
      </c>
      <c r="AK38" s="5">
        <f>IFERROR(vp.tbl[[#This Row],[Dens]]*vp.tbl[[#This Row],[VolumeM3]],"")</f>
        <v>6454601.3341999995</v>
      </c>
      <c r="AL38" s="5">
        <f>IFERROR(vp.tbl[[#This Row],[VP]]*vp.tbl[[#This Row],[VolumeM3]],"")</f>
        <v>848281.12989999994</v>
      </c>
      <c r="AM38" s="4">
        <f>IFERROR((vp.tbl[[#This Row],[VP]]-INDEX(crudeBD.lkup.complete[Mean_VP],MATCH(vp.tbl[[#This Row],[Crude_Breakdown]],crudeBD.lkup.complete[Crude Breakdown],0)))^2,"")</f>
        <v>2196.0136629761664</v>
      </c>
      <c r="AN38" s="4">
        <f>IFERROR((vp.tbl[[#This Row],[Dens]]-INDEX(crudeBD.lkup.complete[Mean_Dens],MATCH(vp.tbl[[#This Row],[Crude_Breakdown]],crudeBD.lkup.complete[Crude Breakdown],0)))^2,"")</f>
        <v>3.0696960030015381</v>
      </c>
      <c r="AO38" s="4">
        <f>IFERROR((vp.tbl[[#This Row],[Sulf]]-INDEX(crudeBD.lkup.complete[Mean_Sulf],MATCH(vp.tbl[[#This Row],[Crude_Breakdown]],crudeBD.lkup.complete[Crude Breakdown],0)))^2,"")</f>
        <v>3.0506067747964355E-2</v>
      </c>
      <c r="AP38">
        <f>IF(AND(vp.tbl[[#This Row],[SDate]]&gt;=DATE(YEAR(vp.tbl[[#This Row],[SDate]]),5,1),vp.tbl[[#This Row],[SDate]]&lt;=DATE(YEAR(vp.tbl[[#This Row],[SDate]]),9,15)),1,0)</f>
        <v>0</v>
      </c>
      <c r="AQ38" s="15">
        <f>IF(vp.tbl[[#This Row],[SDate]]&lt;DATE(2016,12,1),0,1)</f>
        <v>0</v>
      </c>
    </row>
    <row r="39" spans="1:43" x14ac:dyDescent="0.25">
      <c r="A39">
        <v>38</v>
      </c>
      <c r="B39" t="s">
        <v>51</v>
      </c>
      <c r="C39" t="s">
        <v>51</v>
      </c>
      <c r="D39" t="s">
        <v>66</v>
      </c>
      <c r="F39" s="1">
        <v>42325</v>
      </c>
      <c r="G39" s="2">
        <v>120</v>
      </c>
      <c r="H39" s="2"/>
      <c r="I39" s="2">
        <v>1.1200000000000001</v>
      </c>
      <c r="J39" s="2"/>
      <c r="K39" s="2"/>
      <c r="L39" s="2">
        <v>824</v>
      </c>
      <c r="M39" s="2">
        <v>824</v>
      </c>
      <c r="N39" s="2">
        <f ca="1">INDEX(INDIRECT(_xlfn.CONCAT("weather.tbl[",N$1,"]")),MATCH(vp.tbl[[#This Row],[SDate]],weather.tbl[Date],0))</f>
        <v>-0.38333333333333336</v>
      </c>
      <c r="O39" s="2">
        <f ca="1">INDEX(INDIRECT(_xlfn.CONCAT("weather.tbl[",O$1,"]")),MATCH(vp.tbl[[#This Row],[SDate]],weather.tbl[Date],0))</f>
        <v>2.0904761904761906</v>
      </c>
      <c r="P39" s="2">
        <f ca="1">INDEX(INDIRECT(_xlfn.CONCAT("weather.tbl[",P$1,"]")),MATCH(vp.tbl[[#This Row],[SDate]],weather.tbl[Date],0))</f>
        <v>-1.5</v>
      </c>
      <c r="Q39" s="2">
        <f ca="1">INDEX(INDIRECT(_xlfn.CONCAT("weather.tbl[",Q$1,"]")),MATCH(vp.tbl[[#This Row],[SDate]],weather.tbl[Date],0))</f>
        <v>-1.2</v>
      </c>
      <c r="R39" s="2">
        <f ca="1">INDEX(INDIRECT(_xlfn.CONCAT("weather.tbl[",R$1,"]")),MATCH(vp.tbl[[#This Row],[SDate]],weather.tbl[Date],0))</f>
        <v>-1</v>
      </c>
      <c r="S39" s="2">
        <f ca="1">INDEX(INDIRECT(_xlfn.CONCAT("weather.tbl[",S$1,"]")),MATCH(vp.tbl[[#This Row],[SDate]],weather.tbl[Date],0))</f>
        <v>2.5</v>
      </c>
      <c r="T39" s="2">
        <f ca="1">INDEX(INDIRECT(_xlfn.CONCAT("weather.tbl[",T$1,"]")),MATCH(vp.tbl[[#This Row],[SDate]],weather.tbl[Date],0))</f>
        <v>0.4</v>
      </c>
      <c r="U39" s="2">
        <f ca="1">INDEX(INDIRECT(_xlfn.CONCAT("weather.tbl[",U$1,"]")),MATCH(vp.tbl[[#This Row],[SDate]],weather.tbl[Date],0))</f>
        <v>-1.5</v>
      </c>
      <c r="V39" s="2">
        <v>4727.3119999999999</v>
      </c>
      <c r="W39" t="s">
        <v>48</v>
      </c>
      <c r="X39">
        <f>IF(OR(vp.tbl[[#This Row],[Sulf]]="",vp.tbl[[#This Row],[Dens]]=""),1,0)</f>
        <v>0</v>
      </c>
      <c r="Y39">
        <f>IF(vp.tbl[[#This Row],[CrudeType]]="C5+",1,0)</f>
        <v>0</v>
      </c>
      <c r="Z39">
        <f>IF(AND(vp.tbl[[#This Row],[CrudeType]]="Crude",vp.tbl[[#This Row],[Dens]]&lt;=825,vp.tbl[[#This Row],[Sulf]]&gt;0.5,vp.tbl[[#This Row],[Unknown]]=0),1,0)</f>
        <v>1</v>
      </c>
      <c r="AA39">
        <f>IF(AND(vp.tbl[[#This Row],[CrudeType]]="Crude",vp.tbl[[#This Row],[Dens]]&lt;=825,vp.tbl[[#This Row],[Sulf]]&lt;=0.5,vp.tbl[[#This Row],[Unknown]]=0),1,0)</f>
        <v>0</v>
      </c>
      <c r="AB39">
        <f>IF(AND(vp.tbl[[#This Row],[CrudeType]]="Crude",vp.tbl[[#This Row],[Dens]]&gt;825,vp.tbl[[#This Row],[Dens]]&lt;=870,vp.tbl[[#This Row],[Sulf]]&gt;0.5,vp.tbl[[#This Row],[Unknown]]=0),1,0)</f>
        <v>0</v>
      </c>
      <c r="AC39">
        <f>IF(AND(vp.tbl[[#This Row],[CrudeType]]="Crude",vp.tbl[[#This Row],[Dens]]&gt;825,vp.tbl[[#This Row],[Dens]]&lt;=900,vp.tbl[[#This Row],[Sulf]]&lt;=0.5,vp.tbl[[#This Row],[Unknown]]=0),1,0)</f>
        <v>0</v>
      </c>
      <c r="AD39">
        <f>IF(AND(vp.tbl[[#This Row],[CrudeType]]="Crude",vp.tbl[[#This Row],[Dens]]&gt;870,vp.tbl[[#This Row],[Dens]]&lt;=900,vp.tbl[[#This Row],[Sulf]]&gt;0.5,vp.tbl[[#This Row],[Unknown]]=0),1,0)</f>
        <v>0</v>
      </c>
      <c r="AE39">
        <f>IF(AND(vp.tbl[[#This Row],[CrudeType]]="Crude",vp.tbl[[#This Row],[Dens]]&gt;900,vp.tbl[[#This Row],[Sulf]]&lt;=0.5,vp.tbl[[#This Row],[Unknown]]=0),1,0)</f>
        <v>0</v>
      </c>
      <c r="AF39">
        <f>IF(AND(vp.tbl[[#This Row],[CrudeType]]="Crude",vp.tbl[[#This Row],[Dens]]&gt;900,vp.tbl[[#This Row],[Sulf]]&lt;=0.5,vp.tbl[[#This Row],[Unknown]]=0),1,0)</f>
        <v>0</v>
      </c>
      <c r="AG39" t="str">
        <f>INDEX(vp.tbl[[#Headers],[Unknown]:[Heavy_SW]],MATCH(1,vp.tbl[[#This Row],[Unknown]:[Heavy_SW]],0))</f>
        <v>Light_LSB</v>
      </c>
      <c r="AH39" t="e">
        <f>INDEX([1]!crudeBD.lkup[Number],MATCH(vp.tbl[[#This Row],[Crude_Breakdown]],[1]!crudeBD.lkup[Crude Breakdown],0))</f>
        <v>#REF!</v>
      </c>
      <c r="AI39">
        <f>MONTH(vp.tbl[[#This Row],[SDate]])</f>
        <v>11</v>
      </c>
      <c r="AJ39" s="5">
        <f>IFERROR(vp.tbl[[#This Row],[Sulf]]*vp.tbl[[#This Row],[Net Dens]],"")</f>
        <v>4362741.6985600004</v>
      </c>
      <c r="AK39" s="5">
        <f>IFERROR(vp.tbl[[#This Row],[Dens]]*vp.tbl[[#This Row],[VolumeM3]],"")</f>
        <v>3895305.088</v>
      </c>
      <c r="AL39" s="5">
        <f>IFERROR(vp.tbl[[#This Row],[VP]]*vp.tbl[[#This Row],[VolumeM3]],"")</f>
        <v>567277.43999999994</v>
      </c>
      <c r="AM39" s="4">
        <f>IFERROR((vp.tbl[[#This Row],[VP]]-INDEX(crudeBD.lkup.complete[Mean_VP],MATCH(vp.tbl[[#This Row],[Crude_Breakdown]],crudeBD.lkup.complete[Crude Breakdown],0)))^2,"")</f>
        <v>809.61955578701065</v>
      </c>
      <c r="AN39" s="4">
        <f>IFERROR((vp.tbl[[#This Row],[Dens]]-INDEX(crudeBD.lkup.complete[Mean_Dens],MATCH(vp.tbl[[#This Row],[Crude_Breakdown]],crudeBD.lkup.complete[Crude Breakdown],0)))^2,"")</f>
        <v>30.06581387088357</v>
      </c>
      <c r="AO39" s="4">
        <f>IFERROR((vp.tbl[[#This Row],[Sulf]]-INDEX(crudeBD.lkup.complete[Mean_Sulf],MATCH(vp.tbl[[#This Row],[Crude_Breakdown]],crudeBD.lkup.complete[Crude Breakdown],0)))^2,"")</f>
        <v>3.8820360487619561E-2</v>
      </c>
      <c r="AP39">
        <f>IF(AND(vp.tbl[[#This Row],[SDate]]&gt;=DATE(YEAR(vp.tbl[[#This Row],[SDate]]),5,1),vp.tbl[[#This Row],[SDate]]&lt;=DATE(YEAR(vp.tbl[[#This Row],[SDate]]),9,15)),1,0)</f>
        <v>0</v>
      </c>
      <c r="AQ39" s="15">
        <f>IF(vp.tbl[[#This Row],[SDate]]&lt;DATE(2016,12,1),0,1)</f>
        <v>0</v>
      </c>
    </row>
    <row r="40" spans="1:43" x14ac:dyDescent="0.25">
      <c r="A40">
        <v>39</v>
      </c>
      <c r="B40" t="s">
        <v>56</v>
      </c>
      <c r="C40" t="s">
        <v>56</v>
      </c>
      <c r="D40" t="s">
        <v>57</v>
      </c>
      <c r="F40" s="1">
        <v>42325</v>
      </c>
      <c r="G40" s="2">
        <v>91.1</v>
      </c>
      <c r="H40" s="2"/>
      <c r="I40" s="2">
        <v>1.44</v>
      </c>
      <c r="J40" s="2"/>
      <c r="K40" s="2"/>
      <c r="L40" s="2">
        <v>840</v>
      </c>
      <c r="M40" s="2">
        <v>840</v>
      </c>
      <c r="N40" s="2">
        <f ca="1">INDEX(INDIRECT(_xlfn.CONCAT("weather.tbl[",N$1,"]")),MATCH(vp.tbl[[#This Row],[SDate]],weather.tbl[Date],0))</f>
        <v>-0.38333333333333336</v>
      </c>
      <c r="O40" s="2">
        <f ca="1">INDEX(INDIRECT(_xlfn.CONCAT("weather.tbl[",O$1,"]")),MATCH(vp.tbl[[#This Row],[SDate]],weather.tbl[Date],0))</f>
        <v>2.0904761904761906</v>
      </c>
      <c r="P40" s="2">
        <f ca="1">INDEX(INDIRECT(_xlfn.CONCAT("weather.tbl[",P$1,"]")),MATCH(vp.tbl[[#This Row],[SDate]],weather.tbl[Date],0))</f>
        <v>-1.5</v>
      </c>
      <c r="Q40" s="2">
        <f ca="1">INDEX(INDIRECT(_xlfn.CONCAT("weather.tbl[",Q$1,"]")),MATCH(vp.tbl[[#This Row],[SDate]],weather.tbl[Date],0))</f>
        <v>-1.2</v>
      </c>
      <c r="R40" s="2">
        <f ca="1">INDEX(INDIRECT(_xlfn.CONCAT("weather.tbl[",R$1,"]")),MATCH(vp.tbl[[#This Row],[SDate]],weather.tbl[Date],0))</f>
        <v>-1</v>
      </c>
      <c r="S40" s="2">
        <f ca="1">INDEX(INDIRECT(_xlfn.CONCAT("weather.tbl[",S$1,"]")),MATCH(vp.tbl[[#This Row],[SDate]],weather.tbl[Date],0))</f>
        <v>2.5</v>
      </c>
      <c r="T40" s="2">
        <f ca="1">INDEX(INDIRECT(_xlfn.CONCAT("weather.tbl[",T$1,"]")),MATCH(vp.tbl[[#This Row],[SDate]],weather.tbl[Date],0))</f>
        <v>0.4</v>
      </c>
      <c r="U40" s="2">
        <f ca="1">INDEX(INDIRECT(_xlfn.CONCAT("weather.tbl[",U$1,"]")),MATCH(vp.tbl[[#This Row],[SDate]],weather.tbl[Date],0))</f>
        <v>-1.5</v>
      </c>
      <c r="V40" s="2">
        <v>3565.95</v>
      </c>
      <c r="W40" t="s">
        <v>48</v>
      </c>
      <c r="X40">
        <f>IF(OR(vp.tbl[[#This Row],[Sulf]]="",vp.tbl[[#This Row],[Dens]]=""),1,0)</f>
        <v>0</v>
      </c>
      <c r="Y40">
        <f>IF(vp.tbl[[#This Row],[CrudeType]]="C5+",1,0)</f>
        <v>0</v>
      </c>
      <c r="Z40">
        <f>IF(AND(vp.tbl[[#This Row],[CrudeType]]="Crude",vp.tbl[[#This Row],[Dens]]&lt;=825,vp.tbl[[#This Row],[Sulf]]&gt;0.5,vp.tbl[[#This Row],[Unknown]]=0),1,0)</f>
        <v>0</v>
      </c>
      <c r="AA40">
        <f>IF(AND(vp.tbl[[#This Row],[CrudeType]]="Crude",vp.tbl[[#This Row],[Dens]]&lt;=825,vp.tbl[[#This Row],[Sulf]]&lt;=0.5,vp.tbl[[#This Row],[Unknown]]=0),1,0)</f>
        <v>0</v>
      </c>
      <c r="AB40">
        <f>IF(AND(vp.tbl[[#This Row],[CrudeType]]="Crude",vp.tbl[[#This Row],[Dens]]&gt;825,vp.tbl[[#This Row],[Dens]]&lt;=870,vp.tbl[[#This Row],[Sulf]]&gt;0.5,vp.tbl[[#This Row],[Unknown]]=0),1,0)</f>
        <v>1</v>
      </c>
      <c r="AC40">
        <f>IF(AND(vp.tbl[[#This Row],[CrudeType]]="Crude",vp.tbl[[#This Row],[Dens]]&gt;825,vp.tbl[[#This Row],[Dens]]&lt;=900,vp.tbl[[#This Row],[Sulf]]&lt;=0.5,vp.tbl[[#This Row],[Unknown]]=0),1,0)</f>
        <v>0</v>
      </c>
      <c r="AD40">
        <f>IF(AND(vp.tbl[[#This Row],[CrudeType]]="Crude",vp.tbl[[#This Row],[Dens]]&gt;870,vp.tbl[[#This Row],[Dens]]&lt;=900,vp.tbl[[#This Row],[Sulf]]&gt;0.5,vp.tbl[[#This Row],[Unknown]]=0),1,0)</f>
        <v>0</v>
      </c>
      <c r="AE40">
        <f>IF(AND(vp.tbl[[#This Row],[CrudeType]]="Crude",vp.tbl[[#This Row],[Dens]]&gt;900,vp.tbl[[#This Row],[Sulf]]&lt;=0.5,vp.tbl[[#This Row],[Unknown]]=0),1,0)</f>
        <v>0</v>
      </c>
      <c r="AF40">
        <f>IF(AND(vp.tbl[[#This Row],[CrudeType]]="Crude",vp.tbl[[#This Row],[Dens]]&gt;900,vp.tbl[[#This Row],[Sulf]]&lt;=0.5,vp.tbl[[#This Row],[Unknown]]=0),1,0)</f>
        <v>0</v>
      </c>
      <c r="AG40" t="str">
        <f>INDEX(vp.tbl[[#Headers],[Unknown]:[Heavy_SW]],MATCH(1,vp.tbl[[#This Row],[Unknown]:[Heavy_SW]],0))</f>
        <v>Medium_LSB</v>
      </c>
      <c r="AH40" t="e">
        <f>INDEX([1]!crudeBD.lkup[Number],MATCH(vp.tbl[[#This Row],[Crude_Breakdown]],[1]!crudeBD.lkup[Crude Breakdown],0))</f>
        <v>#REF!</v>
      </c>
      <c r="AI40">
        <f>MONTH(vp.tbl[[#This Row],[SDate]])</f>
        <v>11</v>
      </c>
      <c r="AJ40" s="5">
        <f>IFERROR(vp.tbl[[#This Row],[Sulf]]*vp.tbl[[#This Row],[Net Dens]],"")</f>
        <v>4313373.12</v>
      </c>
      <c r="AK40" s="5">
        <f>IFERROR(vp.tbl[[#This Row],[Dens]]*vp.tbl[[#This Row],[VolumeM3]],"")</f>
        <v>2995398</v>
      </c>
      <c r="AL40" s="5">
        <f>IFERROR(vp.tbl[[#This Row],[VP]]*vp.tbl[[#This Row],[VolumeM3]],"")</f>
        <v>324858.04499999998</v>
      </c>
      <c r="AM40" s="4">
        <f>IFERROR((vp.tbl[[#This Row],[VP]]-INDEX(crudeBD.lkup.complete[Mean_VP],MATCH(vp.tbl[[#This Row],[Crude_Breakdown]],crudeBD.lkup.complete[Crude Breakdown],0)))^2,"")</f>
        <v>119.38632760711492</v>
      </c>
      <c r="AN40" s="4">
        <f>IFERROR((vp.tbl[[#This Row],[Dens]]-INDEX(crudeBD.lkup.complete[Mean_Dens],MATCH(vp.tbl[[#This Row],[Crude_Breakdown]],crudeBD.lkup.complete[Crude Breakdown],0)))^2,"")</f>
        <v>28.003388385825183</v>
      </c>
      <c r="AO40" s="4">
        <f>IFERROR((vp.tbl[[#This Row],[Sulf]]-INDEX(crudeBD.lkup.complete[Mean_Sulf],MATCH(vp.tbl[[#This Row],[Crude_Breakdown]],crudeBD.lkup.complete[Crude Breakdown],0)))^2,"")</f>
        <v>2.2290074229791476E-4</v>
      </c>
      <c r="AP40">
        <f>IF(AND(vp.tbl[[#This Row],[SDate]]&gt;=DATE(YEAR(vp.tbl[[#This Row],[SDate]]),5,1),vp.tbl[[#This Row],[SDate]]&lt;=DATE(YEAR(vp.tbl[[#This Row],[SDate]]),9,15)),1,0)</f>
        <v>0</v>
      </c>
      <c r="AQ40" s="15">
        <f>IF(vp.tbl[[#This Row],[SDate]]&lt;DATE(2016,12,1),0,1)</f>
        <v>0</v>
      </c>
    </row>
    <row r="41" spans="1:43" x14ac:dyDescent="0.25">
      <c r="A41">
        <v>40</v>
      </c>
      <c r="B41" t="s">
        <v>51</v>
      </c>
      <c r="C41" t="s">
        <v>51</v>
      </c>
      <c r="D41" t="s">
        <v>58</v>
      </c>
      <c r="F41" s="1">
        <v>42325</v>
      </c>
      <c r="G41" s="2">
        <v>92</v>
      </c>
      <c r="H41" s="2"/>
      <c r="I41" s="2">
        <v>1.28</v>
      </c>
      <c r="J41" s="2"/>
      <c r="K41" s="2"/>
      <c r="L41" s="2">
        <v>846.7</v>
      </c>
      <c r="M41" s="2">
        <v>846.7</v>
      </c>
      <c r="N41" s="2">
        <f ca="1">INDEX(INDIRECT(_xlfn.CONCAT("weather.tbl[",N$1,"]")),MATCH(vp.tbl[[#This Row],[SDate]],weather.tbl[Date],0))</f>
        <v>-0.38333333333333336</v>
      </c>
      <c r="O41" s="2">
        <f ca="1">INDEX(INDIRECT(_xlfn.CONCAT("weather.tbl[",O$1,"]")),MATCH(vp.tbl[[#This Row],[SDate]],weather.tbl[Date],0))</f>
        <v>2.0904761904761906</v>
      </c>
      <c r="P41" s="2">
        <f ca="1">INDEX(INDIRECT(_xlfn.CONCAT("weather.tbl[",P$1,"]")),MATCH(vp.tbl[[#This Row],[SDate]],weather.tbl[Date],0))</f>
        <v>-1.5</v>
      </c>
      <c r="Q41" s="2">
        <f ca="1">INDEX(INDIRECT(_xlfn.CONCAT("weather.tbl[",Q$1,"]")),MATCH(vp.tbl[[#This Row],[SDate]],weather.tbl[Date],0))</f>
        <v>-1.2</v>
      </c>
      <c r="R41" s="2">
        <f ca="1">INDEX(INDIRECT(_xlfn.CONCAT("weather.tbl[",R$1,"]")),MATCH(vp.tbl[[#This Row],[SDate]],weather.tbl[Date],0))</f>
        <v>-1</v>
      </c>
      <c r="S41" s="2">
        <f ca="1">INDEX(INDIRECT(_xlfn.CONCAT("weather.tbl[",S$1,"]")),MATCH(vp.tbl[[#This Row],[SDate]],weather.tbl[Date],0))</f>
        <v>2.5</v>
      </c>
      <c r="T41" s="2">
        <f ca="1">INDEX(INDIRECT(_xlfn.CONCAT("weather.tbl[",T$1,"]")),MATCH(vp.tbl[[#This Row],[SDate]],weather.tbl[Date],0))</f>
        <v>0.4</v>
      </c>
      <c r="U41" s="2">
        <f ca="1">INDEX(INDIRECT(_xlfn.CONCAT("weather.tbl[",U$1,"]")),MATCH(vp.tbl[[#This Row],[SDate]],weather.tbl[Date],0))</f>
        <v>-1.5</v>
      </c>
      <c r="V41" s="2">
        <v>6226.3019999999997</v>
      </c>
      <c r="W41" t="s">
        <v>48</v>
      </c>
      <c r="X41">
        <f>IF(OR(vp.tbl[[#This Row],[Sulf]]="",vp.tbl[[#This Row],[Dens]]=""),1,0)</f>
        <v>0</v>
      </c>
      <c r="Y41">
        <f>IF(vp.tbl[[#This Row],[CrudeType]]="C5+",1,0)</f>
        <v>0</v>
      </c>
      <c r="Z41">
        <f>IF(AND(vp.tbl[[#This Row],[CrudeType]]="Crude",vp.tbl[[#This Row],[Dens]]&lt;=825,vp.tbl[[#This Row],[Sulf]]&gt;0.5,vp.tbl[[#This Row],[Unknown]]=0),1,0)</f>
        <v>0</v>
      </c>
      <c r="AA41">
        <f>IF(AND(vp.tbl[[#This Row],[CrudeType]]="Crude",vp.tbl[[#This Row],[Dens]]&lt;=825,vp.tbl[[#This Row],[Sulf]]&lt;=0.5,vp.tbl[[#This Row],[Unknown]]=0),1,0)</f>
        <v>0</v>
      </c>
      <c r="AB41">
        <f>IF(AND(vp.tbl[[#This Row],[CrudeType]]="Crude",vp.tbl[[#This Row],[Dens]]&gt;825,vp.tbl[[#This Row],[Dens]]&lt;=870,vp.tbl[[#This Row],[Sulf]]&gt;0.5,vp.tbl[[#This Row],[Unknown]]=0),1,0)</f>
        <v>1</v>
      </c>
      <c r="AC41">
        <f>IF(AND(vp.tbl[[#This Row],[CrudeType]]="Crude",vp.tbl[[#This Row],[Dens]]&gt;825,vp.tbl[[#This Row],[Dens]]&lt;=900,vp.tbl[[#This Row],[Sulf]]&lt;=0.5,vp.tbl[[#This Row],[Unknown]]=0),1,0)</f>
        <v>0</v>
      </c>
      <c r="AD41">
        <f>IF(AND(vp.tbl[[#This Row],[CrudeType]]="Crude",vp.tbl[[#This Row],[Dens]]&gt;870,vp.tbl[[#This Row],[Dens]]&lt;=900,vp.tbl[[#This Row],[Sulf]]&gt;0.5,vp.tbl[[#This Row],[Unknown]]=0),1,0)</f>
        <v>0</v>
      </c>
      <c r="AE41">
        <f>IF(AND(vp.tbl[[#This Row],[CrudeType]]="Crude",vp.tbl[[#This Row],[Dens]]&gt;900,vp.tbl[[#This Row],[Sulf]]&lt;=0.5,vp.tbl[[#This Row],[Unknown]]=0),1,0)</f>
        <v>0</v>
      </c>
      <c r="AF41">
        <f>IF(AND(vp.tbl[[#This Row],[CrudeType]]="Crude",vp.tbl[[#This Row],[Dens]]&gt;900,vp.tbl[[#This Row],[Sulf]]&lt;=0.5,vp.tbl[[#This Row],[Unknown]]=0),1,0)</f>
        <v>0</v>
      </c>
      <c r="AG41" t="str">
        <f>INDEX(vp.tbl[[#Headers],[Unknown]:[Heavy_SW]],MATCH(1,vp.tbl[[#This Row],[Unknown]:[Heavy_SW]],0))</f>
        <v>Medium_LSB</v>
      </c>
      <c r="AH41" t="e">
        <f>INDEX([1]!crudeBD.lkup[Number],MATCH(vp.tbl[[#This Row],[Crude_Breakdown]],[1]!crudeBD.lkup[Crude Breakdown],0))</f>
        <v>#REF!</v>
      </c>
      <c r="AI41">
        <f>MONTH(vp.tbl[[#This Row],[SDate]])</f>
        <v>11</v>
      </c>
      <c r="AJ41" s="5">
        <f>IFERROR(vp.tbl[[#This Row],[Sulf]]*vp.tbl[[#This Row],[Net Dens]],"")</f>
        <v>6747916.6763520008</v>
      </c>
      <c r="AK41" s="5">
        <f>IFERROR(vp.tbl[[#This Row],[Dens]]*vp.tbl[[#This Row],[VolumeM3]],"")</f>
        <v>5271809.9034000002</v>
      </c>
      <c r="AL41" s="5">
        <f>IFERROR(vp.tbl[[#This Row],[VP]]*vp.tbl[[#This Row],[VolumeM3]],"")</f>
        <v>572819.78399999999</v>
      </c>
      <c r="AM41" s="4">
        <f>IFERROR((vp.tbl[[#This Row],[VP]]-INDEX(crudeBD.lkup.complete[Mean_VP],MATCH(vp.tbl[[#This Row],[Crude_Breakdown]],crudeBD.lkup.complete[Crude Breakdown],0)))^2,"")</f>
        <v>139.86385672103916</v>
      </c>
      <c r="AN41" s="4">
        <f>IFERROR((vp.tbl[[#This Row],[Dens]]-INDEX(crudeBD.lkup.complete[Mean_Dens],MATCH(vp.tbl[[#This Row],[Crude_Breakdown]],crudeBD.lkup.complete[Crude Breakdown],0)))^2,"")</f>
        <v>1.9829630693828082</v>
      </c>
      <c r="AO41" s="4">
        <f>IFERROR((vp.tbl[[#This Row],[Sulf]]-INDEX(crudeBD.lkup.complete[Mean_Sulf],MATCH(vp.tbl[[#This Row],[Crude_Breakdown]],crudeBD.lkup.complete[Crude Breakdown],0)))^2,"")</f>
        <v>3.0600456185336352E-2</v>
      </c>
      <c r="AP41">
        <f>IF(AND(vp.tbl[[#This Row],[SDate]]&gt;=DATE(YEAR(vp.tbl[[#This Row],[SDate]]),5,1),vp.tbl[[#This Row],[SDate]]&lt;=DATE(YEAR(vp.tbl[[#This Row],[SDate]]),9,15)),1,0)</f>
        <v>0</v>
      </c>
      <c r="AQ41" s="15">
        <f>IF(vp.tbl[[#This Row],[SDate]]&lt;DATE(2016,12,1),0,1)</f>
        <v>0</v>
      </c>
    </row>
    <row r="42" spans="1:43" x14ac:dyDescent="0.25">
      <c r="A42">
        <v>41</v>
      </c>
      <c r="B42" t="s">
        <v>60</v>
      </c>
      <c r="C42" t="s">
        <v>60</v>
      </c>
      <c r="D42" t="s">
        <v>61</v>
      </c>
      <c r="E42" t="s">
        <v>55</v>
      </c>
      <c r="F42" s="1">
        <v>42325</v>
      </c>
      <c r="G42" s="2">
        <v>91.1</v>
      </c>
      <c r="H42" s="2"/>
      <c r="I42" s="2">
        <v>1.02</v>
      </c>
      <c r="J42" s="2"/>
      <c r="K42" s="2"/>
      <c r="L42" s="2">
        <v>826</v>
      </c>
      <c r="M42" s="2">
        <v>826</v>
      </c>
      <c r="N42" s="2">
        <f ca="1">INDEX(INDIRECT(_xlfn.CONCAT("weather.tbl[",N$1,"]")),MATCH(vp.tbl[[#This Row],[SDate]],weather.tbl[Date],0))</f>
        <v>-0.38333333333333336</v>
      </c>
      <c r="O42" s="2">
        <f ca="1">INDEX(INDIRECT(_xlfn.CONCAT("weather.tbl[",O$1,"]")),MATCH(vp.tbl[[#This Row],[SDate]],weather.tbl[Date],0))</f>
        <v>2.0904761904761906</v>
      </c>
      <c r="P42" s="2">
        <f ca="1">INDEX(INDIRECT(_xlfn.CONCAT("weather.tbl[",P$1,"]")),MATCH(vp.tbl[[#This Row],[SDate]],weather.tbl[Date],0))</f>
        <v>-1.5</v>
      </c>
      <c r="Q42" s="2">
        <f ca="1">INDEX(INDIRECT(_xlfn.CONCAT("weather.tbl[",Q$1,"]")),MATCH(vp.tbl[[#This Row],[SDate]],weather.tbl[Date],0))</f>
        <v>-1.2</v>
      </c>
      <c r="R42" s="2">
        <f ca="1">INDEX(INDIRECT(_xlfn.CONCAT("weather.tbl[",R$1,"]")),MATCH(vp.tbl[[#This Row],[SDate]],weather.tbl[Date],0))</f>
        <v>-1</v>
      </c>
      <c r="S42" s="2">
        <f ca="1">INDEX(INDIRECT(_xlfn.CONCAT("weather.tbl[",S$1,"]")),MATCH(vp.tbl[[#This Row],[SDate]],weather.tbl[Date],0))</f>
        <v>2.5</v>
      </c>
      <c r="T42" s="2">
        <f ca="1">INDEX(INDIRECT(_xlfn.CONCAT("weather.tbl[",T$1,"]")),MATCH(vp.tbl[[#This Row],[SDate]],weather.tbl[Date],0))</f>
        <v>0.4</v>
      </c>
      <c r="U42" s="2">
        <f ca="1">INDEX(INDIRECT(_xlfn.CONCAT("weather.tbl[",U$1,"]")),MATCH(vp.tbl[[#This Row],[SDate]],weather.tbl[Date],0))</f>
        <v>-1.5</v>
      </c>
      <c r="V42" s="2">
        <v>110681.443</v>
      </c>
      <c r="W42" t="s">
        <v>48</v>
      </c>
      <c r="X42">
        <f>IF(OR(vp.tbl[[#This Row],[Sulf]]="",vp.tbl[[#This Row],[Dens]]=""),1,0)</f>
        <v>0</v>
      </c>
      <c r="Y42">
        <f>IF(vp.tbl[[#This Row],[CrudeType]]="C5+",1,0)</f>
        <v>0</v>
      </c>
      <c r="Z42">
        <f>IF(AND(vp.tbl[[#This Row],[CrudeType]]="Crude",vp.tbl[[#This Row],[Dens]]&lt;=825,vp.tbl[[#This Row],[Sulf]]&gt;0.5,vp.tbl[[#This Row],[Unknown]]=0),1,0)</f>
        <v>0</v>
      </c>
      <c r="AA42">
        <f>IF(AND(vp.tbl[[#This Row],[CrudeType]]="Crude",vp.tbl[[#This Row],[Dens]]&lt;=825,vp.tbl[[#This Row],[Sulf]]&lt;=0.5,vp.tbl[[#This Row],[Unknown]]=0),1,0)</f>
        <v>0</v>
      </c>
      <c r="AB42">
        <f>IF(AND(vp.tbl[[#This Row],[CrudeType]]="Crude",vp.tbl[[#This Row],[Dens]]&gt;825,vp.tbl[[#This Row],[Dens]]&lt;=870,vp.tbl[[#This Row],[Sulf]]&gt;0.5,vp.tbl[[#This Row],[Unknown]]=0),1,0)</f>
        <v>1</v>
      </c>
      <c r="AC42">
        <f>IF(AND(vp.tbl[[#This Row],[CrudeType]]="Crude",vp.tbl[[#This Row],[Dens]]&gt;825,vp.tbl[[#This Row],[Dens]]&lt;=900,vp.tbl[[#This Row],[Sulf]]&lt;=0.5,vp.tbl[[#This Row],[Unknown]]=0),1,0)</f>
        <v>0</v>
      </c>
      <c r="AD42">
        <f>IF(AND(vp.tbl[[#This Row],[CrudeType]]="Crude",vp.tbl[[#This Row],[Dens]]&gt;870,vp.tbl[[#This Row],[Dens]]&lt;=900,vp.tbl[[#This Row],[Sulf]]&gt;0.5,vp.tbl[[#This Row],[Unknown]]=0),1,0)</f>
        <v>0</v>
      </c>
      <c r="AE42">
        <f>IF(AND(vp.tbl[[#This Row],[CrudeType]]="Crude",vp.tbl[[#This Row],[Dens]]&gt;900,vp.tbl[[#This Row],[Sulf]]&lt;=0.5,vp.tbl[[#This Row],[Unknown]]=0),1,0)</f>
        <v>0</v>
      </c>
      <c r="AF42">
        <f>IF(AND(vp.tbl[[#This Row],[CrudeType]]="Crude",vp.tbl[[#This Row],[Dens]]&gt;900,vp.tbl[[#This Row],[Sulf]]&lt;=0.5,vp.tbl[[#This Row],[Unknown]]=0),1,0)</f>
        <v>0</v>
      </c>
      <c r="AG42" t="str">
        <f>INDEX(vp.tbl[[#Headers],[Unknown]:[Heavy_SW]],MATCH(1,vp.tbl[[#This Row],[Unknown]:[Heavy_SW]],0))</f>
        <v>Medium_LSB</v>
      </c>
      <c r="AH42" t="e">
        <f>INDEX([1]!crudeBD.lkup[Number],MATCH(vp.tbl[[#This Row],[Crude_Breakdown]],[1]!crudeBD.lkup[Crude Breakdown],0))</f>
        <v>#REF!</v>
      </c>
      <c r="AI42">
        <f>MONTH(vp.tbl[[#This Row],[SDate]])</f>
        <v>11</v>
      </c>
      <c r="AJ42" s="5">
        <f>IFERROR(vp.tbl[[#This Row],[Sulf]]*vp.tbl[[#This Row],[Net Dens]],"")</f>
        <v>93251329.356360003</v>
      </c>
      <c r="AK42" s="5">
        <f>IFERROR(vp.tbl[[#This Row],[Dens]]*vp.tbl[[#This Row],[VolumeM3]],"")</f>
        <v>91422871.917999998</v>
      </c>
      <c r="AL42" s="5">
        <f>IFERROR(vp.tbl[[#This Row],[VP]]*vp.tbl[[#This Row],[VolumeM3]],"")</f>
        <v>10083079.4573</v>
      </c>
      <c r="AM42" s="4">
        <f>IFERROR((vp.tbl[[#This Row],[VP]]-INDEX(crudeBD.lkup.complete[Mean_VP],MATCH(vp.tbl[[#This Row],[Crude_Breakdown]],crudeBD.lkup.complete[Crude Breakdown],0)))^2,"")</f>
        <v>119.38632760711492</v>
      </c>
      <c r="AN42" s="4">
        <f>IFERROR((vp.tbl[[#This Row],[Dens]]-INDEX(crudeBD.lkup.complete[Mean_Dens],MATCH(vp.tbl[[#This Row],[Crude_Breakdown]],crudeBD.lkup.complete[Crude Breakdown],0)))^2,"")</f>
        <v>372.17442636048116</v>
      </c>
      <c r="AO42" s="4">
        <f>IFERROR((vp.tbl[[#This Row],[Sulf]]-INDEX(crudeBD.lkup.complete[Mean_Sulf],MATCH(vp.tbl[[#This Row],[Crude_Breakdown]],crudeBD.lkup.complete[Crude Breakdown],0)))^2,"")</f>
        <v>0.18916398378027383</v>
      </c>
      <c r="AP42">
        <f>IF(AND(vp.tbl[[#This Row],[SDate]]&gt;=DATE(YEAR(vp.tbl[[#This Row],[SDate]]),5,1),vp.tbl[[#This Row],[SDate]]&lt;=DATE(YEAR(vp.tbl[[#This Row],[SDate]]),9,15)),1,0)</f>
        <v>0</v>
      </c>
      <c r="AQ42" s="15">
        <f>IF(vp.tbl[[#This Row],[SDate]]&lt;DATE(2016,12,1),0,1)</f>
        <v>0</v>
      </c>
    </row>
    <row r="43" spans="1:43" x14ac:dyDescent="0.25">
      <c r="A43">
        <v>42</v>
      </c>
      <c r="B43" t="s">
        <v>51</v>
      </c>
      <c r="C43" t="s">
        <v>51</v>
      </c>
      <c r="D43" t="s">
        <v>52</v>
      </c>
      <c r="F43" s="1">
        <v>42327</v>
      </c>
      <c r="G43" s="2">
        <v>113.6</v>
      </c>
      <c r="H43" s="2"/>
      <c r="I43" s="2">
        <v>2.2999999999999998</v>
      </c>
      <c r="J43" s="2"/>
      <c r="K43" s="2"/>
      <c r="L43" s="2">
        <v>868</v>
      </c>
      <c r="M43" s="2">
        <v>868</v>
      </c>
      <c r="N43" s="2">
        <f ca="1">INDEX(INDIRECT(_xlfn.CONCAT("weather.tbl[",N$1,"]")),MATCH(vp.tbl[[#This Row],[SDate]],weather.tbl[Date],0))</f>
        <v>-7.8333333333333321</v>
      </c>
      <c r="O43" s="2">
        <f ca="1">INDEX(INDIRECT(_xlfn.CONCAT("weather.tbl[",O$1,"]")),MATCH(vp.tbl[[#This Row],[SDate]],weather.tbl[Date],0))</f>
        <v>0.57857142857142863</v>
      </c>
      <c r="P43" s="2">
        <f ca="1">INDEX(INDIRECT(_xlfn.CONCAT("weather.tbl[",P$1,"]")),MATCH(vp.tbl[[#This Row],[SDate]],weather.tbl[Date],0))</f>
        <v>-7</v>
      </c>
      <c r="Q43" s="2">
        <f ca="1">INDEX(INDIRECT(_xlfn.CONCAT("weather.tbl[",Q$1,"]")),MATCH(vp.tbl[[#This Row],[SDate]],weather.tbl[Date],0))</f>
        <v>-7.6</v>
      </c>
      <c r="R43" s="2">
        <f ca="1">INDEX(INDIRECT(_xlfn.CONCAT("weather.tbl[",R$1,"]")),MATCH(vp.tbl[[#This Row],[SDate]],weather.tbl[Date],0))</f>
        <v>-6.8</v>
      </c>
      <c r="S43" s="2">
        <f ca="1">INDEX(INDIRECT(_xlfn.CONCAT("weather.tbl[",S$1,"]")),MATCH(vp.tbl[[#This Row],[SDate]],weather.tbl[Date],0))</f>
        <v>-7</v>
      </c>
      <c r="T43" s="2">
        <f ca="1">INDEX(INDIRECT(_xlfn.CONCAT("weather.tbl[",T$1,"]")),MATCH(vp.tbl[[#This Row],[SDate]],weather.tbl[Date],0))</f>
        <v>-8.1999999999999993</v>
      </c>
      <c r="U43" s="2">
        <f ca="1">INDEX(INDIRECT(_xlfn.CONCAT("weather.tbl[",U$1,"]")),MATCH(vp.tbl[[#This Row],[SDate]],weather.tbl[Date],0))</f>
        <v>-10.4</v>
      </c>
      <c r="V43" s="2">
        <v>7873.1390000000001</v>
      </c>
      <c r="W43" t="s">
        <v>48</v>
      </c>
      <c r="X43">
        <f>IF(OR(vp.tbl[[#This Row],[Sulf]]="",vp.tbl[[#This Row],[Dens]]=""),1,0)</f>
        <v>0</v>
      </c>
      <c r="Y43">
        <f>IF(vp.tbl[[#This Row],[CrudeType]]="C5+",1,0)</f>
        <v>0</v>
      </c>
      <c r="Z43">
        <f>IF(AND(vp.tbl[[#This Row],[CrudeType]]="Crude",vp.tbl[[#This Row],[Dens]]&lt;=825,vp.tbl[[#This Row],[Sulf]]&gt;0.5,vp.tbl[[#This Row],[Unknown]]=0),1,0)</f>
        <v>0</v>
      </c>
      <c r="AA43">
        <f>IF(AND(vp.tbl[[#This Row],[CrudeType]]="Crude",vp.tbl[[#This Row],[Dens]]&lt;=825,vp.tbl[[#This Row],[Sulf]]&lt;=0.5,vp.tbl[[#This Row],[Unknown]]=0),1,0)</f>
        <v>0</v>
      </c>
      <c r="AB43">
        <f>IF(AND(vp.tbl[[#This Row],[CrudeType]]="Crude",vp.tbl[[#This Row],[Dens]]&gt;825,vp.tbl[[#This Row],[Dens]]&lt;=870,vp.tbl[[#This Row],[Sulf]]&gt;0.5,vp.tbl[[#This Row],[Unknown]]=0),1,0)</f>
        <v>1</v>
      </c>
      <c r="AC43">
        <f>IF(AND(vp.tbl[[#This Row],[CrudeType]]="Crude",vp.tbl[[#This Row],[Dens]]&gt;825,vp.tbl[[#This Row],[Dens]]&lt;=900,vp.tbl[[#This Row],[Sulf]]&lt;=0.5,vp.tbl[[#This Row],[Unknown]]=0),1,0)</f>
        <v>0</v>
      </c>
      <c r="AD43">
        <f>IF(AND(vp.tbl[[#This Row],[CrudeType]]="Crude",vp.tbl[[#This Row],[Dens]]&gt;870,vp.tbl[[#This Row],[Dens]]&lt;=900,vp.tbl[[#This Row],[Sulf]]&gt;0.5,vp.tbl[[#This Row],[Unknown]]=0),1,0)</f>
        <v>0</v>
      </c>
      <c r="AE43">
        <f>IF(AND(vp.tbl[[#This Row],[CrudeType]]="Crude",vp.tbl[[#This Row],[Dens]]&gt;900,vp.tbl[[#This Row],[Sulf]]&lt;=0.5,vp.tbl[[#This Row],[Unknown]]=0),1,0)</f>
        <v>0</v>
      </c>
      <c r="AF43">
        <f>IF(AND(vp.tbl[[#This Row],[CrudeType]]="Crude",vp.tbl[[#This Row],[Dens]]&gt;900,vp.tbl[[#This Row],[Sulf]]&lt;=0.5,vp.tbl[[#This Row],[Unknown]]=0),1,0)</f>
        <v>0</v>
      </c>
      <c r="AG43" t="str">
        <f>INDEX(vp.tbl[[#Headers],[Unknown]:[Heavy_SW]],MATCH(1,vp.tbl[[#This Row],[Unknown]:[Heavy_SW]],0))</f>
        <v>Medium_LSB</v>
      </c>
      <c r="AH43" t="e">
        <f>INDEX([1]!crudeBD.lkup[Number],MATCH(vp.tbl[[#This Row],[Crude_Breakdown]],[1]!crudeBD.lkup[Crude Breakdown],0))</f>
        <v>#REF!</v>
      </c>
      <c r="AI43">
        <f>MONTH(vp.tbl[[#This Row],[SDate]])</f>
        <v>11</v>
      </c>
      <c r="AJ43" s="5">
        <f>IFERROR(vp.tbl[[#This Row],[Sulf]]*vp.tbl[[#This Row],[Net Dens]],"")</f>
        <v>15717934.699599998</v>
      </c>
      <c r="AK43" s="5">
        <f>IFERROR(vp.tbl[[#This Row],[Dens]]*vp.tbl[[#This Row],[VolumeM3]],"")</f>
        <v>6833884.6519999998</v>
      </c>
      <c r="AL43" s="5">
        <f>IFERROR(vp.tbl[[#This Row],[VP]]*vp.tbl[[#This Row],[VolumeM3]],"")</f>
        <v>894388.59039999999</v>
      </c>
      <c r="AM43" s="4">
        <f>IFERROR((vp.tbl[[#This Row],[VP]]-INDEX(crudeBD.lkup.complete[Mean_VP],MATCH(vp.tbl[[#This Row],[Crude_Breakdown]],crudeBD.lkup.complete[Crude Breakdown],0)))^2,"")</f>
        <v>1117.3245554552177</v>
      </c>
      <c r="AN43" s="4">
        <f>IFERROR((vp.tbl[[#This Row],[Dens]]-INDEX(crudeBD.lkup.complete[Mean_Dens],MATCH(vp.tbl[[#This Row],[Crude_Breakdown]],crudeBD.lkup.complete[Crude Breakdown],0)))^2,"")</f>
        <v>515.66131243651319</v>
      </c>
      <c r="AO43" s="4">
        <f>IFERROR((vp.tbl[[#This Row],[Sulf]]-INDEX(crudeBD.lkup.complete[Mean_Sulf],MATCH(vp.tbl[[#This Row],[Crude_Breakdown]],crudeBD.lkup.complete[Crude Breakdown],0)))^2,"")</f>
        <v>0.71414354023596593</v>
      </c>
      <c r="AP43">
        <f>IF(AND(vp.tbl[[#This Row],[SDate]]&gt;=DATE(YEAR(vp.tbl[[#This Row],[SDate]]),5,1),vp.tbl[[#This Row],[SDate]]&lt;=DATE(YEAR(vp.tbl[[#This Row],[SDate]]),9,15)),1,0)</f>
        <v>0</v>
      </c>
      <c r="AQ43" s="15">
        <f>IF(vp.tbl[[#This Row],[SDate]]&lt;DATE(2016,12,1),0,1)</f>
        <v>0</v>
      </c>
    </row>
    <row r="44" spans="1:43" x14ac:dyDescent="0.25">
      <c r="A44">
        <v>43</v>
      </c>
      <c r="B44" t="s">
        <v>46</v>
      </c>
      <c r="C44" t="s">
        <v>46</v>
      </c>
      <c r="D44" t="s">
        <v>47</v>
      </c>
      <c r="F44" s="1">
        <v>42327</v>
      </c>
      <c r="G44" s="2">
        <v>59.4</v>
      </c>
      <c r="H44" s="2"/>
      <c r="I44" s="2">
        <v>2.41</v>
      </c>
      <c r="J44" s="2"/>
      <c r="K44" s="2"/>
      <c r="L44" s="2">
        <v>870.5</v>
      </c>
      <c r="M44" s="2">
        <v>870.5</v>
      </c>
      <c r="N44" s="2">
        <f ca="1">INDEX(INDIRECT(_xlfn.CONCAT("weather.tbl[",N$1,"]")),MATCH(vp.tbl[[#This Row],[SDate]],weather.tbl[Date],0))</f>
        <v>-7.8333333333333321</v>
      </c>
      <c r="O44" s="2">
        <f ca="1">INDEX(INDIRECT(_xlfn.CONCAT("weather.tbl[",O$1,"]")),MATCH(vp.tbl[[#This Row],[SDate]],weather.tbl[Date],0))</f>
        <v>0.57857142857142863</v>
      </c>
      <c r="P44" s="2">
        <f ca="1">INDEX(INDIRECT(_xlfn.CONCAT("weather.tbl[",P$1,"]")),MATCH(vp.tbl[[#This Row],[SDate]],weather.tbl[Date],0))</f>
        <v>-7</v>
      </c>
      <c r="Q44" s="2">
        <f ca="1">INDEX(INDIRECT(_xlfn.CONCAT("weather.tbl[",Q$1,"]")),MATCH(vp.tbl[[#This Row],[SDate]],weather.tbl[Date],0))</f>
        <v>-7.6</v>
      </c>
      <c r="R44" s="2">
        <f ca="1">INDEX(INDIRECT(_xlfn.CONCAT("weather.tbl[",R$1,"]")),MATCH(vp.tbl[[#This Row],[SDate]],weather.tbl[Date],0))</f>
        <v>-6.8</v>
      </c>
      <c r="S44" s="2">
        <f ca="1">INDEX(INDIRECT(_xlfn.CONCAT("weather.tbl[",S$1,"]")),MATCH(vp.tbl[[#This Row],[SDate]],weather.tbl[Date],0))</f>
        <v>-7</v>
      </c>
      <c r="T44" s="2">
        <f ca="1">INDEX(INDIRECT(_xlfn.CONCAT("weather.tbl[",T$1,"]")),MATCH(vp.tbl[[#This Row],[SDate]],weather.tbl[Date],0))</f>
        <v>-8.1999999999999993</v>
      </c>
      <c r="U44" s="2">
        <f ca="1">INDEX(INDIRECT(_xlfn.CONCAT("weather.tbl[",U$1,"]")),MATCH(vp.tbl[[#This Row],[SDate]],weather.tbl[Date],0))</f>
        <v>-10.4</v>
      </c>
      <c r="V44" s="2">
        <v>113621.71</v>
      </c>
      <c r="W44" t="s">
        <v>48</v>
      </c>
      <c r="X44">
        <f>IF(OR(vp.tbl[[#This Row],[Sulf]]="",vp.tbl[[#This Row],[Dens]]=""),1,0)</f>
        <v>0</v>
      </c>
      <c r="Y44">
        <f>IF(vp.tbl[[#This Row],[CrudeType]]="C5+",1,0)</f>
        <v>0</v>
      </c>
      <c r="Z44">
        <f>IF(AND(vp.tbl[[#This Row],[CrudeType]]="Crude",vp.tbl[[#This Row],[Dens]]&lt;=825,vp.tbl[[#This Row],[Sulf]]&gt;0.5,vp.tbl[[#This Row],[Unknown]]=0),1,0)</f>
        <v>0</v>
      </c>
      <c r="AA44">
        <f>IF(AND(vp.tbl[[#This Row],[CrudeType]]="Crude",vp.tbl[[#This Row],[Dens]]&lt;=825,vp.tbl[[#This Row],[Sulf]]&lt;=0.5,vp.tbl[[#This Row],[Unknown]]=0),1,0)</f>
        <v>0</v>
      </c>
      <c r="AB44">
        <f>IF(AND(vp.tbl[[#This Row],[CrudeType]]="Crude",vp.tbl[[#This Row],[Dens]]&gt;825,vp.tbl[[#This Row],[Dens]]&lt;=870,vp.tbl[[#This Row],[Sulf]]&gt;0.5,vp.tbl[[#This Row],[Unknown]]=0),1,0)</f>
        <v>0</v>
      </c>
      <c r="AC44">
        <f>IF(AND(vp.tbl[[#This Row],[CrudeType]]="Crude",vp.tbl[[#This Row],[Dens]]&gt;825,vp.tbl[[#This Row],[Dens]]&lt;=900,vp.tbl[[#This Row],[Sulf]]&lt;=0.5,vp.tbl[[#This Row],[Unknown]]=0),1,0)</f>
        <v>0</v>
      </c>
      <c r="AD44">
        <f>IF(AND(vp.tbl[[#This Row],[CrudeType]]="Crude",vp.tbl[[#This Row],[Dens]]&gt;870,vp.tbl[[#This Row],[Dens]]&lt;=900,vp.tbl[[#This Row],[Sulf]]&gt;0.5,vp.tbl[[#This Row],[Unknown]]=0),1,0)</f>
        <v>1</v>
      </c>
      <c r="AE44">
        <f>IF(AND(vp.tbl[[#This Row],[CrudeType]]="Crude",vp.tbl[[#This Row],[Dens]]&gt;900,vp.tbl[[#This Row],[Sulf]]&lt;=0.5,vp.tbl[[#This Row],[Unknown]]=0),1,0)</f>
        <v>0</v>
      </c>
      <c r="AF44">
        <f>IF(AND(vp.tbl[[#This Row],[CrudeType]]="Crude",vp.tbl[[#This Row],[Dens]]&gt;900,vp.tbl[[#This Row],[Sulf]]&lt;=0.5,vp.tbl[[#This Row],[Unknown]]=0),1,0)</f>
        <v>0</v>
      </c>
      <c r="AG44" t="str">
        <f>INDEX(vp.tbl[[#Headers],[Unknown]:[Heavy_SW]],MATCH(1,vp.tbl[[#This Row],[Unknown]:[Heavy_SW]],0))</f>
        <v>Midale</v>
      </c>
      <c r="AH44" t="e">
        <f>INDEX([1]!crudeBD.lkup[Number],MATCH(vp.tbl[[#This Row],[Crude_Breakdown]],[1]!crudeBD.lkup[Crude Breakdown],0))</f>
        <v>#REF!</v>
      </c>
      <c r="AI44">
        <f>MONTH(vp.tbl[[#This Row],[SDate]])</f>
        <v>11</v>
      </c>
      <c r="AJ44" s="5">
        <f>IFERROR(vp.tbl[[#This Row],[Sulf]]*vp.tbl[[#This Row],[Net Dens]],"")</f>
        <v>238367553.51755002</v>
      </c>
      <c r="AK44" s="5">
        <f>IFERROR(vp.tbl[[#This Row],[Dens]]*vp.tbl[[#This Row],[VolumeM3]],"")</f>
        <v>98907698.555000007</v>
      </c>
      <c r="AL44" s="5">
        <f>IFERROR(vp.tbl[[#This Row],[VP]]*vp.tbl[[#This Row],[VolumeM3]],"")</f>
        <v>6749129.574</v>
      </c>
      <c r="AM44" s="4">
        <f>IFERROR((vp.tbl[[#This Row],[VP]]-INDEX(crudeBD.lkup.complete[Mean_VP],MATCH(vp.tbl[[#This Row],[Crude_Breakdown]],crudeBD.lkup.complete[Crude Breakdown],0)))^2,"")</f>
        <v>78.116539688497156</v>
      </c>
      <c r="AN44" s="4">
        <f>IFERROR((vp.tbl[[#This Row],[Dens]]-INDEX(crudeBD.lkup.complete[Mean_Dens],MATCH(vp.tbl[[#This Row],[Crude_Breakdown]],crudeBD.lkup.complete[Crude Breakdown],0)))^2,"")</f>
        <v>49.73147682491598</v>
      </c>
      <c r="AO44" s="4">
        <f>IFERROR((vp.tbl[[#This Row],[Sulf]]-INDEX(crudeBD.lkup.complete[Mean_Sulf],MATCH(vp.tbl[[#This Row],[Crude_Breakdown]],crudeBD.lkup.complete[Crude Breakdown],0)))^2,"")</f>
        <v>2.8517063032449047E-5</v>
      </c>
      <c r="AP44">
        <f>IF(AND(vp.tbl[[#This Row],[SDate]]&gt;=DATE(YEAR(vp.tbl[[#This Row],[SDate]]),5,1),vp.tbl[[#This Row],[SDate]]&lt;=DATE(YEAR(vp.tbl[[#This Row],[SDate]]),9,15)),1,0)</f>
        <v>0</v>
      </c>
      <c r="AQ44" s="15">
        <f>IF(vp.tbl[[#This Row],[SDate]]&lt;DATE(2016,12,1),0,1)</f>
        <v>0</v>
      </c>
    </row>
    <row r="45" spans="1:43" x14ac:dyDescent="0.25">
      <c r="A45">
        <v>44</v>
      </c>
      <c r="B45" t="s">
        <v>68</v>
      </c>
      <c r="C45" t="s">
        <v>68</v>
      </c>
      <c r="D45" t="s">
        <v>69</v>
      </c>
      <c r="F45" s="1">
        <v>42327</v>
      </c>
      <c r="G45" s="2">
        <v>87.1</v>
      </c>
      <c r="H45" s="2"/>
      <c r="I45" s="2">
        <v>1.73</v>
      </c>
      <c r="J45" s="2"/>
      <c r="K45" s="2"/>
      <c r="L45" s="2"/>
      <c r="M45" s="2">
        <v>862.8</v>
      </c>
      <c r="N45" s="2">
        <f ca="1">INDEX(INDIRECT(_xlfn.CONCAT("weather.tbl[",N$1,"]")),MATCH(vp.tbl[[#This Row],[SDate]],weather.tbl[Date],0))</f>
        <v>-7.8333333333333321</v>
      </c>
      <c r="O45" s="2">
        <f ca="1">INDEX(INDIRECT(_xlfn.CONCAT("weather.tbl[",O$1,"]")),MATCH(vp.tbl[[#This Row],[SDate]],weather.tbl[Date],0))</f>
        <v>0.57857142857142863</v>
      </c>
      <c r="P45" s="2">
        <f ca="1">INDEX(INDIRECT(_xlfn.CONCAT("weather.tbl[",P$1,"]")),MATCH(vp.tbl[[#This Row],[SDate]],weather.tbl[Date],0))</f>
        <v>-7</v>
      </c>
      <c r="Q45" s="2">
        <f ca="1">INDEX(INDIRECT(_xlfn.CONCAT("weather.tbl[",Q$1,"]")),MATCH(vp.tbl[[#This Row],[SDate]],weather.tbl[Date],0))</f>
        <v>-7.6</v>
      </c>
      <c r="R45" s="2">
        <f ca="1">INDEX(INDIRECT(_xlfn.CONCAT("weather.tbl[",R$1,"]")),MATCH(vp.tbl[[#This Row],[SDate]],weather.tbl[Date],0))</f>
        <v>-6.8</v>
      </c>
      <c r="S45" s="2">
        <f ca="1">INDEX(INDIRECT(_xlfn.CONCAT("weather.tbl[",S$1,"]")),MATCH(vp.tbl[[#This Row],[SDate]],weather.tbl[Date],0))</f>
        <v>-7</v>
      </c>
      <c r="T45" s="2">
        <f ca="1">INDEX(INDIRECT(_xlfn.CONCAT("weather.tbl[",T$1,"]")),MATCH(vp.tbl[[#This Row],[SDate]],weather.tbl[Date],0))</f>
        <v>-8.1999999999999993</v>
      </c>
      <c r="U45" s="2">
        <f ca="1">INDEX(INDIRECT(_xlfn.CONCAT("weather.tbl[",U$1,"]")),MATCH(vp.tbl[[#This Row],[SDate]],weather.tbl[Date],0))</f>
        <v>-10.4</v>
      </c>
      <c r="V45" s="2">
        <v>1476.569</v>
      </c>
      <c r="W45" t="s">
        <v>48</v>
      </c>
      <c r="X45">
        <f>IF(OR(vp.tbl[[#This Row],[Sulf]]="",vp.tbl[[#This Row],[Dens]]=""),1,0)</f>
        <v>0</v>
      </c>
      <c r="Y45">
        <f>IF(vp.tbl[[#This Row],[CrudeType]]="C5+",1,0)</f>
        <v>0</v>
      </c>
      <c r="Z45">
        <f>IF(AND(vp.tbl[[#This Row],[CrudeType]]="Crude",vp.tbl[[#This Row],[Dens]]&lt;=825,vp.tbl[[#This Row],[Sulf]]&gt;0.5,vp.tbl[[#This Row],[Unknown]]=0),1,0)</f>
        <v>0</v>
      </c>
      <c r="AA45">
        <f>IF(AND(vp.tbl[[#This Row],[CrudeType]]="Crude",vp.tbl[[#This Row],[Dens]]&lt;=825,vp.tbl[[#This Row],[Sulf]]&lt;=0.5,vp.tbl[[#This Row],[Unknown]]=0),1,0)</f>
        <v>0</v>
      </c>
      <c r="AB45">
        <f>IF(AND(vp.tbl[[#This Row],[CrudeType]]="Crude",vp.tbl[[#This Row],[Dens]]&gt;825,vp.tbl[[#This Row],[Dens]]&lt;=870,vp.tbl[[#This Row],[Sulf]]&gt;0.5,vp.tbl[[#This Row],[Unknown]]=0),1,0)</f>
        <v>1</v>
      </c>
      <c r="AC45">
        <f>IF(AND(vp.tbl[[#This Row],[CrudeType]]="Crude",vp.tbl[[#This Row],[Dens]]&gt;825,vp.tbl[[#This Row],[Dens]]&lt;=900,vp.tbl[[#This Row],[Sulf]]&lt;=0.5,vp.tbl[[#This Row],[Unknown]]=0),1,0)</f>
        <v>0</v>
      </c>
      <c r="AD45">
        <f>IF(AND(vp.tbl[[#This Row],[CrudeType]]="Crude",vp.tbl[[#This Row],[Dens]]&gt;870,vp.tbl[[#This Row],[Dens]]&lt;=900,vp.tbl[[#This Row],[Sulf]]&gt;0.5,vp.tbl[[#This Row],[Unknown]]=0),1,0)</f>
        <v>0</v>
      </c>
      <c r="AE45">
        <f>IF(AND(vp.tbl[[#This Row],[CrudeType]]="Crude",vp.tbl[[#This Row],[Dens]]&gt;900,vp.tbl[[#This Row],[Sulf]]&lt;=0.5,vp.tbl[[#This Row],[Unknown]]=0),1,0)</f>
        <v>0</v>
      </c>
      <c r="AF45">
        <f>IF(AND(vp.tbl[[#This Row],[CrudeType]]="Crude",vp.tbl[[#This Row],[Dens]]&gt;900,vp.tbl[[#This Row],[Sulf]]&lt;=0.5,vp.tbl[[#This Row],[Unknown]]=0),1,0)</f>
        <v>0</v>
      </c>
      <c r="AG45" t="str">
        <f>INDEX(vp.tbl[[#Headers],[Unknown]:[Heavy_SW]],MATCH(1,vp.tbl[[#This Row],[Unknown]:[Heavy_SW]],0))</f>
        <v>Medium_LSB</v>
      </c>
      <c r="AH45" t="e">
        <f>INDEX([1]!crudeBD.lkup[Number],MATCH(vp.tbl[[#This Row],[Crude_Breakdown]],[1]!crudeBD.lkup[Crude Breakdown],0))</f>
        <v>#REF!</v>
      </c>
      <c r="AI45">
        <f>MONTH(vp.tbl[[#This Row],[SDate]])</f>
        <v>11</v>
      </c>
      <c r="AJ45" s="5">
        <f>IFERROR(vp.tbl[[#This Row],[Sulf]]*vp.tbl[[#This Row],[Net Dens]],"")</f>
        <v>2203991.8584359996</v>
      </c>
      <c r="AK45" s="5">
        <f>IFERROR(vp.tbl[[#This Row],[Dens]]*vp.tbl[[#This Row],[VolumeM3]],"")</f>
        <v>1273983.7331999999</v>
      </c>
      <c r="AL45" s="5">
        <f>IFERROR(vp.tbl[[#This Row],[VP]]*vp.tbl[[#This Row],[VolumeM3]],"")</f>
        <v>128609.15989999998</v>
      </c>
      <c r="AM45" s="4">
        <f>IFERROR((vp.tbl[[#This Row],[VP]]-INDEX(crudeBD.lkup.complete[Mean_VP],MATCH(vp.tbl[[#This Row],[Crude_Breakdown]],crudeBD.lkup.complete[Crude Breakdown],0)))^2,"")</f>
        <v>47.975087100785565</v>
      </c>
      <c r="AN45" s="4">
        <f>IFERROR((vp.tbl[[#This Row],[Dens]]-INDEX(crudeBD.lkup.complete[Mean_Dens],MATCH(vp.tbl[[#This Row],[Crude_Breakdown]],crudeBD.lkup.complete[Crude Breakdown],0)))^2,"")</f>
        <v>306.53626939852671</v>
      </c>
      <c r="AO45" s="4">
        <f>IFERROR((vp.tbl[[#This Row],[Sulf]]-INDEX(crudeBD.lkup.complete[Mean_Sulf],MATCH(vp.tbl[[#This Row],[Crude_Breakdown]],crudeBD.lkup.complete[Crude Breakdown],0)))^2,"")</f>
        <v>7.5663581501790714E-2</v>
      </c>
      <c r="AP45">
        <f>IF(AND(vp.tbl[[#This Row],[SDate]]&gt;=DATE(YEAR(vp.tbl[[#This Row],[SDate]]),5,1),vp.tbl[[#This Row],[SDate]]&lt;=DATE(YEAR(vp.tbl[[#This Row],[SDate]]),9,15)),1,0)</f>
        <v>0</v>
      </c>
      <c r="AQ45" s="15">
        <f>IF(vp.tbl[[#This Row],[SDate]]&lt;DATE(2016,12,1),0,1)</f>
        <v>0</v>
      </c>
    </row>
    <row r="46" spans="1:43" x14ac:dyDescent="0.25">
      <c r="A46">
        <v>45</v>
      </c>
      <c r="B46" t="s">
        <v>49</v>
      </c>
      <c r="C46" t="s">
        <v>49</v>
      </c>
      <c r="D46" t="s">
        <v>50</v>
      </c>
      <c r="F46" s="1">
        <v>42327</v>
      </c>
      <c r="G46" s="2">
        <v>72.099999999999994</v>
      </c>
      <c r="H46" s="2"/>
      <c r="I46" s="2">
        <v>2.59</v>
      </c>
      <c r="J46" s="2"/>
      <c r="K46" s="2"/>
      <c r="L46" s="2"/>
      <c r="M46" s="2">
        <v>873.1</v>
      </c>
      <c r="N46" s="2">
        <f ca="1">INDEX(INDIRECT(_xlfn.CONCAT("weather.tbl[",N$1,"]")),MATCH(vp.tbl[[#This Row],[SDate]],weather.tbl[Date],0))</f>
        <v>-7.8333333333333321</v>
      </c>
      <c r="O46" s="2">
        <f ca="1">INDEX(INDIRECT(_xlfn.CONCAT("weather.tbl[",O$1,"]")),MATCH(vp.tbl[[#This Row],[SDate]],weather.tbl[Date],0))</f>
        <v>0.57857142857142863</v>
      </c>
      <c r="P46" s="2">
        <f ca="1">INDEX(INDIRECT(_xlfn.CONCAT("weather.tbl[",P$1,"]")),MATCH(vp.tbl[[#This Row],[SDate]],weather.tbl[Date],0))</f>
        <v>-7</v>
      </c>
      <c r="Q46" s="2">
        <f ca="1">INDEX(INDIRECT(_xlfn.CONCAT("weather.tbl[",Q$1,"]")),MATCH(vp.tbl[[#This Row],[SDate]],weather.tbl[Date],0))</f>
        <v>-7.6</v>
      </c>
      <c r="R46" s="2">
        <f ca="1">INDEX(INDIRECT(_xlfn.CONCAT("weather.tbl[",R$1,"]")),MATCH(vp.tbl[[#This Row],[SDate]],weather.tbl[Date],0))</f>
        <v>-6.8</v>
      </c>
      <c r="S46" s="2">
        <f ca="1">INDEX(INDIRECT(_xlfn.CONCAT("weather.tbl[",S$1,"]")),MATCH(vp.tbl[[#This Row],[SDate]],weather.tbl[Date],0))</f>
        <v>-7</v>
      </c>
      <c r="T46" s="2">
        <f ca="1">INDEX(INDIRECT(_xlfn.CONCAT("weather.tbl[",T$1,"]")),MATCH(vp.tbl[[#This Row],[SDate]],weather.tbl[Date],0))</f>
        <v>-8.1999999999999993</v>
      </c>
      <c r="U46" s="2">
        <f ca="1">INDEX(INDIRECT(_xlfn.CONCAT("weather.tbl[",U$1,"]")),MATCH(vp.tbl[[#This Row],[SDate]],weather.tbl[Date],0))</f>
        <v>-10.4</v>
      </c>
      <c r="V46" s="2">
        <v>7369.9489999999996</v>
      </c>
      <c r="W46" t="s">
        <v>48</v>
      </c>
      <c r="X46">
        <f>IF(OR(vp.tbl[[#This Row],[Sulf]]="",vp.tbl[[#This Row],[Dens]]=""),1,0)</f>
        <v>0</v>
      </c>
      <c r="Y46">
        <f>IF(vp.tbl[[#This Row],[CrudeType]]="C5+",1,0)</f>
        <v>0</v>
      </c>
      <c r="Z46">
        <f>IF(AND(vp.tbl[[#This Row],[CrudeType]]="Crude",vp.tbl[[#This Row],[Dens]]&lt;=825,vp.tbl[[#This Row],[Sulf]]&gt;0.5,vp.tbl[[#This Row],[Unknown]]=0),1,0)</f>
        <v>0</v>
      </c>
      <c r="AA46">
        <f>IF(AND(vp.tbl[[#This Row],[CrudeType]]="Crude",vp.tbl[[#This Row],[Dens]]&lt;=825,vp.tbl[[#This Row],[Sulf]]&lt;=0.5,vp.tbl[[#This Row],[Unknown]]=0),1,0)</f>
        <v>0</v>
      </c>
      <c r="AB46">
        <f>IF(AND(vp.tbl[[#This Row],[CrudeType]]="Crude",vp.tbl[[#This Row],[Dens]]&gt;825,vp.tbl[[#This Row],[Dens]]&lt;=870,vp.tbl[[#This Row],[Sulf]]&gt;0.5,vp.tbl[[#This Row],[Unknown]]=0),1,0)</f>
        <v>0</v>
      </c>
      <c r="AC46">
        <f>IF(AND(vp.tbl[[#This Row],[CrudeType]]="Crude",vp.tbl[[#This Row],[Dens]]&gt;825,vp.tbl[[#This Row],[Dens]]&lt;=900,vp.tbl[[#This Row],[Sulf]]&lt;=0.5,vp.tbl[[#This Row],[Unknown]]=0),1,0)</f>
        <v>0</v>
      </c>
      <c r="AD46">
        <f>IF(AND(vp.tbl[[#This Row],[CrudeType]]="Crude",vp.tbl[[#This Row],[Dens]]&gt;870,vp.tbl[[#This Row],[Dens]]&lt;=900,vp.tbl[[#This Row],[Sulf]]&gt;0.5,vp.tbl[[#This Row],[Unknown]]=0),1,0)</f>
        <v>1</v>
      </c>
      <c r="AE46">
        <f>IF(AND(vp.tbl[[#This Row],[CrudeType]]="Crude",vp.tbl[[#This Row],[Dens]]&gt;900,vp.tbl[[#This Row],[Sulf]]&lt;=0.5,vp.tbl[[#This Row],[Unknown]]=0),1,0)</f>
        <v>0</v>
      </c>
      <c r="AF46">
        <f>IF(AND(vp.tbl[[#This Row],[CrudeType]]="Crude",vp.tbl[[#This Row],[Dens]]&gt;900,vp.tbl[[#This Row],[Sulf]]&lt;=0.5,vp.tbl[[#This Row],[Unknown]]=0),1,0)</f>
        <v>0</v>
      </c>
      <c r="AG46" t="str">
        <f>INDEX(vp.tbl[[#Headers],[Unknown]:[Heavy_SW]],MATCH(1,vp.tbl[[#This Row],[Unknown]:[Heavy_SW]],0))</f>
        <v>Midale</v>
      </c>
      <c r="AH46" t="e">
        <f>INDEX([1]!crudeBD.lkup[Number],MATCH(vp.tbl[[#This Row],[Crude_Breakdown]],[1]!crudeBD.lkup[Crude Breakdown],0))</f>
        <v>#REF!</v>
      </c>
      <c r="AI46">
        <f>MONTH(vp.tbl[[#This Row],[SDate]])</f>
        <v>11</v>
      </c>
      <c r="AJ46" s="5">
        <f>IFERROR(vp.tbl[[#This Row],[Sulf]]*vp.tbl[[#This Row],[Net Dens]],"")</f>
        <v>16665879.402221</v>
      </c>
      <c r="AK46" s="5">
        <f>IFERROR(vp.tbl[[#This Row],[Dens]]*vp.tbl[[#This Row],[VolumeM3]],"")</f>
        <v>6434702.4719000002</v>
      </c>
      <c r="AL46" s="5">
        <f>IFERROR(vp.tbl[[#This Row],[VP]]*vp.tbl[[#This Row],[VolumeM3]],"")</f>
        <v>531373.32289999991</v>
      </c>
      <c r="AM46" s="4">
        <f>IFERROR((vp.tbl[[#This Row],[VP]]-INDEX(crudeBD.lkup.complete[Mean_VP],MATCH(vp.tbl[[#This Row],[Crude_Breakdown]],crudeBD.lkup.complete[Crude Breakdown],0)))^2,"")</f>
        <v>14.912293113154293</v>
      </c>
      <c r="AN46" s="4">
        <f>IFERROR((vp.tbl[[#This Row],[Dens]]-INDEX(crudeBD.lkup.complete[Mean_Dens],MATCH(vp.tbl[[#This Row],[Crude_Breakdown]],crudeBD.lkup.complete[Crude Breakdown],0)))^2,"")</f>
        <v>19.820791893410501</v>
      </c>
      <c r="AO46" s="4">
        <f>IFERROR((vp.tbl[[#This Row],[Sulf]]-INDEX(crudeBD.lkup.complete[Mean_Sulf],MATCH(vp.tbl[[#This Row],[Crude_Breakdown]],crudeBD.lkup.complete[Crude Breakdown],0)))^2,"")</f>
        <v>3.0506067747964355E-2</v>
      </c>
      <c r="AP46">
        <f>IF(AND(vp.tbl[[#This Row],[SDate]]&gt;=DATE(YEAR(vp.tbl[[#This Row],[SDate]]),5,1),vp.tbl[[#This Row],[SDate]]&lt;=DATE(YEAR(vp.tbl[[#This Row],[SDate]]),9,15)),1,0)</f>
        <v>0</v>
      </c>
      <c r="AQ46" s="15">
        <f>IF(vp.tbl[[#This Row],[SDate]]&lt;DATE(2016,12,1),0,1)</f>
        <v>0</v>
      </c>
    </row>
    <row r="47" spans="1:43" x14ac:dyDescent="0.25">
      <c r="A47">
        <v>46</v>
      </c>
      <c r="B47" t="s">
        <v>51</v>
      </c>
      <c r="C47" t="s">
        <v>51</v>
      </c>
      <c r="D47" t="s">
        <v>66</v>
      </c>
      <c r="F47" s="1">
        <v>42328</v>
      </c>
      <c r="G47" s="2">
        <v>113.4</v>
      </c>
      <c r="H47" s="2"/>
      <c r="I47" s="2">
        <v>1.1200000000000001</v>
      </c>
      <c r="J47" s="2"/>
      <c r="K47" s="2"/>
      <c r="L47" s="2">
        <v>827</v>
      </c>
      <c r="M47" s="2">
        <v>827</v>
      </c>
      <c r="N47" s="2">
        <f ca="1">INDEX(INDIRECT(_xlfn.CONCAT("weather.tbl[",N$1,"]")),MATCH(vp.tbl[[#This Row],[SDate]],weather.tbl[Date],0))</f>
        <v>-9.4666666666666668</v>
      </c>
      <c r="O47" s="2">
        <f ca="1">INDEX(INDIRECT(_xlfn.CONCAT("weather.tbl[",O$1,"]")),MATCH(vp.tbl[[#This Row],[SDate]],weather.tbl[Date],0))</f>
        <v>-0.96904761904761882</v>
      </c>
      <c r="P47" s="2">
        <f ca="1">INDEX(INDIRECT(_xlfn.CONCAT("weather.tbl[",P$1,"]")),MATCH(vp.tbl[[#This Row],[SDate]],weather.tbl[Date],0))</f>
        <v>-9</v>
      </c>
      <c r="Q47" s="2">
        <f ca="1">INDEX(INDIRECT(_xlfn.CONCAT("weather.tbl[",Q$1,"]")),MATCH(vp.tbl[[#This Row],[SDate]],weather.tbl[Date],0))</f>
        <v>-9.6999999999999993</v>
      </c>
      <c r="R47" s="2">
        <f ca="1">INDEX(INDIRECT(_xlfn.CONCAT("weather.tbl[",R$1,"]")),MATCH(vp.tbl[[#This Row],[SDate]],weather.tbl[Date],0))</f>
        <v>-9.3000000000000007</v>
      </c>
      <c r="S47" s="2">
        <f ca="1">INDEX(INDIRECT(_xlfn.CONCAT("weather.tbl[",S$1,"]")),MATCH(vp.tbl[[#This Row],[SDate]],weather.tbl[Date],0))</f>
        <v>-8.5</v>
      </c>
      <c r="T47" s="2">
        <f ca="1">INDEX(INDIRECT(_xlfn.CONCAT("weather.tbl[",T$1,"]")),MATCH(vp.tbl[[#This Row],[SDate]],weather.tbl[Date],0))</f>
        <v>-9</v>
      </c>
      <c r="U47" s="2">
        <f ca="1">INDEX(INDIRECT(_xlfn.CONCAT("weather.tbl[",U$1,"]")),MATCH(vp.tbl[[#This Row],[SDate]],weather.tbl[Date],0))</f>
        <v>-11.3</v>
      </c>
      <c r="V47" s="2">
        <v>4727.3119999999999</v>
      </c>
      <c r="W47" t="s">
        <v>48</v>
      </c>
      <c r="X47">
        <f>IF(OR(vp.tbl[[#This Row],[Sulf]]="",vp.tbl[[#This Row],[Dens]]=""),1,0)</f>
        <v>0</v>
      </c>
      <c r="Y47">
        <f>IF(vp.tbl[[#This Row],[CrudeType]]="C5+",1,0)</f>
        <v>0</v>
      </c>
      <c r="Z47">
        <f>IF(AND(vp.tbl[[#This Row],[CrudeType]]="Crude",vp.tbl[[#This Row],[Dens]]&lt;=825,vp.tbl[[#This Row],[Sulf]]&gt;0.5,vp.tbl[[#This Row],[Unknown]]=0),1,0)</f>
        <v>0</v>
      </c>
      <c r="AA47">
        <f>IF(AND(vp.tbl[[#This Row],[CrudeType]]="Crude",vp.tbl[[#This Row],[Dens]]&lt;=825,vp.tbl[[#This Row],[Sulf]]&lt;=0.5,vp.tbl[[#This Row],[Unknown]]=0),1,0)</f>
        <v>0</v>
      </c>
      <c r="AB47">
        <f>IF(AND(vp.tbl[[#This Row],[CrudeType]]="Crude",vp.tbl[[#This Row],[Dens]]&gt;825,vp.tbl[[#This Row],[Dens]]&lt;=870,vp.tbl[[#This Row],[Sulf]]&gt;0.5,vp.tbl[[#This Row],[Unknown]]=0),1,0)</f>
        <v>1</v>
      </c>
      <c r="AC47">
        <f>IF(AND(vp.tbl[[#This Row],[CrudeType]]="Crude",vp.tbl[[#This Row],[Dens]]&gt;825,vp.tbl[[#This Row],[Dens]]&lt;=900,vp.tbl[[#This Row],[Sulf]]&lt;=0.5,vp.tbl[[#This Row],[Unknown]]=0),1,0)</f>
        <v>0</v>
      </c>
      <c r="AD47">
        <f>IF(AND(vp.tbl[[#This Row],[CrudeType]]="Crude",vp.tbl[[#This Row],[Dens]]&gt;870,vp.tbl[[#This Row],[Dens]]&lt;=900,vp.tbl[[#This Row],[Sulf]]&gt;0.5,vp.tbl[[#This Row],[Unknown]]=0),1,0)</f>
        <v>0</v>
      </c>
      <c r="AE47">
        <f>IF(AND(vp.tbl[[#This Row],[CrudeType]]="Crude",vp.tbl[[#This Row],[Dens]]&gt;900,vp.tbl[[#This Row],[Sulf]]&lt;=0.5,vp.tbl[[#This Row],[Unknown]]=0),1,0)</f>
        <v>0</v>
      </c>
      <c r="AF47">
        <f>IF(AND(vp.tbl[[#This Row],[CrudeType]]="Crude",vp.tbl[[#This Row],[Dens]]&gt;900,vp.tbl[[#This Row],[Sulf]]&lt;=0.5,vp.tbl[[#This Row],[Unknown]]=0),1,0)</f>
        <v>0</v>
      </c>
      <c r="AG47" t="str">
        <f>INDEX(vp.tbl[[#Headers],[Unknown]:[Heavy_SW]],MATCH(1,vp.tbl[[#This Row],[Unknown]:[Heavy_SW]],0))</f>
        <v>Medium_LSB</v>
      </c>
      <c r="AH47" t="e">
        <f>INDEX([1]!crudeBD.lkup[Number],MATCH(vp.tbl[[#This Row],[Crude_Breakdown]],[1]!crudeBD.lkup[Crude Breakdown],0))</f>
        <v>#REF!</v>
      </c>
      <c r="AI47">
        <f>MONTH(vp.tbl[[#This Row],[SDate]])</f>
        <v>11</v>
      </c>
      <c r="AJ47" s="5">
        <f>IFERROR(vp.tbl[[#This Row],[Sulf]]*vp.tbl[[#This Row],[Net Dens]],"")</f>
        <v>4378625.4668800002</v>
      </c>
      <c r="AK47" s="5">
        <f>IFERROR(vp.tbl[[#This Row],[Dens]]*vp.tbl[[#This Row],[VolumeM3]],"")</f>
        <v>3909487.0239999997</v>
      </c>
      <c r="AL47" s="5">
        <f>IFERROR(vp.tbl[[#This Row],[VP]]*vp.tbl[[#This Row],[VolumeM3]],"")</f>
        <v>536077.18079999997</v>
      </c>
      <c r="AM47" s="4">
        <f>IFERROR((vp.tbl[[#This Row],[VP]]-INDEX(crudeBD.lkup.complete[Mean_VP],MATCH(vp.tbl[[#This Row],[Crude_Breakdown]],crudeBD.lkup.complete[Crude Breakdown],0)))^2,"")</f>
        <v>1103.9939934299018</v>
      </c>
      <c r="AN47" s="4">
        <f>IFERROR((vp.tbl[[#This Row],[Dens]]-INDEX(crudeBD.lkup.complete[Mean_Dens],MATCH(vp.tbl[[#This Row],[Crude_Breakdown]],crudeBD.lkup.complete[Crude Breakdown],0)))^2,"")</f>
        <v>334.59078079086288</v>
      </c>
      <c r="AO47" s="4">
        <f>IFERROR((vp.tbl[[#This Row],[Sulf]]-INDEX(crudeBD.lkup.complete[Mean_Sulf],MATCH(vp.tbl[[#This Row],[Crude_Breakdown]],crudeBD.lkup.complete[Crude Breakdown],0)))^2,"")</f>
        <v>0.11217801162837474</v>
      </c>
      <c r="AP47">
        <f>IF(AND(vp.tbl[[#This Row],[SDate]]&gt;=DATE(YEAR(vp.tbl[[#This Row],[SDate]]),5,1),vp.tbl[[#This Row],[SDate]]&lt;=DATE(YEAR(vp.tbl[[#This Row],[SDate]]),9,15)),1,0)</f>
        <v>0</v>
      </c>
      <c r="AQ47" s="15">
        <f>IF(vp.tbl[[#This Row],[SDate]]&lt;DATE(2016,12,1),0,1)</f>
        <v>0</v>
      </c>
    </row>
    <row r="48" spans="1:43" x14ac:dyDescent="0.25">
      <c r="A48">
        <v>47</v>
      </c>
      <c r="B48" t="s">
        <v>56</v>
      </c>
      <c r="C48" t="s">
        <v>56</v>
      </c>
      <c r="D48" t="s">
        <v>57</v>
      </c>
      <c r="F48" s="1">
        <v>42332</v>
      </c>
      <c r="G48" s="2">
        <v>89.8</v>
      </c>
      <c r="H48" s="2"/>
      <c r="I48" s="2">
        <v>1.44</v>
      </c>
      <c r="J48" s="2"/>
      <c r="K48" s="2"/>
      <c r="L48" s="2">
        <v>837</v>
      </c>
      <c r="M48" s="2">
        <v>837</v>
      </c>
      <c r="N48" s="2">
        <f ca="1">INDEX(INDIRECT(_xlfn.CONCAT("weather.tbl[",N$1,"]")),MATCH(vp.tbl[[#This Row],[SDate]],weather.tbl[Date],0))</f>
        <v>-1.3</v>
      </c>
      <c r="O48" s="2">
        <f ca="1">INDEX(INDIRECT(_xlfn.CONCAT("weather.tbl[",O$1,"]")),MATCH(vp.tbl[[#This Row],[SDate]],weather.tbl[Date],0))</f>
        <v>-4.1357142857142852</v>
      </c>
      <c r="P48" s="2">
        <f ca="1">INDEX(INDIRECT(_xlfn.CONCAT("weather.tbl[",P$1,"]")),MATCH(vp.tbl[[#This Row],[SDate]],weather.tbl[Date],0))</f>
        <v>-1.5</v>
      </c>
      <c r="Q48" s="2">
        <f ca="1">INDEX(INDIRECT(_xlfn.CONCAT("weather.tbl[",Q$1,"]")),MATCH(vp.tbl[[#This Row],[SDate]],weather.tbl[Date],0))</f>
        <v>-0.7</v>
      </c>
      <c r="R48" s="2">
        <f ca="1">INDEX(INDIRECT(_xlfn.CONCAT("weather.tbl[",R$1,"]")),MATCH(vp.tbl[[#This Row],[SDate]],weather.tbl[Date],0))</f>
        <v>-2.5</v>
      </c>
      <c r="S48" s="2">
        <f ca="1">INDEX(INDIRECT(_xlfn.CONCAT("weather.tbl[",S$1,"]")),MATCH(vp.tbl[[#This Row],[SDate]],weather.tbl[Date],0))</f>
        <v>-1.5</v>
      </c>
      <c r="T48" s="2">
        <f ca="1">INDEX(INDIRECT(_xlfn.CONCAT("weather.tbl[",T$1,"]")),MATCH(vp.tbl[[#This Row],[SDate]],weather.tbl[Date],0))</f>
        <v>0</v>
      </c>
      <c r="U48" s="2">
        <f ca="1">INDEX(INDIRECT(_xlfn.CONCAT("weather.tbl[",U$1,"]")),MATCH(vp.tbl[[#This Row],[SDate]],weather.tbl[Date],0))</f>
        <v>-1.6</v>
      </c>
      <c r="V48" s="2">
        <v>3565.95</v>
      </c>
      <c r="W48" t="s">
        <v>48</v>
      </c>
      <c r="X48">
        <f>IF(OR(vp.tbl[[#This Row],[Sulf]]="",vp.tbl[[#This Row],[Dens]]=""),1,0)</f>
        <v>0</v>
      </c>
      <c r="Y48">
        <f>IF(vp.tbl[[#This Row],[CrudeType]]="C5+",1,0)</f>
        <v>0</v>
      </c>
      <c r="Z48">
        <f>IF(AND(vp.tbl[[#This Row],[CrudeType]]="Crude",vp.tbl[[#This Row],[Dens]]&lt;=825,vp.tbl[[#This Row],[Sulf]]&gt;0.5,vp.tbl[[#This Row],[Unknown]]=0),1,0)</f>
        <v>0</v>
      </c>
      <c r="AA48">
        <f>IF(AND(vp.tbl[[#This Row],[CrudeType]]="Crude",vp.tbl[[#This Row],[Dens]]&lt;=825,vp.tbl[[#This Row],[Sulf]]&lt;=0.5,vp.tbl[[#This Row],[Unknown]]=0),1,0)</f>
        <v>0</v>
      </c>
      <c r="AB48">
        <f>IF(AND(vp.tbl[[#This Row],[CrudeType]]="Crude",vp.tbl[[#This Row],[Dens]]&gt;825,vp.tbl[[#This Row],[Dens]]&lt;=870,vp.tbl[[#This Row],[Sulf]]&gt;0.5,vp.tbl[[#This Row],[Unknown]]=0),1,0)</f>
        <v>1</v>
      </c>
      <c r="AC48">
        <f>IF(AND(vp.tbl[[#This Row],[CrudeType]]="Crude",vp.tbl[[#This Row],[Dens]]&gt;825,vp.tbl[[#This Row],[Dens]]&lt;=900,vp.tbl[[#This Row],[Sulf]]&lt;=0.5,vp.tbl[[#This Row],[Unknown]]=0),1,0)</f>
        <v>0</v>
      </c>
      <c r="AD48">
        <f>IF(AND(vp.tbl[[#This Row],[CrudeType]]="Crude",vp.tbl[[#This Row],[Dens]]&gt;870,vp.tbl[[#This Row],[Dens]]&lt;=900,vp.tbl[[#This Row],[Sulf]]&gt;0.5,vp.tbl[[#This Row],[Unknown]]=0),1,0)</f>
        <v>0</v>
      </c>
      <c r="AE48">
        <f>IF(AND(vp.tbl[[#This Row],[CrudeType]]="Crude",vp.tbl[[#This Row],[Dens]]&gt;900,vp.tbl[[#This Row],[Sulf]]&lt;=0.5,vp.tbl[[#This Row],[Unknown]]=0),1,0)</f>
        <v>0</v>
      </c>
      <c r="AF48">
        <f>IF(AND(vp.tbl[[#This Row],[CrudeType]]="Crude",vp.tbl[[#This Row],[Dens]]&gt;900,vp.tbl[[#This Row],[Sulf]]&lt;=0.5,vp.tbl[[#This Row],[Unknown]]=0),1,0)</f>
        <v>0</v>
      </c>
      <c r="AG48" t="str">
        <f>INDEX(vp.tbl[[#Headers],[Unknown]:[Heavy_SW]],MATCH(1,vp.tbl[[#This Row],[Unknown]:[Heavy_SW]],0))</f>
        <v>Medium_LSB</v>
      </c>
      <c r="AH48" t="e">
        <f>INDEX([1]!crudeBD.lkup[Number],MATCH(vp.tbl[[#This Row],[Crude_Breakdown]],[1]!crudeBD.lkup[Crude Breakdown],0))</f>
        <v>#REF!</v>
      </c>
      <c r="AI48">
        <f>MONTH(vp.tbl[[#This Row],[SDate]])</f>
        <v>11</v>
      </c>
      <c r="AJ48" s="5">
        <f>IFERROR(vp.tbl[[#This Row],[Sulf]]*vp.tbl[[#This Row],[Net Dens]],"")</f>
        <v>4297968.216</v>
      </c>
      <c r="AK48" s="5">
        <f>IFERROR(vp.tbl[[#This Row],[Dens]]*vp.tbl[[#This Row],[VolumeM3]],"")</f>
        <v>2984700.15</v>
      </c>
      <c r="AL48" s="5">
        <f>IFERROR(vp.tbl[[#This Row],[VP]]*vp.tbl[[#This Row],[VolumeM3]],"")</f>
        <v>320222.31</v>
      </c>
      <c r="AM48" s="4">
        <f>IFERROR((vp.tbl[[#This Row],[VP]]-INDEX(crudeBD.lkup.complete[Mean_VP],MATCH(vp.tbl[[#This Row],[Crude_Breakdown]],crudeBD.lkup.complete[Crude Breakdown],0)))^2,"")</f>
        <v>92.667674442557939</v>
      </c>
      <c r="AN48" s="4">
        <f>IFERROR((vp.tbl[[#This Row],[Dens]]-INDEX(crudeBD.lkup.complete[Mean_Dens],MATCH(vp.tbl[[#This Row],[Crude_Breakdown]],crudeBD.lkup.complete[Crude Breakdown],0)))^2,"")</f>
        <v>68.754325094680027</v>
      </c>
      <c r="AO48" s="4">
        <f>IFERROR((vp.tbl[[#This Row],[Sulf]]-INDEX(crudeBD.lkup.complete[Mean_Sulf],MATCH(vp.tbl[[#This Row],[Crude_Breakdown]],crudeBD.lkup.complete[Crude Breakdown],0)))^2,"")</f>
        <v>2.2290074229791476E-4</v>
      </c>
      <c r="AP48">
        <f>IF(AND(vp.tbl[[#This Row],[SDate]]&gt;=DATE(YEAR(vp.tbl[[#This Row],[SDate]]),5,1),vp.tbl[[#This Row],[SDate]]&lt;=DATE(YEAR(vp.tbl[[#This Row],[SDate]]),9,15)),1,0)</f>
        <v>0</v>
      </c>
      <c r="AQ48" s="15">
        <f>IF(vp.tbl[[#This Row],[SDate]]&lt;DATE(2016,12,1),0,1)</f>
        <v>0</v>
      </c>
    </row>
    <row r="49" spans="1:43" x14ac:dyDescent="0.25">
      <c r="A49">
        <v>48</v>
      </c>
      <c r="B49" t="s">
        <v>51</v>
      </c>
      <c r="C49" t="s">
        <v>51</v>
      </c>
      <c r="D49" t="s">
        <v>71</v>
      </c>
      <c r="F49" s="1">
        <v>42332</v>
      </c>
      <c r="G49" s="2">
        <v>99.4</v>
      </c>
      <c r="H49" s="2"/>
      <c r="I49" s="2">
        <v>1.37</v>
      </c>
      <c r="J49" s="2"/>
      <c r="K49" s="2"/>
      <c r="L49" s="2"/>
      <c r="M49" s="2">
        <v>815.1</v>
      </c>
      <c r="N49" s="2">
        <f ca="1">INDEX(INDIRECT(_xlfn.CONCAT("weather.tbl[",N$1,"]")),MATCH(vp.tbl[[#This Row],[SDate]],weather.tbl[Date],0))</f>
        <v>-1.3</v>
      </c>
      <c r="O49" s="2">
        <f ca="1">INDEX(INDIRECT(_xlfn.CONCAT("weather.tbl[",O$1,"]")),MATCH(vp.tbl[[#This Row],[SDate]],weather.tbl[Date],0))</f>
        <v>-4.1357142857142852</v>
      </c>
      <c r="P49" s="2">
        <f ca="1">INDEX(INDIRECT(_xlfn.CONCAT("weather.tbl[",P$1,"]")),MATCH(vp.tbl[[#This Row],[SDate]],weather.tbl[Date],0))</f>
        <v>-1.5</v>
      </c>
      <c r="Q49" s="2">
        <f ca="1">INDEX(INDIRECT(_xlfn.CONCAT("weather.tbl[",Q$1,"]")),MATCH(vp.tbl[[#This Row],[SDate]],weather.tbl[Date],0))</f>
        <v>-0.7</v>
      </c>
      <c r="R49" s="2">
        <f ca="1">INDEX(INDIRECT(_xlfn.CONCAT("weather.tbl[",R$1,"]")),MATCH(vp.tbl[[#This Row],[SDate]],weather.tbl[Date],0))</f>
        <v>-2.5</v>
      </c>
      <c r="S49" s="2">
        <f ca="1">INDEX(INDIRECT(_xlfn.CONCAT("weather.tbl[",S$1,"]")),MATCH(vp.tbl[[#This Row],[SDate]],weather.tbl[Date],0))</f>
        <v>-1.5</v>
      </c>
      <c r="T49" s="2">
        <f ca="1">INDEX(INDIRECT(_xlfn.CONCAT("weather.tbl[",T$1,"]")),MATCH(vp.tbl[[#This Row],[SDate]],weather.tbl[Date],0))</f>
        <v>0</v>
      </c>
      <c r="U49" s="2">
        <f ca="1">INDEX(INDIRECT(_xlfn.CONCAT("weather.tbl[",U$1,"]")),MATCH(vp.tbl[[#This Row],[SDate]],weather.tbl[Date],0))</f>
        <v>-1.6</v>
      </c>
      <c r="V49" s="2">
        <v>5890.66</v>
      </c>
      <c r="W49" t="s">
        <v>48</v>
      </c>
      <c r="X49">
        <f>IF(OR(vp.tbl[[#This Row],[Sulf]]="",vp.tbl[[#This Row],[Dens]]=""),1,0)</f>
        <v>0</v>
      </c>
      <c r="Y49">
        <f>IF(vp.tbl[[#This Row],[CrudeType]]="C5+",1,0)</f>
        <v>0</v>
      </c>
      <c r="Z49">
        <f>IF(AND(vp.tbl[[#This Row],[CrudeType]]="Crude",vp.tbl[[#This Row],[Dens]]&lt;=825,vp.tbl[[#This Row],[Sulf]]&gt;0.5,vp.tbl[[#This Row],[Unknown]]=0),1,0)</f>
        <v>1</v>
      </c>
      <c r="AA49">
        <f>IF(AND(vp.tbl[[#This Row],[CrudeType]]="Crude",vp.tbl[[#This Row],[Dens]]&lt;=825,vp.tbl[[#This Row],[Sulf]]&lt;=0.5,vp.tbl[[#This Row],[Unknown]]=0),1,0)</f>
        <v>0</v>
      </c>
      <c r="AB49">
        <f>IF(AND(vp.tbl[[#This Row],[CrudeType]]="Crude",vp.tbl[[#This Row],[Dens]]&gt;825,vp.tbl[[#This Row],[Dens]]&lt;=870,vp.tbl[[#This Row],[Sulf]]&gt;0.5,vp.tbl[[#This Row],[Unknown]]=0),1,0)</f>
        <v>0</v>
      </c>
      <c r="AC49">
        <f>IF(AND(vp.tbl[[#This Row],[CrudeType]]="Crude",vp.tbl[[#This Row],[Dens]]&gt;825,vp.tbl[[#This Row],[Dens]]&lt;=900,vp.tbl[[#This Row],[Sulf]]&lt;=0.5,vp.tbl[[#This Row],[Unknown]]=0),1,0)</f>
        <v>0</v>
      </c>
      <c r="AD49">
        <f>IF(AND(vp.tbl[[#This Row],[CrudeType]]="Crude",vp.tbl[[#This Row],[Dens]]&gt;870,vp.tbl[[#This Row],[Dens]]&lt;=900,vp.tbl[[#This Row],[Sulf]]&gt;0.5,vp.tbl[[#This Row],[Unknown]]=0),1,0)</f>
        <v>0</v>
      </c>
      <c r="AE49">
        <f>IF(AND(vp.tbl[[#This Row],[CrudeType]]="Crude",vp.tbl[[#This Row],[Dens]]&gt;900,vp.tbl[[#This Row],[Sulf]]&lt;=0.5,vp.tbl[[#This Row],[Unknown]]=0),1,0)</f>
        <v>0</v>
      </c>
      <c r="AF49">
        <f>IF(AND(vp.tbl[[#This Row],[CrudeType]]="Crude",vp.tbl[[#This Row],[Dens]]&gt;900,vp.tbl[[#This Row],[Sulf]]&lt;=0.5,vp.tbl[[#This Row],[Unknown]]=0),1,0)</f>
        <v>0</v>
      </c>
      <c r="AG49" t="str">
        <f>INDEX(vp.tbl[[#Headers],[Unknown]:[Heavy_SW]],MATCH(1,vp.tbl[[#This Row],[Unknown]:[Heavy_SW]],0))</f>
        <v>Light_LSB</v>
      </c>
      <c r="AH49" t="e">
        <f>INDEX([1]!crudeBD.lkup[Number],MATCH(vp.tbl[[#This Row],[Crude_Breakdown]],[1]!crudeBD.lkup[Crude Breakdown],0))</f>
        <v>#REF!</v>
      </c>
      <c r="AI49">
        <f>MONTH(vp.tbl[[#This Row],[SDate]])</f>
        <v>11</v>
      </c>
      <c r="AJ49" s="5">
        <f>IFERROR(vp.tbl[[#This Row],[Sulf]]*vp.tbl[[#This Row],[Net Dens]],"")</f>
        <v>6578023.4434200004</v>
      </c>
      <c r="AK49" s="5">
        <f>IFERROR(vp.tbl[[#This Row],[Dens]]*vp.tbl[[#This Row],[VolumeM3]],"")</f>
        <v>4801476.966</v>
      </c>
      <c r="AL49" s="5">
        <f>IFERROR(vp.tbl[[#This Row],[VP]]*vp.tbl[[#This Row],[VolumeM3]],"")</f>
        <v>585531.60400000005</v>
      </c>
      <c r="AM49" s="4">
        <f>IFERROR((vp.tbl[[#This Row],[VP]]-INDEX(crudeBD.lkup.complete[Mean_VP],MATCH(vp.tbl[[#This Row],[Crude_Breakdown]],crudeBD.lkup.complete[Crude Breakdown],0)))^2,"")</f>
        <v>61.682401147836778</v>
      </c>
      <c r="AN49" s="4">
        <f>IFERROR((vp.tbl[[#This Row],[Dens]]-INDEX(crudeBD.lkup.complete[Mean_Dens],MATCH(vp.tbl[[#This Row],[Crude_Breakdown]],crudeBD.lkup.complete[Crude Breakdown],0)))^2,"")</f>
        <v>11.674315589090883</v>
      </c>
      <c r="AO49" s="4">
        <f>IFERROR((vp.tbl[[#This Row],[Sulf]]-INDEX(crudeBD.lkup.complete[Mean_Sulf],MATCH(vp.tbl[[#This Row],[Crude_Breakdown]],crudeBD.lkup.complete[Crude Breakdown],0)))^2,"")</f>
        <v>0.19983477629517987</v>
      </c>
      <c r="AP49">
        <f>IF(AND(vp.tbl[[#This Row],[SDate]]&gt;=DATE(YEAR(vp.tbl[[#This Row],[SDate]]),5,1),vp.tbl[[#This Row],[SDate]]&lt;=DATE(YEAR(vp.tbl[[#This Row],[SDate]]),9,15)),1,0)</f>
        <v>0</v>
      </c>
      <c r="AQ49" s="15">
        <f>IF(vp.tbl[[#This Row],[SDate]]&lt;DATE(2016,12,1),0,1)</f>
        <v>0</v>
      </c>
    </row>
    <row r="50" spans="1:43" x14ac:dyDescent="0.25">
      <c r="A50">
        <v>49</v>
      </c>
      <c r="B50" t="s">
        <v>62</v>
      </c>
      <c r="C50" t="s">
        <v>62</v>
      </c>
      <c r="D50" t="s">
        <v>63</v>
      </c>
      <c r="F50" s="1">
        <v>42334</v>
      </c>
      <c r="G50" s="2">
        <v>154.4</v>
      </c>
      <c r="H50" s="2"/>
      <c r="I50" s="2">
        <v>1.26</v>
      </c>
      <c r="J50" s="2"/>
      <c r="K50" s="2"/>
      <c r="L50" s="2">
        <v>833.3</v>
      </c>
      <c r="M50" s="2">
        <v>833.3</v>
      </c>
      <c r="N50" s="2">
        <f ca="1">INDEX(INDIRECT(_xlfn.CONCAT("weather.tbl[",N$1,"]")),MATCH(vp.tbl[[#This Row],[SDate]],weather.tbl[Date],0))</f>
        <v>-12</v>
      </c>
      <c r="O50" s="2">
        <f ca="1">INDEX(INDIRECT(_xlfn.CONCAT("weather.tbl[",O$1,"]")),MATCH(vp.tbl[[#This Row],[SDate]],weather.tbl[Date],0))</f>
        <v>-5.7071428571428573</v>
      </c>
      <c r="P50" s="2">
        <f ca="1">INDEX(INDIRECT(_xlfn.CONCAT("weather.tbl[",P$1,"]")),MATCH(vp.tbl[[#This Row],[SDate]],weather.tbl[Date],0))</f>
        <v>-14.3</v>
      </c>
      <c r="Q50" s="2">
        <f ca="1">INDEX(INDIRECT(_xlfn.CONCAT("weather.tbl[",Q$1,"]")),MATCH(vp.tbl[[#This Row],[SDate]],weather.tbl[Date],0))</f>
        <v>-15.3</v>
      </c>
      <c r="R50" s="2">
        <f ca="1">INDEX(INDIRECT(_xlfn.CONCAT("weather.tbl[",R$1,"]")),MATCH(vp.tbl[[#This Row],[SDate]],weather.tbl[Date],0))</f>
        <v>-14</v>
      </c>
      <c r="S50" s="2">
        <f ca="1">INDEX(INDIRECT(_xlfn.CONCAT("weather.tbl[",S$1,"]")),MATCH(vp.tbl[[#This Row],[SDate]],weather.tbl[Date],0))</f>
        <v>-5.5</v>
      </c>
      <c r="T50" s="2">
        <f ca="1">INDEX(INDIRECT(_xlfn.CONCAT("weather.tbl[",T$1,"]")),MATCH(vp.tbl[[#This Row],[SDate]],weather.tbl[Date],0))</f>
        <v>-9.6</v>
      </c>
      <c r="U50" s="2">
        <f ca="1">INDEX(INDIRECT(_xlfn.CONCAT("weather.tbl[",U$1,"]")),MATCH(vp.tbl[[#This Row],[SDate]],weather.tbl[Date],0))</f>
        <v>-13.3</v>
      </c>
      <c r="V50" s="2">
        <v>5377.1509999999998</v>
      </c>
      <c r="W50" t="s">
        <v>48</v>
      </c>
      <c r="X50">
        <f>IF(OR(vp.tbl[[#This Row],[Sulf]]="",vp.tbl[[#This Row],[Dens]]=""),1,0)</f>
        <v>0</v>
      </c>
      <c r="Y50">
        <f>IF(vp.tbl[[#This Row],[CrudeType]]="C5+",1,0)</f>
        <v>0</v>
      </c>
      <c r="Z50">
        <f>IF(AND(vp.tbl[[#This Row],[CrudeType]]="Crude",vp.tbl[[#This Row],[Dens]]&lt;=825,vp.tbl[[#This Row],[Sulf]]&gt;0.5,vp.tbl[[#This Row],[Unknown]]=0),1,0)</f>
        <v>0</v>
      </c>
      <c r="AA50">
        <f>IF(AND(vp.tbl[[#This Row],[CrudeType]]="Crude",vp.tbl[[#This Row],[Dens]]&lt;=825,vp.tbl[[#This Row],[Sulf]]&lt;=0.5,vp.tbl[[#This Row],[Unknown]]=0),1,0)</f>
        <v>0</v>
      </c>
      <c r="AB50">
        <f>IF(AND(vp.tbl[[#This Row],[CrudeType]]="Crude",vp.tbl[[#This Row],[Dens]]&gt;825,vp.tbl[[#This Row],[Dens]]&lt;=870,vp.tbl[[#This Row],[Sulf]]&gt;0.5,vp.tbl[[#This Row],[Unknown]]=0),1,0)</f>
        <v>1</v>
      </c>
      <c r="AC50">
        <f>IF(AND(vp.tbl[[#This Row],[CrudeType]]="Crude",vp.tbl[[#This Row],[Dens]]&gt;825,vp.tbl[[#This Row],[Dens]]&lt;=900,vp.tbl[[#This Row],[Sulf]]&lt;=0.5,vp.tbl[[#This Row],[Unknown]]=0),1,0)</f>
        <v>0</v>
      </c>
      <c r="AD50">
        <f>IF(AND(vp.tbl[[#This Row],[CrudeType]]="Crude",vp.tbl[[#This Row],[Dens]]&gt;870,vp.tbl[[#This Row],[Dens]]&lt;=900,vp.tbl[[#This Row],[Sulf]]&gt;0.5,vp.tbl[[#This Row],[Unknown]]=0),1,0)</f>
        <v>0</v>
      </c>
      <c r="AE50">
        <f>IF(AND(vp.tbl[[#This Row],[CrudeType]]="Crude",vp.tbl[[#This Row],[Dens]]&gt;900,vp.tbl[[#This Row],[Sulf]]&lt;=0.5,vp.tbl[[#This Row],[Unknown]]=0),1,0)</f>
        <v>0</v>
      </c>
      <c r="AF50">
        <f>IF(AND(vp.tbl[[#This Row],[CrudeType]]="Crude",vp.tbl[[#This Row],[Dens]]&gt;900,vp.tbl[[#This Row],[Sulf]]&lt;=0.5,vp.tbl[[#This Row],[Unknown]]=0),1,0)</f>
        <v>0</v>
      </c>
      <c r="AG50" t="str">
        <f>INDEX(vp.tbl[[#Headers],[Unknown]:[Heavy_SW]],MATCH(1,vp.tbl[[#This Row],[Unknown]:[Heavy_SW]],0))</f>
        <v>Medium_LSB</v>
      </c>
      <c r="AH50" t="e">
        <f>INDEX([1]!crudeBD.lkup[Number],MATCH(vp.tbl[[#This Row],[Crude_Breakdown]],[1]!crudeBD.lkup[Crude Breakdown],0))</f>
        <v>#REF!</v>
      </c>
      <c r="AI50">
        <f>MONTH(vp.tbl[[#This Row],[SDate]])</f>
        <v>11</v>
      </c>
      <c r="AJ50" s="5">
        <f>IFERROR(vp.tbl[[#This Row],[Sulf]]*vp.tbl[[#This Row],[Net Dens]],"")</f>
        <v>5645782.7096579997</v>
      </c>
      <c r="AK50" s="5">
        <f>IFERROR(vp.tbl[[#This Row],[Dens]]*vp.tbl[[#This Row],[VolumeM3]],"")</f>
        <v>4480779.9282999998</v>
      </c>
      <c r="AL50" s="5">
        <f>IFERROR(vp.tbl[[#This Row],[VP]]*vp.tbl[[#This Row],[VolumeM3]],"")</f>
        <v>830232.11439999996</v>
      </c>
      <c r="AM50" s="4">
        <f>IFERROR((vp.tbl[[#This Row],[VP]]-INDEX(crudeBD.lkup.complete[Mean_VP],MATCH(vp.tbl[[#This Row],[Crude_Breakdown]],crudeBD.lkup.complete[Crude Breakdown],0)))^2,"")</f>
        <v>5509.5592086197785</v>
      </c>
      <c r="AN50" s="4">
        <f>IFERROR((vp.tbl[[#This Row],[Dens]]-INDEX(crudeBD.lkup.complete[Mean_Dens],MATCH(vp.tbl[[#This Row],[Crude_Breakdown]],crudeBD.lkup.complete[Crude Breakdown],0)))^2,"")</f>
        <v>143.80381370226877</v>
      </c>
      <c r="AO50" s="4">
        <f>IFERROR((vp.tbl[[#This Row],[Sulf]]-INDEX(crudeBD.lkup.complete[Mean_Sulf],MATCH(vp.tbl[[#This Row],[Crude_Breakdown]],crudeBD.lkup.complete[Crude Breakdown],0)))^2,"")</f>
        <v>3.7997650615716166E-2</v>
      </c>
      <c r="AP50">
        <f>IF(AND(vp.tbl[[#This Row],[SDate]]&gt;=DATE(YEAR(vp.tbl[[#This Row],[SDate]]),5,1),vp.tbl[[#This Row],[SDate]]&lt;=DATE(YEAR(vp.tbl[[#This Row],[SDate]]),9,15)),1,0)</f>
        <v>0</v>
      </c>
      <c r="AQ50" s="15">
        <f>IF(vp.tbl[[#This Row],[SDate]]&lt;DATE(2016,12,1),0,1)</f>
        <v>0</v>
      </c>
    </row>
    <row r="51" spans="1:43" x14ac:dyDescent="0.25">
      <c r="A51">
        <v>50</v>
      </c>
      <c r="B51" t="s">
        <v>46</v>
      </c>
      <c r="C51" t="s">
        <v>46</v>
      </c>
      <c r="D51" t="s">
        <v>47</v>
      </c>
      <c r="F51" s="1">
        <v>42339</v>
      </c>
      <c r="G51" s="2">
        <v>112.1</v>
      </c>
      <c r="H51" s="2"/>
      <c r="I51" s="2">
        <v>2.41</v>
      </c>
      <c r="J51" s="2"/>
      <c r="K51" s="2"/>
      <c r="L51" s="2">
        <v>871</v>
      </c>
      <c r="M51" s="2">
        <v>871</v>
      </c>
      <c r="N51" s="2">
        <f ca="1">INDEX(INDIRECT(_xlfn.CONCAT("weather.tbl[",N$1,"]")),MATCH(vp.tbl[[#This Row],[SDate]],weather.tbl[Date],0))</f>
        <v>-5.4666666666666659</v>
      </c>
      <c r="O51" s="2">
        <f ca="1">INDEX(INDIRECT(_xlfn.CONCAT("weather.tbl[",O$1,"]")),MATCH(vp.tbl[[#This Row],[SDate]],weather.tbl[Date],0))</f>
        <v>-8.0857142857142872</v>
      </c>
      <c r="P51" s="2">
        <f ca="1">INDEX(INDIRECT(_xlfn.CONCAT("weather.tbl[",P$1,"]")),MATCH(vp.tbl[[#This Row],[SDate]],weather.tbl[Date],0))</f>
        <v>-6.2</v>
      </c>
      <c r="Q51" s="2">
        <f ca="1">INDEX(INDIRECT(_xlfn.CONCAT("weather.tbl[",Q$1,"]")),MATCH(vp.tbl[[#This Row],[SDate]],weather.tbl[Date],0))</f>
        <v>-6.7</v>
      </c>
      <c r="R51" s="2">
        <f ca="1">INDEX(INDIRECT(_xlfn.CONCAT("weather.tbl[",R$1,"]")),MATCH(vp.tbl[[#This Row],[SDate]],weather.tbl[Date],0))</f>
        <v>-5.5</v>
      </c>
      <c r="S51" s="2">
        <f ca="1">INDEX(INDIRECT(_xlfn.CONCAT("weather.tbl[",S$1,"]")),MATCH(vp.tbl[[#This Row],[SDate]],weather.tbl[Date],0))</f>
        <v>-5.5</v>
      </c>
      <c r="T51" s="2">
        <f ca="1">INDEX(INDIRECT(_xlfn.CONCAT("weather.tbl[",T$1,"]")),MATCH(vp.tbl[[#This Row],[SDate]],weather.tbl[Date],0))</f>
        <v>-5.3</v>
      </c>
      <c r="U51" s="2">
        <f ca="1">INDEX(INDIRECT(_xlfn.CONCAT("weather.tbl[",U$1,"]")),MATCH(vp.tbl[[#This Row],[SDate]],weather.tbl[Date],0))</f>
        <v>-3.6</v>
      </c>
      <c r="V51" s="2">
        <v>118241.302</v>
      </c>
      <c r="W51" t="s">
        <v>48</v>
      </c>
      <c r="X51">
        <f>IF(OR(vp.tbl[[#This Row],[Sulf]]="",vp.tbl[[#This Row],[Dens]]=""),1,0)</f>
        <v>0</v>
      </c>
      <c r="Y51">
        <f>IF(vp.tbl[[#This Row],[CrudeType]]="C5+",1,0)</f>
        <v>0</v>
      </c>
      <c r="Z51">
        <f>IF(AND(vp.tbl[[#This Row],[CrudeType]]="Crude",vp.tbl[[#This Row],[Dens]]&lt;=825,vp.tbl[[#This Row],[Sulf]]&gt;0.5,vp.tbl[[#This Row],[Unknown]]=0),1,0)</f>
        <v>0</v>
      </c>
      <c r="AA51">
        <f>IF(AND(vp.tbl[[#This Row],[CrudeType]]="Crude",vp.tbl[[#This Row],[Dens]]&lt;=825,vp.tbl[[#This Row],[Sulf]]&lt;=0.5,vp.tbl[[#This Row],[Unknown]]=0),1,0)</f>
        <v>0</v>
      </c>
      <c r="AB51">
        <f>IF(AND(vp.tbl[[#This Row],[CrudeType]]="Crude",vp.tbl[[#This Row],[Dens]]&gt;825,vp.tbl[[#This Row],[Dens]]&lt;=870,vp.tbl[[#This Row],[Sulf]]&gt;0.5,vp.tbl[[#This Row],[Unknown]]=0),1,0)</f>
        <v>0</v>
      </c>
      <c r="AC51">
        <f>IF(AND(vp.tbl[[#This Row],[CrudeType]]="Crude",vp.tbl[[#This Row],[Dens]]&gt;825,vp.tbl[[#This Row],[Dens]]&lt;=900,vp.tbl[[#This Row],[Sulf]]&lt;=0.5,vp.tbl[[#This Row],[Unknown]]=0),1,0)</f>
        <v>0</v>
      </c>
      <c r="AD51">
        <f>IF(AND(vp.tbl[[#This Row],[CrudeType]]="Crude",vp.tbl[[#This Row],[Dens]]&gt;870,vp.tbl[[#This Row],[Dens]]&lt;=900,vp.tbl[[#This Row],[Sulf]]&gt;0.5,vp.tbl[[#This Row],[Unknown]]=0),1,0)</f>
        <v>1</v>
      </c>
      <c r="AE51">
        <f>IF(AND(vp.tbl[[#This Row],[CrudeType]]="Crude",vp.tbl[[#This Row],[Dens]]&gt;900,vp.tbl[[#This Row],[Sulf]]&lt;=0.5,vp.tbl[[#This Row],[Unknown]]=0),1,0)</f>
        <v>0</v>
      </c>
      <c r="AF51">
        <f>IF(AND(vp.tbl[[#This Row],[CrudeType]]="Crude",vp.tbl[[#This Row],[Dens]]&gt;900,vp.tbl[[#This Row],[Sulf]]&lt;=0.5,vp.tbl[[#This Row],[Unknown]]=0),1,0)</f>
        <v>0</v>
      </c>
      <c r="AG51" t="str">
        <f>INDEX(vp.tbl[[#Headers],[Unknown]:[Heavy_SW]],MATCH(1,vp.tbl[[#This Row],[Unknown]:[Heavy_SW]],0))</f>
        <v>Midale</v>
      </c>
      <c r="AH51" t="e">
        <f>INDEX([1]!crudeBD.lkup[Number],MATCH(vp.tbl[[#This Row],[Crude_Breakdown]],[1]!crudeBD.lkup[Crude Breakdown],0))</f>
        <v>#REF!</v>
      </c>
      <c r="AI51">
        <f>MONTH(vp.tbl[[#This Row],[SDate]])</f>
        <v>12</v>
      </c>
      <c r="AJ51" s="5">
        <f>IFERROR(vp.tbl[[#This Row],[Sulf]]*vp.tbl[[#This Row],[Net Dens]],"")</f>
        <v>248201499.44122002</v>
      </c>
      <c r="AK51" s="5">
        <f>IFERROR(vp.tbl[[#This Row],[Dens]]*vp.tbl[[#This Row],[VolumeM3]],"")</f>
        <v>102988174.042</v>
      </c>
      <c r="AL51" s="5">
        <f>IFERROR(vp.tbl[[#This Row],[VP]]*vp.tbl[[#This Row],[VolumeM3]],"")</f>
        <v>13254849.9542</v>
      </c>
      <c r="AM51" s="4">
        <f>IFERROR((vp.tbl[[#This Row],[VP]]-INDEX(crudeBD.lkup.complete[Mean_VP],MATCH(vp.tbl[[#This Row],[Crude_Breakdown]],crudeBD.lkup.complete[Crude Breakdown],0)))^2,"")</f>
        <v>1923.8437999624678</v>
      </c>
      <c r="AN51" s="4">
        <f>IFERROR((vp.tbl[[#This Row],[Dens]]-INDEX(crudeBD.lkup.complete[Mean_Dens],MATCH(vp.tbl[[#This Row],[Crude_Breakdown]],crudeBD.lkup.complete[Crude Breakdown],0)))^2,"")</f>
        <v>42.929422030395735</v>
      </c>
      <c r="AO51" s="4">
        <f>IFERROR((vp.tbl[[#This Row],[Sulf]]-INDEX(crudeBD.lkup.complete[Mean_Sulf],MATCH(vp.tbl[[#This Row],[Crude_Breakdown]],crudeBD.lkup.complete[Crude Breakdown],0)))^2,"")</f>
        <v>2.8517063032449047E-5</v>
      </c>
      <c r="AP51">
        <f>IF(AND(vp.tbl[[#This Row],[SDate]]&gt;=DATE(YEAR(vp.tbl[[#This Row],[SDate]]),5,1),vp.tbl[[#This Row],[SDate]]&lt;=DATE(YEAR(vp.tbl[[#This Row],[SDate]]),9,15)),1,0)</f>
        <v>0</v>
      </c>
      <c r="AQ51" s="15">
        <f>IF(vp.tbl[[#This Row],[SDate]]&lt;DATE(2016,12,1),0,1)</f>
        <v>0</v>
      </c>
    </row>
    <row r="52" spans="1:43" x14ac:dyDescent="0.25">
      <c r="A52">
        <v>51</v>
      </c>
      <c r="B52" t="s">
        <v>64</v>
      </c>
      <c r="C52" t="s">
        <v>64</v>
      </c>
      <c r="D52" t="s">
        <v>65</v>
      </c>
      <c r="F52" s="1">
        <v>42339</v>
      </c>
      <c r="G52" s="2">
        <v>111.7</v>
      </c>
      <c r="H52" s="2"/>
      <c r="I52" s="2">
        <v>2.08</v>
      </c>
      <c r="J52" s="2"/>
      <c r="K52" s="2"/>
      <c r="L52" s="2">
        <v>872.8</v>
      </c>
      <c r="M52" s="2">
        <v>872.8</v>
      </c>
      <c r="N52" s="2">
        <f ca="1">INDEX(INDIRECT(_xlfn.CONCAT("weather.tbl[",N$1,"]")),MATCH(vp.tbl[[#This Row],[SDate]],weather.tbl[Date],0))</f>
        <v>-5.4666666666666659</v>
      </c>
      <c r="O52" s="2">
        <f ca="1">INDEX(INDIRECT(_xlfn.CONCAT("weather.tbl[",O$1,"]")),MATCH(vp.tbl[[#This Row],[SDate]],weather.tbl[Date],0))</f>
        <v>-8.0857142857142872</v>
      </c>
      <c r="P52" s="2">
        <f ca="1">INDEX(INDIRECT(_xlfn.CONCAT("weather.tbl[",P$1,"]")),MATCH(vp.tbl[[#This Row],[SDate]],weather.tbl[Date],0))</f>
        <v>-6.2</v>
      </c>
      <c r="Q52" s="2">
        <f ca="1">INDEX(INDIRECT(_xlfn.CONCAT("weather.tbl[",Q$1,"]")),MATCH(vp.tbl[[#This Row],[SDate]],weather.tbl[Date],0))</f>
        <v>-6.7</v>
      </c>
      <c r="R52" s="2">
        <f ca="1">INDEX(INDIRECT(_xlfn.CONCAT("weather.tbl[",R$1,"]")),MATCH(vp.tbl[[#This Row],[SDate]],weather.tbl[Date],0))</f>
        <v>-5.5</v>
      </c>
      <c r="S52" s="2">
        <f ca="1">INDEX(INDIRECT(_xlfn.CONCAT("weather.tbl[",S$1,"]")),MATCH(vp.tbl[[#This Row],[SDate]],weather.tbl[Date],0))</f>
        <v>-5.5</v>
      </c>
      <c r="T52" s="2">
        <f ca="1">INDEX(INDIRECT(_xlfn.CONCAT("weather.tbl[",T$1,"]")),MATCH(vp.tbl[[#This Row],[SDate]],weather.tbl[Date],0))</f>
        <v>-5.3</v>
      </c>
      <c r="U52" s="2">
        <f ca="1">INDEX(INDIRECT(_xlfn.CONCAT("weather.tbl[",U$1,"]")),MATCH(vp.tbl[[#This Row],[SDate]],weather.tbl[Date],0))</f>
        <v>-3.6</v>
      </c>
      <c r="V52" s="2">
        <v>24480.578000000001</v>
      </c>
      <c r="W52" t="s">
        <v>48</v>
      </c>
      <c r="X52">
        <f>IF(OR(vp.tbl[[#This Row],[Sulf]]="",vp.tbl[[#This Row],[Dens]]=""),1,0)</f>
        <v>0</v>
      </c>
      <c r="Y52">
        <f>IF(vp.tbl[[#This Row],[CrudeType]]="C5+",1,0)</f>
        <v>0</v>
      </c>
      <c r="Z52">
        <f>IF(AND(vp.tbl[[#This Row],[CrudeType]]="Crude",vp.tbl[[#This Row],[Dens]]&lt;=825,vp.tbl[[#This Row],[Sulf]]&gt;0.5,vp.tbl[[#This Row],[Unknown]]=0),1,0)</f>
        <v>0</v>
      </c>
      <c r="AA52">
        <f>IF(AND(vp.tbl[[#This Row],[CrudeType]]="Crude",vp.tbl[[#This Row],[Dens]]&lt;=825,vp.tbl[[#This Row],[Sulf]]&lt;=0.5,vp.tbl[[#This Row],[Unknown]]=0),1,0)</f>
        <v>0</v>
      </c>
      <c r="AB52">
        <f>IF(AND(vp.tbl[[#This Row],[CrudeType]]="Crude",vp.tbl[[#This Row],[Dens]]&gt;825,vp.tbl[[#This Row],[Dens]]&lt;=870,vp.tbl[[#This Row],[Sulf]]&gt;0.5,vp.tbl[[#This Row],[Unknown]]=0),1,0)</f>
        <v>0</v>
      </c>
      <c r="AC52">
        <f>IF(AND(vp.tbl[[#This Row],[CrudeType]]="Crude",vp.tbl[[#This Row],[Dens]]&gt;825,vp.tbl[[#This Row],[Dens]]&lt;=900,vp.tbl[[#This Row],[Sulf]]&lt;=0.5,vp.tbl[[#This Row],[Unknown]]=0),1,0)</f>
        <v>0</v>
      </c>
      <c r="AD52">
        <f>IF(AND(vp.tbl[[#This Row],[CrudeType]]="Crude",vp.tbl[[#This Row],[Dens]]&gt;870,vp.tbl[[#This Row],[Dens]]&lt;=900,vp.tbl[[#This Row],[Sulf]]&gt;0.5,vp.tbl[[#This Row],[Unknown]]=0),1,0)</f>
        <v>1</v>
      </c>
      <c r="AE52">
        <f>IF(AND(vp.tbl[[#This Row],[CrudeType]]="Crude",vp.tbl[[#This Row],[Dens]]&gt;900,vp.tbl[[#This Row],[Sulf]]&lt;=0.5,vp.tbl[[#This Row],[Unknown]]=0),1,0)</f>
        <v>0</v>
      </c>
      <c r="AF52">
        <f>IF(AND(vp.tbl[[#This Row],[CrudeType]]="Crude",vp.tbl[[#This Row],[Dens]]&gt;900,vp.tbl[[#This Row],[Sulf]]&lt;=0.5,vp.tbl[[#This Row],[Unknown]]=0),1,0)</f>
        <v>0</v>
      </c>
      <c r="AG52" t="str">
        <f>INDEX(vp.tbl[[#Headers],[Unknown]:[Heavy_SW]],MATCH(1,vp.tbl[[#This Row],[Unknown]:[Heavy_SW]],0))</f>
        <v>Midale</v>
      </c>
      <c r="AH52" t="e">
        <f>INDEX([1]!crudeBD.lkup[Number],MATCH(vp.tbl[[#This Row],[Crude_Breakdown]],[1]!crudeBD.lkup[Crude Breakdown],0))</f>
        <v>#REF!</v>
      </c>
      <c r="AI52">
        <f>MONTH(vp.tbl[[#This Row],[SDate]])</f>
        <v>12</v>
      </c>
      <c r="AJ52" s="5">
        <f>IFERROR(vp.tbl[[#This Row],[Sulf]]*vp.tbl[[#This Row],[Net Dens]],"")</f>
        <v>44442628.835072003</v>
      </c>
      <c r="AK52" s="5">
        <f>IFERROR(vp.tbl[[#This Row],[Dens]]*vp.tbl[[#This Row],[VolumeM3]],"")</f>
        <v>21366648.478399999</v>
      </c>
      <c r="AL52" s="5">
        <f>IFERROR(vp.tbl[[#This Row],[VP]]*vp.tbl[[#This Row],[VolumeM3]],"")</f>
        <v>2734480.5626000003</v>
      </c>
      <c r="AM52" s="4">
        <f>IFERROR((vp.tbl[[#This Row],[VP]]-INDEX(crudeBD.lkup.complete[Mean_VP],MATCH(vp.tbl[[#This Row],[Crude_Breakdown]],crudeBD.lkup.complete[Crude Breakdown],0)))^2,"")</f>
        <v>1888.9144848939754</v>
      </c>
      <c r="AN52" s="4">
        <f>IFERROR((vp.tbl[[#This Row],[Dens]]-INDEX(crudeBD.lkup.complete[Mean_Dens],MATCH(vp.tbl[[#This Row],[Crude_Breakdown]],crudeBD.lkup.complete[Crude Breakdown],0)))^2,"")</f>
        <v>22.582024770123283</v>
      </c>
      <c r="AO52" s="4">
        <f>IFERROR((vp.tbl[[#This Row],[Sulf]]-INDEX(crudeBD.lkup.complete[Mean_Sulf],MATCH(vp.tbl[[#This Row],[Crude_Breakdown]],crudeBD.lkup.complete[Crude Breakdown],0)))^2,"")</f>
        <v>0.11245300747399048</v>
      </c>
      <c r="AP52">
        <f>IF(AND(vp.tbl[[#This Row],[SDate]]&gt;=DATE(YEAR(vp.tbl[[#This Row],[SDate]]),5,1),vp.tbl[[#This Row],[SDate]]&lt;=DATE(YEAR(vp.tbl[[#This Row],[SDate]]),9,15)),1,0)</f>
        <v>0</v>
      </c>
      <c r="AQ52" s="15">
        <f>IF(vp.tbl[[#This Row],[SDate]]&lt;DATE(2016,12,1),0,1)</f>
        <v>0</v>
      </c>
    </row>
    <row r="53" spans="1:43" x14ac:dyDescent="0.25">
      <c r="A53">
        <v>52</v>
      </c>
      <c r="B53" t="s">
        <v>51</v>
      </c>
      <c r="C53" t="s">
        <v>51</v>
      </c>
      <c r="D53" t="s">
        <v>52</v>
      </c>
      <c r="F53" s="1">
        <v>42339</v>
      </c>
      <c r="G53" s="2">
        <v>112.2</v>
      </c>
      <c r="H53" s="2"/>
      <c r="I53" s="2">
        <v>2.2999999999999998</v>
      </c>
      <c r="J53" s="2"/>
      <c r="K53" s="2"/>
      <c r="L53" s="2">
        <v>876</v>
      </c>
      <c r="M53" s="2">
        <v>876</v>
      </c>
      <c r="N53" s="2">
        <f ca="1">INDEX(INDIRECT(_xlfn.CONCAT("weather.tbl[",N$1,"]")),MATCH(vp.tbl[[#This Row],[SDate]],weather.tbl[Date],0))</f>
        <v>-5.4666666666666659</v>
      </c>
      <c r="O53" s="2">
        <f ca="1">INDEX(INDIRECT(_xlfn.CONCAT("weather.tbl[",O$1,"]")),MATCH(vp.tbl[[#This Row],[SDate]],weather.tbl[Date],0))</f>
        <v>-8.0857142857142872</v>
      </c>
      <c r="P53" s="2">
        <f ca="1">INDEX(INDIRECT(_xlfn.CONCAT("weather.tbl[",P$1,"]")),MATCH(vp.tbl[[#This Row],[SDate]],weather.tbl[Date],0))</f>
        <v>-6.2</v>
      </c>
      <c r="Q53" s="2">
        <f ca="1">INDEX(INDIRECT(_xlfn.CONCAT("weather.tbl[",Q$1,"]")),MATCH(vp.tbl[[#This Row],[SDate]],weather.tbl[Date],0))</f>
        <v>-6.7</v>
      </c>
      <c r="R53" s="2">
        <f ca="1">INDEX(INDIRECT(_xlfn.CONCAT("weather.tbl[",R$1,"]")),MATCH(vp.tbl[[#This Row],[SDate]],weather.tbl[Date],0))</f>
        <v>-5.5</v>
      </c>
      <c r="S53" s="2">
        <f ca="1">INDEX(INDIRECT(_xlfn.CONCAT("weather.tbl[",S$1,"]")),MATCH(vp.tbl[[#This Row],[SDate]],weather.tbl[Date],0))</f>
        <v>-5.5</v>
      </c>
      <c r="T53" s="2">
        <f ca="1">INDEX(INDIRECT(_xlfn.CONCAT("weather.tbl[",T$1,"]")),MATCH(vp.tbl[[#This Row],[SDate]],weather.tbl[Date],0))</f>
        <v>-5.3</v>
      </c>
      <c r="U53" s="2">
        <f ca="1">INDEX(INDIRECT(_xlfn.CONCAT("weather.tbl[",U$1,"]")),MATCH(vp.tbl[[#This Row],[SDate]],weather.tbl[Date],0))</f>
        <v>-3.6</v>
      </c>
      <c r="V53" s="2">
        <v>7916.5720000000001</v>
      </c>
      <c r="W53" t="s">
        <v>48</v>
      </c>
      <c r="X53">
        <f>IF(OR(vp.tbl[[#This Row],[Sulf]]="",vp.tbl[[#This Row],[Dens]]=""),1,0)</f>
        <v>0</v>
      </c>
      <c r="Y53">
        <f>IF(vp.tbl[[#This Row],[CrudeType]]="C5+",1,0)</f>
        <v>0</v>
      </c>
      <c r="Z53">
        <f>IF(AND(vp.tbl[[#This Row],[CrudeType]]="Crude",vp.tbl[[#This Row],[Dens]]&lt;=825,vp.tbl[[#This Row],[Sulf]]&gt;0.5,vp.tbl[[#This Row],[Unknown]]=0),1,0)</f>
        <v>0</v>
      </c>
      <c r="AA53">
        <f>IF(AND(vp.tbl[[#This Row],[CrudeType]]="Crude",vp.tbl[[#This Row],[Dens]]&lt;=825,vp.tbl[[#This Row],[Sulf]]&lt;=0.5,vp.tbl[[#This Row],[Unknown]]=0),1,0)</f>
        <v>0</v>
      </c>
      <c r="AB53">
        <f>IF(AND(vp.tbl[[#This Row],[CrudeType]]="Crude",vp.tbl[[#This Row],[Dens]]&gt;825,vp.tbl[[#This Row],[Dens]]&lt;=870,vp.tbl[[#This Row],[Sulf]]&gt;0.5,vp.tbl[[#This Row],[Unknown]]=0),1,0)</f>
        <v>0</v>
      </c>
      <c r="AC53">
        <f>IF(AND(vp.tbl[[#This Row],[CrudeType]]="Crude",vp.tbl[[#This Row],[Dens]]&gt;825,vp.tbl[[#This Row],[Dens]]&lt;=900,vp.tbl[[#This Row],[Sulf]]&lt;=0.5,vp.tbl[[#This Row],[Unknown]]=0),1,0)</f>
        <v>0</v>
      </c>
      <c r="AD53">
        <f>IF(AND(vp.tbl[[#This Row],[CrudeType]]="Crude",vp.tbl[[#This Row],[Dens]]&gt;870,vp.tbl[[#This Row],[Dens]]&lt;=900,vp.tbl[[#This Row],[Sulf]]&gt;0.5,vp.tbl[[#This Row],[Unknown]]=0),1,0)</f>
        <v>1</v>
      </c>
      <c r="AE53">
        <f>IF(AND(vp.tbl[[#This Row],[CrudeType]]="Crude",vp.tbl[[#This Row],[Dens]]&gt;900,vp.tbl[[#This Row],[Sulf]]&lt;=0.5,vp.tbl[[#This Row],[Unknown]]=0),1,0)</f>
        <v>0</v>
      </c>
      <c r="AF53">
        <f>IF(AND(vp.tbl[[#This Row],[CrudeType]]="Crude",vp.tbl[[#This Row],[Dens]]&gt;900,vp.tbl[[#This Row],[Sulf]]&lt;=0.5,vp.tbl[[#This Row],[Unknown]]=0),1,0)</f>
        <v>0</v>
      </c>
      <c r="AG53" t="str">
        <f>INDEX(vp.tbl[[#Headers],[Unknown]:[Heavy_SW]],MATCH(1,vp.tbl[[#This Row],[Unknown]:[Heavy_SW]],0))</f>
        <v>Midale</v>
      </c>
      <c r="AH53" t="e">
        <f>INDEX([1]!crudeBD.lkup[Number],MATCH(vp.tbl[[#This Row],[Crude_Breakdown]],[1]!crudeBD.lkup[Crude Breakdown],0))</f>
        <v>#REF!</v>
      </c>
      <c r="AI53">
        <f>MONTH(vp.tbl[[#This Row],[SDate]])</f>
        <v>12</v>
      </c>
      <c r="AJ53" s="5">
        <f>IFERROR(vp.tbl[[#This Row],[Sulf]]*vp.tbl[[#This Row],[Net Dens]],"")</f>
        <v>15950309.265599998</v>
      </c>
      <c r="AK53" s="5">
        <f>IFERROR(vp.tbl[[#This Row],[Dens]]*vp.tbl[[#This Row],[VolumeM3]],"")</f>
        <v>6934917.0719999997</v>
      </c>
      <c r="AL53" s="5">
        <f>IFERROR(vp.tbl[[#This Row],[VP]]*vp.tbl[[#This Row],[VolumeM3]],"")</f>
        <v>888239.37840000005</v>
      </c>
      <c r="AM53" s="4">
        <f>IFERROR((vp.tbl[[#This Row],[VP]]-INDEX(crudeBD.lkup.complete[Mean_VP],MATCH(vp.tbl[[#This Row],[Crude_Breakdown]],crudeBD.lkup.complete[Crude Breakdown],0)))^2,"")</f>
        <v>1932.626128729592</v>
      </c>
      <c r="AN53" s="4">
        <f>IFERROR((vp.tbl[[#This Row],[Dens]]-INDEX(crudeBD.lkup.complete[Mean_Dens],MATCH(vp.tbl[[#This Row],[Crude_Breakdown]],crudeBD.lkup.complete[Crude Breakdown],0)))^2,"")</f>
        <v>2.4088740851932804</v>
      </c>
      <c r="AO53" s="4">
        <f>IFERROR((vp.tbl[[#This Row],[Sulf]]-INDEX(crudeBD.lkup.complete[Mean_Sulf],MATCH(vp.tbl[[#This Row],[Crude_Breakdown]],crudeBD.lkup.complete[Crude Breakdown],0)))^2,"")</f>
        <v>1.3303347200018519E-2</v>
      </c>
      <c r="AP53">
        <f>IF(AND(vp.tbl[[#This Row],[SDate]]&gt;=DATE(YEAR(vp.tbl[[#This Row],[SDate]]),5,1),vp.tbl[[#This Row],[SDate]]&lt;=DATE(YEAR(vp.tbl[[#This Row],[SDate]]),9,15)),1,0)</f>
        <v>0</v>
      </c>
      <c r="AQ53" s="15">
        <f>IF(vp.tbl[[#This Row],[SDate]]&lt;DATE(2016,12,1),0,1)</f>
        <v>0</v>
      </c>
    </row>
    <row r="54" spans="1:43" x14ac:dyDescent="0.25">
      <c r="A54">
        <v>53</v>
      </c>
      <c r="B54" t="s">
        <v>49</v>
      </c>
      <c r="C54" t="s">
        <v>49</v>
      </c>
      <c r="D54" t="s">
        <v>50</v>
      </c>
      <c r="F54" s="1">
        <v>42339</v>
      </c>
      <c r="G54" s="2">
        <v>112.9</v>
      </c>
      <c r="H54" s="2"/>
      <c r="I54" s="2">
        <v>2.59</v>
      </c>
      <c r="J54" s="2"/>
      <c r="K54" s="2"/>
      <c r="L54" s="2">
        <v>878</v>
      </c>
      <c r="M54" s="2">
        <v>878</v>
      </c>
      <c r="N54" s="2">
        <f ca="1">INDEX(INDIRECT(_xlfn.CONCAT("weather.tbl[",N$1,"]")),MATCH(vp.tbl[[#This Row],[SDate]],weather.tbl[Date],0))</f>
        <v>-5.4666666666666659</v>
      </c>
      <c r="O54" s="2">
        <f ca="1">INDEX(INDIRECT(_xlfn.CONCAT("weather.tbl[",O$1,"]")),MATCH(vp.tbl[[#This Row],[SDate]],weather.tbl[Date],0))</f>
        <v>-8.0857142857142872</v>
      </c>
      <c r="P54" s="2">
        <f ca="1">INDEX(INDIRECT(_xlfn.CONCAT("weather.tbl[",P$1,"]")),MATCH(vp.tbl[[#This Row],[SDate]],weather.tbl[Date],0))</f>
        <v>-6.2</v>
      </c>
      <c r="Q54" s="2">
        <f ca="1">INDEX(INDIRECT(_xlfn.CONCAT("weather.tbl[",Q$1,"]")),MATCH(vp.tbl[[#This Row],[SDate]],weather.tbl[Date],0))</f>
        <v>-6.7</v>
      </c>
      <c r="R54" s="2">
        <f ca="1">INDEX(INDIRECT(_xlfn.CONCAT("weather.tbl[",R$1,"]")),MATCH(vp.tbl[[#This Row],[SDate]],weather.tbl[Date],0))</f>
        <v>-5.5</v>
      </c>
      <c r="S54" s="2">
        <f ca="1">INDEX(INDIRECT(_xlfn.CONCAT("weather.tbl[",S$1,"]")),MATCH(vp.tbl[[#This Row],[SDate]],weather.tbl[Date],0))</f>
        <v>-5.5</v>
      </c>
      <c r="T54" s="2">
        <f ca="1">INDEX(INDIRECT(_xlfn.CONCAT("weather.tbl[",T$1,"]")),MATCH(vp.tbl[[#This Row],[SDate]],weather.tbl[Date],0))</f>
        <v>-5.3</v>
      </c>
      <c r="U54" s="2">
        <f ca="1">INDEX(INDIRECT(_xlfn.CONCAT("weather.tbl[",U$1,"]")),MATCH(vp.tbl[[#This Row],[SDate]],weather.tbl[Date],0))</f>
        <v>-3.6</v>
      </c>
      <c r="V54" s="2">
        <v>6021.2470000000003</v>
      </c>
      <c r="W54" t="s">
        <v>48</v>
      </c>
      <c r="X54">
        <f>IF(OR(vp.tbl[[#This Row],[Sulf]]="",vp.tbl[[#This Row],[Dens]]=""),1,0)</f>
        <v>0</v>
      </c>
      <c r="Y54">
        <f>IF(vp.tbl[[#This Row],[CrudeType]]="C5+",1,0)</f>
        <v>0</v>
      </c>
      <c r="Z54">
        <f>IF(AND(vp.tbl[[#This Row],[CrudeType]]="Crude",vp.tbl[[#This Row],[Dens]]&lt;=825,vp.tbl[[#This Row],[Sulf]]&gt;0.5,vp.tbl[[#This Row],[Unknown]]=0),1,0)</f>
        <v>0</v>
      </c>
      <c r="AA54">
        <f>IF(AND(vp.tbl[[#This Row],[CrudeType]]="Crude",vp.tbl[[#This Row],[Dens]]&lt;=825,vp.tbl[[#This Row],[Sulf]]&lt;=0.5,vp.tbl[[#This Row],[Unknown]]=0),1,0)</f>
        <v>0</v>
      </c>
      <c r="AB54">
        <f>IF(AND(vp.tbl[[#This Row],[CrudeType]]="Crude",vp.tbl[[#This Row],[Dens]]&gt;825,vp.tbl[[#This Row],[Dens]]&lt;=870,vp.tbl[[#This Row],[Sulf]]&gt;0.5,vp.tbl[[#This Row],[Unknown]]=0),1,0)</f>
        <v>0</v>
      </c>
      <c r="AC54">
        <f>IF(AND(vp.tbl[[#This Row],[CrudeType]]="Crude",vp.tbl[[#This Row],[Dens]]&gt;825,vp.tbl[[#This Row],[Dens]]&lt;=900,vp.tbl[[#This Row],[Sulf]]&lt;=0.5,vp.tbl[[#This Row],[Unknown]]=0),1,0)</f>
        <v>0</v>
      </c>
      <c r="AD54">
        <f>IF(AND(vp.tbl[[#This Row],[CrudeType]]="Crude",vp.tbl[[#This Row],[Dens]]&gt;870,vp.tbl[[#This Row],[Dens]]&lt;=900,vp.tbl[[#This Row],[Sulf]]&gt;0.5,vp.tbl[[#This Row],[Unknown]]=0),1,0)</f>
        <v>1</v>
      </c>
      <c r="AE54">
        <f>IF(AND(vp.tbl[[#This Row],[CrudeType]]="Crude",vp.tbl[[#This Row],[Dens]]&gt;900,vp.tbl[[#This Row],[Sulf]]&lt;=0.5,vp.tbl[[#This Row],[Unknown]]=0),1,0)</f>
        <v>0</v>
      </c>
      <c r="AF54">
        <f>IF(AND(vp.tbl[[#This Row],[CrudeType]]="Crude",vp.tbl[[#This Row],[Dens]]&gt;900,vp.tbl[[#This Row],[Sulf]]&lt;=0.5,vp.tbl[[#This Row],[Unknown]]=0),1,0)</f>
        <v>0</v>
      </c>
      <c r="AG54" t="str">
        <f>INDEX(vp.tbl[[#Headers],[Unknown]:[Heavy_SW]],MATCH(1,vp.tbl[[#This Row],[Unknown]:[Heavy_SW]],0))</f>
        <v>Midale</v>
      </c>
      <c r="AH54" t="e">
        <f>INDEX([1]!crudeBD.lkup[Number],MATCH(vp.tbl[[#This Row],[Crude_Breakdown]],[1]!crudeBD.lkup[Crude Breakdown],0))</f>
        <v>#REF!</v>
      </c>
      <c r="AI54">
        <f>MONTH(vp.tbl[[#This Row],[SDate]])</f>
        <v>12</v>
      </c>
      <c r="AJ54" s="5">
        <f>IFERROR(vp.tbl[[#This Row],[Sulf]]*vp.tbl[[#This Row],[Net Dens]],"")</f>
        <v>13692436.102940001</v>
      </c>
      <c r="AK54" s="5">
        <f>IFERROR(vp.tbl[[#This Row],[Dens]]*vp.tbl[[#This Row],[VolumeM3]],"")</f>
        <v>5286654.8660000004</v>
      </c>
      <c r="AL54" s="5">
        <f>IFERROR(vp.tbl[[#This Row],[VP]]*vp.tbl[[#This Row],[VolumeM3]],"")</f>
        <v>679798.78630000004</v>
      </c>
      <c r="AM54" s="4">
        <f>IFERROR((vp.tbl[[#This Row],[VP]]-INDEX(crudeBD.lkup.complete[Mean_VP],MATCH(vp.tbl[[#This Row],[Crude_Breakdown]],crudeBD.lkup.complete[Crude Breakdown],0)))^2,"")</f>
        <v>1994.6624300994552</v>
      </c>
      <c r="AN54" s="4">
        <f>IFERROR((vp.tbl[[#This Row],[Dens]]-INDEX(crudeBD.lkup.complete[Mean_Dens],MATCH(vp.tbl[[#This Row],[Crude_Breakdown]],crudeBD.lkup.complete[Crude Breakdown],0)))^2,"")</f>
        <v>0.20065490711229975</v>
      </c>
      <c r="AO54" s="4">
        <f>IFERROR((vp.tbl[[#This Row],[Sulf]]-INDEX(crudeBD.lkup.complete[Mean_Sulf],MATCH(vp.tbl[[#This Row],[Crude_Breakdown]],crudeBD.lkup.complete[Crude Breakdown],0)))^2,"")</f>
        <v>3.0506067747964355E-2</v>
      </c>
      <c r="AP54">
        <f>IF(AND(vp.tbl[[#This Row],[SDate]]&gt;=DATE(YEAR(vp.tbl[[#This Row],[SDate]]),5,1),vp.tbl[[#This Row],[SDate]]&lt;=DATE(YEAR(vp.tbl[[#This Row],[SDate]]),9,15)),1,0)</f>
        <v>0</v>
      </c>
      <c r="AQ54" s="15">
        <f>IF(vp.tbl[[#This Row],[SDate]]&lt;DATE(2016,12,1),0,1)</f>
        <v>0</v>
      </c>
    </row>
    <row r="55" spans="1:43" x14ac:dyDescent="0.25">
      <c r="A55">
        <v>54</v>
      </c>
      <c r="B55" t="s">
        <v>56</v>
      </c>
      <c r="C55" t="s">
        <v>56</v>
      </c>
      <c r="D55" t="s">
        <v>57</v>
      </c>
      <c r="F55" s="1">
        <v>42345</v>
      </c>
      <c r="G55" s="2">
        <v>98.5</v>
      </c>
      <c r="H55" s="2"/>
      <c r="I55" s="2">
        <v>1.44</v>
      </c>
      <c r="J55" s="2"/>
      <c r="K55" s="2"/>
      <c r="L55" s="2">
        <v>842.7</v>
      </c>
      <c r="M55" s="2">
        <v>842.7</v>
      </c>
      <c r="N55" s="2">
        <f ca="1">INDEX(INDIRECT(_xlfn.CONCAT("weather.tbl[",N$1,"]")),MATCH(vp.tbl[[#This Row],[SDate]],weather.tbl[Date],0))</f>
        <v>4.2</v>
      </c>
      <c r="O55" s="2">
        <f ca="1">INDEX(INDIRECT(_xlfn.CONCAT("weather.tbl[",O$1,"]")),MATCH(vp.tbl[[#This Row],[SDate]],weather.tbl[Date],0))</f>
        <v>-0.11428571428571413</v>
      </c>
      <c r="P55" s="2">
        <f ca="1">INDEX(INDIRECT(_xlfn.CONCAT("weather.tbl[",P$1,"]")),MATCH(vp.tbl[[#This Row],[SDate]],weather.tbl[Date],0))</f>
        <v>3.9</v>
      </c>
      <c r="Q55" s="2">
        <f ca="1">INDEX(INDIRECT(_xlfn.CONCAT("weather.tbl[",Q$1,"]")),MATCH(vp.tbl[[#This Row],[SDate]],weather.tbl[Date],0))</f>
        <v>5.5</v>
      </c>
      <c r="R55" s="2">
        <f ca="1">INDEX(INDIRECT(_xlfn.CONCAT("weather.tbl[",R$1,"]")),MATCH(vp.tbl[[#This Row],[SDate]],weather.tbl[Date],0))</f>
        <v>3.3</v>
      </c>
      <c r="S55" s="2">
        <f ca="1">INDEX(INDIRECT(_xlfn.CONCAT("weather.tbl[",S$1,"]")),MATCH(vp.tbl[[#This Row],[SDate]],weather.tbl[Date],0))</f>
        <v>6.5</v>
      </c>
      <c r="T55" s="2">
        <f ca="1">INDEX(INDIRECT(_xlfn.CONCAT("weather.tbl[",T$1,"]")),MATCH(vp.tbl[[#This Row],[SDate]],weather.tbl[Date],0))</f>
        <v>3.2</v>
      </c>
      <c r="U55" s="2">
        <f ca="1">INDEX(INDIRECT(_xlfn.CONCAT("weather.tbl[",U$1,"]")),MATCH(vp.tbl[[#This Row],[SDate]],weather.tbl[Date],0))</f>
        <v>2.8</v>
      </c>
      <c r="V55" s="2">
        <v>3686.4169999999999</v>
      </c>
      <c r="W55" t="s">
        <v>48</v>
      </c>
      <c r="X55">
        <f>IF(OR(vp.tbl[[#This Row],[Sulf]]="",vp.tbl[[#This Row],[Dens]]=""),1,0)</f>
        <v>0</v>
      </c>
      <c r="Y55">
        <f>IF(vp.tbl[[#This Row],[CrudeType]]="C5+",1,0)</f>
        <v>0</v>
      </c>
      <c r="Z55">
        <f>IF(AND(vp.tbl[[#This Row],[CrudeType]]="Crude",vp.tbl[[#This Row],[Dens]]&lt;=825,vp.tbl[[#This Row],[Sulf]]&gt;0.5,vp.tbl[[#This Row],[Unknown]]=0),1,0)</f>
        <v>0</v>
      </c>
      <c r="AA55">
        <f>IF(AND(vp.tbl[[#This Row],[CrudeType]]="Crude",vp.tbl[[#This Row],[Dens]]&lt;=825,vp.tbl[[#This Row],[Sulf]]&lt;=0.5,vp.tbl[[#This Row],[Unknown]]=0),1,0)</f>
        <v>0</v>
      </c>
      <c r="AB55">
        <f>IF(AND(vp.tbl[[#This Row],[CrudeType]]="Crude",vp.tbl[[#This Row],[Dens]]&gt;825,vp.tbl[[#This Row],[Dens]]&lt;=870,vp.tbl[[#This Row],[Sulf]]&gt;0.5,vp.tbl[[#This Row],[Unknown]]=0),1,0)</f>
        <v>1</v>
      </c>
      <c r="AC55">
        <f>IF(AND(vp.tbl[[#This Row],[CrudeType]]="Crude",vp.tbl[[#This Row],[Dens]]&gt;825,vp.tbl[[#This Row],[Dens]]&lt;=900,vp.tbl[[#This Row],[Sulf]]&lt;=0.5,vp.tbl[[#This Row],[Unknown]]=0),1,0)</f>
        <v>0</v>
      </c>
      <c r="AD55">
        <f>IF(AND(vp.tbl[[#This Row],[CrudeType]]="Crude",vp.tbl[[#This Row],[Dens]]&gt;870,vp.tbl[[#This Row],[Dens]]&lt;=900,vp.tbl[[#This Row],[Sulf]]&gt;0.5,vp.tbl[[#This Row],[Unknown]]=0),1,0)</f>
        <v>0</v>
      </c>
      <c r="AE55">
        <f>IF(AND(vp.tbl[[#This Row],[CrudeType]]="Crude",vp.tbl[[#This Row],[Dens]]&gt;900,vp.tbl[[#This Row],[Sulf]]&lt;=0.5,vp.tbl[[#This Row],[Unknown]]=0),1,0)</f>
        <v>0</v>
      </c>
      <c r="AF55">
        <f>IF(AND(vp.tbl[[#This Row],[CrudeType]]="Crude",vp.tbl[[#This Row],[Dens]]&gt;900,vp.tbl[[#This Row],[Sulf]]&lt;=0.5,vp.tbl[[#This Row],[Unknown]]=0),1,0)</f>
        <v>0</v>
      </c>
      <c r="AG55" t="str">
        <f>INDEX(vp.tbl[[#Headers],[Unknown]:[Heavy_SW]],MATCH(1,vp.tbl[[#This Row],[Unknown]:[Heavy_SW]],0))</f>
        <v>Medium_LSB</v>
      </c>
      <c r="AH55" t="e">
        <f>INDEX([1]!crudeBD.lkup[Number],MATCH(vp.tbl[[#This Row],[Crude_Breakdown]],[1]!crudeBD.lkup[Crude Breakdown],0))</f>
        <v>#REF!</v>
      </c>
      <c r="AI55">
        <f>MONTH(vp.tbl[[#This Row],[SDate]])</f>
        <v>12</v>
      </c>
      <c r="AJ55" s="5">
        <f>IFERROR(vp.tbl[[#This Row],[Sulf]]*vp.tbl[[#This Row],[Net Dens]],"")</f>
        <v>4473422.7924960004</v>
      </c>
      <c r="AK55" s="5">
        <f>IFERROR(vp.tbl[[#This Row],[Dens]]*vp.tbl[[#This Row],[VolumeM3]],"")</f>
        <v>3106543.6059000003</v>
      </c>
      <c r="AL55" s="5">
        <f>IFERROR(vp.tbl[[#This Row],[VP]]*vp.tbl[[#This Row],[VolumeM3]],"")</f>
        <v>363112.07449999999</v>
      </c>
      <c r="AM55" s="4">
        <f>IFERROR((vp.tbl[[#This Row],[VP]]-INDEX(crudeBD.lkup.complete[Mean_VP],MATCH(vp.tbl[[#This Row],[Crude_Breakdown]],crudeBD.lkup.complete[Crude Breakdown],0)))^2,"")</f>
        <v>335.85712254382446</v>
      </c>
      <c r="AN55" s="4">
        <f>IFERROR((vp.tbl[[#This Row],[Dens]]-INDEX(crudeBD.lkup.complete[Mean_Dens],MATCH(vp.tbl[[#This Row],[Crude_Breakdown]],crudeBD.lkup.complete[Crude Breakdown],0)))^2,"")</f>
        <v>6.7175453478555802</v>
      </c>
      <c r="AO55" s="4">
        <f>IFERROR((vp.tbl[[#This Row],[Sulf]]-INDEX(crudeBD.lkup.complete[Mean_Sulf],MATCH(vp.tbl[[#This Row],[Crude_Breakdown]],crudeBD.lkup.complete[Crude Breakdown],0)))^2,"")</f>
        <v>2.2290074229791476E-4</v>
      </c>
      <c r="AP55">
        <f>IF(AND(vp.tbl[[#This Row],[SDate]]&gt;=DATE(YEAR(vp.tbl[[#This Row],[SDate]]),5,1),vp.tbl[[#This Row],[SDate]]&lt;=DATE(YEAR(vp.tbl[[#This Row],[SDate]]),9,15)),1,0)</f>
        <v>0</v>
      </c>
      <c r="AQ55" s="15">
        <f>IF(vp.tbl[[#This Row],[SDate]]&lt;DATE(2016,12,1),0,1)</f>
        <v>0</v>
      </c>
    </row>
    <row r="56" spans="1:43" x14ac:dyDescent="0.25">
      <c r="A56">
        <v>55</v>
      </c>
      <c r="B56" t="s">
        <v>51</v>
      </c>
      <c r="C56" t="s">
        <v>51</v>
      </c>
      <c r="D56" t="s">
        <v>66</v>
      </c>
      <c r="F56" s="1">
        <v>42347</v>
      </c>
      <c r="G56" s="2">
        <v>91.8</v>
      </c>
      <c r="H56" s="2"/>
      <c r="I56" s="2">
        <v>1.22</v>
      </c>
      <c r="J56" s="2"/>
      <c r="K56" s="2"/>
      <c r="L56" s="2">
        <v>825</v>
      </c>
      <c r="M56" s="2">
        <v>825</v>
      </c>
      <c r="N56" s="2">
        <f ca="1">INDEX(INDIRECT(_xlfn.CONCAT("weather.tbl[",N$1,"]")),MATCH(vp.tbl[[#This Row],[SDate]],weather.tbl[Date],0))</f>
        <v>4.4833333333333334</v>
      </c>
      <c r="O56" s="2">
        <f ca="1">INDEX(INDIRECT(_xlfn.CONCAT("weather.tbl[",O$1,"]")),MATCH(vp.tbl[[#This Row],[SDate]],weather.tbl[Date],0))</f>
        <v>2.166666666666667</v>
      </c>
      <c r="P56" s="2">
        <f ca="1">INDEX(INDIRECT(_xlfn.CONCAT("weather.tbl[",P$1,"]")),MATCH(vp.tbl[[#This Row],[SDate]],weather.tbl[Date],0))</f>
        <v>6.5</v>
      </c>
      <c r="Q56" s="2">
        <f ca="1">INDEX(INDIRECT(_xlfn.CONCAT("weather.tbl[",Q$1,"]")),MATCH(vp.tbl[[#This Row],[SDate]],weather.tbl[Date],0))</f>
        <v>4.4000000000000004</v>
      </c>
      <c r="R56" s="2">
        <f ca="1">INDEX(INDIRECT(_xlfn.CONCAT("weather.tbl[",R$1,"]")),MATCH(vp.tbl[[#This Row],[SDate]],weather.tbl[Date],0))</f>
        <v>3.8</v>
      </c>
      <c r="S56" s="2">
        <f ca="1">INDEX(INDIRECT(_xlfn.CONCAT("weather.tbl[",S$1,"]")),MATCH(vp.tbl[[#This Row],[SDate]],weather.tbl[Date],0))</f>
        <v>3.5</v>
      </c>
      <c r="T56" s="2">
        <f ca="1">INDEX(INDIRECT(_xlfn.CONCAT("weather.tbl[",T$1,"]")),MATCH(vp.tbl[[#This Row],[SDate]],weather.tbl[Date],0))</f>
        <v>4.7</v>
      </c>
      <c r="U56" s="2">
        <f ca="1">INDEX(INDIRECT(_xlfn.CONCAT("weather.tbl[",U$1,"]")),MATCH(vp.tbl[[#This Row],[SDate]],weather.tbl[Date],0))</f>
        <v>4</v>
      </c>
      <c r="V56" s="2">
        <v>6181.3109999999997</v>
      </c>
      <c r="W56" t="s">
        <v>48</v>
      </c>
      <c r="X56">
        <f>IF(OR(vp.tbl[[#This Row],[Sulf]]="",vp.tbl[[#This Row],[Dens]]=""),1,0)</f>
        <v>0</v>
      </c>
      <c r="Y56">
        <f>IF(vp.tbl[[#This Row],[CrudeType]]="C5+",1,0)</f>
        <v>0</v>
      </c>
      <c r="Z56">
        <f>IF(AND(vp.tbl[[#This Row],[CrudeType]]="Crude",vp.tbl[[#This Row],[Dens]]&lt;=825,vp.tbl[[#This Row],[Sulf]]&gt;0.5,vp.tbl[[#This Row],[Unknown]]=0),1,0)</f>
        <v>1</v>
      </c>
      <c r="AA56">
        <f>IF(AND(vp.tbl[[#This Row],[CrudeType]]="Crude",vp.tbl[[#This Row],[Dens]]&lt;=825,vp.tbl[[#This Row],[Sulf]]&lt;=0.5,vp.tbl[[#This Row],[Unknown]]=0),1,0)</f>
        <v>0</v>
      </c>
      <c r="AB56">
        <f>IF(AND(vp.tbl[[#This Row],[CrudeType]]="Crude",vp.tbl[[#This Row],[Dens]]&gt;825,vp.tbl[[#This Row],[Dens]]&lt;=870,vp.tbl[[#This Row],[Sulf]]&gt;0.5,vp.tbl[[#This Row],[Unknown]]=0),1,0)</f>
        <v>0</v>
      </c>
      <c r="AC56">
        <f>IF(AND(vp.tbl[[#This Row],[CrudeType]]="Crude",vp.tbl[[#This Row],[Dens]]&gt;825,vp.tbl[[#This Row],[Dens]]&lt;=900,vp.tbl[[#This Row],[Sulf]]&lt;=0.5,vp.tbl[[#This Row],[Unknown]]=0),1,0)</f>
        <v>0</v>
      </c>
      <c r="AD56">
        <f>IF(AND(vp.tbl[[#This Row],[CrudeType]]="Crude",vp.tbl[[#This Row],[Dens]]&gt;870,vp.tbl[[#This Row],[Dens]]&lt;=900,vp.tbl[[#This Row],[Sulf]]&gt;0.5,vp.tbl[[#This Row],[Unknown]]=0),1,0)</f>
        <v>0</v>
      </c>
      <c r="AE56">
        <f>IF(AND(vp.tbl[[#This Row],[CrudeType]]="Crude",vp.tbl[[#This Row],[Dens]]&gt;900,vp.tbl[[#This Row],[Sulf]]&lt;=0.5,vp.tbl[[#This Row],[Unknown]]=0),1,0)</f>
        <v>0</v>
      </c>
      <c r="AF56">
        <f>IF(AND(vp.tbl[[#This Row],[CrudeType]]="Crude",vp.tbl[[#This Row],[Dens]]&gt;900,vp.tbl[[#This Row],[Sulf]]&lt;=0.5,vp.tbl[[#This Row],[Unknown]]=0),1,0)</f>
        <v>0</v>
      </c>
      <c r="AG56" t="str">
        <f>INDEX(vp.tbl[[#Headers],[Unknown]:[Heavy_SW]],MATCH(1,vp.tbl[[#This Row],[Unknown]:[Heavy_SW]],0))</f>
        <v>Light_LSB</v>
      </c>
      <c r="AH56" t="e">
        <f>INDEX([1]!crudeBD.lkup[Number],MATCH(vp.tbl[[#This Row],[Crude_Breakdown]],[1]!crudeBD.lkup[Crude Breakdown],0))</f>
        <v>#REF!</v>
      </c>
      <c r="AI56">
        <f>MONTH(vp.tbl[[#This Row],[SDate]])</f>
        <v>12</v>
      </c>
      <c r="AJ56" s="5">
        <f>IFERROR(vp.tbl[[#This Row],[Sulf]]*vp.tbl[[#This Row],[Net Dens]],"")</f>
        <v>6221489.5214999998</v>
      </c>
      <c r="AK56" s="5">
        <f>IFERROR(vp.tbl[[#This Row],[Dens]]*vp.tbl[[#This Row],[VolumeM3]],"")</f>
        <v>5099581.5750000002</v>
      </c>
      <c r="AL56" s="5">
        <f>IFERROR(vp.tbl[[#This Row],[VP]]*vp.tbl[[#This Row],[VolumeM3]],"")</f>
        <v>567444.34979999997</v>
      </c>
      <c r="AM56" s="4">
        <f>IFERROR((vp.tbl[[#This Row],[VP]]-INDEX(crudeBD.lkup.complete[Mean_VP],MATCH(vp.tbl[[#This Row],[Crude_Breakdown]],crudeBD.lkup.complete[Crude Breakdown],0)))^2,"")</f>
        <v>6.4421766393860977E-2</v>
      </c>
      <c r="AN56" s="4">
        <f>IFERROR((vp.tbl[[#This Row],[Dens]]-INDEX(crudeBD.lkup.complete[Mean_Dens],MATCH(vp.tbl[[#This Row],[Crude_Breakdown]],crudeBD.lkup.complete[Crude Breakdown],0)))^2,"")</f>
        <v>42.032274351983858</v>
      </c>
      <c r="AO56" s="4">
        <f>IFERROR((vp.tbl[[#This Row],[Sulf]]-INDEX(crudeBD.lkup.complete[Mean_Sulf],MATCH(vp.tbl[[#This Row],[Crude_Breakdown]],crudeBD.lkup.complete[Crude Breakdown],0)))^2,"")</f>
        <v>8.822612681064361E-2</v>
      </c>
      <c r="AP56">
        <f>IF(AND(vp.tbl[[#This Row],[SDate]]&gt;=DATE(YEAR(vp.tbl[[#This Row],[SDate]]),5,1),vp.tbl[[#This Row],[SDate]]&lt;=DATE(YEAR(vp.tbl[[#This Row],[SDate]]),9,15)),1,0)</f>
        <v>0</v>
      </c>
      <c r="AQ56" s="15">
        <f>IF(vp.tbl[[#This Row],[SDate]]&lt;DATE(2016,12,1),0,1)</f>
        <v>0</v>
      </c>
    </row>
    <row r="57" spans="1:43" x14ac:dyDescent="0.25">
      <c r="A57">
        <v>56</v>
      </c>
      <c r="B57" t="s">
        <v>62</v>
      </c>
      <c r="C57" t="s">
        <v>62</v>
      </c>
      <c r="D57" t="s">
        <v>63</v>
      </c>
      <c r="F57" s="1">
        <v>42348</v>
      </c>
      <c r="G57" s="2">
        <v>97.9</v>
      </c>
      <c r="H57" s="2"/>
      <c r="I57" s="2">
        <v>1.26</v>
      </c>
      <c r="J57" s="2"/>
      <c r="K57" s="2"/>
      <c r="L57" s="2">
        <v>829.8</v>
      </c>
      <c r="M57" s="2">
        <v>829.8</v>
      </c>
      <c r="N57" s="2">
        <f ca="1">INDEX(INDIRECT(_xlfn.CONCAT("weather.tbl[",N$1,"]")),MATCH(vp.tbl[[#This Row],[SDate]],weather.tbl[Date],0))</f>
        <v>-0.75</v>
      </c>
      <c r="O57" s="2">
        <f ca="1">INDEX(INDIRECT(_xlfn.CONCAT("weather.tbl[",O$1,"]")),MATCH(vp.tbl[[#This Row],[SDate]],weather.tbl[Date],0))</f>
        <v>1.9595238095238092</v>
      </c>
      <c r="P57" s="2">
        <f ca="1">INDEX(INDIRECT(_xlfn.CONCAT("weather.tbl[",P$1,"]")),MATCH(vp.tbl[[#This Row],[SDate]],weather.tbl[Date],0))</f>
        <v>-0.2</v>
      </c>
      <c r="Q57" s="2">
        <f ca="1">INDEX(INDIRECT(_xlfn.CONCAT("weather.tbl[",Q$1,"]")),MATCH(vp.tbl[[#This Row],[SDate]],weather.tbl[Date],0))</f>
        <v>-0.6</v>
      </c>
      <c r="R57" s="2">
        <f ca="1">INDEX(INDIRECT(_xlfn.CONCAT("weather.tbl[",R$1,"]")),MATCH(vp.tbl[[#This Row],[SDate]],weather.tbl[Date],0))</f>
        <v>3.8</v>
      </c>
      <c r="S57" s="2">
        <f ca="1">INDEX(INDIRECT(_xlfn.CONCAT("weather.tbl[",S$1,"]")),MATCH(vp.tbl[[#This Row],[SDate]],weather.tbl[Date],0))</f>
        <v>-1.5</v>
      </c>
      <c r="T57" s="2">
        <f ca="1">INDEX(INDIRECT(_xlfn.CONCAT("weather.tbl[",T$1,"]")),MATCH(vp.tbl[[#This Row],[SDate]],weather.tbl[Date],0))</f>
        <v>-1.9</v>
      </c>
      <c r="U57" s="2">
        <f ca="1">INDEX(INDIRECT(_xlfn.CONCAT("weather.tbl[",U$1,"]")),MATCH(vp.tbl[[#This Row],[SDate]],weather.tbl[Date],0))</f>
        <v>-4.0999999999999996</v>
      </c>
      <c r="V57" s="2">
        <v>5694.4459999999999</v>
      </c>
      <c r="W57" t="s">
        <v>48</v>
      </c>
      <c r="X57">
        <f>IF(OR(vp.tbl[[#This Row],[Sulf]]="",vp.tbl[[#This Row],[Dens]]=""),1,0)</f>
        <v>0</v>
      </c>
      <c r="Y57">
        <f>IF(vp.tbl[[#This Row],[CrudeType]]="C5+",1,0)</f>
        <v>0</v>
      </c>
      <c r="Z57">
        <f>IF(AND(vp.tbl[[#This Row],[CrudeType]]="Crude",vp.tbl[[#This Row],[Dens]]&lt;=825,vp.tbl[[#This Row],[Sulf]]&gt;0.5,vp.tbl[[#This Row],[Unknown]]=0),1,0)</f>
        <v>0</v>
      </c>
      <c r="AA57">
        <f>IF(AND(vp.tbl[[#This Row],[CrudeType]]="Crude",vp.tbl[[#This Row],[Dens]]&lt;=825,vp.tbl[[#This Row],[Sulf]]&lt;=0.5,vp.tbl[[#This Row],[Unknown]]=0),1,0)</f>
        <v>0</v>
      </c>
      <c r="AB57">
        <f>IF(AND(vp.tbl[[#This Row],[CrudeType]]="Crude",vp.tbl[[#This Row],[Dens]]&gt;825,vp.tbl[[#This Row],[Dens]]&lt;=870,vp.tbl[[#This Row],[Sulf]]&gt;0.5,vp.tbl[[#This Row],[Unknown]]=0),1,0)</f>
        <v>1</v>
      </c>
      <c r="AC57">
        <f>IF(AND(vp.tbl[[#This Row],[CrudeType]]="Crude",vp.tbl[[#This Row],[Dens]]&gt;825,vp.tbl[[#This Row],[Dens]]&lt;=900,vp.tbl[[#This Row],[Sulf]]&lt;=0.5,vp.tbl[[#This Row],[Unknown]]=0),1,0)</f>
        <v>0</v>
      </c>
      <c r="AD57">
        <f>IF(AND(vp.tbl[[#This Row],[CrudeType]]="Crude",vp.tbl[[#This Row],[Dens]]&gt;870,vp.tbl[[#This Row],[Dens]]&lt;=900,vp.tbl[[#This Row],[Sulf]]&gt;0.5,vp.tbl[[#This Row],[Unknown]]=0),1,0)</f>
        <v>0</v>
      </c>
      <c r="AE57">
        <f>IF(AND(vp.tbl[[#This Row],[CrudeType]]="Crude",vp.tbl[[#This Row],[Dens]]&gt;900,vp.tbl[[#This Row],[Sulf]]&lt;=0.5,vp.tbl[[#This Row],[Unknown]]=0),1,0)</f>
        <v>0</v>
      </c>
      <c r="AF57">
        <f>IF(AND(vp.tbl[[#This Row],[CrudeType]]="Crude",vp.tbl[[#This Row],[Dens]]&gt;900,vp.tbl[[#This Row],[Sulf]]&lt;=0.5,vp.tbl[[#This Row],[Unknown]]=0),1,0)</f>
        <v>0</v>
      </c>
      <c r="AG57" t="str">
        <f>INDEX(vp.tbl[[#Headers],[Unknown]:[Heavy_SW]],MATCH(1,vp.tbl[[#This Row],[Unknown]:[Heavy_SW]],0))</f>
        <v>Medium_LSB</v>
      </c>
      <c r="AH57" t="e">
        <f>INDEX([1]!crudeBD.lkup[Number],MATCH(vp.tbl[[#This Row],[Crude_Breakdown]],[1]!crudeBD.lkup[Crude Breakdown],0))</f>
        <v>#REF!</v>
      </c>
      <c r="AI57">
        <f>MONTH(vp.tbl[[#This Row],[SDate]])</f>
        <v>12</v>
      </c>
      <c r="AJ57" s="5">
        <f>IFERROR(vp.tbl[[#This Row],[Sulf]]*vp.tbl[[#This Row],[Net Dens]],"")</f>
        <v>5953816.6264079995</v>
      </c>
      <c r="AK57" s="5">
        <f>IFERROR(vp.tbl[[#This Row],[Dens]]*vp.tbl[[#This Row],[VolumeM3]],"")</f>
        <v>4725251.2907999996</v>
      </c>
      <c r="AL57" s="5">
        <f>IFERROR(vp.tbl[[#This Row],[VP]]*vp.tbl[[#This Row],[VolumeM3]],"")</f>
        <v>557486.26340000005</v>
      </c>
      <c r="AM57" s="4">
        <f>IFERROR((vp.tbl[[#This Row],[VP]]-INDEX(crudeBD.lkup.complete[Mean_VP],MATCH(vp.tbl[[#This Row],[Crude_Breakdown]],crudeBD.lkup.complete[Crude Breakdown],0)))^2,"")</f>
        <v>314.22543646787523</v>
      </c>
      <c r="AN57" s="4">
        <f>IFERROR((vp.tbl[[#This Row],[Dens]]-INDEX(crudeBD.lkup.complete[Mean_Dens],MATCH(vp.tbl[[#This Row],[Crude_Breakdown]],crudeBD.lkup.complete[Crude Breakdown],0)))^2,"")</f>
        <v>239.99657319593308</v>
      </c>
      <c r="AO57" s="4">
        <f>IFERROR((vp.tbl[[#This Row],[Sulf]]-INDEX(crudeBD.lkup.complete[Mean_Sulf],MATCH(vp.tbl[[#This Row],[Crude_Breakdown]],crudeBD.lkup.complete[Crude Breakdown],0)))^2,"")</f>
        <v>3.7997650615716166E-2</v>
      </c>
      <c r="AP57">
        <f>IF(AND(vp.tbl[[#This Row],[SDate]]&gt;=DATE(YEAR(vp.tbl[[#This Row],[SDate]]),5,1),vp.tbl[[#This Row],[SDate]]&lt;=DATE(YEAR(vp.tbl[[#This Row],[SDate]]),9,15)),1,0)</f>
        <v>0</v>
      </c>
      <c r="AQ57" s="15">
        <f>IF(vp.tbl[[#This Row],[SDate]]&lt;DATE(2016,12,1),0,1)</f>
        <v>0</v>
      </c>
    </row>
    <row r="58" spans="1:43" x14ac:dyDescent="0.25">
      <c r="A58">
        <v>57</v>
      </c>
      <c r="B58" t="s">
        <v>46</v>
      </c>
      <c r="C58" t="s">
        <v>46</v>
      </c>
      <c r="D58" t="s">
        <v>47</v>
      </c>
      <c r="F58" s="1">
        <v>42349</v>
      </c>
      <c r="G58" s="2">
        <v>112.7</v>
      </c>
      <c r="H58" s="2"/>
      <c r="I58" s="2">
        <v>2.41</v>
      </c>
      <c r="J58" s="2"/>
      <c r="K58" s="2"/>
      <c r="L58" s="2">
        <v>871.5</v>
      </c>
      <c r="M58" s="2">
        <v>871.5</v>
      </c>
      <c r="N58" s="2">
        <f ca="1">INDEX(INDIRECT(_xlfn.CONCAT("weather.tbl[",N$1,"]")),MATCH(vp.tbl[[#This Row],[SDate]],weather.tbl[Date],0))</f>
        <v>-3.85</v>
      </c>
      <c r="O58" s="2">
        <f ca="1">INDEX(INDIRECT(_xlfn.CONCAT("weather.tbl[",O$1,"]")),MATCH(vp.tbl[[#This Row],[SDate]],weather.tbl[Date],0))</f>
        <v>1.0714285714285716</v>
      </c>
      <c r="P58" s="2">
        <f ca="1">INDEX(INDIRECT(_xlfn.CONCAT("weather.tbl[",P$1,"]")),MATCH(vp.tbl[[#This Row],[SDate]],weather.tbl[Date],0))</f>
        <v>-5.7</v>
      </c>
      <c r="Q58" s="2">
        <f ca="1">INDEX(INDIRECT(_xlfn.CONCAT("weather.tbl[",Q$1,"]")),MATCH(vp.tbl[[#This Row],[SDate]],weather.tbl[Date],0))</f>
        <v>-5.2</v>
      </c>
      <c r="R58" s="2">
        <f ca="1">INDEX(INDIRECT(_xlfn.CONCAT("weather.tbl[",R$1,"]")),MATCH(vp.tbl[[#This Row],[SDate]],weather.tbl[Date],0))</f>
        <v>3.8</v>
      </c>
      <c r="S58" s="2">
        <f ca="1">INDEX(INDIRECT(_xlfn.CONCAT("weather.tbl[",S$1,"]")),MATCH(vp.tbl[[#This Row],[SDate]],weather.tbl[Date],0))</f>
        <v>-4</v>
      </c>
      <c r="T58" s="2">
        <f ca="1">INDEX(INDIRECT(_xlfn.CONCAT("weather.tbl[",T$1,"]")),MATCH(vp.tbl[[#This Row],[SDate]],weather.tbl[Date],0))</f>
        <v>-5.3</v>
      </c>
      <c r="U58" s="2">
        <f ca="1">INDEX(INDIRECT(_xlfn.CONCAT("weather.tbl[",U$1,"]")),MATCH(vp.tbl[[#This Row],[SDate]],weather.tbl[Date],0))</f>
        <v>-6.7</v>
      </c>
      <c r="V58" s="2">
        <v>118241.302</v>
      </c>
      <c r="W58" t="s">
        <v>48</v>
      </c>
      <c r="X58">
        <f>IF(OR(vp.tbl[[#This Row],[Sulf]]="",vp.tbl[[#This Row],[Dens]]=""),1,0)</f>
        <v>0</v>
      </c>
      <c r="Y58">
        <f>IF(vp.tbl[[#This Row],[CrudeType]]="C5+",1,0)</f>
        <v>0</v>
      </c>
      <c r="Z58">
        <f>IF(AND(vp.tbl[[#This Row],[CrudeType]]="Crude",vp.tbl[[#This Row],[Dens]]&lt;=825,vp.tbl[[#This Row],[Sulf]]&gt;0.5,vp.tbl[[#This Row],[Unknown]]=0),1,0)</f>
        <v>0</v>
      </c>
      <c r="AA58">
        <f>IF(AND(vp.tbl[[#This Row],[CrudeType]]="Crude",vp.tbl[[#This Row],[Dens]]&lt;=825,vp.tbl[[#This Row],[Sulf]]&lt;=0.5,vp.tbl[[#This Row],[Unknown]]=0),1,0)</f>
        <v>0</v>
      </c>
      <c r="AB58">
        <f>IF(AND(vp.tbl[[#This Row],[CrudeType]]="Crude",vp.tbl[[#This Row],[Dens]]&gt;825,vp.tbl[[#This Row],[Dens]]&lt;=870,vp.tbl[[#This Row],[Sulf]]&gt;0.5,vp.tbl[[#This Row],[Unknown]]=0),1,0)</f>
        <v>0</v>
      </c>
      <c r="AC58">
        <f>IF(AND(vp.tbl[[#This Row],[CrudeType]]="Crude",vp.tbl[[#This Row],[Dens]]&gt;825,vp.tbl[[#This Row],[Dens]]&lt;=900,vp.tbl[[#This Row],[Sulf]]&lt;=0.5,vp.tbl[[#This Row],[Unknown]]=0),1,0)</f>
        <v>0</v>
      </c>
      <c r="AD58">
        <f>IF(AND(vp.tbl[[#This Row],[CrudeType]]="Crude",vp.tbl[[#This Row],[Dens]]&gt;870,vp.tbl[[#This Row],[Dens]]&lt;=900,vp.tbl[[#This Row],[Sulf]]&gt;0.5,vp.tbl[[#This Row],[Unknown]]=0),1,0)</f>
        <v>1</v>
      </c>
      <c r="AE58">
        <f>IF(AND(vp.tbl[[#This Row],[CrudeType]]="Crude",vp.tbl[[#This Row],[Dens]]&gt;900,vp.tbl[[#This Row],[Sulf]]&lt;=0.5,vp.tbl[[#This Row],[Unknown]]=0),1,0)</f>
        <v>0</v>
      </c>
      <c r="AF58">
        <f>IF(AND(vp.tbl[[#This Row],[CrudeType]]="Crude",vp.tbl[[#This Row],[Dens]]&gt;900,vp.tbl[[#This Row],[Sulf]]&lt;=0.5,vp.tbl[[#This Row],[Unknown]]=0),1,0)</f>
        <v>0</v>
      </c>
      <c r="AG58" t="str">
        <f>INDEX(vp.tbl[[#Headers],[Unknown]:[Heavy_SW]],MATCH(1,vp.tbl[[#This Row],[Unknown]:[Heavy_SW]],0))</f>
        <v>Midale</v>
      </c>
      <c r="AH58" t="e">
        <f>INDEX([1]!crudeBD.lkup[Number],MATCH(vp.tbl[[#This Row],[Crude_Breakdown]],[1]!crudeBD.lkup[Crude Breakdown],0))</f>
        <v>#REF!</v>
      </c>
      <c r="AI58">
        <f>MONTH(vp.tbl[[#This Row],[SDate]])</f>
        <v>12</v>
      </c>
      <c r="AJ58" s="5">
        <f>IFERROR(vp.tbl[[#This Row],[Sulf]]*vp.tbl[[#This Row],[Net Dens]],"")</f>
        <v>248343980.21013004</v>
      </c>
      <c r="AK58" s="5">
        <f>IFERROR(vp.tbl[[#This Row],[Dens]]*vp.tbl[[#This Row],[VolumeM3]],"")</f>
        <v>103047294.693</v>
      </c>
      <c r="AL58" s="5">
        <f>IFERROR(vp.tbl[[#This Row],[VP]]*vp.tbl[[#This Row],[VolumeM3]],"")</f>
        <v>13325794.735400001</v>
      </c>
      <c r="AM58" s="4">
        <f>IFERROR((vp.tbl[[#This Row],[VP]]-INDEX(crudeBD.lkup.complete[Mean_VP],MATCH(vp.tbl[[#This Row],[Crude_Breakdown]],crudeBD.lkup.complete[Crude Breakdown],0)))^2,"")</f>
        <v>1976.8377725652083</v>
      </c>
      <c r="AN58" s="4">
        <f>IFERROR((vp.tbl[[#This Row],[Dens]]-INDEX(crudeBD.lkup.complete[Mean_Dens],MATCH(vp.tbl[[#This Row],[Crude_Breakdown]],crudeBD.lkup.complete[Crude Breakdown],0)))^2,"")</f>
        <v>36.627367235875489</v>
      </c>
      <c r="AO58" s="4">
        <f>IFERROR((vp.tbl[[#This Row],[Sulf]]-INDEX(crudeBD.lkup.complete[Mean_Sulf],MATCH(vp.tbl[[#This Row],[Crude_Breakdown]],crudeBD.lkup.complete[Crude Breakdown],0)))^2,"")</f>
        <v>2.8517063032449047E-5</v>
      </c>
      <c r="AP58">
        <f>IF(AND(vp.tbl[[#This Row],[SDate]]&gt;=DATE(YEAR(vp.tbl[[#This Row],[SDate]]),5,1),vp.tbl[[#This Row],[SDate]]&lt;=DATE(YEAR(vp.tbl[[#This Row],[SDate]]),9,15)),1,0)</f>
        <v>0</v>
      </c>
      <c r="AQ58" s="15">
        <f>IF(vp.tbl[[#This Row],[SDate]]&lt;DATE(2016,12,1),0,1)</f>
        <v>0</v>
      </c>
    </row>
    <row r="59" spans="1:43" x14ac:dyDescent="0.25">
      <c r="A59">
        <v>58</v>
      </c>
      <c r="B59" t="s">
        <v>62</v>
      </c>
      <c r="C59" t="s">
        <v>62</v>
      </c>
      <c r="D59" t="s">
        <v>63</v>
      </c>
      <c r="F59" s="1">
        <v>42349</v>
      </c>
      <c r="G59" s="2">
        <v>116.3</v>
      </c>
      <c r="H59" s="2"/>
      <c r="I59" s="2">
        <v>1.26</v>
      </c>
      <c r="J59" s="2"/>
      <c r="K59" s="2"/>
      <c r="L59" s="2"/>
      <c r="M59" s="2">
        <v>801.6</v>
      </c>
      <c r="N59" s="2">
        <f ca="1">INDEX(INDIRECT(_xlfn.CONCAT("weather.tbl[",N$1,"]")),MATCH(vp.tbl[[#This Row],[SDate]],weather.tbl[Date],0))</f>
        <v>-3.85</v>
      </c>
      <c r="O59" s="2">
        <f ca="1">INDEX(INDIRECT(_xlfn.CONCAT("weather.tbl[",O$1,"]")),MATCH(vp.tbl[[#This Row],[SDate]],weather.tbl[Date],0))</f>
        <v>1.0714285714285716</v>
      </c>
      <c r="P59" s="2">
        <f ca="1">INDEX(INDIRECT(_xlfn.CONCAT("weather.tbl[",P$1,"]")),MATCH(vp.tbl[[#This Row],[SDate]],weather.tbl[Date],0))</f>
        <v>-5.7</v>
      </c>
      <c r="Q59" s="2">
        <f ca="1">INDEX(INDIRECT(_xlfn.CONCAT("weather.tbl[",Q$1,"]")),MATCH(vp.tbl[[#This Row],[SDate]],weather.tbl[Date],0))</f>
        <v>-5.2</v>
      </c>
      <c r="R59" s="2">
        <f ca="1">INDEX(INDIRECT(_xlfn.CONCAT("weather.tbl[",R$1,"]")),MATCH(vp.tbl[[#This Row],[SDate]],weather.tbl[Date],0))</f>
        <v>3.8</v>
      </c>
      <c r="S59" s="2">
        <f ca="1">INDEX(INDIRECT(_xlfn.CONCAT("weather.tbl[",S$1,"]")),MATCH(vp.tbl[[#This Row],[SDate]],weather.tbl[Date],0))</f>
        <v>-4</v>
      </c>
      <c r="T59" s="2">
        <f ca="1">INDEX(INDIRECT(_xlfn.CONCAT("weather.tbl[",T$1,"]")),MATCH(vp.tbl[[#This Row],[SDate]],weather.tbl[Date],0))</f>
        <v>-5.3</v>
      </c>
      <c r="U59" s="2">
        <f ca="1">INDEX(INDIRECT(_xlfn.CONCAT("weather.tbl[",U$1,"]")),MATCH(vp.tbl[[#This Row],[SDate]],weather.tbl[Date],0))</f>
        <v>-6.7</v>
      </c>
      <c r="V59" s="2">
        <v>5694.4459999999999</v>
      </c>
      <c r="W59" t="s">
        <v>48</v>
      </c>
      <c r="X59">
        <f>IF(OR(vp.tbl[[#This Row],[Sulf]]="",vp.tbl[[#This Row],[Dens]]=""),1,0)</f>
        <v>0</v>
      </c>
      <c r="Y59">
        <f>IF(vp.tbl[[#This Row],[CrudeType]]="C5+",1,0)</f>
        <v>0</v>
      </c>
      <c r="Z59">
        <f>IF(AND(vp.tbl[[#This Row],[CrudeType]]="Crude",vp.tbl[[#This Row],[Dens]]&lt;=825,vp.tbl[[#This Row],[Sulf]]&gt;0.5,vp.tbl[[#This Row],[Unknown]]=0),1,0)</f>
        <v>1</v>
      </c>
      <c r="AA59">
        <f>IF(AND(vp.tbl[[#This Row],[CrudeType]]="Crude",vp.tbl[[#This Row],[Dens]]&lt;=825,vp.tbl[[#This Row],[Sulf]]&lt;=0.5,vp.tbl[[#This Row],[Unknown]]=0),1,0)</f>
        <v>0</v>
      </c>
      <c r="AB59">
        <f>IF(AND(vp.tbl[[#This Row],[CrudeType]]="Crude",vp.tbl[[#This Row],[Dens]]&gt;825,vp.tbl[[#This Row],[Dens]]&lt;=870,vp.tbl[[#This Row],[Sulf]]&gt;0.5,vp.tbl[[#This Row],[Unknown]]=0),1,0)</f>
        <v>0</v>
      </c>
      <c r="AC59">
        <f>IF(AND(vp.tbl[[#This Row],[CrudeType]]="Crude",vp.tbl[[#This Row],[Dens]]&gt;825,vp.tbl[[#This Row],[Dens]]&lt;=900,vp.tbl[[#This Row],[Sulf]]&lt;=0.5,vp.tbl[[#This Row],[Unknown]]=0),1,0)</f>
        <v>0</v>
      </c>
      <c r="AD59">
        <f>IF(AND(vp.tbl[[#This Row],[CrudeType]]="Crude",vp.tbl[[#This Row],[Dens]]&gt;870,vp.tbl[[#This Row],[Dens]]&lt;=900,vp.tbl[[#This Row],[Sulf]]&gt;0.5,vp.tbl[[#This Row],[Unknown]]=0),1,0)</f>
        <v>0</v>
      </c>
      <c r="AE59">
        <f>IF(AND(vp.tbl[[#This Row],[CrudeType]]="Crude",vp.tbl[[#This Row],[Dens]]&gt;900,vp.tbl[[#This Row],[Sulf]]&lt;=0.5,vp.tbl[[#This Row],[Unknown]]=0),1,0)</f>
        <v>0</v>
      </c>
      <c r="AF59">
        <f>IF(AND(vp.tbl[[#This Row],[CrudeType]]="Crude",vp.tbl[[#This Row],[Dens]]&gt;900,vp.tbl[[#This Row],[Sulf]]&lt;=0.5,vp.tbl[[#This Row],[Unknown]]=0),1,0)</f>
        <v>0</v>
      </c>
      <c r="AG59" t="str">
        <f>INDEX(vp.tbl[[#Headers],[Unknown]:[Heavy_SW]],MATCH(1,vp.tbl[[#This Row],[Unknown]:[Heavy_SW]],0))</f>
        <v>Light_LSB</v>
      </c>
      <c r="AH59" t="e">
        <f>INDEX([1]!crudeBD.lkup[Number],MATCH(vp.tbl[[#This Row],[Crude_Breakdown]],[1]!crudeBD.lkup[Crude Breakdown],0))</f>
        <v>#REF!</v>
      </c>
      <c r="AI59">
        <f>MONTH(vp.tbl[[#This Row],[SDate]])</f>
        <v>12</v>
      </c>
      <c r="AJ59" s="5">
        <f>IFERROR(vp.tbl[[#This Row],[Sulf]]*vp.tbl[[#This Row],[Net Dens]],"")</f>
        <v>5751481.5711359996</v>
      </c>
      <c r="AK59" s="5">
        <f>IFERROR(vp.tbl[[#This Row],[Dens]]*vp.tbl[[#This Row],[VolumeM3]],"")</f>
        <v>4564667.9135999996</v>
      </c>
      <c r="AL59" s="5">
        <f>IFERROR(vp.tbl[[#This Row],[VP]]*vp.tbl[[#This Row],[VolumeM3]],"")</f>
        <v>662264.06979999994</v>
      </c>
      <c r="AM59" s="4">
        <f>IFERROR((vp.tbl[[#This Row],[VP]]-INDEX(crudeBD.lkup.complete[Mean_VP],MATCH(vp.tbl[[#This Row],[Crude_Breakdown]],crudeBD.lkup.complete[Crude Breakdown],0)))^2,"")</f>
        <v>612.751328982887</v>
      </c>
      <c r="AN59" s="4">
        <f>IFERROR((vp.tbl[[#This Row],[Dens]]-INDEX(crudeBD.lkup.complete[Mean_Dens],MATCH(vp.tbl[[#This Row],[Crude_Breakdown]],crudeBD.lkup.complete[Crude Breakdown],0)))^2,"")</f>
        <v>286.17709909423644</v>
      </c>
      <c r="AO59" s="4">
        <f>IFERROR((vp.tbl[[#This Row],[Sulf]]-INDEX(crudeBD.lkup.complete[Mean_Sulf],MATCH(vp.tbl[[#This Row],[Crude_Breakdown]],crudeBD.lkup.complete[Crude Breakdown],0)))^2,"")</f>
        <v>0.11358843333985327</v>
      </c>
      <c r="AP59">
        <f>IF(AND(vp.tbl[[#This Row],[SDate]]&gt;=DATE(YEAR(vp.tbl[[#This Row],[SDate]]),5,1),vp.tbl[[#This Row],[SDate]]&lt;=DATE(YEAR(vp.tbl[[#This Row],[SDate]]),9,15)),1,0)</f>
        <v>0</v>
      </c>
      <c r="AQ59" s="15">
        <f>IF(vp.tbl[[#This Row],[SDate]]&lt;DATE(2016,12,1),0,1)</f>
        <v>0</v>
      </c>
    </row>
    <row r="60" spans="1:43" x14ac:dyDescent="0.25">
      <c r="A60">
        <v>59</v>
      </c>
      <c r="B60" t="s">
        <v>51</v>
      </c>
      <c r="C60" t="s">
        <v>51</v>
      </c>
      <c r="D60" t="s">
        <v>52</v>
      </c>
      <c r="F60" s="1">
        <v>42352</v>
      </c>
      <c r="G60" s="2">
        <v>79.7</v>
      </c>
      <c r="H60" s="2"/>
      <c r="I60" s="2">
        <v>2.2999999999999998</v>
      </c>
      <c r="J60" s="2"/>
      <c r="K60" s="2"/>
      <c r="L60" s="2">
        <v>872.2</v>
      </c>
      <c r="M60" s="2">
        <v>872.2</v>
      </c>
      <c r="N60" s="2">
        <f ca="1">INDEX(INDIRECT(_xlfn.CONCAT("weather.tbl[",N$1,"]")),MATCH(vp.tbl[[#This Row],[SDate]],weather.tbl[Date],0))</f>
        <v>-5.9666666666666677</v>
      </c>
      <c r="O60" s="2">
        <f ca="1">INDEX(INDIRECT(_xlfn.CONCAT("weather.tbl[",O$1,"]")),MATCH(vp.tbl[[#This Row],[SDate]],weather.tbl[Date],0))</f>
        <v>-1.7928571428571429</v>
      </c>
      <c r="P60" s="2">
        <f ca="1">INDEX(INDIRECT(_xlfn.CONCAT("weather.tbl[",P$1,"]")),MATCH(vp.tbl[[#This Row],[SDate]],weather.tbl[Date],0))</f>
        <v>-5.3</v>
      </c>
      <c r="Q60" s="2">
        <f ca="1">INDEX(INDIRECT(_xlfn.CONCAT("weather.tbl[",Q$1,"]")),MATCH(vp.tbl[[#This Row],[SDate]],weather.tbl[Date],0))</f>
        <v>-4.4000000000000004</v>
      </c>
      <c r="R60" s="2">
        <f ca="1">INDEX(INDIRECT(_xlfn.CONCAT("weather.tbl[",R$1,"]")),MATCH(vp.tbl[[#This Row],[SDate]],weather.tbl[Date],0))</f>
        <v>-7.8</v>
      </c>
      <c r="S60" s="2">
        <f ca="1">INDEX(INDIRECT(_xlfn.CONCAT("weather.tbl[",S$1,"]")),MATCH(vp.tbl[[#This Row],[SDate]],weather.tbl[Date],0))</f>
        <v>-3.8</v>
      </c>
      <c r="T60" s="2">
        <f ca="1">INDEX(INDIRECT(_xlfn.CONCAT("weather.tbl[",T$1,"]")),MATCH(vp.tbl[[#This Row],[SDate]],weather.tbl[Date],0))</f>
        <v>-6.8</v>
      </c>
      <c r="U60" s="2">
        <f ca="1">INDEX(INDIRECT(_xlfn.CONCAT("weather.tbl[",U$1,"]")),MATCH(vp.tbl[[#This Row],[SDate]],weather.tbl[Date],0))</f>
        <v>-7.7</v>
      </c>
      <c r="V60" s="2">
        <v>7916.5720000000001</v>
      </c>
      <c r="W60" t="s">
        <v>48</v>
      </c>
      <c r="X60">
        <f>IF(OR(vp.tbl[[#This Row],[Sulf]]="",vp.tbl[[#This Row],[Dens]]=""),1,0)</f>
        <v>0</v>
      </c>
      <c r="Y60">
        <f>IF(vp.tbl[[#This Row],[CrudeType]]="C5+",1,0)</f>
        <v>0</v>
      </c>
      <c r="Z60">
        <f>IF(AND(vp.tbl[[#This Row],[CrudeType]]="Crude",vp.tbl[[#This Row],[Dens]]&lt;=825,vp.tbl[[#This Row],[Sulf]]&gt;0.5,vp.tbl[[#This Row],[Unknown]]=0),1,0)</f>
        <v>0</v>
      </c>
      <c r="AA60">
        <f>IF(AND(vp.tbl[[#This Row],[CrudeType]]="Crude",vp.tbl[[#This Row],[Dens]]&lt;=825,vp.tbl[[#This Row],[Sulf]]&lt;=0.5,vp.tbl[[#This Row],[Unknown]]=0),1,0)</f>
        <v>0</v>
      </c>
      <c r="AB60">
        <f>IF(AND(vp.tbl[[#This Row],[CrudeType]]="Crude",vp.tbl[[#This Row],[Dens]]&gt;825,vp.tbl[[#This Row],[Dens]]&lt;=870,vp.tbl[[#This Row],[Sulf]]&gt;0.5,vp.tbl[[#This Row],[Unknown]]=0),1,0)</f>
        <v>0</v>
      </c>
      <c r="AC60">
        <f>IF(AND(vp.tbl[[#This Row],[CrudeType]]="Crude",vp.tbl[[#This Row],[Dens]]&gt;825,vp.tbl[[#This Row],[Dens]]&lt;=900,vp.tbl[[#This Row],[Sulf]]&lt;=0.5,vp.tbl[[#This Row],[Unknown]]=0),1,0)</f>
        <v>0</v>
      </c>
      <c r="AD60">
        <f>IF(AND(vp.tbl[[#This Row],[CrudeType]]="Crude",vp.tbl[[#This Row],[Dens]]&gt;870,vp.tbl[[#This Row],[Dens]]&lt;=900,vp.tbl[[#This Row],[Sulf]]&gt;0.5,vp.tbl[[#This Row],[Unknown]]=0),1,0)</f>
        <v>1</v>
      </c>
      <c r="AE60">
        <f>IF(AND(vp.tbl[[#This Row],[CrudeType]]="Crude",vp.tbl[[#This Row],[Dens]]&gt;900,vp.tbl[[#This Row],[Sulf]]&lt;=0.5,vp.tbl[[#This Row],[Unknown]]=0),1,0)</f>
        <v>0</v>
      </c>
      <c r="AF60">
        <f>IF(AND(vp.tbl[[#This Row],[CrudeType]]="Crude",vp.tbl[[#This Row],[Dens]]&gt;900,vp.tbl[[#This Row],[Sulf]]&lt;=0.5,vp.tbl[[#This Row],[Unknown]]=0),1,0)</f>
        <v>0</v>
      </c>
      <c r="AG60" t="str">
        <f>INDEX(vp.tbl[[#Headers],[Unknown]:[Heavy_SW]],MATCH(1,vp.tbl[[#This Row],[Unknown]:[Heavy_SW]],0))</f>
        <v>Midale</v>
      </c>
      <c r="AH60" t="e">
        <f>INDEX([1]!crudeBD.lkup[Number],MATCH(vp.tbl[[#This Row],[Crude_Breakdown]],[1]!crudeBD.lkup[Crude Breakdown],0))</f>
        <v>#REF!</v>
      </c>
      <c r="AI60">
        <f>MONTH(vp.tbl[[#This Row],[SDate]])</f>
        <v>12</v>
      </c>
      <c r="AJ60" s="5">
        <f>IFERROR(vp.tbl[[#This Row],[Sulf]]*vp.tbl[[#This Row],[Net Dens]],"")</f>
        <v>15881118.42632</v>
      </c>
      <c r="AK60" s="5">
        <f>IFERROR(vp.tbl[[#This Row],[Dens]]*vp.tbl[[#This Row],[VolumeM3]],"")</f>
        <v>6904834.0984000005</v>
      </c>
      <c r="AL60" s="5">
        <f>IFERROR(vp.tbl[[#This Row],[VP]]*vp.tbl[[#This Row],[VolumeM3]],"")</f>
        <v>630950.78840000008</v>
      </c>
      <c r="AM60" s="4">
        <f>IFERROR((vp.tbl[[#This Row],[VP]]-INDEX(crudeBD.lkup.complete[Mean_VP],MATCH(vp.tbl[[#This Row],[Crude_Breakdown]],crudeBD.lkup.complete[Crude Breakdown],0)))^2,"")</f>
        <v>131.36927941452407</v>
      </c>
      <c r="AN60" s="4">
        <f>IFERROR((vp.tbl[[#This Row],[Dens]]-INDEX(crudeBD.lkup.complete[Mean_Dens],MATCH(vp.tbl[[#This Row],[Crude_Breakdown]],crudeBD.lkup.complete[Crude Breakdown],0)))^2,"")</f>
        <v>28.644490523546658</v>
      </c>
      <c r="AO60" s="4">
        <f>IFERROR((vp.tbl[[#This Row],[Sulf]]-INDEX(crudeBD.lkup.complete[Mean_Sulf],MATCH(vp.tbl[[#This Row],[Crude_Breakdown]],crudeBD.lkup.complete[Crude Breakdown],0)))^2,"")</f>
        <v>1.3303347200018519E-2</v>
      </c>
      <c r="AP60">
        <f>IF(AND(vp.tbl[[#This Row],[SDate]]&gt;=DATE(YEAR(vp.tbl[[#This Row],[SDate]]),5,1),vp.tbl[[#This Row],[SDate]]&lt;=DATE(YEAR(vp.tbl[[#This Row],[SDate]]),9,15)),1,0)</f>
        <v>0</v>
      </c>
      <c r="AQ60" s="15">
        <f>IF(vp.tbl[[#This Row],[SDate]]&lt;DATE(2016,12,1),0,1)</f>
        <v>0</v>
      </c>
    </row>
    <row r="61" spans="1:43" x14ac:dyDescent="0.25">
      <c r="A61">
        <v>60</v>
      </c>
      <c r="B61" t="s">
        <v>49</v>
      </c>
      <c r="C61" t="s">
        <v>49</v>
      </c>
      <c r="D61" t="s">
        <v>50</v>
      </c>
      <c r="F61" s="1">
        <v>42352</v>
      </c>
      <c r="G61" s="2">
        <v>111.4</v>
      </c>
      <c r="H61" s="2"/>
      <c r="I61" s="2">
        <v>2.59</v>
      </c>
      <c r="J61" s="2"/>
      <c r="K61" s="2"/>
      <c r="L61" s="2">
        <v>873.7</v>
      </c>
      <c r="M61" s="2">
        <v>873.7</v>
      </c>
      <c r="N61" s="2">
        <f ca="1">INDEX(INDIRECT(_xlfn.CONCAT("weather.tbl[",N$1,"]")),MATCH(vp.tbl[[#This Row],[SDate]],weather.tbl[Date],0))</f>
        <v>-5.9666666666666677</v>
      </c>
      <c r="O61" s="2">
        <f ca="1">INDEX(INDIRECT(_xlfn.CONCAT("weather.tbl[",O$1,"]")),MATCH(vp.tbl[[#This Row],[SDate]],weather.tbl[Date],0))</f>
        <v>-1.7928571428571429</v>
      </c>
      <c r="P61" s="2">
        <f ca="1">INDEX(INDIRECT(_xlfn.CONCAT("weather.tbl[",P$1,"]")),MATCH(vp.tbl[[#This Row],[SDate]],weather.tbl[Date],0))</f>
        <v>-5.3</v>
      </c>
      <c r="Q61" s="2">
        <f ca="1">INDEX(INDIRECT(_xlfn.CONCAT("weather.tbl[",Q$1,"]")),MATCH(vp.tbl[[#This Row],[SDate]],weather.tbl[Date],0))</f>
        <v>-4.4000000000000004</v>
      </c>
      <c r="R61" s="2">
        <f ca="1">INDEX(INDIRECT(_xlfn.CONCAT("weather.tbl[",R$1,"]")),MATCH(vp.tbl[[#This Row],[SDate]],weather.tbl[Date],0))</f>
        <v>-7.8</v>
      </c>
      <c r="S61" s="2">
        <f ca="1">INDEX(INDIRECT(_xlfn.CONCAT("weather.tbl[",S$1,"]")),MATCH(vp.tbl[[#This Row],[SDate]],weather.tbl[Date],0))</f>
        <v>-3.8</v>
      </c>
      <c r="T61" s="2">
        <f ca="1">INDEX(INDIRECT(_xlfn.CONCAT("weather.tbl[",T$1,"]")),MATCH(vp.tbl[[#This Row],[SDate]],weather.tbl[Date],0))</f>
        <v>-6.8</v>
      </c>
      <c r="U61" s="2">
        <f ca="1">INDEX(INDIRECT(_xlfn.CONCAT("weather.tbl[",U$1,"]")),MATCH(vp.tbl[[#This Row],[SDate]],weather.tbl[Date],0))</f>
        <v>-7.7</v>
      </c>
      <c r="V61" s="2">
        <v>6021.2470000000003</v>
      </c>
      <c r="W61" t="s">
        <v>48</v>
      </c>
      <c r="X61">
        <f>IF(OR(vp.tbl[[#This Row],[Sulf]]="",vp.tbl[[#This Row],[Dens]]=""),1,0)</f>
        <v>0</v>
      </c>
      <c r="Y61">
        <f>IF(vp.tbl[[#This Row],[CrudeType]]="C5+",1,0)</f>
        <v>0</v>
      </c>
      <c r="Z61">
        <f>IF(AND(vp.tbl[[#This Row],[CrudeType]]="Crude",vp.tbl[[#This Row],[Dens]]&lt;=825,vp.tbl[[#This Row],[Sulf]]&gt;0.5,vp.tbl[[#This Row],[Unknown]]=0),1,0)</f>
        <v>0</v>
      </c>
      <c r="AA61">
        <f>IF(AND(vp.tbl[[#This Row],[CrudeType]]="Crude",vp.tbl[[#This Row],[Dens]]&lt;=825,vp.tbl[[#This Row],[Sulf]]&lt;=0.5,vp.tbl[[#This Row],[Unknown]]=0),1,0)</f>
        <v>0</v>
      </c>
      <c r="AB61">
        <f>IF(AND(vp.tbl[[#This Row],[CrudeType]]="Crude",vp.tbl[[#This Row],[Dens]]&gt;825,vp.tbl[[#This Row],[Dens]]&lt;=870,vp.tbl[[#This Row],[Sulf]]&gt;0.5,vp.tbl[[#This Row],[Unknown]]=0),1,0)</f>
        <v>0</v>
      </c>
      <c r="AC61">
        <f>IF(AND(vp.tbl[[#This Row],[CrudeType]]="Crude",vp.tbl[[#This Row],[Dens]]&gt;825,vp.tbl[[#This Row],[Dens]]&lt;=900,vp.tbl[[#This Row],[Sulf]]&lt;=0.5,vp.tbl[[#This Row],[Unknown]]=0),1,0)</f>
        <v>0</v>
      </c>
      <c r="AD61">
        <f>IF(AND(vp.tbl[[#This Row],[CrudeType]]="Crude",vp.tbl[[#This Row],[Dens]]&gt;870,vp.tbl[[#This Row],[Dens]]&lt;=900,vp.tbl[[#This Row],[Sulf]]&gt;0.5,vp.tbl[[#This Row],[Unknown]]=0),1,0)</f>
        <v>1</v>
      </c>
      <c r="AE61">
        <f>IF(AND(vp.tbl[[#This Row],[CrudeType]]="Crude",vp.tbl[[#This Row],[Dens]]&gt;900,vp.tbl[[#This Row],[Sulf]]&lt;=0.5,vp.tbl[[#This Row],[Unknown]]=0),1,0)</f>
        <v>0</v>
      </c>
      <c r="AF61">
        <f>IF(AND(vp.tbl[[#This Row],[CrudeType]]="Crude",vp.tbl[[#This Row],[Dens]]&gt;900,vp.tbl[[#This Row],[Sulf]]&lt;=0.5,vp.tbl[[#This Row],[Unknown]]=0),1,0)</f>
        <v>0</v>
      </c>
      <c r="AG61" t="str">
        <f>INDEX(vp.tbl[[#Headers],[Unknown]:[Heavy_SW]],MATCH(1,vp.tbl[[#This Row],[Unknown]:[Heavy_SW]],0))</f>
        <v>Midale</v>
      </c>
      <c r="AH61" t="e">
        <f>INDEX([1]!crudeBD.lkup[Number],MATCH(vp.tbl[[#This Row],[Crude_Breakdown]],[1]!crudeBD.lkup[Crude Breakdown],0))</f>
        <v>#REF!</v>
      </c>
      <c r="AI61">
        <f>MONTH(vp.tbl[[#This Row],[SDate]])</f>
        <v>12</v>
      </c>
      <c r="AJ61" s="5">
        <f>IFERROR(vp.tbl[[#This Row],[Sulf]]*vp.tbl[[#This Row],[Net Dens]],"")</f>
        <v>13625377.475101002</v>
      </c>
      <c r="AK61" s="5">
        <f>IFERROR(vp.tbl[[#This Row],[Dens]]*vp.tbl[[#This Row],[VolumeM3]],"")</f>
        <v>5260763.5039000008</v>
      </c>
      <c r="AL61" s="5">
        <f>IFERROR(vp.tbl[[#This Row],[VP]]*vp.tbl[[#This Row],[VolumeM3]],"")</f>
        <v>670766.91580000008</v>
      </c>
      <c r="AM61" s="4">
        <f>IFERROR((vp.tbl[[#This Row],[VP]]-INDEX(crudeBD.lkup.complete[Mean_VP],MATCH(vp.tbl[[#This Row],[Crude_Breakdown]],crudeBD.lkup.complete[Crude Breakdown],0)))^2,"")</f>
        <v>1862.9274985926058</v>
      </c>
      <c r="AN61" s="4">
        <f>IFERROR((vp.tbl[[#This Row],[Dens]]-INDEX(crudeBD.lkup.complete[Mean_Dens],MATCH(vp.tbl[[#This Row],[Crude_Breakdown]],crudeBD.lkup.complete[Crude Breakdown],0)))^2,"")</f>
        <v>14.838326139986059</v>
      </c>
      <c r="AO61" s="4">
        <f>IFERROR((vp.tbl[[#This Row],[Sulf]]-INDEX(crudeBD.lkup.complete[Mean_Sulf],MATCH(vp.tbl[[#This Row],[Crude_Breakdown]],crudeBD.lkup.complete[Crude Breakdown],0)))^2,"")</f>
        <v>3.0506067747964355E-2</v>
      </c>
      <c r="AP61">
        <f>IF(AND(vp.tbl[[#This Row],[SDate]]&gt;=DATE(YEAR(vp.tbl[[#This Row],[SDate]]),5,1),vp.tbl[[#This Row],[SDate]]&lt;=DATE(YEAR(vp.tbl[[#This Row],[SDate]]),9,15)),1,0)</f>
        <v>0</v>
      </c>
      <c r="AQ61" s="15">
        <f>IF(vp.tbl[[#This Row],[SDate]]&lt;DATE(2016,12,1),0,1)</f>
        <v>0</v>
      </c>
    </row>
    <row r="62" spans="1:43" x14ac:dyDescent="0.25">
      <c r="A62">
        <v>61</v>
      </c>
      <c r="B62" t="s">
        <v>51</v>
      </c>
      <c r="C62" t="s">
        <v>51</v>
      </c>
      <c r="D62" t="s">
        <v>71</v>
      </c>
      <c r="F62" s="1">
        <v>42352</v>
      </c>
      <c r="G62" s="2">
        <v>96.2</v>
      </c>
      <c r="H62" s="2"/>
      <c r="I62" s="2">
        <v>1.36</v>
      </c>
      <c r="J62" s="2"/>
      <c r="K62" s="2"/>
      <c r="L62" s="2"/>
      <c r="M62" s="2">
        <v>813.7</v>
      </c>
      <c r="N62" s="2">
        <f ca="1">INDEX(INDIRECT(_xlfn.CONCAT("weather.tbl[",N$1,"]")),MATCH(vp.tbl[[#This Row],[SDate]],weather.tbl[Date],0))</f>
        <v>-5.9666666666666677</v>
      </c>
      <c r="O62" s="2">
        <f ca="1">INDEX(INDIRECT(_xlfn.CONCAT("weather.tbl[",O$1,"]")),MATCH(vp.tbl[[#This Row],[SDate]],weather.tbl[Date],0))</f>
        <v>-1.7928571428571429</v>
      </c>
      <c r="P62" s="2">
        <f ca="1">INDEX(INDIRECT(_xlfn.CONCAT("weather.tbl[",P$1,"]")),MATCH(vp.tbl[[#This Row],[SDate]],weather.tbl[Date],0))</f>
        <v>-5.3</v>
      </c>
      <c r="Q62" s="2">
        <f ca="1">INDEX(INDIRECT(_xlfn.CONCAT("weather.tbl[",Q$1,"]")),MATCH(vp.tbl[[#This Row],[SDate]],weather.tbl[Date],0))</f>
        <v>-4.4000000000000004</v>
      </c>
      <c r="R62" s="2">
        <f ca="1">INDEX(INDIRECT(_xlfn.CONCAT("weather.tbl[",R$1,"]")),MATCH(vp.tbl[[#This Row],[SDate]],weather.tbl[Date],0))</f>
        <v>-7.8</v>
      </c>
      <c r="S62" s="2">
        <f ca="1">INDEX(INDIRECT(_xlfn.CONCAT("weather.tbl[",S$1,"]")),MATCH(vp.tbl[[#This Row],[SDate]],weather.tbl[Date],0))</f>
        <v>-3.8</v>
      </c>
      <c r="T62" s="2">
        <f ca="1">INDEX(INDIRECT(_xlfn.CONCAT("weather.tbl[",T$1,"]")),MATCH(vp.tbl[[#This Row],[SDate]],weather.tbl[Date],0))</f>
        <v>-6.8</v>
      </c>
      <c r="U62" s="2">
        <f ca="1">INDEX(INDIRECT(_xlfn.CONCAT("weather.tbl[",U$1,"]")),MATCH(vp.tbl[[#This Row],[SDate]],weather.tbl[Date],0))</f>
        <v>-7.7</v>
      </c>
      <c r="V62" s="2">
        <v>5847.0219999999999</v>
      </c>
      <c r="W62" t="s">
        <v>48</v>
      </c>
      <c r="X62">
        <f>IF(OR(vp.tbl[[#This Row],[Sulf]]="",vp.tbl[[#This Row],[Dens]]=""),1,0)</f>
        <v>0</v>
      </c>
      <c r="Y62">
        <f>IF(vp.tbl[[#This Row],[CrudeType]]="C5+",1,0)</f>
        <v>0</v>
      </c>
      <c r="Z62">
        <f>IF(AND(vp.tbl[[#This Row],[CrudeType]]="Crude",vp.tbl[[#This Row],[Dens]]&lt;=825,vp.tbl[[#This Row],[Sulf]]&gt;0.5,vp.tbl[[#This Row],[Unknown]]=0),1,0)</f>
        <v>1</v>
      </c>
      <c r="AA62">
        <f>IF(AND(vp.tbl[[#This Row],[CrudeType]]="Crude",vp.tbl[[#This Row],[Dens]]&lt;=825,vp.tbl[[#This Row],[Sulf]]&lt;=0.5,vp.tbl[[#This Row],[Unknown]]=0),1,0)</f>
        <v>0</v>
      </c>
      <c r="AB62">
        <f>IF(AND(vp.tbl[[#This Row],[CrudeType]]="Crude",vp.tbl[[#This Row],[Dens]]&gt;825,vp.tbl[[#This Row],[Dens]]&lt;=870,vp.tbl[[#This Row],[Sulf]]&gt;0.5,vp.tbl[[#This Row],[Unknown]]=0),1,0)</f>
        <v>0</v>
      </c>
      <c r="AC62">
        <f>IF(AND(vp.tbl[[#This Row],[CrudeType]]="Crude",vp.tbl[[#This Row],[Dens]]&gt;825,vp.tbl[[#This Row],[Dens]]&lt;=900,vp.tbl[[#This Row],[Sulf]]&lt;=0.5,vp.tbl[[#This Row],[Unknown]]=0),1,0)</f>
        <v>0</v>
      </c>
      <c r="AD62">
        <f>IF(AND(vp.tbl[[#This Row],[CrudeType]]="Crude",vp.tbl[[#This Row],[Dens]]&gt;870,vp.tbl[[#This Row],[Dens]]&lt;=900,vp.tbl[[#This Row],[Sulf]]&gt;0.5,vp.tbl[[#This Row],[Unknown]]=0),1,0)</f>
        <v>0</v>
      </c>
      <c r="AE62">
        <f>IF(AND(vp.tbl[[#This Row],[CrudeType]]="Crude",vp.tbl[[#This Row],[Dens]]&gt;900,vp.tbl[[#This Row],[Sulf]]&lt;=0.5,vp.tbl[[#This Row],[Unknown]]=0),1,0)</f>
        <v>0</v>
      </c>
      <c r="AF62">
        <f>IF(AND(vp.tbl[[#This Row],[CrudeType]]="Crude",vp.tbl[[#This Row],[Dens]]&gt;900,vp.tbl[[#This Row],[Sulf]]&lt;=0.5,vp.tbl[[#This Row],[Unknown]]=0),1,0)</f>
        <v>0</v>
      </c>
      <c r="AG62" t="str">
        <f>INDEX(vp.tbl[[#Headers],[Unknown]:[Heavy_SW]],MATCH(1,vp.tbl[[#This Row],[Unknown]:[Heavy_SW]],0))</f>
        <v>Light_LSB</v>
      </c>
      <c r="AH62" t="e">
        <f>INDEX([1]!crudeBD.lkup[Number],MATCH(vp.tbl[[#This Row],[Crude_Breakdown]],[1]!crudeBD.lkup[Crude Breakdown],0))</f>
        <v>#REF!</v>
      </c>
      <c r="AI62">
        <f>MONTH(vp.tbl[[#This Row],[SDate]])</f>
        <v>12</v>
      </c>
      <c r="AJ62" s="5">
        <f>IFERROR(vp.tbl[[#This Row],[Sulf]]*vp.tbl[[#This Row],[Net Dens]],"")</f>
        <v>6470501.6499040006</v>
      </c>
      <c r="AK62" s="5">
        <f>IFERROR(vp.tbl[[#This Row],[Dens]]*vp.tbl[[#This Row],[VolumeM3]],"")</f>
        <v>4757721.8014000002</v>
      </c>
      <c r="AL62" s="5">
        <f>IFERROR(vp.tbl[[#This Row],[VP]]*vp.tbl[[#This Row],[VolumeM3]],"")</f>
        <v>562483.51639999996</v>
      </c>
      <c r="AM62" s="4">
        <f>IFERROR((vp.tbl[[#This Row],[VP]]-INDEX(crudeBD.lkup.complete[Mean_VP],MATCH(vp.tbl[[#This Row],[Crude_Breakdown]],crudeBD.lkup.complete[Crude Breakdown],0)))^2,"")</f>
        <v>21.657988776702894</v>
      </c>
      <c r="AN62" s="4">
        <f>IFERROR((vp.tbl[[#This Row],[Dens]]-INDEX(crudeBD.lkup.complete[Mean_Dens],MATCH(vp.tbl[[#This Row],[Crude_Breakdown]],crudeBD.lkup.complete[Crude Breakdown],0)))^2,"")</f>
        <v>23.201270915550204</v>
      </c>
      <c r="AO62" s="4">
        <f>IFERROR((vp.tbl[[#This Row],[Sulf]]-INDEX(crudeBD.lkup.complete[Mean_Sulf],MATCH(vp.tbl[[#This Row],[Crude_Breakdown]],crudeBD.lkup.complete[Crude Breakdown],0)))^2,"")</f>
        <v>0.19099419966287745</v>
      </c>
      <c r="AP62">
        <f>IF(AND(vp.tbl[[#This Row],[SDate]]&gt;=DATE(YEAR(vp.tbl[[#This Row],[SDate]]),5,1),vp.tbl[[#This Row],[SDate]]&lt;=DATE(YEAR(vp.tbl[[#This Row],[SDate]]),9,15)),1,0)</f>
        <v>0</v>
      </c>
      <c r="AQ62" s="15">
        <f>IF(vp.tbl[[#This Row],[SDate]]&lt;DATE(2016,12,1),0,1)</f>
        <v>0</v>
      </c>
    </row>
    <row r="63" spans="1:43" x14ac:dyDescent="0.25">
      <c r="A63">
        <v>62</v>
      </c>
      <c r="B63" t="s">
        <v>64</v>
      </c>
      <c r="C63" t="s">
        <v>64</v>
      </c>
      <c r="D63" t="s">
        <v>65</v>
      </c>
      <c r="F63" s="1">
        <v>42353</v>
      </c>
      <c r="G63" s="2">
        <v>93.9</v>
      </c>
      <c r="H63" s="2"/>
      <c r="I63" s="2">
        <v>2.08</v>
      </c>
      <c r="J63" s="2"/>
      <c r="K63" s="2"/>
      <c r="L63" s="2">
        <v>829.3</v>
      </c>
      <c r="M63" s="2">
        <v>829.3</v>
      </c>
      <c r="N63" s="2">
        <f ca="1">INDEX(INDIRECT(_xlfn.CONCAT("weather.tbl[",N$1,"]")),MATCH(vp.tbl[[#This Row],[SDate]],weather.tbl[Date],0))</f>
        <v>-5.1000000000000005</v>
      </c>
      <c r="O63" s="2">
        <f ca="1">INDEX(INDIRECT(_xlfn.CONCAT("weather.tbl[",O$1,"]")),MATCH(vp.tbl[[#This Row],[SDate]],weather.tbl[Date],0))</f>
        <v>-2.8071428571428574</v>
      </c>
      <c r="P63" s="2">
        <f ca="1">INDEX(INDIRECT(_xlfn.CONCAT("weather.tbl[",P$1,"]")),MATCH(vp.tbl[[#This Row],[SDate]],weather.tbl[Date],0))</f>
        <v>-4.3</v>
      </c>
      <c r="Q63" s="2">
        <f ca="1">INDEX(INDIRECT(_xlfn.CONCAT("weather.tbl[",Q$1,"]")),MATCH(vp.tbl[[#This Row],[SDate]],weather.tbl[Date],0))</f>
        <v>-4</v>
      </c>
      <c r="R63" s="2">
        <f ca="1">INDEX(INDIRECT(_xlfn.CONCAT("weather.tbl[",R$1,"]")),MATCH(vp.tbl[[#This Row],[SDate]],weather.tbl[Date],0))</f>
        <v>-6</v>
      </c>
      <c r="S63" s="2">
        <f ca="1">INDEX(INDIRECT(_xlfn.CONCAT("weather.tbl[",S$1,"]")),MATCH(vp.tbl[[#This Row],[SDate]],weather.tbl[Date],0))</f>
        <v>-4.5</v>
      </c>
      <c r="T63" s="2">
        <f ca="1">INDEX(INDIRECT(_xlfn.CONCAT("weather.tbl[",T$1,"]")),MATCH(vp.tbl[[#This Row],[SDate]],weather.tbl[Date],0))</f>
        <v>-6.2</v>
      </c>
      <c r="U63" s="2">
        <f ca="1">INDEX(INDIRECT(_xlfn.CONCAT("weather.tbl[",U$1,"]")),MATCH(vp.tbl[[#This Row],[SDate]],weather.tbl[Date],0))</f>
        <v>-5.6</v>
      </c>
      <c r="V63" s="2">
        <v>24480.578000000001</v>
      </c>
      <c r="W63" t="s">
        <v>48</v>
      </c>
      <c r="X63">
        <f>IF(OR(vp.tbl[[#This Row],[Sulf]]="",vp.tbl[[#This Row],[Dens]]=""),1,0)</f>
        <v>0</v>
      </c>
      <c r="Y63">
        <f>IF(vp.tbl[[#This Row],[CrudeType]]="C5+",1,0)</f>
        <v>0</v>
      </c>
      <c r="Z63">
        <f>IF(AND(vp.tbl[[#This Row],[CrudeType]]="Crude",vp.tbl[[#This Row],[Dens]]&lt;=825,vp.tbl[[#This Row],[Sulf]]&gt;0.5,vp.tbl[[#This Row],[Unknown]]=0),1,0)</f>
        <v>0</v>
      </c>
      <c r="AA63">
        <f>IF(AND(vp.tbl[[#This Row],[CrudeType]]="Crude",vp.tbl[[#This Row],[Dens]]&lt;=825,vp.tbl[[#This Row],[Sulf]]&lt;=0.5,vp.tbl[[#This Row],[Unknown]]=0),1,0)</f>
        <v>0</v>
      </c>
      <c r="AB63">
        <f>IF(AND(vp.tbl[[#This Row],[CrudeType]]="Crude",vp.tbl[[#This Row],[Dens]]&gt;825,vp.tbl[[#This Row],[Dens]]&lt;=870,vp.tbl[[#This Row],[Sulf]]&gt;0.5,vp.tbl[[#This Row],[Unknown]]=0),1,0)</f>
        <v>1</v>
      </c>
      <c r="AC63">
        <f>IF(AND(vp.tbl[[#This Row],[CrudeType]]="Crude",vp.tbl[[#This Row],[Dens]]&gt;825,vp.tbl[[#This Row],[Dens]]&lt;=900,vp.tbl[[#This Row],[Sulf]]&lt;=0.5,vp.tbl[[#This Row],[Unknown]]=0),1,0)</f>
        <v>0</v>
      </c>
      <c r="AD63">
        <f>IF(AND(vp.tbl[[#This Row],[CrudeType]]="Crude",vp.tbl[[#This Row],[Dens]]&gt;870,vp.tbl[[#This Row],[Dens]]&lt;=900,vp.tbl[[#This Row],[Sulf]]&gt;0.5,vp.tbl[[#This Row],[Unknown]]=0),1,0)</f>
        <v>0</v>
      </c>
      <c r="AE63">
        <f>IF(AND(vp.tbl[[#This Row],[CrudeType]]="Crude",vp.tbl[[#This Row],[Dens]]&gt;900,vp.tbl[[#This Row],[Sulf]]&lt;=0.5,vp.tbl[[#This Row],[Unknown]]=0),1,0)</f>
        <v>0</v>
      </c>
      <c r="AF63">
        <f>IF(AND(vp.tbl[[#This Row],[CrudeType]]="Crude",vp.tbl[[#This Row],[Dens]]&gt;900,vp.tbl[[#This Row],[Sulf]]&lt;=0.5,vp.tbl[[#This Row],[Unknown]]=0),1,0)</f>
        <v>0</v>
      </c>
      <c r="AG63" t="str">
        <f>INDEX(vp.tbl[[#Headers],[Unknown]:[Heavy_SW]],MATCH(1,vp.tbl[[#This Row],[Unknown]:[Heavy_SW]],0))</f>
        <v>Medium_LSB</v>
      </c>
      <c r="AH63" t="e">
        <f>INDEX([1]!crudeBD.lkup[Number],MATCH(vp.tbl[[#This Row],[Crude_Breakdown]],[1]!crudeBD.lkup[Crude Breakdown],0))</f>
        <v>#REF!</v>
      </c>
      <c r="AI63">
        <f>MONTH(vp.tbl[[#This Row],[SDate]])</f>
        <v>12</v>
      </c>
      <c r="AJ63" s="5">
        <f>IFERROR(vp.tbl[[#This Row],[Sulf]]*vp.tbl[[#This Row],[Net Dens]],"")</f>
        <v>42227626.137632005</v>
      </c>
      <c r="AK63" s="5">
        <f>IFERROR(vp.tbl[[#This Row],[Dens]]*vp.tbl[[#This Row],[VolumeM3]],"")</f>
        <v>20301743.3354</v>
      </c>
      <c r="AL63" s="5">
        <f>IFERROR(vp.tbl[[#This Row],[VP]]*vp.tbl[[#This Row],[VolumeM3]],"")</f>
        <v>2298726.2742000003</v>
      </c>
      <c r="AM63" s="4">
        <f>IFERROR((vp.tbl[[#This Row],[VP]]-INDEX(crudeBD.lkup.complete[Mean_VP],MATCH(vp.tbl[[#This Row],[Crude_Breakdown]],crudeBD.lkup.complete[Crude Breakdown],0)))^2,"")</f>
        <v>188.4141959615458</v>
      </c>
      <c r="AN63" s="4">
        <f>IFERROR((vp.tbl[[#This Row],[Dens]]-INDEX(crudeBD.lkup.complete[Mean_Dens],MATCH(vp.tbl[[#This Row],[Crude_Breakdown]],crudeBD.lkup.complete[Crude Breakdown],0)))^2,"")</f>
        <v>255.73839598074227</v>
      </c>
      <c r="AO63" s="4">
        <f>IFERROR((vp.tbl[[#This Row],[Sulf]]-INDEX(crudeBD.lkup.complete[Mean_Sulf],MATCH(vp.tbl[[#This Row],[Crude_Breakdown]],crudeBD.lkup.complete[Crude Breakdown],0)))^2,"")</f>
        <v>0.39071267897014422</v>
      </c>
      <c r="AP63">
        <f>IF(AND(vp.tbl[[#This Row],[SDate]]&gt;=DATE(YEAR(vp.tbl[[#This Row],[SDate]]),5,1),vp.tbl[[#This Row],[SDate]]&lt;=DATE(YEAR(vp.tbl[[#This Row],[SDate]]),9,15)),1,0)</f>
        <v>0</v>
      </c>
      <c r="AQ63" s="15">
        <f>IF(vp.tbl[[#This Row],[SDate]]&lt;DATE(2016,12,1),0,1)</f>
        <v>0</v>
      </c>
    </row>
    <row r="64" spans="1:43" x14ac:dyDescent="0.25">
      <c r="A64">
        <v>63</v>
      </c>
      <c r="B64" t="s">
        <v>56</v>
      </c>
      <c r="C64" t="s">
        <v>56</v>
      </c>
      <c r="D64" t="s">
        <v>57</v>
      </c>
      <c r="F64" s="1">
        <v>42353</v>
      </c>
      <c r="G64" s="2">
        <v>88.7</v>
      </c>
      <c r="H64" s="2"/>
      <c r="I64" s="2">
        <v>1.44</v>
      </c>
      <c r="J64" s="2"/>
      <c r="K64" s="2"/>
      <c r="L64" s="2">
        <v>833.9</v>
      </c>
      <c r="M64" s="2">
        <v>833.9</v>
      </c>
      <c r="N64" s="2">
        <f ca="1">INDEX(INDIRECT(_xlfn.CONCAT("weather.tbl[",N$1,"]")),MATCH(vp.tbl[[#This Row],[SDate]],weather.tbl[Date],0))</f>
        <v>-5.1000000000000005</v>
      </c>
      <c r="O64" s="2">
        <f ca="1">INDEX(INDIRECT(_xlfn.CONCAT("weather.tbl[",O$1,"]")),MATCH(vp.tbl[[#This Row],[SDate]],weather.tbl[Date],0))</f>
        <v>-2.8071428571428574</v>
      </c>
      <c r="P64" s="2">
        <f ca="1">INDEX(INDIRECT(_xlfn.CONCAT("weather.tbl[",P$1,"]")),MATCH(vp.tbl[[#This Row],[SDate]],weather.tbl[Date],0))</f>
        <v>-4.3</v>
      </c>
      <c r="Q64" s="2">
        <f ca="1">INDEX(INDIRECT(_xlfn.CONCAT("weather.tbl[",Q$1,"]")),MATCH(vp.tbl[[#This Row],[SDate]],weather.tbl[Date],0))</f>
        <v>-4</v>
      </c>
      <c r="R64" s="2">
        <f ca="1">INDEX(INDIRECT(_xlfn.CONCAT("weather.tbl[",R$1,"]")),MATCH(vp.tbl[[#This Row],[SDate]],weather.tbl[Date],0))</f>
        <v>-6</v>
      </c>
      <c r="S64" s="2">
        <f ca="1">INDEX(INDIRECT(_xlfn.CONCAT("weather.tbl[",S$1,"]")),MATCH(vp.tbl[[#This Row],[SDate]],weather.tbl[Date],0))</f>
        <v>-4.5</v>
      </c>
      <c r="T64" s="2">
        <f ca="1">INDEX(INDIRECT(_xlfn.CONCAT("weather.tbl[",T$1,"]")),MATCH(vp.tbl[[#This Row],[SDate]],weather.tbl[Date],0))</f>
        <v>-6.2</v>
      </c>
      <c r="U64" s="2">
        <f ca="1">INDEX(INDIRECT(_xlfn.CONCAT("weather.tbl[",U$1,"]")),MATCH(vp.tbl[[#This Row],[SDate]],weather.tbl[Date],0))</f>
        <v>-5.6</v>
      </c>
      <c r="V64" s="2">
        <v>3686.4169999999999</v>
      </c>
      <c r="W64" t="s">
        <v>48</v>
      </c>
      <c r="X64">
        <f>IF(OR(vp.tbl[[#This Row],[Sulf]]="",vp.tbl[[#This Row],[Dens]]=""),1,0)</f>
        <v>0</v>
      </c>
      <c r="Y64">
        <f>IF(vp.tbl[[#This Row],[CrudeType]]="C5+",1,0)</f>
        <v>0</v>
      </c>
      <c r="Z64">
        <f>IF(AND(vp.tbl[[#This Row],[CrudeType]]="Crude",vp.tbl[[#This Row],[Dens]]&lt;=825,vp.tbl[[#This Row],[Sulf]]&gt;0.5,vp.tbl[[#This Row],[Unknown]]=0),1,0)</f>
        <v>0</v>
      </c>
      <c r="AA64">
        <f>IF(AND(vp.tbl[[#This Row],[CrudeType]]="Crude",vp.tbl[[#This Row],[Dens]]&lt;=825,vp.tbl[[#This Row],[Sulf]]&lt;=0.5,vp.tbl[[#This Row],[Unknown]]=0),1,0)</f>
        <v>0</v>
      </c>
      <c r="AB64">
        <f>IF(AND(vp.tbl[[#This Row],[CrudeType]]="Crude",vp.tbl[[#This Row],[Dens]]&gt;825,vp.tbl[[#This Row],[Dens]]&lt;=870,vp.tbl[[#This Row],[Sulf]]&gt;0.5,vp.tbl[[#This Row],[Unknown]]=0),1,0)</f>
        <v>1</v>
      </c>
      <c r="AC64">
        <f>IF(AND(vp.tbl[[#This Row],[CrudeType]]="Crude",vp.tbl[[#This Row],[Dens]]&gt;825,vp.tbl[[#This Row],[Dens]]&lt;=900,vp.tbl[[#This Row],[Sulf]]&lt;=0.5,vp.tbl[[#This Row],[Unknown]]=0),1,0)</f>
        <v>0</v>
      </c>
      <c r="AD64">
        <f>IF(AND(vp.tbl[[#This Row],[CrudeType]]="Crude",vp.tbl[[#This Row],[Dens]]&gt;870,vp.tbl[[#This Row],[Dens]]&lt;=900,vp.tbl[[#This Row],[Sulf]]&gt;0.5,vp.tbl[[#This Row],[Unknown]]=0),1,0)</f>
        <v>0</v>
      </c>
      <c r="AE64">
        <f>IF(AND(vp.tbl[[#This Row],[CrudeType]]="Crude",vp.tbl[[#This Row],[Dens]]&gt;900,vp.tbl[[#This Row],[Sulf]]&lt;=0.5,vp.tbl[[#This Row],[Unknown]]=0),1,0)</f>
        <v>0</v>
      </c>
      <c r="AF64">
        <f>IF(AND(vp.tbl[[#This Row],[CrudeType]]="Crude",vp.tbl[[#This Row],[Dens]]&gt;900,vp.tbl[[#This Row],[Sulf]]&lt;=0.5,vp.tbl[[#This Row],[Unknown]]=0),1,0)</f>
        <v>0</v>
      </c>
      <c r="AG64" t="str">
        <f>INDEX(vp.tbl[[#Headers],[Unknown]:[Heavy_SW]],MATCH(1,vp.tbl[[#This Row],[Unknown]:[Heavy_SW]],0))</f>
        <v>Medium_LSB</v>
      </c>
      <c r="AH64" t="e">
        <f>INDEX([1]!crudeBD.lkup[Number],MATCH(vp.tbl[[#This Row],[Crude_Breakdown]],[1]!crudeBD.lkup[Crude Breakdown],0))</f>
        <v>#REF!</v>
      </c>
      <c r="AI64">
        <f>MONTH(vp.tbl[[#This Row],[SDate]])</f>
        <v>12</v>
      </c>
      <c r="AJ64" s="5">
        <f>IFERROR(vp.tbl[[#This Row],[Sulf]]*vp.tbl[[#This Row],[Net Dens]],"")</f>
        <v>4426708.516272</v>
      </c>
      <c r="AK64" s="5">
        <f>IFERROR(vp.tbl[[#This Row],[Dens]]*vp.tbl[[#This Row],[VolumeM3]],"")</f>
        <v>3074103.1362999999</v>
      </c>
      <c r="AL64" s="5">
        <f>IFERROR(vp.tbl[[#This Row],[VP]]*vp.tbl[[#This Row],[VolumeM3]],"")</f>
        <v>326985.18790000002</v>
      </c>
      <c r="AM64" s="4">
        <f>IFERROR((vp.tbl[[#This Row],[VP]]-INDEX(crudeBD.lkup.complete[Mean_VP],MATCH(vp.tbl[[#This Row],[Crude_Breakdown]],crudeBD.lkup.complete[Crude Breakdown],0)))^2,"")</f>
        <v>72.699583303317453</v>
      </c>
      <c r="AN64" s="4">
        <f>IFERROR((vp.tbl[[#This Row],[Dens]]-INDEX(crudeBD.lkup.complete[Mean_Dens],MATCH(vp.tbl[[#This Row],[Crude_Breakdown]],crudeBD.lkup.complete[Crude Breakdown],0)))^2,"")</f>
        <v>129.77362636049722</v>
      </c>
      <c r="AO64" s="4">
        <f>IFERROR((vp.tbl[[#This Row],[Sulf]]-INDEX(crudeBD.lkup.complete[Mean_Sulf],MATCH(vp.tbl[[#This Row],[Crude_Breakdown]],crudeBD.lkup.complete[Crude Breakdown],0)))^2,"")</f>
        <v>2.2290074229791476E-4</v>
      </c>
      <c r="AP64">
        <f>IF(AND(vp.tbl[[#This Row],[SDate]]&gt;=DATE(YEAR(vp.tbl[[#This Row],[SDate]]),5,1),vp.tbl[[#This Row],[SDate]]&lt;=DATE(YEAR(vp.tbl[[#This Row],[SDate]]),9,15)),1,0)</f>
        <v>0</v>
      </c>
      <c r="AQ64" s="15">
        <f>IF(vp.tbl[[#This Row],[SDate]]&lt;DATE(2016,12,1),0,1)</f>
        <v>0</v>
      </c>
    </row>
    <row r="65" spans="1:43" x14ac:dyDescent="0.25">
      <c r="A65">
        <v>64</v>
      </c>
      <c r="B65" t="s">
        <v>51</v>
      </c>
      <c r="C65" t="s">
        <v>51</v>
      </c>
      <c r="D65" t="s">
        <v>58</v>
      </c>
      <c r="F65" s="1">
        <v>42353</v>
      </c>
      <c r="G65" s="2">
        <v>89.6</v>
      </c>
      <c r="H65" s="2"/>
      <c r="I65" s="2">
        <v>1.38</v>
      </c>
      <c r="J65" s="2"/>
      <c r="K65" s="2"/>
      <c r="L65" s="2">
        <v>835.9</v>
      </c>
      <c r="M65" s="2">
        <v>835.9</v>
      </c>
      <c r="N65" s="2">
        <f ca="1">INDEX(INDIRECT(_xlfn.CONCAT("weather.tbl[",N$1,"]")),MATCH(vp.tbl[[#This Row],[SDate]],weather.tbl[Date],0))</f>
        <v>-5.1000000000000005</v>
      </c>
      <c r="O65" s="2">
        <f ca="1">INDEX(INDIRECT(_xlfn.CONCAT("weather.tbl[",O$1,"]")),MATCH(vp.tbl[[#This Row],[SDate]],weather.tbl[Date],0))</f>
        <v>-2.8071428571428574</v>
      </c>
      <c r="P65" s="2">
        <f ca="1">INDEX(INDIRECT(_xlfn.CONCAT("weather.tbl[",P$1,"]")),MATCH(vp.tbl[[#This Row],[SDate]],weather.tbl[Date],0))</f>
        <v>-4.3</v>
      </c>
      <c r="Q65" s="2">
        <f ca="1">INDEX(INDIRECT(_xlfn.CONCAT("weather.tbl[",Q$1,"]")),MATCH(vp.tbl[[#This Row],[SDate]],weather.tbl[Date],0))</f>
        <v>-4</v>
      </c>
      <c r="R65" s="2">
        <f ca="1">INDEX(INDIRECT(_xlfn.CONCAT("weather.tbl[",R$1,"]")),MATCH(vp.tbl[[#This Row],[SDate]],weather.tbl[Date],0))</f>
        <v>-6</v>
      </c>
      <c r="S65" s="2">
        <f ca="1">INDEX(INDIRECT(_xlfn.CONCAT("weather.tbl[",S$1,"]")),MATCH(vp.tbl[[#This Row],[SDate]],weather.tbl[Date],0))</f>
        <v>-4.5</v>
      </c>
      <c r="T65" s="2">
        <f ca="1">INDEX(INDIRECT(_xlfn.CONCAT("weather.tbl[",T$1,"]")),MATCH(vp.tbl[[#This Row],[SDate]],weather.tbl[Date],0))</f>
        <v>-6.2</v>
      </c>
      <c r="U65" s="2">
        <f ca="1">INDEX(INDIRECT(_xlfn.CONCAT("weather.tbl[",U$1,"]")),MATCH(vp.tbl[[#This Row],[SDate]],weather.tbl[Date],0))</f>
        <v>-5.6</v>
      </c>
      <c r="V65" s="2">
        <v>6260.2569999999996</v>
      </c>
      <c r="W65" t="s">
        <v>48</v>
      </c>
      <c r="X65">
        <f>IF(OR(vp.tbl[[#This Row],[Sulf]]="",vp.tbl[[#This Row],[Dens]]=""),1,0)</f>
        <v>0</v>
      </c>
      <c r="Y65">
        <f>IF(vp.tbl[[#This Row],[CrudeType]]="C5+",1,0)</f>
        <v>0</v>
      </c>
      <c r="Z65">
        <f>IF(AND(vp.tbl[[#This Row],[CrudeType]]="Crude",vp.tbl[[#This Row],[Dens]]&lt;=825,vp.tbl[[#This Row],[Sulf]]&gt;0.5,vp.tbl[[#This Row],[Unknown]]=0),1,0)</f>
        <v>0</v>
      </c>
      <c r="AA65">
        <f>IF(AND(vp.tbl[[#This Row],[CrudeType]]="Crude",vp.tbl[[#This Row],[Dens]]&lt;=825,vp.tbl[[#This Row],[Sulf]]&lt;=0.5,vp.tbl[[#This Row],[Unknown]]=0),1,0)</f>
        <v>0</v>
      </c>
      <c r="AB65">
        <f>IF(AND(vp.tbl[[#This Row],[CrudeType]]="Crude",vp.tbl[[#This Row],[Dens]]&gt;825,vp.tbl[[#This Row],[Dens]]&lt;=870,vp.tbl[[#This Row],[Sulf]]&gt;0.5,vp.tbl[[#This Row],[Unknown]]=0),1,0)</f>
        <v>1</v>
      </c>
      <c r="AC65">
        <f>IF(AND(vp.tbl[[#This Row],[CrudeType]]="Crude",vp.tbl[[#This Row],[Dens]]&gt;825,vp.tbl[[#This Row],[Dens]]&lt;=900,vp.tbl[[#This Row],[Sulf]]&lt;=0.5,vp.tbl[[#This Row],[Unknown]]=0),1,0)</f>
        <v>0</v>
      </c>
      <c r="AD65">
        <f>IF(AND(vp.tbl[[#This Row],[CrudeType]]="Crude",vp.tbl[[#This Row],[Dens]]&gt;870,vp.tbl[[#This Row],[Dens]]&lt;=900,vp.tbl[[#This Row],[Sulf]]&gt;0.5,vp.tbl[[#This Row],[Unknown]]=0),1,0)</f>
        <v>0</v>
      </c>
      <c r="AE65">
        <f>IF(AND(vp.tbl[[#This Row],[CrudeType]]="Crude",vp.tbl[[#This Row],[Dens]]&gt;900,vp.tbl[[#This Row],[Sulf]]&lt;=0.5,vp.tbl[[#This Row],[Unknown]]=0),1,0)</f>
        <v>0</v>
      </c>
      <c r="AF65">
        <f>IF(AND(vp.tbl[[#This Row],[CrudeType]]="Crude",vp.tbl[[#This Row],[Dens]]&gt;900,vp.tbl[[#This Row],[Sulf]]&lt;=0.5,vp.tbl[[#This Row],[Unknown]]=0),1,0)</f>
        <v>0</v>
      </c>
      <c r="AG65" t="str">
        <f>INDEX(vp.tbl[[#Headers],[Unknown]:[Heavy_SW]],MATCH(1,vp.tbl[[#This Row],[Unknown]:[Heavy_SW]],0))</f>
        <v>Medium_LSB</v>
      </c>
      <c r="AH65" t="e">
        <f>INDEX([1]!crudeBD.lkup[Number],MATCH(vp.tbl[[#This Row],[Crude_Breakdown]],[1]!crudeBD.lkup[Crude Breakdown],0))</f>
        <v>#REF!</v>
      </c>
      <c r="AI65">
        <f>MONTH(vp.tbl[[#This Row],[SDate]])</f>
        <v>12</v>
      </c>
      <c r="AJ65" s="5">
        <f>IFERROR(vp.tbl[[#This Row],[Sulf]]*vp.tbl[[#This Row],[Net Dens]],"")</f>
        <v>7221469.3802939989</v>
      </c>
      <c r="AK65" s="5">
        <f>IFERROR(vp.tbl[[#This Row],[Dens]]*vp.tbl[[#This Row],[VolumeM3]],"")</f>
        <v>5232948.8262999998</v>
      </c>
      <c r="AL65" s="5">
        <f>IFERROR(vp.tbl[[#This Row],[VP]]*vp.tbl[[#This Row],[VolumeM3]],"")</f>
        <v>560919.02719999989</v>
      </c>
      <c r="AM65" s="4">
        <f>IFERROR((vp.tbl[[#This Row],[VP]]-INDEX(crudeBD.lkup.complete[Mean_VP],MATCH(vp.tbl[[#This Row],[Crude_Breakdown]],crudeBD.lkup.complete[Crude Breakdown],0)))^2,"")</f>
        <v>88.85711241724141</v>
      </c>
      <c r="AN65" s="4">
        <f>IFERROR((vp.tbl[[#This Row],[Dens]]-INDEX(crudeBD.lkup.complete[Mean_Dens],MATCH(vp.tbl[[#This Row],[Crude_Breakdown]],crudeBD.lkup.complete[Crude Breakdown],0)))^2,"")</f>
        <v>88.206335221260574</v>
      </c>
      <c r="AO65" s="4">
        <f>IFERROR((vp.tbl[[#This Row],[Sulf]]-INDEX(crudeBD.lkup.complete[Mean_Sulf],MATCH(vp.tbl[[#This Row],[Crude_Breakdown]],crudeBD.lkup.complete[Crude Breakdown],0)))^2,"")</f>
        <v>5.6144840334373478E-3</v>
      </c>
      <c r="AP65">
        <f>IF(AND(vp.tbl[[#This Row],[SDate]]&gt;=DATE(YEAR(vp.tbl[[#This Row],[SDate]]),5,1),vp.tbl[[#This Row],[SDate]]&lt;=DATE(YEAR(vp.tbl[[#This Row],[SDate]]),9,15)),1,0)</f>
        <v>0</v>
      </c>
      <c r="AQ65" s="15">
        <f>IF(vp.tbl[[#This Row],[SDate]]&lt;DATE(2016,12,1),0,1)</f>
        <v>0</v>
      </c>
    </row>
    <row r="66" spans="1:43" x14ac:dyDescent="0.25">
      <c r="A66">
        <v>65</v>
      </c>
      <c r="B66" t="s">
        <v>68</v>
      </c>
      <c r="C66" t="s">
        <v>68</v>
      </c>
      <c r="D66" t="s">
        <v>69</v>
      </c>
      <c r="F66" s="1">
        <v>42353</v>
      </c>
      <c r="G66" s="2">
        <v>85.7</v>
      </c>
      <c r="H66" s="2"/>
      <c r="I66" s="2">
        <v>1.73</v>
      </c>
      <c r="J66" s="2"/>
      <c r="K66" s="2"/>
      <c r="L66" s="2"/>
      <c r="M66" s="2">
        <v>865.1</v>
      </c>
      <c r="N66" s="2">
        <f ca="1">INDEX(INDIRECT(_xlfn.CONCAT("weather.tbl[",N$1,"]")),MATCH(vp.tbl[[#This Row],[SDate]],weather.tbl[Date],0))</f>
        <v>-5.1000000000000005</v>
      </c>
      <c r="O66" s="2">
        <f ca="1">INDEX(INDIRECT(_xlfn.CONCAT("weather.tbl[",O$1,"]")),MATCH(vp.tbl[[#This Row],[SDate]],weather.tbl[Date],0))</f>
        <v>-2.8071428571428574</v>
      </c>
      <c r="P66" s="2">
        <f ca="1">INDEX(INDIRECT(_xlfn.CONCAT("weather.tbl[",P$1,"]")),MATCH(vp.tbl[[#This Row],[SDate]],weather.tbl[Date],0))</f>
        <v>-4.3</v>
      </c>
      <c r="Q66" s="2">
        <f ca="1">INDEX(INDIRECT(_xlfn.CONCAT("weather.tbl[",Q$1,"]")),MATCH(vp.tbl[[#This Row],[SDate]],weather.tbl[Date],0))</f>
        <v>-4</v>
      </c>
      <c r="R66" s="2">
        <f ca="1">INDEX(INDIRECT(_xlfn.CONCAT("weather.tbl[",R$1,"]")),MATCH(vp.tbl[[#This Row],[SDate]],weather.tbl[Date],0))</f>
        <v>-6</v>
      </c>
      <c r="S66" s="2">
        <f ca="1">INDEX(INDIRECT(_xlfn.CONCAT("weather.tbl[",S$1,"]")),MATCH(vp.tbl[[#This Row],[SDate]],weather.tbl[Date],0))</f>
        <v>-4.5</v>
      </c>
      <c r="T66" s="2">
        <f ca="1">INDEX(INDIRECT(_xlfn.CONCAT("weather.tbl[",T$1,"]")),MATCH(vp.tbl[[#This Row],[SDate]],weather.tbl[Date],0))</f>
        <v>-6.2</v>
      </c>
      <c r="U66" s="2">
        <f ca="1">INDEX(INDIRECT(_xlfn.CONCAT("weather.tbl[",U$1,"]")),MATCH(vp.tbl[[#This Row],[SDate]],weather.tbl[Date],0))</f>
        <v>-5.6</v>
      </c>
      <c r="V66" s="2">
        <v>1524.914</v>
      </c>
      <c r="W66" t="s">
        <v>48</v>
      </c>
      <c r="X66">
        <f>IF(OR(vp.tbl[[#This Row],[Sulf]]="",vp.tbl[[#This Row],[Dens]]=""),1,0)</f>
        <v>0</v>
      </c>
      <c r="Y66">
        <f>IF(vp.tbl[[#This Row],[CrudeType]]="C5+",1,0)</f>
        <v>0</v>
      </c>
      <c r="Z66">
        <f>IF(AND(vp.tbl[[#This Row],[CrudeType]]="Crude",vp.tbl[[#This Row],[Dens]]&lt;=825,vp.tbl[[#This Row],[Sulf]]&gt;0.5,vp.tbl[[#This Row],[Unknown]]=0),1,0)</f>
        <v>0</v>
      </c>
      <c r="AA66">
        <f>IF(AND(vp.tbl[[#This Row],[CrudeType]]="Crude",vp.tbl[[#This Row],[Dens]]&lt;=825,vp.tbl[[#This Row],[Sulf]]&lt;=0.5,vp.tbl[[#This Row],[Unknown]]=0),1,0)</f>
        <v>0</v>
      </c>
      <c r="AB66">
        <f>IF(AND(vp.tbl[[#This Row],[CrudeType]]="Crude",vp.tbl[[#This Row],[Dens]]&gt;825,vp.tbl[[#This Row],[Dens]]&lt;=870,vp.tbl[[#This Row],[Sulf]]&gt;0.5,vp.tbl[[#This Row],[Unknown]]=0),1,0)</f>
        <v>1</v>
      </c>
      <c r="AC66">
        <f>IF(AND(vp.tbl[[#This Row],[CrudeType]]="Crude",vp.tbl[[#This Row],[Dens]]&gt;825,vp.tbl[[#This Row],[Dens]]&lt;=900,vp.tbl[[#This Row],[Sulf]]&lt;=0.5,vp.tbl[[#This Row],[Unknown]]=0),1,0)</f>
        <v>0</v>
      </c>
      <c r="AD66">
        <f>IF(AND(vp.tbl[[#This Row],[CrudeType]]="Crude",vp.tbl[[#This Row],[Dens]]&gt;870,vp.tbl[[#This Row],[Dens]]&lt;=900,vp.tbl[[#This Row],[Sulf]]&gt;0.5,vp.tbl[[#This Row],[Unknown]]=0),1,0)</f>
        <v>0</v>
      </c>
      <c r="AE66">
        <f>IF(AND(vp.tbl[[#This Row],[CrudeType]]="Crude",vp.tbl[[#This Row],[Dens]]&gt;900,vp.tbl[[#This Row],[Sulf]]&lt;=0.5,vp.tbl[[#This Row],[Unknown]]=0),1,0)</f>
        <v>0</v>
      </c>
      <c r="AF66">
        <f>IF(AND(vp.tbl[[#This Row],[CrudeType]]="Crude",vp.tbl[[#This Row],[Dens]]&gt;900,vp.tbl[[#This Row],[Sulf]]&lt;=0.5,vp.tbl[[#This Row],[Unknown]]=0),1,0)</f>
        <v>0</v>
      </c>
      <c r="AG66" t="str">
        <f>INDEX(vp.tbl[[#Headers],[Unknown]:[Heavy_SW]],MATCH(1,vp.tbl[[#This Row],[Unknown]:[Heavy_SW]],0))</f>
        <v>Medium_LSB</v>
      </c>
      <c r="AH66" t="e">
        <f>INDEX([1]!crudeBD.lkup[Number],MATCH(vp.tbl[[#This Row],[Crude_Breakdown]],[1]!crudeBD.lkup[Crude Breakdown],0))</f>
        <v>#REF!</v>
      </c>
      <c r="AI66">
        <f>MONTH(vp.tbl[[#This Row],[SDate]])</f>
        <v>12</v>
      </c>
      <c r="AJ66" s="5">
        <f>IFERROR(vp.tbl[[#This Row],[Sulf]]*vp.tbl[[#This Row],[Net Dens]],"")</f>
        <v>2282221.3654220002</v>
      </c>
      <c r="AK66" s="5">
        <f>IFERROR(vp.tbl[[#This Row],[Dens]]*vp.tbl[[#This Row],[VolumeM3]],"")</f>
        <v>1319203.1014</v>
      </c>
      <c r="AL66" s="5">
        <f>IFERROR(vp.tbl[[#This Row],[VP]]*vp.tbl[[#This Row],[VolumeM3]],"")</f>
        <v>130685.12980000001</v>
      </c>
      <c r="AM66" s="4">
        <f>IFERROR((vp.tbl[[#This Row],[VP]]-INDEX(crudeBD.lkup.complete[Mean_VP],MATCH(vp.tbl[[#This Row],[Crude_Breakdown]],crudeBD.lkup.complete[Crude Breakdown],0)))^2,"")</f>
        <v>30.54115292357038</v>
      </c>
      <c r="AN66" s="4">
        <f>IFERROR((vp.tbl[[#This Row],[Dens]]-INDEX(crudeBD.lkup.complete[Mean_Dens],MATCH(vp.tbl[[#This Row],[Crude_Breakdown]],crudeBD.lkup.complete[Crude Breakdown],0)))^2,"")</f>
        <v>392.36388458840713</v>
      </c>
      <c r="AO66" s="4">
        <f>IFERROR((vp.tbl[[#This Row],[Sulf]]-INDEX(crudeBD.lkup.complete[Mean_Sulf],MATCH(vp.tbl[[#This Row],[Crude_Breakdown]],crudeBD.lkup.complete[Crude Breakdown],0)))^2,"")</f>
        <v>7.5663581501790714E-2</v>
      </c>
      <c r="AP66">
        <f>IF(AND(vp.tbl[[#This Row],[SDate]]&gt;=DATE(YEAR(vp.tbl[[#This Row],[SDate]]),5,1),vp.tbl[[#This Row],[SDate]]&lt;=DATE(YEAR(vp.tbl[[#This Row],[SDate]]),9,15)),1,0)</f>
        <v>0</v>
      </c>
      <c r="AQ66" s="15">
        <f>IF(vp.tbl[[#This Row],[SDate]]&lt;DATE(2016,12,1),0,1)</f>
        <v>0</v>
      </c>
    </row>
    <row r="67" spans="1:43" x14ac:dyDescent="0.25">
      <c r="A67">
        <v>66</v>
      </c>
      <c r="B67" t="s">
        <v>49</v>
      </c>
      <c r="C67" t="s">
        <v>49</v>
      </c>
      <c r="D67" t="s">
        <v>59</v>
      </c>
      <c r="F67" s="1">
        <v>42355</v>
      </c>
      <c r="G67" s="2">
        <v>70.599999999999994</v>
      </c>
      <c r="H67" s="2"/>
      <c r="I67" s="2">
        <v>1.53</v>
      </c>
      <c r="J67" s="2"/>
      <c r="K67" s="2"/>
      <c r="L67" s="2">
        <v>847.3</v>
      </c>
      <c r="M67" s="2">
        <v>847.3</v>
      </c>
      <c r="N67" s="2">
        <f ca="1">INDEX(INDIRECT(_xlfn.CONCAT("weather.tbl[",N$1,"]")),MATCH(vp.tbl[[#This Row],[SDate]],weather.tbl[Date],0))</f>
        <v>-11.533333333333331</v>
      </c>
      <c r="O67" s="2">
        <f ca="1">INDEX(INDIRECT(_xlfn.CONCAT("weather.tbl[",O$1,"]")),MATCH(vp.tbl[[#This Row],[SDate]],weather.tbl[Date],0))</f>
        <v>-5.8500000000000005</v>
      </c>
      <c r="P67" s="2">
        <f ca="1">INDEX(INDIRECT(_xlfn.CONCAT("weather.tbl[",P$1,"]")),MATCH(vp.tbl[[#This Row],[SDate]],weather.tbl[Date],0))</f>
        <v>-11.3</v>
      </c>
      <c r="Q67" s="2">
        <f ca="1">INDEX(INDIRECT(_xlfn.CONCAT("weather.tbl[",Q$1,"]")),MATCH(vp.tbl[[#This Row],[SDate]],weather.tbl[Date],0))</f>
        <v>-12.1</v>
      </c>
      <c r="R67" s="2">
        <f ca="1">INDEX(INDIRECT(_xlfn.CONCAT("weather.tbl[",R$1,"]")),MATCH(vp.tbl[[#This Row],[SDate]],weather.tbl[Date],0))</f>
        <v>-11.5</v>
      </c>
      <c r="S67" s="2">
        <f ca="1">INDEX(INDIRECT(_xlfn.CONCAT("weather.tbl[",S$1,"]")),MATCH(vp.tbl[[#This Row],[SDate]],weather.tbl[Date],0))</f>
        <v>-12</v>
      </c>
      <c r="T67" s="2">
        <f ca="1">INDEX(INDIRECT(_xlfn.CONCAT("weather.tbl[",T$1,"]")),MATCH(vp.tbl[[#This Row],[SDate]],weather.tbl[Date],0))</f>
        <v>-9.1999999999999993</v>
      </c>
      <c r="U67" s="2">
        <f ca="1">INDEX(INDIRECT(_xlfn.CONCAT("weather.tbl[",U$1,"]")),MATCH(vp.tbl[[#This Row],[SDate]],weather.tbl[Date],0))</f>
        <v>-13.1</v>
      </c>
      <c r="V67" s="2">
        <v>2173.7730000000001</v>
      </c>
      <c r="W67" t="s">
        <v>48</v>
      </c>
      <c r="X67">
        <f>IF(OR(vp.tbl[[#This Row],[Sulf]]="",vp.tbl[[#This Row],[Dens]]=""),1,0)</f>
        <v>0</v>
      </c>
      <c r="Y67">
        <f>IF(vp.tbl[[#This Row],[CrudeType]]="C5+",1,0)</f>
        <v>0</v>
      </c>
      <c r="Z67">
        <f>IF(AND(vp.tbl[[#This Row],[CrudeType]]="Crude",vp.tbl[[#This Row],[Dens]]&lt;=825,vp.tbl[[#This Row],[Sulf]]&gt;0.5,vp.tbl[[#This Row],[Unknown]]=0),1,0)</f>
        <v>0</v>
      </c>
      <c r="AA67">
        <f>IF(AND(vp.tbl[[#This Row],[CrudeType]]="Crude",vp.tbl[[#This Row],[Dens]]&lt;=825,vp.tbl[[#This Row],[Sulf]]&lt;=0.5,vp.tbl[[#This Row],[Unknown]]=0),1,0)</f>
        <v>0</v>
      </c>
      <c r="AB67">
        <f>IF(AND(vp.tbl[[#This Row],[CrudeType]]="Crude",vp.tbl[[#This Row],[Dens]]&gt;825,vp.tbl[[#This Row],[Dens]]&lt;=870,vp.tbl[[#This Row],[Sulf]]&gt;0.5,vp.tbl[[#This Row],[Unknown]]=0),1,0)</f>
        <v>1</v>
      </c>
      <c r="AC67">
        <f>IF(AND(vp.tbl[[#This Row],[CrudeType]]="Crude",vp.tbl[[#This Row],[Dens]]&gt;825,vp.tbl[[#This Row],[Dens]]&lt;=900,vp.tbl[[#This Row],[Sulf]]&lt;=0.5,vp.tbl[[#This Row],[Unknown]]=0),1,0)</f>
        <v>0</v>
      </c>
      <c r="AD67">
        <f>IF(AND(vp.tbl[[#This Row],[CrudeType]]="Crude",vp.tbl[[#This Row],[Dens]]&gt;870,vp.tbl[[#This Row],[Dens]]&lt;=900,vp.tbl[[#This Row],[Sulf]]&gt;0.5,vp.tbl[[#This Row],[Unknown]]=0),1,0)</f>
        <v>0</v>
      </c>
      <c r="AE67">
        <f>IF(AND(vp.tbl[[#This Row],[CrudeType]]="Crude",vp.tbl[[#This Row],[Dens]]&gt;900,vp.tbl[[#This Row],[Sulf]]&lt;=0.5,vp.tbl[[#This Row],[Unknown]]=0),1,0)</f>
        <v>0</v>
      </c>
      <c r="AF67">
        <f>IF(AND(vp.tbl[[#This Row],[CrudeType]]="Crude",vp.tbl[[#This Row],[Dens]]&gt;900,vp.tbl[[#This Row],[Sulf]]&lt;=0.5,vp.tbl[[#This Row],[Unknown]]=0),1,0)</f>
        <v>0</v>
      </c>
      <c r="AG67" t="str">
        <f>INDEX(vp.tbl[[#Headers],[Unknown]:[Heavy_SW]],MATCH(1,vp.tbl[[#This Row],[Unknown]:[Heavy_SW]],0))</f>
        <v>Medium_LSB</v>
      </c>
      <c r="AH67" t="e">
        <f>INDEX([1]!crudeBD.lkup[Number],MATCH(vp.tbl[[#This Row],[Crude_Breakdown]],[1]!crudeBD.lkup[Crude Breakdown],0))</f>
        <v>#REF!</v>
      </c>
      <c r="AI67">
        <f>MONTH(vp.tbl[[#This Row],[SDate]])</f>
        <v>12</v>
      </c>
      <c r="AJ67" s="5">
        <f>IFERROR(vp.tbl[[#This Row],[Sulf]]*vp.tbl[[#This Row],[Net Dens]],"")</f>
        <v>2818011.9302370003</v>
      </c>
      <c r="AK67" s="5">
        <f>IFERROR(vp.tbl[[#This Row],[Dens]]*vp.tbl[[#This Row],[VolumeM3]],"")</f>
        <v>1841837.8629000001</v>
      </c>
      <c r="AL67" s="5">
        <f>IFERROR(vp.tbl[[#This Row],[VP]]*vp.tbl[[#This Row],[VolumeM3]],"")</f>
        <v>153468.3738</v>
      </c>
      <c r="AM67" s="4">
        <f>IFERROR((vp.tbl[[#This Row],[VP]]-INDEX(crudeBD.lkup.complete[Mean_VP],MATCH(vp.tbl[[#This Row],[Crude_Breakdown]],crudeBD.lkup.complete[Crude Breakdown],0)))^2,"")</f>
        <v>91.653720012176933</v>
      </c>
      <c r="AN67" s="4">
        <f>IFERROR((vp.tbl[[#This Row],[Dens]]-INDEX(crudeBD.lkup.complete[Mean_Dens],MATCH(vp.tbl[[#This Row],[Crude_Breakdown]],crudeBD.lkup.complete[Crude Breakdown],0)))^2,"")</f>
        <v>4.0327757276115275</v>
      </c>
      <c r="AO67" s="4">
        <f>IFERROR((vp.tbl[[#This Row],[Sulf]]-INDEX(crudeBD.lkup.complete[Mean_Sulf],MATCH(vp.tbl[[#This Row],[Crude_Breakdown]],crudeBD.lkup.complete[Crude Breakdown],0)))^2,"")</f>
        <v>5.6355258055887899E-3</v>
      </c>
      <c r="AP67">
        <f>IF(AND(vp.tbl[[#This Row],[SDate]]&gt;=DATE(YEAR(vp.tbl[[#This Row],[SDate]]),5,1),vp.tbl[[#This Row],[SDate]]&lt;=DATE(YEAR(vp.tbl[[#This Row],[SDate]]),9,15)),1,0)</f>
        <v>0</v>
      </c>
      <c r="AQ67" s="15">
        <f>IF(vp.tbl[[#This Row],[SDate]]&lt;DATE(2016,12,1),0,1)</f>
        <v>0</v>
      </c>
    </row>
    <row r="68" spans="1:43" x14ac:dyDescent="0.25">
      <c r="A68">
        <v>67</v>
      </c>
      <c r="B68" t="s">
        <v>46</v>
      </c>
      <c r="C68" t="s">
        <v>46</v>
      </c>
      <c r="D68" t="s">
        <v>47</v>
      </c>
      <c r="F68" s="1">
        <v>42380</v>
      </c>
      <c r="G68" s="2">
        <v>93.3</v>
      </c>
      <c r="H68" s="2"/>
      <c r="I68" s="2">
        <v>2.41</v>
      </c>
      <c r="J68" s="2"/>
      <c r="K68" s="2"/>
      <c r="L68" s="2"/>
      <c r="M68" s="2">
        <v>869.4</v>
      </c>
      <c r="N68" s="2">
        <f ca="1">INDEX(INDIRECT(_xlfn.CONCAT("weather.tbl[",N$1,"]")),MATCH(vp.tbl[[#This Row],[SDate]],weather.tbl[Date],0))</f>
        <v>-17.45</v>
      </c>
      <c r="O68" s="2">
        <f ca="1">INDEX(INDIRECT(_xlfn.CONCAT("weather.tbl[",O$1,"]")),MATCH(vp.tbl[[#This Row],[SDate]],weather.tbl[Date],0))</f>
        <v>-14.769047619047621</v>
      </c>
      <c r="P68" s="2">
        <f ca="1">INDEX(INDIRECT(_xlfn.CONCAT("weather.tbl[",P$1,"]")),MATCH(vp.tbl[[#This Row],[SDate]],weather.tbl[Date],0))</f>
        <v>-17.2</v>
      </c>
      <c r="Q68" s="2">
        <f ca="1">INDEX(INDIRECT(_xlfn.CONCAT("weather.tbl[",Q$1,"]")),MATCH(vp.tbl[[#This Row],[SDate]],weather.tbl[Date],0))</f>
        <v>-18.3</v>
      </c>
      <c r="R68" s="2">
        <f ca="1">INDEX(INDIRECT(_xlfn.CONCAT("weather.tbl[",R$1,"]")),MATCH(vp.tbl[[#This Row],[SDate]],weather.tbl[Date],0))</f>
        <v>-17</v>
      </c>
      <c r="S68" s="2">
        <f ca="1">INDEX(INDIRECT(_xlfn.CONCAT("weather.tbl[",S$1,"]")),MATCH(vp.tbl[[#This Row],[SDate]],weather.tbl[Date],0))</f>
        <v>-14.3</v>
      </c>
      <c r="T68" s="2">
        <f ca="1">INDEX(INDIRECT(_xlfn.CONCAT("weather.tbl[",T$1,"]")),MATCH(vp.tbl[[#This Row],[SDate]],weather.tbl[Date],0))</f>
        <v>-19.2</v>
      </c>
      <c r="U68" s="2">
        <f ca="1">INDEX(INDIRECT(_xlfn.CONCAT("weather.tbl[",U$1,"]")),MATCH(vp.tbl[[#This Row],[SDate]],weather.tbl[Date],0))</f>
        <v>-18.7</v>
      </c>
      <c r="V68" s="2">
        <v>121535.349</v>
      </c>
      <c r="W68" t="s">
        <v>48</v>
      </c>
      <c r="X68">
        <f>IF(OR(vp.tbl[[#This Row],[Sulf]]="",vp.tbl[[#This Row],[Dens]]=""),1,0)</f>
        <v>0</v>
      </c>
      <c r="Y68">
        <f>IF(vp.tbl[[#This Row],[CrudeType]]="C5+",1,0)</f>
        <v>0</v>
      </c>
      <c r="Z68">
        <f>IF(AND(vp.tbl[[#This Row],[CrudeType]]="Crude",vp.tbl[[#This Row],[Dens]]&lt;=825,vp.tbl[[#This Row],[Sulf]]&gt;0.5,vp.tbl[[#This Row],[Unknown]]=0),1,0)</f>
        <v>0</v>
      </c>
      <c r="AA68">
        <f>IF(AND(vp.tbl[[#This Row],[CrudeType]]="Crude",vp.tbl[[#This Row],[Dens]]&lt;=825,vp.tbl[[#This Row],[Sulf]]&lt;=0.5,vp.tbl[[#This Row],[Unknown]]=0),1,0)</f>
        <v>0</v>
      </c>
      <c r="AB68">
        <f>IF(AND(vp.tbl[[#This Row],[CrudeType]]="Crude",vp.tbl[[#This Row],[Dens]]&gt;825,vp.tbl[[#This Row],[Dens]]&lt;=870,vp.tbl[[#This Row],[Sulf]]&gt;0.5,vp.tbl[[#This Row],[Unknown]]=0),1,0)</f>
        <v>1</v>
      </c>
      <c r="AC68">
        <f>IF(AND(vp.tbl[[#This Row],[CrudeType]]="Crude",vp.tbl[[#This Row],[Dens]]&gt;825,vp.tbl[[#This Row],[Dens]]&lt;=900,vp.tbl[[#This Row],[Sulf]]&lt;=0.5,vp.tbl[[#This Row],[Unknown]]=0),1,0)</f>
        <v>0</v>
      </c>
      <c r="AD68">
        <f>IF(AND(vp.tbl[[#This Row],[CrudeType]]="Crude",vp.tbl[[#This Row],[Dens]]&gt;870,vp.tbl[[#This Row],[Dens]]&lt;=900,vp.tbl[[#This Row],[Sulf]]&gt;0.5,vp.tbl[[#This Row],[Unknown]]=0),1,0)</f>
        <v>0</v>
      </c>
      <c r="AE68">
        <f>IF(AND(vp.tbl[[#This Row],[CrudeType]]="Crude",vp.tbl[[#This Row],[Dens]]&gt;900,vp.tbl[[#This Row],[Sulf]]&lt;=0.5,vp.tbl[[#This Row],[Unknown]]=0),1,0)</f>
        <v>0</v>
      </c>
      <c r="AF68">
        <f>IF(AND(vp.tbl[[#This Row],[CrudeType]]="Crude",vp.tbl[[#This Row],[Dens]]&gt;900,vp.tbl[[#This Row],[Sulf]]&lt;=0.5,vp.tbl[[#This Row],[Unknown]]=0),1,0)</f>
        <v>0</v>
      </c>
      <c r="AG68" t="str">
        <f>INDEX(vp.tbl[[#Headers],[Unknown]:[Heavy_SW]],MATCH(1,vp.tbl[[#This Row],[Unknown]:[Heavy_SW]],0))</f>
        <v>Medium_LSB</v>
      </c>
      <c r="AH68" t="e">
        <f>INDEX([1]!crudeBD.lkup[Number],MATCH(vp.tbl[[#This Row],[Crude_Breakdown]],[1]!crudeBD.lkup[Crude Breakdown],0))</f>
        <v>#REF!</v>
      </c>
      <c r="AI68">
        <f>MONTH(vp.tbl[[#This Row],[SDate]])</f>
        <v>1</v>
      </c>
      <c r="AJ68" s="5">
        <f>IFERROR(vp.tbl[[#This Row],[Sulf]]*vp.tbl[[#This Row],[Net Dens]],"")</f>
        <v>254647426.13364601</v>
      </c>
      <c r="AK68" s="5">
        <f>IFERROR(vp.tbl[[#This Row],[Dens]]*vp.tbl[[#This Row],[VolumeM3]],"")</f>
        <v>105662832.4206</v>
      </c>
      <c r="AL68" s="5">
        <f>IFERROR(vp.tbl[[#This Row],[VP]]*vp.tbl[[#This Row],[VolumeM3]],"")</f>
        <v>11339248.061699999</v>
      </c>
      <c r="AM68" s="4">
        <f>IFERROR((vp.tbl[[#This Row],[VP]]-INDEX(crudeBD.lkup.complete[Mean_VP],MATCH(vp.tbl[[#This Row],[Crude_Breakdown]],crudeBD.lkup.complete[Crude Breakdown],0)))^2,"")</f>
        <v>172.30250988559615</v>
      </c>
      <c r="AN68" s="4">
        <f>IFERROR((vp.tbl[[#This Row],[Dens]]-INDEX(crudeBD.lkup.complete[Mean_Dens],MATCH(vp.tbl[[#This Row],[Crude_Breakdown]],crudeBD.lkup.complete[Crude Breakdown],0)))^2,"")</f>
        <v>581.20420863904656</v>
      </c>
      <c r="AO68" s="4">
        <f>IFERROR((vp.tbl[[#This Row],[Sulf]]-INDEX(crudeBD.lkup.complete[Mean_Sulf],MATCH(vp.tbl[[#This Row],[Crude_Breakdown]],crudeBD.lkup.complete[Crude Breakdown],0)))^2,"")</f>
        <v>0.91215897086887754</v>
      </c>
      <c r="AP68">
        <f>IF(AND(vp.tbl[[#This Row],[SDate]]&gt;=DATE(YEAR(vp.tbl[[#This Row],[SDate]]),5,1),vp.tbl[[#This Row],[SDate]]&lt;=DATE(YEAR(vp.tbl[[#This Row],[SDate]]),9,15)),1,0)</f>
        <v>0</v>
      </c>
      <c r="AQ68" s="15">
        <f>IF(vp.tbl[[#This Row],[SDate]]&lt;DATE(2016,12,1),0,1)</f>
        <v>0</v>
      </c>
    </row>
    <row r="69" spans="1:43" x14ac:dyDescent="0.25">
      <c r="A69">
        <v>68</v>
      </c>
      <c r="B69" t="s">
        <v>53</v>
      </c>
      <c r="C69" t="s">
        <v>53</v>
      </c>
      <c r="D69" t="s">
        <v>54</v>
      </c>
      <c r="E69" t="s">
        <v>55</v>
      </c>
      <c r="F69" s="1">
        <v>42384</v>
      </c>
      <c r="G69" s="2">
        <v>77.7</v>
      </c>
      <c r="H69" s="2"/>
      <c r="I69" s="2">
        <v>1.69</v>
      </c>
      <c r="J69" s="2"/>
      <c r="K69" s="2"/>
      <c r="L69" s="2">
        <v>830</v>
      </c>
      <c r="M69" s="2">
        <v>830</v>
      </c>
      <c r="N69" s="2">
        <f ca="1">INDEX(INDIRECT(_xlfn.CONCAT("weather.tbl[",N$1,"]")),MATCH(vp.tbl[[#This Row],[SDate]],weather.tbl[Date],0))</f>
        <v>-19.116666666666667</v>
      </c>
      <c r="O69" s="2">
        <f ca="1">INDEX(INDIRECT(_xlfn.CONCAT("weather.tbl[",O$1,"]")),MATCH(vp.tbl[[#This Row],[SDate]],weather.tbl[Date],0))</f>
        <v>-16.861904761904761</v>
      </c>
      <c r="P69" s="2">
        <f ca="1">INDEX(INDIRECT(_xlfn.CONCAT("weather.tbl[",P$1,"]")),MATCH(vp.tbl[[#This Row],[SDate]],weather.tbl[Date],0))</f>
        <v>-16.3</v>
      </c>
      <c r="Q69" s="2">
        <f ca="1">INDEX(INDIRECT(_xlfn.CONCAT("weather.tbl[",Q$1,"]")),MATCH(vp.tbl[[#This Row],[SDate]],weather.tbl[Date],0))</f>
        <v>-18.8</v>
      </c>
      <c r="R69" s="2">
        <f ca="1">INDEX(INDIRECT(_xlfn.CONCAT("weather.tbl[",R$1,"]")),MATCH(vp.tbl[[#This Row],[SDate]],weather.tbl[Date],0))</f>
        <v>-17.3</v>
      </c>
      <c r="S69" s="2">
        <f ca="1">INDEX(INDIRECT(_xlfn.CONCAT("weather.tbl[",S$1,"]")),MATCH(vp.tbl[[#This Row],[SDate]],weather.tbl[Date],0))</f>
        <v>-21</v>
      </c>
      <c r="T69" s="2">
        <f ca="1">INDEX(INDIRECT(_xlfn.CONCAT("weather.tbl[",T$1,"]")),MATCH(vp.tbl[[#This Row],[SDate]],weather.tbl[Date],0))</f>
        <v>-20.6</v>
      </c>
      <c r="U69" s="2">
        <f ca="1">INDEX(INDIRECT(_xlfn.CONCAT("weather.tbl[",U$1,"]")),MATCH(vp.tbl[[#This Row],[SDate]],weather.tbl[Date],0))</f>
        <v>-20.7</v>
      </c>
      <c r="V69" s="2">
        <v>60205.728999999999</v>
      </c>
      <c r="W69" t="s">
        <v>48</v>
      </c>
      <c r="X69">
        <f>IF(OR(vp.tbl[[#This Row],[Sulf]]="",vp.tbl[[#This Row],[Dens]]=""),1,0)</f>
        <v>0</v>
      </c>
      <c r="Y69">
        <f>IF(vp.tbl[[#This Row],[CrudeType]]="C5+",1,0)</f>
        <v>0</v>
      </c>
      <c r="Z69">
        <f>IF(AND(vp.tbl[[#This Row],[CrudeType]]="Crude",vp.tbl[[#This Row],[Dens]]&lt;=825,vp.tbl[[#This Row],[Sulf]]&gt;0.5,vp.tbl[[#This Row],[Unknown]]=0),1,0)</f>
        <v>0</v>
      </c>
      <c r="AA69">
        <f>IF(AND(vp.tbl[[#This Row],[CrudeType]]="Crude",vp.tbl[[#This Row],[Dens]]&lt;=825,vp.tbl[[#This Row],[Sulf]]&lt;=0.5,vp.tbl[[#This Row],[Unknown]]=0),1,0)</f>
        <v>0</v>
      </c>
      <c r="AB69">
        <f>IF(AND(vp.tbl[[#This Row],[CrudeType]]="Crude",vp.tbl[[#This Row],[Dens]]&gt;825,vp.tbl[[#This Row],[Dens]]&lt;=870,vp.tbl[[#This Row],[Sulf]]&gt;0.5,vp.tbl[[#This Row],[Unknown]]=0),1,0)</f>
        <v>1</v>
      </c>
      <c r="AC69">
        <f>IF(AND(vp.tbl[[#This Row],[CrudeType]]="Crude",vp.tbl[[#This Row],[Dens]]&gt;825,vp.tbl[[#This Row],[Dens]]&lt;=900,vp.tbl[[#This Row],[Sulf]]&lt;=0.5,vp.tbl[[#This Row],[Unknown]]=0),1,0)</f>
        <v>0</v>
      </c>
      <c r="AD69">
        <f>IF(AND(vp.tbl[[#This Row],[CrudeType]]="Crude",vp.tbl[[#This Row],[Dens]]&gt;870,vp.tbl[[#This Row],[Dens]]&lt;=900,vp.tbl[[#This Row],[Sulf]]&gt;0.5,vp.tbl[[#This Row],[Unknown]]=0),1,0)</f>
        <v>0</v>
      </c>
      <c r="AE69">
        <f>IF(AND(vp.tbl[[#This Row],[CrudeType]]="Crude",vp.tbl[[#This Row],[Dens]]&gt;900,vp.tbl[[#This Row],[Sulf]]&lt;=0.5,vp.tbl[[#This Row],[Unknown]]=0),1,0)</f>
        <v>0</v>
      </c>
      <c r="AF69">
        <f>IF(AND(vp.tbl[[#This Row],[CrudeType]]="Crude",vp.tbl[[#This Row],[Dens]]&gt;900,vp.tbl[[#This Row],[Sulf]]&lt;=0.5,vp.tbl[[#This Row],[Unknown]]=0),1,0)</f>
        <v>0</v>
      </c>
      <c r="AG69" t="str">
        <f>INDEX(vp.tbl[[#Headers],[Unknown]:[Heavy_SW]],MATCH(1,vp.tbl[[#This Row],[Unknown]:[Heavy_SW]],0))</f>
        <v>Medium_LSB</v>
      </c>
      <c r="AH69" t="e">
        <f>INDEX([1]!crudeBD.lkup[Number],MATCH(vp.tbl[[#This Row],[Crude_Breakdown]],[1]!crudeBD.lkup[Crude Breakdown],0))</f>
        <v>#REF!</v>
      </c>
      <c r="AI69">
        <f>MONTH(vp.tbl[[#This Row],[SDate]])</f>
        <v>1</v>
      </c>
      <c r="AJ69" s="5">
        <f>IFERROR(vp.tbl[[#This Row],[Sulf]]*vp.tbl[[#This Row],[Net Dens]],"")</f>
        <v>84450576.068299994</v>
      </c>
      <c r="AK69" s="5">
        <f>IFERROR(vp.tbl[[#This Row],[Dens]]*vp.tbl[[#This Row],[VolumeM3]],"")</f>
        <v>49970755.07</v>
      </c>
      <c r="AL69" s="5">
        <f>IFERROR(vp.tbl[[#This Row],[VP]]*vp.tbl[[#This Row],[VolumeM3]],"")</f>
        <v>4677985.1433000006</v>
      </c>
      <c r="AM69" s="4">
        <f>IFERROR((vp.tbl[[#This Row],[VP]]-INDEX(crudeBD.lkup.complete[Mean_VP],MATCH(vp.tbl[[#This Row],[Crude_Breakdown]],crudeBD.lkup.complete[Crude Breakdown],0)))^2,"")</f>
        <v>6.118671910911516</v>
      </c>
      <c r="AN69" s="4">
        <f>IFERROR((vp.tbl[[#This Row],[Dens]]-INDEX(crudeBD.lkup.complete[Mean_Dens],MATCH(vp.tbl[[#This Row],[Crude_Breakdown]],crudeBD.lkup.complete[Crude Breakdown],0)))^2,"")</f>
        <v>233.83984408200803</v>
      </c>
      <c r="AO69" s="4">
        <f>IFERROR((vp.tbl[[#This Row],[Sulf]]-INDEX(crudeBD.lkup.complete[Mean_Sulf],MATCH(vp.tbl[[#This Row],[Crude_Breakdown]],crudeBD.lkup.complete[Crude Breakdown],0)))^2,"")</f>
        <v>5.5257970362550313E-2</v>
      </c>
      <c r="AP69">
        <f>IF(AND(vp.tbl[[#This Row],[SDate]]&gt;=DATE(YEAR(vp.tbl[[#This Row],[SDate]]),5,1),vp.tbl[[#This Row],[SDate]]&lt;=DATE(YEAR(vp.tbl[[#This Row],[SDate]]),9,15)),1,0)</f>
        <v>0</v>
      </c>
      <c r="AQ69" s="15">
        <f>IF(vp.tbl[[#This Row],[SDate]]&lt;DATE(2016,12,1),0,1)</f>
        <v>0</v>
      </c>
    </row>
    <row r="70" spans="1:43" x14ac:dyDescent="0.25">
      <c r="A70">
        <v>69</v>
      </c>
      <c r="B70" t="s">
        <v>51</v>
      </c>
      <c r="C70" t="s">
        <v>51</v>
      </c>
      <c r="D70" t="s">
        <v>58</v>
      </c>
      <c r="F70" s="1">
        <v>42384</v>
      </c>
      <c r="G70" s="2">
        <v>76.8</v>
      </c>
      <c r="H70" s="2"/>
      <c r="I70" s="2">
        <v>1.36</v>
      </c>
      <c r="J70" s="2"/>
      <c r="K70" s="2"/>
      <c r="L70" s="2">
        <v>839.2</v>
      </c>
      <c r="M70" s="2">
        <v>839.2</v>
      </c>
      <c r="N70" s="2">
        <f ca="1">INDEX(INDIRECT(_xlfn.CONCAT("weather.tbl[",N$1,"]")),MATCH(vp.tbl[[#This Row],[SDate]],weather.tbl[Date],0))</f>
        <v>-19.116666666666667</v>
      </c>
      <c r="O70" s="2">
        <f ca="1">INDEX(INDIRECT(_xlfn.CONCAT("weather.tbl[",O$1,"]")),MATCH(vp.tbl[[#This Row],[SDate]],weather.tbl[Date],0))</f>
        <v>-16.861904761904761</v>
      </c>
      <c r="P70" s="2">
        <f ca="1">INDEX(INDIRECT(_xlfn.CONCAT("weather.tbl[",P$1,"]")),MATCH(vp.tbl[[#This Row],[SDate]],weather.tbl[Date],0))</f>
        <v>-16.3</v>
      </c>
      <c r="Q70" s="2">
        <f ca="1">INDEX(INDIRECT(_xlfn.CONCAT("weather.tbl[",Q$1,"]")),MATCH(vp.tbl[[#This Row],[SDate]],weather.tbl[Date],0))</f>
        <v>-18.8</v>
      </c>
      <c r="R70" s="2">
        <f ca="1">INDEX(INDIRECT(_xlfn.CONCAT("weather.tbl[",R$1,"]")),MATCH(vp.tbl[[#This Row],[SDate]],weather.tbl[Date],0))</f>
        <v>-17.3</v>
      </c>
      <c r="S70" s="2">
        <f ca="1">INDEX(INDIRECT(_xlfn.CONCAT("weather.tbl[",S$1,"]")),MATCH(vp.tbl[[#This Row],[SDate]],weather.tbl[Date],0))</f>
        <v>-21</v>
      </c>
      <c r="T70" s="2">
        <f ca="1">INDEX(INDIRECT(_xlfn.CONCAT("weather.tbl[",T$1,"]")),MATCH(vp.tbl[[#This Row],[SDate]],weather.tbl[Date],0))</f>
        <v>-20.6</v>
      </c>
      <c r="U70" s="2">
        <f ca="1">INDEX(INDIRECT(_xlfn.CONCAT("weather.tbl[",U$1,"]")),MATCH(vp.tbl[[#This Row],[SDate]],weather.tbl[Date],0))</f>
        <v>-20.7</v>
      </c>
      <c r="V70" s="2">
        <v>6571.7129999999997</v>
      </c>
      <c r="W70" t="s">
        <v>48</v>
      </c>
      <c r="X70">
        <f>IF(OR(vp.tbl[[#This Row],[Sulf]]="",vp.tbl[[#This Row],[Dens]]=""),1,0)</f>
        <v>0</v>
      </c>
      <c r="Y70">
        <f>IF(vp.tbl[[#This Row],[CrudeType]]="C5+",1,0)</f>
        <v>0</v>
      </c>
      <c r="Z70">
        <f>IF(AND(vp.tbl[[#This Row],[CrudeType]]="Crude",vp.tbl[[#This Row],[Dens]]&lt;=825,vp.tbl[[#This Row],[Sulf]]&gt;0.5,vp.tbl[[#This Row],[Unknown]]=0),1,0)</f>
        <v>0</v>
      </c>
      <c r="AA70">
        <f>IF(AND(vp.tbl[[#This Row],[CrudeType]]="Crude",vp.tbl[[#This Row],[Dens]]&lt;=825,vp.tbl[[#This Row],[Sulf]]&lt;=0.5,vp.tbl[[#This Row],[Unknown]]=0),1,0)</f>
        <v>0</v>
      </c>
      <c r="AB70">
        <f>IF(AND(vp.tbl[[#This Row],[CrudeType]]="Crude",vp.tbl[[#This Row],[Dens]]&gt;825,vp.tbl[[#This Row],[Dens]]&lt;=870,vp.tbl[[#This Row],[Sulf]]&gt;0.5,vp.tbl[[#This Row],[Unknown]]=0),1,0)</f>
        <v>1</v>
      </c>
      <c r="AC70">
        <f>IF(AND(vp.tbl[[#This Row],[CrudeType]]="Crude",vp.tbl[[#This Row],[Dens]]&gt;825,vp.tbl[[#This Row],[Dens]]&lt;=900,vp.tbl[[#This Row],[Sulf]]&lt;=0.5,vp.tbl[[#This Row],[Unknown]]=0),1,0)</f>
        <v>0</v>
      </c>
      <c r="AD70">
        <f>IF(AND(vp.tbl[[#This Row],[CrudeType]]="Crude",vp.tbl[[#This Row],[Dens]]&gt;870,vp.tbl[[#This Row],[Dens]]&lt;=900,vp.tbl[[#This Row],[Sulf]]&gt;0.5,vp.tbl[[#This Row],[Unknown]]=0),1,0)</f>
        <v>0</v>
      </c>
      <c r="AE70">
        <f>IF(AND(vp.tbl[[#This Row],[CrudeType]]="Crude",vp.tbl[[#This Row],[Dens]]&gt;900,vp.tbl[[#This Row],[Sulf]]&lt;=0.5,vp.tbl[[#This Row],[Unknown]]=0),1,0)</f>
        <v>0</v>
      </c>
      <c r="AF70">
        <f>IF(AND(vp.tbl[[#This Row],[CrudeType]]="Crude",vp.tbl[[#This Row],[Dens]]&gt;900,vp.tbl[[#This Row],[Sulf]]&lt;=0.5,vp.tbl[[#This Row],[Unknown]]=0),1,0)</f>
        <v>0</v>
      </c>
      <c r="AG70" t="str">
        <f>INDEX(vp.tbl[[#Headers],[Unknown]:[Heavy_SW]],MATCH(1,vp.tbl[[#This Row],[Unknown]:[Heavy_SW]],0))</f>
        <v>Medium_LSB</v>
      </c>
      <c r="AH70" t="e">
        <f>INDEX([1]!crudeBD.lkup[Number],MATCH(vp.tbl[[#This Row],[Crude_Breakdown]],[1]!crudeBD.lkup[Crude Breakdown],0))</f>
        <v>#REF!</v>
      </c>
      <c r="AI70">
        <f>MONTH(vp.tbl[[#This Row],[SDate]])</f>
        <v>1</v>
      </c>
      <c r="AJ70" s="5">
        <f>IFERROR(vp.tbl[[#This Row],[Sulf]]*vp.tbl[[#This Row],[Net Dens]],"")</f>
        <v>7500374.9074560013</v>
      </c>
      <c r="AK70" s="5">
        <f>IFERROR(vp.tbl[[#This Row],[Dens]]*vp.tbl[[#This Row],[VolumeM3]],"")</f>
        <v>5514981.5496000005</v>
      </c>
      <c r="AL70" s="5">
        <f>IFERROR(vp.tbl[[#This Row],[VP]]*vp.tbl[[#This Row],[VolumeM3]],"")</f>
        <v>504707.55839999998</v>
      </c>
      <c r="AM70" s="4">
        <f>IFERROR((vp.tbl[[#This Row],[VP]]-INDEX(crudeBD.lkup.complete[Mean_VP],MATCH(vp.tbl[[#This Row],[Crude_Breakdown]],crudeBD.lkup.complete[Crude Breakdown],0)))^2,"")</f>
        <v>11.381142796987433</v>
      </c>
      <c r="AN70" s="4">
        <f>IFERROR((vp.tbl[[#This Row],[Dens]]-INDEX(crudeBD.lkup.complete[Mean_Dens],MATCH(vp.tbl[[#This Row],[Crude_Breakdown]],crudeBD.lkup.complete[Crude Breakdown],0)))^2,"")</f>
        <v>37.110304841519252</v>
      </c>
      <c r="AO70" s="4">
        <f>IFERROR((vp.tbl[[#This Row],[Sulf]]-INDEX(crudeBD.lkup.complete[Mean_Sulf],MATCH(vp.tbl[[#This Row],[Crude_Breakdown]],crudeBD.lkup.complete[Crude Breakdown],0)))^2,"")</f>
        <v>9.0116784638171188E-3</v>
      </c>
      <c r="AP70">
        <f>IF(AND(vp.tbl[[#This Row],[SDate]]&gt;=DATE(YEAR(vp.tbl[[#This Row],[SDate]]),5,1),vp.tbl[[#This Row],[SDate]]&lt;=DATE(YEAR(vp.tbl[[#This Row],[SDate]]),9,15)),1,0)</f>
        <v>0</v>
      </c>
      <c r="AQ70" s="15">
        <f>IF(vp.tbl[[#This Row],[SDate]]&lt;DATE(2016,12,1),0,1)</f>
        <v>0</v>
      </c>
    </row>
    <row r="71" spans="1:43" x14ac:dyDescent="0.25">
      <c r="A71">
        <v>70</v>
      </c>
      <c r="B71" t="s">
        <v>64</v>
      </c>
      <c r="C71" t="s">
        <v>64</v>
      </c>
      <c r="D71" t="s">
        <v>65</v>
      </c>
      <c r="F71" s="1">
        <v>42384</v>
      </c>
      <c r="G71" s="2">
        <v>70.900000000000006</v>
      </c>
      <c r="H71" s="2"/>
      <c r="I71" s="2">
        <v>1.99</v>
      </c>
      <c r="J71" s="2"/>
      <c r="K71" s="2"/>
      <c r="L71" s="2">
        <v>873.1</v>
      </c>
      <c r="M71" s="2">
        <v>873.1</v>
      </c>
      <c r="N71" s="2">
        <f ca="1">INDEX(INDIRECT(_xlfn.CONCAT("weather.tbl[",N$1,"]")),MATCH(vp.tbl[[#This Row],[SDate]],weather.tbl[Date],0))</f>
        <v>-19.116666666666667</v>
      </c>
      <c r="O71" s="2">
        <f ca="1">INDEX(INDIRECT(_xlfn.CONCAT("weather.tbl[",O$1,"]")),MATCH(vp.tbl[[#This Row],[SDate]],weather.tbl[Date],0))</f>
        <v>-16.861904761904761</v>
      </c>
      <c r="P71" s="2">
        <f ca="1">INDEX(INDIRECT(_xlfn.CONCAT("weather.tbl[",P$1,"]")),MATCH(vp.tbl[[#This Row],[SDate]],weather.tbl[Date],0))</f>
        <v>-16.3</v>
      </c>
      <c r="Q71" s="2">
        <f ca="1">INDEX(INDIRECT(_xlfn.CONCAT("weather.tbl[",Q$1,"]")),MATCH(vp.tbl[[#This Row],[SDate]],weather.tbl[Date],0))</f>
        <v>-18.8</v>
      </c>
      <c r="R71" s="2">
        <f ca="1">INDEX(INDIRECT(_xlfn.CONCAT("weather.tbl[",R$1,"]")),MATCH(vp.tbl[[#This Row],[SDate]],weather.tbl[Date],0))</f>
        <v>-17.3</v>
      </c>
      <c r="S71" s="2">
        <f ca="1">INDEX(INDIRECT(_xlfn.CONCAT("weather.tbl[",S$1,"]")),MATCH(vp.tbl[[#This Row],[SDate]],weather.tbl[Date],0))</f>
        <v>-21</v>
      </c>
      <c r="T71" s="2">
        <f ca="1">INDEX(INDIRECT(_xlfn.CONCAT("weather.tbl[",T$1,"]")),MATCH(vp.tbl[[#This Row],[SDate]],weather.tbl[Date],0))</f>
        <v>-20.6</v>
      </c>
      <c r="U71" s="2">
        <f ca="1">INDEX(INDIRECT(_xlfn.CONCAT("weather.tbl[",U$1,"]")),MATCH(vp.tbl[[#This Row],[SDate]],weather.tbl[Date],0))</f>
        <v>-20.7</v>
      </c>
      <c r="V71" s="2">
        <v>24188.976999999999</v>
      </c>
      <c r="W71" t="s">
        <v>48</v>
      </c>
      <c r="X71">
        <f>IF(OR(vp.tbl[[#This Row],[Sulf]]="",vp.tbl[[#This Row],[Dens]]=""),1,0)</f>
        <v>0</v>
      </c>
      <c r="Y71">
        <f>IF(vp.tbl[[#This Row],[CrudeType]]="C5+",1,0)</f>
        <v>0</v>
      </c>
      <c r="Z71">
        <f>IF(AND(vp.tbl[[#This Row],[CrudeType]]="Crude",vp.tbl[[#This Row],[Dens]]&lt;=825,vp.tbl[[#This Row],[Sulf]]&gt;0.5,vp.tbl[[#This Row],[Unknown]]=0),1,0)</f>
        <v>0</v>
      </c>
      <c r="AA71">
        <f>IF(AND(vp.tbl[[#This Row],[CrudeType]]="Crude",vp.tbl[[#This Row],[Dens]]&lt;=825,vp.tbl[[#This Row],[Sulf]]&lt;=0.5,vp.tbl[[#This Row],[Unknown]]=0),1,0)</f>
        <v>0</v>
      </c>
      <c r="AB71">
        <f>IF(AND(vp.tbl[[#This Row],[CrudeType]]="Crude",vp.tbl[[#This Row],[Dens]]&gt;825,vp.tbl[[#This Row],[Dens]]&lt;=870,vp.tbl[[#This Row],[Sulf]]&gt;0.5,vp.tbl[[#This Row],[Unknown]]=0),1,0)</f>
        <v>0</v>
      </c>
      <c r="AC71">
        <f>IF(AND(vp.tbl[[#This Row],[CrudeType]]="Crude",vp.tbl[[#This Row],[Dens]]&gt;825,vp.tbl[[#This Row],[Dens]]&lt;=900,vp.tbl[[#This Row],[Sulf]]&lt;=0.5,vp.tbl[[#This Row],[Unknown]]=0),1,0)</f>
        <v>0</v>
      </c>
      <c r="AD71">
        <f>IF(AND(vp.tbl[[#This Row],[CrudeType]]="Crude",vp.tbl[[#This Row],[Dens]]&gt;870,vp.tbl[[#This Row],[Dens]]&lt;=900,vp.tbl[[#This Row],[Sulf]]&gt;0.5,vp.tbl[[#This Row],[Unknown]]=0),1,0)</f>
        <v>1</v>
      </c>
      <c r="AE71">
        <f>IF(AND(vp.tbl[[#This Row],[CrudeType]]="Crude",vp.tbl[[#This Row],[Dens]]&gt;900,vp.tbl[[#This Row],[Sulf]]&lt;=0.5,vp.tbl[[#This Row],[Unknown]]=0),1,0)</f>
        <v>0</v>
      </c>
      <c r="AF71">
        <f>IF(AND(vp.tbl[[#This Row],[CrudeType]]="Crude",vp.tbl[[#This Row],[Dens]]&gt;900,vp.tbl[[#This Row],[Sulf]]&lt;=0.5,vp.tbl[[#This Row],[Unknown]]=0),1,0)</f>
        <v>0</v>
      </c>
      <c r="AG71" t="str">
        <f>INDEX(vp.tbl[[#Headers],[Unknown]:[Heavy_SW]],MATCH(1,vp.tbl[[#This Row],[Unknown]:[Heavy_SW]],0))</f>
        <v>Midale</v>
      </c>
      <c r="AH71" t="e">
        <f>INDEX([1]!crudeBD.lkup[Number],MATCH(vp.tbl[[#This Row],[Crude_Breakdown]],[1]!crudeBD.lkup[Crude Breakdown],0))</f>
        <v>#REF!</v>
      </c>
      <c r="AI71">
        <f>MONTH(vp.tbl[[#This Row],[SDate]])</f>
        <v>1</v>
      </c>
      <c r="AJ71" s="5">
        <f>IFERROR(vp.tbl[[#This Row],[Sulf]]*vp.tbl[[#This Row],[Net Dens]],"")</f>
        <v>42027597.679213002</v>
      </c>
      <c r="AK71" s="5">
        <f>IFERROR(vp.tbl[[#This Row],[Dens]]*vp.tbl[[#This Row],[VolumeM3]],"")</f>
        <v>21119395.818700001</v>
      </c>
      <c r="AL71" s="5">
        <f>IFERROR(vp.tbl[[#This Row],[VP]]*vp.tbl[[#This Row],[VolumeM3]],"")</f>
        <v>1714998.4693</v>
      </c>
      <c r="AM71" s="4">
        <f>IFERROR((vp.tbl[[#This Row],[VP]]-INDEX(crudeBD.lkup.complete[Mean_VP],MATCH(vp.tbl[[#This Row],[Crude_Breakdown]],crudeBD.lkup.complete[Crude Breakdown],0)))^2,"")</f>
        <v>7.084347907674946</v>
      </c>
      <c r="AN71" s="4">
        <f>IFERROR((vp.tbl[[#This Row],[Dens]]-INDEX(crudeBD.lkup.complete[Mean_Dens],MATCH(vp.tbl[[#This Row],[Crude_Breakdown]],crudeBD.lkup.complete[Crude Breakdown],0)))^2,"")</f>
        <v>19.820791893410501</v>
      </c>
      <c r="AO71" s="4">
        <f>IFERROR((vp.tbl[[#This Row],[Sulf]]-INDEX(crudeBD.lkup.complete[Mean_Sulf],MATCH(vp.tbl[[#This Row],[Crude_Breakdown]],crudeBD.lkup.complete[Crude Breakdown],0)))^2,"")</f>
        <v>0.18091423213152455</v>
      </c>
      <c r="AP71">
        <f>IF(AND(vp.tbl[[#This Row],[SDate]]&gt;=DATE(YEAR(vp.tbl[[#This Row],[SDate]]),5,1),vp.tbl[[#This Row],[SDate]]&lt;=DATE(YEAR(vp.tbl[[#This Row],[SDate]]),9,15)),1,0)</f>
        <v>0</v>
      </c>
      <c r="AQ71" s="15">
        <f>IF(vp.tbl[[#This Row],[SDate]]&lt;DATE(2016,12,1),0,1)</f>
        <v>0</v>
      </c>
    </row>
    <row r="72" spans="1:43" x14ac:dyDescent="0.25">
      <c r="A72">
        <v>71</v>
      </c>
      <c r="B72" t="s">
        <v>68</v>
      </c>
      <c r="C72" t="s">
        <v>68</v>
      </c>
      <c r="D72" t="s">
        <v>69</v>
      </c>
      <c r="F72" s="1">
        <v>42387</v>
      </c>
      <c r="G72" s="2">
        <v>94.7</v>
      </c>
      <c r="H72" s="2"/>
      <c r="I72" s="2">
        <v>1.73</v>
      </c>
      <c r="J72" s="2"/>
      <c r="K72" s="2"/>
      <c r="L72" s="2">
        <v>827.8</v>
      </c>
      <c r="M72" s="2">
        <v>827.8</v>
      </c>
      <c r="N72" s="2">
        <f ca="1">INDEX(INDIRECT(_xlfn.CONCAT("weather.tbl[",N$1,"]")),MATCH(vp.tbl[[#This Row],[SDate]],weather.tbl[Date],0))</f>
        <v>-19.399999999999999</v>
      </c>
      <c r="O72" s="2">
        <f ca="1">INDEX(INDIRECT(_xlfn.CONCAT("weather.tbl[",O$1,"]")),MATCH(vp.tbl[[#This Row],[SDate]],weather.tbl[Date],0))</f>
        <v>-18.133333333333333</v>
      </c>
      <c r="P72" s="2">
        <f ca="1">INDEX(INDIRECT(_xlfn.CONCAT("weather.tbl[",P$1,"]")),MATCH(vp.tbl[[#This Row],[SDate]],weather.tbl[Date],0))</f>
        <v>-21.2</v>
      </c>
      <c r="Q72" s="2">
        <f ca="1">INDEX(INDIRECT(_xlfn.CONCAT("weather.tbl[",Q$1,"]")),MATCH(vp.tbl[[#This Row],[SDate]],weather.tbl[Date],0))</f>
        <v>-21.1</v>
      </c>
      <c r="R72" s="2">
        <f ca="1">INDEX(INDIRECT(_xlfn.CONCAT("weather.tbl[",R$1,"]")),MATCH(vp.tbl[[#This Row],[SDate]],weather.tbl[Date],0))</f>
        <v>-20.3</v>
      </c>
      <c r="S72" s="2">
        <f ca="1">INDEX(INDIRECT(_xlfn.CONCAT("weather.tbl[",S$1,"]")),MATCH(vp.tbl[[#This Row],[SDate]],weather.tbl[Date],0))</f>
        <v>-18</v>
      </c>
      <c r="T72" s="2">
        <f ca="1">INDEX(INDIRECT(_xlfn.CONCAT("weather.tbl[",T$1,"]")),MATCH(vp.tbl[[#This Row],[SDate]],weather.tbl[Date],0))</f>
        <v>-19.100000000000001</v>
      </c>
      <c r="U72" s="2">
        <f ca="1">INDEX(INDIRECT(_xlfn.CONCAT("weather.tbl[",U$1,"]")),MATCH(vp.tbl[[#This Row],[SDate]],weather.tbl[Date],0))</f>
        <v>-16.7</v>
      </c>
      <c r="V72" s="2">
        <v>1516.463</v>
      </c>
      <c r="W72" t="s">
        <v>48</v>
      </c>
      <c r="X72">
        <f>IF(OR(vp.tbl[[#This Row],[Sulf]]="",vp.tbl[[#This Row],[Dens]]=""),1,0)</f>
        <v>0</v>
      </c>
      <c r="Y72">
        <f>IF(vp.tbl[[#This Row],[CrudeType]]="C5+",1,0)</f>
        <v>0</v>
      </c>
      <c r="Z72">
        <f>IF(AND(vp.tbl[[#This Row],[CrudeType]]="Crude",vp.tbl[[#This Row],[Dens]]&lt;=825,vp.tbl[[#This Row],[Sulf]]&gt;0.5,vp.tbl[[#This Row],[Unknown]]=0),1,0)</f>
        <v>0</v>
      </c>
      <c r="AA72">
        <f>IF(AND(vp.tbl[[#This Row],[CrudeType]]="Crude",vp.tbl[[#This Row],[Dens]]&lt;=825,vp.tbl[[#This Row],[Sulf]]&lt;=0.5,vp.tbl[[#This Row],[Unknown]]=0),1,0)</f>
        <v>0</v>
      </c>
      <c r="AB72">
        <f>IF(AND(vp.tbl[[#This Row],[CrudeType]]="Crude",vp.tbl[[#This Row],[Dens]]&gt;825,vp.tbl[[#This Row],[Dens]]&lt;=870,vp.tbl[[#This Row],[Sulf]]&gt;0.5,vp.tbl[[#This Row],[Unknown]]=0),1,0)</f>
        <v>1</v>
      </c>
      <c r="AC72">
        <f>IF(AND(vp.tbl[[#This Row],[CrudeType]]="Crude",vp.tbl[[#This Row],[Dens]]&gt;825,vp.tbl[[#This Row],[Dens]]&lt;=900,vp.tbl[[#This Row],[Sulf]]&lt;=0.5,vp.tbl[[#This Row],[Unknown]]=0),1,0)</f>
        <v>0</v>
      </c>
      <c r="AD72">
        <f>IF(AND(vp.tbl[[#This Row],[CrudeType]]="Crude",vp.tbl[[#This Row],[Dens]]&gt;870,vp.tbl[[#This Row],[Dens]]&lt;=900,vp.tbl[[#This Row],[Sulf]]&gt;0.5,vp.tbl[[#This Row],[Unknown]]=0),1,0)</f>
        <v>0</v>
      </c>
      <c r="AE72">
        <f>IF(AND(vp.tbl[[#This Row],[CrudeType]]="Crude",vp.tbl[[#This Row],[Dens]]&gt;900,vp.tbl[[#This Row],[Sulf]]&lt;=0.5,vp.tbl[[#This Row],[Unknown]]=0),1,0)</f>
        <v>0</v>
      </c>
      <c r="AF72">
        <f>IF(AND(vp.tbl[[#This Row],[CrudeType]]="Crude",vp.tbl[[#This Row],[Dens]]&gt;900,vp.tbl[[#This Row],[Sulf]]&lt;=0.5,vp.tbl[[#This Row],[Unknown]]=0),1,0)</f>
        <v>0</v>
      </c>
      <c r="AG72" t="str">
        <f>INDEX(vp.tbl[[#Headers],[Unknown]:[Heavy_SW]],MATCH(1,vp.tbl[[#This Row],[Unknown]:[Heavy_SW]],0))</f>
        <v>Medium_LSB</v>
      </c>
      <c r="AH72" t="e">
        <f>INDEX([1]!crudeBD.lkup[Number],MATCH(vp.tbl[[#This Row],[Crude_Breakdown]],[1]!crudeBD.lkup[Crude Breakdown],0))</f>
        <v>#REF!</v>
      </c>
      <c r="AI72">
        <f>MONTH(vp.tbl[[#This Row],[SDate]])</f>
        <v>1</v>
      </c>
      <c r="AJ72" s="5">
        <f>IFERROR(vp.tbl[[#This Row],[Sulf]]*vp.tbl[[#This Row],[Net Dens]],"")</f>
        <v>2171717.5635219999</v>
      </c>
      <c r="AK72" s="5">
        <f>IFERROR(vp.tbl[[#This Row],[Dens]]*vp.tbl[[#This Row],[VolumeM3]],"")</f>
        <v>1255328.0714</v>
      </c>
      <c r="AL72" s="5">
        <f>IFERROR(vp.tbl[[#This Row],[VP]]*vp.tbl[[#This Row],[VolumeM3]],"")</f>
        <v>143609.04610000001</v>
      </c>
      <c r="AM72" s="4">
        <f>IFERROR((vp.tbl[[#This Row],[VP]]-INDEX(crudeBD.lkup.complete[Mean_VP],MATCH(vp.tbl[[#This Row],[Crude_Breakdown]],crudeBD.lkup.complete[Crude Breakdown],0)))^2,"")</f>
        <v>211.01644406281162</v>
      </c>
      <c r="AN72" s="4">
        <f>IFERROR((vp.tbl[[#This Row],[Dens]]-INDEX(crudeBD.lkup.complete[Mean_Dens],MATCH(vp.tbl[[#This Row],[Crude_Breakdown]],crudeBD.lkup.complete[Crude Breakdown],0)))^2,"")</f>
        <v>305.96386433516983</v>
      </c>
      <c r="AO72" s="4">
        <f>IFERROR((vp.tbl[[#This Row],[Sulf]]-INDEX(crudeBD.lkup.complete[Mean_Sulf],MATCH(vp.tbl[[#This Row],[Crude_Breakdown]],crudeBD.lkup.complete[Crude Breakdown],0)))^2,"")</f>
        <v>7.5663581501790714E-2</v>
      </c>
      <c r="AP72">
        <f>IF(AND(vp.tbl[[#This Row],[SDate]]&gt;=DATE(YEAR(vp.tbl[[#This Row],[SDate]]),5,1),vp.tbl[[#This Row],[SDate]]&lt;=DATE(YEAR(vp.tbl[[#This Row],[SDate]]),9,15)),1,0)</f>
        <v>0</v>
      </c>
      <c r="AQ72" s="15">
        <f>IF(vp.tbl[[#This Row],[SDate]]&lt;DATE(2016,12,1),0,1)</f>
        <v>0</v>
      </c>
    </row>
    <row r="73" spans="1:43" x14ac:dyDescent="0.25">
      <c r="A73">
        <v>72</v>
      </c>
      <c r="B73" t="s">
        <v>49</v>
      </c>
      <c r="C73" t="s">
        <v>49</v>
      </c>
      <c r="D73" t="s">
        <v>59</v>
      </c>
      <c r="F73" s="1">
        <v>42388</v>
      </c>
      <c r="G73" s="2">
        <v>111</v>
      </c>
      <c r="H73" s="2"/>
      <c r="I73" s="2">
        <v>1.53</v>
      </c>
      <c r="J73" s="2"/>
      <c r="K73" s="2"/>
      <c r="L73" s="2">
        <v>845.3</v>
      </c>
      <c r="M73" s="2">
        <v>845.3</v>
      </c>
      <c r="N73" s="2">
        <f ca="1">INDEX(INDIRECT(_xlfn.CONCAT("weather.tbl[",N$1,"]")),MATCH(vp.tbl[[#This Row],[SDate]],weather.tbl[Date],0))</f>
        <v>-10.433333333333335</v>
      </c>
      <c r="O73" s="2">
        <f ca="1">INDEX(INDIRECT(_xlfn.CONCAT("weather.tbl[",O$1,"]")),MATCH(vp.tbl[[#This Row],[SDate]],weather.tbl[Date],0))</f>
        <v>-17.276190476190475</v>
      </c>
      <c r="P73" s="2">
        <f ca="1">INDEX(INDIRECT(_xlfn.CONCAT("weather.tbl[",P$1,"]")),MATCH(vp.tbl[[#This Row],[SDate]],weather.tbl[Date],0))</f>
        <v>-9.8000000000000007</v>
      </c>
      <c r="Q73" s="2">
        <f ca="1">INDEX(INDIRECT(_xlfn.CONCAT("weather.tbl[",Q$1,"]")),MATCH(vp.tbl[[#This Row],[SDate]],weather.tbl[Date],0))</f>
        <v>-9.3000000000000007</v>
      </c>
      <c r="R73" s="2">
        <f ca="1">INDEX(INDIRECT(_xlfn.CONCAT("weather.tbl[",R$1,"]")),MATCH(vp.tbl[[#This Row],[SDate]],weather.tbl[Date],0))</f>
        <v>-11.5</v>
      </c>
      <c r="S73" s="2">
        <f ca="1">INDEX(INDIRECT(_xlfn.CONCAT("weather.tbl[",S$1,"]")),MATCH(vp.tbl[[#This Row],[SDate]],weather.tbl[Date],0))</f>
        <v>-9.3000000000000007</v>
      </c>
      <c r="T73" s="2">
        <f ca="1">INDEX(INDIRECT(_xlfn.CONCAT("weather.tbl[",T$1,"]")),MATCH(vp.tbl[[#This Row],[SDate]],weather.tbl[Date],0))</f>
        <v>-11.5</v>
      </c>
      <c r="U73" s="2">
        <f ca="1">INDEX(INDIRECT(_xlfn.CONCAT("weather.tbl[",U$1,"]")),MATCH(vp.tbl[[#This Row],[SDate]],weather.tbl[Date],0))</f>
        <v>-11.2</v>
      </c>
      <c r="V73" s="2">
        <v>2204.2890000000002</v>
      </c>
      <c r="W73" t="s">
        <v>48</v>
      </c>
      <c r="X73">
        <f>IF(OR(vp.tbl[[#This Row],[Sulf]]="",vp.tbl[[#This Row],[Dens]]=""),1,0)</f>
        <v>0</v>
      </c>
      <c r="Y73">
        <f>IF(vp.tbl[[#This Row],[CrudeType]]="C5+",1,0)</f>
        <v>0</v>
      </c>
      <c r="Z73">
        <f>IF(AND(vp.tbl[[#This Row],[CrudeType]]="Crude",vp.tbl[[#This Row],[Dens]]&lt;=825,vp.tbl[[#This Row],[Sulf]]&gt;0.5,vp.tbl[[#This Row],[Unknown]]=0),1,0)</f>
        <v>0</v>
      </c>
      <c r="AA73">
        <f>IF(AND(vp.tbl[[#This Row],[CrudeType]]="Crude",vp.tbl[[#This Row],[Dens]]&lt;=825,vp.tbl[[#This Row],[Sulf]]&lt;=0.5,vp.tbl[[#This Row],[Unknown]]=0),1,0)</f>
        <v>0</v>
      </c>
      <c r="AB73">
        <f>IF(AND(vp.tbl[[#This Row],[CrudeType]]="Crude",vp.tbl[[#This Row],[Dens]]&gt;825,vp.tbl[[#This Row],[Dens]]&lt;=870,vp.tbl[[#This Row],[Sulf]]&gt;0.5,vp.tbl[[#This Row],[Unknown]]=0),1,0)</f>
        <v>1</v>
      </c>
      <c r="AC73">
        <f>IF(AND(vp.tbl[[#This Row],[CrudeType]]="Crude",vp.tbl[[#This Row],[Dens]]&gt;825,vp.tbl[[#This Row],[Dens]]&lt;=900,vp.tbl[[#This Row],[Sulf]]&lt;=0.5,vp.tbl[[#This Row],[Unknown]]=0),1,0)</f>
        <v>0</v>
      </c>
      <c r="AD73">
        <f>IF(AND(vp.tbl[[#This Row],[CrudeType]]="Crude",vp.tbl[[#This Row],[Dens]]&gt;870,vp.tbl[[#This Row],[Dens]]&lt;=900,vp.tbl[[#This Row],[Sulf]]&gt;0.5,vp.tbl[[#This Row],[Unknown]]=0),1,0)</f>
        <v>0</v>
      </c>
      <c r="AE73">
        <f>IF(AND(vp.tbl[[#This Row],[CrudeType]]="Crude",vp.tbl[[#This Row],[Dens]]&gt;900,vp.tbl[[#This Row],[Sulf]]&lt;=0.5,vp.tbl[[#This Row],[Unknown]]=0),1,0)</f>
        <v>0</v>
      </c>
      <c r="AF73">
        <f>IF(AND(vp.tbl[[#This Row],[CrudeType]]="Crude",vp.tbl[[#This Row],[Dens]]&gt;900,vp.tbl[[#This Row],[Sulf]]&lt;=0.5,vp.tbl[[#This Row],[Unknown]]=0),1,0)</f>
        <v>0</v>
      </c>
      <c r="AG73" t="str">
        <f>INDEX(vp.tbl[[#Headers],[Unknown]:[Heavy_SW]],MATCH(1,vp.tbl[[#This Row],[Unknown]:[Heavy_SW]],0))</f>
        <v>Medium_LSB</v>
      </c>
      <c r="AH73" t="e">
        <f>INDEX([1]!crudeBD.lkup[Number],MATCH(vp.tbl[[#This Row],[Crude_Breakdown]],[1]!crudeBD.lkup[Crude Breakdown],0))</f>
        <v>#REF!</v>
      </c>
      <c r="AI73">
        <f>MONTH(vp.tbl[[#This Row],[SDate]])</f>
        <v>1</v>
      </c>
      <c r="AJ73" s="5">
        <f>IFERROR(vp.tbl[[#This Row],[Sulf]]*vp.tbl[[#This Row],[Net Dens]],"")</f>
        <v>2850826.8023010003</v>
      </c>
      <c r="AK73" s="5">
        <f>IFERROR(vp.tbl[[#This Row],[Dens]]*vp.tbl[[#This Row],[VolumeM3]],"")</f>
        <v>1863285.4917000001</v>
      </c>
      <c r="AL73" s="5">
        <f>IFERROR(vp.tbl[[#This Row],[VP]]*vp.tbl[[#This Row],[VolumeM3]],"")</f>
        <v>244676.07900000003</v>
      </c>
      <c r="AM73" s="4">
        <f>IFERROR((vp.tbl[[#This Row],[VP]]-INDEX(crudeBD.lkup.complete[Mean_VP],MATCH(vp.tbl[[#This Row],[Crude_Breakdown]],crudeBD.lkup.complete[Crude Breakdown],0)))^2,"")</f>
        <v>950.26724912610382</v>
      </c>
      <c r="AN73" s="4">
        <f>IFERROR((vp.tbl[[#This Row],[Dens]]-INDEX(crudeBD.lkup.complete[Mean_Dens],MATCH(vp.tbl[[#This Row],[Crude_Breakdown]],crudeBD.lkup.complete[Crude Breakdown],0)))^2,"")</f>
        <v>6.6866848276856398E-5</v>
      </c>
      <c r="AO73" s="4">
        <f>IFERROR((vp.tbl[[#This Row],[Sulf]]-INDEX(crudeBD.lkup.complete[Mean_Sulf],MATCH(vp.tbl[[#This Row],[Crude_Breakdown]],crudeBD.lkup.complete[Crude Breakdown],0)))^2,"")</f>
        <v>5.6355258055887899E-3</v>
      </c>
      <c r="AP73">
        <f>IF(AND(vp.tbl[[#This Row],[SDate]]&gt;=DATE(YEAR(vp.tbl[[#This Row],[SDate]]),5,1),vp.tbl[[#This Row],[SDate]]&lt;=DATE(YEAR(vp.tbl[[#This Row],[SDate]]),9,15)),1,0)</f>
        <v>0</v>
      </c>
      <c r="AQ73" s="15">
        <f>IF(vp.tbl[[#This Row],[SDate]]&lt;DATE(2016,12,1),0,1)</f>
        <v>0</v>
      </c>
    </row>
    <row r="74" spans="1:43" x14ac:dyDescent="0.25">
      <c r="A74">
        <v>73</v>
      </c>
      <c r="B74" t="s">
        <v>51</v>
      </c>
      <c r="C74" t="s">
        <v>51</v>
      </c>
      <c r="D74" t="s">
        <v>52</v>
      </c>
      <c r="F74" s="1">
        <v>42388</v>
      </c>
      <c r="G74" s="2">
        <v>110.6</v>
      </c>
      <c r="H74" s="2"/>
      <c r="I74" s="2">
        <v>2.2999999999999998</v>
      </c>
      <c r="J74" s="2"/>
      <c r="K74" s="2"/>
      <c r="L74" s="2">
        <v>870</v>
      </c>
      <c r="M74" s="2">
        <v>870</v>
      </c>
      <c r="N74" s="2">
        <f ca="1">INDEX(INDIRECT(_xlfn.CONCAT("weather.tbl[",N$1,"]")),MATCH(vp.tbl[[#This Row],[SDate]],weather.tbl[Date],0))</f>
        <v>-10.433333333333335</v>
      </c>
      <c r="O74" s="2">
        <f ca="1">INDEX(INDIRECT(_xlfn.CONCAT("weather.tbl[",O$1,"]")),MATCH(vp.tbl[[#This Row],[SDate]],weather.tbl[Date],0))</f>
        <v>-17.276190476190475</v>
      </c>
      <c r="P74" s="2">
        <f ca="1">INDEX(INDIRECT(_xlfn.CONCAT("weather.tbl[",P$1,"]")),MATCH(vp.tbl[[#This Row],[SDate]],weather.tbl[Date],0))</f>
        <v>-9.8000000000000007</v>
      </c>
      <c r="Q74" s="2">
        <f ca="1">INDEX(INDIRECT(_xlfn.CONCAT("weather.tbl[",Q$1,"]")),MATCH(vp.tbl[[#This Row],[SDate]],weather.tbl[Date],0))</f>
        <v>-9.3000000000000007</v>
      </c>
      <c r="R74" s="2">
        <f ca="1">INDEX(INDIRECT(_xlfn.CONCAT("weather.tbl[",R$1,"]")),MATCH(vp.tbl[[#This Row],[SDate]],weather.tbl[Date],0))</f>
        <v>-11.5</v>
      </c>
      <c r="S74" s="2">
        <f ca="1">INDEX(INDIRECT(_xlfn.CONCAT("weather.tbl[",S$1,"]")),MATCH(vp.tbl[[#This Row],[SDate]],weather.tbl[Date],0))</f>
        <v>-9.3000000000000007</v>
      </c>
      <c r="T74" s="2">
        <f ca="1">INDEX(INDIRECT(_xlfn.CONCAT("weather.tbl[",T$1,"]")),MATCH(vp.tbl[[#This Row],[SDate]],weather.tbl[Date],0))</f>
        <v>-11.5</v>
      </c>
      <c r="U74" s="2">
        <f ca="1">INDEX(INDIRECT(_xlfn.CONCAT("weather.tbl[",U$1,"]")),MATCH(vp.tbl[[#This Row],[SDate]],weather.tbl[Date],0))</f>
        <v>-11.2</v>
      </c>
      <c r="V74" s="2">
        <v>7935.4639999999999</v>
      </c>
      <c r="W74" t="s">
        <v>48</v>
      </c>
      <c r="X74">
        <f>IF(OR(vp.tbl[[#This Row],[Sulf]]="",vp.tbl[[#This Row],[Dens]]=""),1,0)</f>
        <v>0</v>
      </c>
      <c r="Y74">
        <f>IF(vp.tbl[[#This Row],[CrudeType]]="C5+",1,0)</f>
        <v>0</v>
      </c>
      <c r="Z74">
        <f>IF(AND(vp.tbl[[#This Row],[CrudeType]]="Crude",vp.tbl[[#This Row],[Dens]]&lt;=825,vp.tbl[[#This Row],[Sulf]]&gt;0.5,vp.tbl[[#This Row],[Unknown]]=0),1,0)</f>
        <v>0</v>
      </c>
      <c r="AA74">
        <f>IF(AND(vp.tbl[[#This Row],[CrudeType]]="Crude",vp.tbl[[#This Row],[Dens]]&lt;=825,vp.tbl[[#This Row],[Sulf]]&lt;=0.5,vp.tbl[[#This Row],[Unknown]]=0),1,0)</f>
        <v>0</v>
      </c>
      <c r="AB74">
        <f>IF(AND(vp.tbl[[#This Row],[CrudeType]]="Crude",vp.tbl[[#This Row],[Dens]]&gt;825,vp.tbl[[#This Row],[Dens]]&lt;=870,vp.tbl[[#This Row],[Sulf]]&gt;0.5,vp.tbl[[#This Row],[Unknown]]=0),1,0)</f>
        <v>1</v>
      </c>
      <c r="AC74">
        <f>IF(AND(vp.tbl[[#This Row],[CrudeType]]="Crude",vp.tbl[[#This Row],[Dens]]&gt;825,vp.tbl[[#This Row],[Dens]]&lt;=900,vp.tbl[[#This Row],[Sulf]]&lt;=0.5,vp.tbl[[#This Row],[Unknown]]=0),1,0)</f>
        <v>0</v>
      </c>
      <c r="AD74">
        <f>IF(AND(vp.tbl[[#This Row],[CrudeType]]="Crude",vp.tbl[[#This Row],[Dens]]&gt;870,vp.tbl[[#This Row],[Dens]]&lt;=900,vp.tbl[[#This Row],[Sulf]]&gt;0.5,vp.tbl[[#This Row],[Unknown]]=0),1,0)</f>
        <v>0</v>
      </c>
      <c r="AE74">
        <f>IF(AND(vp.tbl[[#This Row],[CrudeType]]="Crude",vp.tbl[[#This Row],[Dens]]&gt;900,vp.tbl[[#This Row],[Sulf]]&lt;=0.5,vp.tbl[[#This Row],[Unknown]]=0),1,0)</f>
        <v>0</v>
      </c>
      <c r="AF74">
        <f>IF(AND(vp.tbl[[#This Row],[CrudeType]]="Crude",vp.tbl[[#This Row],[Dens]]&gt;900,vp.tbl[[#This Row],[Sulf]]&lt;=0.5,vp.tbl[[#This Row],[Unknown]]=0),1,0)</f>
        <v>0</v>
      </c>
      <c r="AG74" t="str">
        <f>INDEX(vp.tbl[[#Headers],[Unknown]:[Heavy_SW]],MATCH(1,vp.tbl[[#This Row],[Unknown]:[Heavy_SW]],0))</f>
        <v>Medium_LSB</v>
      </c>
      <c r="AH74" t="e">
        <f>INDEX([1]!crudeBD.lkup[Number],MATCH(vp.tbl[[#This Row],[Crude_Breakdown]],[1]!crudeBD.lkup[Crude Breakdown],0))</f>
        <v>#REF!</v>
      </c>
      <c r="AI74">
        <f>MONTH(vp.tbl[[#This Row],[SDate]])</f>
        <v>1</v>
      </c>
      <c r="AJ74" s="5">
        <f>IFERROR(vp.tbl[[#This Row],[Sulf]]*vp.tbl[[#This Row],[Net Dens]],"")</f>
        <v>15878863.463999998</v>
      </c>
      <c r="AK74" s="5">
        <f>IFERROR(vp.tbl[[#This Row],[Dens]]*vp.tbl[[#This Row],[VolumeM3]],"")</f>
        <v>6903853.6799999997</v>
      </c>
      <c r="AL74" s="5">
        <f>IFERROR(vp.tbl[[#This Row],[VP]]*vp.tbl[[#This Row],[VolumeM3]],"")</f>
        <v>877662.31839999999</v>
      </c>
      <c r="AM74" s="4">
        <f>IFERROR((vp.tbl[[#This Row],[VP]]-INDEX(crudeBD.lkup.complete[Mean_VP],MATCH(vp.tbl[[#This Row],[Crude_Breakdown]],crudeBD.lkup.complete[Crude Breakdown],0)))^2,"")</f>
        <v>925.76612507547054</v>
      </c>
      <c r="AN74" s="4">
        <f>IFERROR((vp.tbl[[#This Row],[Dens]]-INDEX(crudeBD.lkup.complete[Mean_Dens],MATCH(vp.tbl[[#This Row],[Crude_Breakdown]],crudeBD.lkup.complete[Crude Breakdown],0)))^2,"")</f>
        <v>610.49402129727662</v>
      </c>
      <c r="AO74" s="4">
        <f>IFERROR((vp.tbl[[#This Row],[Sulf]]-INDEX(crudeBD.lkup.complete[Mean_Sulf],MATCH(vp.tbl[[#This Row],[Crude_Breakdown]],crudeBD.lkup.complete[Crude Breakdown],0)))^2,"")</f>
        <v>0.71414354023596593</v>
      </c>
      <c r="AP74">
        <f>IF(AND(vp.tbl[[#This Row],[SDate]]&gt;=DATE(YEAR(vp.tbl[[#This Row],[SDate]]),5,1),vp.tbl[[#This Row],[SDate]]&lt;=DATE(YEAR(vp.tbl[[#This Row],[SDate]]),9,15)),1,0)</f>
        <v>0</v>
      </c>
      <c r="AQ74" s="15">
        <f>IF(vp.tbl[[#This Row],[SDate]]&lt;DATE(2016,12,1),0,1)</f>
        <v>0</v>
      </c>
    </row>
    <row r="75" spans="1:43" x14ac:dyDescent="0.25">
      <c r="A75">
        <v>74</v>
      </c>
      <c r="B75" t="s">
        <v>49</v>
      </c>
      <c r="C75" t="s">
        <v>49</v>
      </c>
      <c r="D75" t="s">
        <v>50</v>
      </c>
      <c r="F75" s="1">
        <v>42388</v>
      </c>
      <c r="G75" s="2">
        <v>69.5</v>
      </c>
      <c r="H75" s="2"/>
      <c r="I75" s="2">
        <v>2.59</v>
      </c>
      <c r="J75" s="2"/>
      <c r="K75" s="2"/>
      <c r="L75" s="2">
        <v>873.2</v>
      </c>
      <c r="M75" s="2">
        <v>873.2</v>
      </c>
      <c r="N75" s="2">
        <f ca="1">INDEX(INDIRECT(_xlfn.CONCAT("weather.tbl[",N$1,"]")),MATCH(vp.tbl[[#This Row],[SDate]],weather.tbl[Date],0))</f>
        <v>-10.433333333333335</v>
      </c>
      <c r="O75" s="2">
        <f ca="1">INDEX(INDIRECT(_xlfn.CONCAT("weather.tbl[",O$1,"]")),MATCH(vp.tbl[[#This Row],[SDate]],weather.tbl[Date],0))</f>
        <v>-17.276190476190475</v>
      </c>
      <c r="P75" s="2">
        <f ca="1">INDEX(INDIRECT(_xlfn.CONCAT("weather.tbl[",P$1,"]")),MATCH(vp.tbl[[#This Row],[SDate]],weather.tbl[Date],0))</f>
        <v>-9.8000000000000007</v>
      </c>
      <c r="Q75" s="2">
        <f ca="1">INDEX(INDIRECT(_xlfn.CONCAT("weather.tbl[",Q$1,"]")),MATCH(vp.tbl[[#This Row],[SDate]],weather.tbl[Date],0))</f>
        <v>-9.3000000000000007</v>
      </c>
      <c r="R75" s="2">
        <f ca="1">INDEX(INDIRECT(_xlfn.CONCAT("weather.tbl[",R$1,"]")),MATCH(vp.tbl[[#This Row],[SDate]],weather.tbl[Date],0))</f>
        <v>-11.5</v>
      </c>
      <c r="S75" s="2">
        <f ca="1">INDEX(INDIRECT(_xlfn.CONCAT("weather.tbl[",S$1,"]")),MATCH(vp.tbl[[#This Row],[SDate]],weather.tbl[Date],0))</f>
        <v>-9.3000000000000007</v>
      </c>
      <c r="T75" s="2">
        <f ca="1">INDEX(INDIRECT(_xlfn.CONCAT("weather.tbl[",T$1,"]")),MATCH(vp.tbl[[#This Row],[SDate]],weather.tbl[Date],0))</f>
        <v>-11.5</v>
      </c>
      <c r="U75" s="2">
        <f ca="1">INDEX(INDIRECT(_xlfn.CONCAT("weather.tbl[",U$1,"]")),MATCH(vp.tbl[[#This Row],[SDate]],weather.tbl[Date],0))</f>
        <v>-11.2</v>
      </c>
      <c r="V75" s="2">
        <v>8594.3690000000006</v>
      </c>
      <c r="W75" t="s">
        <v>48</v>
      </c>
      <c r="X75">
        <f>IF(OR(vp.tbl[[#This Row],[Sulf]]="",vp.tbl[[#This Row],[Dens]]=""),1,0)</f>
        <v>0</v>
      </c>
      <c r="Y75">
        <f>IF(vp.tbl[[#This Row],[CrudeType]]="C5+",1,0)</f>
        <v>0</v>
      </c>
      <c r="Z75">
        <f>IF(AND(vp.tbl[[#This Row],[CrudeType]]="Crude",vp.tbl[[#This Row],[Dens]]&lt;=825,vp.tbl[[#This Row],[Sulf]]&gt;0.5,vp.tbl[[#This Row],[Unknown]]=0),1,0)</f>
        <v>0</v>
      </c>
      <c r="AA75">
        <f>IF(AND(vp.tbl[[#This Row],[CrudeType]]="Crude",vp.tbl[[#This Row],[Dens]]&lt;=825,vp.tbl[[#This Row],[Sulf]]&lt;=0.5,vp.tbl[[#This Row],[Unknown]]=0),1,0)</f>
        <v>0</v>
      </c>
      <c r="AB75">
        <f>IF(AND(vp.tbl[[#This Row],[CrudeType]]="Crude",vp.tbl[[#This Row],[Dens]]&gt;825,vp.tbl[[#This Row],[Dens]]&lt;=870,vp.tbl[[#This Row],[Sulf]]&gt;0.5,vp.tbl[[#This Row],[Unknown]]=0),1,0)</f>
        <v>0</v>
      </c>
      <c r="AC75">
        <f>IF(AND(vp.tbl[[#This Row],[CrudeType]]="Crude",vp.tbl[[#This Row],[Dens]]&gt;825,vp.tbl[[#This Row],[Dens]]&lt;=900,vp.tbl[[#This Row],[Sulf]]&lt;=0.5,vp.tbl[[#This Row],[Unknown]]=0),1,0)</f>
        <v>0</v>
      </c>
      <c r="AD75">
        <f>IF(AND(vp.tbl[[#This Row],[CrudeType]]="Crude",vp.tbl[[#This Row],[Dens]]&gt;870,vp.tbl[[#This Row],[Dens]]&lt;=900,vp.tbl[[#This Row],[Sulf]]&gt;0.5,vp.tbl[[#This Row],[Unknown]]=0),1,0)</f>
        <v>1</v>
      </c>
      <c r="AE75">
        <f>IF(AND(vp.tbl[[#This Row],[CrudeType]]="Crude",vp.tbl[[#This Row],[Dens]]&gt;900,vp.tbl[[#This Row],[Sulf]]&lt;=0.5,vp.tbl[[#This Row],[Unknown]]=0),1,0)</f>
        <v>0</v>
      </c>
      <c r="AF75">
        <f>IF(AND(vp.tbl[[#This Row],[CrudeType]]="Crude",vp.tbl[[#This Row],[Dens]]&gt;900,vp.tbl[[#This Row],[Sulf]]&lt;=0.5,vp.tbl[[#This Row],[Unknown]]=0),1,0)</f>
        <v>0</v>
      </c>
      <c r="AG75" t="str">
        <f>INDEX(vp.tbl[[#Headers],[Unknown]:[Heavy_SW]],MATCH(1,vp.tbl[[#This Row],[Unknown]:[Heavy_SW]],0))</f>
        <v>Midale</v>
      </c>
      <c r="AH75" t="e">
        <f>INDEX([1]!crudeBD.lkup[Number],MATCH(vp.tbl[[#This Row],[Crude_Breakdown]],[1]!crudeBD.lkup[Crude Breakdown],0))</f>
        <v>#REF!</v>
      </c>
      <c r="AI75">
        <f>MONTH(vp.tbl[[#This Row],[SDate]])</f>
        <v>1</v>
      </c>
      <c r="AJ75" s="5">
        <f>IFERROR(vp.tbl[[#This Row],[Sulf]]*vp.tbl[[#This Row],[Net Dens]],"")</f>
        <v>19436921.797972001</v>
      </c>
      <c r="AK75" s="5">
        <f>IFERROR(vp.tbl[[#This Row],[Dens]]*vp.tbl[[#This Row],[VolumeM3]],"")</f>
        <v>7504603.0108000012</v>
      </c>
      <c r="AL75" s="5">
        <f>IFERROR(vp.tbl[[#This Row],[VP]]*vp.tbl[[#This Row],[VolumeM3]],"")</f>
        <v>597308.64549999998</v>
      </c>
      <c r="AM75" s="4">
        <f>IFERROR((vp.tbl[[#This Row],[VP]]-INDEX(crudeBD.lkup.complete[Mean_VP],MATCH(vp.tbl[[#This Row],[Crude_Breakdown]],crudeBD.lkup.complete[Crude Breakdown],0)))^2,"")</f>
        <v>1.5917451679489254</v>
      </c>
      <c r="AN75" s="4">
        <f>IFERROR((vp.tbl[[#This Row],[Dens]]-INDEX(crudeBD.lkup.complete[Mean_Dens],MATCH(vp.tbl[[#This Row],[Crude_Breakdown]],crudeBD.lkup.complete[Crude Breakdown],0)))^2,"")</f>
        <v>18.940380934506258</v>
      </c>
      <c r="AO75" s="4">
        <f>IFERROR((vp.tbl[[#This Row],[Sulf]]-INDEX(crudeBD.lkup.complete[Mean_Sulf],MATCH(vp.tbl[[#This Row],[Crude_Breakdown]],crudeBD.lkup.complete[Crude Breakdown],0)))^2,"")</f>
        <v>3.0506067747964355E-2</v>
      </c>
      <c r="AP75">
        <f>IF(AND(vp.tbl[[#This Row],[SDate]]&gt;=DATE(YEAR(vp.tbl[[#This Row],[SDate]]),5,1),vp.tbl[[#This Row],[SDate]]&lt;=DATE(YEAR(vp.tbl[[#This Row],[SDate]]),9,15)),1,0)</f>
        <v>0</v>
      </c>
      <c r="AQ75" s="15">
        <f>IF(vp.tbl[[#This Row],[SDate]]&lt;DATE(2016,12,1),0,1)</f>
        <v>0</v>
      </c>
    </row>
    <row r="76" spans="1:43" x14ac:dyDescent="0.25">
      <c r="A76">
        <v>75</v>
      </c>
      <c r="B76" t="s">
        <v>56</v>
      </c>
      <c r="C76" t="s">
        <v>56</v>
      </c>
      <c r="D76" t="s">
        <v>57</v>
      </c>
      <c r="F76" s="1">
        <v>42389</v>
      </c>
      <c r="G76" s="2">
        <v>106.2</v>
      </c>
      <c r="H76" s="2"/>
      <c r="I76" s="2">
        <v>1.44</v>
      </c>
      <c r="J76" s="2"/>
      <c r="K76" s="2"/>
      <c r="L76" s="2">
        <v>844.5</v>
      </c>
      <c r="M76" s="2">
        <v>844.5</v>
      </c>
      <c r="N76" s="2">
        <f ca="1">INDEX(INDIRECT(_xlfn.CONCAT("weather.tbl[",N$1,"]")),MATCH(vp.tbl[[#This Row],[SDate]],weather.tbl[Date],0))</f>
        <v>-9.1666666666666679</v>
      </c>
      <c r="O76" s="2">
        <f ca="1">INDEX(INDIRECT(_xlfn.CONCAT("weather.tbl[",O$1,"]")),MATCH(vp.tbl[[#This Row],[SDate]],weather.tbl[Date],0))</f>
        <v>-17.064285714285713</v>
      </c>
      <c r="P76" s="2">
        <f ca="1">INDEX(INDIRECT(_xlfn.CONCAT("weather.tbl[",P$1,"]")),MATCH(vp.tbl[[#This Row],[SDate]],weather.tbl[Date],0))</f>
        <v>-9.5</v>
      </c>
      <c r="Q76" s="2">
        <f ca="1">INDEX(INDIRECT(_xlfn.CONCAT("weather.tbl[",Q$1,"]")),MATCH(vp.tbl[[#This Row],[SDate]],weather.tbl[Date],0))</f>
        <v>-10.1</v>
      </c>
      <c r="R76" s="2">
        <f ca="1">INDEX(INDIRECT(_xlfn.CONCAT("weather.tbl[",R$1,"]")),MATCH(vp.tbl[[#This Row],[SDate]],weather.tbl[Date],0))</f>
        <v>-7.3</v>
      </c>
      <c r="S76" s="2">
        <f ca="1">INDEX(INDIRECT(_xlfn.CONCAT("weather.tbl[",S$1,"]")),MATCH(vp.tbl[[#This Row],[SDate]],weather.tbl[Date],0))</f>
        <v>-9.3000000000000007</v>
      </c>
      <c r="T76" s="2">
        <f ca="1">INDEX(INDIRECT(_xlfn.CONCAT("weather.tbl[",T$1,"]")),MATCH(vp.tbl[[#This Row],[SDate]],weather.tbl[Date],0))</f>
        <v>-8.6999999999999993</v>
      </c>
      <c r="U76" s="2">
        <f ca="1">INDEX(INDIRECT(_xlfn.CONCAT("weather.tbl[",U$1,"]")),MATCH(vp.tbl[[#This Row],[SDate]],weather.tbl[Date],0))</f>
        <v>-10.1</v>
      </c>
      <c r="V76" s="2">
        <v>3677.3530000000001</v>
      </c>
      <c r="W76" t="s">
        <v>48</v>
      </c>
      <c r="X76">
        <f>IF(OR(vp.tbl[[#This Row],[Sulf]]="",vp.tbl[[#This Row],[Dens]]=""),1,0)</f>
        <v>0</v>
      </c>
      <c r="Y76">
        <f>IF(vp.tbl[[#This Row],[CrudeType]]="C5+",1,0)</f>
        <v>0</v>
      </c>
      <c r="Z76">
        <f>IF(AND(vp.tbl[[#This Row],[CrudeType]]="Crude",vp.tbl[[#This Row],[Dens]]&lt;=825,vp.tbl[[#This Row],[Sulf]]&gt;0.5,vp.tbl[[#This Row],[Unknown]]=0),1,0)</f>
        <v>0</v>
      </c>
      <c r="AA76">
        <f>IF(AND(vp.tbl[[#This Row],[CrudeType]]="Crude",vp.tbl[[#This Row],[Dens]]&lt;=825,vp.tbl[[#This Row],[Sulf]]&lt;=0.5,vp.tbl[[#This Row],[Unknown]]=0),1,0)</f>
        <v>0</v>
      </c>
      <c r="AB76">
        <f>IF(AND(vp.tbl[[#This Row],[CrudeType]]="Crude",vp.tbl[[#This Row],[Dens]]&gt;825,vp.tbl[[#This Row],[Dens]]&lt;=870,vp.tbl[[#This Row],[Sulf]]&gt;0.5,vp.tbl[[#This Row],[Unknown]]=0),1,0)</f>
        <v>1</v>
      </c>
      <c r="AC76">
        <f>IF(AND(vp.tbl[[#This Row],[CrudeType]]="Crude",vp.tbl[[#This Row],[Dens]]&gt;825,vp.tbl[[#This Row],[Dens]]&lt;=900,vp.tbl[[#This Row],[Sulf]]&lt;=0.5,vp.tbl[[#This Row],[Unknown]]=0),1,0)</f>
        <v>0</v>
      </c>
      <c r="AD76">
        <f>IF(AND(vp.tbl[[#This Row],[CrudeType]]="Crude",vp.tbl[[#This Row],[Dens]]&gt;870,vp.tbl[[#This Row],[Dens]]&lt;=900,vp.tbl[[#This Row],[Sulf]]&gt;0.5,vp.tbl[[#This Row],[Unknown]]=0),1,0)</f>
        <v>0</v>
      </c>
      <c r="AE76">
        <f>IF(AND(vp.tbl[[#This Row],[CrudeType]]="Crude",vp.tbl[[#This Row],[Dens]]&gt;900,vp.tbl[[#This Row],[Sulf]]&lt;=0.5,vp.tbl[[#This Row],[Unknown]]=0),1,0)</f>
        <v>0</v>
      </c>
      <c r="AF76">
        <f>IF(AND(vp.tbl[[#This Row],[CrudeType]]="Crude",vp.tbl[[#This Row],[Dens]]&gt;900,vp.tbl[[#This Row],[Sulf]]&lt;=0.5,vp.tbl[[#This Row],[Unknown]]=0),1,0)</f>
        <v>0</v>
      </c>
      <c r="AG76" t="str">
        <f>INDEX(vp.tbl[[#Headers],[Unknown]:[Heavy_SW]],MATCH(1,vp.tbl[[#This Row],[Unknown]:[Heavy_SW]],0))</f>
        <v>Medium_LSB</v>
      </c>
      <c r="AH76" t="e">
        <f>INDEX([1]!crudeBD.lkup[Number],MATCH(vp.tbl[[#This Row],[Crude_Breakdown]],[1]!crudeBD.lkup[Crude Breakdown],0))</f>
        <v>#REF!</v>
      </c>
      <c r="AI76">
        <f>MONTH(vp.tbl[[#This Row],[SDate]])</f>
        <v>1</v>
      </c>
      <c r="AJ76" s="5">
        <f>IFERROR(vp.tbl[[#This Row],[Sulf]]*vp.tbl[[#This Row],[Net Dens]],"")</f>
        <v>4471955.4362399997</v>
      </c>
      <c r="AK76" s="5">
        <f>IFERROR(vp.tbl[[#This Row],[Dens]]*vp.tbl[[#This Row],[VolumeM3]],"")</f>
        <v>3105524.6085000001</v>
      </c>
      <c r="AL76" s="5">
        <f>IFERROR(vp.tbl[[#This Row],[VP]]*vp.tbl[[#This Row],[VolumeM3]],"")</f>
        <v>390534.88860000001</v>
      </c>
      <c r="AM76" s="4">
        <f>IFERROR((vp.tbl[[#This Row],[VP]]-INDEX(crudeBD.lkup.complete[Mean_VP],MATCH(vp.tbl[[#This Row],[Crude_Breakdown]],crudeBD.lkup.complete[Crude Breakdown],0)))^2,"")</f>
        <v>677.37376051850867</v>
      </c>
      <c r="AN76" s="4">
        <f>IFERROR((vp.tbl[[#This Row],[Dens]]-INDEX(crudeBD.lkup.complete[Mean_Dens],MATCH(vp.tbl[[#This Row],[Crude_Breakdown]],crudeBD.lkup.complete[Crude Breakdown],0)))^2,"")</f>
        <v>0.62698332254290468</v>
      </c>
      <c r="AO76" s="4">
        <f>IFERROR((vp.tbl[[#This Row],[Sulf]]-INDEX(crudeBD.lkup.complete[Mean_Sulf],MATCH(vp.tbl[[#This Row],[Crude_Breakdown]],crudeBD.lkup.complete[Crude Breakdown],0)))^2,"")</f>
        <v>2.2290074229791476E-4</v>
      </c>
      <c r="AP76">
        <f>IF(AND(vp.tbl[[#This Row],[SDate]]&gt;=DATE(YEAR(vp.tbl[[#This Row],[SDate]]),5,1),vp.tbl[[#This Row],[SDate]]&lt;=DATE(YEAR(vp.tbl[[#This Row],[SDate]]),9,15)),1,0)</f>
        <v>0</v>
      </c>
      <c r="AQ76" s="15">
        <f>IF(vp.tbl[[#This Row],[SDate]]&lt;DATE(2016,12,1),0,1)</f>
        <v>0</v>
      </c>
    </row>
    <row r="77" spans="1:43" x14ac:dyDescent="0.25">
      <c r="A77">
        <v>76</v>
      </c>
      <c r="B77" t="s">
        <v>62</v>
      </c>
      <c r="C77" t="s">
        <v>62</v>
      </c>
      <c r="D77" t="s">
        <v>63</v>
      </c>
      <c r="F77" s="1">
        <v>42389</v>
      </c>
      <c r="G77" s="2">
        <v>103.5</v>
      </c>
      <c r="H77" s="2"/>
      <c r="I77" s="2">
        <v>1.26</v>
      </c>
      <c r="J77" s="2"/>
      <c r="K77" s="2"/>
      <c r="L77" s="2"/>
      <c r="M77" s="2">
        <v>814.6</v>
      </c>
      <c r="N77" s="2">
        <f ca="1">INDEX(INDIRECT(_xlfn.CONCAT("weather.tbl[",N$1,"]")),MATCH(vp.tbl[[#This Row],[SDate]],weather.tbl[Date],0))</f>
        <v>-9.1666666666666679</v>
      </c>
      <c r="O77" s="2">
        <f ca="1">INDEX(INDIRECT(_xlfn.CONCAT("weather.tbl[",O$1,"]")),MATCH(vp.tbl[[#This Row],[SDate]],weather.tbl[Date],0))</f>
        <v>-17.064285714285713</v>
      </c>
      <c r="P77" s="2">
        <f ca="1">INDEX(INDIRECT(_xlfn.CONCAT("weather.tbl[",P$1,"]")),MATCH(vp.tbl[[#This Row],[SDate]],weather.tbl[Date],0))</f>
        <v>-9.5</v>
      </c>
      <c r="Q77" s="2">
        <f ca="1">INDEX(INDIRECT(_xlfn.CONCAT("weather.tbl[",Q$1,"]")),MATCH(vp.tbl[[#This Row],[SDate]],weather.tbl[Date],0))</f>
        <v>-10.1</v>
      </c>
      <c r="R77" s="2">
        <f ca="1">INDEX(INDIRECT(_xlfn.CONCAT("weather.tbl[",R$1,"]")),MATCH(vp.tbl[[#This Row],[SDate]],weather.tbl[Date],0))</f>
        <v>-7.3</v>
      </c>
      <c r="S77" s="2">
        <f ca="1">INDEX(INDIRECT(_xlfn.CONCAT("weather.tbl[",S$1,"]")),MATCH(vp.tbl[[#This Row],[SDate]],weather.tbl[Date],0))</f>
        <v>-9.3000000000000007</v>
      </c>
      <c r="T77" s="2">
        <f ca="1">INDEX(INDIRECT(_xlfn.CONCAT("weather.tbl[",T$1,"]")),MATCH(vp.tbl[[#This Row],[SDate]],weather.tbl[Date],0))</f>
        <v>-8.6999999999999993</v>
      </c>
      <c r="U77" s="2">
        <f ca="1">INDEX(INDIRECT(_xlfn.CONCAT("weather.tbl[",U$1,"]")),MATCH(vp.tbl[[#This Row],[SDate]],weather.tbl[Date],0))</f>
        <v>-10.1</v>
      </c>
      <c r="V77" s="2">
        <v>5725.6790000000001</v>
      </c>
      <c r="W77" t="s">
        <v>48</v>
      </c>
      <c r="X77">
        <f>IF(OR(vp.tbl[[#This Row],[Sulf]]="",vp.tbl[[#This Row],[Dens]]=""),1,0)</f>
        <v>0</v>
      </c>
      <c r="Y77">
        <f>IF(vp.tbl[[#This Row],[CrudeType]]="C5+",1,0)</f>
        <v>0</v>
      </c>
      <c r="Z77">
        <f>IF(AND(vp.tbl[[#This Row],[CrudeType]]="Crude",vp.tbl[[#This Row],[Dens]]&lt;=825,vp.tbl[[#This Row],[Sulf]]&gt;0.5,vp.tbl[[#This Row],[Unknown]]=0),1,0)</f>
        <v>1</v>
      </c>
      <c r="AA77">
        <f>IF(AND(vp.tbl[[#This Row],[CrudeType]]="Crude",vp.tbl[[#This Row],[Dens]]&lt;=825,vp.tbl[[#This Row],[Sulf]]&lt;=0.5,vp.tbl[[#This Row],[Unknown]]=0),1,0)</f>
        <v>0</v>
      </c>
      <c r="AB77">
        <f>IF(AND(vp.tbl[[#This Row],[CrudeType]]="Crude",vp.tbl[[#This Row],[Dens]]&gt;825,vp.tbl[[#This Row],[Dens]]&lt;=870,vp.tbl[[#This Row],[Sulf]]&gt;0.5,vp.tbl[[#This Row],[Unknown]]=0),1,0)</f>
        <v>0</v>
      </c>
      <c r="AC77">
        <f>IF(AND(vp.tbl[[#This Row],[CrudeType]]="Crude",vp.tbl[[#This Row],[Dens]]&gt;825,vp.tbl[[#This Row],[Dens]]&lt;=900,vp.tbl[[#This Row],[Sulf]]&lt;=0.5,vp.tbl[[#This Row],[Unknown]]=0),1,0)</f>
        <v>0</v>
      </c>
      <c r="AD77">
        <f>IF(AND(vp.tbl[[#This Row],[CrudeType]]="Crude",vp.tbl[[#This Row],[Dens]]&gt;870,vp.tbl[[#This Row],[Dens]]&lt;=900,vp.tbl[[#This Row],[Sulf]]&gt;0.5,vp.tbl[[#This Row],[Unknown]]=0),1,0)</f>
        <v>0</v>
      </c>
      <c r="AE77">
        <f>IF(AND(vp.tbl[[#This Row],[CrudeType]]="Crude",vp.tbl[[#This Row],[Dens]]&gt;900,vp.tbl[[#This Row],[Sulf]]&lt;=0.5,vp.tbl[[#This Row],[Unknown]]=0),1,0)</f>
        <v>0</v>
      </c>
      <c r="AF77">
        <f>IF(AND(vp.tbl[[#This Row],[CrudeType]]="Crude",vp.tbl[[#This Row],[Dens]]&gt;900,vp.tbl[[#This Row],[Sulf]]&lt;=0.5,vp.tbl[[#This Row],[Unknown]]=0),1,0)</f>
        <v>0</v>
      </c>
      <c r="AG77" t="str">
        <f>INDEX(vp.tbl[[#Headers],[Unknown]:[Heavy_SW]],MATCH(1,vp.tbl[[#This Row],[Unknown]:[Heavy_SW]],0))</f>
        <v>Light_LSB</v>
      </c>
      <c r="AH77" t="e">
        <f>INDEX([1]!crudeBD.lkup[Number],MATCH(vp.tbl[[#This Row],[Crude_Breakdown]],[1]!crudeBD.lkup[Crude Breakdown],0))</f>
        <v>#REF!</v>
      </c>
      <c r="AI77">
        <f>MONTH(vp.tbl[[#This Row],[SDate]])</f>
        <v>1</v>
      </c>
      <c r="AJ77" s="5">
        <f>IFERROR(vp.tbl[[#This Row],[Sulf]]*vp.tbl[[#This Row],[Net Dens]],"")</f>
        <v>5876814.0228840001</v>
      </c>
      <c r="AK77" s="5">
        <f>IFERROR(vp.tbl[[#This Row],[Dens]]*vp.tbl[[#This Row],[VolumeM3]],"")</f>
        <v>4664138.1134000001</v>
      </c>
      <c r="AL77" s="5">
        <f>IFERROR(vp.tbl[[#This Row],[VP]]*vp.tbl[[#This Row],[VolumeM3]],"")</f>
        <v>592607.77650000004</v>
      </c>
      <c r="AM77" s="4">
        <f>IFERROR((vp.tbl[[#This Row],[VP]]-INDEX(crudeBD.lkup.complete[Mean_VP],MATCH(vp.tbl[[#This Row],[Crude_Breakdown]],crudeBD.lkup.complete[Crude Breakdown],0)))^2,"")</f>
        <v>142.8936794983519</v>
      </c>
      <c r="AN77" s="4">
        <f>IFERROR((vp.tbl[[#This Row],[Dens]]-INDEX(crudeBD.lkup.complete[Mean_Dens],MATCH(vp.tbl[[#This Row],[Crude_Breakdown]],crudeBD.lkup.complete[Crude Breakdown],0)))^2,"")</f>
        <v>15.341085348540718</v>
      </c>
      <c r="AO77" s="4">
        <f>IFERROR((vp.tbl[[#This Row],[Sulf]]-INDEX(crudeBD.lkup.complete[Mean_Sulf],MATCH(vp.tbl[[#This Row],[Crude_Breakdown]],crudeBD.lkup.complete[Crude Breakdown],0)))^2,"")</f>
        <v>0.11358843333985327</v>
      </c>
      <c r="AP77">
        <f>IF(AND(vp.tbl[[#This Row],[SDate]]&gt;=DATE(YEAR(vp.tbl[[#This Row],[SDate]]),5,1),vp.tbl[[#This Row],[SDate]]&lt;=DATE(YEAR(vp.tbl[[#This Row],[SDate]]),9,15)),1,0)</f>
        <v>0</v>
      </c>
      <c r="AQ77" s="15">
        <f>IF(vp.tbl[[#This Row],[SDate]]&lt;DATE(2016,12,1),0,1)</f>
        <v>0</v>
      </c>
    </row>
    <row r="78" spans="1:43" x14ac:dyDescent="0.25">
      <c r="A78">
        <v>77</v>
      </c>
      <c r="B78" t="s">
        <v>49</v>
      </c>
      <c r="C78" t="s">
        <v>49</v>
      </c>
      <c r="D78" t="s">
        <v>67</v>
      </c>
      <c r="F78" s="1">
        <v>42391</v>
      </c>
      <c r="G78" s="2">
        <v>75.400000000000006</v>
      </c>
      <c r="H78" s="2"/>
      <c r="I78" s="2">
        <v>0.21</v>
      </c>
      <c r="J78" s="2"/>
      <c r="K78" s="2"/>
      <c r="L78" s="2">
        <v>800.5</v>
      </c>
      <c r="M78" s="2">
        <v>800.5</v>
      </c>
      <c r="N78" s="2">
        <f ca="1">INDEX(INDIRECT(_xlfn.CONCAT("weather.tbl[",N$1,"]")),MATCH(vp.tbl[[#This Row],[SDate]],weather.tbl[Date],0))</f>
        <v>-8.9</v>
      </c>
      <c r="O78" s="2">
        <f ca="1">INDEX(INDIRECT(_xlfn.CONCAT("weather.tbl[",O$1,"]")),MATCH(vp.tbl[[#This Row],[SDate]],weather.tbl[Date],0))</f>
        <v>-16.076190476190479</v>
      </c>
      <c r="P78" s="2">
        <f ca="1">INDEX(INDIRECT(_xlfn.CONCAT("weather.tbl[",P$1,"]")),MATCH(vp.tbl[[#This Row],[SDate]],weather.tbl[Date],0))</f>
        <v>-7.9</v>
      </c>
      <c r="Q78" s="2">
        <f ca="1">INDEX(INDIRECT(_xlfn.CONCAT("weather.tbl[",Q$1,"]")),MATCH(vp.tbl[[#This Row],[SDate]],weather.tbl[Date],0))</f>
        <v>-7.3</v>
      </c>
      <c r="R78" s="2">
        <f ca="1">INDEX(INDIRECT(_xlfn.CONCAT("weather.tbl[",R$1,"]")),MATCH(vp.tbl[[#This Row],[SDate]],weather.tbl[Date],0))</f>
        <v>-11</v>
      </c>
      <c r="S78" s="2">
        <f ca="1">INDEX(INDIRECT(_xlfn.CONCAT("weather.tbl[",S$1,"]")),MATCH(vp.tbl[[#This Row],[SDate]],weather.tbl[Date],0))</f>
        <v>-6.8</v>
      </c>
      <c r="T78" s="2">
        <f ca="1">INDEX(INDIRECT(_xlfn.CONCAT("weather.tbl[",T$1,"]")),MATCH(vp.tbl[[#This Row],[SDate]],weather.tbl[Date],0))</f>
        <v>-11.7</v>
      </c>
      <c r="U78" s="2">
        <f ca="1">INDEX(INDIRECT(_xlfn.CONCAT("weather.tbl[",U$1,"]")),MATCH(vp.tbl[[#This Row],[SDate]],weather.tbl[Date],0))</f>
        <v>-8.6999999999999993</v>
      </c>
      <c r="V78" s="2">
        <v>51755.012999999999</v>
      </c>
      <c r="W78" t="s">
        <v>48</v>
      </c>
      <c r="X78">
        <f>IF(OR(vp.tbl[[#This Row],[Sulf]]="",vp.tbl[[#This Row],[Dens]]=""),1,0)</f>
        <v>0</v>
      </c>
      <c r="Y78">
        <f>IF(vp.tbl[[#This Row],[CrudeType]]="C5+",1,0)</f>
        <v>0</v>
      </c>
      <c r="Z78">
        <f>IF(AND(vp.tbl[[#This Row],[CrudeType]]="Crude",vp.tbl[[#This Row],[Dens]]&lt;=825,vp.tbl[[#This Row],[Sulf]]&gt;0.5,vp.tbl[[#This Row],[Unknown]]=0),1,0)</f>
        <v>0</v>
      </c>
      <c r="AA78">
        <f>IF(AND(vp.tbl[[#This Row],[CrudeType]]="Crude",vp.tbl[[#This Row],[Dens]]&lt;=825,vp.tbl[[#This Row],[Sulf]]&lt;=0.5,vp.tbl[[#This Row],[Unknown]]=0),1,0)</f>
        <v>1</v>
      </c>
      <c r="AB78">
        <f>IF(AND(vp.tbl[[#This Row],[CrudeType]]="Crude",vp.tbl[[#This Row],[Dens]]&gt;825,vp.tbl[[#This Row],[Dens]]&lt;=870,vp.tbl[[#This Row],[Sulf]]&gt;0.5,vp.tbl[[#This Row],[Unknown]]=0),1,0)</f>
        <v>0</v>
      </c>
      <c r="AC78">
        <f>IF(AND(vp.tbl[[#This Row],[CrudeType]]="Crude",vp.tbl[[#This Row],[Dens]]&gt;825,vp.tbl[[#This Row],[Dens]]&lt;=900,vp.tbl[[#This Row],[Sulf]]&lt;=0.5,vp.tbl[[#This Row],[Unknown]]=0),1,0)</f>
        <v>0</v>
      </c>
      <c r="AD78">
        <f>IF(AND(vp.tbl[[#This Row],[CrudeType]]="Crude",vp.tbl[[#This Row],[Dens]]&gt;870,vp.tbl[[#This Row],[Dens]]&lt;=900,vp.tbl[[#This Row],[Sulf]]&gt;0.5,vp.tbl[[#This Row],[Unknown]]=0),1,0)</f>
        <v>0</v>
      </c>
      <c r="AE78">
        <f>IF(AND(vp.tbl[[#This Row],[CrudeType]]="Crude",vp.tbl[[#This Row],[Dens]]&gt;900,vp.tbl[[#This Row],[Sulf]]&lt;=0.5,vp.tbl[[#This Row],[Unknown]]=0),1,0)</f>
        <v>0</v>
      </c>
      <c r="AF78">
        <f>IF(AND(vp.tbl[[#This Row],[CrudeType]]="Crude",vp.tbl[[#This Row],[Dens]]&gt;900,vp.tbl[[#This Row],[Sulf]]&lt;=0.5,vp.tbl[[#This Row],[Unknown]]=0),1,0)</f>
        <v>0</v>
      </c>
      <c r="AG78" t="str">
        <f>INDEX(vp.tbl[[#Headers],[Unknown]:[Heavy_SW]],MATCH(1,vp.tbl[[#This Row],[Unknown]:[Heavy_SW]],0))</f>
        <v>Light_SW</v>
      </c>
      <c r="AH78" t="e">
        <f>INDEX([1]!crudeBD.lkup[Number],MATCH(vp.tbl[[#This Row],[Crude_Breakdown]],[1]!crudeBD.lkup[Crude Breakdown],0))</f>
        <v>#REF!</v>
      </c>
      <c r="AI78">
        <f>MONTH(vp.tbl[[#This Row],[SDate]])</f>
        <v>1</v>
      </c>
      <c r="AJ78" s="5">
        <f>IFERROR(vp.tbl[[#This Row],[Sulf]]*vp.tbl[[#This Row],[Net Dens]],"")</f>
        <v>8700276.4603649992</v>
      </c>
      <c r="AK78" s="5">
        <f>IFERROR(vp.tbl[[#This Row],[Dens]]*vp.tbl[[#This Row],[VolumeM3]],"")</f>
        <v>41429887.906499997</v>
      </c>
      <c r="AL78" s="5">
        <f>IFERROR(vp.tbl[[#This Row],[VP]]*vp.tbl[[#This Row],[VolumeM3]],"")</f>
        <v>3902327.9802000001</v>
      </c>
      <c r="AM78" s="4">
        <f>IFERROR((vp.tbl[[#This Row],[VP]]-INDEX(crudeBD.lkup.complete[Mean_VP],MATCH(vp.tbl[[#This Row],[Crude_Breakdown]],crudeBD.lkup.complete[Crude Breakdown],0)))^2,"")</f>
        <v>294.13325619589773</v>
      </c>
      <c r="AN78" s="4">
        <f>IFERROR((vp.tbl[[#This Row],[Dens]]-INDEX(crudeBD.lkup.complete[Mean_Dens],MATCH(vp.tbl[[#This Row],[Crude_Breakdown]],crudeBD.lkup.complete[Crude Breakdown],0)))^2,"")</f>
        <v>61.019505032229588</v>
      </c>
      <c r="AO78" s="4">
        <f>IFERROR((vp.tbl[[#This Row],[Sulf]]-INDEX(crudeBD.lkup.complete[Mean_Sulf],MATCH(vp.tbl[[#This Row],[Crude_Breakdown]],crudeBD.lkup.complete[Crude Breakdown],0)))^2,"")</f>
        <v>6.8863268899706654E-4</v>
      </c>
      <c r="AP78">
        <f>IF(AND(vp.tbl[[#This Row],[SDate]]&gt;=DATE(YEAR(vp.tbl[[#This Row],[SDate]]),5,1),vp.tbl[[#This Row],[SDate]]&lt;=DATE(YEAR(vp.tbl[[#This Row],[SDate]]),9,15)),1,0)</f>
        <v>0</v>
      </c>
      <c r="AQ78" s="15">
        <f>IF(vp.tbl[[#This Row],[SDate]]&lt;DATE(2016,12,1),0,1)</f>
        <v>0</v>
      </c>
    </row>
    <row r="79" spans="1:43" x14ac:dyDescent="0.25">
      <c r="A79">
        <v>78</v>
      </c>
      <c r="B79" t="s">
        <v>51</v>
      </c>
      <c r="C79" t="s">
        <v>51</v>
      </c>
      <c r="D79" t="s">
        <v>71</v>
      </c>
      <c r="F79" s="1">
        <v>42391</v>
      </c>
      <c r="G79" s="2">
        <v>93.7</v>
      </c>
      <c r="H79" s="2"/>
      <c r="I79" s="2">
        <v>1.49</v>
      </c>
      <c r="J79" s="2"/>
      <c r="K79" s="2"/>
      <c r="L79" s="2">
        <v>844</v>
      </c>
      <c r="M79" s="2">
        <v>844</v>
      </c>
      <c r="N79" s="2">
        <f ca="1">INDEX(INDIRECT(_xlfn.CONCAT("weather.tbl[",N$1,"]")),MATCH(vp.tbl[[#This Row],[SDate]],weather.tbl[Date],0))</f>
        <v>-8.9</v>
      </c>
      <c r="O79" s="2">
        <f ca="1">INDEX(INDIRECT(_xlfn.CONCAT("weather.tbl[",O$1,"]")),MATCH(vp.tbl[[#This Row],[SDate]],weather.tbl[Date],0))</f>
        <v>-16.076190476190479</v>
      </c>
      <c r="P79" s="2">
        <f ca="1">INDEX(INDIRECT(_xlfn.CONCAT("weather.tbl[",P$1,"]")),MATCH(vp.tbl[[#This Row],[SDate]],weather.tbl[Date],0))</f>
        <v>-7.9</v>
      </c>
      <c r="Q79" s="2">
        <f ca="1">INDEX(INDIRECT(_xlfn.CONCAT("weather.tbl[",Q$1,"]")),MATCH(vp.tbl[[#This Row],[SDate]],weather.tbl[Date],0))</f>
        <v>-7.3</v>
      </c>
      <c r="R79" s="2">
        <f ca="1">INDEX(INDIRECT(_xlfn.CONCAT("weather.tbl[",R$1,"]")),MATCH(vp.tbl[[#This Row],[SDate]],weather.tbl[Date],0))</f>
        <v>-11</v>
      </c>
      <c r="S79" s="2">
        <f ca="1">INDEX(INDIRECT(_xlfn.CONCAT("weather.tbl[",S$1,"]")),MATCH(vp.tbl[[#This Row],[SDate]],weather.tbl[Date],0))</f>
        <v>-6.8</v>
      </c>
      <c r="T79" s="2">
        <f ca="1">INDEX(INDIRECT(_xlfn.CONCAT("weather.tbl[",T$1,"]")),MATCH(vp.tbl[[#This Row],[SDate]],weather.tbl[Date],0))</f>
        <v>-11.7</v>
      </c>
      <c r="U79" s="2">
        <f ca="1">INDEX(INDIRECT(_xlfn.CONCAT("weather.tbl[",U$1,"]")),MATCH(vp.tbl[[#This Row],[SDate]],weather.tbl[Date],0))</f>
        <v>-8.6999999999999993</v>
      </c>
      <c r="V79" s="2">
        <v>5078.8159999999998</v>
      </c>
      <c r="W79" t="s">
        <v>48</v>
      </c>
      <c r="X79">
        <f>IF(OR(vp.tbl[[#This Row],[Sulf]]="",vp.tbl[[#This Row],[Dens]]=""),1,0)</f>
        <v>0</v>
      </c>
      <c r="Y79">
        <f>IF(vp.tbl[[#This Row],[CrudeType]]="C5+",1,0)</f>
        <v>0</v>
      </c>
      <c r="Z79">
        <f>IF(AND(vp.tbl[[#This Row],[CrudeType]]="Crude",vp.tbl[[#This Row],[Dens]]&lt;=825,vp.tbl[[#This Row],[Sulf]]&gt;0.5,vp.tbl[[#This Row],[Unknown]]=0),1,0)</f>
        <v>0</v>
      </c>
      <c r="AA79">
        <f>IF(AND(vp.tbl[[#This Row],[CrudeType]]="Crude",vp.tbl[[#This Row],[Dens]]&lt;=825,vp.tbl[[#This Row],[Sulf]]&lt;=0.5,vp.tbl[[#This Row],[Unknown]]=0),1,0)</f>
        <v>0</v>
      </c>
      <c r="AB79">
        <f>IF(AND(vp.tbl[[#This Row],[CrudeType]]="Crude",vp.tbl[[#This Row],[Dens]]&gt;825,vp.tbl[[#This Row],[Dens]]&lt;=870,vp.tbl[[#This Row],[Sulf]]&gt;0.5,vp.tbl[[#This Row],[Unknown]]=0),1,0)</f>
        <v>1</v>
      </c>
      <c r="AC79">
        <f>IF(AND(vp.tbl[[#This Row],[CrudeType]]="Crude",vp.tbl[[#This Row],[Dens]]&gt;825,vp.tbl[[#This Row],[Dens]]&lt;=900,vp.tbl[[#This Row],[Sulf]]&lt;=0.5,vp.tbl[[#This Row],[Unknown]]=0),1,0)</f>
        <v>0</v>
      </c>
      <c r="AD79">
        <f>IF(AND(vp.tbl[[#This Row],[CrudeType]]="Crude",vp.tbl[[#This Row],[Dens]]&gt;870,vp.tbl[[#This Row],[Dens]]&lt;=900,vp.tbl[[#This Row],[Sulf]]&gt;0.5,vp.tbl[[#This Row],[Unknown]]=0),1,0)</f>
        <v>0</v>
      </c>
      <c r="AE79">
        <f>IF(AND(vp.tbl[[#This Row],[CrudeType]]="Crude",vp.tbl[[#This Row],[Dens]]&gt;900,vp.tbl[[#This Row],[Sulf]]&lt;=0.5,vp.tbl[[#This Row],[Unknown]]=0),1,0)</f>
        <v>0</v>
      </c>
      <c r="AF79">
        <f>IF(AND(vp.tbl[[#This Row],[CrudeType]]="Crude",vp.tbl[[#This Row],[Dens]]&gt;900,vp.tbl[[#This Row],[Sulf]]&lt;=0.5,vp.tbl[[#This Row],[Unknown]]=0),1,0)</f>
        <v>0</v>
      </c>
      <c r="AG79" t="str">
        <f>INDEX(vp.tbl[[#Headers],[Unknown]:[Heavy_SW]],MATCH(1,vp.tbl[[#This Row],[Unknown]:[Heavy_SW]],0))</f>
        <v>Medium_LSB</v>
      </c>
      <c r="AH79" t="e">
        <f>INDEX([1]!crudeBD.lkup[Number],MATCH(vp.tbl[[#This Row],[Crude_Breakdown]],[1]!crudeBD.lkup[Crude Breakdown],0))</f>
        <v>#REF!</v>
      </c>
      <c r="AI79">
        <f>MONTH(vp.tbl[[#This Row],[SDate]])</f>
        <v>1</v>
      </c>
      <c r="AJ79" s="5">
        <f>IFERROR(vp.tbl[[#This Row],[Sulf]]*vp.tbl[[#This Row],[Net Dens]],"")</f>
        <v>6386915.8489600001</v>
      </c>
      <c r="AK79" s="5">
        <f>IFERROR(vp.tbl[[#This Row],[Dens]]*vp.tbl[[#This Row],[VolumeM3]],"")</f>
        <v>4286520.7039999999</v>
      </c>
      <c r="AL79" s="5">
        <f>IFERROR(vp.tbl[[#This Row],[VP]]*vp.tbl[[#This Row],[VolumeM3]],"")</f>
        <v>475885.05920000002</v>
      </c>
      <c r="AM79" s="4">
        <f>IFERROR((vp.tbl[[#This Row],[VP]]-INDEX(crudeBD.lkup.complete[Mean_VP],MATCH(vp.tbl[[#This Row],[Crude_Breakdown]],crudeBD.lkup.complete[Crude Breakdown],0)))^2,"")</f>
        <v>182.96363393622926</v>
      </c>
      <c r="AN79" s="4">
        <f>IFERROR((vp.tbl[[#This Row],[Dens]]-INDEX(crudeBD.lkup.complete[Mean_Dens],MATCH(vp.tbl[[#This Row],[Crude_Breakdown]],crudeBD.lkup.complete[Crude Breakdown],0)))^2,"")</f>
        <v>1.6688061073520466</v>
      </c>
      <c r="AO79" s="4">
        <f>IFERROR((vp.tbl[[#This Row],[Sulf]]-INDEX(crudeBD.lkup.complete[Mean_Sulf],MATCH(vp.tbl[[#This Row],[Crude_Breakdown]],crudeBD.lkup.complete[Crude Breakdown],0)))^2,"")</f>
        <v>1.2299146663483974E-3</v>
      </c>
      <c r="AP79">
        <f>IF(AND(vp.tbl[[#This Row],[SDate]]&gt;=DATE(YEAR(vp.tbl[[#This Row],[SDate]]),5,1),vp.tbl[[#This Row],[SDate]]&lt;=DATE(YEAR(vp.tbl[[#This Row],[SDate]]),9,15)),1,0)</f>
        <v>0</v>
      </c>
      <c r="AQ79" s="15">
        <f>IF(vp.tbl[[#This Row],[SDate]]&lt;DATE(2016,12,1),0,1)</f>
        <v>0</v>
      </c>
    </row>
    <row r="80" spans="1:43" x14ac:dyDescent="0.25">
      <c r="A80">
        <v>79</v>
      </c>
      <c r="B80" t="s">
        <v>51</v>
      </c>
      <c r="C80" t="s">
        <v>51</v>
      </c>
      <c r="D80" t="s">
        <v>72</v>
      </c>
      <c r="F80" s="1">
        <v>42397</v>
      </c>
      <c r="G80" s="2">
        <v>75.400000000000006</v>
      </c>
      <c r="H80" s="2"/>
      <c r="I80" s="2">
        <v>1.08</v>
      </c>
      <c r="J80" s="2"/>
      <c r="K80" s="2"/>
      <c r="L80" s="2">
        <v>834</v>
      </c>
      <c r="M80" s="2">
        <v>834</v>
      </c>
      <c r="N80" s="2">
        <f ca="1">INDEX(INDIRECT(_xlfn.CONCAT("weather.tbl[",N$1,"]")),MATCH(vp.tbl[[#This Row],[SDate]],weather.tbl[Date],0))</f>
        <v>-3.7333333333333329</v>
      </c>
      <c r="O80" s="2">
        <f ca="1">INDEX(INDIRECT(_xlfn.CONCAT("weather.tbl[",O$1,"]")),MATCH(vp.tbl[[#This Row],[SDate]],weather.tbl[Date],0))</f>
        <v>-4.6976190476190478</v>
      </c>
      <c r="P80" s="2">
        <f ca="1">INDEX(INDIRECT(_xlfn.CONCAT("weather.tbl[",P$1,"]")),MATCH(vp.tbl[[#This Row],[SDate]],weather.tbl[Date],0))</f>
        <v>-3.5</v>
      </c>
      <c r="Q80" s="2">
        <f ca="1">INDEX(INDIRECT(_xlfn.CONCAT("weather.tbl[",Q$1,"]")),MATCH(vp.tbl[[#This Row],[SDate]],weather.tbl[Date],0))</f>
        <v>-4.2</v>
      </c>
      <c r="R80" s="2">
        <f ca="1">INDEX(INDIRECT(_xlfn.CONCAT("weather.tbl[",R$1,"]")),MATCH(vp.tbl[[#This Row],[SDate]],weather.tbl[Date],0))</f>
        <v>-3.8</v>
      </c>
      <c r="S80" s="2">
        <f ca="1">INDEX(INDIRECT(_xlfn.CONCAT("weather.tbl[",S$1,"]")),MATCH(vp.tbl[[#This Row],[SDate]],weather.tbl[Date],0))</f>
        <v>-5.5</v>
      </c>
      <c r="T80" s="2">
        <f ca="1">INDEX(INDIRECT(_xlfn.CONCAT("weather.tbl[",T$1,"]")),MATCH(vp.tbl[[#This Row],[SDate]],weather.tbl[Date],0))</f>
        <v>-1.7</v>
      </c>
      <c r="U80" s="2">
        <f ca="1">INDEX(INDIRECT(_xlfn.CONCAT("weather.tbl[",U$1,"]")),MATCH(vp.tbl[[#This Row],[SDate]],weather.tbl[Date],0))</f>
        <v>-3.7</v>
      </c>
      <c r="V80" s="2">
        <v>4911.7619999999997</v>
      </c>
      <c r="W80" t="s">
        <v>48</v>
      </c>
      <c r="X80">
        <f>IF(OR(vp.tbl[[#This Row],[Sulf]]="",vp.tbl[[#This Row],[Dens]]=""),1,0)</f>
        <v>0</v>
      </c>
      <c r="Y80">
        <f>IF(vp.tbl[[#This Row],[CrudeType]]="C5+",1,0)</f>
        <v>0</v>
      </c>
      <c r="Z80">
        <f>IF(AND(vp.tbl[[#This Row],[CrudeType]]="Crude",vp.tbl[[#This Row],[Dens]]&lt;=825,vp.tbl[[#This Row],[Sulf]]&gt;0.5,vp.tbl[[#This Row],[Unknown]]=0),1,0)</f>
        <v>0</v>
      </c>
      <c r="AA80">
        <f>IF(AND(vp.tbl[[#This Row],[CrudeType]]="Crude",vp.tbl[[#This Row],[Dens]]&lt;=825,vp.tbl[[#This Row],[Sulf]]&lt;=0.5,vp.tbl[[#This Row],[Unknown]]=0),1,0)</f>
        <v>0</v>
      </c>
      <c r="AB80">
        <f>IF(AND(vp.tbl[[#This Row],[CrudeType]]="Crude",vp.tbl[[#This Row],[Dens]]&gt;825,vp.tbl[[#This Row],[Dens]]&lt;=870,vp.tbl[[#This Row],[Sulf]]&gt;0.5,vp.tbl[[#This Row],[Unknown]]=0),1,0)</f>
        <v>1</v>
      </c>
      <c r="AC80">
        <f>IF(AND(vp.tbl[[#This Row],[CrudeType]]="Crude",vp.tbl[[#This Row],[Dens]]&gt;825,vp.tbl[[#This Row],[Dens]]&lt;=900,vp.tbl[[#This Row],[Sulf]]&lt;=0.5,vp.tbl[[#This Row],[Unknown]]=0),1,0)</f>
        <v>0</v>
      </c>
      <c r="AD80">
        <f>IF(AND(vp.tbl[[#This Row],[CrudeType]]="Crude",vp.tbl[[#This Row],[Dens]]&gt;870,vp.tbl[[#This Row],[Dens]]&lt;=900,vp.tbl[[#This Row],[Sulf]]&gt;0.5,vp.tbl[[#This Row],[Unknown]]=0),1,0)</f>
        <v>0</v>
      </c>
      <c r="AE80">
        <f>IF(AND(vp.tbl[[#This Row],[CrudeType]]="Crude",vp.tbl[[#This Row],[Dens]]&gt;900,vp.tbl[[#This Row],[Sulf]]&lt;=0.5,vp.tbl[[#This Row],[Unknown]]=0),1,0)</f>
        <v>0</v>
      </c>
      <c r="AF80">
        <f>IF(AND(vp.tbl[[#This Row],[CrudeType]]="Crude",vp.tbl[[#This Row],[Dens]]&gt;900,vp.tbl[[#This Row],[Sulf]]&lt;=0.5,vp.tbl[[#This Row],[Unknown]]=0),1,0)</f>
        <v>0</v>
      </c>
      <c r="AG80" t="str">
        <f>INDEX(vp.tbl[[#Headers],[Unknown]:[Heavy_SW]],MATCH(1,vp.tbl[[#This Row],[Unknown]:[Heavy_SW]],0))</f>
        <v>Medium_LSB</v>
      </c>
      <c r="AH80" t="e">
        <f>INDEX([1]!crudeBD.lkup[Number],MATCH(vp.tbl[[#This Row],[Crude_Breakdown]],[1]!crudeBD.lkup[Crude Breakdown],0))</f>
        <v>#REF!</v>
      </c>
      <c r="AI80">
        <f>MONTH(vp.tbl[[#This Row],[SDate]])</f>
        <v>1</v>
      </c>
      <c r="AJ80" s="5">
        <f>IFERROR(vp.tbl[[#This Row],[Sulf]]*vp.tbl[[#This Row],[Net Dens]],"")</f>
        <v>4424122.2686400004</v>
      </c>
      <c r="AK80" s="5">
        <f>IFERROR(vp.tbl[[#This Row],[Dens]]*vp.tbl[[#This Row],[VolumeM3]],"")</f>
        <v>4096409.5079999999</v>
      </c>
      <c r="AL80" s="5">
        <f>IFERROR(vp.tbl[[#This Row],[VP]]*vp.tbl[[#This Row],[VolumeM3]],"")</f>
        <v>370346.85480000003</v>
      </c>
      <c r="AM80" s="4">
        <f>IFERROR((vp.tbl[[#This Row],[VP]]-INDEX(crudeBD.lkup.complete[Mean_VP],MATCH(vp.tbl[[#This Row],[Crude_Breakdown]],crudeBD.lkup.complete[Crude Breakdown],0)))^2,"")</f>
        <v>22.787208619772066</v>
      </c>
      <c r="AN80" s="4">
        <f>IFERROR((vp.tbl[[#This Row],[Dens]]-INDEX(crudeBD.lkup.complete[Mean_Dens],MATCH(vp.tbl[[#This Row],[Crude_Breakdown]],crudeBD.lkup.complete[Crude Breakdown],0)))^2,"")</f>
        <v>127.50526180353488</v>
      </c>
      <c r="AO80" s="4">
        <f>IFERROR((vp.tbl[[#This Row],[Sulf]]-INDEX(crudeBD.lkup.complete[Mean_Sulf],MATCH(vp.tbl[[#This Row],[Crude_Breakdown]],crudeBD.lkup.complete[Crude Breakdown],0)))^2,"")</f>
        <v>0.14057240048913436</v>
      </c>
      <c r="AP80">
        <f>IF(AND(vp.tbl[[#This Row],[SDate]]&gt;=DATE(YEAR(vp.tbl[[#This Row],[SDate]]),5,1),vp.tbl[[#This Row],[SDate]]&lt;=DATE(YEAR(vp.tbl[[#This Row],[SDate]]),9,15)),1,0)</f>
        <v>0</v>
      </c>
      <c r="AQ80" s="15">
        <f>IF(vp.tbl[[#This Row],[SDate]]&lt;DATE(2016,12,1),0,1)</f>
        <v>0</v>
      </c>
    </row>
    <row r="81" spans="1:43" x14ac:dyDescent="0.25">
      <c r="A81">
        <v>80</v>
      </c>
      <c r="B81" t="s">
        <v>51</v>
      </c>
      <c r="C81" t="s">
        <v>51</v>
      </c>
      <c r="D81" t="s">
        <v>66</v>
      </c>
      <c r="F81" s="1">
        <v>42398</v>
      </c>
      <c r="G81" s="2">
        <v>113.9</v>
      </c>
      <c r="H81" s="2"/>
      <c r="I81" s="2">
        <v>0.95</v>
      </c>
      <c r="J81" s="2"/>
      <c r="K81" s="2"/>
      <c r="L81" s="2">
        <v>827.8</v>
      </c>
      <c r="M81" s="2">
        <v>827.8</v>
      </c>
      <c r="N81" s="2">
        <f ca="1">INDEX(INDIRECT(_xlfn.CONCAT("weather.tbl[",N$1,"]")),MATCH(vp.tbl[[#This Row],[SDate]],weather.tbl[Date],0))</f>
        <v>0.46666666666666662</v>
      </c>
      <c r="O81" s="2">
        <f ca="1">INDEX(INDIRECT(_xlfn.CONCAT("weather.tbl[",O$1,"]")),MATCH(vp.tbl[[#This Row],[SDate]],weather.tbl[Date],0))</f>
        <v>-3.3595238095238096</v>
      </c>
      <c r="P81" s="2">
        <f ca="1">INDEX(INDIRECT(_xlfn.CONCAT("weather.tbl[",P$1,"]")),MATCH(vp.tbl[[#This Row],[SDate]],weather.tbl[Date],0))</f>
        <v>1.8</v>
      </c>
      <c r="Q81" s="2">
        <f ca="1">INDEX(INDIRECT(_xlfn.CONCAT("weather.tbl[",Q$1,"]")),MATCH(vp.tbl[[#This Row],[SDate]],weather.tbl[Date],0))</f>
        <v>2.2000000000000002</v>
      </c>
      <c r="R81" s="2">
        <f ca="1">INDEX(INDIRECT(_xlfn.CONCAT("weather.tbl[",R$1,"]")),MATCH(vp.tbl[[#This Row],[SDate]],weather.tbl[Date],0))</f>
        <v>0.3</v>
      </c>
      <c r="S81" s="2">
        <f ca="1">INDEX(INDIRECT(_xlfn.CONCAT("weather.tbl[",S$1,"]")),MATCH(vp.tbl[[#This Row],[SDate]],weather.tbl[Date],0))</f>
        <v>-5.5</v>
      </c>
      <c r="T81" s="2">
        <f ca="1">INDEX(INDIRECT(_xlfn.CONCAT("weather.tbl[",T$1,"]")),MATCH(vp.tbl[[#This Row],[SDate]],weather.tbl[Date],0))</f>
        <v>1.9</v>
      </c>
      <c r="U81" s="2">
        <f ca="1">INDEX(INDIRECT(_xlfn.CONCAT("weather.tbl[",U$1,"]")),MATCH(vp.tbl[[#This Row],[SDate]],weather.tbl[Date],0))</f>
        <v>2.1</v>
      </c>
      <c r="V81" s="2">
        <v>5160.3289999999997</v>
      </c>
      <c r="W81" t="s">
        <v>48</v>
      </c>
      <c r="X81">
        <f>IF(OR(vp.tbl[[#This Row],[Sulf]]="",vp.tbl[[#This Row],[Dens]]=""),1,0)</f>
        <v>0</v>
      </c>
      <c r="Y81">
        <f>IF(vp.tbl[[#This Row],[CrudeType]]="C5+",1,0)</f>
        <v>0</v>
      </c>
      <c r="Z81">
        <f>IF(AND(vp.tbl[[#This Row],[CrudeType]]="Crude",vp.tbl[[#This Row],[Dens]]&lt;=825,vp.tbl[[#This Row],[Sulf]]&gt;0.5,vp.tbl[[#This Row],[Unknown]]=0),1,0)</f>
        <v>0</v>
      </c>
      <c r="AA81">
        <f>IF(AND(vp.tbl[[#This Row],[CrudeType]]="Crude",vp.tbl[[#This Row],[Dens]]&lt;=825,vp.tbl[[#This Row],[Sulf]]&lt;=0.5,vp.tbl[[#This Row],[Unknown]]=0),1,0)</f>
        <v>0</v>
      </c>
      <c r="AB81">
        <f>IF(AND(vp.tbl[[#This Row],[CrudeType]]="Crude",vp.tbl[[#This Row],[Dens]]&gt;825,vp.tbl[[#This Row],[Dens]]&lt;=870,vp.tbl[[#This Row],[Sulf]]&gt;0.5,vp.tbl[[#This Row],[Unknown]]=0),1,0)</f>
        <v>1</v>
      </c>
      <c r="AC81">
        <f>IF(AND(vp.tbl[[#This Row],[CrudeType]]="Crude",vp.tbl[[#This Row],[Dens]]&gt;825,vp.tbl[[#This Row],[Dens]]&lt;=900,vp.tbl[[#This Row],[Sulf]]&lt;=0.5,vp.tbl[[#This Row],[Unknown]]=0),1,0)</f>
        <v>0</v>
      </c>
      <c r="AD81">
        <f>IF(AND(vp.tbl[[#This Row],[CrudeType]]="Crude",vp.tbl[[#This Row],[Dens]]&gt;870,vp.tbl[[#This Row],[Dens]]&lt;=900,vp.tbl[[#This Row],[Sulf]]&gt;0.5,vp.tbl[[#This Row],[Unknown]]=0),1,0)</f>
        <v>0</v>
      </c>
      <c r="AE81">
        <f>IF(AND(vp.tbl[[#This Row],[CrudeType]]="Crude",vp.tbl[[#This Row],[Dens]]&gt;900,vp.tbl[[#This Row],[Sulf]]&lt;=0.5,vp.tbl[[#This Row],[Unknown]]=0),1,0)</f>
        <v>0</v>
      </c>
      <c r="AF81">
        <f>IF(AND(vp.tbl[[#This Row],[CrudeType]]="Crude",vp.tbl[[#This Row],[Dens]]&gt;900,vp.tbl[[#This Row],[Sulf]]&lt;=0.5,vp.tbl[[#This Row],[Unknown]]=0),1,0)</f>
        <v>0</v>
      </c>
      <c r="AG81" t="str">
        <f>INDEX(vp.tbl[[#Headers],[Unknown]:[Heavy_SW]],MATCH(1,vp.tbl[[#This Row],[Unknown]:[Heavy_SW]],0))</f>
        <v>Medium_LSB</v>
      </c>
      <c r="AH81" t="e">
        <f>INDEX([1]!crudeBD.lkup[Number],MATCH(vp.tbl[[#This Row],[Crude_Breakdown]],[1]!crudeBD.lkup[Crude Breakdown],0))</f>
        <v>#REF!</v>
      </c>
      <c r="AI81">
        <f>MONTH(vp.tbl[[#This Row],[SDate]])</f>
        <v>1</v>
      </c>
      <c r="AJ81" s="5">
        <f>IFERROR(vp.tbl[[#This Row],[Sulf]]*vp.tbl[[#This Row],[Net Dens]],"")</f>
        <v>4058134.3288899995</v>
      </c>
      <c r="AK81" s="5">
        <f>IFERROR(vp.tbl[[#This Row],[Dens]]*vp.tbl[[#This Row],[VolumeM3]],"")</f>
        <v>4271720.3461999996</v>
      </c>
      <c r="AL81" s="5">
        <f>IFERROR(vp.tbl[[#This Row],[VP]]*vp.tbl[[#This Row],[VolumeM3]],"")</f>
        <v>587761.47309999994</v>
      </c>
      <c r="AM81" s="4">
        <f>IFERROR((vp.tbl[[#This Row],[VP]]-INDEX(crudeBD.lkup.complete[Mean_VP],MATCH(vp.tbl[[#This Row],[Crude_Breakdown]],crudeBD.lkup.complete[Crude Breakdown],0)))^2,"")</f>
        <v>1137.470398493193</v>
      </c>
      <c r="AN81" s="4">
        <f>IFERROR((vp.tbl[[#This Row],[Dens]]-INDEX(crudeBD.lkup.complete[Mean_Dens],MATCH(vp.tbl[[#This Row],[Crude_Breakdown]],crudeBD.lkup.complete[Crude Breakdown],0)))^2,"")</f>
        <v>305.96386433516983</v>
      </c>
      <c r="AO81" s="4">
        <f>IFERROR((vp.tbl[[#This Row],[Sulf]]-INDEX(crudeBD.lkup.complete[Mean_Sulf],MATCH(vp.tbl[[#This Row],[Crude_Breakdown]],crudeBD.lkup.complete[Crude Breakdown],0)))^2,"")</f>
        <v>0.25495416428660322</v>
      </c>
      <c r="AP81">
        <f>IF(AND(vp.tbl[[#This Row],[SDate]]&gt;=DATE(YEAR(vp.tbl[[#This Row],[SDate]]),5,1),vp.tbl[[#This Row],[SDate]]&lt;=DATE(YEAR(vp.tbl[[#This Row],[SDate]]),9,15)),1,0)</f>
        <v>0</v>
      </c>
      <c r="AQ81" s="15">
        <f>IF(vp.tbl[[#This Row],[SDate]]&lt;DATE(2016,12,1),0,1)</f>
        <v>0</v>
      </c>
    </row>
    <row r="82" spans="1:43" x14ac:dyDescent="0.25">
      <c r="A82">
        <v>81</v>
      </c>
      <c r="B82" t="s">
        <v>51</v>
      </c>
      <c r="C82" t="s">
        <v>51</v>
      </c>
      <c r="D82" t="s">
        <v>72</v>
      </c>
      <c r="F82" s="1">
        <v>42401</v>
      </c>
      <c r="G82" s="2">
        <v>113.5</v>
      </c>
      <c r="H82" s="2"/>
      <c r="I82" s="2">
        <v>1.08</v>
      </c>
      <c r="J82" s="2"/>
      <c r="K82" s="2"/>
      <c r="L82" s="2">
        <v>834.8</v>
      </c>
      <c r="M82" s="2">
        <v>834.8</v>
      </c>
      <c r="N82" s="2">
        <f ca="1">INDEX(INDIRECT(_xlfn.CONCAT("weather.tbl[",N$1,"]")),MATCH(vp.tbl[[#This Row],[SDate]],weather.tbl[Date],0))</f>
        <v>-6.5</v>
      </c>
      <c r="O82" s="2">
        <f ca="1">INDEX(INDIRECT(_xlfn.CONCAT("weather.tbl[",O$1,"]")),MATCH(vp.tbl[[#This Row],[SDate]],weather.tbl[Date],0))</f>
        <v>-3.4119047619047618</v>
      </c>
      <c r="P82" s="2">
        <f ca="1">INDEX(INDIRECT(_xlfn.CONCAT("weather.tbl[",P$1,"]")),MATCH(vp.tbl[[#This Row],[SDate]],weather.tbl[Date],0))</f>
        <v>-7.1</v>
      </c>
      <c r="Q82" s="2">
        <f ca="1">INDEX(INDIRECT(_xlfn.CONCAT("weather.tbl[",Q$1,"]")),MATCH(vp.tbl[[#This Row],[SDate]],weather.tbl[Date],0))</f>
        <v>-7.4</v>
      </c>
      <c r="R82" s="2">
        <f ca="1">INDEX(INDIRECT(_xlfn.CONCAT("weather.tbl[",R$1,"]")),MATCH(vp.tbl[[#This Row],[SDate]],weather.tbl[Date],0))</f>
        <v>-7.3</v>
      </c>
      <c r="S82" s="2">
        <f ca="1">INDEX(INDIRECT(_xlfn.CONCAT("weather.tbl[",S$1,"]")),MATCH(vp.tbl[[#This Row],[SDate]],weather.tbl[Date],0))</f>
        <v>-5.5</v>
      </c>
      <c r="T82" s="2">
        <f ca="1">INDEX(INDIRECT(_xlfn.CONCAT("weather.tbl[",T$1,"]")),MATCH(vp.tbl[[#This Row],[SDate]],weather.tbl[Date],0))</f>
        <v>-5.2</v>
      </c>
      <c r="U82" s="2">
        <f ca="1">INDEX(INDIRECT(_xlfn.CONCAT("weather.tbl[",U$1,"]")),MATCH(vp.tbl[[#This Row],[SDate]],weather.tbl[Date],0))</f>
        <v>-6.5</v>
      </c>
      <c r="V82" s="2">
        <v>4509.8549999999996</v>
      </c>
      <c r="W82" t="s">
        <v>48</v>
      </c>
      <c r="X82">
        <f>IF(OR(vp.tbl[[#This Row],[Sulf]]="",vp.tbl[[#This Row],[Dens]]=""),1,0)</f>
        <v>0</v>
      </c>
      <c r="Y82">
        <f>IF(vp.tbl[[#This Row],[CrudeType]]="C5+",1,0)</f>
        <v>0</v>
      </c>
      <c r="Z82">
        <f>IF(AND(vp.tbl[[#This Row],[CrudeType]]="Crude",vp.tbl[[#This Row],[Dens]]&lt;=825,vp.tbl[[#This Row],[Sulf]]&gt;0.5,vp.tbl[[#This Row],[Unknown]]=0),1,0)</f>
        <v>0</v>
      </c>
      <c r="AA82">
        <f>IF(AND(vp.tbl[[#This Row],[CrudeType]]="Crude",vp.tbl[[#This Row],[Dens]]&lt;=825,vp.tbl[[#This Row],[Sulf]]&lt;=0.5,vp.tbl[[#This Row],[Unknown]]=0),1,0)</f>
        <v>0</v>
      </c>
      <c r="AB82">
        <f>IF(AND(vp.tbl[[#This Row],[CrudeType]]="Crude",vp.tbl[[#This Row],[Dens]]&gt;825,vp.tbl[[#This Row],[Dens]]&lt;=870,vp.tbl[[#This Row],[Sulf]]&gt;0.5,vp.tbl[[#This Row],[Unknown]]=0),1,0)</f>
        <v>1</v>
      </c>
      <c r="AC82">
        <f>IF(AND(vp.tbl[[#This Row],[CrudeType]]="Crude",vp.tbl[[#This Row],[Dens]]&gt;825,vp.tbl[[#This Row],[Dens]]&lt;=900,vp.tbl[[#This Row],[Sulf]]&lt;=0.5,vp.tbl[[#This Row],[Unknown]]=0),1,0)</f>
        <v>0</v>
      </c>
      <c r="AD82">
        <f>IF(AND(vp.tbl[[#This Row],[CrudeType]]="Crude",vp.tbl[[#This Row],[Dens]]&gt;870,vp.tbl[[#This Row],[Dens]]&lt;=900,vp.tbl[[#This Row],[Sulf]]&gt;0.5,vp.tbl[[#This Row],[Unknown]]=0),1,0)</f>
        <v>0</v>
      </c>
      <c r="AE82">
        <f>IF(AND(vp.tbl[[#This Row],[CrudeType]]="Crude",vp.tbl[[#This Row],[Dens]]&gt;900,vp.tbl[[#This Row],[Sulf]]&lt;=0.5,vp.tbl[[#This Row],[Unknown]]=0),1,0)</f>
        <v>0</v>
      </c>
      <c r="AF82">
        <f>IF(AND(vp.tbl[[#This Row],[CrudeType]]="Crude",vp.tbl[[#This Row],[Dens]]&gt;900,vp.tbl[[#This Row],[Sulf]]&lt;=0.5,vp.tbl[[#This Row],[Unknown]]=0),1,0)</f>
        <v>0</v>
      </c>
      <c r="AG82" t="str">
        <f>INDEX(vp.tbl[[#Headers],[Unknown]:[Heavy_SW]],MATCH(1,vp.tbl[[#This Row],[Unknown]:[Heavy_SW]],0))</f>
        <v>Medium_LSB</v>
      </c>
      <c r="AH82" t="e">
        <f>INDEX([1]!crudeBD.lkup[Number],MATCH(vp.tbl[[#This Row],[Crude_Breakdown]],[1]!crudeBD.lkup[Crude Breakdown],0))</f>
        <v>#REF!</v>
      </c>
      <c r="AI82">
        <f>MONTH(vp.tbl[[#This Row],[SDate]])</f>
        <v>2</v>
      </c>
      <c r="AJ82" s="5">
        <f>IFERROR(vp.tbl[[#This Row],[Sulf]]*vp.tbl[[#This Row],[Net Dens]],"")</f>
        <v>4066013.1103199995</v>
      </c>
      <c r="AK82" s="5">
        <f>IFERROR(vp.tbl[[#This Row],[Dens]]*vp.tbl[[#This Row],[VolumeM3]],"")</f>
        <v>3764826.9539999994</v>
      </c>
      <c r="AL82" s="5">
        <f>IFERROR(vp.tbl[[#This Row],[VP]]*vp.tbl[[#This Row],[VolumeM3]],"")</f>
        <v>511868.54249999992</v>
      </c>
      <c r="AM82" s="4">
        <f>IFERROR((vp.tbl[[#This Row],[VP]]-INDEX(crudeBD.lkup.complete[Mean_VP],MATCH(vp.tbl[[#This Row],[Crude_Breakdown]],crudeBD.lkup.complete[Crude Breakdown],0)))^2,"")</f>
        <v>1110.6492744425598</v>
      </c>
      <c r="AN82" s="4">
        <f>IFERROR((vp.tbl[[#This Row],[Dens]]-INDEX(crudeBD.lkup.complete[Mean_Dens],MATCH(vp.tbl[[#This Row],[Crude_Breakdown]],crudeBD.lkup.complete[Crude Breakdown],0)))^2,"")</f>
        <v>110.07834534784121</v>
      </c>
      <c r="AO82" s="4">
        <f>IFERROR((vp.tbl[[#This Row],[Sulf]]-INDEX(crudeBD.lkup.complete[Mean_Sulf],MATCH(vp.tbl[[#This Row],[Crude_Breakdown]],crudeBD.lkup.complete[Crude Breakdown],0)))^2,"")</f>
        <v>0.14057240048913436</v>
      </c>
      <c r="AP82">
        <f>IF(AND(vp.tbl[[#This Row],[SDate]]&gt;=DATE(YEAR(vp.tbl[[#This Row],[SDate]]),5,1),vp.tbl[[#This Row],[SDate]]&lt;=DATE(YEAR(vp.tbl[[#This Row],[SDate]]),9,15)),1,0)</f>
        <v>0</v>
      </c>
      <c r="AQ82" s="15">
        <f>IF(vp.tbl[[#This Row],[SDate]]&lt;DATE(2016,12,1),0,1)</f>
        <v>0</v>
      </c>
    </row>
    <row r="83" spans="1:43" x14ac:dyDescent="0.25">
      <c r="A83">
        <v>82</v>
      </c>
      <c r="B83" t="s">
        <v>51</v>
      </c>
      <c r="C83" t="s">
        <v>51</v>
      </c>
      <c r="D83" t="s">
        <v>66</v>
      </c>
      <c r="F83" s="1">
        <v>42403</v>
      </c>
      <c r="G83" s="2">
        <v>116.1</v>
      </c>
      <c r="H83" s="2"/>
      <c r="I83" s="2">
        <v>0.95</v>
      </c>
      <c r="J83" s="2"/>
      <c r="K83" s="2"/>
      <c r="L83" s="2">
        <v>828.3</v>
      </c>
      <c r="M83" s="2">
        <v>828.3</v>
      </c>
      <c r="N83" s="2">
        <f ca="1">INDEX(INDIRECT(_xlfn.CONCAT("weather.tbl[",N$1,"]")),MATCH(vp.tbl[[#This Row],[SDate]],weather.tbl[Date],0))</f>
        <v>-7.75</v>
      </c>
      <c r="O83" s="2">
        <f ca="1">INDEX(INDIRECT(_xlfn.CONCAT("weather.tbl[",O$1,"]")),MATCH(vp.tbl[[#This Row],[SDate]],weather.tbl[Date],0))</f>
        <v>-4.7285714285714286</v>
      </c>
      <c r="P83" s="2">
        <f ca="1">INDEX(INDIRECT(_xlfn.CONCAT("weather.tbl[",P$1,"]")),MATCH(vp.tbl[[#This Row],[SDate]],weather.tbl[Date],0))</f>
        <v>-7.1</v>
      </c>
      <c r="Q83" s="2">
        <f ca="1">INDEX(INDIRECT(_xlfn.CONCAT("weather.tbl[",Q$1,"]")),MATCH(vp.tbl[[#This Row],[SDate]],weather.tbl[Date],0))</f>
        <v>-7.5</v>
      </c>
      <c r="R83" s="2">
        <f ca="1">INDEX(INDIRECT(_xlfn.CONCAT("weather.tbl[",R$1,"]")),MATCH(vp.tbl[[#This Row],[SDate]],weather.tbl[Date],0))</f>
        <v>-9.5</v>
      </c>
      <c r="S83" s="2">
        <f ca="1">INDEX(INDIRECT(_xlfn.CONCAT("weather.tbl[",S$1,"]")),MATCH(vp.tbl[[#This Row],[SDate]],weather.tbl[Date],0))</f>
        <v>-4.8</v>
      </c>
      <c r="T83" s="2">
        <f ca="1">INDEX(INDIRECT(_xlfn.CONCAT("weather.tbl[",T$1,"]")),MATCH(vp.tbl[[#This Row],[SDate]],weather.tbl[Date],0))</f>
        <v>-8.3000000000000007</v>
      </c>
      <c r="U83" s="2">
        <f ca="1">INDEX(INDIRECT(_xlfn.CONCAT("weather.tbl[",U$1,"]")),MATCH(vp.tbl[[#This Row],[SDate]],weather.tbl[Date],0))</f>
        <v>-9.3000000000000007</v>
      </c>
      <c r="V83" s="2">
        <v>5006.799</v>
      </c>
      <c r="W83" t="s">
        <v>48</v>
      </c>
      <c r="X83">
        <f>IF(OR(vp.tbl[[#This Row],[Sulf]]="",vp.tbl[[#This Row],[Dens]]=""),1,0)</f>
        <v>0</v>
      </c>
      <c r="Y83">
        <f>IF(vp.tbl[[#This Row],[CrudeType]]="C5+",1,0)</f>
        <v>0</v>
      </c>
      <c r="Z83">
        <f>IF(AND(vp.tbl[[#This Row],[CrudeType]]="Crude",vp.tbl[[#This Row],[Dens]]&lt;=825,vp.tbl[[#This Row],[Sulf]]&gt;0.5,vp.tbl[[#This Row],[Unknown]]=0),1,0)</f>
        <v>0</v>
      </c>
      <c r="AA83">
        <f>IF(AND(vp.tbl[[#This Row],[CrudeType]]="Crude",vp.tbl[[#This Row],[Dens]]&lt;=825,vp.tbl[[#This Row],[Sulf]]&lt;=0.5,vp.tbl[[#This Row],[Unknown]]=0),1,0)</f>
        <v>0</v>
      </c>
      <c r="AB83">
        <f>IF(AND(vp.tbl[[#This Row],[CrudeType]]="Crude",vp.tbl[[#This Row],[Dens]]&gt;825,vp.tbl[[#This Row],[Dens]]&lt;=870,vp.tbl[[#This Row],[Sulf]]&gt;0.5,vp.tbl[[#This Row],[Unknown]]=0),1,0)</f>
        <v>1</v>
      </c>
      <c r="AC83">
        <f>IF(AND(vp.tbl[[#This Row],[CrudeType]]="Crude",vp.tbl[[#This Row],[Dens]]&gt;825,vp.tbl[[#This Row],[Dens]]&lt;=900,vp.tbl[[#This Row],[Sulf]]&lt;=0.5,vp.tbl[[#This Row],[Unknown]]=0),1,0)</f>
        <v>0</v>
      </c>
      <c r="AD83">
        <f>IF(AND(vp.tbl[[#This Row],[CrudeType]]="Crude",vp.tbl[[#This Row],[Dens]]&gt;870,vp.tbl[[#This Row],[Dens]]&lt;=900,vp.tbl[[#This Row],[Sulf]]&gt;0.5,vp.tbl[[#This Row],[Unknown]]=0),1,0)</f>
        <v>0</v>
      </c>
      <c r="AE83">
        <f>IF(AND(vp.tbl[[#This Row],[CrudeType]]="Crude",vp.tbl[[#This Row],[Dens]]&gt;900,vp.tbl[[#This Row],[Sulf]]&lt;=0.5,vp.tbl[[#This Row],[Unknown]]=0),1,0)</f>
        <v>0</v>
      </c>
      <c r="AF83">
        <f>IF(AND(vp.tbl[[#This Row],[CrudeType]]="Crude",vp.tbl[[#This Row],[Dens]]&gt;900,vp.tbl[[#This Row],[Sulf]]&lt;=0.5,vp.tbl[[#This Row],[Unknown]]=0),1,0)</f>
        <v>0</v>
      </c>
      <c r="AG83" t="str">
        <f>INDEX(vp.tbl[[#Headers],[Unknown]:[Heavy_SW]],MATCH(1,vp.tbl[[#This Row],[Unknown]:[Heavy_SW]],0))</f>
        <v>Medium_LSB</v>
      </c>
      <c r="AH83" t="e">
        <f>INDEX([1]!crudeBD.lkup[Number],MATCH(vp.tbl[[#This Row],[Crude_Breakdown]],[1]!crudeBD.lkup[Crude Breakdown],0))</f>
        <v>#REF!</v>
      </c>
      <c r="AI83">
        <f>MONTH(vp.tbl[[#This Row],[SDate]])</f>
        <v>2</v>
      </c>
      <c r="AJ83" s="5">
        <f>IFERROR(vp.tbl[[#This Row],[Sulf]]*vp.tbl[[#This Row],[Net Dens]],"")</f>
        <v>3939775.0311149997</v>
      </c>
      <c r="AK83" s="5">
        <f>IFERROR(vp.tbl[[#This Row],[Dens]]*vp.tbl[[#This Row],[VolumeM3]],"")</f>
        <v>4147131.6116999998</v>
      </c>
      <c r="AL83" s="5">
        <f>IFERROR(vp.tbl[[#This Row],[VP]]*vp.tbl[[#This Row],[VolumeM3]],"")</f>
        <v>581289.3639</v>
      </c>
      <c r="AM83" s="4">
        <f>IFERROR((vp.tbl[[#This Row],[VP]]-INDEX(crudeBD.lkup.complete[Mean_VP],MATCH(vp.tbl[[#This Row],[Crude_Breakdown]],crudeBD.lkup.complete[Crude Breakdown],0)))^2,"")</f>
        <v>1290.7065807716735</v>
      </c>
      <c r="AN83" s="4">
        <f>IFERROR((vp.tbl[[#This Row],[Dens]]-INDEX(crudeBD.lkup.complete[Mean_Dens],MATCH(vp.tbl[[#This Row],[Crude_Breakdown]],crudeBD.lkup.complete[Crude Breakdown],0)))^2,"")</f>
        <v>288.72204155036064</v>
      </c>
      <c r="AO83" s="4">
        <f>IFERROR((vp.tbl[[#This Row],[Sulf]]-INDEX(crudeBD.lkup.complete[Mean_Sulf],MATCH(vp.tbl[[#This Row],[Crude_Breakdown]],crudeBD.lkup.complete[Crude Breakdown],0)))^2,"")</f>
        <v>0.25495416428660322</v>
      </c>
      <c r="AP83">
        <f>IF(AND(vp.tbl[[#This Row],[SDate]]&gt;=DATE(YEAR(vp.tbl[[#This Row],[SDate]]),5,1),vp.tbl[[#This Row],[SDate]]&lt;=DATE(YEAR(vp.tbl[[#This Row],[SDate]]),9,15)),1,0)</f>
        <v>0</v>
      </c>
      <c r="AQ83" s="15">
        <f>IF(vp.tbl[[#This Row],[SDate]]&lt;DATE(2016,12,1),0,1)</f>
        <v>0</v>
      </c>
    </row>
    <row r="84" spans="1:43" x14ac:dyDescent="0.25">
      <c r="A84">
        <v>83</v>
      </c>
      <c r="B84" t="s">
        <v>56</v>
      </c>
      <c r="C84" t="s">
        <v>56</v>
      </c>
      <c r="D84" t="s">
        <v>57</v>
      </c>
      <c r="F84" s="1">
        <v>42403</v>
      </c>
      <c r="G84" s="2">
        <v>92.1</v>
      </c>
      <c r="H84" s="2"/>
      <c r="I84" s="2">
        <v>1.44</v>
      </c>
      <c r="J84" s="2"/>
      <c r="K84" s="2"/>
      <c r="L84" s="2">
        <v>845.5</v>
      </c>
      <c r="M84" s="2">
        <v>845.5</v>
      </c>
      <c r="N84" s="2">
        <f ca="1">INDEX(INDIRECT(_xlfn.CONCAT("weather.tbl[",N$1,"]")),MATCH(vp.tbl[[#This Row],[SDate]],weather.tbl[Date],0))</f>
        <v>-7.75</v>
      </c>
      <c r="O84" s="2">
        <f ca="1">INDEX(INDIRECT(_xlfn.CONCAT("weather.tbl[",O$1,"]")),MATCH(vp.tbl[[#This Row],[SDate]],weather.tbl[Date],0))</f>
        <v>-4.7285714285714286</v>
      </c>
      <c r="P84" s="2">
        <f ca="1">INDEX(INDIRECT(_xlfn.CONCAT("weather.tbl[",P$1,"]")),MATCH(vp.tbl[[#This Row],[SDate]],weather.tbl[Date],0))</f>
        <v>-7.1</v>
      </c>
      <c r="Q84" s="2">
        <f ca="1">INDEX(INDIRECT(_xlfn.CONCAT("weather.tbl[",Q$1,"]")),MATCH(vp.tbl[[#This Row],[SDate]],weather.tbl[Date],0))</f>
        <v>-7.5</v>
      </c>
      <c r="R84" s="2">
        <f ca="1">INDEX(INDIRECT(_xlfn.CONCAT("weather.tbl[",R$1,"]")),MATCH(vp.tbl[[#This Row],[SDate]],weather.tbl[Date],0))</f>
        <v>-9.5</v>
      </c>
      <c r="S84" s="2">
        <f ca="1">INDEX(INDIRECT(_xlfn.CONCAT("weather.tbl[",S$1,"]")),MATCH(vp.tbl[[#This Row],[SDate]],weather.tbl[Date],0))</f>
        <v>-4.8</v>
      </c>
      <c r="T84" s="2">
        <f ca="1">INDEX(INDIRECT(_xlfn.CONCAT("weather.tbl[",T$1,"]")),MATCH(vp.tbl[[#This Row],[SDate]],weather.tbl[Date],0))</f>
        <v>-8.3000000000000007</v>
      </c>
      <c r="U84" s="2">
        <f ca="1">INDEX(INDIRECT(_xlfn.CONCAT("weather.tbl[",U$1,"]")),MATCH(vp.tbl[[#This Row],[SDate]],weather.tbl[Date],0))</f>
        <v>-9.3000000000000007</v>
      </c>
      <c r="V84" s="2">
        <v>3507.4290000000001</v>
      </c>
      <c r="W84" t="s">
        <v>48</v>
      </c>
      <c r="X84">
        <f>IF(OR(vp.tbl[[#This Row],[Sulf]]="",vp.tbl[[#This Row],[Dens]]=""),1,0)</f>
        <v>0</v>
      </c>
      <c r="Y84">
        <f>IF(vp.tbl[[#This Row],[CrudeType]]="C5+",1,0)</f>
        <v>0</v>
      </c>
      <c r="Z84">
        <f>IF(AND(vp.tbl[[#This Row],[CrudeType]]="Crude",vp.tbl[[#This Row],[Dens]]&lt;=825,vp.tbl[[#This Row],[Sulf]]&gt;0.5,vp.tbl[[#This Row],[Unknown]]=0),1,0)</f>
        <v>0</v>
      </c>
      <c r="AA84">
        <f>IF(AND(vp.tbl[[#This Row],[CrudeType]]="Crude",vp.tbl[[#This Row],[Dens]]&lt;=825,vp.tbl[[#This Row],[Sulf]]&lt;=0.5,vp.tbl[[#This Row],[Unknown]]=0),1,0)</f>
        <v>0</v>
      </c>
      <c r="AB84">
        <f>IF(AND(vp.tbl[[#This Row],[CrudeType]]="Crude",vp.tbl[[#This Row],[Dens]]&gt;825,vp.tbl[[#This Row],[Dens]]&lt;=870,vp.tbl[[#This Row],[Sulf]]&gt;0.5,vp.tbl[[#This Row],[Unknown]]=0),1,0)</f>
        <v>1</v>
      </c>
      <c r="AC84">
        <f>IF(AND(vp.tbl[[#This Row],[CrudeType]]="Crude",vp.tbl[[#This Row],[Dens]]&gt;825,vp.tbl[[#This Row],[Dens]]&lt;=900,vp.tbl[[#This Row],[Sulf]]&lt;=0.5,vp.tbl[[#This Row],[Unknown]]=0),1,0)</f>
        <v>0</v>
      </c>
      <c r="AD84">
        <f>IF(AND(vp.tbl[[#This Row],[CrudeType]]="Crude",vp.tbl[[#This Row],[Dens]]&gt;870,vp.tbl[[#This Row],[Dens]]&lt;=900,vp.tbl[[#This Row],[Sulf]]&gt;0.5,vp.tbl[[#This Row],[Unknown]]=0),1,0)</f>
        <v>0</v>
      </c>
      <c r="AE84">
        <f>IF(AND(vp.tbl[[#This Row],[CrudeType]]="Crude",vp.tbl[[#This Row],[Dens]]&gt;900,vp.tbl[[#This Row],[Sulf]]&lt;=0.5,vp.tbl[[#This Row],[Unknown]]=0),1,0)</f>
        <v>0</v>
      </c>
      <c r="AF84">
        <f>IF(AND(vp.tbl[[#This Row],[CrudeType]]="Crude",vp.tbl[[#This Row],[Dens]]&gt;900,vp.tbl[[#This Row],[Sulf]]&lt;=0.5,vp.tbl[[#This Row],[Unknown]]=0),1,0)</f>
        <v>0</v>
      </c>
      <c r="AG84" t="str">
        <f>INDEX(vp.tbl[[#Headers],[Unknown]:[Heavy_SW]],MATCH(1,vp.tbl[[#This Row],[Unknown]:[Heavy_SW]],0))</f>
        <v>Medium_LSB</v>
      </c>
      <c r="AH84" t="e">
        <f>INDEX([1]!crudeBD.lkup[Number],MATCH(vp.tbl[[#This Row],[Crude_Breakdown]],[1]!crudeBD.lkup[Crude Breakdown],0))</f>
        <v>#REF!</v>
      </c>
      <c r="AI84">
        <f>MONTH(vp.tbl[[#This Row],[SDate]])</f>
        <v>2</v>
      </c>
      <c r="AJ84" s="5">
        <f>IFERROR(vp.tbl[[#This Row],[Sulf]]*vp.tbl[[#This Row],[Net Dens]],"")</f>
        <v>4270364.9560799999</v>
      </c>
      <c r="AK84" s="5">
        <f>IFERROR(vp.tbl[[#This Row],[Dens]]*vp.tbl[[#This Row],[VolumeM3]],"")</f>
        <v>2965531.2195000001</v>
      </c>
      <c r="AL84" s="5">
        <f>IFERROR(vp.tbl[[#This Row],[VP]]*vp.tbl[[#This Row],[VolumeM3]],"")</f>
        <v>323034.21090000001</v>
      </c>
      <c r="AM84" s="4">
        <f>IFERROR((vp.tbl[[#This Row],[VP]]-INDEX(crudeBD.lkup.complete[Mean_VP],MATCH(vp.tbl[[#This Row],[Crude_Breakdown]],crudeBD.lkup.complete[Crude Breakdown],0)))^2,"")</f>
        <v>142.23913773369728</v>
      </c>
      <c r="AN84" s="4">
        <f>IFERROR((vp.tbl[[#This Row],[Dens]]-INDEX(crudeBD.lkup.complete[Mean_Dens],MATCH(vp.tbl[[#This Row],[Crude_Breakdown]],crudeBD.lkup.complete[Crude Breakdown],0)))^2,"")</f>
        <v>4.3337752924620832E-2</v>
      </c>
      <c r="AO84" s="4">
        <f>IFERROR((vp.tbl[[#This Row],[Sulf]]-INDEX(crudeBD.lkup.complete[Mean_Sulf],MATCH(vp.tbl[[#This Row],[Crude_Breakdown]],crudeBD.lkup.complete[Crude Breakdown],0)))^2,"")</f>
        <v>2.2290074229791476E-4</v>
      </c>
      <c r="AP84">
        <f>IF(AND(vp.tbl[[#This Row],[SDate]]&gt;=DATE(YEAR(vp.tbl[[#This Row],[SDate]]),5,1),vp.tbl[[#This Row],[SDate]]&lt;=DATE(YEAR(vp.tbl[[#This Row],[SDate]]),9,15)),1,0)</f>
        <v>0</v>
      </c>
      <c r="AQ84" s="15">
        <f>IF(vp.tbl[[#This Row],[SDate]]&lt;DATE(2016,12,1),0,1)</f>
        <v>0</v>
      </c>
    </row>
    <row r="85" spans="1:43" x14ac:dyDescent="0.25">
      <c r="A85">
        <v>84</v>
      </c>
      <c r="B85" t="s">
        <v>60</v>
      </c>
      <c r="C85" t="s">
        <v>60</v>
      </c>
      <c r="D85" t="s">
        <v>61</v>
      </c>
      <c r="E85" t="s">
        <v>73</v>
      </c>
      <c r="F85" s="1">
        <v>42408</v>
      </c>
      <c r="G85" s="2">
        <v>52.5</v>
      </c>
      <c r="H85" s="2"/>
      <c r="I85" s="2">
        <v>0.96</v>
      </c>
      <c r="J85" s="2"/>
      <c r="K85" s="2"/>
      <c r="L85" s="2">
        <v>824</v>
      </c>
      <c r="M85" s="2">
        <v>824</v>
      </c>
      <c r="N85" s="2">
        <f ca="1">INDEX(INDIRECT(_xlfn.CONCAT("weather.tbl[",N$1,"]")),MATCH(vp.tbl[[#This Row],[SDate]],weather.tbl[Date],0))</f>
        <v>-5.8166666666666664</v>
      </c>
      <c r="O85" s="2">
        <f ca="1">INDEX(INDIRECT(_xlfn.CONCAT("weather.tbl[",O$1,"]")),MATCH(vp.tbl[[#This Row],[SDate]],weather.tbl[Date],0))</f>
        <v>-5.4190476190476193</v>
      </c>
      <c r="P85" s="2">
        <f ca="1">INDEX(INDIRECT(_xlfn.CONCAT("weather.tbl[",P$1,"]")),MATCH(vp.tbl[[#This Row],[SDate]],weather.tbl[Date],0))</f>
        <v>-5.0999999999999996</v>
      </c>
      <c r="Q85" s="2">
        <f ca="1">INDEX(INDIRECT(_xlfn.CONCAT("weather.tbl[",Q$1,"]")),MATCH(vp.tbl[[#This Row],[SDate]],weather.tbl[Date],0))</f>
        <v>-5.2</v>
      </c>
      <c r="R85" s="2">
        <f ca="1">INDEX(INDIRECT(_xlfn.CONCAT("weather.tbl[",R$1,"]")),MATCH(vp.tbl[[#This Row],[SDate]],weather.tbl[Date],0))</f>
        <v>-6.5</v>
      </c>
      <c r="S85" s="2">
        <f ca="1">INDEX(INDIRECT(_xlfn.CONCAT("weather.tbl[",S$1,"]")),MATCH(vp.tbl[[#This Row],[SDate]],weather.tbl[Date],0))</f>
        <v>-3.5</v>
      </c>
      <c r="T85" s="2">
        <f ca="1">INDEX(INDIRECT(_xlfn.CONCAT("weather.tbl[",T$1,"]")),MATCH(vp.tbl[[#This Row],[SDate]],weather.tbl[Date],0))</f>
        <v>-7.1</v>
      </c>
      <c r="U85" s="2">
        <f ca="1">INDEX(INDIRECT(_xlfn.CONCAT("weather.tbl[",U$1,"]")),MATCH(vp.tbl[[#This Row],[SDate]],weather.tbl[Date],0))</f>
        <v>-7.5</v>
      </c>
      <c r="V85" s="2">
        <v>106551.844</v>
      </c>
      <c r="W85" t="s">
        <v>48</v>
      </c>
      <c r="X85">
        <f>IF(OR(vp.tbl[[#This Row],[Sulf]]="",vp.tbl[[#This Row],[Dens]]=""),1,0)</f>
        <v>0</v>
      </c>
      <c r="Y85">
        <f>IF(vp.tbl[[#This Row],[CrudeType]]="C5+",1,0)</f>
        <v>0</v>
      </c>
      <c r="Z85">
        <f>IF(AND(vp.tbl[[#This Row],[CrudeType]]="Crude",vp.tbl[[#This Row],[Dens]]&lt;=825,vp.tbl[[#This Row],[Sulf]]&gt;0.5,vp.tbl[[#This Row],[Unknown]]=0),1,0)</f>
        <v>1</v>
      </c>
      <c r="AA85">
        <f>IF(AND(vp.tbl[[#This Row],[CrudeType]]="Crude",vp.tbl[[#This Row],[Dens]]&lt;=825,vp.tbl[[#This Row],[Sulf]]&lt;=0.5,vp.tbl[[#This Row],[Unknown]]=0),1,0)</f>
        <v>0</v>
      </c>
      <c r="AB85">
        <f>IF(AND(vp.tbl[[#This Row],[CrudeType]]="Crude",vp.tbl[[#This Row],[Dens]]&gt;825,vp.tbl[[#This Row],[Dens]]&lt;=870,vp.tbl[[#This Row],[Sulf]]&gt;0.5,vp.tbl[[#This Row],[Unknown]]=0),1,0)</f>
        <v>0</v>
      </c>
      <c r="AC85">
        <f>IF(AND(vp.tbl[[#This Row],[CrudeType]]="Crude",vp.tbl[[#This Row],[Dens]]&gt;825,vp.tbl[[#This Row],[Dens]]&lt;=900,vp.tbl[[#This Row],[Sulf]]&lt;=0.5,vp.tbl[[#This Row],[Unknown]]=0),1,0)</f>
        <v>0</v>
      </c>
      <c r="AD85">
        <f>IF(AND(vp.tbl[[#This Row],[CrudeType]]="Crude",vp.tbl[[#This Row],[Dens]]&gt;870,vp.tbl[[#This Row],[Dens]]&lt;=900,vp.tbl[[#This Row],[Sulf]]&gt;0.5,vp.tbl[[#This Row],[Unknown]]=0),1,0)</f>
        <v>0</v>
      </c>
      <c r="AE85">
        <f>IF(AND(vp.tbl[[#This Row],[CrudeType]]="Crude",vp.tbl[[#This Row],[Dens]]&gt;900,vp.tbl[[#This Row],[Sulf]]&lt;=0.5,vp.tbl[[#This Row],[Unknown]]=0),1,0)</f>
        <v>0</v>
      </c>
      <c r="AF85">
        <f>IF(AND(vp.tbl[[#This Row],[CrudeType]]="Crude",vp.tbl[[#This Row],[Dens]]&gt;900,vp.tbl[[#This Row],[Sulf]]&lt;=0.5,vp.tbl[[#This Row],[Unknown]]=0),1,0)</f>
        <v>0</v>
      </c>
      <c r="AG85" t="str">
        <f>INDEX(vp.tbl[[#Headers],[Unknown]:[Heavy_SW]],MATCH(1,vp.tbl[[#This Row],[Unknown]:[Heavy_SW]],0))</f>
        <v>Light_LSB</v>
      </c>
      <c r="AH85" t="e">
        <f>INDEX([1]!crudeBD.lkup[Number],MATCH(vp.tbl[[#This Row],[Crude_Breakdown]],[1]!crudeBD.lkup[Crude Breakdown],0))</f>
        <v>#REF!</v>
      </c>
      <c r="AI85">
        <f>MONTH(vp.tbl[[#This Row],[SDate]])</f>
        <v>2</v>
      </c>
      <c r="AJ85" s="5">
        <f>IFERROR(vp.tbl[[#This Row],[Sulf]]*vp.tbl[[#This Row],[Net Dens]],"")</f>
        <v>84286770.67775999</v>
      </c>
      <c r="AK85" s="5">
        <f>IFERROR(vp.tbl[[#This Row],[Dens]]*vp.tbl[[#This Row],[VolumeM3]],"")</f>
        <v>87798719.456</v>
      </c>
      <c r="AL85" s="5">
        <f>IFERROR(vp.tbl[[#This Row],[VP]]*vp.tbl[[#This Row],[VolumeM3]],"")</f>
        <v>5593971.8099999996</v>
      </c>
      <c r="AM85" s="4">
        <f>IFERROR((vp.tbl[[#This Row],[VP]]-INDEX(crudeBD.lkup.complete[Mean_VP],MATCH(vp.tbl[[#This Row],[Crude_Breakdown]],crudeBD.lkup.complete[Crude Breakdown],0)))^2,"")</f>
        <v>1524.6046073334066</v>
      </c>
      <c r="AN85" s="4">
        <f>IFERROR((vp.tbl[[#This Row],[Dens]]-INDEX(crudeBD.lkup.complete[Mean_Dens],MATCH(vp.tbl[[#This Row],[Crude_Breakdown]],crudeBD.lkup.complete[Crude Breakdown],0)))^2,"")</f>
        <v>30.06581387088357</v>
      </c>
      <c r="AO85" s="4">
        <f>IFERROR((vp.tbl[[#This Row],[Sulf]]-INDEX(crudeBD.lkup.complete[Mean_Sulf],MATCH(vp.tbl[[#This Row],[Crude_Breakdown]],crudeBD.lkup.complete[Crude Breakdown],0)))^2,"")</f>
        <v>1.3711343707809469E-3</v>
      </c>
      <c r="AP85">
        <f>IF(AND(vp.tbl[[#This Row],[SDate]]&gt;=DATE(YEAR(vp.tbl[[#This Row],[SDate]]),5,1),vp.tbl[[#This Row],[SDate]]&lt;=DATE(YEAR(vp.tbl[[#This Row],[SDate]]),9,15)),1,0)</f>
        <v>0</v>
      </c>
      <c r="AQ85" s="15">
        <f>IF(vp.tbl[[#This Row],[SDate]]&lt;DATE(2016,12,1),0,1)</f>
        <v>0</v>
      </c>
    </row>
    <row r="86" spans="1:43" x14ac:dyDescent="0.25">
      <c r="A86">
        <v>85</v>
      </c>
      <c r="B86" t="s">
        <v>60</v>
      </c>
      <c r="C86" t="s">
        <v>60</v>
      </c>
      <c r="D86" t="s">
        <v>61</v>
      </c>
      <c r="E86" t="s">
        <v>55</v>
      </c>
      <c r="F86" s="1">
        <v>42408</v>
      </c>
      <c r="G86" s="2">
        <v>99.2</v>
      </c>
      <c r="H86" s="2"/>
      <c r="I86" s="2">
        <v>0.96</v>
      </c>
      <c r="J86" s="2"/>
      <c r="K86" s="2"/>
      <c r="L86" s="2">
        <v>833</v>
      </c>
      <c r="M86" s="2">
        <v>833</v>
      </c>
      <c r="N86" s="2">
        <f ca="1">INDEX(INDIRECT(_xlfn.CONCAT("weather.tbl[",N$1,"]")),MATCH(vp.tbl[[#This Row],[SDate]],weather.tbl[Date],0))</f>
        <v>-5.8166666666666664</v>
      </c>
      <c r="O86" s="2">
        <f ca="1">INDEX(INDIRECT(_xlfn.CONCAT("weather.tbl[",O$1,"]")),MATCH(vp.tbl[[#This Row],[SDate]],weather.tbl[Date],0))</f>
        <v>-5.4190476190476193</v>
      </c>
      <c r="P86" s="2">
        <f ca="1">INDEX(INDIRECT(_xlfn.CONCAT("weather.tbl[",P$1,"]")),MATCH(vp.tbl[[#This Row],[SDate]],weather.tbl[Date],0))</f>
        <v>-5.0999999999999996</v>
      </c>
      <c r="Q86" s="2">
        <f ca="1">INDEX(INDIRECT(_xlfn.CONCAT("weather.tbl[",Q$1,"]")),MATCH(vp.tbl[[#This Row],[SDate]],weather.tbl[Date],0))</f>
        <v>-5.2</v>
      </c>
      <c r="R86" s="2">
        <f ca="1">INDEX(INDIRECT(_xlfn.CONCAT("weather.tbl[",R$1,"]")),MATCH(vp.tbl[[#This Row],[SDate]],weather.tbl[Date],0))</f>
        <v>-6.5</v>
      </c>
      <c r="S86" s="2">
        <f ca="1">INDEX(INDIRECT(_xlfn.CONCAT("weather.tbl[",S$1,"]")),MATCH(vp.tbl[[#This Row],[SDate]],weather.tbl[Date],0))</f>
        <v>-3.5</v>
      </c>
      <c r="T86" s="2">
        <f ca="1">INDEX(INDIRECT(_xlfn.CONCAT("weather.tbl[",T$1,"]")),MATCH(vp.tbl[[#This Row],[SDate]],weather.tbl[Date],0))</f>
        <v>-7.1</v>
      </c>
      <c r="U86" s="2">
        <f ca="1">INDEX(INDIRECT(_xlfn.CONCAT("weather.tbl[",U$1,"]")),MATCH(vp.tbl[[#This Row],[SDate]],weather.tbl[Date],0))</f>
        <v>-7.5</v>
      </c>
      <c r="V86" s="2">
        <v>106551.844</v>
      </c>
      <c r="W86" t="s">
        <v>48</v>
      </c>
      <c r="X86">
        <f>IF(OR(vp.tbl[[#This Row],[Sulf]]="",vp.tbl[[#This Row],[Dens]]=""),1,0)</f>
        <v>0</v>
      </c>
      <c r="Y86">
        <f>IF(vp.tbl[[#This Row],[CrudeType]]="C5+",1,0)</f>
        <v>0</v>
      </c>
      <c r="Z86">
        <f>IF(AND(vp.tbl[[#This Row],[CrudeType]]="Crude",vp.tbl[[#This Row],[Dens]]&lt;=825,vp.tbl[[#This Row],[Sulf]]&gt;0.5,vp.tbl[[#This Row],[Unknown]]=0),1,0)</f>
        <v>0</v>
      </c>
      <c r="AA86">
        <f>IF(AND(vp.tbl[[#This Row],[CrudeType]]="Crude",vp.tbl[[#This Row],[Dens]]&lt;=825,vp.tbl[[#This Row],[Sulf]]&lt;=0.5,vp.tbl[[#This Row],[Unknown]]=0),1,0)</f>
        <v>0</v>
      </c>
      <c r="AB86">
        <f>IF(AND(vp.tbl[[#This Row],[CrudeType]]="Crude",vp.tbl[[#This Row],[Dens]]&gt;825,vp.tbl[[#This Row],[Dens]]&lt;=870,vp.tbl[[#This Row],[Sulf]]&gt;0.5,vp.tbl[[#This Row],[Unknown]]=0),1,0)</f>
        <v>1</v>
      </c>
      <c r="AC86">
        <f>IF(AND(vp.tbl[[#This Row],[CrudeType]]="Crude",vp.tbl[[#This Row],[Dens]]&gt;825,vp.tbl[[#This Row],[Dens]]&lt;=900,vp.tbl[[#This Row],[Sulf]]&lt;=0.5,vp.tbl[[#This Row],[Unknown]]=0),1,0)</f>
        <v>0</v>
      </c>
      <c r="AD86">
        <f>IF(AND(vp.tbl[[#This Row],[CrudeType]]="Crude",vp.tbl[[#This Row],[Dens]]&gt;870,vp.tbl[[#This Row],[Dens]]&lt;=900,vp.tbl[[#This Row],[Sulf]]&gt;0.5,vp.tbl[[#This Row],[Unknown]]=0),1,0)</f>
        <v>0</v>
      </c>
      <c r="AE86">
        <f>IF(AND(vp.tbl[[#This Row],[CrudeType]]="Crude",vp.tbl[[#This Row],[Dens]]&gt;900,vp.tbl[[#This Row],[Sulf]]&lt;=0.5,vp.tbl[[#This Row],[Unknown]]=0),1,0)</f>
        <v>0</v>
      </c>
      <c r="AF86">
        <f>IF(AND(vp.tbl[[#This Row],[CrudeType]]="Crude",vp.tbl[[#This Row],[Dens]]&gt;900,vp.tbl[[#This Row],[Sulf]]&lt;=0.5,vp.tbl[[#This Row],[Unknown]]=0),1,0)</f>
        <v>0</v>
      </c>
      <c r="AG86" t="str">
        <f>INDEX(vp.tbl[[#Headers],[Unknown]:[Heavy_SW]],MATCH(1,vp.tbl[[#This Row],[Unknown]:[Heavy_SW]],0))</f>
        <v>Medium_LSB</v>
      </c>
      <c r="AH86" t="e">
        <f>INDEX([1]!crudeBD.lkup[Number],MATCH(vp.tbl[[#This Row],[Crude_Breakdown]],[1]!crudeBD.lkup[Crude Breakdown],0))</f>
        <v>#REF!</v>
      </c>
      <c r="AI86">
        <f>MONTH(vp.tbl[[#This Row],[SDate]])</f>
        <v>2</v>
      </c>
      <c r="AJ86" s="5">
        <f>IFERROR(vp.tbl[[#This Row],[Sulf]]*vp.tbl[[#This Row],[Net Dens]],"")</f>
        <v>85207378.609919995</v>
      </c>
      <c r="AK86" s="5">
        <f>IFERROR(vp.tbl[[#This Row],[Dens]]*vp.tbl[[#This Row],[VolumeM3]],"")</f>
        <v>88757686.052000001</v>
      </c>
      <c r="AL86" s="5">
        <f>IFERROR(vp.tbl[[#This Row],[VP]]*vp.tbl[[#This Row],[VolumeM3]],"")</f>
        <v>10569942.924799999</v>
      </c>
      <c r="AM86" s="4">
        <f>IFERROR((vp.tbl[[#This Row],[VP]]-INDEX(crudeBD.lkup.complete[Mean_VP],MATCH(vp.tbl[[#This Row],[Crude_Breakdown]],crudeBD.lkup.complete[Crude Breakdown],0)))^2,"")</f>
        <v>362.00408963243223</v>
      </c>
      <c r="AN86" s="4">
        <f>IFERROR((vp.tbl[[#This Row],[Dens]]-INDEX(crudeBD.lkup.complete[Mean_Dens],MATCH(vp.tbl[[#This Row],[Crude_Breakdown]],crudeBD.lkup.complete[Crude Breakdown],0)))^2,"")</f>
        <v>151.08890737315318</v>
      </c>
      <c r="AO86" s="4">
        <f>IFERROR((vp.tbl[[#This Row],[Sulf]]-INDEX(crudeBD.lkup.complete[Mean_Sulf],MATCH(vp.tbl[[#This Row],[Crude_Breakdown]],crudeBD.lkup.complete[Crude Breakdown],0)))^2,"")</f>
        <v>0.2449555670714133</v>
      </c>
      <c r="AP86">
        <f>IF(AND(vp.tbl[[#This Row],[SDate]]&gt;=DATE(YEAR(vp.tbl[[#This Row],[SDate]]),5,1),vp.tbl[[#This Row],[SDate]]&lt;=DATE(YEAR(vp.tbl[[#This Row],[SDate]]),9,15)),1,0)</f>
        <v>0</v>
      </c>
      <c r="AQ86" s="15">
        <f>IF(vp.tbl[[#This Row],[SDate]]&lt;DATE(2016,12,1),0,1)</f>
        <v>0</v>
      </c>
    </row>
    <row r="87" spans="1:43" x14ac:dyDescent="0.25">
      <c r="A87">
        <v>86</v>
      </c>
      <c r="B87" t="s">
        <v>49</v>
      </c>
      <c r="C87" t="s">
        <v>49</v>
      </c>
      <c r="D87" t="s">
        <v>67</v>
      </c>
      <c r="F87" s="1">
        <v>42437</v>
      </c>
      <c r="G87" s="2">
        <v>113.5</v>
      </c>
      <c r="H87" s="2"/>
      <c r="I87" s="2">
        <v>0.21</v>
      </c>
      <c r="J87" s="2"/>
      <c r="K87" s="2"/>
      <c r="L87" s="2">
        <v>801.9</v>
      </c>
      <c r="M87" s="2">
        <v>801.9</v>
      </c>
      <c r="N87" s="2">
        <f ca="1">INDEX(INDIRECT(_xlfn.CONCAT("weather.tbl[",N$1,"]")),MATCH(vp.tbl[[#This Row],[SDate]],weather.tbl[Date],0))</f>
        <v>-0.83333333333333337</v>
      </c>
      <c r="O87" s="2">
        <f ca="1">INDEX(INDIRECT(_xlfn.CONCAT("weather.tbl[",O$1,"]")),MATCH(vp.tbl[[#This Row],[SDate]],weather.tbl[Date],0))</f>
        <v>0.56904761904761902</v>
      </c>
      <c r="P87" s="2">
        <f ca="1">INDEX(INDIRECT(_xlfn.CONCAT("weather.tbl[",P$1,"]")),MATCH(vp.tbl[[#This Row],[SDate]],weather.tbl[Date],0))</f>
        <v>-1.9</v>
      </c>
      <c r="Q87" s="2">
        <f ca="1">INDEX(INDIRECT(_xlfn.CONCAT("weather.tbl[",Q$1,"]")),MATCH(vp.tbl[[#This Row],[SDate]],weather.tbl[Date],0))</f>
        <v>-1.5</v>
      </c>
      <c r="R87" s="2">
        <f ca="1">INDEX(INDIRECT(_xlfn.CONCAT("weather.tbl[",R$1,"]")),MATCH(vp.tbl[[#This Row],[SDate]],weather.tbl[Date],0))</f>
        <v>3.3</v>
      </c>
      <c r="S87" s="2">
        <f ca="1">INDEX(INDIRECT(_xlfn.CONCAT("weather.tbl[",S$1,"]")),MATCH(vp.tbl[[#This Row],[SDate]],weather.tbl[Date],0))</f>
        <v>-0.3</v>
      </c>
      <c r="T87" s="2">
        <f ca="1">INDEX(INDIRECT(_xlfn.CONCAT("weather.tbl[",T$1,"]")),MATCH(vp.tbl[[#This Row],[SDate]],weather.tbl[Date],0))</f>
        <v>-0.4</v>
      </c>
      <c r="U87" s="2">
        <f ca="1">INDEX(INDIRECT(_xlfn.CONCAT("weather.tbl[",U$1,"]")),MATCH(vp.tbl[[#This Row],[SDate]],weather.tbl[Date],0))</f>
        <v>-4.2</v>
      </c>
      <c r="V87" s="2">
        <v>49014.500999999997</v>
      </c>
      <c r="W87" t="s">
        <v>48</v>
      </c>
      <c r="X87">
        <f>IF(OR(vp.tbl[[#This Row],[Sulf]]="",vp.tbl[[#This Row],[Dens]]=""),1,0)</f>
        <v>0</v>
      </c>
      <c r="Y87">
        <f>IF(vp.tbl[[#This Row],[CrudeType]]="C5+",1,0)</f>
        <v>0</v>
      </c>
      <c r="Z87">
        <f>IF(AND(vp.tbl[[#This Row],[CrudeType]]="Crude",vp.tbl[[#This Row],[Dens]]&lt;=825,vp.tbl[[#This Row],[Sulf]]&gt;0.5,vp.tbl[[#This Row],[Unknown]]=0),1,0)</f>
        <v>0</v>
      </c>
      <c r="AA87">
        <f>IF(AND(vp.tbl[[#This Row],[CrudeType]]="Crude",vp.tbl[[#This Row],[Dens]]&lt;=825,vp.tbl[[#This Row],[Sulf]]&lt;=0.5,vp.tbl[[#This Row],[Unknown]]=0),1,0)</f>
        <v>1</v>
      </c>
      <c r="AB87">
        <f>IF(AND(vp.tbl[[#This Row],[CrudeType]]="Crude",vp.tbl[[#This Row],[Dens]]&gt;825,vp.tbl[[#This Row],[Dens]]&lt;=870,vp.tbl[[#This Row],[Sulf]]&gt;0.5,vp.tbl[[#This Row],[Unknown]]=0),1,0)</f>
        <v>0</v>
      </c>
      <c r="AC87">
        <f>IF(AND(vp.tbl[[#This Row],[CrudeType]]="Crude",vp.tbl[[#This Row],[Dens]]&gt;825,vp.tbl[[#This Row],[Dens]]&lt;=900,vp.tbl[[#This Row],[Sulf]]&lt;=0.5,vp.tbl[[#This Row],[Unknown]]=0),1,0)</f>
        <v>0</v>
      </c>
      <c r="AD87">
        <f>IF(AND(vp.tbl[[#This Row],[CrudeType]]="Crude",vp.tbl[[#This Row],[Dens]]&gt;870,vp.tbl[[#This Row],[Dens]]&lt;=900,vp.tbl[[#This Row],[Sulf]]&gt;0.5,vp.tbl[[#This Row],[Unknown]]=0),1,0)</f>
        <v>0</v>
      </c>
      <c r="AE87">
        <f>IF(AND(vp.tbl[[#This Row],[CrudeType]]="Crude",vp.tbl[[#This Row],[Dens]]&gt;900,vp.tbl[[#This Row],[Sulf]]&lt;=0.5,vp.tbl[[#This Row],[Unknown]]=0),1,0)</f>
        <v>0</v>
      </c>
      <c r="AF87">
        <f>IF(AND(vp.tbl[[#This Row],[CrudeType]]="Crude",vp.tbl[[#This Row],[Dens]]&gt;900,vp.tbl[[#This Row],[Sulf]]&lt;=0.5,vp.tbl[[#This Row],[Unknown]]=0),1,0)</f>
        <v>0</v>
      </c>
      <c r="AG87" t="str">
        <f>INDEX(vp.tbl[[#Headers],[Unknown]:[Heavy_SW]],MATCH(1,vp.tbl[[#This Row],[Unknown]:[Heavy_SW]],0))</f>
        <v>Light_SW</v>
      </c>
      <c r="AH87" t="e">
        <f>INDEX([1]!crudeBD.lkup[Number],MATCH(vp.tbl[[#This Row],[Crude_Breakdown]],[1]!crudeBD.lkup[Crude Breakdown],0))</f>
        <v>#REF!</v>
      </c>
      <c r="AI87">
        <f>MONTH(vp.tbl[[#This Row],[SDate]])</f>
        <v>3</v>
      </c>
      <c r="AJ87" s="5">
        <f>IFERROR(vp.tbl[[#This Row],[Sulf]]*vp.tbl[[#This Row],[Net Dens]],"")</f>
        <v>8253992.9538989989</v>
      </c>
      <c r="AK87" s="5">
        <f>IFERROR(vp.tbl[[#This Row],[Dens]]*vp.tbl[[#This Row],[VolumeM3]],"")</f>
        <v>39304728.351899996</v>
      </c>
      <c r="AL87" s="5">
        <f>IFERROR(vp.tbl[[#This Row],[VP]]*vp.tbl[[#This Row],[VolumeM3]],"")</f>
        <v>5563145.8635</v>
      </c>
      <c r="AM87" s="4">
        <f>IFERROR((vp.tbl[[#This Row],[VP]]-INDEX(crudeBD.lkup.complete[Mean_VP],MATCH(vp.tbl[[#This Row],[Crude_Breakdown]],crudeBD.lkup.complete[Crude Breakdown],0)))^2,"")</f>
        <v>438.88936072551689</v>
      </c>
      <c r="AN87" s="4">
        <f>IFERROR((vp.tbl[[#This Row],[Dens]]-INDEX(crudeBD.lkup.complete[Mean_Dens],MATCH(vp.tbl[[#This Row],[Crude_Breakdown]],crudeBD.lkup.complete[Crude Breakdown],0)))^2,"")</f>
        <v>41.10730991027927</v>
      </c>
      <c r="AO87" s="4">
        <f>IFERROR((vp.tbl[[#This Row],[Sulf]]-INDEX(crudeBD.lkup.complete[Mean_Sulf],MATCH(vp.tbl[[#This Row],[Crude_Breakdown]],crudeBD.lkup.complete[Crude Breakdown],0)))^2,"")</f>
        <v>6.8863268899706654E-4</v>
      </c>
      <c r="AP87">
        <f>IF(AND(vp.tbl[[#This Row],[SDate]]&gt;=DATE(YEAR(vp.tbl[[#This Row],[SDate]]),5,1),vp.tbl[[#This Row],[SDate]]&lt;=DATE(YEAR(vp.tbl[[#This Row],[SDate]]),9,15)),1,0)</f>
        <v>0</v>
      </c>
      <c r="AQ87" s="15">
        <f>IF(vp.tbl[[#This Row],[SDate]]&lt;DATE(2016,12,1),0,1)</f>
        <v>0</v>
      </c>
    </row>
    <row r="88" spans="1:43" x14ac:dyDescent="0.25">
      <c r="A88">
        <v>87</v>
      </c>
      <c r="B88" t="s">
        <v>51</v>
      </c>
      <c r="C88" t="s">
        <v>51</v>
      </c>
      <c r="D88" t="s">
        <v>66</v>
      </c>
      <c r="F88" s="1">
        <v>42437</v>
      </c>
      <c r="G88" s="2">
        <v>122.7</v>
      </c>
      <c r="H88" s="2"/>
      <c r="I88" s="2">
        <v>0.91</v>
      </c>
      <c r="J88" s="2"/>
      <c r="K88" s="2"/>
      <c r="L88" s="2">
        <v>828.4</v>
      </c>
      <c r="M88" s="2">
        <v>828.4</v>
      </c>
      <c r="N88" s="2">
        <f ca="1">INDEX(INDIRECT(_xlfn.CONCAT("weather.tbl[",N$1,"]")),MATCH(vp.tbl[[#This Row],[SDate]],weather.tbl[Date],0))</f>
        <v>-0.83333333333333337</v>
      </c>
      <c r="O88" s="2">
        <f ca="1">INDEX(INDIRECT(_xlfn.CONCAT("weather.tbl[",O$1,"]")),MATCH(vp.tbl[[#This Row],[SDate]],weather.tbl[Date],0))</f>
        <v>0.56904761904761902</v>
      </c>
      <c r="P88" s="2">
        <f ca="1">INDEX(INDIRECT(_xlfn.CONCAT("weather.tbl[",P$1,"]")),MATCH(vp.tbl[[#This Row],[SDate]],weather.tbl[Date],0))</f>
        <v>-1.9</v>
      </c>
      <c r="Q88" s="2">
        <f ca="1">INDEX(INDIRECT(_xlfn.CONCAT("weather.tbl[",Q$1,"]")),MATCH(vp.tbl[[#This Row],[SDate]],weather.tbl[Date],0))</f>
        <v>-1.5</v>
      </c>
      <c r="R88" s="2">
        <f ca="1">INDEX(INDIRECT(_xlfn.CONCAT("weather.tbl[",R$1,"]")),MATCH(vp.tbl[[#This Row],[SDate]],weather.tbl[Date],0))</f>
        <v>3.3</v>
      </c>
      <c r="S88" s="2">
        <f ca="1">INDEX(INDIRECT(_xlfn.CONCAT("weather.tbl[",S$1,"]")),MATCH(vp.tbl[[#This Row],[SDate]],weather.tbl[Date],0))</f>
        <v>-0.3</v>
      </c>
      <c r="T88" s="2">
        <f ca="1">INDEX(INDIRECT(_xlfn.CONCAT("weather.tbl[",T$1,"]")),MATCH(vp.tbl[[#This Row],[SDate]],weather.tbl[Date],0))</f>
        <v>-0.4</v>
      </c>
      <c r="U88" s="2">
        <f ca="1">INDEX(INDIRECT(_xlfn.CONCAT("weather.tbl[",U$1,"]")),MATCH(vp.tbl[[#This Row],[SDate]],weather.tbl[Date],0))</f>
        <v>-4.2</v>
      </c>
      <c r="V88" s="2">
        <v>4604.1419999999998</v>
      </c>
      <c r="W88" t="s">
        <v>48</v>
      </c>
      <c r="X88">
        <f>IF(OR(vp.tbl[[#This Row],[Sulf]]="",vp.tbl[[#This Row],[Dens]]=""),1,0)</f>
        <v>0</v>
      </c>
      <c r="Y88">
        <f>IF(vp.tbl[[#This Row],[CrudeType]]="C5+",1,0)</f>
        <v>0</v>
      </c>
      <c r="Z88">
        <f>IF(AND(vp.tbl[[#This Row],[CrudeType]]="Crude",vp.tbl[[#This Row],[Dens]]&lt;=825,vp.tbl[[#This Row],[Sulf]]&gt;0.5,vp.tbl[[#This Row],[Unknown]]=0),1,0)</f>
        <v>0</v>
      </c>
      <c r="AA88">
        <f>IF(AND(vp.tbl[[#This Row],[CrudeType]]="Crude",vp.tbl[[#This Row],[Dens]]&lt;=825,vp.tbl[[#This Row],[Sulf]]&lt;=0.5,vp.tbl[[#This Row],[Unknown]]=0),1,0)</f>
        <v>0</v>
      </c>
      <c r="AB88">
        <f>IF(AND(vp.tbl[[#This Row],[CrudeType]]="Crude",vp.tbl[[#This Row],[Dens]]&gt;825,vp.tbl[[#This Row],[Dens]]&lt;=870,vp.tbl[[#This Row],[Sulf]]&gt;0.5,vp.tbl[[#This Row],[Unknown]]=0),1,0)</f>
        <v>1</v>
      </c>
      <c r="AC88">
        <f>IF(AND(vp.tbl[[#This Row],[CrudeType]]="Crude",vp.tbl[[#This Row],[Dens]]&gt;825,vp.tbl[[#This Row],[Dens]]&lt;=900,vp.tbl[[#This Row],[Sulf]]&lt;=0.5,vp.tbl[[#This Row],[Unknown]]=0),1,0)</f>
        <v>0</v>
      </c>
      <c r="AD88">
        <f>IF(AND(vp.tbl[[#This Row],[CrudeType]]="Crude",vp.tbl[[#This Row],[Dens]]&gt;870,vp.tbl[[#This Row],[Dens]]&lt;=900,vp.tbl[[#This Row],[Sulf]]&gt;0.5,vp.tbl[[#This Row],[Unknown]]=0),1,0)</f>
        <v>0</v>
      </c>
      <c r="AE88">
        <f>IF(AND(vp.tbl[[#This Row],[CrudeType]]="Crude",vp.tbl[[#This Row],[Dens]]&gt;900,vp.tbl[[#This Row],[Sulf]]&lt;=0.5,vp.tbl[[#This Row],[Unknown]]=0),1,0)</f>
        <v>0</v>
      </c>
      <c r="AF88">
        <f>IF(AND(vp.tbl[[#This Row],[CrudeType]]="Crude",vp.tbl[[#This Row],[Dens]]&gt;900,vp.tbl[[#This Row],[Sulf]]&lt;=0.5,vp.tbl[[#This Row],[Unknown]]=0),1,0)</f>
        <v>0</v>
      </c>
      <c r="AG88" t="str">
        <f>INDEX(vp.tbl[[#Headers],[Unknown]:[Heavy_SW]],MATCH(1,vp.tbl[[#This Row],[Unknown]:[Heavy_SW]],0))</f>
        <v>Medium_LSB</v>
      </c>
      <c r="AH88" t="e">
        <f>INDEX([1]!crudeBD.lkup[Number],MATCH(vp.tbl[[#This Row],[Crude_Breakdown]],[1]!crudeBD.lkup[Crude Breakdown],0))</f>
        <v>#REF!</v>
      </c>
      <c r="AI88">
        <f>MONTH(vp.tbl[[#This Row],[SDate]])</f>
        <v>3</v>
      </c>
      <c r="AJ88" s="5">
        <f>IFERROR(vp.tbl[[#This Row],[Sulf]]*vp.tbl[[#This Row],[Net Dens]],"")</f>
        <v>3470804.8218479999</v>
      </c>
      <c r="AK88" s="5">
        <f>IFERROR(vp.tbl[[#This Row],[Dens]]*vp.tbl[[#This Row],[VolumeM3]],"")</f>
        <v>3814071.2327999999</v>
      </c>
      <c r="AL88" s="5">
        <f>IFERROR(vp.tbl[[#This Row],[VP]]*vp.tbl[[#This Row],[VolumeM3]],"")</f>
        <v>564928.22340000002</v>
      </c>
      <c r="AM88" s="4">
        <f>IFERROR((vp.tbl[[#This Row],[VP]]-INDEX(crudeBD.lkup.complete[Mean_VP],MATCH(vp.tbl[[#This Row],[Crude_Breakdown]],crudeBD.lkup.complete[Crude Breakdown],0)))^2,"")</f>
        <v>1808.4951276071176</v>
      </c>
      <c r="AN88" s="4">
        <f>IFERROR((vp.tbl[[#This Row],[Dens]]-INDEX(crudeBD.lkup.complete[Mean_Dens],MATCH(vp.tbl[[#This Row],[Crude_Breakdown]],crudeBD.lkup.complete[Crude Breakdown],0)))^2,"")</f>
        <v>285.33367699339806</v>
      </c>
      <c r="AO88" s="4">
        <f>IFERROR((vp.tbl[[#This Row],[Sulf]]-INDEX(crudeBD.lkup.complete[Mean_Sulf],MATCH(vp.tbl[[#This Row],[Crude_Breakdown]],crudeBD.lkup.complete[Crude Breakdown],0)))^2,"")</f>
        <v>0.29694855314736274</v>
      </c>
      <c r="AP88">
        <f>IF(AND(vp.tbl[[#This Row],[SDate]]&gt;=DATE(YEAR(vp.tbl[[#This Row],[SDate]]),5,1),vp.tbl[[#This Row],[SDate]]&lt;=DATE(YEAR(vp.tbl[[#This Row],[SDate]]),9,15)),1,0)</f>
        <v>0</v>
      </c>
      <c r="AQ88" s="15">
        <f>IF(vp.tbl[[#This Row],[SDate]]&lt;DATE(2016,12,1),0,1)</f>
        <v>0</v>
      </c>
    </row>
    <row r="89" spans="1:43" x14ac:dyDescent="0.25">
      <c r="A89">
        <v>88</v>
      </c>
      <c r="B89" t="s">
        <v>49</v>
      </c>
      <c r="C89" t="s">
        <v>49</v>
      </c>
      <c r="D89" t="s">
        <v>74</v>
      </c>
      <c r="F89" s="1">
        <v>42438</v>
      </c>
      <c r="G89" s="2">
        <v>127</v>
      </c>
      <c r="H89" s="2"/>
      <c r="I89" s="2">
        <v>0.14000000000000001</v>
      </c>
      <c r="J89" s="2"/>
      <c r="K89" s="2"/>
      <c r="L89" s="2">
        <v>796.4</v>
      </c>
      <c r="M89" s="2">
        <v>796.4</v>
      </c>
      <c r="N89" s="2">
        <f ca="1">INDEX(INDIRECT(_xlfn.CONCAT("weather.tbl[",N$1,"]")),MATCH(vp.tbl[[#This Row],[SDate]],weather.tbl[Date],0))</f>
        <v>1.6666666666666646E-2</v>
      </c>
      <c r="O89" s="2">
        <f ca="1">INDEX(INDIRECT(_xlfn.CONCAT("weather.tbl[",O$1,"]")),MATCH(vp.tbl[[#This Row],[SDate]],weather.tbl[Date],0))</f>
        <v>1.1666666666666667</v>
      </c>
      <c r="P89" s="2">
        <f ca="1">INDEX(INDIRECT(_xlfn.CONCAT("weather.tbl[",P$1,"]")),MATCH(vp.tbl[[#This Row],[SDate]],weather.tbl[Date],0))</f>
        <v>0.3</v>
      </c>
      <c r="Q89" s="2">
        <f ca="1">INDEX(INDIRECT(_xlfn.CONCAT("weather.tbl[",Q$1,"]")),MATCH(vp.tbl[[#This Row],[SDate]],weather.tbl[Date],0))</f>
        <v>-0.8</v>
      </c>
      <c r="R89" s="2">
        <f ca="1">INDEX(INDIRECT(_xlfn.CONCAT("weather.tbl[",R$1,"]")),MATCH(vp.tbl[[#This Row],[SDate]],weather.tbl[Date],0))</f>
        <v>0.3</v>
      </c>
      <c r="S89" s="2">
        <f ca="1">INDEX(INDIRECT(_xlfn.CONCAT("weather.tbl[",S$1,"]")),MATCH(vp.tbl[[#This Row],[SDate]],weather.tbl[Date],0))</f>
        <v>0</v>
      </c>
      <c r="T89" s="2">
        <f ca="1">INDEX(INDIRECT(_xlfn.CONCAT("weather.tbl[",T$1,"]")),MATCH(vp.tbl[[#This Row],[SDate]],weather.tbl[Date],0))</f>
        <v>1.9</v>
      </c>
      <c r="U89" s="2">
        <f ca="1">INDEX(INDIRECT(_xlfn.CONCAT("weather.tbl[",U$1,"]")),MATCH(vp.tbl[[#This Row],[SDate]],weather.tbl[Date],0))</f>
        <v>-1.6</v>
      </c>
      <c r="V89" s="2">
        <v>46024.504999999997</v>
      </c>
      <c r="W89" t="s">
        <v>48</v>
      </c>
      <c r="X89">
        <f>IF(OR(vp.tbl[[#This Row],[Sulf]]="",vp.tbl[[#This Row],[Dens]]=""),1,0)</f>
        <v>0</v>
      </c>
      <c r="Y89">
        <f>IF(vp.tbl[[#This Row],[CrudeType]]="C5+",1,0)</f>
        <v>0</v>
      </c>
      <c r="Z89">
        <f>IF(AND(vp.tbl[[#This Row],[CrudeType]]="Crude",vp.tbl[[#This Row],[Dens]]&lt;=825,vp.tbl[[#This Row],[Sulf]]&gt;0.5,vp.tbl[[#This Row],[Unknown]]=0),1,0)</f>
        <v>0</v>
      </c>
      <c r="AA89">
        <f>IF(AND(vp.tbl[[#This Row],[CrudeType]]="Crude",vp.tbl[[#This Row],[Dens]]&lt;=825,vp.tbl[[#This Row],[Sulf]]&lt;=0.5,vp.tbl[[#This Row],[Unknown]]=0),1,0)</f>
        <v>1</v>
      </c>
      <c r="AB89">
        <f>IF(AND(vp.tbl[[#This Row],[CrudeType]]="Crude",vp.tbl[[#This Row],[Dens]]&gt;825,vp.tbl[[#This Row],[Dens]]&lt;=870,vp.tbl[[#This Row],[Sulf]]&gt;0.5,vp.tbl[[#This Row],[Unknown]]=0),1,0)</f>
        <v>0</v>
      </c>
      <c r="AC89">
        <f>IF(AND(vp.tbl[[#This Row],[CrudeType]]="Crude",vp.tbl[[#This Row],[Dens]]&gt;825,vp.tbl[[#This Row],[Dens]]&lt;=900,vp.tbl[[#This Row],[Sulf]]&lt;=0.5,vp.tbl[[#This Row],[Unknown]]=0),1,0)</f>
        <v>0</v>
      </c>
      <c r="AD89">
        <f>IF(AND(vp.tbl[[#This Row],[CrudeType]]="Crude",vp.tbl[[#This Row],[Dens]]&gt;870,vp.tbl[[#This Row],[Dens]]&lt;=900,vp.tbl[[#This Row],[Sulf]]&gt;0.5,vp.tbl[[#This Row],[Unknown]]=0),1,0)</f>
        <v>0</v>
      </c>
      <c r="AE89">
        <f>IF(AND(vp.tbl[[#This Row],[CrudeType]]="Crude",vp.tbl[[#This Row],[Dens]]&gt;900,vp.tbl[[#This Row],[Sulf]]&lt;=0.5,vp.tbl[[#This Row],[Unknown]]=0),1,0)</f>
        <v>0</v>
      </c>
      <c r="AF89">
        <f>IF(AND(vp.tbl[[#This Row],[CrudeType]]="Crude",vp.tbl[[#This Row],[Dens]]&gt;900,vp.tbl[[#This Row],[Sulf]]&lt;=0.5,vp.tbl[[#This Row],[Unknown]]=0),1,0)</f>
        <v>0</v>
      </c>
      <c r="AG89" t="str">
        <f>INDEX(vp.tbl[[#Headers],[Unknown]:[Heavy_SW]],MATCH(1,vp.tbl[[#This Row],[Unknown]:[Heavy_SW]],0))</f>
        <v>Light_SW</v>
      </c>
      <c r="AH89" t="e">
        <f>INDEX([1]!crudeBD.lkup[Number],MATCH(vp.tbl[[#This Row],[Crude_Breakdown]],[1]!crudeBD.lkup[Crude Breakdown],0))</f>
        <v>#REF!</v>
      </c>
      <c r="AI89">
        <f>MONTH(vp.tbl[[#This Row],[SDate]])</f>
        <v>3</v>
      </c>
      <c r="AJ89" s="5">
        <f>IFERROR(vp.tbl[[#This Row],[Sulf]]*vp.tbl[[#This Row],[Net Dens]],"")</f>
        <v>5131548.2094799997</v>
      </c>
      <c r="AK89" s="5">
        <f>IFERROR(vp.tbl[[#This Row],[Dens]]*vp.tbl[[#This Row],[VolumeM3]],"")</f>
        <v>36653915.781999998</v>
      </c>
      <c r="AL89" s="5">
        <f>IFERROR(vp.tbl[[#This Row],[VP]]*vp.tbl[[#This Row],[VolumeM3]],"")</f>
        <v>5845112.1349999998</v>
      </c>
      <c r="AM89" s="4">
        <f>IFERROR((vp.tbl[[#This Row],[VP]]-INDEX(crudeBD.lkup.complete[Mean_VP],MATCH(vp.tbl[[#This Row],[Crude_Breakdown]],crudeBD.lkup.complete[Crude Breakdown],0)))^2,"")</f>
        <v>1186.780893826563</v>
      </c>
      <c r="AN89" s="4">
        <f>IFERROR((vp.tbl[[#This Row],[Dens]]-INDEX(crudeBD.lkup.complete[Mean_Dens],MATCH(vp.tbl[[#This Row],[Crude_Breakdown]],crudeBD.lkup.complete[Crude Breakdown],0)))^2,"")</f>
        <v>141.88379074651405</v>
      </c>
      <c r="AO89" s="4">
        <f>IFERROR((vp.tbl[[#This Row],[Sulf]]-INDEX(crudeBD.lkup.complete[Mean_Sulf],MATCH(vp.tbl[[#This Row],[Crude_Breakdown]],crudeBD.lkup.complete[Crude Breakdown],0)))^2,"")</f>
        <v>9.2624863475336272E-3</v>
      </c>
      <c r="AP89">
        <f>IF(AND(vp.tbl[[#This Row],[SDate]]&gt;=DATE(YEAR(vp.tbl[[#This Row],[SDate]]),5,1),vp.tbl[[#This Row],[SDate]]&lt;=DATE(YEAR(vp.tbl[[#This Row],[SDate]]),9,15)),1,0)</f>
        <v>0</v>
      </c>
      <c r="AQ89" s="15">
        <f>IF(vp.tbl[[#This Row],[SDate]]&lt;DATE(2016,12,1),0,1)</f>
        <v>0</v>
      </c>
    </row>
    <row r="90" spans="1:43" x14ac:dyDescent="0.25">
      <c r="A90">
        <v>89</v>
      </c>
      <c r="B90" t="s">
        <v>49</v>
      </c>
      <c r="C90" t="s">
        <v>49</v>
      </c>
      <c r="D90" t="s">
        <v>75</v>
      </c>
      <c r="F90" s="1">
        <v>42438</v>
      </c>
      <c r="G90" s="2">
        <v>118.3</v>
      </c>
      <c r="H90" s="2"/>
      <c r="I90" s="2">
        <v>0.15</v>
      </c>
      <c r="J90" s="2"/>
      <c r="K90" s="2"/>
      <c r="L90" s="2">
        <v>798.4</v>
      </c>
      <c r="M90" s="2">
        <v>798.4</v>
      </c>
      <c r="N90" s="2">
        <f ca="1">INDEX(INDIRECT(_xlfn.CONCAT("weather.tbl[",N$1,"]")),MATCH(vp.tbl[[#This Row],[SDate]],weather.tbl[Date],0))</f>
        <v>1.6666666666666646E-2</v>
      </c>
      <c r="O90" s="2">
        <f ca="1">INDEX(INDIRECT(_xlfn.CONCAT("weather.tbl[",O$1,"]")),MATCH(vp.tbl[[#This Row],[SDate]],weather.tbl[Date],0))</f>
        <v>1.1666666666666667</v>
      </c>
      <c r="P90" s="2">
        <f ca="1">INDEX(INDIRECT(_xlfn.CONCAT("weather.tbl[",P$1,"]")),MATCH(vp.tbl[[#This Row],[SDate]],weather.tbl[Date],0))</f>
        <v>0.3</v>
      </c>
      <c r="Q90" s="2">
        <f ca="1">INDEX(INDIRECT(_xlfn.CONCAT("weather.tbl[",Q$1,"]")),MATCH(vp.tbl[[#This Row],[SDate]],weather.tbl[Date],0))</f>
        <v>-0.8</v>
      </c>
      <c r="R90" s="2">
        <f ca="1">INDEX(INDIRECT(_xlfn.CONCAT("weather.tbl[",R$1,"]")),MATCH(vp.tbl[[#This Row],[SDate]],weather.tbl[Date],0))</f>
        <v>0.3</v>
      </c>
      <c r="S90" s="2">
        <f ca="1">INDEX(INDIRECT(_xlfn.CONCAT("weather.tbl[",S$1,"]")),MATCH(vp.tbl[[#This Row],[SDate]],weather.tbl[Date],0))</f>
        <v>0</v>
      </c>
      <c r="T90" s="2">
        <f ca="1">INDEX(INDIRECT(_xlfn.CONCAT("weather.tbl[",T$1,"]")),MATCH(vp.tbl[[#This Row],[SDate]],weather.tbl[Date],0))</f>
        <v>1.9</v>
      </c>
      <c r="U90" s="2">
        <f ca="1">INDEX(INDIRECT(_xlfn.CONCAT("weather.tbl[",U$1,"]")),MATCH(vp.tbl[[#This Row],[SDate]],weather.tbl[Date],0))</f>
        <v>-1.6</v>
      </c>
      <c r="V90" s="2">
        <v>15704.973</v>
      </c>
      <c r="W90" t="s">
        <v>48</v>
      </c>
      <c r="X90">
        <f>IF(OR(vp.tbl[[#This Row],[Sulf]]="",vp.tbl[[#This Row],[Dens]]=""),1,0)</f>
        <v>0</v>
      </c>
      <c r="Y90">
        <f>IF(vp.tbl[[#This Row],[CrudeType]]="C5+",1,0)</f>
        <v>0</v>
      </c>
      <c r="Z90">
        <f>IF(AND(vp.tbl[[#This Row],[CrudeType]]="Crude",vp.tbl[[#This Row],[Dens]]&lt;=825,vp.tbl[[#This Row],[Sulf]]&gt;0.5,vp.tbl[[#This Row],[Unknown]]=0),1,0)</f>
        <v>0</v>
      </c>
      <c r="AA90">
        <f>IF(AND(vp.tbl[[#This Row],[CrudeType]]="Crude",vp.tbl[[#This Row],[Dens]]&lt;=825,vp.tbl[[#This Row],[Sulf]]&lt;=0.5,vp.tbl[[#This Row],[Unknown]]=0),1,0)</f>
        <v>1</v>
      </c>
      <c r="AB90">
        <f>IF(AND(vp.tbl[[#This Row],[CrudeType]]="Crude",vp.tbl[[#This Row],[Dens]]&gt;825,vp.tbl[[#This Row],[Dens]]&lt;=870,vp.tbl[[#This Row],[Sulf]]&gt;0.5,vp.tbl[[#This Row],[Unknown]]=0),1,0)</f>
        <v>0</v>
      </c>
      <c r="AC90">
        <f>IF(AND(vp.tbl[[#This Row],[CrudeType]]="Crude",vp.tbl[[#This Row],[Dens]]&gt;825,vp.tbl[[#This Row],[Dens]]&lt;=900,vp.tbl[[#This Row],[Sulf]]&lt;=0.5,vp.tbl[[#This Row],[Unknown]]=0),1,0)</f>
        <v>0</v>
      </c>
      <c r="AD90">
        <f>IF(AND(vp.tbl[[#This Row],[CrudeType]]="Crude",vp.tbl[[#This Row],[Dens]]&gt;870,vp.tbl[[#This Row],[Dens]]&lt;=900,vp.tbl[[#This Row],[Sulf]]&gt;0.5,vp.tbl[[#This Row],[Unknown]]=0),1,0)</f>
        <v>0</v>
      </c>
      <c r="AE90">
        <f>IF(AND(vp.tbl[[#This Row],[CrudeType]]="Crude",vp.tbl[[#This Row],[Dens]]&gt;900,vp.tbl[[#This Row],[Sulf]]&lt;=0.5,vp.tbl[[#This Row],[Unknown]]=0),1,0)</f>
        <v>0</v>
      </c>
      <c r="AF90">
        <f>IF(AND(vp.tbl[[#This Row],[CrudeType]]="Crude",vp.tbl[[#This Row],[Dens]]&gt;900,vp.tbl[[#This Row],[Sulf]]&lt;=0.5,vp.tbl[[#This Row],[Unknown]]=0),1,0)</f>
        <v>0</v>
      </c>
      <c r="AG90" t="str">
        <f>INDEX(vp.tbl[[#Headers],[Unknown]:[Heavy_SW]],MATCH(1,vp.tbl[[#This Row],[Unknown]:[Heavy_SW]],0))</f>
        <v>Light_SW</v>
      </c>
      <c r="AH90" t="e">
        <f>INDEX([1]!crudeBD.lkup[Number],MATCH(vp.tbl[[#This Row],[Crude_Breakdown]],[1]!crudeBD.lkup[Crude Breakdown],0))</f>
        <v>#REF!</v>
      </c>
      <c r="AI90">
        <f>MONTH(vp.tbl[[#This Row],[SDate]])</f>
        <v>3</v>
      </c>
      <c r="AJ90" s="5">
        <f>IFERROR(vp.tbl[[#This Row],[Sulf]]*vp.tbl[[#This Row],[Net Dens]],"")</f>
        <v>1880827.5664799998</v>
      </c>
      <c r="AK90" s="5">
        <f>IFERROR(vp.tbl[[#This Row],[Dens]]*vp.tbl[[#This Row],[VolumeM3]],"")</f>
        <v>12538850.4432</v>
      </c>
      <c r="AL90" s="5">
        <f>IFERROR(vp.tbl[[#This Row],[VP]]*vp.tbl[[#This Row],[VolumeM3]],"")</f>
        <v>1857898.3059</v>
      </c>
      <c r="AM90" s="4">
        <f>IFERROR((vp.tbl[[#This Row],[VP]]-INDEX(crudeBD.lkup.complete[Mean_VP],MATCH(vp.tbl[[#This Row],[Crude_Breakdown]],crudeBD.lkup.complete[Crude Breakdown],0)))^2,"")</f>
        <v>663.0463502725554</v>
      </c>
      <c r="AN90" s="4">
        <f>IFERROR((vp.tbl[[#This Row],[Dens]]-INDEX(crudeBD.lkup.complete[Mean_Dens],MATCH(vp.tbl[[#This Row],[Crude_Breakdown]],crudeBD.lkup.complete[Crude Breakdown],0)))^2,"")</f>
        <v>98.237797715155949</v>
      </c>
      <c r="AO90" s="4">
        <f>IFERROR((vp.tbl[[#This Row],[Sulf]]-INDEX(crudeBD.lkup.complete[Mean_Sulf],MATCH(vp.tbl[[#This Row],[Crude_Breakdown]],crudeBD.lkup.complete[Crude Breakdown],0)))^2,"")</f>
        <v>7.4376501105998362E-3</v>
      </c>
      <c r="AP90">
        <f>IF(AND(vp.tbl[[#This Row],[SDate]]&gt;=DATE(YEAR(vp.tbl[[#This Row],[SDate]]),5,1),vp.tbl[[#This Row],[SDate]]&lt;=DATE(YEAR(vp.tbl[[#This Row],[SDate]]),9,15)),1,0)</f>
        <v>0</v>
      </c>
      <c r="AQ90" s="15">
        <f>IF(vp.tbl[[#This Row],[SDate]]&lt;DATE(2016,12,1),0,1)</f>
        <v>0</v>
      </c>
    </row>
    <row r="91" spans="1:43" x14ac:dyDescent="0.25">
      <c r="A91">
        <v>90</v>
      </c>
      <c r="B91" t="s">
        <v>51</v>
      </c>
      <c r="C91" t="s">
        <v>51</v>
      </c>
      <c r="D91" t="s">
        <v>71</v>
      </c>
      <c r="F91" s="1">
        <v>42438</v>
      </c>
      <c r="G91" s="2">
        <v>89.7</v>
      </c>
      <c r="H91" s="2"/>
      <c r="I91" s="2">
        <v>1.46</v>
      </c>
      <c r="J91" s="2"/>
      <c r="K91" s="2"/>
      <c r="L91" s="2">
        <v>827.3</v>
      </c>
      <c r="M91" s="2">
        <v>827.3</v>
      </c>
      <c r="N91" s="2">
        <f ca="1">INDEX(INDIRECT(_xlfn.CONCAT("weather.tbl[",N$1,"]")),MATCH(vp.tbl[[#This Row],[SDate]],weather.tbl[Date],0))</f>
        <v>1.6666666666666646E-2</v>
      </c>
      <c r="O91" s="2">
        <f ca="1">INDEX(INDIRECT(_xlfn.CONCAT("weather.tbl[",O$1,"]")),MATCH(vp.tbl[[#This Row],[SDate]],weather.tbl[Date],0))</f>
        <v>1.1666666666666667</v>
      </c>
      <c r="P91" s="2">
        <f ca="1">INDEX(INDIRECT(_xlfn.CONCAT("weather.tbl[",P$1,"]")),MATCH(vp.tbl[[#This Row],[SDate]],weather.tbl[Date],0))</f>
        <v>0.3</v>
      </c>
      <c r="Q91" s="2">
        <f ca="1">INDEX(INDIRECT(_xlfn.CONCAT("weather.tbl[",Q$1,"]")),MATCH(vp.tbl[[#This Row],[SDate]],weather.tbl[Date],0))</f>
        <v>-0.8</v>
      </c>
      <c r="R91" s="2">
        <f ca="1">INDEX(INDIRECT(_xlfn.CONCAT("weather.tbl[",R$1,"]")),MATCH(vp.tbl[[#This Row],[SDate]],weather.tbl[Date],0))</f>
        <v>0.3</v>
      </c>
      <c r="S91" s="2">
        <f ca="1">INDEX(INDIRECT(_xlfn.CONCAT("weather.tbl[",S$1,"]")),MATCH(vp.tbl[[#This Row],[SDate]],weather.tbl[Date],0))</f>
        <v>0</v>
      </c>
      <c r="T91" s="2">
        <f ca="1">INDEX(INDIRECT(_xlfn.CONCAT("weather.tbl[",T$1,"]")),MATCH(vp.tbl[[#This Row],[SDate]],weather.tbl[Date],0))</f>
        <v>1.9</v>
      </c>
      <c r="U91" s="2">
        <f ca="1">INDEX(INDIRECT(_xlfn.CONCAT("weather.tbl[",U$1,"]")),MATCH(vp.tbl[[#This Row],[SDate]],weather.tbl[Date],0))</f>
        <v>-1.6</v>
      </c>
      <c r="V91" s="2">
        <v>5677.48</v>
      </c>
      <c r="W91" t="s">
        <v>48</v>
      </c>
      <c r="X91">
        <f>IF(OR(vp.tbl[[#This Row],[Sulf]]="",vp.tbl[[#This Row],[Dens]]=""),1,0)</f>
        <v>0</v>
      </c>
      <c r="Y91">
        <f>IF(vp.tbl[[#This Row],[CrudeType]]="C5+",1,0)</f>
        <v>0</v>
      </c>
      <c r="Z91">
        <f>IF(AND(vp.tbl[[#This Row],[CrudeType]]="Crude",vp.tbl[[#This Row],[Dens]]&lt;=825,vp.tbl[[#This Row],[Sulf]]&gt;0.5,vp.tbl[[#This Row],[Unknown]]=0),1,0)</f>
        <v>0</v>
      </c>
      <c r="AA91">
        <f>IF(AND(vp.tbl[[#This Row],[CrudeType]]="Crude",vp.tbl[[#This Row],[Dens]]&lt;=825,vp.tbl[[#This Row],[Sulf]]&lt;=0.5,vp.tbl[[#This Row],[Unknown]]=0),1,0)</f>
        <v>0</v>
      </c>
      <c r="AB91">
        <f>IF(AND(vp.tbl[[#This Row],[CrudeType]]="Crude",vp.tbl[[#This Row],[Dens]]&gt;825,vp.tbl[[#This Row],[Dens]]&lt;=870,vp.tbl[[#This Row],[Sulf]]&gt;0.5,vp.tbl[[#This Row],[Unknown]]=0),1,0)</f>
        <v>1</v>
      </c>
      <c r="AC91">
        <f>IF(AND(vp.tbl[[#This Row],[CrudeType]]="Crude",vp.tbl[[#This Row],[Dens]]&gt;825,vp.tbl[[#This Row],[Dens]]&lt;=900,vp.tbl[[#This Row],[Sulf]]&lt;=0.5,vp.tbl[[#This Row],[Unknown]]=0),1,0)</f>
        <v>0</v>
      </c>
      <c r="AD91">
        <f>IF(AND(vp.tbl[[#This Row],[CrudeType]]="Crude",vp.tbl[[#This Row],[Dens]]&gt;870,vp.tbl[[#This Row],[Dens]]&lt;=900,vp.tbl[[#This Row],[Sulf]]&gt;0.5,vp.tbl[[#This Row],[Unknown]]=0),1,0)</f>
        <v>0</v>
      </c>
      <c r="AE91">
        <f>IF(AND(vp.tbl[[#This Row],[CrudeType]]="Crude",vp.tbl[[#This Row],[Dens]]&gt;900,vp.tbl[[#This Row],[Sulf]]&lt;=0.5,vp.tbl[[#This Row],[Unknown]]=0),1,0)</f>
        <v>0</v>
      </c>
      <c r="AF91">
        <f>IF(AND(vp.tbl[[#This Row],[CrudeType]]="Crude",vp.tbl[[#This Row],[Dens]]&gt;900,vp.tbl[[#This Row],[Sulf]]&lt;=0.5,vp.tbl[[#This Row],[Unknown]]=0),1,0)</f>
        <v>0</v>
      </c>
      <c r="AG91" t="str">
        <f>INDEX(vp.tbl[[#Headers],[Unknown]:[Heavy_SW]],MATCH(1,vp.tbl[[#This Row],[Unknown]:[Heavy_SW]],0))</f>
        <v>Medium_LSB</v>
      </c>
      <c r="AH91" t="e">
        <f>INDEX([1]!crudeBD.lkup[Number],MATCH(vp.tbl[[#This Row],[Crude_Breakdown]],[1]!crudeBD.lkup[Crude Breakdown],0))</f>
        <v>#REF!</v>
      </c>
      <c r="AI91">
        <f>MONTH(vp.tbl[[#This Row],[SDate]])</f>
        <v>3</v>
      </c>
      <c r="AJ91" s="5">
        <f>IFERROR(vp.tbl[[#This Row],[Sulf]]*vp.tbl[[#This Row],[Net Dens]],"")</f>
        <v>6857589.6378399981</v>
      </c>
      <c r="AK91" s="5">
        <f>IFERROR(vp.tbl[[#This Row],[Dens]]*vp.tbl[[#This Row],[VolumeM3]],"")</f>
        <v>4696979.203999999</v>
      </c>
      <c r="AL91" s="5">
        <f>IFERROR(vp.tbl[[#This Row],[VP]]*vp.tbl[[#This Row],[VolumeM3]],"")</f>
        <v>509269.95600000001</v>
      </c>
      <c r="AM91" s="4">
        <f>IFERROR((vp.tbl[[#This Row],[VP]]-INDEX(crudeBD.lkup.complete[Mean_VP],MATCH(vp.tbl[[#This Row],[Crude_Breakdown]],crudeBD.lkup.complete[Crude Breakdown],0)))^2,"")</f>
        <v>90.752393429899811</v>
      </c>
      <c r="AN91" s="4">
        <f>IFERROR((vp.tbl[[#This Row],[Dens]]-INDEX(crudeBD.lkup.complete[Mean_Dens],MATCH(vp.tbl[[#This Row],[Crude_Breakdown]],crudeBD.lkup.complete[Crude Breakdown],0)))^2,"")</f>
        <v>323.70568711997902</v>
      </c>
      <c r="AO91" s="4">
        <f>IFERROR((vp.tbl[[#This Row],[Sulf]]-INDEX(crudeBD.lkup.complete[Mean_Sulf],MATCH(vp.tbl[[#This Row],[Crude_Breakdown]],crudeBD.lkup.complete[Crude Breakdown],0)))^2,"")</f>
        <v>2.5706311918106711E-5</v>
      </c>
      <c r="AP91">
        <f>IF(AND(vp.tbl[[#This Row],[SDate]]&gt;=DATE(YEAR(vp.tbl[[#This Row],[SDate]]),5,1),vp.tbl[[#This Row],[SDate]]&lt;=DATE(YEAR(vp.tbl[[#This Row],[SDate]]),9,15)),1,0)</f>
        <v>0</v>
      </c>
      <c r="AQ91" s="15">
        <f>IF(vp.tbl[[#This Row],[SDate]]&lt;DATE(2016,12,1),0,1)</f>
        <v>0</v>
      </c>
    </row>
    <row r="92" spans="1:43" x14ac:dyDescent="0.25">
      <c r="A92">
        <v>91</v>
      </c>
      <c r="B92" t="s">
        <v>60</v>
      </c>
      <c r="C92" t="s">
        <v>60</v>
      </c>
      <c r="D92" t="s">
        <v>61</v>
      </c>
      <c r="E92" t="s">
        <v>55</v>
      </c>
      <c r="F92" s="1">
        <v>42438</v>
      </c>
      <c r="G92" s="2">
        <v>111.1</v>
      </c>
      <c r="H92" s="2"/>
      <c r="I92" s="2">
        <v>0.97</v>
      </c>
      <c r="J92" s="2"/>
      <c r="K92" s="2"/>
      <c r="L92" s="2">
        <v>835.3</v>
      </c>
      <c r="M92" s="2">
        <v>835.3</v>
      </c>
      <c r="N92" s="2">
        <f ca="1">INDEX(INDIRECT(_xlfn.CONCAT("weather.tbl[",N$1,"]")),MATCH(vp.tbl[[#This Row],[SDate]],weather.tbl[Date],0))</f>
        <v>1.6666666666666646E-2</v>
      </c>
      <c r="O92" s="2">
        <f ca="1">INDEX(INDIRECT(_xlfn.CONCAT("weather.tbl[",O$1,"]")),MATCH(vp.tbl[[#This Row],[SDate]],weather.tbl[Date],0))</f>
        <v>1.1666666666666667</v>
      </c>
      <c r="P92" s="2">
        <f ca="1">INDEX(INDIRECT(_xlfn.CONCAT("weather.tbl[",P$1,"]")),MATCH(vp.tbl[[#This Row],[SDate]],weather.tbl[Date],0))</f>
        <v>0.3</v>
      </c>
      <c r="Q92" s="2">
        <f ca="1">INDEX(INDIRECT(_xlfn.CONCAT("weather.tbl[",Q$1,"]")),MATCH(vp.tbl[[#This Row],[SDate]],weather.tbl[Date],0))</f>
        <v>-0.8</v>
      </c>
      <c r="R92" s="2">
        <f ca="1">INDEX(INDIRECT(_xlfn.CONCAT("weather.tbl[",R$1,"]")),MATCH(vp.tbl[[#This Row],[SDate]],weather.tbl[Date],0))</f>
        <v>0.3</v>
      </c>
      <c r="S92" s="2">
        <f ca="1">INDEX(INDIRECT(_xlfn.CONCAT("weather.tbl[",S$1,"]")),MATCH(vp.tbl[[#This Row],[SDate]],weather.tbl[Date],0))</f>
        <v>0</v>
      </c>
      <c r="T92" s="2">
        <f ca="1">INDEX(INDIRECT(_xlfn.CONCAT("weather.tbl[",T$1,"]")),MATCH(vp.tbl[[#This Row],[SDate]],weather.tbl[Date],0))</f>
        <v>1.9</v>
      </c>
      <c r="U92" s="2">
        <f ca="1">INDEX(INDIRECT(_xlfn.CONCAT("weather.tbl[",U$1,"]")),MATCH(vp.tbl[[#This Row],[SDate]],weather.tbl[Date],0))</f>
        <v>-1.6</v>
      </c>
      <c r="V92" s="2">
        <v>109333.743</v>
      </c>
      <c r="W92" t="s">
        <v>48</v>
      </c>
      <c r="X92">
        <f>IF(OR(vp.tbl[[#This Row],[Sulf]]="",vp.tbl[[#This Row],[Dens]]=""),1,0)</f>
        <v>0</v>
      </c>
      <c r="Y92">
        <f>IF(vp.tbl[[#This Row],[CrudeType]]="C5+",1,0)</f>
        <v>0</v>
      </c>
      <c r="Z92">
        <f>IF(AND(vp.tbl[[#This Row],[CrudeType]]="Crude",vp.tbl[[#This Row],[Dens]]&lt;=825,vp.tbl[[#This Row],[Sulf]]&gt;0.5,vp.tbl[[#This Row],[Unknown]]=0),1,0)</f>
        <v>0</v>
      </c>
      <c r="AA92">
        <f>IF(AND(vp.tbl[[#This Row],[CrudeType]]="Crude",vp.tbl[[#This Row],[Dens]]&lt;=825,vp.tbl[[#This Row],[Sulf]]&lt;=0.5,vp.tbl[[#This Row],[Unknown]]=0),1,0)</f>
        <v>0</v>
      </c>
      <c r="AB92">
        <f>IF(AND(vp.tbl[[#This Row],[CrudeType]]="Crude",vp.tbl[[#This Row],[Dens]]&gt;825,vp.tbl[[#This Row],[Dens]]&lt;=870,vp.tbl[[#This Row],[Sulf]]&gt;0.5,vp.tbl[[#This Row],[Unknown]]=0),1,0)</f>
        <v>1</v>
      </c>
      <c r="AC92">
        <f>IF(AND(vp.tbl[[#This Row],[CrudeType]]="Crude",vp.tbl[[#This Row],[Dens]]&gt;825,vp.tbl[[#This Row],[Dens]]&lt;=900,vp.tbl[[#This Row],[Sulf]]&lt;=0.5,vp.tbl[[#This Row],[Unknown]]=0),1,0)</f>
        <v>0</v>
      </c>
      <c r="AD92">
        <f>IF(AND(vp.tbl[[#This Row],[CrudeType]]="Crude",vp.tbl[[#This Row],[Dens]]&gt;870,vp.tbl[[#This Row],[Dens]]&lt;=900,vp.tbl[[#This Row],[Sulf]]&gt;0.5,vp.tbl[[#This Row],[Unknown]]=0),1,0)</f>
        <v>0</v>
      </c>
      <c r="AE92">
        <f>IF(AND(vp.tbl[[#This Row],[CrudeType]]="Crude",vp.tbl[[#This Row],[Dens]]&gt;900,vp.tbl[[#This Row],[Sulf]]&lt;=0.5,vp.tbl[[#This Row],[Unknown]]=0),1,0)</f>
        <v>0</v>
      </c>
      <c r="AF92">
        <f>IF(AND(vp.tbl[[#This Row],[CrudeType]]="Crude",vp.tbl[[#This Row],[Dens]]&gt;900,vp.tbl[[#This Row],[Sulf]]&lt;=0.5,vp.tbl[[#This Row],[Unknown]]=0),1,0)</f>
        <v>0</v>
      </c>
      <c r="AG92" t="str">
        <f>INDEX(vp.tbl[[#Headers],[Unknown]:[Heavy_SW]],MATCH(1,vp.tbl[[#This Row],[Unknown]:[Heavy_SW]],0))</f>
        <v>Medium_LSB</v>
      </c>
      <c r="AH92" t="e">
        <f>INDEX([1]!crudeBD.lkup[Number],MATCH(vp.tbl[[#This Row],[Crude_Breakdown]],[1]!crudeBD.lkup[Crude Breakdown],0))</f>
        <v>#REF!</v>
      </c>
      <c r="AI92">
        <f>MONTH(vp.tbl[[#This Row],[SDate]])</f>
        <v>3</v>
      </c>
      <c r="AJ92" s="5">
        <f>IFERROR(vp.tbl[[#This Row],[Sulf]]*vp.tbl[[#This Row],[Net Dens]],"")</f>
        <v>88586681.262062997</v>
      </c>
      <c r="AK92" s="5">
        <f>IFERROR(vp.tbl[[#This Row],[Dens]]*vp.tbl[[#This Row],[VolumeM3]],"")</f>
        <v>91326475.527899995</v>
      </c>
      <c r="AL92" s="5">
        <f>IFERROR(vp.tbl[[#This Row],[VP]]*vp.tbl[[#This Row],[VolumeM3]],"")</f>
        <v>12146978.8473</v>
      </c>
      <c r="AM92" s="4">
        <f>IFERROR((vp.tbl[[#This Row],[VP]]-INDEX(crudeBD.lkup.complete[Mean_VP],MATCH(vp.tbl[[#This Row],[Crude_Breakdown]],crudeBD.lkup.complete[Crude Breakdown],0)))^2,"")</f>
        <v>956.44253013876175</v>
      </c>
      <c r="AN92" s="4">
        <f>IFERROR((vp.tbl[[#This Row],[Dens]]-INDEX(crudeBD.lkup.complete[Mean_Dens],MATCH(vp.tbl[[#This Row],[Crude_Breakdown]],crudeBD.lkup.complete[Crude Breakdown],0)))^2,"")</f>
        <v>99.83652256303202</v>
      </c>
      <c r="AO92" s="4">
        <f>IFERROR((vp.tbl[[#This Row],[Sulf]]-INDEX(crudeBD.lkup.complete[Mean_Sulf],MATCH(vp.tbl[[#This Row],[Crude_Breakdown]],crudeBD.lkup.complete[Crude Breakdown],0)))^2,"")</f>
        <v>0.23515696985622339</v>
      </c>
      <c r="AP92">
        <f>IF(AND(vp.tbl[[#This Row],[SDate]]&gt;=DATE(YEAR(vp.tbl[[#This Row],[SDate]]),5,1),vp.tbl[[#This Row],[SDate]]&lt;=DATE(YEAR(vp.tbl[[#This Row],[SDate]]),9,15)),1,0)</f>
        <v>0</v>
      </c>
      <c r="AQ92" s="15">
        <f>IF(vp.tbl[[#This Row],[SDate]]&lt;DATE(2016,12,1),0,1)</f>
        <v>0</v>
      </c>
    </row>
    <row r="93" spans="1:43" x14ac:dyDescent="0.25">
      <c r="A93">
        <v>92</v>
      </c>
      <c r="B93" t="s">
        <v>76</v>
      </c>
      <c r="C93" t="s">
        <v>76</v>
      </c>
      <c r="D93" t="s">
        <v>77</v>
      </c>
      <c r="F93" s="1">
        <v>42439</v>
      </c>
      <c r="G93" s="2">
        <v>109.3</v>
      </c>
      <c r="H93" s="2"/>
      <c r="I93" s="2">
        <v>0.12</v>
      </c>
      <c r="J93" s="2"/>
      <c r="K93" s="2"/>
      <c r="L93" s="2">
        <v>797</v>
      </c>
      <c r="M93" s="2">
        <v>797</v>
      </c>
      <c r="N93" s="2">
        <f ca="1">INDEX(INDIRECT(_xlfn.CONCAT("weather.tbl[",N$1,"]")),MATCH(vp.tbl[[#This Row],[SDate]],weather.tbl[Date],0))</f>
        <v>5.0000000000000009</v>
      </c>
      <c r="O93" s="2">
        <f ca="1">INDEX(INDIRECT(_xlfn.CONCAT("weather.tbl[",O$1,"]")),MATCH(vp.tbl[[#This Row],[SDate]],weather.tbl[Date],0))</f>
        <v>2.1619047619047622</v>
      </c>
      <c r="P93" s="2">
        <f ca="1">INDEX(INDIRECT(_xlfn.CONCAT("weather.tbl[",P$1,"]")),MATCH(vp.tbl[[#This Row],[SDate]],weather.tbl[Date],0))</f>
        <v>5.0999999999999996</v>
      </c>
      <c r="Q93" s="2">
        <f ca="1">INDEX(INDIRECT(_xlfn.CONCAT("weather.tbl[",Q$1,"]")),MATCH(vp.tbl[[#This Row],[SDate]],weather.tbl[Date],0))</f>
        <v>5.4</v>
      </c>
      <c r="R93" s="2">
        <f ca="1">INDEX(INDIRECT(_xlfn.CONCAT("weather.tbl[",R$1,"]")),MATCH(vp.tbl[[#This Row],[SDate]],weather.tbl[Date],0))</f>
        <v>5.8</v>
      </c>
      <c r="S93" s="2">
        <f ca="1">INDEX(INDIRECT(_xlfn.CONCAT("weather.tbl[",S$1,"]")),MATCH(vp.tbl[[#This Row],[SDate]],weather.tbl[Date],0))</f>
        <v>5.3</v>
      </c>
      <c r="T93" s="2">
        <f ca="1">INDEX(INDIRECT(_xlfn.CONCAT("weather.tbl[",T$1,"]")),MATCH(vp.tbl[[#This Row],[SDate]],weather.tbl[Date],0))</f>
        <v>4.8</v>
      </c>
      <c r="U93" s="2">
        <f ca="1">INDEX(INDIRECT(_xlfn.CONCAT("weather.tbl[",U$1,"]")),MATCH(vp.tbl[[#This Row],[SDate]],weather.tbl[Date],0))</f>
        <v>3.6</v>
      </c>
      <c r="V93" s="2">
        <v>139.453</v>
      </c>
      <c r="W93" t="s">
        <v>48</v>
      </c>
      <c r="X93">
        <f>IF(OR(vp.tbl[[#This Row],[Sulf]]="",vp.tbl[[#This Row],[Dens]]=""),1,0)</f>
        <v>0</v>
      </c>
      <c r="Y93">
        <f>IF(vp.tbl[[#This Row],[CrudeType]]="C5+",1,0)</f>
        <v>0</v>
      </c>
      <c r="Z93">
        <f>IF(AND(vp.tbl[[#This Row],[CrudeType]]="Crude",vp.tbl[[#This Row],[Dens]]&lt;=825,vp.tbl[[#This Row],[Sulf]]&gt;0.5,vp.tbl[[#This Row],[Unknown]]=0),1,0)</f>
        <v>0</v>
      </c>
      <c r="AA93">
        <f>IF(AND(vp.tbl[[#This Row],[CrudeType]]="Crude",vp.tbl[[#This Row],[Dens]]&lt;=825,vp.tbl[[#This Row],[Sulf]]&lt;=0.5,vp.tbl[[#This Row],[Unknown]]=0),1,0)</f>
        <v>1</v>
      </c>
      <c r="AB93">
        <f>IF(AND(vp.tbl[[#This Row],[CrudeType]]="Crude",vp.tbl[[#This Row],[Dens]]&gt;825,vp.tbl[[#This Row],[Dens]]&lt;=870,vp.tbl[[#This Row],[Sulf]]&gt;0.5,vp.tbl[[#This Row],[Unknown]]=0),1,0)</f>
        <v>0</v>
      </c>
      <c r="AC93">
        <f>IF(AND(vp.tbl[[#This Row],[CrudeType]]="Crude",vp.tbl[[#This Row],[Dens]]&gt;825,vp.tbl[[#This Row],[Dens]]&lt;=900,vp.tbl[[#This Row],[Sulf]]&lt;=0.5,vp.tbl[[#This Row],[Unknown]]=0),1,0)</f>
        <v>0</v>
      </c>
      <c r="AD93">
        <f>IF(AND(vp.tbl[[#This Row],[CrudeType]]="Crude",vp.tbl[[#This Row],[Dens]]&gt;870,vp.tbl[[#This Row],[Dens]]&lt;=900,vp.tbl[[#This Row],[Sulf]]&gt;0.5,vp.tbl[[#This Row],[Unknown]]=0),1,0)</f>
        <v>0</v>
      </c>
      <c r="AE93">
        <f>IF(AND(vp.tbl[[#This Row],[CrudeType]]="Crude",vp.tbl[[#This Row],[Dens]]&gt;900,vp.tbl[[#This Row],[Sulf]]&lt;=0.5,vp.tbl[[#This Row],[Unknown]]=0),1,0)</f>
        <v>0</v>
      </c>
      <c r="AF93">
        <f>IF(AND(vp.tbl[[#This Row],[CrudeType]]="Crude",vp.tbl[[#This Row],[Dens]]&gt;900,vp.tbl[[#This Row],[Sulf]]&lt;=0.5,vp.tbl[[#This Row],[Unknown]]=0),1,0)</f>
        <v>0</v>
      </c>
      <c r="AG93" t="str">
        <f>INDEX(vp.tbl[[#Headers],[Unknown]:[Heavy_SW]],MATCH(1,vp.tbl[[#This Row],[Unknown]:[Heavy_SW]],0))</f>
        <v>Light_SW</v>
      </c>
      <c r="AH93" t="e">
        <f>INDEX([1]!crudeBD.lkup[Number],MATCH(vp.tbl[[#This Row],[Crude_Breakdown]],[1]!crudeBD.lkup[Crude Breakdown],0))</f>
        <v>#REF!</v>
      </c>
      <c r="AI93">
        <f>MONTH(vp.tbl[[#This Row],[SDate]])</f>
        <v>3</v>
      </c>
      <c r="AJ93" s="5">
        <f>IFERROR(vp.tbl[[#This Row],[Sulf]]*vp.tbl[[#This Row],[Net Dens]],"")</f>
        <v>13337.28492</v>
      </c>
      <c r="AK93" s="5">
        <f>IFERROR(vp.tbl[[#This Row],[Dens]]*vp.tbl[[#This Row],[VolumeM3]],"")</f>
        <v>111144.041</v>
      </c>
      <c r="AL93" s="5">
        <f>IFERROR(vp.tbl[[#This Row],[VP]]*vp.tbl[[#This Row],[VolumeM3]],"")</f>
        <v>15242.2129</v>
      </c>
      <c r="AM93" s="4">
        <f>IFERROR((vp.tbl[[#This Row],[VP]]-INDEX(crudeBD.lkup.complete[Mean_VP],MATCH(vp.tbl[[#This Row],[Crude_Breakdown]],crudeBD.lkup.complete[Crude Breakdown],0)))^2,"")</f>
        <v>280.55199487185803</v>
      </c>
      <c r="AN93" s="4">
        <f>IFERROR((vp.tbl[[#This Row],[Dens]]-INDEX(crudeBD.lkup.complete[Mean_Dens],MATCH(vp.tbl[[#This Row],[Crude_Breakdown]],crudeBD.lkup.complete[Crude Breakdown],0)))^2,"")</f>
        <v>127.94999283710611</v>
      </c>
      <c r="AO93" s="4">
        <f>IFERROR((vp.tbl[[#This Row],[Sulf]]-INDEX(crudeBD.lkup.complete[Mean_Sulf],MATCH(vp.tbl[[#This Row],[Crude_Breakdown]],crudeBD.lkup.complete[Crude Breakdown],0)))^2,"")</f>
        <v>1.3512158821401221E-2</v>
      </c>
      <c r="AP93">
        <f>IF(AND(vp.tbl[[#This Row],[SDate]]&gt;=DATE(YEAR(vp.tbl[[#This Row],[SDate]]),5,1),vp.tbl[[#This Row],[SDate]]&lt;=DATE(YEAR(vp.tbl[[#This Row],[SDate]]),9,15)),1,0)</f>
        <v>0</v>
      </c>
      <c r="AQ93" s="15">
        <f>IF(vp.tbl[[#This Row],[SDate]]&lt;DATE(2016,12,1),0,1)</f>
        <v>0</v>
      </c>
    </row>
    <row r="94" spans="1:43" x14ac:dyDescent="0.25">
      <c r="A94">
        <v>93</v>
      </c>
      <c r="B94" t="s">
        <v>49</v>
      </c>
      <c r="C94" t="s">
        <v>49</v>
      </c>
      <c r="D94" t="s">
        <v>78</v>
      </c>
      <c r="F94" s="1">
        <v>42439</v>
      </c>
      <c r="G94" s="2">
        <v>84</v>
      </c>
      <c r="H94" s="2"/>
      <c r="I94" s="2">
        <v>0.15</v>
      </c>
      <c r="J94" s="2"/>
      <c r="K94" s="2"/>
      <c r="L94" s="2">
        <v>807.1</v>
      </c>
      <c r="M94" s="2">
        <v>807.1</v>
      </c>
      <c r="N94" s="2">
        <f ca="1">INDEX(INDIRECT(_xlfn.CONCAT("weather.tbl[",N$1,"]")),MATCH(vp.tbl[[#This Row],[SDate]],weather.tbl[Date],0))</f>
        <v>5.0000000000000009</v>
      </c>
      <c r="O94" s="2">
        <f ca="1">INDEX(INDIRECT(_xlfn.CONCAT("weather.tbl[",O$1,"]")),MATCH(vp.tbl[[#This Row],[SDate]],weather.tbl[Date],0))</f>
        <v>2.1619047619047622</v>
      </c>
      <c r="P94" s="2">
        <f ca="1">INDEX(INDIRECT(_xlfn.CONCAT("weather.tbl[",P$1,"]")),MATCH(vp.tbl[[#This Row],[SDate]],weather.tbl[Date],0))</f>
        <v>5.0999999999999996</v>
      </c>
      <c r="Q94" s="2">
        <f ca="1">INDEX(INDIRECT(_xlfn.CONCAT("weather.tbl[",Q$1,"]")),MATCH(vp.tbl[[#This Row],[SDate]],weather.tbl[Date],0))</f>
        <v>5.4</v>
      </c>
      <c r="R94" s="2">
        <f ca="1">INDEX(INDIRECT(_xlfn.CONCAT("weather.tbl[",R$1,"]")),MATCH(vp.tbl[[#This Row],[SDate]],weather.tbl[Date],0))</f>
        <v>5.8</v>
      </c>
      <c r="S94" s="2">
        <f ca="1">INDEX(INDIRECT(_xlfn.CONCAT("weather.tbl[",S$1,"]")),MATCH(vp.tbl[[#This Row],[SDate]],weather.tbl[Date],0))</f>
        <v>5.3</v>
      </c>
      <c r="T94" s="2">
        <f ca="1">INDEX(INDIRECT(_xlfn.CONCAT("weather.tbl[",T$1,"]")),MATCH(vp.tbl[[#This Row],[SDate]],weather.tbl[Date],0))</f>
        <v>4.8</v>
      </c>
      <c r="U94" s="2">
        <f ca="1">INDEX(INDIRECT(_xlfn.CONCAT("weather.tbl[",U$1,"]")),MATCH(vp.tbl[[#This Row],[SDate]],weather.tbl[Date],0))</f>
        <v>3.6</v>
      </c>
      <c r="V94" s="2">
        <v>38104.936999999998</v>
      </c>
      <c r="W94" t="s">
        <v>48</v>
      </c>
      <c r="X94">
        <f>IF(OR(vp.tbl[[#This Row],[Sulf]]="",vp.tbl[[#This Row],[Dens]]=""),1,0)</f>
        <v>0</v>
      </c>
      <c r="Y94">
        <f>IF(vp.tbl[[#This Row],[CrudeType]]="C5+",1,0)</f>
        <v>0</v>
      </c>
      <c r="Z94">
        <f>IF(AND(vp.tbl[[#This Row],[CrudeType]]="Crude",vp.tbl[[#This Row],[Dens]]&lt;=825,vp.tbl[[#This Row],[Sulf]]&gt;0.5,vp.tbl[[#This Row],[Unknown]]=0),1,0)</f>
        <v>0</v>
      </c>
      <c r="AA94">
        <f>IF(AND(vp.tbl[[#This Row],[CrudeType]]="Crude",vp.tbl[[#This Row],[Dens]]&lt;=825,vp.tbl[[#This Row],[Sulf]]&lt;=0.5,vp.tbl[[#This Row],[Unknown]]=0),1,0)</f>
        <v>1</v>
      </c>
      <c r="AB94">
        <f>IF(AND(vp.tbl[[#This Row],[CrudeType]]="Crude",vp.tbl[[#This Row],[Dens]]&gt;825,vp.tbl[[#This Row],[Dens]]&lt;=870,vp.tbl[[#This Row],[Sulf]]&gt;0.5,vp.tbl[[#This Row],[Unknown]]=0),1,0)</f>
        <v>0</v>
      </c>
      <c r="AC94">
        <f>IF(AND(vp.tbl[[#This Row],[CrudeType]]="Crude",vp.tbl[[#This Row],[Dens]]&gt;825,vp.tbl[[#This Row],[Dens]]&lt;=900,vp.tbl[[#This Row],[Sulf]]&lt;=0.5,vp.tbl[[#This Row],[Unknown]]=0),1,0)</f>
        <v>0</v>
      </c>
      <c r="AD94">
        <f>IF(AND(vp.tbl[[#This Row],[CrudeType]]="Crude",vp.tbl[[#This Row],[Dens]]&gt;870,vp.tbl[[#This Row],[Dens]]&lt;=900,vp.tbl[[#This Row],[Sulf]]&gt;0.5,vp.tbl[[#This Row],[Unknown]]=0),1,0)</f>
        <v>0</v>
      </c>
      <c r="AE94">
        <f>IF(AND(vp.tbl[[#This Row],[CrudeType]]="Crude",vp.tbl[[#This Row],[Dens]]&gt;900,vp.tbl[[#This Row],[Sulf]]&lt;=0.5,vp.tbl[[#This Row],[Unknown]]=0),1,0)</f>
        <v>0</v>
      </c>
      <c r="AF94">
        <f>IF(AND(vp.tbl[[#This Row],[CrudeType]]="Crude",vp.tbl[[#This Row],[Dens]]&gt;900,vp.tbl[[#This Row],[Sulf]]&lt;=0.5,vp.tbl[[#This Row],[Unknown]]=0),1,0)</f>
        <v>0</v>
      </c>
      <c r="AG94" t="str">
        <f>INDEX(vp.tbl[[#Headers],[Unknown]:[Heavy_SW]],MATCH(1,vp.tbl[[#This Row],[Unknown]:[Heavy_SW]],0))</f>
        <v>Light_SW</v>
      </c>
      <c r="AH94" t="e">
        <f>INDEX([1]!crudeBD.lkup[Number],MATCH(vp.tbl[[#This Row],[Crude_Breakdown]],[1]!crudeBD.lkup[Crude Breakdown],0))</f>
        <v>#REF!</v>
      </c>
      <c r="AI94">
        <f>MONTH(vp.tbl[[#This Row],[SDate]])</f>
        <v>3</v>
      </c>
      <c r="AJ94" s="5">
        <f>IFERROR(vp.tbl[[#This Row],[Sulf]]*vp.tbl[[#This Row],[Net Dens]],"")</f>
        <v>4613174.1979049994</v>
      </c>
      <c r="AK94" s="5">
        <f>IFERROR(vp.tbl[[#This Row],[Dens]]*vp.tbl[[#This Row],[VolumeM3]],"")</f>
        <v>30754494.6527</v>
      </c>
      <c r="AL94" s="5">
        <f>IFERROR(vp.tbl[[#This Row],[VP]]*vp.tbl[[#This Row],[VolumeM3]],"")</f>
        <v>3200814.7079999996</v>
      </c>
      <c r="AM94" s="4">
        <f>IFERROR((vp.tbl[[#This Row],[VP]]-INDEX(crudeBD.lkup.complete[Mean_VP],MATCH(vp.tbl[[#This Row],[Crude_Breakdown]],crudeBD.lkup.complete[Crude Breakdown],0)))^2,"")</f>
        <v>73.107862467675446</v>
      </c>
      <c r="AN94" s="4">
        <f>IFERROR((vp.tbl[[#This Row],[Dens]]-INDEX(crudeBD.lkup.complete[Mean_Dens],MATCH(vp.tbl[[#This Row],[Crude_Breakdown]],crudeBD.lkup.complete[Crude Breakdown],0)))^2,"")</f>
        <v>1.4677280287480956</v>
      </c>
      <c r="AO94" s="4">
        <f>IFERROR((vp.tbl[[#This Row],[Sulf]]-INDEX(crudeBD.lkup.complete[Mean_Sulf],MATCH(vp.tbl[[#This Row],[Crude_Breakdown]],crudeBD.lkup.complete[Crude Breakdown],0)))^2,"")</f>
        <v>7.4376501105998362E-3</v>
      </c>
      <c r="AP94">
        <f>IF(AND(vp.tbl[[#This Row],[SDate]]&gt;=DATE(YEAR(vp.tbl[[#This Row],[SDate]]),5,1),vp.tbl[[#This Row],[SDate]]&lt;=DATE(YEAR(vp.tbl[[#This Row],[SDate]]),9,15)),1,0)</f>
        <v>0</v>
      </c>
      <c r="AQ94" s="15">
        <f>IF(vp.tbl[[#This Row],[SDate]]&lt;DATE(2016,12,1),0,1)</f>
        <v>0</v>
      </c>
    </row>
    <row r="95" spans="1:43" x14ac:dyDescent="0.25">
      <c r="A95">
        <v>94</v>
      </c>
      <c r="B95" t="s">
        <v>62</v>
      </c>
      <c r="C95" t="s">
        <v>62</v>
      </c>
      <c r="D95" t="s">
        <v>79</v>
      </c>
      <c r="F95" s="1">
        <v>42439</v>
      </c>
      <c r="G95" s="2">
        <v>101</v>
      </c>
      <c r="H95" s="2"/>
      <c r="I95" s="2">
        <v>0.26</v>
      </c>
      <c r="J95" s="2"/>
      <c r="K95" s="2"/>
      <c r="L95" s="2">
        <v>813</v>
      </c>
      <c r="M95" s="2">
        <v>813</v>
      </c>
      <c r="N95" s="2">
        <f ca="1">INDEX(INDIRECT(_xlfn.CONCAT("weather.tbl[",N$1,"]")),MATCH(vp.tbl[[#This Row],[SDate]],weather.tbl[Date],0))</f>
        <v>5.0000000000000009</v>
      </c>
      <c r="O95" s="2">
        <f ca="1">INDEX(INDIRECT(_xlfn.CONCAT("weather.tbl[",O$1,"]")),MATCH(vp.tbl[[#This Row],[SDate]],weather.tbl[Date],0))</f>
        <v>2.1619047619047622</v>
      </c>
      <c r="P95" s="2">
        <f ca="1">INDEX(INDIRECT(_xlfn.CONCAT("weather.tbl[",P$1,"]")),MATCH(vp.tbl[[#This Row],[SDate]],weather.tbl[Date],0))</f>
        <v>5.0999999999999996</v>
      </c>
      <c r="Q95" s="2">
        <f ca="1">INDEX(INDIRECT(_xlfn.CONCAT("weather.tbl[",Q$1,"]")),MATCH(vp.tbl[[#This Row],[SDate]],weather.tbl[Date],0))</f>
        <v>5.4</v>
      </c>
      <c r="R95" s="2">
        <f ca="1">INDEX(INDIRECT(_xlfn.CONCAT("weather.tbl[",R$1,"]")),MATCH(vp.tbl[[#This Row],[SDate]],weather.tbl[Date],0))</f>
        <v>5.8</v>
      </c>
      <c r="S95" s="2">
        <f ca="1">INDEX(INDIRECT(_xlfn.CONCAT("weather.tbl[",S$1,"]")),MATCH(vp.tbl[[#This Row],[SDate]],weather.tbl[Date],0))</f>
        <v>5.3</v>
      </c>
      <c r="T95" s="2">
        <f ca="1">INDEX(INDIRECT(_xlfn.CONCAT("weather.tbl[",T$1,"]")),MATCH(vp.tbl[[#This Row],[SDate]],weather.tbl[Date],0))</f>
        <v>4.8</v>
      </c>
      <c r="U95" s="2">
        <f ca="1">INDEX(INDIRECT(_xlfn.CONCAT("weather.tbl[",U$1,"]")),MATCH(vp.tbl[[#This Row],[SDate]],weather.tbl[Date],0))</f>
        <v>3.6</v>
      </c>
      <c r="V95" s="2">
        <v>15865.705</v>
      </c>
      <c r="W95" t="s">
        <v>48</v>
      </c>
      <c r="X95">
        <f>IF(OR(vp.tbl[[#This Row],[Sulf]]="",vp.tbl[[#This Row],[Dens]]=""),1,0)</f>
        <v>0</v>
      </c>
      <c r="Y95">
        <f>IF(vp.tbl[[#This Row],[CrudeType]]="C5+",1,0)</f>
        <v>0</v>
      </c>
      <c r="Z95">
        <f>IF(AND(vp.tbl[[#This Row],[CrudeType]]="Crude",vp.tbl[[#This Row],[Dens]]&lt;=825,vp.tbl[[#This Row],[Sulf]]&gt;0.5,vp.tbl[[#This Row],[Unknown]]=0),1,0)</f>
        <v>0</v>
      </c>
      <c r="AA95">
        <f>IF(AND(vp.tbl[[#This Row],[CrudeType]]="Crude",vp.tbl[[#This Row],[Dens]]&lt;=825,vp.tbl[[#This Row],[Sulf]]&lt;=0.5,vp.tbl[[#This Row],[Unknown]]=0),1,0)</f>
        <v>1</v>
      </c>
      <c r="AB95">
        <f>IF(AND(vp.tbl[[#This Row],[CrudeType]]="Crude",vp.tbl[[#This Row],[Dens]]&gt;825,vp.tbl[[#This Row],[Dens]]&lt;=870,vp.tbl[[#This Row],[Sulf]]&gt;0.5,vp.tbl[[#This Row],[Unknown]]=0),1,0)</f>
        <v>0</v>
      </c>
      <c r="AC95">
        <f>IF(AND(vp.tbl[[#This Row],[CrudeType]]="Crude",vp.tbl[[#This Row],[Dens]]&gt;825,vp.tbl[[#This Row],[Dens]]&lt;=900,vp.tbl[[#This Row],[Sulf]]&lt;=0.5,vp.tbl[[#This Row],[Unknown]]=0),1,0)</f>
        <v>0</v>
      </c>
      <c r="AD95">
        <f>IF(AND(vp.tbl[[#This Row],[CrudeType]]="Crude",vp.tbl[[#This Row],[Dens]]&gt;870,vp.tbl[[#This Row],[Dens]]&lt;=900,vp.tbl[[#This Row],[Sulf]]&gt;0.5,vp.tbl[[#This Row],[Unknown]]=0),1,0)</f>
        <v>0</v>
      </c>
      <c r="AE95">
        <f>IF(AND(vp.tbl[[#This Row],[CrudeType]]="Crude",vp.tbl[[#This Row],[Dens]]&gt;900,vp.tbl[[#This Row],[Sulf]]&lt;=0.5,vp.tbl[[#This Row],[Unknown]]=0),1,0)</f>
        <v>0</v>
      </c>
      <c r="AF95">
        <f>IF(AND(vp.tbl[[#This Row],[CrudeType]]="Crude",vp.tbl[[#This Row],[Dens]]&gt;900,vp.tbl[[#This Row],[Sulf]]&lt;=0.5,vp.tbl[[#This Row],[Unknown]]=0),1,0)</f>
        <v>0</v>
      </c>
      <c r="AG95" t="str">
        <f>INDEX(vp.tbl[[#Headers],[Unknown]:[Heavy_SW]],MATCH(1,vp.tbl[[#This Row],[Unknown]:[Heavy_SW]],0))</f>
        <v>Light_SW</v>
      </c>
      <c r="AH95" t="e">
        <f>INDEX([1]!crudeBD.lkup[Number],MATCH(vp.tbl[[#This Row],[Crude_Breakdown]],[1]!crudeBD.lkup[Crude Breakdown],0))</f>
        <v>#REF!</v>
      </c>
      <c r="AI95">
        <f>MONTH(vp.tbl[[#This Row],[SDate]])</f>
        <v>3</v>
      </c>
      <c r="AJ95" s="5">
        <f>IFERROR(vp.tbl[[#This Row],[Sulf]]*vp.tbl[[#This Row],[Net Dens]],"")</f>
        <v>3353692.7228999999</v>
      </c>
      <c r="AK95" s="5">
        <f>IFERROR(vp.tbl[[#This Row],[Dens]]*vp.tbl[[#This Row],[VolumeM3]],"")</f>
        <v>12898818.164999999</v>
      </c>
      <c r="AL95" s="5">
        <f>IFERROR(vp.tbl[[#This Row],[VP]]*vp.tbl[[#This Row],[VolumeM3]],"")</f>
        <v>1602436.2050000001</v>
      </c>
      <c r="AM95" s="4">
        <f>IFERROR((vp.tbl[[#This Row],[VP]]-INDEX(crudeBD.lkup.complete[Mean_VP],MATCH(vp.tbl[[#This Row],[Crude_Breakdown]],crudeBD.lkup.complete[Crude Breakdown],0)))^2,"")</f>
        <v>71.397200446770526</v>
      </c>
      <c r="AN95" s="4">
        <f>IFERROR((vp.tbl[[#This Row],[Dens]]-INDEX(crudeBD.lkup.complete[Mean_Dens],MATCH(vp.tbl[[#This Row],[Crude_Breakdown]],crudeBD.lkup.complete[Crude Breakdown],0)))^2,"")</f>
        <v>21.982048586242016</v>
      </c>
      <c r="AO95" s="4">
        <f>IFERROR((vp.tbl[[#This Row],[Sulf]]-INDEX(crudeBD.lkup.complete[Mean_Sulf],MATCH(vp.tbl[[#This Row],[Crude_Breakdown]],crudeBD.lkup.complete[Crude Breakdown],0)))^2,"")</f>
        <v>5.644515043280923E-4</v>
      </c>
      <c r="AP95">
        <f>IF(AND(vp.tbl[[#This Row],[SDate]]&gt;=DATE(YEAR(vp.tbl[[#This Row],[SDate]]),5,1),vp.tbl[[#This Row],[SDate]]&lt;=DATE(YEAR(vp.tbl[[#This Row],[SDate]]),9,15)),1,0)</f>
        <v>0</v>
      </c>
      <c r="AQ95" s="15">
        <f>IF(vp.tbl[[#This Row],[SDate]]&lt;DATE(2016,12,1),0,1)</f>
        <v>0</v>
      </c>
    </row>
    <row r="96" spans="1:43" x14ac:dyDescent="0.25">
      <c r="A96">
        <v>95</v>
      </c>
      <c r="B96" t="s">
        <v>68</v>
      </c>
      <c r="C96" t="s">
        <v>68</v>
      </c>
      <c r="D96" t="s">
        <v>69</v>
      </c>
      <c r="F96" s="1">
        <v>42439</v>
      </c>
      <c r="G96" s="2">
        <v>113.6</v>
      </c>
      <c r="H96" s="2"/>
      <c r="I96" s="2">
        <v>1.73</v>
      </c>
      <c r="J96" s="2"/>
      <c r="K96" s="2"/>
      <c r="L96" s="2">
        <v>828.3</v>
      </c>
      <c r="M96" s="2">
        <v>828.3</v>
      </c>
      <c r="N96" s="2">
        <f ca="1">INDEX(INDIRECT(_xlfn.CONCAT("weather.tbl[",N$1,"]")),MATCH(vp.tbl[[#This Row],[SDate]],weather.tbl[Date],0))</f>
        <v>5.0000000000000009</v>
      </c>
      <c r="O96" s="2">
        <f ca="1">INDEX(INDIRECT(_xlfn.CONCAT("weather.tbl[",O$1,"]")),MATCH(vp.tbl[[#This Row],[SDate]],weather.tbl[Date],0))</f>
        <v>2.1619047619047622</v>
      </c>
      <c r="P96" s="2">
        <f ca="1">INDEX(INDIRECT(_xlfn.CONCAT("weather.tbl[",P$1,"]")),MATCH(vp.tbl[[#This Row],[SDate]],weather.tbl[Date],0))</f>
        <v>5.0999999999999996</v>
      </c>
      <c r="Q96" s="2">
        <f ca="1">INDEX(INDIRECT(_xlfn.CONCAT("weather.tbl[",Q$1,"]")),MATCH(vp.tbl[[#This Row],[SDate]],weather.tbl[Date],0))</f>
        <v>5.4</v>
      </c>
      <c r="R96" s="2">
        <f ca="1">INDEX(INDIRECT(_xlfn.CONCAT("weather.tbl[",R$1,"]")),MATCH(vp.tbl[[#This Row],[SDate]],weather.tbl[Date],0))</f>
        <v>5.8</v>
      </c>
      <c r="S96" s="2">
        <f ca="1">INDEX(INDIRECT(_xlfn.CONCAT("weather.tbl[",S$1,"]")),MATCH(vp.tbl[[#This Row],[SDate]],weather.tbl[Date],0))</f>
        <v>5.3</v>
      </c>
      <c r="T96" s="2">
        <f ca="1">INDEX(INDIRECT(_xlfn.CONCAT("weather.tbl[",T$1,"]")),MATCH(vp.tbl[[#This Row],[SDate]],weather.tbl[Date],0))</f>
        <v>4.8</v>
      </c>
      <c r="U96" s="2">
        <f ca="1">INDEX(INDIRECT(_xlfn.CONCAT("weather.tbl[",U$1,"]")),MATCH(vp.tbl[[#This Row],[SDate]],weather.tbl[Date],0))</f>
        <v>3.6</v>
      </c>
      <c r="V96" s="2">
        <v>1459.7629999999999</v>
      </c>
      <c r="W96" t="s">
        <v>48</v>
      </c>
      <c r="X96">
        <f>IF(OR(vp.tbl[[#This Row],[Sulf]]="",vp.tbl[[#This Row],[Dens]]=""),1,0)</f>
        <v>0</v>
      </c>
      <c r="Y96">
        <f>IF(vp.tbl[[#This Row],[CrudeType]]="C5+",1,0)</f>
        <v>0</v>
      </c>
      <c r="Z96">
        <f>IF(AND(vp.tbl[[#This Row],[CrudeType]]="Crude",vp.tbl[[#This Row],[Dens]]&lt;=825,vp.tbl[[#This Row],[Sulf]]&gt;0.5,vp.tbl[[#This Row],[Unknown]]=0),1,0)</f>
        <v>0</v>
      </c>
      <c r="AA96">
        <f>IF(AND(vp.tbl[[#This Row],[CrudeType]]="Crude",vp.tbl[[#This Row],[Dens]]&lt;=825,vp.tbl[[#This Row],[Sulf]]&lt;=0.5,vp.tbl[[#This Row],[Unknown]]=0),1,0)</f>
        <v>0</v>
      </c>
      <c r="AB96">
        <f>IF(AND(vp.tbl[[#This Row],[CrudeType]]="Crude",vp.tbl[[#This Row],[Dens]]&gt;825,vp.tbl[[#This Row],[Dens]]&lt;=870,vp.tbl[[#This Row],[Sulf]]&gt;0.5,vp.tbl[[#This Row],[Unknown]]=0),1,0)</f>
        <v>1</v>
      </c>
      <c r="AC96">
        <f>IF(AND(vp.tbl[[#This Row],[CrudeType]]="Crude",vp.tbl[[#This Row],[Dens]]&gt;825,vp.tbl[[#This Row],[Dens]]&lt;=900,vp.tbl[[#This Row],[Sulf]]&lt;=0.5,vp.tbl[[#This Row],[Unknown]]=0),1,0)</f>
        <v>0</v>
      </c>
      <c r="AD96">
        <f>IF(AND(vp.tbl[[#This Row],[CrudeType]]="Crude",vp.tbl[[#This Row],[Dens]]&gt;870,vp.tbl[[#This Row],[Dens]]&lt;=900,vp.tbl[[#This Row],[Sulf]]&gt;0.5,vp.tbl[[#This Row],[Unknown]]=0),1,0)</f>
        <v>0</v>
      </c>
      <c r="AE96">
        <f>IF(AND(vp.tbl[[#This Row],[CrudeType]]="Crude",vp.tbl[[#This Row],[Dens]]&gt;900,vp.tbl[[#This Row],[Sulf]]&lt;=0.5,vp.tbl[[#This Row],[Unknown]]=0),1,0)</f>
        <v>0</v>
      </c>
      <c r="AF96">
        <f>IF(AND(vp.tbl[[#This Row],[CrudeType]]="Crude",vp.tbl[[#This Row],[Dens]]&gt;900,vp.tbl[[#This Row],[Sulf]]&lt;=0.5,vp.tbl[[#This Row],[Unknown]]=0),1,0)</f>
        <v>0</v>
      </c>
      <c r="AG96" t="str">
        <f>INDEX(vp.tbl[[#Headers],[Unknown]:[Heavy_SW]],MATCH(1,vp.tbl[[#This Row],[Unknown]:[Heavy_SW]],0))</f>
        <v>Medium_LSB</v>
      </c>
      <c r="AH96" t="e">
        <f>INDEX([1]!crudeBD.lkup[Number],MATCH(vp.tbl[[#This Row],[Crude_Breakdown]],[1]!crudeBD.lkup[Crude Breakdown],0))</f>
        <v>#REF!</v>
      </c>
      <c r="AI96">
        <f>MONTH(vp.tbl[[#This Row],[SDate]])</f>
        <v>3</v>
      </c>
      <c r="AJ96" s="5">
        <f>IFERROR(vp.tbl[[#This Row],[Sulf]]*vp.tbl[[#This Row],[Net Dens]],"")</f>
        <v>2091780.5287169998</v>
      </c>
      <c r="AK96" s="5">
        <f>IFERROR(vp.tbl[[#This Row],[Dens]]*vp.tbl[[#This Row],[VolumeM3]],"")</f>
        <v>1209121.6928999999</v>
      </c>
      <c r="AL96" s="5">
        <f>IFERROR(vp.tbl[[#This Row],[VP]]*vp.tbl[[#This Row],[VolumeM3]],"")</f>
        <v>165829.07679999998</v>
      </c>
      <c r="AM96" s="4">
        <f>IFERROR((vp.tbl[[#This Row],[VP]]-INDEX(crudeBD.lkup.complete[Mean_VP],MATCH(vp.tbl[[#This Row],[Crude_Breakdown]],crudeBD.lkup.complete[Crude Breakdown],0)))^2,"")</f>
        <v>1117.3245554552177</v>
      </c>
      <c r="AN96" s="4">
        <f>IFERROR((vp.tbl[[#This Row],[Dens]]-INDEX(crudeBD.lkup.complete[Mean_Dens],MATCH(vp.tbl[[#This Row],[Crude_Breakdown]],crudeBD.lkup.complete[Crude Breakdown],0)))^2,"")</f>
        <v>288.72204155036064</v>
      </c>
      <c r="AO96" s="4">
        <f>IFERROR((vp.tbl[[#This Row],[Sulf]]-INDEX(crudeBD.lkup.complete[Mean_Sulf],MATCH(vp.tbl[[#This Row],[Crude_Breakdown]],crudeBD.lkup.complete[Crude Breakdown],0)))^2,"")</f>
        <v>7.5663581501790714E-2</v>
      </c>
      <c r="AP96">
        <f>IF(AND(vp.tbl[[#This Row],[SDate]]&gt;=DATE(YEAR(vp.tbl[[#This Row],[SDate]]),5,1),vp.tbl[[#This Row],[SDate]]&lt;=DATE(YEAR(vp.tbl[[#This Row],[SDate]]),9,15)),1,0)</f>
        <v>0</v>
      </c>
      <c r="AQ96" s="15">
        <f>IF(vp.tbl[[#This Row],[SDate]]&lt;DATE(2016,12,1),0,1)</f>
        <v>0</v>
      </c>
    </row>
    <row r="97" spans="1:43" x14ac:dyDescent="0.25">
      <c r="A97">
        <v>96</v>
      </c>
      <c r="B97" t="s">
        <v>46</v>
      </c>
      <c r="C97" t="s">
        <v>46</v>
      </c>
      <c r="D97" t="s">
        <v>47</v>
      </c>
      <c r="F97" s="1">
        <v>42439</v>
      </c>
      <c r="G97" s="2">
        <v>119.4</v>
      </c>
      <c r="H97" s="2"/>
      <c r="I97" s="2">
        <v>2.41</v>
      </c>
      <c r="J97" s="2"/>
      <c r="K97" s="2"/>
      <c r="L97" s="2">
        <v>869.5</v>
      </c>
      <c r="M97" s="2">
        <v>869.5</v>
      </c>
      <c r="N97" s="2">
        <f ca="1">INDEX(INDIRECT(_xlfn.CONCAT("weather.tbl[",N$1,"]")),MATCH(vp.tbl[[#This Row],[SDate]],weather.tbl[Date],0))</f>
        <v>5.0000000000000009</v>
      </c>
      <c r="O97" s="2">
        <f ca="1">INDEX(INDIRECT(_xlfn.CONCAT("weather.tbl[",O$1,"]")),MATCH(vp.tbl[[#This Row],[SDate]],weather.tbl[Date],0))</f>
        <v>2.1619047619047622</v>
      </c>
      <c r="P97" s="2">
        <f ca="1">INDEX(INDIRECT(_xlfn.CONCAT("weather.tbl[",P$1,"]")),MATCH(vp.tbl[[#This Row],[SDate]],weather.tbl[Date],0))</f>
        <v>5.0999999999999996</v>
      </c>
      <c r="Q97" s="2">
        <f ca="1">INDEX(INDIRECT(_xlfn.CONCAT("weather.tbl[",Q$1,"]")),MATCH(vp.tbl[[#This Row],[SDate]],weather.tbl[Date],0))</f>
        <v>5.4</v>
      </c>
      <c r="R97" s="2">
        <f ca="1">INDEX(INDIRECT(_xlfn.CONCAT("weather.tbl[",R$1,"]")),MATCH(vp.tbl[[#This Row],[SDate]],weather.tbl[Date],0))</f>
        <v>5.8</v>
      </c>
      <c r="S97" s="2">
        <f ca="1">INDEX(INDIRECT(_xlfn.CONCAT("weather.tbl[",S$1,"]")),MATCH(vp.tbl[[#This Row],[SDate]],weather.tbl[Date],0))</f>
        <v>5.3</v>
      </c>
      <c r="T97" s="2">
        <f ca="1">INDEX(INDIRECT(_xlfn.CONCAT("weather.tbl[",T$1,"]")),MATCH(vp.tbl[[#This Row],[SDate]],weather.tbl[Date],0))</f>
        <v>4.8</v>
      </c>
      <c r="U97" s="2">
        <f ca="1">INDEX(INDIRECT(_xlfn.CONCAT("weather.tbl[",U$1,"]")),MATCH(vp.tbl[[#This Row],[SDate]],weather.tbl[Date],0))</f>
        <v>3.6</v>
      </c>
      <c r="V97" s="2">
        <v>116985.039</v>
      </c>
      <c r="W97" t="s">
        <v>48</v>
      </c>
      <c r="X97">
        <f>IF(OR(vp.tbl[[#This Row],[Sulf]]="",vp.tbl[[#This Row],[Dens]]=""),1,0)</f>
        <v>0</v>
      </c>
      <c r="Y97">
        <f>IF(vp.tbl[[#This Row],[CrudeType]]="C5+",1,0)</f>
        <v>0</v>
      </c>
      <c r="Z97">
        <f>IF(AND(vp.tbl[[#This Row],[CrudeType]]="Crude",vp.tbl[[#This Row],[Dens]]&lt;=825,vp.tbl[[#This Row],[Sulf]]&gt;0.5,vp.tbl[[#This Row],[Unknown]]=0),1,0)</f>
        <v>0</v>
      </c>
      <c r="AA97">
        <f>IF(AND(vp.tbl[[#This Row],[CrudeType]]="Crude",vp.tbl[[#This Row],[Dens]]&lt;=825,vp.tbl[[#This Row],[Sulf]]&lt;=0.5,vp.tbl[[#This Row],[Unknown]]=0),1,0)</f>
        <v>0</v>
      </c>
      <c r="AB97">
        <f>IF(AND(vp.tbl[[#This Row],[CrudeType]]="Crude",vp.tbl[[#This Row],[Dens]]&gt;825,vp.tbl[[#This Row],[Dens]]&lt;=870,vp.tbl[[#This Row],[Sulf]]&gt;0.5,vp.tbl[[#This Row],[Unknown]]=0),1,0)</f>
        <v>1</v>
      </c>
      <c r="AC97">
        <f>IF(AND(vp.tbl[[#This Row],[CrudeType]]="Crude",vp.tbl[[#This Row],[Dens]]&gt;825,vp.tbl[[#This Row],[Dens]]&lt;=900,vp.tbl[[#This Row],[Sulf]]&lt;=0.5,vp.tbl[[#This Row],[Unknown]]=0),1,0)</f>
        <v>0</v>
      </c>
      <c r="AD97">
        <f>IF(AND(vp.tbl[[#This Row],[CrudeType]]="Crude",vp.tbl[[#This Row],[Dens]]&gt;870,vp.tbl[[#This Row],[Dens]]&lt;=900,vp.tbl[[#This Row],[Sulf]]&gt;0.5,vp.tbl[[#This Row],[Unknown]]=0),1,0)</f>
        <v>0</v>
      </c>
      <c r="AE97">
        <f>IF(AND(vp.tbl[[#This Row],[CrudeType]]="Crude",vp.tbl[[#This Row],[Dens]]&gt;900,vp.tbl[[#This Row],[Sulf]]&lt;=0.5,vp.tbl[[#This Row],[Unknown]]=0),1,0)</f>
        <v>0</v>
      </c>
      <c r="AF97">
        <f>IF(AND(vp.tbl[[#This Row],[CrudeType]]="Crude",vp.tbl[[#This Row],[Dens]]&gt;900,vp.tbl[[#This Row],[Sulf]]&lt;=0.5,vp.tbl[[#This Row],[Unknown]]=0),1,0)</f>
        <v>0</v>
      </c>
      <c r="AG97" t="str">
        <f>INDEX(vp.tbl[[#Headers],[Unknown]:[Heavy_SW]],MATCH(1,vp.tbl[[#This Row],[Unknown]:[Heavy_SW]],0))</f>
        <v>Medium_LSB</v>
      </c>
      <c r="AH97" t="e">
        <f>INDEX([1]!crudeBD.lkup[Number],MATCH(vp.tbl[[#This Row],[Crude_Breakdown]],[1]!crudeBD.lkup[Crude Breakdown],0))</f>
        <v>#REF!</v>
      </c>
      <c r="AI97">
        <f>MONTH(vp.tbl[[#This Row],[SDate]])</f>
        <v>3</v>
      </c>
      <c r="AJ97" s="5">
        <f>IFERROR(vp.tbl[[#This Row],[Sulf]]*vp.tbl[[#This Row],[Net Dens]],"")</f>
        <v>245141564.29930502</v>
      </c>
      <c r="AK97" s="5">
        <f>IFERROR(vp.tbl[[#This Row],[Dens]]*vp.tbl[[#This Row],[VolumeM3]],"")</f>
        <v>101718491.4105</v>
      </c>
      <c r="AL97" s="5">
        <f>IFERROR(vp.tbl[[#This Row],[VP]]*vp.tbl[[#This Row],[VolumeM3]],"")</f>
        <v>13968013.6566</v>
      </c>
      <c r="AM97" s="4">
        <f>IFERROR((vp.tbl[[#This Row],[VP]]-INDEX(crudeBD.lkup.complete[Mean_VP],MATCH(vp.tbl[[#This Row],[Crude_Breakdown]],crudeBD.lkup.complete[Crude Breakdown],0)))^2,"")</f>
        <v>1538.7108541893961</v>
      </c>
      <c r="AN97" s="4">
        <f>IFERROR((vp.tbl[[#This Row],[Dens]]-INDEX(crudeBD.lkup.complete[Mean_Dens],MATCH(vp.tbl[[#This Row],[Crude_Breakdown]],crudeBD.lkup.complete[Crude Breakdown],0)))^2,"")</f>
        <v>586.03584408208576</v>
      </c>
      <c r="AO97" s="4">
        <f>IFERROR((vp.tbl[[#This Row],[Sulf]]-INDEX(crudeBD.lkup.complete[Mean_Sulf],MATCH(vp.tbl[[#This Row],[Crude_Breakdown]],crudeBD.lkup.complete[Crude Breakdown],0)))^2,"")</f>
        <v>0.91215897086887754</v>
      </c>
      <c r="AP97">
        <f>IF(AND(vp.tbl[[#This Row],[SDate]]&gt;=DATE(YEAR(vp.tbl[[#This Row],[SDate]]),5,1),vp.tbl[[#This Row],[SDate]]&lt;=DATE(YEAR(vp.tbl[[#This Row],[SDate]]),9,15)),1,0)</f>
        <v>0</v>
      </c>
      <c r="AQ97" s="15">
        <f>IF(vp.tbl[[#This Row],[SDate]]&lt;DATE(2016,12,1),0,1)</f>
        <v>0</v>
      </c>
    </row>
    <row r="98" spans="1:43" x14ac:dyDescent="0.25">
      <c r="A98">
        <v>97</v>
      </c>
      <c r="B98" t="s">
        <v>49</v>
      </c>
      <c r="C98" t="s">
        <v>49</v>
      </c>
      <c r="D98" t="s">
        <v>75</v>
      </c>
      <c r="F98" s="1">
        <v>42440</v>
      </c>
      <c r="G98" s="2">
        <v>98.1</v>
      </c>
      <c r="H98" s="2"/>
      <c r="I98" s="2">
        <v>0.15</v>
      </c>
      <c r="J98" s="2"/>
      <c r="K98" s="2"/>
      <c r="L98" s="2">
        <v>799.3</v>
      </c>
      <c r="M98" s="2">
        <v>799.3</v>
      </c>
      <c r="N98" s="2">
        <f ca="1">INDEX(INDIRECT(_xlfn.CONCAT("weather.tbl[",N$1,"]")),MATCH(vp.tbl[[#This Row],[SDate]],weather.tbl[Date],0))</f>
        <v>8.2333333333333325</v>
      </c>
      <c r="O98" s="2">
        <f ca="1">INDEX(INDIRECT(_xlfn.CONCAT("weather.tbl[",O$1,"]")),MATCH(vp.tbl[[#This Row],[SDate]],weather.tbl[Date],0))</f>
        <v>3.5571428571428569</v>
      </c>
      <c r="P98" s="2">
        <f ca="1">INDEX(INDIRECT(_xlfn.CONCAT("weather.tbl[",P$1,"]")),MATCH(vp.tbl[[#This Row],[SDate]],weather.tbl[Date],0))</f>
        <v>9.1999999999999993</v>
      </c>
      <c r="Q98" s="2">
        <f ca="1">INDEX(INDIRECT(_xlfn.CONCAT("weather.tbl[",Q$1,"]")),MATCH(vp.tbl[[#This Row],[SDate]],weather.tbl[Date],0))</f>
        <v>7.6</v>
      </c>
      <c r="R98" s="2">
        <f ca="1">INDEX(INDIRECT(_xlfn.CONCAT("weather.tbl[",R$1,"]")),MATCH(vp.tbl[[#This Row],[SDate]],weather.tbl[Date],0))</f>
        <v>8.8000000000000007</v>
      </c>
      <c r="S98" s="2">
        <f ca="1">INDEX(INDIRECT(_xlfn.CONCAT("weather.tbl[",S$1,"]")),MATCH(vp.tbl[[#This Row],[SDate]],weather.tbl[Date],0))</f>
        <v>8</v>
      </c>
      <c r="T98" s="2">
        <f ca="1">INDEX(INDIRECT(_xlfn.CONCAT("weather.tbl[",T$1,"]")),MATCH(vp.tbl[[#This Row],[SDate]],weather.tbl[Date],0))</f>
        <v>7.5</v>
      </c>
      <c r="U98" s="2">
        <f ca="1">INDEX(INDIRECT(_xlfn.CONCAT("weather.tbl[",U$1,"]")),MATCH(vp.tbl[[#This Row],[SDate]],weather.tbl[Date],0))</f>
        <v>8.3000000000000007</v>
      </c>
      <c r="V98" s="2">
        <v>15704.973</v>
      </c>
      <c r="W98" t="s">
        <v>48</v>
      </c>
      <c r="X98">
        <f>IF(OR(vp.tbl[[#This Row],[Sulf]]="",vp.tbl[[#This Row],[Dens]]=""),1,0)</f>
        <v>0</v>
      </c>
      <c r="Y98">
        <f>IF(vp.tbl[[#This Row],[CrudeType]]="C5+",1,0)</f>
        <v>0</v>
      </c>
      <c r="Z98">
        <f>IF(AND(vp.tbl[[#This Row],[CrudeType]]="Crude",vp.tbl[[#This Row],[Dens]]&lt;=825,vp.tbl[[#This Row],[Sulf]]&gt;0.5,vp.tbl[[#This Row],[Unknown]]=0),1,0)</f>
        <v>0</v>
      </c>
      <c r="AA98">
        <f>IF(AND(vp.tbl[[#This Row],[CrudeType]]="Crude",vp.tbl[[#This Row],[Dens]]&lt;=825,vp.tbl[[#This Row],[Sulf]]&lt;=0.5,vp.tbl[[#This Row],[Unknown]]=0),1,0)</f>
        <v>1</v>
      </c>
      <c r="AB98">
        <f>IF(AND(vp.tbl[[#This Row],[CrudeType]]="Crude",vp.tbl[[#This Row],[Dens]]&gt;825,vp.tbl[[#This Row],[Dens]]&lt;=870,vp.tbl[[#This Row],[Sulf]]&gt;0.5,vp.tbl[[#This Row],[Unknown]]=0),1,0)</f>
        <v>0</v>
      </c>
      <c r="AC98">
        <f>IF(AND(vp.tbl[[#This Row],[CrudeType]]="Crude",vp.tbl[[#This Row],[Dens]]&gt;825,vp.tbl[[#This Row],[Dens]]&lt;=900,vp.tbl[[#This Row],[Sulf]]&lt;=0.5,vp.tbl[[#This Row],[Unknown]]=0),1,0)</f>
        <v>0</v>
      </c>
      <c r="AD98">
        <f>IF(AND(vp.tbl[[#This Row],[CrudeType]]="Crude",vp.tbl[[#This Row],[Dens]]&gt;870,vp.tbl[[#This Row],[Dens]]&lt;=900,vp.tbl[[#This Row],[Sulf]]&gt;0.5,vp.tbl[[#This Row],[Unknown]]=0),1,0)</f>
        <v>0</v>
      </c>
      <c r="AE98">
        <f>IF(AND(vp.tbl[[#This Row],[CrudeType]]="Crude",vp.tbl[[#This Row],[Dens]]&gt;900,vp.tbl[[#This Row],[Sulf]]&lt;=0.5,vp.tbl[[#This Row],[Unknown]]=0),1,0)</f>
        <v>0</v>
      </c>
      <c r="AF98">
        <f>IF(AND(vp.tbl[[#This Row],[CrudeType]]="Crude",vp.tbl[[#This Row],[Dens]]&gt;900,vp.tbl[[#This Row],[Sulf]]&lt;=0.5,vp.tbl[[#This Row],[Unknown]]=0),1,0)</f>
        <v>0</v>
      </c>
      <c r="AG98" t="str">
        <f>INDEX(vp.tbl[[#Headers],[Unknown]:[Heavy_SW]],MATCH(1,vp.tbl[[#This Row],[Unknown]:[Heavy_SW]],0))</f>
        <v>Light_SW</v>
      </c>
      <c r="AH98" t="e">
        <f>INDEX([1]!crudeBD.lkup[Number],MATCH(vp.tbl[[#This Row],[Crude_Breakdown]],[1]!crudeBD.lkup[Crude Breakdown],0))</f>
        <v>#REF!</v>
      </c>
      <c r="AI98">
        <f>MONTH(vp.tbl[[#This Row],[SDate]])</f>
        <v>3</v>
      </c>
      <c r="AJ98" s="5">
        <f>IFERROR(vp.tbl[[#This Row],[Sulf]]*vp.tbl[[#This Row],[Net Dens]],"")</f>
        <v>1882947.737835</v>
      </c>
      <c r="AK98" s="5">
        <f>IFERROR(vp.tbl[[#This Row],[Dens]]*vp.tbl[[#This Row],[VolumeM3]],"")</f>
        <v>12552984.9189</v>
      </c>
      <c r="AL98" s="5">
        <f>IFERROR(vp.tbl[[#This Row],[VP]]*vp.tbl[[#This Row],[VolumeM3]],"")</f>
        <v>1540657.8513</v>
      </c>
      <c r="AM98" s="4">
        <f>IFERROR((vp.tbl[[#This Row],[VP]]-INDEX(crudeBD.lkup.complete[Mean_VP],MATCH(vp.tbl[[#This Row],[Crude_Breakdown]],crudeBD.lkup.complete[Crude Breakdown],0)))^2,"")</f>
        <v>30.799019262101297</v>
      </c>
      <c r="AN98" s="4">
        <f>IFERROR((vp.tbl[[#This Row],[Dens]]-INDEX(crudeBD.lkup.complete[Mean_Dens],MATCH(vp.tbl[[#This Row],[Crude_Breakdown]],crudeBD.lkup.complete[Crude Breakdown],0)))^2,"")</f>
        <v>81.207100851045212</v>
      </c>
      <c r="AO98" s="4">
        <f>IFERROR((vp.tbl[[#This Row],[Sulf]]-INDEX(crudeBD.lkup.complete[Mean_Sulf],MATCH(vp.tbl[[#This Row],[Crude_Breakdown]],crudeBD.lkup.complete[Crude Breakdown],0)))^2,"")</f>
        <v>7.4376501105998362E-3</v>
      </c>
      <c r="AP98">
        <f>IF(AND(vp.tbl[[#This Row],[SDate]]&gt;=DATE(YEAR(vp.tbl[[#This Row],[SDate]]),5,1),vp.tbl[[#This Row],[SDate]]&lt;=DATE(YEAR(vp.tbl[[#This Row],[SDate]]),9,15)),1,0)</f>
        <v>0</v>
      </c>
      <c r="AQ98" s="15">
        <f>IF(vp.tbl[[#This Row],[SDate]]&lt;DATE(2016,12,1),0,1)</f>
        <v>0</v>
      </c>
    </row>
    <row r="99" spans="1:43" x14ac:dyDescent="0.25">
      <c r="A99">
        <v>98</v>
      </c>
      <c r="B99" t="s">
        <v>49</v>
      </c>
      <c r="C99" t="s">
        <v>49</v>
      </c>
      <c r="D99" t="s">
        <v>74</v>
      </c>
      <c r="F99" s="1">
        <v>42440</v>
      </c>
      <c r="G99" s="2">
        <v>120.6</v>
      </c>
      <c r="H99" s="2"/>
      <c r="I99" s="2">
        <v>0.14000000000000001</v>
      </c>
      <c r="J99" s="2"/>
      <c r="K99" s="2"/>
      <c r="L99" s="2">
        <v>802.2</v>
      </c>
      <c r="M99" s="2">
        <v>802.2</v>
      </c>
      <c r="N99" s="2">
        <f ca="1">INDEX(INDIRECT(_xlfn.CONCAT("weather.tbl[",N$1,"]")),MATCH(vp.tbl[[#This Row],[SDate]],weather.tbl[Date],0))</f>
        <v>8.2333333333333325</v>
      </c>
      <c r="O99" s="2">
        <f ca="1">INDEX(INDIRECT(_xlfn.CONCAT("weather.tbl[",O$1,"]")),MATCH(vp.tbl[[#This Row],[SDate]],weather.tbl[Date],0))</f>
        <v>3.5571428571428569</v>
      </c>
      <c r="P99" s="2">
        <f ca="1">INDEX(INDIRECT(_xlfn.CONCAT("weather.tbl[",P$1,"]")),MATCH(vp.tbl[[#This Row],[SDate]],weather.tbl[Date],0))</f>
        <v>9.1999999999999993</v>
      </c>
      <c r="Q99" s="2">
        <f ca="1">INDEX(INDIRECT(_xlfn.CONCAT("weather.tbl[",Q$1,"]")),MATCH(vp.tbl[[#This Row],[SDate]],weather.tbl[Date],0))</f>
        <v>7.6</v>
      </c>
      <c r="R99" s="2">
        <f ca="1">INDEX(INDIRECT(_xlfn.CONCAT("weather.tbl[",R$1,"]")),MATCH(vp.tbl[[#This Row],[SDate]],weather.tbl[Date],0))</f>
        <v>8.8000000000000007</v>
      </c>
      <c r="S99" s="2">
        <f ca="1">INDEX(INDIRECT(_xlfn.CONCAT("weather.tbl[",S$1,"]")),MATCH(vp.tbl[[#This Row],[SDate]],weather.tbl[Date],0))</f>
        <v>8</v>
      </c>
      <c r="T99" s="2">
        <f ca="1">INDEX(INDIRECT(_xlfn.CONCAT("weather.tbl[",T$1,"]")),MATCH(vp.tbl[[#This Row],[SDate]],weather.tbl[Date],0))</f>
        <v>7.5</v>
      </c>
      <c r="U99" s="2">
        <f ca="1">INDEX(INDIRECT(_xlfn.CONCAT("weather.tbl[",U$1,"]")),MATCH(vp.tbl[[#This Row],[SDate]],weather.tbl[Date],0))</f>
        <v>8.3000000000000007</v>
      </c>
      <c r="V99" s="2">
        <v>46024.504999999997</v>
      </c>
      <c r="W99" t="s">
        <v>48</v>
      </c>
      <c r="X99">
        <f>IF(OR(vp.tbl[[#This Row],[Sulf]]="",vp.tbl[[#This Row],[Dens]]=""),1,0)</f>
        <v>0</v>
      </c>
      <c r="Y99">
        <f>IF(vp.tbl[[#This Row],[CrudeType]]="C5+",1,0)</f>
        <v>0</v>
      </c>
      <c r="Z99">
        <f>IF(AND(vp.tbl[[#This Row],[CrudeType]]="Crude",vp.tbl[[#This Row],[Dens]]&lt;=825,vp.tbl[[#This Row],[Sulf]]&gt;0.5,vp.tbl[[#This Row],[Unknown]]=0),1,0)</f>
        <v>0</v>
      </c>
      <c r="AA99">
        <f>IF(AND(vp.tbl[[#This Row],[CrudeType]]="Crude",vp.tbl[[#This Row],[Dens]]&lt;=825,vp.tbl[[#This Row],[Sulf]]&lt;=0.5,vp.tbl[[#This Row],[Unknown]]=0),1,0)</f>
        <v>1</v>
      </c>
      <c r="AB99">
        <f>IF(AND(vp.tbl[[#This Row],[CrudeType]]="Crude",vp.tbl[[#This Row],[Dens]]&gt;825,vp.tbl[[#This Row],[Dens]]&lt;=870,vp.tbl[[#This Row],[Sulf]]&gt;0.5,vp.tbl[[#This Row],[Unknown]]=0),1,0)</f>
        <v>0</v>
      </c>
      <c r="AC99">
        <f>IF(AND(vp.tbl[[#This Row],[CrudeType]]="Crude",vp.tbl[[#This Row],[Dens]]&gt;825,vp.tbl[[#This Row],[Dens]]&lt;=900,vp.tbl[[#This Row],[Sulf]]&lt;=0.5,vp.tbl[[#This Row],[Unknown]]=0),1,0)</f>
        <v>0</v>
      </c>
      <c r="AD99">
        <f>IF(AND(vp.tbl[[#This Row],[CrudeType]]="Crude",vp.tbl[[#This Row],[Dens]]&gt;870,vp.tbl[[#This Row],[Dens]]&lt;=900,vp.tbl[[#This Row],[Sulf]]&gt;0.5,vp.tbl[[#This Row],[Unknown]]=0),1,0)</f>
        <v>0</v>
      </c>
      <c r="AE99">
        <f>IF(AND(vp.tbl[[#This Row],[CrudeType]]="Crude",vp.tbl[[#This Row],[Dens]]&gt;900,vp.tbl[[#This Row],[Sulf]]&lt;=0.5,vp.tbl[[#This Row],[Unknown]]=0),1,0)</f>
        <v>0</v>
      </c>
      <c r="AF99">
        <f>IF(AND(vp.tbl[[#This Row],[CrudeType]]="Crude",vp.tbl[[#This Row],[Dens]]&gt;900,vp.tbl[[#This Row],[Sulf]]&lt;=0.5,vp.tbl[[#This Row],[Unknown]]=0),1,0)</f>
        <v>0</v>
      </c>
      <c r="AG99" t="str">
        <f>INDEX(vp.tbl[[#Headers],[Unknown]:[Heavy_SW]],MATCH(1,vp.tbl[[#This Row],[Unknown]:[Heavy_SW]],0))</f>
        <v>Light_SW</v>
      </c>
      <c r="AH99" t="e">
        <f>INDEX([1]!crudeBD.lkup[Number],MATCH(vp.tbl[[#This Row],[Crude_Breakdown]],[1]!crudeBD.lkup[Crude Breakdown],0))</f>
        <v>#REF!</v>
      </c>
      <c r="AI99">
        <f>MONTH(vp.tbl[[#This Row],[SDate]])</f>
        <v>3</v>
      </c>
      <c r="AJ99" s="5">
        <f>IFERROR(vp.tbl[[#This Row],[Sulf]]*vp.tbl[[#This Row],[Net Dens]],"")</f>
        <v>5168920.1075400002</v>
      </c>
      <c r="AK99" s="5">
        <f>IFERROR(vp.tbl[[#This Row],[Dens]]*vp.tbl[[#This Row],[VolumeM3]],"")</f>
        <v>36920857.910999998</v>
      </c>
      <c r="AL99" s="5">
        <f>IFERROR(vp.tbl[[#This Row],[VP]]*vp.tbl[[#This Row],[VolumeM3]],"")</f>
        <v>5550555.3029999994</v>
      </c>
      <c r="AM99" s="4">
        <f>IFERROR((vp.tbl[[#This Row],[VP]]-INDEX(crudeBD.lkup.complete[Mean_VP],MATCH(vp.tbl[[#This Row],[Crude_Breakdown]],crudeBD.lkup.complete[Crude Breakdown],0)))^2,"")</f>
        <v>786.78490776384456</v>
      </c>
      <c r="AN99" s="4">
        <f>IFERROR((vp.tbl[[#This Row],[Dens]]-INDEX(crudeBD.lkup.complete[Mean_Dens],MATCH(vp.tbl[[#This Row],[Crude_Breakdown]],crudeBD.lkup.complete[Crude Breakdown],0)))^2,"")</f>
        <v>37.350410955574723</v>
      </c>
      <c r="AO99" s="4">
        <f>IFERROR((vp.tbl[[#This Row],[Sulf]]-INDEX(crudeBD.lkup.complete[Mean_Sulf],MATCH(vp.tbl[[#This Row],[Crude_Breakdown]],crudeBD.lkup.complete[Crude Breakdown],0)))^2,"")</f>
        <v>9.2624863475336272E-3</v>
      </c>
      <c r="AP99">
        <f>IF(AND(vp.tbl[[#This Row],[SDate]]&gt;=DATE(YEAR(vp.tbl[[#This Row],[SDate]]),5,1),vp.tbl[[#This Row],[SDate]]&lt;=DATE(YEAR(vp.tbl[[#This Row],[SDate]]),9,15)),1,0)</f>
        <v>0</v>
      </c>
      <c r="AQ99" s="15">
        <f>IF(vp.tbl[[#This Row],[SDate]]&lt;DATE(2016,12,1),0,1)</f>
        <v>0</v>
      </c>
    </row>
    <row r="100" spans="1:43" x14ac:dyDescent="0.25">
      <c r="A100">
        <v>99</v>
      </c>
      <c r="B100" t="s">
        <v>49</v>
      </c>
      <c r="C100" t="s">
        <v>49</v>
      </c>
      <c r="D100" t="s">
        <v>80</v>
      </c>
      <c r="F100" s="1">
        <v>42440</v>
      </c>
      <c r="G100" s="2">
        <v>116.4</v>
      </c>
      <c r="H100" s="2"/>
      <c r="I100" s="2">
        <v>0.37</v>
      </c>
      <c r="J100" s="2"/>
      <c r="K100" s="2"/>
      <c r="L100" s="2">
        <v>813.2</v>
      </c>
      <c r="M100" s="2">
        <v>813.2</v>
      </c>
      <c r="N100" s="2">
        <f ca="1">INDEX(INDIRECT(_xlfn.CONCAT("weather.tbl[",N$1,"]")),MATCH(vp.tbl[[#This Row],[SDate]],weather.tbl[Date],0))</f>
        <v>8.2333333333333325</v>
      </c>
      <c r="O100" s="2">
        <f ca="1">INDEX(INDIRECT(_xlfn.CONCAT("weather.tbl[",O$1,"]")),MATCH(vp.tbl[[#This Row],[SDate]],weather.tbl[Date],0))</f>
        <v>3.5571428571428569</v>
      </c>
      <c r="P100" s="2">
        <f ca="1">INDEX(INDIRECT(_xlfn.CONCAT("weather.tbl[",P$1,"]")),MATCH(vp.tbl[[#This Row],[SDate]],weather.tbl[Date],0))</f>
        <v>9.1999999999999993</v>
      </c>
      <c r="Q100" s="2">
        <f ca="1">INDEX(INDIRECT(_xlfn.CONCAT("weather.tbl[",Q$1,"]")),MATCH(vp.tbl[[#This Row],[SDate]],weather.tbl[Date],0))</f>
        <v>7.6</v>
      </c>
      <c r="R100" s="2">
        <f ca="1">INDEX(INDIRECT(_xlfn.CONCAT("weather.tbl[",R$1,"]")),MATCH(vp.tbl[[#This Row],[SDate]],weather.tbl[Date],0))</f>
        <v>8.8000000000000007</v>
      </c>
      <c r="S100" s="2">
        <f ca="1">INDEX(INDIRECT(_xlfn.CONCAT("weather.tbl[",S$1,"]")),MATCH(vp.tbl[[#This Row],[SDate]],weather.tbl[Date],0))</f>
        <v>8</v>
      </c>
      <c r="T100" s="2">
        <f ca="1">INDEX(INDIRECT(_xlfn.CONCAT("weather.tbl[",T$1,"]")),MATCH(vp.tbl[[#This Row],[SDate]],weather.tbl[Date],0))</f>
        <v>7.5</v>
      </c>
      <c r="U100" s="2">
        <f ca="1">INDEX(INDIRECT(_xlfn.CONCAT("weather.tbl[",U$1,"]")),MATCH(vp.tbl[[#This Row],[SDate]],weather.tbl[Date],0))</f>
        <v>8.3000000000000007</v>
      </c>
      <c r="V100" s="2">
        <v>22800.579000000002</v>
      </c>
      <c r="W100" t="s">
        <v>48</v>
      </c>
      <c r="X100">
        <f>IF(OR(vp.tbl[[#This Row],[Sulf]]="",vp.tbl[[#This Row],[Dens]]=""),1,0)</f>
        <v>0</v>
      </c>
      <c r="Y100">
        <f>IF(vp.tbl[[#This Row],[CrudeType]]="C5+",1,0)</f>
        <v>0</v>
      </c>
      <c r="Z100">
        <f>IF(AND(vp.tbl[[#This Row],[CrudeType]]="Crude",vp.tbl[[#This Row],[Dens]]&lt;=825,vp.tbl[[#This Row],[Sulf]]&gt;0.5,vp.tbl[[#This Row],[Unknown]]=0),1,0)</f>
        <v>0</v>
      </c>
      <c r="AA100">
        <f>IF(AND(vp.tbl[[#This Row],[CrudeType]]="Crude",vp.tbl[[#This Row],[Dens]]&lt;=825,vp.tbl[[#This Row],[Sulf]]&lt;=0.5,vp.tbl[[#This Row],[Unknown]]=0),1,0)</f>
        <v>1</v>
      </c>
      <c r="AB100">
        <f>IF(AND(vp.tbl[[#This Row],[CrudeType]]="Crude",vp.tbl[[#This Row],[Dens]]&gt;825,vp.tbl[[#This Row],[Dens]]&lt;=870,vp.tbl[[#This Row],[Sulf]]&gt;0.5,vp.tbl[[#This Row],[Unknown]]=0),1,0)</f>
        <v>0</v>
      </c>
      <c r="AC100">
        <f>IF(AND(vp.tbl[[#This Row],[CrudeType]]="Crude",vp.tbl[[#This Row],[Dens]]&gt;825,vp.tbl[[#This Row],[Dens]]&lt;=900,vp.tbl[[#This Row],[Sulf]]&lt;=0.5,vp.tbl[[#This Row],[Unknown]]=0),1,0)</f>
        <v>0</v>
      </c>
      <c r="AD100">
        <f>IF(AND(vp.tbl[[#This Row],[CrudeType]]="Crude",vp.tbl[[#This Row],[Dens]]&gt;870,vp.tbl[[#This Row],[Dens]]&lt;=900,vp.tbl[[#This Row],[Sulf]]&gt;0.5,vp.tbl[[#This Row],[Unknown]]=0),1,0)</f>
        <v>0</v>
      </c>
      <c r="AE100">
        <f>IF(AND(vp.tbl[[#This Row],[CrudeType]]="Crude",vp.tbl[[#This Row],[Dens]]&gt;900,vp.tbl[[#This Row],[Sulf]]&lt;=0.5,vp.tbl[[#This Row],[Unknown]]=0),1,0)</f>
        <v>0</v>
      </c>
      <c r="AF100">
        <f>IF(AND(vp.tbl[[#This Row],[CrudeType]]="Crude",vp.tbl[[#This Row],[Dens]]&gt;900,vp.tbl[[#This Row],[Sulf]]&lt;=0.5,vp.tbl[[#This Row],[Unknown]]=0),1,0)</f>
        <v>0</v>
      </c>
      <c r="AG100" t="str">
        <f>INDEX(vp.tbl[[#Headers],[Unknown]:[Heavy_SW]],MATCH(1,vp.tbl[[#This Row],[Unknown]:[Heavy_SW]],0))</f>
        <v>Light_SW</v>
      </c>
      <c r="AH100" t="e">
        <f>INDEX([1]!crudeBD.lkup[Number],MATCH(vp.tbl[[#This Row],[Crude_Breakdown]],[1]!crudeBD.lkup[Crude Breakdown],0))</f>
        <v>#REF!</v>
      </c>
      <c r="AI100">
        <f>MONTH(vp.tbl[[#This Row],[SDate]])</f>
        <v>3</v>
      </c>
      <c r="AJ100" s="5">
        <f>IFERROR(vp.tbl[[#This Row],[Sulf]]*vp.tbl[[#This Row],[Net Dens]],"")</f>
        <v>6860329.4118360011</v>
      </c>
      <c r="AK100" s="5">
        <f>IFERROR(vp.tbl[[#This Row],[Dens]]*vp.tbl[[#This Row],[VolumeM3]],"")</f>
        <v>18541430.842800003</v>
      </c>
      <c r="AL100" s="5">
        <f>IFERROR(vp.tbl[[#This Row],[VP]]*vp.tbl[[#This Row],[VolumeM3]],"")</f>
        <v>2653987.3956000004</v>
      </c>
      <c r="AM100" s="4">
        <f>IFERROR((vp.tbl[[#This Row],[VP]]-INDEX(crudeBD.lkup.complete[Mean_VP],MATCH(vp.tbl[[#This Row],[Crude_Breakdown]],crudeBD.lkup.complete[Crude Breakdown],0)))^2,"")</f>
        <v>568.80754191018639</v>
      </c>
      <c r="AN100" s="4">
        <f>IFERROR((vp.tbl[[#This Row],[Dens]]-INDEX(crudeBD.lkup.complete[Mean_Dens],MATCH(vp.tbl[[#This Row],[Crude_Breakdown]],crudeBD.lkup.complete[Crude Breakdown],0)))^2,"")</f>
        <v>23.89744928310666</v>
      </c>
      <c r="AO100" s="4">
        <f>IFERROR((vp.tbl[[#This Row],[Sulf]]-INDEX(crudeBD.lkup.complete[Mean_Sulf],MATCH(vp.tbl[[#This Row],[Crude_Breakdown]],crudeBD.lkup.complete[Crude Breakdown],0)))^2,"")</f>
        <v>1.7891252898056348E-2</v>
      </c>
      <c r="AP100">
        <f>IF(AND(vp.tbl[[#This Row],[SDate]]&gt;=DATE(YEAR(vp.tbl[[#This Row],[SDate]]),5,1),vp.tbl[[#This Row],[SDate]]&lt;=DATE(YEAR(vp.tbl[[#This Row],[SDate]]),9,15)),1,0)</f>
        <v>0</v>
      </c>
      <c r="AQ100" s="15">
        <f>IF(vp.tbl[[#This Row],[SDate]]&lt;DATE(2016,12,1),0,1)</f>
        <v>0</v>
      </c>
    </row>
    <row r="101" spans="1:43" x14ac:dyDescent="0.25">
      <c r="A101">
        <v>100</v>
      </c>
      <c r="B101" t="s">
        <v>62</v>
      </c>
      <c r="C101" t="s">
        <v>62</v>
      </c>
      <c r="D101" t="s">
        <v>63</v>
      </c>
      <c r="F101" s="1">
        <v>42440</v>
      </c>
      <c r="G101" s="2">
        <v>100.6</v>
      </c>
      <c r="H101" s="2"/>
      <c r="I101" s="2">
        <v>1.26</v>
      </c>
      <c r="J101" s="2"/>
      <c r="K101" s="2"/>
      <c r="L101" s="2">
        <v>821</v>
      </c>
      <c r="M101" s="2">
        <v>821</v>
      </c>
      <c r="N101" s="2">
        <f ca="1">INDEX(INDIRECT(_xlfn.CONCAT("weather.tbl[",N$1,"]")),MATCH(vp.tbl[[#This Row],[SDate]],weather.tbl[Date],0))</f>
        <v>8.2333333333333325</v>
      </c>
      <c r="O101" s="2">
        <f ca="1">INDEX(INDIRECT(_xlfn.CONCAT("weather.tbl[",O$1,"]")),MATCH(vp.tbl[[#This Row],[SDate]],weather.tbl[Date],0))</f>
        <v>3.5571428571428569</v>
      </c>
      <c r="P101" s="2">
        <f ca="1">INDEX(INDIRECT(_xlfn.CONCAT("weather.tbl[",P$1,"]")),MATCH(vp.tbl[[#This Row],[SDate]],weather.tbl[Date],0))</f>
        <v>9.1999999999999993</v>
      </c>
      <c r="Q101" s="2">
        <f ca="1">INDEX(INDIRECT(_xlfn.CONCAT("weather.tbl[",Q$1,"]")),MATCH(vp.tbl[[#This Row],[SDate]],weather.tbl[Date],0))</f>
        <v>7.6</v>
      </c>
      <c r="R101" s="2">
        <f ca="1">INDEX(INDIRECT(_xlfn.CONCAT("weather.tbl[",R$1,"]")),MATCH(vp.tbl[[#This Row],[SDate]],weather.tbl[Date],0))</f>
        <v>8.8000000000000007</v>
      </c>
      <c r="S101" s="2">
        <f ca="1">INDEX(INDIRECT(_xlfn.CONCAT("weather.tbl[",S$1,"]")),MATCH(vp.tbl[[#This Row],[SDate]],weather.tbl[Date],0))</f>
        <v>8</v>
      </c>
      <c r="T101" s="2">
        <f ca="1">INDEX(INDIRECT(_xlfn.CONCAT("weather.tbl[",T$1,"]")),MATCH(vp.tbl[[#This Row],[SDate]],weather.tbl[Date],0))</f>
        <v>7.5</v>
      </c>
      <c r="U101" s="2">
        <f ca="1">INDEX(INDIRECT(_xlfn.CONCAT("weather.tbl[",U$1,"]")),MATCH(vp.tbl[[#This Row],[SDate]],weather.tbl[Date],0))</f>
        <v>8.3000000000000007</v>
      </c>
      <c r="V101" s="2">
        <v>5938.7809999999999</v>
      </c>
      <c r="W101" t="s">
        <v>48</v>
      </c>
      <c r="X101">
        <f>IF(OR(vp.tbl[[#This Row],[Sulf]]="",vp.tbl[[#This Row],[Dens]]=""),1,0)</f>
        <v>0</v>
      </c>
      <c r="Y101">
        <f>IF(vp.tbl[[#This Row],[CrudeType]]="C5+",1,0)</f>
        <v>0</v>
      </c>
      <c r="Z101">
        <f>IF(AND(vp.tbl[[#This Row],[CrudeType]]="Crude",vp.tbl[[#This Row],[Dens]]&lt;=825,vp.tbl[[#This Row],[Sulf]]&gt;0.5,vp.tbl[[#This Row],[Unknown]]=0),1,0)</f>
        <v>1</v>
      </c>
      <c r="AA101">
        <f>IF(AND(vp.tbl[[#This Row],[CrudeType]]="Crude",vp.tbl[[#This Row],[Dens]]&lt;=825,vp.tbl[[#This Row],[Sulf]]&lt;=0.5,vp.tbl[[#This Row],[Unknown]]=0),1,0)</f>
        <v>0</v>
      </c>
      <c r="AB101">
        <f>IF(AND(vp.tbl[[#This Row],[CrudeType]]="Crude",vp.tbl[[#This Row],[Dens]]&gt;825,vp.tbl[[#This Row],[Dens]]&lt;=870,vp.tbl[[#This Row],[Sulf]]&gt;0.5,vp.tbl[[#This Row],[Unknown]]=0),1,0)</f>
        <v>0</v>
      </c>
      <c r="AC101">
        <f>IF(AND(vp.tbl[[#This Row],[CrudeType]]="Crude",vp.tbl[[#This Row],[Dens]]&gt;825,vp.tbl[[#This Row],[Dens]]&lt;=900,vp.tbl[[#This Row],[Sulf]]&lt;=0.5,vp.tbl[[#This Row],[Unknown]]=0),1,0)</f>
        <v>0</v>
      </c>
      <c r="AD101">
        <f>IF(AND(vp.tbl[[#This Row],[CrudeType]]="Crude",vp.tbl[[#This Row],[Dens]]&gt;870,vp.tbl[[#This Row],[Dens]]&lt;=900,vp.tbl[[#This Row],[Sulf]]&gt;0.5,vp.tbl[[#This Row],[Unknown]]=0),1,0)</f>
        <v>0</v>
      </c>
      <c r="AE101">
        <f>IF(AND(vp.tbl[[#This Row],[CrudeType]]="Crude",vp.tbl[[#This Row],[Dens]]&gt;900,vp.tbl[[#This Row],[Sulf]]&lt;=0.5,vp.tbl[[#This Row],[Unknown]]=0),1,0)</f>
        <v>0</v>
      </c>
      <c r="AF101">
        <f>IF(AND(vp.tbl[[#This Row],[CrudeType]]="Crude",vp.tbl[[#This Row],[Dens]]&gt;900,vp.tbl[[#This Row],[Sulf]]&lt;=0.5,vp.tbl[[#This Row],[Unknown]]=0),1,0)</f>
        <v>0</v>
      </c>
      <c r="AG101" t="str">
        <f>INDEX(vp.tbl[[#Headers],[Unknown]:[Heavy_SW]],MATCH(1,vp.tbl[[#This Row],[Unknown]:[Heavy_SW]],0))</f>
        <v>Light_LSB</v>
      </c>
      <c r="AH101" t="e">
        <f>INDEX([1]!crudeBD.lkup[Number],MATCH(vp.tbl[[#This Row],[Crude_Breakdown]],[1]!crudeBD.lkup[Crude Breakdown],0))</f>
        <v>#REF!</v>
      </c>
      <c r="AI101">
        <f>MONTH(vp.tbl[[#This Row],[SDate]])</f>
        <v>3</v>
      </c>
      <c r="AJ101" s="5">
        <f>IFERROR(vp.tbl[[#This Row],[Sulf]]*vp.tbl[[#This Row],[Net Dens]],"")</f>
        <v>6143431.3932600003</v>
      </c>
      <c r="AK101" s="5">
        <f>IFERROR(vp.tbl[[#This Row],[Dens]]*vp.tbl[[#This Row],[VolumeM3]],"")</f>
        <v>4875739.2010000004</v>
      </c>
      <c r="AL101" s="5">
        <f>IFERROR(vp.tbl[[#This Row],[VP]]*vp.tbl[[#This Row],[VolumeM3]],"")</f>
        <v>597441.36859999993</v>
      </c>
      <c r="AM101" s="4">
        <f>IFERROR((vp.tbl[[#This Row],[VP]]-INDEX(crudeBD.lkup.complete[Mean_VP],MATCH(vp.tbl[[#This Row],[Crude_Breakdown]],crudeBD.lkup.complete[Crude Breakdown],0)))^2,"")</f>
        <v>81.971555787011766</v>
      </c>
      <c r="AN101" s="4">
        <f>IFERROR((vp.tbl[[#This Row],[Dens]]-INDEX(crudeBD.lkup.complete[Mean_Dens],MATCH(vp.tbl[[#This Row],[Crude_Breakdown]],crudeBD.lkup.complete[Crude Breakdown],0)))^2,"")</f>
        <v>6.1664324275827171</v>
      </c>
      <c r="AO101" s="4">
        <f>IFERROR((vp.tbl[[#This Row],[Sulf]]-INDEX(crudeBD.lkup.complete[Mean_Sulf],MATCH(vp.tbl[[#This Row],[Crude_Breakdown]],crudeBD.lkup.complete[Crude Breakdown],0)))^2,"")</f>
        <v>0.11358843333985327</v>
      </c>
      <c r="AP101">
        <f>IF(AND(vp.tbl[[#This Row],[SDate]]&gt;=DATE(YEAR(vp.tbl[[#This Row],[SDate]]),5,1),vp.tbl[[#This Row],[SDate]]&lt;=DATE(YEAR(vp.tbl[[#This Row],[SDate]]),9,15)),1,0)</f>
        <v>0</v>
      </c>
      <c r="AQ101" s="15">
        <f>IF(vp.tbl[[#This Row],[SDate]]&lt;DATE(2016,12,1),0,1)</f>
        <v>0</v>
      </c>
    </row>
    <row r="102" spans="1:43" x14ac:dyDescent="0.25">
      <c r="A102">
        <v>101</v>
      </c>
      <c r="B102" t="s">
        <v>51</v>
      </c>
      <c r="C102" t="s">
        <v>51</v>
      </c>
      <c r="D102" t="s">
        <v>66</v>
      </c>
      <c r="F102" s="1">
        <v>42440</v>
      </c>
      <c r="G102" s="2">
        <v>126.3</v>
      </c>
      <c r="H102" s="2"/>
      <c r="I102" s="2">
        <v>0.91</v>
      </c>
      <c r="J102" s="2"/>
      <c r="K102" s="2"/>
      <c r="L102" s="2">
        <v>827.3</v>
      </c>
      <c r="M102" s="2">
        <v>827.3</v>
      </c>
      <c r="N102" s="2">
        <f ca="1">INDEX(INDIRECT(_xlfn.CONCAT("weather.tbl[",N$1,"]")),MATCH(vp.tbl[[#This Row],[SDate]],weather.tbl[Date],0))</f>
        <v>8.2333333333333325</v>
      </c>
      <c r="O102" s="2">
        <f ca="1">INDEX(INDIRECT(_xlfn.CONCAT("weather.tbl[",O$1,"]")),MATCH(vp.tbl[[#This Row],[SDate]],weather.tbl[Date],0))</f>
        <v>3.5571428571428569</v>
      </c>
      <c r="P102" s="2">
        <f ca="1">INDEX(INDIRECT(_xlfn.CONCAT("weather.tbl[",P$1,"]")),MATCH(vp.tbl[[#This Row],[SDate]],weather.tbl[Date],0))</f>
        <v>9.1999999999999993</v>
      </c>
      <c r="Q102" s="2">
        <f ca="1">INDEX(INDIRECT(_xlfn.CONCAT("weather.tbl[",Q$1,"]")),MATCH(vp.tbl[[#This Row],[SDate]],weather.tbl[Date],0))</f>
        <v>7.6</v>
      </c>
      <c r="R102" s="2">
        <f ca="1">INDEX(INDIRECT(_xlfn.CONCAT("weather.tbl[",R$1,"]")),MATCH(vp.tbl[[#This Row],[SDate]],weather.tbl[Date],0))</f>
        <v>8.8000000000000007</v>
      </c>
      <c r="S102" s="2">
        <f ca="1">INDEX(INDIRECT(_xlfn.CONCAT("weather.tbl[",S$1,"]")),MATCH(vp.tbl[[#This Row],[SDate]],weather.tbl[Date],0))</f>
        <v>8</v>
      </c>
      <c r="T102" s="2">
        <f ca="1">INDEX(INDIRECT(_xlfn.CONCAT("weather.tbl[",T$1,"]")),MATCH(vp.tbl[[#This Row],[SDate]],weather.tbl[Date],0))</f>
        <v>7.5</v>
      </c>
      <c r="U102" s="2">
        <f ca="1">INDEX(INDIRECT(_xlfn.CONCAT("weather.tbl[",U$1,"]")),MATCH(vp.tbl[[#This Row],[SDate]],weather.tbl[Date],0))</f>
        <v>8.3000000000000007</v>
      </c>
      <c r="V102" s="2">
        <v>4604.1419999999998</v>
      </c>
      <c r="W102" t="s">
        <v>48</v>
      </c>
      <c r="X102">
        <f>IF(OR(vp.tbl[[#This Row],[Sulf]]="",vp.tbl[[#This Row],[Dens]]=""),1,0)</f>
        <v>0</v>
      </c>
      <c r="Y102">
        <f>IF(vp.tbl[[#This Row],[CrudeType]]="C5+",1,0)</f>
        <v>0</v>
      </c>
      <c r="Z102">
        <f>IF(AND(vp.tbl[[#This Row],[CrudeType]]="Crude",vp.tbl[[#This Row],[Dens]]&lt;=825,vp.tbl[[#This Row],[Sulf]]&gt;0.5,vp.tbl[[#This Row],[Unknown]]=0),1,0)</f>
        <v>0</v>
      </c>
      <c r="AA102">
        <f>IF(AND(vp.tbl[[#This Row],[CrudeType]]="Crude",vp.tbl[[#This Row],[Dens]]&lt;=825,vp.tbl[[#This Row],[Sulf]]&lt;=0.5,vp.tbl[[#This Row],[Unknown]]=0),1,0)</f>
        <v>0</v>
      </c>
      <c r="AB102">
        <f>IF(AND(vp.tbl[[#This Row],[CrudeType]]="Crude",vp.tbl[[#This Row],[Dens]]&gt;825,vp.tbl[[#This Row],[Dens]]&lt;=870,vp.tbl[[#This Row],[Sulf]]&gt;0.5,vp.tbl[[#This Row],[Unknown]]=0),1,0)</f>
        <v>1</v>
      </c>
      <c r="AC102">
        <f>IF(AND(vp.tbl[[#This Row],[CrudeType]]="Crude",vp.tbl[[#This Row],[Dens]]&gt;825,vp.tbl[[#This Row],[Dens]]&lt;=900,vp.tbl[[#This Row],[Sulf]]&lt;=0.5,vp.tbl[[#This Row],[Unknown]]=0),1,0)</f>
        <v>0</v>
      </c>
      <c r="AD102">
        <f>IF(AND(vp.tbl[[#This Row],[CrudeType]]="Crude",vp.tbl[[#This Row],[Dens]]&gt;870,vp.tbl[[#This Row],[Dens]]&lt;=900,vp.tbl[[#This Row],[Sulf]]&gt;0.5,vp.tbl[[#This Row],[Unknown]]=0),1,0)</f>
        <v>0</v>
      </c>
      <c r="AE102">
        <f>IF(AND(vp.tbl[[#This Row],[CrudeType]]="Crude",vp.tbl[[#This Row],[Dens]]&gt;900,vp.tbl[[#This Row],[Sulf]]&lt;=0.5,vp.tbl[[#This Row],[Unknown]]=0),1,0)</f>
        <v>0</v>
      </c>
      <c r="AF102">
        <f>IF(AND(vp.tbl[[#This Row],[CrudeType]]="Crude",vp.tbl[[#This Row],[Dens]]&gt;900,vp.tbl[[#This Row],[Sulf]]&lt;=0.5,vp.tbl[[#This Row],[Unknown]]=0),1,0)</f>
        <v>0</v>
      </c>
      <c r="AG102" t="str">
        <f>INDEX(vp.tbl[[#Headers],[Unknown]:[Heavy_SW]],MATCH(1,vp.tbl[[#This Row],[Unknown]:[Heavy_SW]],0))</f>
        <v>Medium_LSB</v>
      </c>
      <c r="AH102" t="e">
        <f>INDEX([1]!crudeBD.lkup[Number],MATCH(vp.tbl[[#This Row],[Crude_Breakdown]],[1]!crudeBD.lkup[Crude Breakdown],0))</f>
        <v>#REF!</v>
      </c>
      <c r="AI102">
        <f>MONTH(vp.tbl[[#This Row],[SDate]])</f>
        <v>3</v>
      </c>
      <c r="AJ102" s="5">
        <f>IFERROR(vp.tbl[[#This Row],[Sulf]]*vp.tbl[[#This Row],[Net Dens]],"")</f>
        <v>3466196.0757059995</v>
      </c>
      <c r="AK102" s="5">
        <f>IFERROR(vp.tbl[[#This Row],[Dens]]*vp.tbl[[#This Row],[VolumeM3]],"")</f>
        <v>3809006.6765999994</v>
      </c>
      <c r="AL102" s="5">
        <f>IFERROR(vp.tbl[[#This Row],[VP]]*vp.tbl[[#This Row],[VolumeM3]],"")</f>
        <v>581503.13459999999</v>
      </c>
      <c r="AM102" s="4">
        <f>IFERROR((vp.tbl[[#This Row],[VP]]-INDEX(crudeBD.lkup.complete[Mean_VP],MATCH(vp.tbl[[#This Row],[Crude_Breakdown]],crudeBD.lkup.complete[Crude Breakdown],0)))^2,"")</f>
        <v>2127.6452440628136</v>
      </c>
      <c r="AN102" s="4">
        <f>IFERROR((vp.tbl[[#This Row],[Dens]]-INDEX(crudeBD.lkup.complete[Mean_Dens],MATCH(vp.tbl[[#This Row],[Crude_Breakdown]],crudeBD.lkup.complete[Crude Breakdown],0)))^2,"")</f>
        <v>323.70568711997902</v>
      </c>
      <c r="AO102" s="4">
        <f>IFERROR((vp.tbl[[#This Row],[Sulf]]-INDEX(crudeBD.lkup.complete[Mean_Sulf],MATCH(vp.tbl[[#This Row],[Crude_Breakdown]],crudeBD.lkup.complete[Crude Breakdown],0)))^2,"")</f>
        <v>0.29694855314736274</v>
      </c>
      <c r="AP102">
        <f>IF(AND(vp.tbl[[#This Row],[SDate]]&gt;=DATE(YEAR(vp.tbl[[#This Row],[SDate]]),5,1),vp.tbl[[#This Row],[SDate]]&lt;=DATE(YEAR(vp.tbl[[#This Row],[SDate]]),9,15)),1,0)</f>
        <v>0</v>
      </c>
      <c r="AQ102" s="15">
        <f>IF(vp.tbl[[#This Row],[SDate]]&lt;DATE(2016,12,1),0,1)</f>
        <v>0</v>
      </c>
    </row>
    <row r="103" spans="1:43" x14ac:dyDescent="0.25">
      <c r="A103">
        <v>102</v>
      </c>
      <c r="B103" t="s">
        <v>51</v>
      </c>
      <c r="C103" t="s">
        <v>51</v>
      </c>
      <c r="D103" t="s">
        <v>72</v>
      </c>
      <c r="F103" s="1">
        <v>42440</v>
      </c>
      <c r="G103" s="2">
        <v>65.3</v>
      </c>
      <c r="H103" s="2"/>
      <c r="I103" s="2">
        <v>1.08</v>
      </c>
      <c r="J103" s="2"/>
      <c r="K103" s="2"/>
      <c r="L103" s="2">
        <v>836.8</v>
      </c>
      <c r="M103" s="2">
        <v>836.8</v>
      </c>
      <c r="N103" s="2">
        <f ca="1">INDEX(INDIRECT(_xlfn.CONCAT("weather.tbl[",N$1,"]")),MATCH(vp.tbl[[#This Row],[SDate]],weather.tbl[Date],0))</f>
        <v>8.2333333333333325</v>
      </c>
      <c r="O103" s="2">
        <f ca="1">INDEX(INDIRECT(_xlfn.CONCAT("weather.tbl[",O$1,"]")),MATCH(vp.tbl[[#This Row],[SDate]],weather.tbl[Date],0))</f>
        <v>3.5571428571428569</v>
      </c>
      <c r="P103" s="2">
        <f ca="1">INDEX(INDIRECT(_xlfn.CONCAT("weather.tbl[",P$1,"]")),MATCH(vp.tbl[[#This Row],[SDate]],weather.tbl[Date],0))</f>
        <v>9.1999999999999993</v>
      </c>
      <c r="Q103" s="2">
        <f ca="1">INDEX(INDIRECT(_xlfn.CONCAT("weather.tbl[",Q$1,"]")),MATCH(vp.tbl[[#This Row],[SDate]],weather.tbl[Date],0))</f>
        <v>7.6</v>
      </c>
      <c r="R103" s="2">
        <f ca="1">INDEX(INDIRECT(_xlfn.CONCAT("weather.tbl[",R$1,"]")),MATCH(vp.tbl[[#This Row],[SDate]],weather.tbl[Date],0))</f>
        <v>8.8000000000000007</v>
      </c>
      <c r="S103" s="2">
        <f ca="1">INDEX(INDIRECT(_xlfn.CONCAT("weather.tbl[",S$1,"]")),MATCH(vp.tbl[[#This Row],[SDate]],weather.tbl[Date],0))</f>
        <v>8</v>
      </c>
      <c r="T103" s="2">
        <f ca="1">INDEX(INDIRECT(_xlfn.CONCAT("weather.tbl[",T$1,"]")),MATCH(vp.tbl[[#This Row],[SDate]],weather.tbl[Date],0))</f>
        <v>7.5</v>
      </c>
      <c r="U103" s="2">
        <f ca="1">INDEX(INDIRECT(_xlfn.CONCAT("weather.tbl[",U$1,"]")),MATCH(vp.tbl[[#This Row],[SDate]],weather.tbl[Date],0))</f>
        <v>8.3000000000000007</v>
      </c>
      <c r="V103" s="2">
        <v>4074.2649999999999</v>
      </c>
      <c r="W103" t="s">
        <v>48</v>
      </c>
      <c r="X103">
        <f>IF(OR(vp.tbl[[#This Row],[Sulf]]="",vp.tbl[[#This Row],[Dens]]=""),1,0)</f>
        <v>0</v>
      </c>
      <c r="Y103">
        <f>IF(vp.tbl[[#This Row],[CrudeType]]="C5+",1,0)</f>
        <v>0</v>
      </c>
      <c r="Z103">
        <f>IF(AND(vp.tbl[[#This Row],[CrudeType]]="Crude",vp.tbl[[#This Row],[Dens]]&lt;=825,vp.tbl[[#This Row],[Sulf]]&gt;0.5,vp.tbl[[#This Row],[Unknown]]=0),1,0)</f>
        <v>0</v>
      </c>
      <c r="AA103">
        <f>IF(AND(vp.tbl[[#This Row],[CrudeType]]="Crude",vp.tbl[[#This Row],[Dens]]&lt;=825,vp.tbl[[#This Row],[Sulf]]&lt;=0.5,vp.tbl[[#This Row],[Unknown]]=0),1,0)</f>
        <v>0</v>
      </c>
      <c r="AB103">
        <f>IF(AND(vp.tbl[[#This Row],[CrudeType]]="Crude",vp.tbl[[#This Row],[Dens]]&gt;825,vp.tbl[[#This Row],[Dens]]&lt;=870,vp.tbl[[#This Row],[Sulf]]&gt;0.5,vp.tbl[[#This Row],[Unknown]]=0),1,0)</f>
        <v>1</v>
      </c>
      <c r="AC103">
        <f>IF(AND(vp.tbl[[#This Row],[CrudeType]]="Crude",vp.tbl[[#This Row],[Dens]]&gt;825,vp.tbl[[#This Row],[Dens]]&lt;=900,vp.tbl[[#This Row],[Sulf]]&lt;=0.5,vp.tbl[[#This Row],[Unknown]]=0),1,0)</f>
        <v>0</v>
      </c>
      <c r="AD103">
        <f>IF(AND(vp.tbl[[#This Row],[CrudeType]]="Crude",vp.tbl[[#This Row],[Dens]]&gt;870,vp.tbl[[#This Row],[Dens]]&lt;=900,vp.tbl[[#This Row],[Sulf]]&gt;0.5,vp.tbl[[#This Row],[Unknown]]=0),1,0)</f>
        <v>0</v>
      </c>
      <c r="AE103">
        <f>IF(AND(vp.tbl[[#This Row],[CrudeType]]="Crude",vp.tbl[[#This Row],[Dens]]&gt;900,vp.tbl[[#This Row],[Sulf]]&lt;=0.5,vp.tbl[[#This Row],[Unknown]]=0),1,0)</f>
        <v>0</v>
      </c>
      <c r="AF103">
        <f>IF(AND(vp.tbl[[#This Row],[CrudeType]]="Crude",vp.tbl[[#This Row],[Dens]]&gt;900,vp.tbl[[#This Row],[Sulf]]&lt;=0.5,vp.tbl[[#This Row],[Unknown]]=0),1,0)</f>
        <v>0</v>
      </c>
      <c r="AG103" t="str">
        <f>INDEX(vp.tbl[[#Headers],[Unknown]:[Heavy_SW]],MATCH(1,vp.tbl[[#This Row],[Unknown]:[Heavy_SW]],0))</f>
        <v>Medium_LSB</v>
      </c>
      <c r="AH103" t="e">
        <f>INDEX([1]!crudeBD.lkup[Number],MATCH(vp.tbl[[#This Row],[Crude_Breakdown]],[1]!crudeBD.lkup[Crude Breakdown],0))</f>
        <v>#REF!</v>
      </c>
      <c r="AI103">
        <f>MONTH(vp.tbl[[#This Row],[SDate]])</f>
        <v>3</v>
      </c>
      <c r="AJ103" s="5">
        <f>IFERROR(vp.tbl[[#This Row],[Sulf]]*vp.tbl[[#This Row],[Net Dens]],"")</f>
        <v>3682092.5481599998</v>
      </c>
      <c r="AK103" s="5">
        <f>IFERROR(vp.tbl[[#This Row],[Dens]]*vp.tbl[[#This Row],[VolumeM3]],"")</f>
        <v>3409344.9519999996</v>
      </c>
      <c r="AL103" s="5">
        <f>IFERROR(vp.tbl[[#This Row],[VP]]*vp.tbl[[#This Row],[VolumeM3]],"")</f>
        <v>266049.50449999998</v>
      </c>
      <c r="AM103" s="4">
        <f>IFERROR((vp.tbl[[#This Row],[VP]]-INDEX(crudeBD.lkup.complete[Mean_VP],MATCH(vp.tbl[[#This Row],[Crude_Breakdown]],crudeBD.lkup.complete[Crude Breakdown],0)))^2,"")</f>
        <v>221.22382634129045</v>
      </c>
      <c r="AN103" s="4">
        <f>IFERROR((vp.tbl[[#This Row],[Dens]]-INDEX(crudeBD.lkup.complete[Mean_Dens],MATCH(vp.tbl[[#This Row],[Crude_Breakdown]],crudeBD.lkup.complete[Crude Breakdown],0)))^2,"")</f>
        <v>72.111054208604457</v>
      </c>
      <c r="AO103" s="4">
        <f>IFERROR((vp.tbl[[#This Row],[Sulf]]-INDEX(crudeBD.lkup.complete[Mean_Sulf],MATCH(vp.tbl[[#This Row],[Crude_Breakdown]],crudeBD.lkup.complete[Crude Breakdown],0)))^2,"")</f>
        <v>0.14057240048913436</v>
      </c>
      <c r="AP103">
        <f>IF(AND(vp.tbl[[#This Row],[SDate]]&gt;=DATE(YEAR(vp.tbl[[#This Row],[SDate]]),5,1),vp.tbl[[#This Row],[SDate]]&lt;=DATE(YEAR(vp.tbl[[#This Row],[SDate]]),9,15)),1,0)</f>
        <v>0</v>
      </c>
      <c r="AQ103" s="15">
        <f>IF(vp.tbl[[#This Row],[SDate]]&lt;DATE(2016,12,1),0,1)</f>
        <v>0</v>
      </c>
    </row>
    <row r="104" spans="1:43" x14ac:dyDescent="0.25">
      <c r="A104">
        <v>103</v>
      </c>
      <c r="B104" t="s">
        <v>60</v>
      </c>
      <c r="C104" t="s">
        <v>60</v>
      </c>
      <c r="D104" t="s">
        <v>61</v>
      </c>
      <c r="E104" t="s">
        <v>55</v>
      </c>
      <c r="F104" s="1">
        <v>42440</v>
      </c>
      <c r="G104" s="2">
        <v>108.5</v>
      </c>
      <c r="H104" s="2"/>
      <c r="I104" s="2">
        <v>0.97</v>
      </c>
      <c r="J104" s="2"/>
      <c r="K104" s="2"/>
      <c r="L104" s="2">
        <v>832</v>
      </c>
      <c r="M104" s="2">
        <v>832</v>
      </c>
      <c r="N104" s="2">
        <f ca="1">INDEX(INDIRECT(_xlfn.CONCAT("weather.tbl[",N$1,"]")),MATCH(vp.tbl[[#This Row],[SDate]],weather.tbl[Date],0))</f>
        <v>8.2333333333333325</v>
      </c>
      <c r="O104" s="2">
        <f ca="1">INDEX(INDIRECT(_xlfn.CONCAT("weather.tbl[",O$1,"]")),MATCH(vp.tbl[[#This Row],[SDate]],weather.tbl[Date],0))</f>
        <v>3.5571428571428569</v>
      </c>
      <c r="P104" s="2">
        <f ca="1">INDEX(INDIRECT(_xlfn.CONCAT("weather.tbl[",P$1,"]")),MATCH(vp.tbl[[#This Row],[SDate]],weather.tbl[Date],0))</f>
        <v>9.1999999999999993</v>
      </c>
      <c r="Q104" s="2">
        <f ca="1">INDEX(INDIRECT(_xlfn.CONCAT("weather.tbl[",Q$1,"]")),MATCH(vp.tbl[[#This Row],[SDate]],weather.tbl[Date],0))</f>
        <v>7.6</v>
      </c>
      <c r="R104" s="2">
        <f ca="1">INDEX(INDIRECT(_xlfn.CONCAT("weather.tbl[",R$1,"]")),MATCH(vp.tbl[[#This Row],[SDate]],weather.tbl[Date],0))</f>
        <v>8.8000000000000007</v>
      </c>
      <c r="S104" s="2">
        <f ca="1">INDEX(INDIRECT(_xlfn.CONCAT("weather.tbl[",S$1,"]")),MATCH(vp.tbl[[#This Row],[SDate]],weather.tbl[Date],0))</f>
        <v>8</v>
      </c>
      <c r="T104" s="2">
        <f ca="1">INDEX(INDIRECT(_xlfn.CONCAT("weather.tbl[",T$1,"]")),MATCH(vp.tbl[[#This Row],[SDate]],weather.tbl[Date],0))</f>
        <v>7.5</v>
      </c>
      <c r="U104" s="2">
        <f ca="1">INDEX(INDIRECT(_xlfn.CONCAT("weather.tbl[",U$1,"]")),MATCH(vp.tbl[[#This Row],[SDate]],weather.tbl[Date],0))</f>
        <v>8.3000000000000007</v>
      </c>
      <c r="V104" s="2">
        <v>109333.743</v>
      </c>
      <c r="W104" t="s">
        <v>48</v>
      </c>
      <c r="X104">
        <f>IF(OR(vp.tbl[[#This Row],[Sulf]]="",vp.tbl[[#This Row],[Dens]]=""),1,0)</f>
        <v>0</v>
      </c>
      <c r="Y104">
        <f>IF(vp.tbl[[#This Row],[CrudeType]]="C5+",1,0)</f>
        <v>0</v>
      </c>
      <c r="Z104">
        <f>IF(AND(vp.tbl[[#This Row],[CrudeType]]="Crude",vp.tbl[[#This Row],[Dens]]&lt;=825,vp.tbl[[#This Row],[Sulf]]&gt;0.5,vp.tbl[[#This Row],[Unknown]]=0),1,0)</f>
        <v>0</v>
      </c>
      <c r="AA104">
        <f>IF(AND(vp.tbl[[#This Row],[CrudeType]]="Crude",vp.tbl[[#This Row],[Dens]]&lt;=825,vp.tbl[[#This Row],[Sulf]]&lt;=0.5,vp.tbl[[#This Row],[Unknown]]=0),1,0)</f>
        <v>0</v>
      </c>
      <c r="AB104">
        <f>IF(AND(vp.tbl[[#This Row],[CrudeType]]="Crude",vp.tbl[[#This Row],[Dens]]&gt;825,vp.tbl[[#This Row],[Dens]]&lt;=870,vp.tbl[[#This Row],[Sulf]]&gt;0.5,vp.tbl[[#This Row],[Unknown]]=0),1,0)</f>
        <v>1</v>
      </c>
      <c r="AC104">
        <f>IF(AND(vp.tbl[[#This Row],[CrudeType]]="Crude",vp.tbl[[#This Row],[Dens]]&gt;825,vp.tbl[[#This Row],[Dens]]&lt;=900,vp.tbl[[#This Row],[Sulf]]&lt;=0.5,vp.tbl[[#This Row],[Unknown]]=0),1,0)</f>
        <v>0</v>
      </c>
      <c r="AD104">
        <f>IF(AND(vp.tbl[[#This Row],[CrudeType]]="Crude",vp.tbl[[#This Row],[Dens]]&gt;870,vp.tbl[[#This Row],[Dens]]&lt;=900,vp.tbl[[#This Row],[Sulf]]&gt;0.5,vp.tbl[[#This Row],[Unknown]]=0),1,0)</f>
        <v>0</v>
      </c>
      <c r="AE104">
        <f>IF(AND(vp.tbl[[#This Row],[CrudeType]]="Crude",vp.tbl[[#This Row],[Dens]]&gt;900,vp.tbl[[#This Row],[Sulf]]&lt;=0.5,vp.tbl[[#This Row],[Unknown]]=0),1,0)</f>
        <v>0</v>
      </c>
      <c r="AF104">
        <f>IF(AND(vp.tbl[[#This Row],[CrudeType]]="Crude",vp.tbl[[#This Row],[Dens]]&gt;900,vp.tbl[[#This Row],[Sulf]]&lt;=0.5,vp.tbl[[#This Row],[Unknown]]=0),1,0)</f>
        <v>0</v>
      </c>
      <c r="AG104" t="str">
        <f>INDEX(vp.tbl[[#Headers],[Unknown]:[Heavy_SW]],MATCH(1,vp.tbl[[#This Row],[Unknown]:[Heavy_SW]],0))</f>
        <v>Medium_LSB</v>
      </c>
      <c r="AH104" t="e">
        <f>INDEX([1]!crudeBD.lkup[Number],MATCH(vp.tbl[[#This Row],[Crude_Breakdown]],[1]!crudeBD.lkup[Crude Breakdown],0))</f>
        <v>#REF!</v>
      </c>
      <c r="AI104">
        <f>MONTH(vp.tbl[[#This Row],[SDate]])</f>
        <v>3</v>
      </c>
      <c r="AJ104" s="5">
        <f>IFERROR(vp.tbl[[#This Row],[Sulf]]*vp.tbl[[#This Row],[Net Dens]],"")</f>
        <v>88236703.950719997</v>
      </c>
      <c r="AK104" s="5">
        <f>IFERROR(vp.tbl[[#This Row],[Dens]]*vp.tbl[[#This Row],[VolumeM3]],"")</f>
        <v>90965674.175999999</v>
      </c>
      <c r="AL104" s="5">
        <f>IFERROR(vp.tbl[[#This Row],[VP]]*vp.tbl[[#This Row],[VolumeM3]],"")</f>
        <v>11862711.115499999</v>
      </c>
      <c r="AM104" s="4">
        <f>IFERROR((vp.tbl[[#This Row],[VP]]-INDEX(crudeBD.lkup.complete[Mean_VP],MATCH(vp.tbl[[#This Row],[Crude_Breakdown]],crudeBD.lkup.complete[Crude Breakdown],0)))^2,"")</f>
        <v>802.38522380964798</v>
      </c>
      <c r="AN104" s="4">
        <f>IFERROR((vp.tbl[[#This Row],[Dens]]-INDEX(crudeBD.lkup.complete[Mean_Dens],MATCH(vp.tbl[[#This Row],[Crude_Breakdown]],crudeBD.lkup.complete[Crude Breakdown],0)))^2,"")</f>
        <v>176.67255294277146</v>
      </c>
      <c r="AO104" s="4">
        <f>IFERROR((vp.tbl[[#This Row],[Sulf]]-INDEX(crudeBD.lkup.complete[Mean_Sulf],MATCH(vp.tbl[[#This Row],[Crude_Breakdown]],crudeBD.lkup.complete[Crude Breakdown],0)))^2,"")</f>
        <v>0.23515696985622339</v>
      </c>
      <c r="AP104">
        <f>IF(AND(vp.tbl[[#This Row],[SDate]]&gt;=DATE(YEAR(vp.tbl[[#This Row],[SDate]]),5,1),vp.tbl[[#This Row],[SDate]]&lt;=DATE(YEAR(vp.tbl[[#This Row],[SDate]]),9,15)),1,0)</f>
        <v>0</v>
      </c>
      <c r="AQ104" s="15">
        <f>IF(vp.tbl[[#This Row],[SDate]]&lt;DATE(2016,12,1),0,1)</f>
        <v>0</v>
      </c>
    </row>
    <row r="105" spans="1:43" x14ac:dyDescent="0.25">
      <c r="A105">
        <v>104</v>
      </c>
      <c r="B105" t="s">
        <v>53</v>
      </c>
      <c r="C105" t="s">
        <v>53</v>
      </c>
      <c r="D105" t="s">
        <v>54</v>
      </c>
      <c r="E105" t="s">
        <v>55</v>
      </c>
      <c r="F105" s="1">
        <v>42444</v>
      </c>
      <c r="G105" s="2">
        <v>86.1</v>
      </c>
      <c r="H105" s="2"/>
      <c r="I105" s="2">
        <v>1.68</v>
      </c>
      <c r="J105" s="2"/>
      <c r="K105" s="2"/>
      <c r="L105" s="2">
        <v>825.1</v>
      </c>
      <c r="M105" s="2">
        <v>825.1</v>
      </c>
      <c r="N105" s="2">
        <f ca="1">INDEX(INDIRECT(_xlfn.CONCAT("weather.tbl[",N$1,"]")),MATCH(vp.tbl[[#This Row],[SDate]],weather.tbl[Date],0))</f>
        <v>0.66666666666666663</v>
      </c>
      <c r="O105" s="2">
        <f ca="1">INDEX(INDIRECT(_xlfn.CONCAT("weather.tbl[",O$1,"]")),MATCH(vp.tbl[[#This Row],[SDate]],weather.tbl[Date],0))</f>
        <v>5.0785714285714283</v>
      </c>
      <c r="P105" s="2">
        <f ca="1">INDEX(INDIRECT(_xlfn.CONCAT("weather.tbl[",P$1,"]")),MATCH(vp.tbl[[#This Row],[SDate]],weather.tbl[Date],0))</f>
        <v>-0.2</v>
      </c>
      <c r="Q105" s="2">
        <f ca="1">INDEX(INDIRECT(_xlfn.CONCAT("weather.tbl[",Q$1,"]")),MATCH(vp.tbl[[#This Row],[SDate]],weather.tbl[Date],0))</f>
        <v>0.5</v>
      </c>
      <c r="R105" s="2">
        <f ca="1">INDEX(INDIRECT(_xlfn.CONCAT("weather.tbl[",R$1,"]")),MATCH(vp.tbl[[#This Row],[SDate]],weather.tbl[Date],0))</f>
        <v>0.3</v>
      </c>
      <c r="S105" s="2">
        <f ca="1">INDEX(INDIRECT(_xlfn.CONCAT("weather.tbl[",S$1,"]")),MATCH(vp.tbl[[#This Row],[SDate]],weather.tbl[Date],0))</f>
        <v>0</v>
      </c>
      <c r="T105" s="2">
        <f ca="1">INDEX(INDIRECT(_xlfn.CONCAT("weather.tbl[",T$1,"]")),MATCH(vp.tbl[[#This Row],[SDate]],weather.tbl[Date],0))</f>
        <v>2.9</v>
      </c>
      <c r="U105" s="2">
        <f ca="1">INDEX(INDIRECT(_xlfn.CONCAT("weather.tbl[",U$1,"]")),MATCH(vp.tbl[[#This Row],[SDate]],weather.tbl[Date],0))</f>
        <v>0.5</v>
      </c>
      <c r="V105" s="2">
        <v>66459.384000000005</v>
      </c>
      <c r="W105" t="s">
        <v>48</v>
      </c>
      <c r="X105">
        <f>IF(OR(vp.tbl[[#This Row],[Sulf]]="",vp.tbl[[#This Row],[Dens]]=""),1,0)</f>
        <v>0</v>
      </c>
      <c r="Y105">
        <f>IF(vp.tbl[[#This Row],[CrudeType]]="C5+",1,0)</f>
        <v>0</v>
      </c>
      <c r="Z105">
        <f>IF(AND(vp.tbl[[#This Row],[CrudeType]]="Crude",vp.tbl[[#This Row],[Dens]]&lt;=825,vp.tbl[[#This Row],[Sulf]]&gt;0.5,vp.tbl[[#This Row],[Unknown]]=0),1,0)</f>
        <v>0</v>
      </c>
      <c r="AA105">
        <f>IF(AND(vp.tbl[[#This Row],[CrudeType]]="Crude",vp.tbl[[#This Row],[Dens]]&lt;=825,vp.tbl[[#This Row],[Sulf]]&lt;=0.5,vp.tbl[[#This Row],[Unknown]]=0),1,0)</f>
        <v>0</v>
      </c>
      <c r="AB105">
        <f>IF(AND(vp.tbl[[#This Row],[CrudeType]]="Crude",vp.tbl[[#This Row],[Dens]]&gt;825,vp.tbl[[#This Row],[Dens]]&lt;=870,vp.tbl[[#This Row],[Sulf]]&gt;0.5,vp.tbl[[#This Row],[Unknown]]=0),1,0)</f>
        <v>1</v>
      </c>
      <c r="AC105">
        <f>IF(AND(vp.tbl[[#This Row],[CrudeType]]="Crude",vp.tbl[[#This Row],[Dens]]&gt;825,vp.tbl[[#This Row],[Dens]]&lt;=900,vp.tbl[[#This Row],[Sulf]]&lt;=0.5,vp.tbl[[#This Row],[Unknown]]=0),1,0)</f>
        <v>0</v>
      </c>
      <c r="AD105">
        <f>IF(AND(vp.tbl[[#This Row],[CrudeType]]="Crude",vp.tbl[[#This Row],[Dens]]&gt;870,vp.tbl[[#This Row],[Dens]]&lt;=900,vp.tbl[[#This Row],[Sulf]]&gt;0.5,vp.tbl[[#This Row],[Unknown]]=0),1,0)</f>
        <v>0</v>
      </c>
      <c r="AE105">
        <f>IF(AND(vp.tbl[[#This Row],[CrudeType]]="Crude",vp.tbl[[#This Row],[Dens]]&gt;900,vp.tbl[[#This Row],[Sulf]]&lt;=0.5,vp.tbl[[#This Row],[Unknown]]=0),1,0)</f>
        <v>0</v>
      </c>
      <c r="AF105">
        <f>IF(AND(vp.tbl[[#This Row],[CrudeType]]="Crude",vp.tbl[[#This Row],[Dens]]&gt;900,vp.tbl[[#This Row],[Sulf]]&lt;=0.5,vp.tbl[[#This Row],[Unknown]]=0),1,0)</f>
        <v>0</v>
      </c>
      <c r="AG105" t="str">
        <f>INDEX(vp.tbl[[#Headers],[Unknown]:[Heavy_SW]],MATCH(1,vp.tbl[[#This Row],[Unknown]:[Heavy_SW]],0))</f>
        <v>Medium_LSB</v>
      </c>
      <c r="AH105" t="e">
        <f>INDEX([1]!crudeBD.lkup[Number],MATCH(vp.tbl[[#This Row],[Crude_Breakdown]],[1]!crudeBD.lkup[Crude Breakdown],0))</f>
        <v>#REF!</v>
      </c>
      <c r="AI105">
        <f>MONTH(vp.tbl[[#This Row],[SDate]])</f>
        <v>3</v>
      </c>
      <c r="AJ105" s="5">
        <f>IFERROR(vp.tbl[[#This Row],[Sulf]]*vp.tbl[[#This Row],[Net Dens]],"")</f>
        <v>92123871.40051201</v>
      </c>
      <c r="AK105" s="5">
        <f>IFERROR(vp.tbl[[#This Row],[Dens]]*vp.tbl[[#This Row],[VolumeM3]],"")</f>
        <v>54835637.738400005</v>
      </c>
      <c r="AL105" s="5">
        <f>IFERROR(vp.tbl[[#This Row],[VP]]*vp.tbl[[#This Row],[VolumeM3]],"")</f>
        <v>5722152.9624000005</v>
      </c>
      <c r="AM105" s="4">
        <f>IFERROR((vp.tbl[[#This Row],[VP]]-INDEX(crudeBD.lkup.complete[Mean_VP],MATCH(vp.tbl[[#This Row],[Crude_Breakdown]],crudeBD.lkup.complete[Crude Breakdown],0)))^2,"")</f>
        <v>35.122276974203224</v>
      </c>
      <c r="AN105" s="4">
        <f>IFERROR((vp.tbl[[#This Row],[Dens]]-INDEX(crudeBD.lkup.complete[Mean_Dens],MATCH(vp.tbl[[#This Row],[Crude_Breakdown]],crudeBD.lkup.complete[Crude Breakdown],0)))^2,"")</f>
        <v>407.70970737313667</v>
      </c>
      <c r="AO105" s="4">
        <f>IFERROR((vp.tbl[[#This Row],[Sulf]]-INDEX(crudeBD.lkup.complete[Mean_Sulf],MATCH(vp.tbl[[#This Row],[Crude_Breakdown]],crudeBD.lkup.complete[Crude Breakdown],0)))^2,"")</f>
        <v>5.0656567577740209E-2</v>
      </c>
      <c r="AP105">
        <f>IF(AND(vp.tbl[[#This Row],[SDate]]&gt;=DATE(YEAR(vp.tbl[[#This Row],[SDate]]),5,1),vp.tbl[[#This Row],[SDate]]&lt;=DATE(YEAR(vp.tbl[[#This Row],[SDate]]),9,15)),1,0)</f>
        <v>0</v>
      </c>
      <c r="AQ105" s="15">
        <f>IF(vp.tbl[[#This Row],[SDate]]&lt;DATE(2016,12,1),0,1)</f>
        <v>0</v>
      </c>
    </row>
    <row r="106" spans="1:43" x14ac:dyDescent="0.25">
      <c r="A106">
        <v>105</v>
      </c>
      <c r="B106" t="s">
        <v>51</v>
      </c>
      <c r="C106" t="s">
        <v>51</v>
      </c>
      <c r="D106" t="s">
        <v>58</v>
      </c>
      <c r="F106" s="1">
        <v>42444</v>
      </c>
      <c r="G106" s="2">
        <v>76.900000000000006</v>
      </c>
      <c r="H106" s="2"/>
      <c r="I106" s="2">
        <v>1.22</v>
      </c>
      <c r="J106" s="2"/>
      <c r="K106" s="2"/>
      <c r="L106" s="2">
        <v>827.8</v>
      </c>
      <c r="M106" s="2">
        <v>827.8</v>
      </c>
      <c r="N106" s="2">
        <f ca="1">INDEX(INDIRECT(_xlfn.CONCAT("weather.tbl[",N$1,"]")),MATCH(vp.tbl[[#This Row],[SDate]],weather.tbl[Date],0))</f>
        <v>0.66666666666666663</v>
      </c>
      <c r="O106" s="2">
        <f ca="1">INDEX(INDIRECT(_xlfn.CONCAT("weather.tbl[",O$1,"]")),MATCH(vp.tbl[[#This Row],[SDate]],weather.tbl[Date],0))</f>
        <v>5.0785714285714283</v>
      </c>
      <c r="P106" s="2">
        <f ca="1">INDEX(INDIRECT(_xlfn.CONCAT("weather.tbl[",P$1,"]")),MATCH(vp.tbl[[#This Row],[SDate]],weather.tbl[Date],0))</f>
        <v>-0.2</v>
      </c>
      <c r="Q106" s="2">
        <f ca="1">INDEX(INDIRECT(_xlfn.CONCAT("weather.tbl[",Q$1,"]")),MATCH(vp.tbl[[#This Row],[SDate]],weather.tbl[Date],0))</f>
        <v>0.5</v>
      </c>
      <c r="R106" s="2">
        <f ca="1">INDEX(INDIRECT(_xlfn.CONCAT("weather.tbl[",R$1,"]")),MATCH(vp.tbl[[#This Row],[SDate]],weather.tbl[Date],0))</f>
        <v>0.3</v>
      </c>
      <c r="S106" s="2">
        <f ca="1">INDEX(INDIRECT(_xlfn.CONCAT("weather.tbl[",S$1,"]")),MATCH(vp.tbl[[#This Row],[SDate]],weather.tbl[Date],0))</f>
        <v>0</v>
      </c>
      <c r="T106" s="2">
        <f ca="1">INDEX(INDIRECT(_xlfn.CONCAT("weather.tbl[",T$1,"]")),MATCH(vp.tbl[[#This Row],[SDate]],weather.tbl[Date],0))</f>
        <v>2.9</v>
      </c>
      <c r="U106" s="2">
        <f ca="1">INDEX(INDIRECT(_xlfn.CONCAT("weather.tbl[",U$1,"]")),MATCH(vp.tbl[[#This Row],[SDate]],weather.tbl[Date],0))</f>
        <v>0.5</v>
      </c>
      <c r="V106" s="2">
        <v>6831.9229999999998</v>
      </c>
      <c r="W106" t="s">
        <v>48</v>
      </c>
      <c r="X106">
        <f>IF(OR(vp.tbl[[#This Row],[Sulf]]="",vp.tbl[[#This Row],[Dens]]=""),1,0)</f>
        <v>0</v>
      </c>
      <c r="Y106">
        <f>IF(vp.tbl[[#This Row],[CrudeType]]="C5+",1,0)</f>
        <v>0</v>
      </c>
      <c r="Z106">
        <f>IF(AND(vp.tbl[[#This Row],[CrudeType]]="Crude",vp.tbl[[#This Row],[Dens]]&lt;=825,vp.tbl[[#This Row],[Sulf]]&gt;0.5,vp.tbl[[#This Row],[Unknown]]=0),1,0)</f>
        <v>0</v>
      </c>
      <c r="AA106">
        <f>IF(AND(vp.tbl[[#This Row],[CrudeType]]="Crude",vp.tbl[[#This Row],[Dens]]&lt;=825,vp.tbl[[#This Row],[Sulf]]&lt;=0.5,vp.tbl[[#This Row],[Unknown]]=0),1,0)</f>
        <v>0</v>
      </c>
      <c r="AB106">
        <f>IF(AND(vp.tbl[[#This Row],[CrudeType]]="Crude",vp.tbl[[#This Row],[Dens]]&gt;825,vp.tbl[[#This Row],[Dens]]&lt;=870,vp.tbl[[#This Row],[Sulf]]&gt;0.5,vp.tbl[[#This Row],[Unknown]]=0),1,0)</f>
        <v>1</v>
      </c>
      <c r="AC106">
        <f>IF(AND(vp.tbl[[#This Row],[CrudeType]]="Crude",vp.tbl[[#This Row],[Dens]]&gt;825,vp.tbl[[#This Row],[Dens]]&lt;=900,vp.tbl[[#This Row],[Sulf]]&lt;=0.5,vp.tbl[[#This Row],[Unknown]]=0),1,0)</f>
        <v>0</v>
      </c>
      <c r="AD106">
        <f>IF(AND(vp.tbl[[#This Row],[CrudeType]]="Crude",vp.tbl[[#This Row],[Dens]]&gt;870,vp.tbl[[#This Row],[Dens]]&lt;=900,vp.tbl[[#This Row],[Sulf]]&gt;0.5,vp.tbl[[#This Row],[Unknown]]=0),1,0)</f>
        <v>0</v>
      </c>
      <c r="AE106">
        <f>IF(AND(vp.tbl[[#This Row],[CrudeType]]="Crude",vp.tbl[[#This Row],[Dens]]&gt;900,vp.tbl[[#This Row],[Sulf]]&lt;=0.5,vp.tbl[[#This Row],[Unknown]]=0),1,0)</f>
        <v>0</v>
      </c>
      <c r="AF106">
        <f>IF(AND(vp.tbl[[#This Row],[CrudeType]]="Crude",vp.tbl[[#This Row],[Dens]]&gt;900,vp.tbl[[#This Row],[Sulf]]&lt;=0.5,vp.tbl[[#This Row],[Unknown]]=0),1,0)</f>
        <v>0</v>
      </c>
      <c r="AG106" t="str">
        <f>INDEX(vp.tbl[[#Headers],[Unknown]:[Heavy_SW]],MATCH(1,vp.tbl[[#This Row],[Unknown]:[Heavy_SW]],0))</f>
        <v>Medium_LSB</v>
      </c>
      <c r="AH106" t="e">
        <f>INDEX([1]!crudeBD.lkup[Number],MATCH(vp.tbl[[#This Row],[Crude_Breakdown]],[1]!crudeBD.lkup[Crude Breakdown],0))</f>
        <v>#REF!</v>
      </c>
      <c r="AI106">
        <f>MONTH(vp.tbl[[#This Row],[SDate]])</f>
        <v>3</v>
      </c>
      <c r="AJ106" s="5">
        <f>IFERROR(vp.tbl[[#This Row],[Sulf]]*vp.tbl[[#This Row],[Net Dens]],"")</f>
        <v>6899668.3484679991</v>
      </c>
      <c r="AK106" s="5">
        <f>IFERROR(vp.tbl[[#This Row],[Dens]]*vp.tbl[[#This Row],[VolumeM3]],"")</f>
        <v>5655465.8593999995</v>
      </c>
      <c r="AL106" s="5">
        <f>IFERROR(vp.tbl[[#This Row],[VP]]*vp.tbl[[#This Row],[VolumeM3]],"")</f>
        <v>525374.8787</v>
      </c>
      <c r="AM106" s="4">
        <f>IFERROR((vp.tbl[[#This Row],[VP]]-INDEX(crudeBD.lkup.complete[Mean_VP],MATCH(vp.tbl[[#This Row],[Crude_Breakdown]],crudeBD.lkup.complete[Crude Breakdown],0)))^2,"")</f>
        <v>10.716423809645612</v>
      </c>
      <c r="AN106" s="4">
        <f>IFERROR((vp.tbl[[#This Row],[Dens]]-INDEX(crudeBD.lkup.complete[Mean_Dens],MATCH(vp.tbl[[#This Row],[Crude_Breakdown]],crudeBD.lkup.complete[Crude Breakdown],0)))^2,"")</f>
        <v>305.96386433516983</v>
      </c>
      <c r="AO106" s="4">
        <f>IFERROR((vp.tbl[[#This Row],[Sulf]]-INDEX(crudeBD.lkup.complete[Mean_Sulf],MATCH(vp.tbl[[#This Row],[Crude_Breakdown]],crudeBD.lkup.complete[Crude Breakdown],0)))^2,"")</f>
        <v>5.5192039476475795E-2</v>
      </c>
      <c r="AP106">
        <f>IF(AND(vp.tbl[[#This Row],[SDate]]&gt;=DATE(YEAR(vp.tbl[[#This Row],[SDate]]),5,1),vp.tbl[[#This Row],[SDate]]&lt;=DATE(YEAR(vp.tbl[[#This Row],[SDate]]),9,15)),1,0)</f>
        <v>0</v>
      </c>
      <c r="AQ106" s="15">
        <f>IF(vp.tbl[[#This Row],[SDate]]&lt;DATE(2016,12,1),0,1)</f>
        <v>0</v>
      </c>
    </row>
    <row r="107" spans="1:43" x14ac:dyDescent="0.25">
      <c r="A107">
        <v>106</v>
      </c>
      <c r="B107" t="s">
        <v>56</v>
      </c>
      <c r="C107" t="s">
        <v>56</v>
      </c>
      <c r="D107" t="s">
        <v>57</v>
      </c>
      <c r="F107" s="1">
        <v>42444</v>
      </c>
      <c r="G107" s="2">
        <v>64.5</v>
      </c>
      <c r="H107" s="2"/>
      <c r="I107" s="2">
        <v>1.44</v>
      </c>
      <c r="J107" s="2"/>
      <c r="K107" s="2"/>
      <c r="L107" s="2">
        <v>837.1</v>
      </c>
      <c r="M107" s="2">
        <v>837.1</v>
      </c>
      <c r="N107" s="2">
        <f ca="1">INDEX(INDIRECT(_xlfn.CONCAT("weather.tbl[",N$1,"]")),MATCH(vp.tbl[[#This Row],[SDate]],weather.tbl[Date],0))</f>
        <v>0.66666666666666663</v>
      </c>
      <c r="O107" s="2">
        <f ca="1">INDEX(INDIRECT(_xlfn.CONCAT("weather.tbl[",O$1,"]")),MATCH(vp.tbl[[#This Row],[SDate]],weather.tbl[Date],0))</f>
        <v>5.0785714285714283</v>
      </c>
      <c r="P107" s="2">
        <f ca="1">INDEX(INDIRECT(_xlfn.CONCAT("weather.tbl[",P$1,"]")),MATCH(vp.tbl[[#This Row],[SDate]],weather.tbl[Date],0))</f>
        <v>-0.2</v>
      </c>
      <c r="Q107" s="2">
        <f ca="1">INDEX(INDIRECT(_xlfn.CONCAT("weather.tbl[",Q$1,"]")),MATCH(vp.tbl[[#This Row],[SDate]],weather.tbl[Date],0))</f>
        <v>0.5</v>
      </c>
      <c r="R107" s="2">
        <f ca="1">INDEX(INDIRECT(_xlfn.CONCAT("weather.tbl[",R$1,"]")),MATCH(vp.tbl[[#This Row],[SDate]],weather.tbl[Date],0))</f>
        <v>0.3</v>
      </c>
      <c r="S107" s="2">
        <f ca="1">INDEX(INDIRECT(_xlfn.CONCAT("weather.tbl[",S$1,"]")),MATCH(vp.tbl[[#This Row],[SDate]],weather.tbl[Date],0))</f>
        <v>0</v>
      </c>
      <c r="T107" s="2">
        <f ca="1">INDEX(INDIRECT(_xlfn.CONCAT("weather.tbl[",T$1,"]")),MATCH(vp.tbl[[#This Row],[SDate]],weather.tbl[Date],0))</f>
        <v>2.9</v>
      </c>
      <c r="U107" s="2">
        <f ca="1">INDEX(INDIRECT(_xlfn.CONCAT("weather.tbl[",U$1,"]")),MATCH(vp.tbl[[#This Row],[SDate]],weather.tbl[Date],0))</f>
        <v>0.5</v>
      </c>
      <c r="V107" s="2">
        <v>3624.09</v>
      </c>
      <c r="W107" t="s">
        <v>48</v>
      </c>
      <c r="X107">
        <f>IF(OR(vp.tbl[[#This Row],[Sulf]]="",vp.tbl[[#This Row],[Dens]]=""),1,0)</f>
        <v>0</v>
      </c>
      <c r="Y107">
        <f>IF(vp.tbl[[#This Row],[CrudeType]]="C5+",1,0)</f>
        <v>0</v>
      </c>
      <c r="Z107">
        <f>IF(AND(vp.tbl[[#This Row],[CrudeType]]="Crude",vp.tbl[[#This Row],[Dens]]&lt;=825,vp.tbl[[#This Row],[Sulf]]&gt;0.5,vp.tbl[[#This Row],[Unknown]]=0),1,0)</f>
        <v>0</v>
      </c>
      <c r="AA107">
        <f>IF(AND(vp.tbl[[#This Row],[CrudeType]]="Crude",vp.tbl[[#This Row],[Dens]]&lt;=825,vp.tbl[[#This Row],[Sulf]]&lt;=0.5,vp.tbl[[#This Row],[Unknown]]=0),1,0)</f>
        <v>0</v>
      </c>
      <c r="AB107">
        <f>IF(AND(vp.tbl[[#This Row],[CrudeType]]="Crude",vp.tbl[[#This Row],[Dens]]&gt;825,vp.tbl[[#This Row],[Dens]]&lt;=870,vp.tbl[[#This Row],[Sulf]]&gt;0.5,vp.tbl[[#This Row],[Unknown]]=0),1,0)</f>
        <v>1</v>
      </c>
      <c r="AC107">
        <f>IF(AND(vp.tbl[[#This Row],[CrudeType]]="Crude",vp.tbl[[#This Row],[Dens]]&gt;825,vp.tbl[[#This Row],[Dens]]&lt;=900,vp.tbl[[#This Row],[Sulf]]&lt;=0.5,vp.tbl[[#This Row],[Unknown]]=0),1,0)</f>
        <v>0</v>
      </c>
      <c r="AD107">
        <f>IF(AND(vp.tbl[[#This Row],[CrudeType]]="Crude",vp.tbl[[#This Row],[Dens]]&gt;870,vp.tbl[[#This Row],[Dens]]&lt;=900,vp.tbl[[#This Row],[Sulf]]&gt;0.5,vp.tbl[[#This Row],[Unknown]]=0),1,0)</f>
        <v>0</v>
      </c>
      <c r="AE107">
        <f>IF(AND(vp.tbl[[#This Row],[CrudeType]]="Crude",vp.tbl[[#This Row],[Dens]]&gt;900,vp.tbl[[#This Row],[Sulf]]&lt;=0.5,vp.tbl[[#This Row],[Unknown]]=0),1,0)</f>
        <v>0</v>
      </c>
      <c r="AF107">
        <f>IF(AND(vp.tbl[[#This Row],[CrudeType]]="Crude",vp.tbl[[#This Row],[Dens]]&gt;900,vp.tbl[[#This Row],[Sulf]]&lt;=0.5,vp.tbl[[#This Row],[Unknown]]=0),1,0)</f>
        <v>0</v>
      </c>
      <c r="AG107" t="str">
        <f>INDEX(vp.tbl[[#Headers],[Unknown]:[Heavy_SW]],MATCH(1,vp.tbl[[#This Row],[Unknown]:[Heavy_SW]],0))</f>
        <v>Medium_LSB</v>
      </c>
      <c r="AH107" t="e">
        <f>INDEX([1]!crudeBD.lkup[Number],MATCH(vp.tbl[[#This Row],[Crude_Breakdown]],[1]!crudeBD.lkup[Crude Breakdown],0))</f>
        <v>#REF!</v>
      </c>
      <c r="AI107">
        <f>MONTH(vp.tbl[[#This Row],[SDate]])</f>
        <v>3</v>
      </c>
      <c r="AJ107" s="5">
        <f>IFERROR(vp.tbl[[#This Row],[Sulf]]*vp.tbl[[#This Row],[Net Dens]],"")</f>
        <v>4368565.0641599996</v>
      </c>
      <c r="AK107" s="5">
        <f>IFERROR(vp.tbl[[#This Row],[Dens]]*vp.tbl[[#This Row],[VolumeM3]],"")</f>
        <v>3033725.7390000001</v>
      </c>
      <c r="AL107" s="5">
        <f>IFERROR(vp.tbl[[#This Row],[VP]]*vp.tbl[[#This Row],[VolumeM3]],"")</f>
        <v>233753.80500000002</v>
      </c>
      <c r="AM107" s="4">
        <f>IFERROR((vp.tbl[[#This Row],[VP]]-INDEX(crudeBD.lkup.complete[Mean_VP],MATCH(vp.tbl[[#This Row],[Crude_Breakdown]],crudeBD.lkup.complete[Crude Breakdown],0)))^2,"")</f>
        <v>245.66157824002448</v>
      </c>
      <c r="AN107" s="4">
        <f>IFERROR((vp.tbl[[#This Row],[Dens]]-INDEX(crudeBD.lkup.complete[Mean_Dens],MATCH(vp.tbl[[#This Row],[Crude_Breakdown]],crudeBD.lkup.complete[Crude Breakdown],0)))^2,"")</f>
        <v>67.105960537717834</v>
      </c>
      <c r="AO107" s="4">
        <f>IFERROR((vp.tbl[[#This Row],[Sulf]]-INDEX(crudeBD.lkup.complete[Mean_Sulf],MATCH(vp.tbl[[#This Row],[Crude_Breakdown]],crudeBD.lkup.complete[Crude Breakdown],0)))^2,"")</f>
        <v>2.2290074229791476E-4</v>
      </c>
      <c r="AP107">
        <f>IF(AND(vp.tbl[[#This Row],[SDate]]&gt;=DATE(YEAR(vp.tbl[[#This Row],[SDate]]),5,1),vp.tbl[[#This Row],[SDate]]&lt;=DATE(YEAR(vp.tbl[[#This Row],[SDate]]),9,15)),1,0)</f>
        <v>0</v>
      </c>
      <c r="AQ107" s="15">
        <f>IF(vp.tbl[[#This Row],[SDate]]&lt;DATE(2016,12,1),0,1)</f>
        <v>0</v>
      </c>
    </row>
    <row r="108" spans="1:43" x14ac:dyDescent="0.25">
      <c r="A108">
        <v>107</v>
      </c>
      <c r="B108" t="s">
        <v>64</v>
      </c>
      <c r="C108" t="s">
        <v>64</v>
      </c>
      <c r="D108" t="s">
        <v>65</v>
      </c>
      <c r="F108" s="1">
        <v>42444</v>
      </c>
      <c r="G108" s="2">
        <v>80.599999999999994</v>
      </c>
      <c r="H108" s="2"/>
      <c r="I108" s="2">
        <v>1.99</v>
      </c>
      <c r="J108" s="2"/>
      <c r="K108" s="2"/>
      <c r="L108" s="2"/>
      <c r="M108" s="2">
        <v>876.4</v>
      </c>
      <c r="N108" s="2">
        <f ca="1">INDEX(INDIRECT(_xlfn.CONCAT("weather.tbl[",N$1,"]")),MATCH(vp.tbl[[#This Row],[SDate]],weather.tbl[Date],0))</f>
        <v>0.66666666666666663</v>
      </c>
      <c r="O108" s="2">
        <f ca="1">INDEX(INDIRECT(_xlfn.CONCAT("weather.tbl[",O$1,"]")),MATCH(vp.tbl[[#This Row],[SDate]],weather.tbl[Date],0))</f>
        <v>5.0785714285714283</v>
      </c>
      <c r="P108" s="2">
        <f ca="1">INDEX(INDIRECT(_xlfn.CONCAT("weather.tbl[",P$1,"]")),MATCH(vp.tbl[[#This Row],[SDate]],weather.tbl[Date],0))</f>
        <v>-0.2</v>
      </c>
      <c r="Q108" s="2">
        <f ca="1">INDEX(INDIRECT(_xlfn.CONCAT("weather.tbl[",Q$1,"]")),MATCH(vp.tbl[[#This Row],[SDate]],weather.tbl[Date],0))</f>
        <v>0.5</v>
      </c>
      <c r="R108" s="2">
        <f ca="1">INDEX(INDIRECT(_xlfn.CONCAT("weather.tbl[",R$1,"]")),MATCH(vp.tbl[[#This Row],[SDate]],weather.tbl[Date],0))</f>
        <v>0.3</v>
      </c>
      <c r="S108" s="2">
        <f ca="1">INDEX(INDIRECT(_xlfn.CONCAT("weather.tbl[",S$1,"]")),MATCH(vp.tbl[[#This Row],[SDate]],weather.tbl[Date],0))</f>
        <v>0</v>
      </c>
      <c r="T108" s="2">
        <f ca="1">INDEX(INDIRECT(_xlfn.CONCAT("weather.tbl[",T$1,"]")),MATCH(vp.tbl[[#This Row],[SDate]],weather.tbl[Date],0))</f>
        <v>2.9</v>
      </c>
      <c r="U108" s="2">
        <f ca="1">INDEX(INDIRECT(_xlfn.CONCAT("weather.tbl[",U$1,"]")),MATCH(vp.tbl[[#This Row],[SDate]],weather.tbl[Date],0))</f>
        <v>0.5</v>
      </c>
      <c r="V108" s="2">
        <v>23577.241000000002</v>
      </c>
      <c r="W108" t="s">
        <v>48</v>
      </c>
      <c r="X108">
        <f>IF(OR(vp.tbl[[#This Row],[Sulf]]="",vp.tbl[[#This Row],[Dens]]=""),1,0)</f>
        <v>0</v>
      </c>
      <c r="Y108">
        <f>IF(vp.tbl[[#This Row],[CrudeType]]="C5+",1,0)</f>
        <v>0</v>
      </c>
      <c r="Z108">
        <f>IF(AND(vp.tbl[[#This Row],[CrudeType]]="Crude",vp.tbl[[#This Row],[Dens]]&lt;=825,vp.tbl[[#This Row],[Sulf]]&gt;0.5,vp.tbl[[#This Row],[Unknown]]=0),1,0)</f>
        <v>0</v>
      </c>
      <c r="AA108">
        <f>IF(AND(vp.tbl[[#This Row],[CrudeType]]="Crude",vp.tbl[[#This Row],[Dens]]&lt;=825,vp.tbl[[#This Row],[Sulf]]&lt;=0.5,vp.tbl[[#This Row],[Unknown]]=0),1,0)</f>
        <v>0</v>
      </c>
      <c r="AB108">
        <f>IF(AND(vp.tbl[[#This Row],[CrudeType]]="Crude",vp.tbl[[#This Row],[Dens]]&gt;825,vp.tbl[[#This Row],[Dens]]&lt;=870,vp.tbl[[#This Row],[Sulf]]&gt;0.5,vp.tbl[[#This Row],[Unknown]]=0),1,0)</f>
        <v>0</v>
      </c>
      <c r="AC108">
        <f>IF(AND(vp.tbl[[#This Row],[CrudeType]]="Crude",vp.tbl[[#This Row],[Dens]]&gt;825,vp.tbl[[#This Row],[Dens]]&lt;=900,vp.tbl[[#This Row],[Sulf]]&lt;=0.5,vp.tbl[[#This Row],[Unknown]]=0),1,0)</f>
        <v>0</v>
      </c>
      <c r="AD108">
        <f>IF(AND(vp.tbl[[#This Row],[CrudeType]]="Crude",vp.tbl[[#This Row],[Dens]]&gt;870,vp.tbl[[#This Row],[Dens]]&lt;=900,vp.tbl[[#This Row],[Sulf]]&gt;0.5,vp.tbl[[#This Row],[Unknown]]=0),1,0)</f>
        <v>1</v>
      </c>
      <c r="AE108">
        <f>IF(AND(vp.tbl[[#This Row],[CrudeType]]="Crude",vp.tbl[[#This Row],[Dens]]&gt;900,vp.tbl[[#This Row],[Sulf]]&lt;=0.5,vp.tbl[[#This Row],[Unknown]]=0),1,0)</f>
        <v>0</v>
      </c>
      <c r="AF108">
        <f>IF(AND(vp.tbl[[#This Row],[CrudeType]]="Crude",vp.tbl[[#This Row],[Dens]]&gt;900,vp.tbl[[#This Row],[Sulf]]&lt;=0.5,vp.tbl[[#This Row],[Unknown]]=0),1,0)</f>
        <v>0</v>
      </c>
      <c r="AG108" t="str">
        <f>INDEX(vp.tbl[[#Headers],[Unknown]:[Heavy_SW]],MATCH(1,vp.tbl[[#This Row],[Unknown]:[Heavy_SW]],0))</f>
        <v>Midale</v>
      </c>
      <c r="AH108" t="e">
        <f>INDEX([1]!crudeBD.lkup[Number],MATCH(vp.tbl[[#This Row],[Crude_Breakdown]],[1]!crudeBD.lkup[Crude Breakdown],0))</f>
        <v>#REF!</v>
      </c>
      <c r="AI108">
        <f>MONTH(vp.tbl[[#This Row],[SDate]])</f>
        <v>3</v>
      </c>
      <c r="AJ108" s="5">
        <f>IFERROR(vp.tbl[[#This Row],[Sulf]]*vp.tbl[[#This Row],[Net Dens]],"")</f>
        <v>41119557.084676005</v>
      </c>
      <c r="AK108" s="5">
        <f>IFERROR(vp.tbl[[#This Row],[Dens]]*vp.tbl[[#This Row],[VolumeM3]],"")</f>
        <v>20663094.012400001</v>
      </c>
      <c r="AL108" s="5">
        <f>IFERROR(vp.tbl[[#This Row],[VP]]*vp.tbl[[#This Row],[VolumeM3]],"")</f>
        <v>1900325.6246</v>
      </c>
      <c r="AM108" s="4">
        <f>IFERROR((vp.tbl[[#This Row],[VP]]-INDEX(crudeBD.lkup.complete[Mean_VP],MATCH(vp.tbl[[#This Row],[Crude_Breakdown]],crudeBD.lkup.complete[Crude Breakdown],0)))^2,"")</f>
        <v>152.81023831863342</v>
      </c>
      <c r="AN108" s="4">
        <f>IFERROR((vp.tbl[[#This Row],[Dens]]-INDEX(crudeBD.lkup.complete[Mean_Dens],MATCH(vp.tbl[[#This Row],[Crude_Breakdown]],crudeBD.lkup.complete[Crude Breakdown],0)))^2,"")</f>
        <v>1.3272302495771369</v>
      </c>
      <c r="AO108" s="4">
        <f>IFERROR((vp.tbl[[#This Row],[Sulf]]-INDEX(crudeBD.lkup.complete[Mean_Sulf],MATCH(vp.tbl[[#This Row],[Crude_Breakdown]],crudeBD.lkup.complete[Crude Breakdown],0)))^2,"")</f>
        <v>0.18091423213152455</v>
      </c>
      <c r="AP108">
        <f>IF(AND(vp.tbl[[#This Row],[SDate]]&gt;=DATE(YEAR(vp.tbl[[#This Row],[SDate]]),5,1),vp.tbl[[#This Row],[SDate]]&lt;=DATE(YEAR(vp.tbl[[#This Row],[SDate]]),9,15)),1,0)</f>
        <v>0</v>
      </c>
      <c r="AQ108" s="15">
        <f>IF(vp.tbl[[#This Row],[SDate]]&lt;DATE(2016,12,1),0,1)</f>
        <v>0</v>
      </c>
    </row>
    <row r="109" spans="1:43" x14ac:dyDescent="0.25">
      <c r="A109">
        <v>108</v>
      </c>
      <c r="B109" t="s">
        <v>51</v>
      </c>
      <c r="C109" t="s">
        <v>51</v>
      </c>
      <c r="D109" t="s">
        <v>66</v>
      </c>
      <c r="F109" s="1">
        <v>42445</v>
      </c>
      <c r="G109" s="2">
        <v>84.5</v>
      </c>
      <c r="H109" s="2"/>
      <c r="I109" s="2">
        <v>0.91</v>
      </c>
      <c r="J109" s="2"/>
      <c r="K109" s="2"/>
      <c r="L109" s="2">
        <v>827.4</v>
      </c>
      <c r="M109" s="2">
        <v>827.4</v>
      </c>
      <c r="N109" s="2">
        <f ca="1">INDEX(INDIRECT(_xlfn.CONCAT("weather.tbl[",N$1,"]")),MATCH(vp.tbl[[#This Row],[SDate]],weather.tbl[Date],0))</f>
        <v>-0.45</v>
      </c>
      <c r="O109" s="2">
        <f ca="1">INDEX(INDIRECT(_xlfn.CONCAT("weather.tbl[",O$1,"]")),MATCH(vp.tbl[[#This Row],[SDate]],weather.tbl[Date],0))</f>
        <v>5.011904761904761</v>
      </c>
      <c r="P109" s="2">
        <f ca="1">INDEX(INDIRECT(_xlfn.CONCAT("weather.tbl[",P$1,"]")),MATCH(vp.tbl[[#This Row],[SDate]],weather.tbl[Date],0))</f>
        <v>-1.7</v>
      </c>
      <c r="Q109" s="2">
        <f ca="1">INDEX(INDIRECT(_xlfn.CONCAT("weather.tbl[",Q$1,"]")),MATCH(vp.tbl[[#This Row],[SDate]],weather.tbl[Date],0))</f>
        <v>-2.2999999999999998</v>
      </c>
      <c r="R109" s="2">
        <f ca="1">INDEX(INDIRECT(_xlfn.CONCAT("weather.tbl[",R$1,"]")),MATCH(vp.tbl[[#This Row],[SDate]],weather.tbl[Date],0))</f>
        <v>0.8</v>
      </c>
      <c r="S109" s="2">
        <f ca="1">INDEX(INDIRECT(_xlfn.CONCAT("weather.tbl[",S$1,"]")),MATCH(vp.tbl[[#This Row],[SDate]],weather.tbl[Date],0))</f>
        <v>0.5</v>
      </c>
      <c r="T109" s="2">
        <f ca="1">INDEX(INDIRECT(_xlfn.CONCAT("weather.tbl[",T$1,"]")),MATCH(vp.tbl[[#This Row],[SDate]],weather.tbl[Date],0))</f>
        <v>1</v>
      </c>
      <c r="U109" s="2">
        <f ca="1">INDEX(INDIRECT(_xlfn.CONCAT("weather.tbl[",U$1,"]")),MATCH(vp.tbl[[#This Row],[SDate]],weather.tbl[Date],0))</f>
        <v>-1</v>
      </c>
      <c r="V109" s="2">
        <v>4604.1419999999998</v>
      </c>
      <c r="W109" t="s">
        <v>48</v>
      </c>
      <c r="X109">
        <f>IF(OR(vp.tbl[[#This Row],[Sulf]]="",vp.tbl[[#This Row],[Dens]]=""),1,0)</f>
        <v>0</v>
      </c>
      <c r="Y109">
        <f>IF(vp.tbl[[#This Row],[CrudeType]]="C5+",1,0)</f>
        <v>0</v>
      </c>
      <c r="Z109">
        <f>IF(AND(vp.tbl[[#This Row],[CrudeType]]="Crude",vp.tbl[[#This Row],[Dens]]&lt;=825,vp.tbl[[#This Row],[Sulf]]&gt;0.5,vp.tbl[[#This Row],[Unknown]]=0),1,0)</f>
        <v>0</v>
      </c>
      <c r="AA109">
        <f>IF(AND(vp.tbl[[#This Row],[CrudeType]]="Crude",vp.tbl[[#This Row],[Dens]]&lt;=825,vp.tbl[[#This Row],[Sulf]]&lt;=0.5,vp.tbl[[#This Row],[Unknown]]=0),1,0)</f>
        <v>0</v>
      </c>
      <c r="AB109">
        <f>IF(AND(vp.tbl[[#This Row],[CrudeType]]="Crude",vp.tbl[[#This Row],[Dens]]&gt;825,vp.tbl[[#This Row],[Dens]]&lt;=870,vp.tbl[[#This Row],[Sulf]]&gt;0.5,vp.tbl[[#This Row],[Unknown]]=0),1,0)</f>
        <v>1</v>
      </c>
      <c r="AC109">
        <f>IF(AND(vp.tbl[[#This Row],[CrudeType]]="Crude",vp.tbl[[#This Row],[Dens]]&gt;825,vp.tbl[[#This Row],[Dens]]&lt;=900,vp.tbl[[#This Row],[Sulf]]&lt;=0.5,vp.tbl[[#This Row],[Unknown]]=0),1,0)</f>
        <v>0</v>
      </c>
      <c r="AD109">
        <f>IF(AND(vp.tbl[[#This Row],[CrudeType]]="Crude",vp.tbl[[#This Row],[Dens]]&gt;870,vp.tbl[[#This Row],[Dens]]&lt;=900,vp.tbl[[#This Row],[Sulf]]&gt;0.5,vp.tbl[[#This Row],[Unknown]]=0),1,0)</f>
        <v>0</v>
      </c>
      <c r="AE109">
        <f>IF(AND(vp.tbl[[#This Row],[CrudeType]]="Crude",vp.tbl[[#This Row],[Dens]]&gt;900,vp.tbl[[#This Row],[Sulf]]&lt;=0.5,vp.tbl[[#This Row],[Unknown]]=0),1,0)</f>
        <v>0</v>
      </c>
      <c r="AF109">
        <f>IF(AND(vp.tbl[[#This Row],[CrudeType]]="Crude",vp.tbl[[#This Row],[Dens]]&gt;900,vp.tbl[[#This Row],[Sulf]]&lt;=0.5,vp.tbl[[#This Row],[Unknown]]=0),1,0)</f>
        <v>0</v>
      </c>
      <c r="AG109" t="str">
        <f>INDEX(vp.tbl[[#Headers],[Unknown]:[Heavy_SW]],MATCH(1,vp.tbl[[#This Row],[Unknown]:[Heavy_SW]],0))</f>
        <v>Medium_LSB</v>
      </c>
      <c r="AH109" t="e">
        <f>INDEX([1]!crudeBD.lkup[Number],MATCH(vp.tbl[[#This Row],[Crude_Breakdown]],[1]!crudeBD.lkup[Crude Breakdown],0))</f>
        <v>#REF!</v>
      </c>
      <c r="AI109">
        <f>MONTH(vp.tbl[[#This Row],[SDate]])</f>
        <v>3</v>
      </c>
      <c r="AJ109" s="5">
        <f>IFERROR(vp.tbl[[#This Row],[Sulf]]*vp.tbl[[#This Row],[Net Dens]],"")</f>
        <v>3466615.0526279998</v>
      </c>
      <c r="AK109" s="5">
        <f>IFERROR(vp.tbl[[#This Row],[Dens]]*vp.tbl[[#This Row],[VolumeM3]],"")</f>
        <v>3809467.0907999999</v>
      </c>
      <c r="AL109" s="5">
        <f>IFERROR(vp.tbl[[#This Row],[VP]]*vp.tbl[[#This Row],[VolumeM3]],"")</f>
        <v>389049.99900000001</v>
      </c>
      <c r="AM109" s="4">
        <f>IFERROR((vp.tbl[[#This Row],[VP]]-INDEX(crudeBD.lkup.complete[Mean_VP],MATCH(vp.tbl[[#This Row],[Crude_Breakdown]],crudeBD.lkup.complete[Crude Breakdown],0)))^2,"")</f>
        <v>18.717780771671524</v>
      </c>
      <c r="AN109" s="4">
        <f>IFERROR((vp.tbl[[#This Row],[Dens]]-INDEX(crudeBD.lkup.complete[Mean_Dens],MATCH(vp.tbl[[#This Row],[Crude_Breakdown]],crudeBD.lkup.complete[Crude Breakdown],0)))^2,"")</f>
        <v>320.11732256301639</v>
      </c>
      <c r="AO109" s="4">
        <f>IFERROR((vp.tbl[[#This Row],[Sulf]]-INDEX(crudeBD.lkup.complete[Mean_Sulf],MATCH(vp.tbl[[#This Row],[Crude_Breakdown]],crudeBD.lkup.complete[Crude Breakdown],0)))^2,"")</f>
        <v>0.29694855314736274</v>
      </c>
      <c r="AP109">
        <f>IF(AND(vp.tbl[[#This Row],[SDate]]&gt;=DATE(YEAR(vp.tbl[[#This Row],[SDate]]),5,1),vp.tbl[[#This Row],[SDate]]&lt;=DATE(YEAR(vp.tbl[[#This Row],[SDate]]),9,15)),1,0)</f>
        <v>0</v>
      </c>
      <c r="AQ109" s="15">
        <f>IF(vp.tbl[[#This Row],[SDate]]&lt;DATE(2016,12,1),0,1)</f>
        <v>0</v>
      </c>
    </row>
    <row r="110" spans="1:43" x14ac:dyDescent="0.25">
      <c r="A110">
        <v>109</v>
      </c>
      <c r="B110" t="s">
        <v>46</v>
      </c>
      <c r="C110" t="s">
        <v>46</v>
      </c>
      <c r="D110" t="s">
        <v>47</v>
      </c>
      <c r="F110" s="1">
        <v>42445</v>
      </c>
      <c r="G110" s="2">
        <v>67</v>
      </c>
      <c r="H110" s="2"/>
      <c r="I110" s="2">
        <v>2.41</v>
      </c>
      <c r="J110" s="2"/>
      <c r="K110" s="2"/>
      <c r="L110" s="2">
        <v>870.1</v>
      </c>
      <c r="M110" s="2">
        <v>870.1</v>
      </c>
      <c r="N110" s="2">
        <f ca="1">INDEX(INDIRECT(_xlfn.CONCAT("weather.tbl[",N$1,"]")),MATCH(vp.tbl[[#This Row],[SDate]],weather.tbl[Date],0))</f>
        <v>-0.45</v>
      </c>
      <c r="O110" s="2">
        <f ca="1">INDEX(INDIRECT(_xlfn.CONCAT("weather.tbl[",O$1,"]")),MATCH(vp.tbl[[#This Row],[SDate]],weather.tbl[Date],0))</f>
        <v>5.011904761904761</v>
      </c>
      <c r="P110" s="2">
        <f ca="1">INDEX(INDIRECT(_xlfn.CONCAT("weather.tbl[",P$1,"]")),MATCH(vp.tbl[[#This Row],[SDate]],weather.tbl[Date],0))</f>
        <v>-1.7</v>
      </c>
      <c r="Q110" s="2">
        <f ca="1">INDEX(INDIRECT(_xlfn.CONCAT("weather.tbl[",Q$1,"]")),MATCH(vp.tbl[[#This Row],[SDate]],weather.tbl[Date],0))</f>
        <v>-2.2999999999999998</v>
      </c>
      <c r="R110" s="2">
        <f ca="1">INDEX(INDIRECT(_xlfn.CONCAT("weather.tbl[",R$1,"]")),MATCH(vp.tbl[[#This Row],[SDate]],weather.tbl[Date],0))</f>
        <v>0.8</v>
      </c>
      <c r="S110" s="2">
        <f ca="1">INDEX(INDIRECT(_xlfn.CONCAT("weather.tbl[",S$1,"]")),MATCH(vp.tbl[[#This Row],[SDate]],weather.tbl[Date],0))</f>
        <v>0.5</v>
      </c>
      <c r="T110" s="2">
        <f ca="1">INDEX(INDIRECT(_xlfn.CONCAT("weather.tbl[",T$1,"]")),MATCH(vp.tbl[[#This Row],[SDate]],weather.tbl[Date],0))</f>
        <v>1</v>
      </c>
      <c r="U110" s="2">
        <f ca="1">INDEX(INDIRECT(_xlfn.CONCAT("weather.tbl[",U$1,"]")),MATCH(vp.tbl[[#This Row],[SDate]],weather.tbl[Date],0))</f>
        <v>-1</v>
      </c>
      <c r="V110" s="2">
        <v>116985.039</v>
      </c>
      <c r="W110" t="s">
        <v>48</v>
      </c>
      <c r="X110">
        <f>IF(OR(vp.tbl[[#This Row],[Sulf]]="",vp.tbl[[#This Row],[Dens]]=""),1,0)</f>
        <v>0</v>
      </c>
      <c r="Y110">
        <f>IF(vp.tbl[[#This Row],[CrudeType]]="C5+",1,0)</f>
        <v>0</v>
      </c>
      <c r="Z110">
        <f>IF(AND(vp.tbl[[#This Row],[CrudeType]]="Crude",vp.tbl[[#This Row],[Dens]]&lt;=825,vp.tbl[[#This Row],[Sulf]]&gt;0.5,vp.tbl[[#This Row],[Unknown]]=0),1,0)</f>
        <v>0</v>
      </c>
      <c r="AA110">
        <f>IF(AND(vp.tbl[[#This Row],[CrudeType]]="Crude",vp.tbl[[#This Row],[Dens]]&lt;=825,vp.tbl[[#This Row],[Sulf]]&lt;=0.5,vp.tbl[[#This Row],[Unknown]]=0),1,0)</f>
        <v>0</v>
      </c>
      <c r="AB110">
        <f>IF(AND(vp.tbl[[#This Row],[CrudeType]]="Crude",vp.tbl[[#This Row],[Dens]]&gt;825,vp.tbl[[#This Row],[Dens]]&lt;=870,vp.tbl[[#This Row],[Sulf]]&gt;0.5,vp.tbl[[#This Row],[Unknown]]=0),1,0)</f>
        <v>0</v>
      </c>
      <c r="AC110">
        <f>IF(AND(vp.tbl[[#This Row],[CrudeType]]="Crude",vp.tbl[[#This Row],[Dens]]&gt;825,vp.tbl[[#This Row],[Dens]]&lt;=900,vp.tbl[[#This Row],[Sulf]]&lt;=0.5,vp.tbl[[#This Row],[Unknown]]=0),1,0)</f>
        <v>0</v>
      </c>
      <c r="AD110">
        <f>IF(AND(vp.tbl[[#This Row],[CrudeType]]="Crude",vp.tbl[[#This Row],[Dens]]&gt;870,vp.tbl[[#This Row],[Dens]]&lt;=900,vp.tbl[[#This Row],[Sulf]]&gt;0.5,vp.tbl[[#This Row],[Unknown]]=0),1,0)</f>
        <v>1</v>
      </c>
      <c r="AE110">
        <f>IF(AND(vp.tbl[[#This Row],[CrudeType]]="Crude",vp.tbl[[#This Row],[Dens]]&gt;900,vp.tbl[[#This Row],[Sulf]]&lt;=0.5,vp.tbl[[#This Row],[Unknown]]=0),1,0)</f>
        <v>0</v>
      </c>
      <c r="AF110">
        <f>IF(AND(vp.tbl[[#This Row],[CrudeType]]="Crude",vp.tbl[[#This Row],[Dens]]&gt;900,vp.tbl[[#This Row],[Sulf]]&lt;=0.5,vp.tbl[[#This Row],[Unknown]]=0),1,0)</f>
        <v>0</v>
      </c>
      <c r="AG110" t="str">
        <f>INDEX(vp.tbl[[#Headers],[Unknown]:[Heavy_SW]],MATCH(1,vp.tbl[[#This Row],[Unknown]:[Heavy_SW]],0))</f>
        <v>Midale</v>
      </c>
      <c r="AH110" t="e">
        <f>INDEX([1]!crudeBD.lkup[Number],MATCH(vp.tbl[[#This Row],[Crude_Breakdown]],[1]!crudeBD.lkup[Crude Breakdown],0))</f>
        <v>#REF!</v>
      </c>
      <c r="AI110">
        <f>MONTH(vp.tbl[[#This Row],[SDate]])</f>
        <v>3</v>
      </c>
      <c r="AJ110" s="5">
        <f>IFERROR(vp.tbl[[#This Row],[Sulf]]*vp.tbl[[#This Row],[Net Dens]],"")</f>
        <v>245310724.66569903</v>
      </c>
      <c r="AK110" s="5">
        <f>IFERROR(vp.tbl[[#This Row],[Dens]]*vp.tbl[[#This Row],[VolumeM3]],"")</f>
        <v>101788682.43390001</v>
      </c>
      <c r="AL110" s="5">
        <f>IFERROR(vp.tbl[[#This Row],[VP]]*vp.tbl[[#This Row],[VolumeM3]],"")</f>
        <v>7837997.6129999999</v>
      </c>
      <c r="AM110" s="4">
        <f>IFERROR((vp.tbl[[#This Row],[VP]]-INDEX(crudeBD.lkup.complete[Mean_VP],MATCH(vp.tbl[[#This Row],[Crude_Breakdown]],crudeBD.lkup.complete[Crude Breakdown],0)))^2,"")</f>
        <v>1.5335259898667992</v>
      </c>
      <c r="AN110" s="4">
        <f>IFERROR((vp.tbl[[#This Row],[Dens]]-INDEX(crudeBD.lkup.complete[Mean_Dens],MATCH(vp.tbl[[#This Row],[Crude_Breakdown]],crudeBD.lkup.complete[Crude Breakdown],0)))^2,"")</f>
        <v>55.533120660531836</v>
      </c>
      <c r="AO110" s="4">
        <f>IFERROR((vp.tbl[[#This Row],[Sulf]]-INDEX(crudeBD.lkup.complete[Mean_Sulf],MATCH(vp.tbl[[#This Row],[Crude_Breakdown]],crudeBD.lkup.complete[Crude Breakdown],0)))^2,"")</f>
        <v>2.8517063032449047E-5</v>
      </c>
      <c r="AP110">
        <f>IF(AND(vp.tbl[[#This Row],[SDate]]&gt;=DATE(YEAR(vp.tbl[[#This Row],[SDate]]),5,1),vp.tbl[[#This Row],[SDate]]&lt;=DATE(YEAR(vp.tbl[[#This Row],[SDate]]),9,15)),1,0)</f>
        <v>0</v>
      </c>
      <c r="AQ110" s="15">
        <f>IF(vp.tbl[[#This Row],[SDate]]&lt;DATE(2016,12,1),0,1)</f>
        <v>0</v>
      </c>
    </row>
    <row r="111" spans="1:43" x14ac:dyDescent="0.25">
      <c r="A111">
        <v>110</v>
      </c>
      <c r="B111" t="s">
        <v>68</v>
      </c>
      <c r="C111" t="s">
        <v>68</v>
      </c>
      <c r="D111" t="s">
        <v>69</v>
      </c>
      <c r="F111" s="1">
        <v>42446</v>
      </c>
      <c r="G111" s="2">
        <v>67.7</v>
      </c>
      <c r="H111" s="2"/>
      <c r="I111" s="2">
        <v>1.73</v>
      </c>
      <c r="J111" s="2"/>
      <c r="K111" s="2"/>
      <c r="L111" s="2">
        <v>828.4</v>
      </c>
      <c r="M111" s="2">
        <v>828.4</v>
      </c>
      <c r="N111" s="2">
        <f ca="1">INDEX(INDIRECT(_xlfn.CONCAT("weather.tbl[",N$1,"]")),MATCH(vp.tbl[[#This Row],[SDate]],weather.tbl[Date],0))</f>
        <v>-4.3166666666666664</v>
      </c>
      <c r="O111" s="2">
        <f ca="1">INDEX(INDIRECT(_xlfn.CONCAT("weather.tbl[",O$1,"]")),MATCH(vp.tbl[[#This Row],[SDate]],weather.tbl[Date],0))</f>
        <v>3.6809523809523812</v>
      </c>
      <c r="P111" s="2">
        <f ca="1">INDEX(INDIRECT(_xlfn.CONCAT("weather.tbl[",P$1,"]")),MATCH(vp.tbl[[#This Row],[SDate]],weather.tbl[Date],0))</f>
        <v>-4.2</v>
      </c>
      <c r="Q111" s="2">
        <f ca="1">INDEX(INDIRECT(_xlfn.CONCAT("weather.tbl[",Q$1,"]")),MATCH(vp.tbl[[#This Row],[SDate]],weather.tbl[Date],0))</f>
        <v>-5</v>
      </c>
      <c r="R111" s="2">
        <f ca="1">INDEX(INDIRECT(_xlfn.CONCAT("weather.tbl[",R$1,"]")),MATCH(vp.tbl[[#This Row],[SDate]],weather.tbl[Date],0))</f>
        <v>-4.5</v>
      </c>
      <c r="S111" s="2">
        <f ca="1">INDEX(INDIRECT(_xlfn.CONCAT("weather.tbl[",S$1,"]")),MATCH(vp.tbl[[#This Row],[SDate]],weather.tbl[Date],0))</f>
        <v>-4.5</v>
      </c>
      <c r="T111" s="2">
        <f ca="1">INDEX(INDIRECT(_xlfn.CONCAT("weather.tbl[",T$1,"]")),MATCH(vp.tbl[[#This Row],[SDate]],weather.tbl[Date],0))</f>
        <v>-2.4</v>
      </c>
      <c r="U111" s="2">
        <f ca="1">INDEX(INDIRECT(_xlfn.CONCAT("weather.tbl[",U$1,"]")),MATCH(vp.tbl[[#This Row],[SDate]],weather.tbl[Date],0))</f>
        <v>-5.3</v>
      </c>
      <c r="V111" s="2">
        <v>1459.7629999999999</v>
      </c>
      <c r="W111" t="s">
        <v>48</v>
      </c>
      <c r="X111">
        <f>IF(OR(vp.tbl[[#This Row],[Sulf]]="",vp.tbl[[#This Row],[Dens]]=""),1,0)</f>
        <v>0</v>
      </c>
      <c r="Y111">
        <f>IF(vp.tbl[[#This Row],[CrudeType]]="C5+",1,0)</f>
        <v>0</v>
      </c>
      <c r="Z111">
        <f>IF(AND(vp.tbl[[#This Row],[CrudeType]]="Crude",vp.tbl[[#This Row],[Dens]]&lt;=825,vp.tbl[[#This Row],[Sulf]]&gt;0.5,vp.tbl[[#This Row],[Unknown]]=0),1,0)</f>
        <v>0</v>
      </c>
      <c r="AA111">
        <f>IF(AND(vp.tbl[[#This Row],[CrudeType]]="Crude",vp.tbl[[#This Row],[Dens]]&lt;=825,vp.tbl[[#This Row],[Sulf]]&lt;=0.5,vp.tbl[[#This Row],[Unknown]]=0),1,0)</f>
        <v>0</v>
      </c>
      <c r="AB111">
        <f>IF(AND(vp.tbl[[#This Row],[CrudeType]]="Crude",vp.tbl[[#This Row],[Dens]]&gt;825,vp.tbl[[#This Row],[Dens]]&lt;=870,vp.tbl[[#This Row],[Sulf]]&gt;0.5,vp.tbl[[#This Row],[Unknown]]=0),1,0)</f>
        <v>1</v>
      </c>
      <c r="AC111">
        <f>IF(AND(vp.tbl[[#This Row],[CrudeType]]="Crude",vp.tbl[[#This Row],[Dens]]&gt;825,vp.tbl[[#This Row],[Dens]]&lt;=900,vp.tbl[[#This Row],[Sulf]]&lt;=0.5,vp.tbl[[#This Row],[Unknown]]=0),1,0)</f>
        <v>0</v>
      </c>
      <c r="AD111">
        <f>IF(AND(vp.tbl[[#This Row],[CrudeType]]="Crude",vp.tbl[[#This Row],[Dens]]&gt;870,vp.tbl[[#This Row],[Dens]]&lt;=900,vp.tbl[[#This Row],[Sulf]]&gt;0.5,vp.tbl[[#This Row],[Unknown]]=0),1,0)</f>
        <v>0</v>
      </c>
      <c r="AE111">
        <f>IF(AND(vp.tbl[[#This Row],[CrudeType]]="Crude",vp.tbl[[#This Row],[Dens]]&gt;900,vp.tbl[[#This Row],[Sulf]]&lt;=0.5,vp.tbl[[#This Row],[Unknown]]=0),1,0)</f>
        <v>0</v>
      </c>
      <c r="AF111">
        <f>IF(AND(vp.tbl[[#This Row],[CrudeType]]="Crude",vp.tbl[[#This Row],[Dens]]&gt;900,vp.tbl[[#This Row],[Sulf]]&lt;=0.5,vp.tbl[[#This Row],[Unknown]]=0),1,0)</f>
        <v>0</v>
      </c>
      <c r="AG111" t="str">
        <f>INDEX(vp.tbl[[#Headers],[Unknown]:[Heavy_SW]],MATCH(1,vp.tbl[[#This Row],[Unknown]:[Heavy_SW]],0))</f>
        <v>Medium_LSB</v>
      </c>
      <c r="AH111" t="e">
        <f>INDEX([1]!crudeBD.lkup[Number],MATCH(vp.tbl[[#This Row],[Crude_Breakdown]],[1]!crudeBD.lkup[Crude Breakdown],0))</f>
        <v>#REF!</v>
      </c>
      <c r="AI111">
        <f>MONTH(vp.tbl[[#This Row],[SDate]])</f>
        <v>3</v>
      </c>
      <c r="AJ111" s="5">
        <f>IFERROR(vp.tbl[[#This Row],[Sulf]]*vp.tbl[[#This Row],[Net Dens]],"")</f>
        <v>2092033.0677159997</v>
      </c>
      <c r="AK111" s="5">
        <f>IFERROR(vp.tbl[[#This Row],[Dens]]*vp.tbl[[#This Row],[VolumeM3]],"")</f>
        <v>1209267.6691999999</v>
      </c>
      <c r="AL111" s="5">
        <f>IFERROR(vp.tbl[[#This Row],[VP]]*vp.tbl[[#This Row],[VolumeM3]],"")</f>
        <v>98825.955099999992</v>
      </c>
      <c r="AM111" s="4">
        <f>IFERROR((vp.tbl[[#This Row],[VP]]-INDEX(crudeBD.lkup.complete[Mean_VP],MATCH(vp.tbl[[#This Row],[Crude_Breakdown]],crudeBD.lkup.complete[Crude Breakdown],0)))^2,"")</f>
        <v>155.59057064508795</v>
      </c>
      <c r="AN111" s="4">
        <f>IFERROR((vp.tbl[[#This Row],[Dens]]-INDEX(crudeBD.lkup.complete[Mean_Dens],MATCH(vp.tbl[[#This Row],[Crude_Breakdown]],crudeBD.lkup.complete[Crude Breakdown],0)))^2,"")</f>
        <v>285.33367699339806</v>
      </c>
      <c r="AO111" s="4">
        <f>IFERROR((vp.tbl[[#This Row],[Sulf]]-INDEX(crudeBD.lkup.complete[Mean_Sulf],MATCH(vp.tbl[[#This Row],[Crude_Breakdown]],crudeBD.lkup.complete[Crude Breakdown],0)))^2,"")</f>
        <v>7.5663581501790714E-2</v>
      </c>
      <c r="AP111">
        <f>IF(AND(vp.tbl[[#This Row],[SDate]]&gt;=DATE(YEAR(vp.tbl[[#This Row],[SDate]]),5,1),vp.tbl[[#This Row],[SDate]]&lt;=DATE(YEAR(vp.tbl[[#This Row],[SDate]]),9,15)),1,0)</f>
        <v>0</v>
      </c>
      <c r="AQ111" s="15">
        <f>IF(vp.tbl[[#This Row],[SDate]]&lt;DATE(2016,12,1),0,1)</f>
        <v>0</v>
      </c>
    </row>
    <row r="112" spans="1:43" x14ac:dyDescent="0.25">
      <c r="A112">
        <v>111</v>
      </c>
      <c r="B112" t="s">
        <v>51</v>
      </c>
      <c r="C112" t="s">
        <v>51</v>
      </c>
      <c r="D112" t="s">
        <v>52</v>
      </c>
      <c r="F112" s="1">
        <v>42446</v>
      </c>
      <c r="G112" s="2">
        <v>66.599999999999994</v>
      </c>
      <c r="H112" s="2"/>
      <c r="I112" s="2">
        <v>2.2999999999999998</v>
      </c>
      <c r="J112" s="2"/>
      <c r="K112" s="2"/>
      <c r="L112" s="2">
        <v>875.1</v>
      </c>
      <c r="M112" s="2">
        <v>875.1</v>
      </c>
      <c r="N112" s="2">
        <f ca="1">INDEX(INDIRECT(_xlfn.CONCAT("weather.tbl[",N$1,"]")),MATCH(vp.tbl[[#This Row],[SDate]],weather.tbl[Date],0))</f>
        <v>-4.3166666666666664</v>
      </c>
      <c r="O112" s="2">
        <f ca="1">INDEX(INDIRECT(_xlfn.CONCAT("weather.tbl[",O$1,"]")),MATCH(vp.tbl[[#This Row],[SDate]],weather.tbl[Date],0))</f>
        <v>3.6809523809523812</v>
      </c>
      <c r="P112" s="2">
        <f ca="1">INDEX(INDIRECT(_xlfn.CONCAT("weather.tbl[",P$1,"]")),MATCH(vp.tbl[[#This Row],[SDate]],weather.tbl[Date],0))</f>
        <v>-4.2</v>
      </c>
      <c r="Q112" s="2">
        <f ca="1">INDEX(INDIRECT(_xlfn.CONCAT("weather.tbl[",Q$1,"]")),MATCH(vp.tbl[[#This Row],[SDate]],weather.tbl[Date],0))</f>
        <v>-5</v>
      </c>
      <c r="R112" s="2">
        <f ca="1">INDEX(INDIRECT(_xlfn.CONCAT("weather.tbl[",R$1,"]")),MATCH(vp.tbl[[#This Row],[SDate]],weather.tbl[Date],0))</f>
        <v>-4.5</v>
      </c>
      <c r="S112" s="2">
        <f ca="1">INDEX(INDIRECT(_xlfn.CONCAT("weather.tbl[",S$1,"]")),MATCH(vp.tbl[[#This Row],[SDate]],weather.tbl[Date],0))</f>
        <v>-4.5</v>
      </c>
      <c r="T112" s="2">
        <f ca="1">INDEX(INDIRECT(_xlfn.CONCAT("weather.tbl[",T$1,"]")),MATCH(vp.tbl[[#This Row],[SDate]],weather.tbl[Date],0))</f>
        <v>-2.4</v>
      </c>
      <c r="U112" s="2">
        <f ca="1">INDEX(INDIRECT(_xlfn.CONCAT("weather.tbl[",U$1,"]")),MATCH(vp.tbl[[#This Row],[SDate]],weather.tbl[Date],0))</f>
        <v>-5.3</v>
      </c>
      <c r="V112" s="2">
        <v>7936.5209999999997</v>
      </c>
      <c r="W112" t="s">
        <v>48</v>
      </c>
      <c r="X112">
        <f>IF(OR(vp.tbl[[#This Row],[Sulf]]="",vp.tbl[[#This Row],[Dens]]=""),1,0)</f>
        <v>0</v>
      </c>
      <c r="Y112">
        <f>IF(vp.tbl[[#This Row],[CrudeType]]="C5+",1,0)</f>
        <v>0</v>
      </c>
      <c r="Z112">
        <f>IF(AND(vp.tbl[[#This Row],[CrudeType]]="Crude",vp.tbl[[#This Row],[Dens]]&lt;=825,vp.tbl[[#This Row],[Sulf]]&gt;0.5,vp.tbl[[#This Row],[Unknown]]=0),1,0)</f>
        <v>0</v>
      </c>
      <c r="AA112">
        <f>IF(AND(vp.tbl[[#This Row],[CrudeType]]="Crude",vp.tbl[[#This Row],[Dens]]&lt;=825,vp.tbl[[#This Row],[Sulf]]&lt;=0.5,vp.tbl[[#This Row],[Unknown]]=0),1,0)</f>
        <v>0</v>
      </c>
      <c r="AB112">
        <f>IF(AND(vp.tbl[[#This Row],[CrudeType]]="Crude",vp.tbl[[#This Row],[Dens]]&gt;825,vp.tbl[[#This Row],[Dens]]&lt;=870,vp.tbl[[#This Row],[Sulf]]&gt;0.5,vp.tbl[[#This Row],[Unknown]]=0),1,0)</f>
        <v>0</v>
      </c>
      <c r="AC112">
        <f>IF(AND(vp.tbl[[#This Row],[CrudeType]]="Crude",vp.tbl[[#This Row],[Dens]]&gt;825,vp.tbl[[#This Row],[Dens]]&lt;=900,vp.tbl[[#This Row],[Sulf]]&lt;=0.5,vp.tbl[[#This Row],[Unknown]]=0),1,0)</f>
        <v>0</v>
      </c>
      <c r="AD112">
        <f>IF(AND(vp.tbl[[#This Row],[CrudeType]]="Crude",vp.tbl[[#This Row],[Dens]]&gt;870,vp.tbl[[#This Row],[Dens]]&lt;=900,vp.tbl[[#This Row],[Sulf]]&gt;0.5,vp.tbl[[#This Row],[Unknown]]=0),1,0)</f>
        <v>1</v>
      </c>
      <c r="AE112">
        <f>IF(AND(vp.tbl[[#This Row],[CrudeType]]="Crude",vp.tbl[[#This Row],[Dens]]&gt;900,vp.tbl[[#This Row],[Sulf]]&lt;=0.5,vp.tbl[[#This Row],[Unknown]]=0),1,0)</f>
        <v>0</v>
      </c>
      <c r="AF112">
        <f>IF(AND(vp.tbl[[#This Row],[CrudeType]]="Crude",vp.tbl[[#This Row],[Dens]]&gt;900,vp.tbl[[#This Row],[Sulf]]&lt;=0.5,vp.tbl[[#This Row],[Unknown]]=0),1,0)</f>
        <v>0</v>
      </c>
      <c r="AG112" t="str">
        <f>INDEX(vp.tbl[[#Headers],[Unknown]:[Heavy_SW]],MATCH(1,vp.tbl[[#This Row],[Unknown]:[Heavy_SW]],0))</f>
        <v>Midale</v>
      </c>
      <c r="AH112" t="e">
        <f>INDEX([1]!crudeBD.lkup[Number],MATCH(vp.tbl[[#This Row],[Crude_Breakdown]],[1]!crudeBD.lkup[Crude Breakdown],0))</f>
        <v>#REF!</v>
      </c>
      <c r="AI112">
        <f>MONTH(vp.tbl[[#This Row],[SDate]])</f>
        <v>3</v>
      </c>
      <c r="AJ112" s="5">
        <f>IFERROR(vp.tbl[[#This Row],[Sulf]]*vp.tbl[[#This Row],[Net Dens]],"")</f>
        <v>15974073.912329998</v>
      </c>
      <c r="AK112" s="5">
        <f>IFERROR(vp.tbl[[#This Row],[Dens]]*vp.tbl[[#This Row],[VolumeM3]],"")</f>
        <v>6945249.5270999996</v>
      </c>
      <c r="AL112" s="5">
        <f>IFERROR(vp.tbl[[#This Row],[VP]]*vp.tbl[[#This Row],[VolumeM3]],"")</f>
        <v>528572.29859999998</v>
      </c>
      <c r="AM112" s="4">
        <f>IFERROR((vp.tbl[[#This Row],[VP]]-INDEX(crudeBD.lkup.complete[Mean_VP],MATCH(vp.tbl[[#This Row],[Crude_Breakdown]],crudeBD.lkup.complete[Crude Breakdown],0)))^2,"")</f>
        <v>2.6842109213736776</v>
      </c>
      <c r="AN112" s="4">
        <f>IFERROR((vp.tbl[[#This Row],[Dens]]-INDEX(crudeBD.lkup.complete[Mean_Dens],MATCH(vp.tbl[[#This Row],[Crude_Breakdown]],crudeBD.lkup.complete[Crude Breakdown],0)))^2,"")</f>
        <v>6.0125727153296102</v>
      </c>
      <c r="AO112" s="4">
        <f>IFERROR((vp.tbl[[#This Row],[Sulf]]-INDEX(crudeBD.lkup.complete[Mean_Sulf],MATCH(vp.tbl[[#This Row],[Crude_Breakdown]],crudeBD.lkup.complete[Crude Breakdown],0)))^2,"")</f>
        <v>1.3303347200018519E-2</v>
      </c>
      <c r="AP112">
        <f>IF(AND(vp.tbl[[#This Row],[SDate]]&gt;=DATE(YEAR(vp.tbl[[#This Row],[SDate]]),5,1),vp.tbl[[#This Row],[SDate]]&lt;=DATE(YEAR(vp.tbl[[#This Row],[SDate]]),9,15)),1,0)</f>
        <v>0</v>
      </c>
      <c r="AQ112" s="15">
        <f>IF(vp.tbl[[#This Row],[SDate]]&lt;DATE(2016,12,1),0,1)</f>
        <v>0</v>
      </c>
    </row>
    <row r="113" spans="1:43" x14ac:dyDescent="0.25">
      <c r="A113">
        <v>112</v>
      </c>
      <c r="B113" t="s">
        <v>49</v>
      </c>
      <c r="C113" t="s">
        <v>49</v>
      </c>
      <c r="D113" t="s">
        <v>50</v>
      </c>
      <c r="F113" s="1">
        <v>42446</v>
      </c>
      <c r="G113" s="2">
        <v>55.3</v>
      </c>
      <c r="H113" s="2"/>
      <c r="I113" s="2">
        <v>2.59</v>
      </c>
      <c r="J113" s="2"/>
      <c r="K113" s="2"/>
      <c r="L113" s="2">
        <v>878.5</v>
      </c>
      <c r="M113" s="2">
        <v>878.5</v>
      </c>
      <c r="N113" s="2">
        <f ca="1">INDEX(INDIRECT(_xlfn.CONCAT("weather.tbl[",N$1,"]")),MATCH(vp.tbl[[#This Row],[SDate]],weather.tbl[Date],0))</f>
        <v>-4.3166666666666664</v>
      </c>
      <c r="O113" s="2">
        <f ca="1">INDEX(INDIRECT(_xlfn.CONCAT("weather.tbl[",O$1,"]")),MATCH(vp.tbl[[#This Row],[SDate]],weather.tbl[Date],0))</f>
        <v>3.6809523809523812</v>
      </c>
      <c r="P113" s="2">
        <f ca="1">INDEX(INDIRECT(_xlfn.CONCAT("weather.tbl[",P$1,"]")),MATCH(vp.tbl[[#This Row],[SDate]],weather.tbl[Date],0))</f>
        <v>-4.2</v>
      </c>
      <c r="Q113" s="2">
        <f ca="1">INDEX(INDIRECT(_xlfn.CONCAT("weather.tbl[",Q$1,"]")),MATCH(vp.tbl[[#This Row],[SDate]],weather.tbl[Date],0))</f>
        <v>-5</v>
      </c>
      <c r="R113" s="2">
        <f ca="1">INDEX(INDIRECT(_xlfn.CONCAT("weather.tbl[",R$1,"]")),MATCH(vp.tbl[[#This Row],[SDate]],weather.tbl[Date],0))</f>
        <v>-4.5</v>
      </c>
      <c r="S113" s="2">
        <f ca="1">INDEX(INDIRECT(_xlfn.CONCAT("weather.tbl[",S$1,"]")),MATCH(vp.tbl[[#This Row],[SDate]],weather.tbl[Date],0))</f>
        <v>-4.5</v>
      </c>
      <c r="T113" s="2">
        <f ca="1">INDEX(INDIRECT(_xlfn.CONCAT("weather.tbl[",T$1,"]")),MATCH(vp.tbl[[#This Row],[SDate]],weather.tbl[Date],0))</f>
        <v>-2.4</v>
      </c>
      <c r="U113" s="2">
        <f ca="1">INDEX(INDIRECT(_xlfn.CONCAT("weather.tbl[",U$1,"]")),MATCH(vp.tbl[[#This Row],[SDate]],weather.tbl[Date],0))</f>
        <v>-5.3</v>
      </c>
      <c r="V113" s="2">
        <v>8372.2510000000002</v>
      </c>
      <c r="W113" t="s">
        <v>48</v>
      </c>
      <c r="X113">
        <f>IF(OR(vp.tbl[[#This Row],[Sulf]]="",vp.tbl[[#This Row],[Dens]]=""),1,0)</f>
        <v>0</v>
      </c>
      <c r="Y113">
        <f>IF(vp.tbl[[#This Row],[CrudeType]]="C5+",1,0)</f>
        <v>0</v>
      </c>
      <c r="Z113">
        <f>IF(AND(vp.tbl[[#This Row],[CrudeType]]="Crude",vp.tbl[[#This Row],[Dens]]&lt;=825,vp.tbl[[#This Row],[Sulf]]&gt;0.5,vp.tbl[[#This Row],[Unknown]]=0),1,0)</f>
        <v>0</v>
      </c>
      <c r="AA113">
        <f>IF(AND(vp.tbl[[#This Row],[CrudeType]]="Crude",vp.tbl[[#This Row],[Dens]]&lt;=825,vp.tbl[[#This Row],[Sulf]]&lt;=0.5,vp.tbl[[#This Row],[Unknown]]=0),1,0)</f>
        <v>0</v>
      </c>
      <c r="AB113">
        <f>IF(AND(vp.tbl[[#This Row],[CrudeType]]="Crude",vp.tbl[[#This Row],[Dens]]&gt;825,vp.tbl[[#This Row],[Dens]]&lt;=870,vp.tbl[[#This Row],[Sulf]]&gt;0.5,vp.tbl[[#This Row],[Unknown]]=0),1,0)</f>
        <v>0</v>
      </c>
      <c r="AC113">
        <f>IF(AND(vp.tbl[[#This Row],[CrudeType]]="Crude",vp.tbl[[#This Row],[Dens]]&gt;825,vp.tbl[[#This Row],[Dens]]&lt;=900,vp.tbl[[#This Row],[Sulf]]&lt;=0.5,vp.tbl[[#This Row],[Unknown]]=0),1,0)</f>
        <v>0</v>
      </c>
      <c r="AD113">
        <f>IF(AND(vp.tbl[[#This Row],[CrudeType]]="Crude",vp.tbl[[#This Row],[Dens]]&gt;870,vp.tbl[[#This Row],[Dens]]&lt;=900,vp.tbl[[#This Row],[Sulf]]&gt;0.5,vp.tbl[[#This Row],[Unknown]]=0),1,0)</f>
        <v>1</v>
      </c>
      <c r="AE113">
        <f>IF(AND(vp.tbl[[#This Row],[CrudeType]]="Crude",vp.tbl[[#This Row],[Dens]]&gt;900,vp.tbl[[#This Row],[Sulf]]&lt;=0.5,vp.tbl[[#This Row],[Unknown]]=0),1,0)</f>
        <v>0</v>
      </c>
      <c r="AF113">
        <f>IF(AND(vp.tbl[[#This Row],[CrudeType]]="Crude",vp.tbl[[#This Row],[Dens]]&gt;900,vp.tbl[[#This Row],[Sulf]]&lt;=0.5,vp.tbl[[#This Row],[Unknown]]=0),1,0)</f>
        <v>0</v>
      </c>
      <c r="AG113" t="str">
        <f>INDEX(vp.tbl[[#Headers],[Unknown]:[Heavy_SW]],MATCH(1,vp.tbl[[#This Row],[Unknown]:[Heavy_SW]],0))</f>
        <v>Midale</v>
      </c>
      <c r="AH113" t="e">
        <f>INDEX([1]!crudeBD.lkup[Number],MATCH(vp.tbl[[#This Row],[Crude_Breakdown]],[1]!crudeBD.lkup[Crude Breakdown],0))</f>
        <v>#REF!</v>
      </c>
      <c r="AI113">
        <f>MONTH(vp.tbl[[#This Row],[SDate]])</f>
        <v>3</v>
      </c>
      <c r="AJ113" s="5">
        <f>IFERROR(vp.tbl[[#This Row],[Sulf]]*vp.tbl[[#This Row],[Net Dens]],"")</f>
        <v>19049508.284065001</v>
      </c>
      <c r="AK113" s="5">
        <f>IFERROR(vp.tbl[[#This Row],[Dens]]*vp.tbl[[#This Row],[VolumeM3]],"")</f>
        <v>7355022.5035000006</v>
      </c>
      <c r="AL113" s="5">
        <f>IFERROR(vp.tbl[[#This Row],[VP]]*vp.tbl[[#This Row],[VolumeM3]],"")</f>
        <v>462985.4803</v>
      </c>
      <c r="AM113" s="4">
        <f>IFERROR((vp.tbl[[#This Row],[VP]]-INDEX(crudeBD.lkup.complete[Mean_VP],MATCH(vp.tbl[[#This Row],[Crude_Breakdown]],crudeBD.lkup.complete[Crude Breakdown],0)))^2,"")</f>
        <v>167.40106023644253</v>
      </c>
      <c r="AN113" s="4">
        <f>IFERROR((vp.tbl[[#This Row],[Dens]]-INDEX(crudeBD.lkup.complete[Mean_Dens],MATCH(vp.tbl[[#This Row],[Crude_Breakdown]],crudeBD.lkup.complete[Crude Breakdown],0)))^2,"")</f>
        <v>0.89860011259205452</v>
      </c>
      <c r="AO113" s="4">
        <f>IFERROR((vp.tbl[[#This Row],[Sulf]]-INDEX(crudeBD.lkup.complete[Mean_Sulf],MATCH(vp.tbl[[#This Row],[Crude_Breakdown]],crudeBD.lkup.complete[Crude Breakdown],0)))^2,"")</f>
        <v>3.0506067747964355E-2</v>
      </c>
      <c r="AP113">
        <f>IF(AND(vp.tbl[[#This Row],[SDate]]&gt;=DATE(YEAR(vp.tbl[[#This Row],[SDate]]),5,1),vp.tbl[[#This Row],[SDate]]&lt;=DATE(YEAR(vp.tbl[[#This Row],[SDate]]),9,15)),1,0)</f>
        <v>0</v>
      </c>
      <c r="AQ113" s="15">
        <f>IF(vp.tbl[[#This Row],[SDate]]&lt;DATE(2016,12,1),0,1)</f>
        <v>0</v>
      </c>
    </row>
    <row r="114" spans="1:43" x14ac:dyDescent="0.25">
      <c r="A114">
        <v>113</v>
      </c>
      <c r="B114" t="s">
        <v>49</v>
      </c>
      <c r="C114" t="s">
        <v>49</v>
      </c>
      <c r="D114" t="s">
        <v>67</v>
      </c>
      <c r="F114" s="1">
        <v>42447</v>
      </c>
      <c r="G114" s="2">
        <v>117.3</v>
      </c>
      <c r="H114" s="2"/>
      <c r="I114" s="2">
        <v>0.21</v>
      </c>
      <c r="J114" s="2"/>
      <c r="K114" s="2"/>
      <c r="L114" s="2">
        <v>801.1</v>
      </c>
      <c r="M114" s="2">
        <v>801.1</v>
      </c>
      <c r="N114" s="2">
        <f ca="1">INDEX(INDIRECT(_xlfn.CONCAT("weather.tbl[",N$1,"]")),MATCH(vp.tbl[[#This Row],[SDate]],weather.tbl[Date],0))</f>
        <v>-3.5333333333333337</v>
      </c>
      <c r="O114" s="2">
        <f ca="1">INDEX(INDIRECT(_xlfn.CONCAT("weather.tbl[",O$1,"]")),MATCH(vp.tbl[[#This Row],[SDate]],weather.tbl[Date],0))</f>
        <v>2.0000000000000004</v>
      </c>
      <c r="P114" s="2">
        <f ca="1">INDEX(INDIRECT(_xlfn.CONCAT("weather.tbl[",P$1,"]")),MATCH(vp.tbl[[#This Row],[SDate]],weather.tbl[Date],0))</f>
        <v>-4.0999999999999996</v>
      </c>
      <c r="Q114" s="2">
        <f ca="1">INDEX(INDIRECT(_xlfn.CONCAT("weather.tbl[",Q$1,"]")),MATCH(vp.tbl[[#This Row],[SDate]],weather.tbl[Date],0))</f>
        <v>-4.2</v>
      </c>
      <c r="R114" s="2">
        <f ca="1">INDEX(INDIRECT(_xlfn.CONCAT("weather.tbl[",R$1,"]")),MATCH(vp.tbl[[#This Row],[SDate]],weather.tbl[Date],0))</f>
        <v>-3.3</v>
      </c>
      <c r="S114" s="2">
        <f ca="1">INDEX(INDIRECT(_xlfn.CONCAT("weather.tbl[",S$1,"]")),MATCH(vp.tbl[[#This Row],[SDate]],weather.tbl[Date],0))</f>
        <v>-3.5</v>
      </c>
      <c r="T114" s="2">
        <f ca="1">INDEX(INDIRECT(_xlfn.CONCAT("weather.tbl[",T$1,"]")),MATCH(vp.tbl[[#This Row],[SDate]],weather.tbl[Date],0))</f>
        <v>-0.8</v>
      </c>
      <c r="U114" s="2">
        <f ca="1">INDEX(INDIRECT(_xlfn.CONCAT("weather.tbl[",U$1,"]")),MATCH(vp.tbl[[#This Row],[SDate]],weather.tbl[Date],0))</f>
        <v>-5.3</v>
      </c>
      <c r="V114" s="2">
        <v>49014.500999999997</v>
      </c>
      <c r="W114" t="s">
        <v>48</v>
      </c>
      <c r="X114">
        <f>IF(OR(vp.tbl[[#This Row],[Sulf]]="",vp.tbl[[#This Row],[Dens]]=""),1,0)</f>
        <v>0</v>
      </c>
      <c r="Y114">
        <f>IF(vp.tbl[[#This Row],[CrudeType]]="C5+",1,0)</f>
        <v>0</v>
      </c>
      <c r="Z114">
        <f>IF(AND(vp.tbl[[#This Row],[CrudeType]]="Crude",vp.tbl[[#This Row],[Dens]]&lt;=825,vp.tbl[[#This Row],[Sulf]]&gt;0.5,vp.tbl[[#This Row],[Unknown]]=0),1,0)</f>
        <v>0</v>
      </c>
      <c r="AA114">
        <f>IF(AND(vp.tbl[[#This Row],[CrudeType]]="Crude",vp.tbl[[#This Row],[Dens]]&lt;=825,vp.tbl[[#This Row],[Sulf]]&lt;=0.5,vp.tbl[[#This Row],[Unknown]]=0),1,0)</f>
        <v>1</v>
      </c>
      <c r="AB114">
        <f>IF(AND(vp.tbl[[#This Row],[CrudeType]]="Crude",vp.tbl[[#This Row],[Dens]]&gt;825,vp.tbl[[#This Row],[Dens]]&lt;=870,vp.tbl[[#This Row],[Sulf]]&gt;0.5,vp.tbl[[#This Row],[Unknown]]=0),1,0)</f>
        <v>0</v>
      </c>
      <c r="AC114">
        <f>IF(AND(vp.tbl[[#This Row],[CrudeType]]="Crude",vp.tbl[[#This Row],[Dens]]&gt;825,vp.tbl[[#This Row],[Dens]]&lt;=900,vp.tbl[[#This Row],[Sulf]]&lt;=0.5,vp.tbl[[#This Row],[Unknown]]=0),1,0)</f>
        <v>0</v>
      </c>
      <c r="AD114">
        <f>IF(AND(vp.tbl[[#This Row],[CrudeType]]="Crude",vp.tbl[[#This Row],[Dens]]&gt;870,vp.tbl[[#This Row],[Dens]]&lt;=900,vp.tbl[[#This Row],[Sulf]]&gt;0.5,vp.tbl[[#This Row],[Unknown]]=0),1,0)</f>
        <v>0</v>
      </c>
      <c r="AE114">
        <f>IF(AND(vp.tbl[[#This Row],[CrudeType]]="Crude",vp.tbl[[#This Row],[Dens]]&gt;900,vp.tbl[[#This Row],[Sulf]]&lt;=0.5,vp.tbl[[#This Row],[Unknown]]=0),1,0)</f>
        <v>0</v>
      </c>
      <c r="AF114">
        <f>IF(AND(vp.tbl[[#This Row],[CrudeType]]="Crude",vp.tbl[[#This Row],[Dens]]&gt;900,vp.tbl[[#This Row],[Sulf]]&lt;=0.5,vp.tbl[[#This Row],[Unknown]]=0),1,0)</f>
        <v>0</v>
      </c>
      <c r="AG114" t="str">
        <f>INDEX(vp.tbl[[#Headers],[Unknown]:[Heavy_SW]],MATCH(1,vp.tbl[[#This Row],[Unknown]:[Heavy_SW]],0))</f>
        <v>Light_SW</v>
      </c>
      <c r="AH114" t="e">
        <f>INDEX([1]!crudeBD.lkup[Number],MATCH(vp.tbl[[#This Row],[Crude_Breakdown]],[1]!crudeBD.lkup[Crude Breakdown],0))</f>
        <v>#REF!</v>
      </c>
      <c r="AI114">
        <f>MONTH(vp.tbl[[#This Row],[SDate]])</f>
        <v>3</v>
      </c>
      <c r="AJ114" s="5">
        <f>IFERROR(vp.tbl[[#This Row],[Sulf]]*vp.tbl[[#This Row],[Net Dens]],"")</f>
        <v>8245758.5177309988</v>
      </c>
      <c r="AK114" s="5">
        <f>IFERROR(vp.tbl[[#This Row],[Dens]]*vp.tbl[[#This Row],[VolumeM3]],"")</f>
        <v>39265516.751099996</v>
      </c>
      <c r="AL114" s="5">
        <f>IFERROR(vp.tbl[[#This Row],[VP]]*vp.tbl[[#This Row],[VolumeM3]],"")</f>
        <v>5749400.9672999997</v>
      </c>
      <c r="AM114" s="4">
        <f>IFERROR((vp.tbl[[#This Row],[VP]]-INDEX(crudeBD.lkup.complete[Mean_VP],MATCH(vp.tbl[[#This Row],[Crude_Breakdown]],crudeBD.lkup.complete[Crude Breakdown],0)))^2,"")</f>
        <v>612.54697745025567</v>
      </c>
      <c r="AN114" s="4">
        <f>IFERROR((vp.tbl[[#This Row],[Dens]]-INDEX(crudeBD.lkup.complete[Mean_Dens],MATCH(vp.tbl[[#This Row],[Crude_Breakdown]],crudeBD.lkup.complete[Crude Breakdown],0)))^2,"")</f>
        <v>52.00570712282186</v>
      </c>
      <c r="AO114" s="4">
        <f>IFERROR((vp.tbl[[#This Row],[Sulf]]-INDEX(crudeBD.lkup.complete[Mean_Sulf],MATCH(vp.tbl[[#This Row],[Crude_Breakdown]],crudeBD.lkup.complete[Crude Breakdown],0)))^2,"")</f>
        <v>6.8863268899706654E-4</v>
      </c>
      <c r="AP114">
        <f>IF(AND(vp.tbl[[#This Row],[SDate]]&gt;=DATE(YEAR(vp.tbl[[#This Row],[SDate]]),5,1),vp.tbl[[#This Row],[SDate]]&lt;=DATE(YEAR(vp.tbl[[#This Row],[SDate]]),9,15)),1,0)</f>
        <v>0</v>
      </c>
      <c r="AQ114" s="15">
        <f>IF(vp.tbl[[#This Row],[SDate]]&lt;DATE(2016,12,1),0,1)</f>
        <v>0</v>
      </c>
    </row>
    <row r="115" spans="1:43" x14ac:dyDescent="0.25">
      <c r="A115">
        <v>114</v>
      </c>
      <c r="B115" t="s">
        <v>49</v>
      </c>
      <c r="C115" t="s">
        <v>49</v>
      </c>
      <c r="D115" t="s">
        <v>81</v>
      </c>
      <c r="F115" s="1">
        <v>42450</v>
      </c>
      <c r="G115" s="2">
        <v>82</v>
      </c>
      <c r="H115" s="2"/>
      <c r="I115" s="2">
        <v>0.48</v>
      </c>
      <c r="J115" s="2"/>
      <c r="K115" s="2"/>
      <c r="L115" s="2">
        <v>818.9</v>
      </c>
      <c r="M115" s="2">
        <v>818.9</v>
      </c>
      <c r="N115" s="2">
        <f ca="1">INDEX(INDIRECT(_xlfn.CONCAT("weather.tbl[",N$1,"]")),MATCH(vp.tbl[[#This Row],[SDate]],weather.tbl[Date],0))</f>
        <v>1.05</v>
      </c>
      <c r="O115" s="2">
        <f ca="1">INDEX(INDIRECT(_xlfn.CONCAT("weather.tbl[",O$1,"]")),MATCH(vp.tbl[[#This Row],[SDate]],weather.tbl[Date],0))</f>
        <v>-1.5738095238095238</v>
      </c>
      <c r="P115" s="2">
        <f ca="1">INDEX(INDIRECT(_xlfn.CONCAT("weather.tbl[",P$1,"]")),MATCH(vp.tbl[[#This Row],[SDate]],weather.tbl[Date],0))</f>
        <v>0.5</v>
      </c>
      <c r="Q115" s="2">
        <f ca="1">INDEX(INDIRECT(_xlfn.CONCAT("weather.tbl[",Q$1,"]")),MATCH(vp.tbl[[#This Row],[SDate]],weather.tbl[Date],0))</f>
        <v>2.1</v>
      </c>
      <c r="R115" s="2">
        <f ca="1">INDEX(INDIRECT(_xlfn.CONCAT("weather.tbl[",R$1,"]")),MATCH(vp.tbl[[#This Row],[SDate]],weather.tbl[Date],0))</f>
        <v>0.8</v>
      </c>
      <c r="S115" s="2">
        <f ca="1">INDEX(INDIRECT(_xlfn.CONCAT("weather.tbl[",S$1,"]")),MATCH(vp.tbl[[#This Row],[SDate]],weather.tbl[Date],0))</f>
        <v>1.5</v>
      </c>
      <c r="T115" s="2">
        <f ca="1">INDEX(INDIRECT(_xlfn.CONCAT("weather.tbl[",T$1,"]")),MATCH(vp.tbl[[#This Row],[SDate]],weather.tbl[Date],0))</f>
        <v>1.5</v>
      </c>
      <c r="U115" s="2">
        <f ca="1">INDEX(INDIRECT(_xlfn.CONCAT("weather.tbl[",U$1,"]")),MATCH(vp.tbl[[#This Row],[SDate]],weather.tbl[Date],0))</f>
        <v>-0.1</v>
      </c>
      <c r="V115" s="2">
        <v>24646.315999999999</v>
      </c>
      <c r="W115" t="s">
        <v>48</v>
      </c>
      <c r="X115">
        <f>IF(OR(vp.tbl[[#This Row],[Sulf]]="",vp.tbl[[#This Row],[Dens]]=""),1,0)</f>
        <v>0</v>
      </c>
      <c r="Y115">
        <f>IF(vp.tbl[[#This Row],[CrudeType]]="C5+",1,0)</f>
        <v>0</v>
      </c>
      <c r="Z115">
        <f>IF(AND(vp.tbl[[#This Row],[CrudeType]]="Crude",vp.tbl[[#This Row],[Dens]]&lt;=825,vp.tbl[[#This Row],[Sulf]]&gt;0.5,vp.tbl[[#This Row],[Unknown]]=0),1,0)</f>
        <v>0</v>
      </c>
      <c r="AA115">
        <f>IF(AND(vp.tbl[[#This Row],[CrudeType]]="Crude",vp.tbl[[#This Row],[Dens]]&lt;=825,vp.tbl[[#This Row],[Sulf]]&lt;=0.5,vp.tbl[[#This Row],[Unknown]]=0),1,0)</f>
        <v>1</v>
      </c>
      <c r="AB115">
        <f>IF(AND(vp.tbl[[#This Row],[CrudeType]]="Crude",vp.tbl[[#This Row],[Dens]]&gt;825,vp.tbl[[#This Row],[Dens]]&lt;=870,vp.tbl[[#This Row],[Sulf]]&gt;0.5,vp.tbl[[#This Row],[Unknown]]=0),1,0)</f>
        <v>0</v>
      </c>
      <c r="AC115">
        <f>IF(AND(vp.tbl[[#This Row],[CrudeType]]="Crude",vp.tbl[[#This Row],[Dens]]&gt;825,vp.tbl[[#This Row],[Dens]]&lt;=900,vp.tbl[[#This Row],[Sulf]]&lt;=0.5,vp.tbl[[#This Row],[Unknown]]=0),1,0)</f>
        <v>0</v>
      </c>
      <c r="AD115">
        <f>IF(AND(vp.tbl[[#This Row],[CrudeType]]="Crude",vp.tbl[[#This Row],[Dens]]&gt;870,vp.tbl[[#This Row],[Dens]]&lt;=900,vp.tbl[[#This Row],[Sulf]]&gt;0.5,vp.tbl[[#This Row],[Unknown]]=0),1,0)</f>
        <v>0</v>
      </c>
      <c r="AE115">
        <f>IF(AND(vp.tbl[[#This Row],[CrudeType]]="Crude",vp.tbl[[#This Row],[Dens]]&gt;900,vp.tbl[[#This Row],[Sulf]]&lt;=0.5,vp.tbl[[#This Row],[Unknown]]=0),1,0)</f>
        <v>0</v>
      </c>
      <c r="AF115">
        <f>IF(AND(vp.tbl[[#This Row],[CrudeType]]="Crude",vp.tbl[[#This Row],[Dens]]&gt;900,vp.tbl[[#This Row],[Sulf]]&lt;=0.5,vp.tbl[[#This Row],[Unknown]]=0),1,0)</f>
        <v>0</v>
      </c>
      <c r="AG115" t="str">
        <f>INDEX(vp.tbl[[#Headers],[Unknown]:[Heavy_SW]],MATCH(1,vp.tbl[[#This Row],[Unknown]:[Heavy_SW]],0))</f>
        <v>Light_SW</v>
      </c>
      <c r="AH115" t="e">
        <f>INDEX([1]!crudeBD.lkup[Number],MATCH(vp.tbl[[#This Row],[Crude_Breakdown]],[1]!crudeBD.lkup[Crude Breakdown],0))</f>
        <v>#REF!</v>
      </c>
      <c r="AI115">
        <f>MONTH(vp.tbl[[#This Row],[SDate]])</f>
        <v>3</v>
      </c>
      <c r="AJ115" s="5">
        <f>IFERROR(vp.tbl[[#This Row],[Sulf]]*vp.tbl[[#This Row],[Net Dens]],"")</f>
        <v>9687776.7227519993</v>
      </c>
      <c r="AK115" s="5">
        <f>IFERROR(vp.tbl[[#This Row],[Dens]]*vp.tbl[[#This Row],[VolumeM3]],"")</f>
        <v>20182868.172399998</v>
      </c>
      <c r="AL115" s="5">
        <f>IFERROR(vp.tbl[[#This Row],[VP]]*vp.tbl[[#This Row],[VolumeM3]],"")</f>
        <v>2020997.912</v>
      </c>
      <c r="AM115" s="4">
        <f>IFERROR((vp.tbl[[#This Row],[VP]]-INDEX(crudeBD.lkup.complete[Mean_VP],MATCH(vp.tbl[[#This Row],[Crude_Breakdown]],crudeBD.lkup.complete[Crude Breakdown],0)))^2,"")</f>
        <v>111.30911682307602</v>
      </c>
      <c r="AN115" s="4">
        <f>IFERROR((vp.tbl[[#This Row],[Dens]]-INDEX(crudeBD.lkup.complete[Mean_Dens],MATCH(vp.tbl[[#This Row],[Crude_Breakdown]],crudeBD.lkup.complete[Crude Breakdown],0)))^2,"")</f>
        <v>112.1163691437354</v>
      </c>
      <c r="AO115" s="4">
        <f>IFERROR((vp.tbl[[#This Row],[Sulf]]-INDEX(crudeBD.lkup.complete[Mean_Sulf],MATCH(vp.tbl[[#This Row],[Crude_Breakdown]],crudeBD.lkup.complete[Crude Breakdown],0)))^2,"")</f>
        <v>5.9418054291784594E-2</v>
      </c>
      <c r="AP115">
        <f>IF(AND(vp.tbl[[#This Row],[SDate]]&gt;=DATE(YEAR(vp.tbl[[#This Row],[SDate]]),5,1),vp.tbl[[#This Row],[SDate]]&lt;=DATE(YEAR(vp.tbl[[#This Row],[SDate]]),9,15)),1,0)</f>
        <v>0</v>
      </c>
      <c r="AQ115" s="15">
        <f>IF(vp.tbl[[#This Row],[SDate]]&lt;DATE(2016,12,1),0,1)</f>
        <v>0</v>
      </c>
    </row>
    <row r="116" spans="1:43" x14ac:dyDescent="0.25">
      <c r="A116">
        <v>115</v>
      </c>
      <c r="B116" t="s">
        <v>49</v>
      </c>
      <c r="C116" t="s">
        <v>49</v>
      </c>
      <c r="D116" t="s">
        <v>74</v>
      </c>
      <c r="F116" s="1">
        <v>42451</v>
      </c>
      <c r="G116" s="2">
        <v>103.5</v>
      </c>
      <c r="H116" s="2"/>
      <c r="I116" s="2">
        <v>0.14000000000000001</v>
      </c>
      <c r="J116" s="2"/>
      <c r="K116" s="2"/>
      <c r="L116" s="2">
        <v>799.4</v>
      </c>
      <c r="M116" s="2">
        <v>799.4</v>
      </c>
      <c r="N116" s="2">
        <f ca="1">INDEX(INDIRECT(_xlfn.CONCAT("weather.tbl[",N$1,"]")),MATCH(vp.tbl[[#This Row],[SDate]],weather.tbl[Date],0))</f>
        <v>-4.7333333333333334</v>
      </c>
      <c r="O116" s="2">
        <f ca="1">INDEX(INDIRECT(_xlfn.CONCAT("weather.tbl[",O$1,"]")),MATCH(vp.tbl[[#This Row],[SDate]],weather.tbl[Date],0))</f>
        <v>-2.3452380952380953</v>
      </c>
      <c r="P116" s="2">
        <f ca="1">INDEX(INDIRECT(_xlfn.CONCAT("weather.tbl[",P$1,"]")),MATCH(vp.tbl[[#This Row],[SDate]],weather.tbl[Date],0))</f>
        <v>-3.1</v>
      </c>
      <c r="Q116" s="2">
        <f ca="1">INDEX(INDIRECT(_xlfn.CONCAT("weather.tbl[",Q$1,"]")),MATCH(vp.tbl[[#This Row],[SDate]],weather.tbl[Date],0))</f>
        <v>-3.7</v>
      </c>
      <c r="R116" s="2">
        <f ca="1">INDEX(INDIRECT(_xlfn.CONCAT("weather.tbl[",R$1,"]")),MATCH(vp.tbl[[#This Row],[SDate]],weather.tbl[Date],0))</f>
        <v>-6</v>
      </c>
      <c r="S116" s="2">
        <f ca="1">INDEX(INDIRECT(_xlfn.CONCAT("weather.tbl[",S$1,"]")),MATCH(vp.tbl[[#This Row],[SDate]],weather.tbl[Date],0))</f>
        <v>-3.3</v>
      </c>
      <c r="T116" s="2">
        <f ca="1">INDEX(INDIRECT(_xlfn.CONCAT("weather.tbl[",T$1,"]")),MATCH(vp.tbl[[#This Row],[SDate]],weather.tbl[Date],0))</f>
        <v>-6.5</v>
      </c>
      <c r="U116" s="2">
        <f ca="1">INDEX(INDIRECT(_xlfn.CONCAT("weather.tbl[",U$1,"]")),MATCH(vp.tbl[[#This Row],[SDate]],weather.tbl[Date],0))</f>
        <v>-5.8</v>
      </c>
      <c r="V116" s="2">
        <v>46024.504999999997</v>
      </c>
      <c r="W116" t="s">
        <v>48</v>
      </c>
      <c r="X116">
        <f>IF(OR(vp.tbl[[#This Row],[Sulf]]="",vp.tbl[[#This Row],[Dens]]=""),1,0)</f>
        <v>0</v>
      </c>
      <c r="Y116">
        <f>IF(vp.tbl[[#This Row],[CrudeType]]="C5+",1,0)</f>
        <v>0</v>
      </c>
      <c r="Z116">
        <f>IF(AND(vp.tbl[[#This Row],[CrudeType]]="Crude",vp.tbl[[#This Row],[Dens]]&lt;=825,vp.tbl[[#This Row],[Sulf]]&gt;0.5,vp.tbl[[#This Row],[Unknown]]=0),1,0)</f>
        <v>0</v>
      </c>
      <c r="AA116">
        <f>IF(AND(vp.tbl[[#This Row],[CrudeType]]="Crude",vp.tbl[[#This Row],[Dens]]&lt;=825,vp.tbl[[#This Row],[Sulf]]&lt;=0.5,vp.tbl[[#This Row],[Unknown]]=0),1,0)</f>
        <v>1</v>
      </c>
      <c r="AB116">
        <f>IF(AND(vp.tbl[[#This Row],[CrudeType]]="Crude",vp.tbl[[#This Row],[Dens]]&gt;825,vp.tbl[[#This Row],[Dens]]&lt;=870,vp.tbl[[#This Row],[Sulf]]&gt;0.5,vp.tbl[[#This Row],[Unknown]]=0),1,0)</f>
        <v>0</v>
      </c>
      <c r="AC116">
        <f>IF(AND(vp.tbl[[#This Row],[CrudeType]]="Crude",vp.tbl[[#This Row],[Dens]]&gt;825,vp.tbl[[#This Row],[Dens]]&lt;=900,vp.tbl[[#This Row],[Sulf]]&lt;=0.5,vp.tbl[[#This Row],[Unknown]]=0),1,0)</f>
        <v>0</v>
      </c>
      <c r="AD116">
        <f>IF(AND(vp.tbl[[#This Row],[CrudeType]]="Crude",vp.tbl[[#This Row],[Dens]]&gt;870,vp.tbl[[#This Row],[Dens]]&lt;=900,vp.tbl[[#This Row],[Sulf]]&gt;0.5,vp.tbl[[#This Row],[Unknown]]=0),1,0)</f>
        <v>0</v>
      </c>
      <c r="AE116">
        <f>IF(AND(vp.tbl[[#This Row],[CrudeType]]="Crude",vp.tbl[[#This Row],[Dens]]&gt;900,vp.tbl[[#This Row],[Sulf]]&lt;=0.5,vp.tbl[[#This Row],[Unknown]]=0),1,0)</f>
        <v>0</v>
      </c>
      <c r="AF116">
        <f>IF(AND(vp.tbl[[#This Row],[CrudeType]]="Crude",vp.tbl[[#This Row],[Dens]]&gt;900,vp.tbl[[#This Row],[Sulf]]&lt;=0.5,vp.tbl[[#This Row],[Unknown]]=0),1,0)</f>
        <v>0</v>
      </c>
      <c r="AG116" t="str">
        <f>INDEX(vp.tbl[[#Headers],[Unknown]:[Heavy_SW]],MATCH(1,vp.tbl[[#This Row],[Unknown]:[Heavy_SW]],0))</f>
        <v>Light_SW</v>
      </c>
      <c r="AH116" t="e">
        <f>INDEX([1]!crudeBD.lkup[Number],MATCH(vp.tbl[[#This Row],[Crude_Breakdown]],[1]!crudeBD.lkup[Crude Breakdown],0))</f>
        <v>#REF!</v>
      </c>
      <c r="AI116">
        <f>MONTH(vp.tbl[[#This Row],[SDate]])</f>
        <v>3</v>
      </c>
      <c r="AJ116" s="5">
        <f>IFERROR(vp.tbl[[#This Row],[Sulf]]*vp.tbl[[#This Row],[Net Dens]],"")</f>
        <v>5150878.5015799999</v>
      </c>
      <c r="AK116" s="5">
        <f>IFERROR(vp.tbl[[#This Row],[Dens]]*vp.tbl[[#This Row],[VolumeM3]],"")</f>
        <v>36791989.296999998</v>
      </c>
      <c r="AL116" s="5">
        <f>IFERROR(vp.tbl[[#This Row],[VP]]*vp.tbl[[#This Row],[VolumeM3]],"")</f>
        <v>4763536.2675000001</v>
      </c>
      <c r="AM116" s="4">
        <f>IFERROR((vp.tbl[[#This Row],[VP]]-INDEX(crudeBD.lkup.complete[Mean_VP],MATCH(vp.tbl[[#This Row],[Crude_Breakdown]],crudeBD.lkup.complete[Crude Breakdown],0)))^2,"")</f>
        <v>119.8956325025198</v>
      </c>
      <c r="AN116" s="4">
        <f>IFERROR((vp.tbl[[#This Row],[Dens]]-INDEX(crudeBD.lkup.complete[Mean_Dens],MATCH(vp.tbl[[#This Row],[Crude_Breakdown]],crudeBD.lkup.complete[Crude Breakdown],0)))^2,"")</f>
        <v>79.414801199476898</v>
      </c>
      <c r="AO116" s="4">
        <f>IFERROR((vp.tbl[[#This Row],[Sulf]]-INDEX(crudeBD.lkup.complete[Mean_Sulf],MATCH(vp.tbl[[#This Row],[Crude_Breakdown]],crudeBD.lkup.complete[Crude Breakdown],0)))^2,"")</f>
        <v>9.2624863475336272E-3</v>
      </c>
      <c r="AP116">
        <f>IF(AND(vp.tbl[[#This Row],[SDate]]&gt;=DATE(YEAR(vp.tbl[[#This Row],[SDate]]),5,1),vp.tbl[[#This Row],[SDate]]&lt;=DATE(YEAR(vp.tbl[[#This Row],[SDate]]),9,15)),1,0)</f>
        <v>0</v>
      </c>
      <c r="AQ116" s="15">
        <f>IF(vp.tbl[[#This Row],[SDate]]&lt;DATE(2016,12,1),0,1)</f>
        <v>0</v>
      </c>
    </row>
    <row r="117" spans="1:43" x14ac:dyDescent="0.25">
      <c r="A117">
        <v>116</v>
      </c>
      <c r="B117" t="s">
        <v>62</v>
      </c>
      <c r="C117" t="s">
        <v>62</v>
      </c>
      <c r="D117" t="s">
        <v>79</v>
      </c>
      <c r="F117" s="1">
        <v>42451</v>
      </c>
      <c r="G117" s="2">
        <v>82</v>
      </c>
      <c r="H117" s="2"/>
      <c r="I117" s="2">
        <v>0.26</v>
      </c>
      <c r="J117" s="2"/>
      <c r="K117" s="2"/>
      <c r="L117" s="2">
        <v>806.6</v>
      </c>
      <c r="M117" s="2">
        <v>806.6</v>
      </c>
      <c r="N117" s="2">
        <f ca="1">INDEX(INDIRECT(_xlfn.CONCAT("weather.tbl[",N$1,"]")),MATCH(vp.tbl[[#This Row],[SDate]],weather.tbl[Date],0))</f>
        <v>-4.7333333333333334</v>
      </c>
      <c r="O117" s="2">
        <f ca="1">INDEX(INDIRECT(_xlfn.CONCAT("weather.tbl[",O$1,"]")),MATCH(vp.tbl[[#This Row],[SDate]],weather.tbl[Date],0))</f>
        <v>-2.3452380952380953</v>
      </c>
      <c r="P117" s="2">
        <f ca="1">INDEX(INDIRECT(_xlfn.CONCAT("weather.tbl[",P$1,"]")),MATCH(vp.tbl[[#This Row],[SDate]],weather.tbl[Date],0))</f>
        <v>-3.1</v>
      </c>
      <c r="Q117" s="2">
        <f ca="1">INDEX(INDIRECT(_xlfn.CONCAT("weather.tbl[",Q$1,"]")),MATCH(vp.tbl[[#This Row],[SDate]],weather.tbl[Date],0))</f>
        <v>-3.7</v>
      </c>
      <c r="R117" s="2">
        <f ca="1">INDEX(INDIRECT(_xlfn.CONCAT("weather.tbl[",R$1,"]")),MATCH(vp.tbl[[#This Row],[SDate]],weather.tbl[Date],0))</f>
        <v>-6</v>
      </c>
      <c r="S117" s="2">
        <f ca="1">INDEX(INDIRECT(_xlfn.CONCAT("weather.tbl[",S$1,"]")),MATCH(vp.tbl[[#This Row],[SDate]],weather.tbl[Date],0))</f>
        <v>-3.3</v>
      </c>
      <c r="T117" s="2">
        <f ca="1">INDEX(INDIRECT(_xlfn.CONCAT("weather.tbl[",T$1,"]")),MATCH(vp.tbl[[#This Row],[SDate]],weather.tbl[Date],0))</f>
        <v>-6.5</v>
      </c>
      <c r="U117" s="2">
        <f ca="1">INDEX(INDIRECT(_xlfn.CONCAT("weather.tbl[",U$1,"]")),MATCH(vp.tbl[[#This Row],[SDate]],weather.tbl[Date],0))</f>
        <v>-5.8</v>
      </c>
      <c r="V117" s="2">
        <v>15865.705</v>
      </c>
      <c r="W117" t="s">
        <v>48</v>
      </c>
      <c r="X117">
        <f>IF(OR(vp.tbl[[#This Row],[Sulf]]="",vp.tbl[[#This Row],[Dens]]=""),1,0)</f>
        <v>0</v>
      </c>
      <c r="Y117">
        <f>IF(vp.tbl[[#This Row],[CrudeType]]="C5+",1,0)</f>
        <v>0</v>
      </c>
      <c r="Z117">
        <f>IF(AND(vp.tbl[[#This Row],[CrudeType]]="Crude",vp.tbl[[#This Row],[Dens]]&lt;=825,vp.tbl[[#This Row],[Sulf]]&gt;0.5,vp.tbl[[#This Row],[Unknown]]=0),1,0)</f>
        <v>0</v>
      </c>
      <c r="AA117">
        <f>IF(AND(vp.tbl[[#This Row],[CrudeType]]="Crude",vp.tbl[[#This Row],[Dens]]&lt;=825,vp.tbl[[#This Row],[Sulf]]&lt;=0.5,vp.tbl[[#This Row],[Unknown]]=0),1,0)</f>
        <v>1</v>
      </c>
      <c r="AB117">
        <f>IF(AND(vp.tbl[[#This Row],[CrudeType]]="Crude",vp.tbl[[#This Row],[Dens]]&gt;825,vp.tbl[[#This Row],[Dens]]&lt;=870,vp.tbl[[#This Row],[Sulf]]&gt;0.5,vp.tbl[[#This Row],[Unknown]]=0),1,0)</f>
        <v>0</v>
      </c>
      <c r="AC117">
        <f>IF(AND(vp.tbl[[#This Row],[CrudeType]]="Crude",vp.tbl[[#This Row],[Dens]]&gt;825,vp.tbl[[#This Row],[Dens]]&lt;=900,vp.tbl[[#This Row],[Sulf]]&lt;=0.5,vp.tbl[[#This Row],[Unknown]]=0),1,0)</f>
        <v>0</v>
      </c>
      <c r="AD117">
        <f>IF(AND(vp.tbl[[#This Row],[CrudeType]]="Crude",vp.tbl[[#This Row],[Dens]]&gt;870,vp.tbl[[#This Row],[Dens]]&lt;=900,vp.tbl[[#This Row],[Sulf]]&gt;0.5,vp.tbl[[#This Row],[Unknown]]=0),1,0)</f>
        <v>0</v>
      </c>
      <c r="AE117">
        <f>IF(AND(vp.tbl[[#This Row],[CrudeType]]="Crude",vp.tbl[[#This Row],[Dens]]&gt;900,vp.tbl[[#This Row],[Sulf]]&lt;=0.5,vp.tbl[[#This Row],[Unknown]]=0),1,0)</f>
        <v>0</v>
      </c>
      <c r="AF117">
        <f>IF(AND(vp.tbl[[#This Row],[CrudeType]]="Crude",vp.tbl[[#This Row],[Dens]]&gt;900,vp.tbl[[#This Row],[Sulf]]&lt;=0.5,vp.tbl[[#This Row],[Unknown]]=0),1,0)</f>
        <v>0</v>
      </c>
      <c r="AG117" t="str">
        <f>INDEX(vp.tbl[[#Headers],[Unknown]:[Heavy_SW]],MATCH(1,vp.tbl[[#This Row],[Unknown]:[Heavy_SW]],0))</f>
        <v>Light_SW</v>
      </c>
      <c r="AH117" t="e">
        <f>INDEX([1]!crudeBD.lkup[Number],MATCH(vp.tbl[[#This Row],[Crude_Breakdown]],[1]!crudeBD.lkup[Crude Breakdown],0))</f>
        <v>#REF!</v>
      </c>
      <c r="AI117">
        <f>MONTH(vp.tbl[[#This Row],[SDate]])</f>
        <v>3</v>
      </c>
      <c r="AJ117" s="5">
        <f>IFERROR(vp.tbl[[#This Row],[Sulf]]*vp.tbl[[#This Row],[Net Dens]],"")</f>
        <v>3327292.1897800001</v>
      </c>
      <c r="AK117" s="5">
        <f>IFERROR(vp.tbl[[#This Row],[Dens]]*vp.tbl[[#This Row],[VolumeM3]],"")</f>
        <v>12797277.653000001</v>
      </c>
      <c r="AL117" s="5">
        <f>IFERROR(vp.tbl[[#This Row],[VP]]*vp.tbl[[#This Row],[VolumeM3]],"")</f>
        <v>1300987.81</v>
      </c>
      <c r="AM117" s="4">
        <f>IFERROR((vp.tbl[[#This Row],[VP]]-INDEX(crudeBD.lkup.complete[Mean_VP],MATCH(vp.tbl[[#This Row],[Crude_Breakdown]],crudeBD.lkup.complete[Crude Breakdown],0)))^2,"")</f>
        <v>111.30911682307602</v>
      </c>
      <c r="AN117" s="4">
        <f>IFERROR((vp.tbl[[#This Row],[Dens]]-INDEX(crudeBD.lkup.complete[Mean_Dens],MATCH(vp.tbl[[#This Row],[Crude_Breakdown]],crudeBD.lkup.complete[Crude Breakdown],0)))^2,"")</f>
        <v>2.9292262865875758</v>
      </c>
      <c r="AO117" s="4">
        <f>IFERROR((vp.tbl[[#This Row],[Sulf]]-INDEX(crudeBD.lkup.complete[Mean_Sulf],MATCH(vp.tbl[[#This Row],[Crude_Breakdown]],crudeBD.lkup.complete[Crude Breakdown],0)))^2,"")</f>
        <v>5.644515043280923E-4</v>
      </c>
      <c r="AP117">
        <f>IF(AND(vp.tbl[[#This Row],[SDate]]&gt;=DATE(YEAR(vp.tbl[[#This Row],[SDate]]),5,1),vp.tbl[[#This Row],[SDate]]&lt;=DATE(YEAR(vp.tbl[[#This Row],[SDate]]),9,15)),1,0)</f>
        <v>0</v>
      </c>
      <c r="AQ117" s="15">
        <f>IF(vp.tbl[[#This Row],[SDate]]&lt;DATE(2016,12,1),0,1)</f>
        <v>0</v>
      </c>
    </row>
    <row r="118" spans="1:43" x14ac:dyDescent="0.25">
      <c r="A118">
        <v>117</v>
      </c>
      <c r="B118" t="s">
        <v>51</v>
      </c>
      <c r="C118" t="s">
        <v>51</v>
      </c>
      <c r="D118" t="s">
        <v>58</v>
      </c>
      <c r="F118" s="1">
        <v>42452</v>
      </c>
      <c r="G118" s="2">
        <v>96.6</v>
      </c>
      <c r="H118" s="2"/>
      <c r="I118" s="2">
        <v>1.22</v>
      </c>
      <c r="J118" s="2"/>
      <c r="K118" s="2"/>
      <c r="L118" s="2">
        <v>813.4</v>
      </c>
      <c r="M118" s="2">
        <v>813.4</v>
      </c>
      <c r="N118" s="2">
        <f ca="1">INDEX(INDIRECT(_xlfn.CONCAT("weather.tbl[",N$1,"]")),MATCH(vp.tbl[[#This Row],[SDate]],weather.tbl[Date],0))</f>
        <v>-5.9000000000000012</v>
      </c>
      <c r="O118" s="2">
        <f ca="1">INDEX(INDIRECT(_xlfn.CONCAT("weather.tbl[",O$1,"]")),MATCH(vp.tbl[[#This Row],[SDate]],weather.tbl[Date],0))</f>
        <v>-3.1238095238095238</v>
      </c>
      <c r="P118" s="2">
        <f ca="1">INDEX(INDIRECT(_xlfn.CONCAT("weather.tbl[",P$1,"]")),MATCH(vp.tbl[[#This Row],[SDate]],weather.tbl[Date],0))</f>
        <v>-2.2999999999999998</v>
      </c>
      <c r="Q118" s="2">
        <f ca="1">INDEX(INDIRECT(_xlfn.CONCAT("weather.tbl[",Q$1,"]")),MATCH(vp.tbl[[#This Row],[SDate]],weather.tbl[Date],0))</f>
        <v>-5.4</v>
      </c>
      <c r="R118" s="2">
        <f ca="1">INDEX(INDIRECT(_xlfn.CONCAT("weather.tbl[",R$1,"]")),MATCH(vp.tbl[[#This Row],[SDate]],weather.tbl[Date],0))</f>
        <v>-5.3</v>
      </c>
      <c r="S118" s="2">
        <f ca="1">INDEX(INDIRECT(_xlfn.CONCAT("weather.tbl[",S$1,"]")),MATCH(vp.tbl[[#This Row],[SDate]],weather.tbl[Date],0))</f>
        <v>-3.3</v>
      </c>
      <c r="T118" s="2">
        <f ca="1">INDEX(INDIRECT(_xlfn.CONCAT("weather.tbl[",T$1,"]")),MATCH(vp.tbl[[#This Row],[SDate]],weather.tbl[Date],0))</f>
        <v>-9.3000000000000007</v>
      </c>
      <c r="U118" s="2">
        <f ca="1">INDEX(INDIRECT(_xlfn.CONCAT("weather.tbl[",U$1,"]")),MATCH(vp.tbl[[#This Row],[SDate]],weather.tbl[Date],0))</f>
        <v>-9.8000000000000007</v>
      </c>
      <c r="V118" s="2">
        <v>6831.9229999999998</v>
      </c>
      <c r="W118" t="s">
        <v>48</v>
      </c>
      <c r="X118">
        <f>IF(OR(vp.tbl[[#This Row],[Sulf]]="",vp.tbl[[#This Row],[Dens]]=""),1,0)</f>
        <v>0</v>
      </c>
      <c r="Y118">
        <f>IF(vp.tbl[[#This Row],[CrudeType]]="C5+",1,0)</f>
        <v>0</v>
      </c>
      <c r="Z118">
        <f>IF(AND(vp.tbl[[#This Row],[CrudeType]]="Crude",vp.tbl[[#This Row],[Dens]]&lt;=825,vp.tbl[[#This Row],[Sulf]]&gt;0.5,vp.tbl[[#This Row],[Unknown]]=0),1,0)</f>
        <v>1</v>
      </c>
      <c r="AA118">
        <f>IF(AND(vp.tbl[[#This Row],[CrudeType]]="Crude",vp.tbl[[#This Row],[Dens]]&lt;=825,vp.tbl[[#This Row],[Sulf]]&lt;=0.5,vp.tbl[[#This Row],[Unknown]]=0),1,0)</f>
        <v>0</v>
      </c>
      <c r="AB118">
        <f>IF(AND(vp.tbl[[#This Row],[CrudeType]]="Crude",vp.tbl[[#This Row],[Dens]]&gt;825,vp.tbl[[#This Row],[Dens]]&lt;=870,vp.tbl[[#This Row],[Sulf]]&gt;0.5,vp.tbl[[#This Row],[Unknown]]=0),1,0)</f>
        <v>0</v>
      </c>
      <c r="AC118">
        <f>IF(AND(vp.tbl[[#This Row],[CrudeType]]="Crude",vp.tbl[[#This Row],[Dens]]&gt;825,vp.tbl[[#This Row],[Dens]]&lt;=900,vp.tbl[[#This Row],[Sulf]]&lt;=0.5,vp.tbl[[#This Row],[Unknown]]=0),1,0)</f>
        <v>0</v>
      </c>
      <c r="AD118">
        <f>IF(AND(vp.tbl[[#This Row],[CrudeType]]="Crude",vp.tbl[[#This Row],[Dens]]&gt;870,vp.tbl[[#This Row],[Dens]]&lt;=900,vp.tbl[[#This Row],[Sulf]]&gt;0.5,vp.tbl[[#This Row],[Unknown]]=0),1,0)</f>
        <v>0</v>
      </c>
      <c r="AE118">
        <f>IF(AND(vp.tbl[[#This Row],[CrudeType]]="Crude",vp.tbl[[#This Row],[Dens]]&gt;900,vp.tbl[[#This Row],[Sulf]]&lt;=0.5,vp.tbl[[#This Row],[Unknown]]=0),1,0)</f>
        <v>0</v>
      </c>
      <c r="AF118">
        <f>IF(AND(vp.tbl[[#This Row],[CrudeType]]="Crude",vp.tbl[[#This Row],[Dens]]&gt;900,vp.tbl[[#This Row],[Sulf]]&lt;=0.5,vp.tbl[[#This Row],[Unknown]]=0),1,0)</f>
        <v>0</v>
      </c>
      <c r="AG118" t="str">
        <f>INDEX(vp.tbl[[#Headers],[Unknown]:[Heavy_SW]],MATCH(1,vp.tbl[[#This Row],[Unknown]:[Heavy_SW]],0))</f>
        <v>Light_LSB</v>
      </c>
      <c r="AH118" t="e">
        <f>INDEX([1]!crudeBD.lkup[Number],MATCH(vp.tbl[[#This Row],[Crude_Breakdown]],[1]!crudeBD.lkup[Crude Breakdown],0))</f>
        <v>#REF!</v>
      </c>
      <c r="AI118">
        <f>MONTH(vp.tbl[[#This Row],[SDate]])</f>
        <v>3</v>
      </c>
      <c r="AJ118" s="5">
        <f>IFERROR(vp.tbl[[#This Row],[Sulf]]*vp.tbl[[#This Row],[Net Dens]],"")</f>
        <v>6779645.1252039988</v>
      </c>
      <c r="AK118" s="5">
        <f>IFERROR(vp.tbl[[#This Row],[Dens]]*vp.tbl[[#This Row],[VolumeM3]],"")</f>
        <v>5557086.1681999993</v>
      </c>
      <c r="AL118" s="5">
        <f>IFERROR(vp.tbl[[#This Row],[VP]]*vp.tbl[[#This Row],[VolumeM3]],"")</f>
        <v>659963.76179999998</v>
      </c>
      <c r="AM118" s="4">
        <f>IFERROR((vp.tbl[[#This Row],[VP]]-INDEX(crudeBD.lkup.complete[Mean_VP],MATCH(vp.tbl[[#This Row],[Crude_Breakdown]],crudeBD.lkup.complete[Crude Breakdown],0)))^2,"")</f>
        <v>25.541040323094538</v>
      </c>
      <c r="AN118" s="4">
        <f>IFERROR((vp.tbl[[#This Row],[Dens]]-INDEX(crudeBD.lkup.complete[Mean_Dens],MATCH(vp.tbl[[#This Row],[Crude_Breakdown]],crudeBD.lkup.complete[Crude Breakdown],0)))^2,"")</f>
        <v>26.181332771220788</v>
      </c>
      <c r="AO118" s="4">
        <f>IFERROR((vp.tbl[[#This Row],[Sulf]]-INDEX(crudeBD.lkup.complete[Mean_Sulf],MATCH(vp.tbl[[#This Row],[Crude_Breakdown]],crudeBD.lkup.complete[Crude Breakdown],0)))^2,"")</f>
        <v>8.822612681064361E-2</v>
      </c>
      <c r="AP118">
        <f>IF(AND(vp.tbl[[#This Row],[SDate]]&gt;=DATE(YEAR(vp.tbl[[#This Row],[SDate]]),5,1),vp.tbl[[#This Row],[SDate]]&lt;=DATE(YEAR(vp.tbl[[#This Row],[SDate]]),9,15)),1,0)</f>
        <v>0</v>
      </c>
      <c r="AQ118" s="15">
        <f>IF(vp.tbl[[#This Row],[SDate]]&lt;DATE(2016,12,1),0,1)</f>
        <v>0</v>
      </c>
    </row>
    <row r="119" spans="1:43" x14ac:dyDescent="0.25">
      <c r="A119">
        <v>118</v>
      </c>
      <c r="B119" t="s">
        <v>49</v>
      </c>
      <c r="C119" t="s">
        <v>49</v>
      </c>
      <c r="D119" t="s">
        <v>82</v>
      </c>
      <c r="F119" s="1">
        <v>42453</v>
      </c>
      <c r="G119" s="2">
        <v>90.6</v>
      </c>
      <c r="H119" s="2"/>
      <c r="I119" s="2">
        <v>2.2799999999999998</v>
      </c>
      <c r="J119" s="2"/>
      <c r="K119" s="2"/>
      <c r="L119" s="2">
        <v>868.8</v>
      </c>
      <c r="M119" s="2">
        <v>868.8</v>
      </c>
      <c r="N119" s="2">
        <f ca="1">INDEX(INDIRECT(_xlfn.CONCAT("weather.tbl[",N$1,"]")),MATCH(vp.tbl[[#This Row],[SDate]],weather.tbl[Date],0))</f>
        <v>2</v>
      </c>
      <c r="O119" s="2">
        <f ca="1">INDEX(INDIRECT(_xlfn.CONCAT("weather.tbl[",O$1,"]")),MATCH(vp.tbl[[#This Row],[SDate]],weather.tbl[Date],0))</f>
        <v>-2.2214285714285715</v>
      </c>
      <c r="P119" s="2">
        <f ca="1">INDEX(INDIRECT(_xlfn.CONCAT("weather.tbl[",P$1,"]")),MATCH(vp.tbl[[#This Row],[SDate]],weather.tbl[Date],0))</f>
        <v>3.1</v>
      </c>
      <c r="Q119" s="2">
        <f ca="1">INDEX(INDIRECT(_xlfn.CONCAT("weather.tbl[",Q$1,"]")),MATCH(vp.tbl[[#This Row],[SDate]],weather.tbl[Date],0))</f>
        <v>2.6</v>
      </c>
      <c r="R119" s="2">
        <f ca="1">INDEX(INDIRECT(_xlfn.CONCAT("weather.tbl[",R$1,"]")),MATCH(vp.tbl[[#This Row],[SDate]],weather.tbl[Date],0))</f>
        <v>1</v>
      </c>
      <c r="S119" s="2">
        <f ca="1">INDEX(INDIRECT(_xlfn.CONCAT("weather.tbl[",S$1,"]")),MATCH(vp.tbl[[#This Row],[SDate]],weather.tbl[Date],0))</f>
        <v>2.2999999999999998</v>
      </c>
      <c r="T119" s="2">
        <f ca="1">INDEX(INDIRECT(_xlfn.CONCAT("weather.tbl[",T$1,"]")),MATCH(vp.tbl[[#This Row],[SDate]],weather.tbl[Date],0))</f>
        <v>3</v>
      </c>
      <c r="U119" s="2">
        <f ca="1">INDEX(INDIRECT(_xlfn.CONCAT("weather.tbl[",U$1,"]")),MATCH(vp.tbl[[#This Row],[SDate]],weather.tbl[Date],0))</f>
        <v>0</v>
      </c>
      <c r="V119" s="2">
        <v>1596.855</v>
      </c>
      <c r="W119" t="s">
        <v>48</v>
      </c>
      <c r="X119">
        <f>IF(OR(vp.tbl[[#This Row],[Sulf]]="",vp.tbl[[#This Row],[Dens]]=""),1,0)</f>
        <v>0</v>
      </c>
      <c r="Y119">
        <f>IF(vp.tbl[[#This Row],[CrudeType]]="C5+",1,0)</f>
        <v>0</v>
      </c>
      <c r="Z119">
        <f>IF(AND(vp.tbl[[#This Row],[CrudeType]]="Crude",vp.tbl[[#This Row],[Dens]]&lt;=825,vp.tbl[[#This Row],[Sulf]]&gt;0.5,vp.tbl[[#This Row],[Unknown]]=0),1,0)</f>
        <v>0</v>
      </c>
      <c r="AA119">
        <f>IF(AND(vp.tbl[[#This Row],[CrudeType]]="Crude",vp.tbl[[#This Row],[Dens]]&lt;=825,vp.tbl[[#This Row],[Sulf]]&lt;=0.5,vp.tbl[[#This Row],[Unknown]]=0),1,0)</f>
        <v>0</v>
      </c>
      <c r="AB119">
        <f>IF(AND(vp.tbl[[#This Row],[CrudeType]]="Crude",vp.tbl[[#This Row],[Dens]]&gt;825,vp.tbl[[#This Row],[Dens]]&lt;=870,vp.tbl[[#This Row],[Sulf]]&gt;0.5,vp.tbl[[#This Row],[Unknown]]=0),1,0)</f>
        <v>1</v>
      </c>
      <c r="AC119">
        <f>IF(AND(vp.tbl[[#This Row],[CrudeType]]="Crude",vp.tbl[[#This Row],[Dens]]&gt;825,vp.tbl[[#This Row],[Dens]]&lt;=900,vp.tbl[[#This Row],[Sulf]]&lt;=0.5,vp.tbl[[#This Row],[Unknown]]=0),1,0)</f>
        <v>0</v>
      </c>
      <c r="AD119">
        <f>IF(AND(vp.tbl[[#This Row],[CrudeType]]="Crude",vp.tbl[[#This Row],[Dens]]&gt;870,vp.tbl[[#This Row],[Dens]]&lt;=900,vp.tbl[[#This Row],[Sulf]]&gt;0.5,vp.tbl[[#This Row],[Unknown]]=0),1,0)</f>
        <v>0</v>
      </c>
      <c r="AE119">
        <f>IF(AND(vp.tbl[[#This Row],[CrudeType]]="Crude",vp.tbl[[#This Row],[Dens]]&gt;900,vp.tbl[[#This Row],[Sulf]]&lt;=0.5,vp.tbl[[#This Row],[Unknown]]=0),1,0)</f>
        <v>0</v>
      </c>
      <c r="AF119">
        <f>IF(AND(vp.tbl[[#This Row],[CrudeType]]="Crude",vp.tbl[[#This Row],[Dens]]&gt;900,vp.tbl[[#This Row],[Sulf]]&lt;=0.5,vp.tbl[[#This Row],[Unknown]]=0),1,0)</f>
        <v>0</v>
      </c>
      <c r="AG119" t="str">
        <f>INDEX(vp.tbl[[#Headers],[Unknown]:[Heavy_SW]],MATCH(1,vp.tbl[[#This Row],[Unknown]:[Heavy_SW]],0))</f>
        <v>Medium_LSB</v>
      </c>
      <c r="AH119" t="e">
        <f>INDEX([1]!crudeBD.lkup[Number],MATCH(vp.tbl[[#This Row],[Crude_Breakdown]],[1]!crudeBD.lkup[Crude Breakdown],0))</f>
        <v>#REF!</v>
      </c>
      <c r="AI119">
        <f>MONTH(vp.tbl[[#This Row],[SDate]])</f>
        <v>3</v>
      </c>
      <c r="AJ119" s="5">
        <f>IFERROR(vp.tbl[[#This Row],[Sulf]]*vp.tbl[[#This Row],[Net Dens]],"")</f>
        <v>3163152.5827199994</v>
      </c>
      <c r="AK119" s="5">
        <f>IFERROR(vp.tbl[[#This Row],[Dens]]*vp.tbl[[#This Row],[VolumeM3]],"")</f>
        <v>1387347.6239999998</v>
      </c>
      <c r="AL119" s="5">
        <f>IFERROR(vp.tbl[[#This Row],[VP]]*vp.tbl[[#This Row],[VolumeM3]],"")</f>
        <v>144675.06299999999</v>
      </c>
      <c r="AM119" s="4">
        <f>IFERROR((vp.tbl[[#This Row],[VP]]-INDEX(crudeBD.lkup.complete[Mean_VP],MATCH(vp.tbl[[#This Row],[Crude_Breakdown]],crudeBD.lkup.complete[Crude Breakdown],0)))^2,"")</f>
        <v>108.70992254382375</v>
      </c>
      <c r="AN119" s="4">
        <f>IFERROR((vp.tbl[[#This Row],[Dens]]-INDEX(crudeBD.lkup.complete[Mean_Dens],MATCH(vp.tbl[[#This Row],[Crude_Breakdown]],crudeBD.lkup.complete[Crude Breakdown],0)))^2,"")</f>
        <v>552.63439598081652</v>
      </c>
      <c r="AO119" s="4">
        <f>IFERROR((vp.tbl[[#This Row],[Sulf]]-INDEX(crudeBD.lkup.complete[Mean_Sulf],MATCH(vp.tbl[[#This Row],[Crude_Breakdown]],crudeBD.lkup.complete[Crude Breakdown],0)))^2,"")</f>
        <v>0.68074073466634577</v>
      </c>
      <c r="AP119">
        <f>IF(AND(vp.tbl[[#This Row],[SDate]]&gt;=DATE(YEAR(vp.tbl[[#This Row],[SDate]]),5,1),vp.tbl[[#This Row],[SDate]]&lt;=DATE(YEAR(vp.tbl[[#This Row],[SDate]]),9,15)),1,0)</f>
        <v>0</v>
      </c>
      <c r="AQ119" s="15">
        <f>IF(vp.tbl[[#This Row],[SDate]]&lt;DATE(2016,12,1),0,1)</f>
        <v>0</v>
      </c>
    </row>
    <row r="120" spans="1:43" x14ac:dyDescent="0.25">
      <c r="A120">
        <v>119</v>
      </c>
      <c r="B120" t="s">
        <v>51</v>
      </c>
      <c r="C120" t="s">
        <v>51</v>
      </c>
      <c r="D120" t="s">
        <v>66</v>
      </c>
      <c r="F120" s="1">
        <v>42458</v>
      </c>
      <c r="G120" s="2">
        <v>84.4</v>
      </c>
      <c r="H120" s="2"/>
      <c r="I120" s="2">
        <v>0.91</v>
      </c>
      <c r="J120" s="2"/>
      <c r="K120" s="2"/>
      <c r="L120" s="2">
        <v>827.5</v>
      </c>
      <c r="M120" s="2">
        <v>827.5</v>
      </c>
      <c r="N120" s="2">
        <f ca="1">INDEX(INDIRECT(_xlfn.CONCAT("weather.tbl[",N$1,"]")),MATCH(vp.tbl[[#This Row],[SDate]],weather.tbl[Date],0))</f>
        <v>5.05</v>
      </c>
      <c r="O120" s="2">
        <f ca="1">INDEX(INDIRECT(_xlfn.CONCAT("weather.tbl[",O$1,"]")),MATCH(vp.tbl[[#This Row],[SDate]],weather.tbl[Date],0))</f>
        <v>0.52857142857142825</v>
      </c>
      <c r="P120" s="2">
        <f ca="1">INDEX(INDIRECT(_xlfn.CONCAT("weather.tbl[",P$1,"]")),MATCH(vp.tbl[[#This Row],[SDate]],weather.tbl[Date],0))</f>
        <v>4.5999999999999996</v>
      </c>
      <c r="Q120" s="2">
        <f ca="1">INDEX(INDIRECT(_xlfn.CONCAT("weather.tbl[",Q$1,"]")),MATCH(vp.tbl[[#This Row],[SDate]],weather.tbl[Date],0))</f>
        <v>5.9</v>
      </c>
      <c r="R120" s="2">
        <f ca="1">INDEX(INDIRECT(_xlfn.CONCAT("weather.tbl[",R$1,"]")),MATCH(vp.tbl[[#This Row],[SDate]],weather.tbl[Date],0))</f>
        <v>4</v>
      </c>
      <c r="S120" s="2">
        <f ca="1">INDEX(INDIRECT(_xlfn.CONCAT("weather.tbl[",S$1,"]")),MATCH(vp.tbl[[#This Row],[SDate]],weather.tbl[Date],0))</f>
        <v>6.5</v>
      </c>
      <c r="T120" s="2">
        <f ca="1">INDEX(INDIRECT(_xlfn.CONCAT("weather.tbl[",T$1,"]")),MATCH(vp.tbl[[#This Row],[SDate]],weather.tbl[Date],0))</f>
        <v>4.3</v>
      </c>
      <c r="U120" s="2">
        <f ca="1">INDEX(INDIRECT(_xlfn.CONCAT("weather.tbl[",U$1,"]")),MATCH(vp.tbl[[#This Row],[SDate]],weather.tbl[Date],0))</f>
        <v>5</v>
      </c>
      <c r="V120" s="2">
        <v>4604.1419999999998</v>
      </c>
      <c r="W120" t="s">
        <v>48</v>
      </c>
      <c r="X120">
        <f>IF(OR(vp.tbl[[#This Row],[Sulf]]="",vp.tbl[[#This Row],[Dens]]=""),1,0)</f>
        <v>0</v>
      </c>
      <c r="Y120">
        <f>IF(vp.tbl[[#This Row],[CrudeType]]="C5+",1,0)</f>
        <v>0</v>
      </c>
      <c r="Z120">
        <f>IF(AND(vp.tbl[[#This Row],[CrudeType]]="Crude",vp.tbl[[#This Row],[Dens]]&lt;=825,vp.tbl[[#This Row],[Sulf]]&gt;0.5,vp.tbl[[#This Row],[Unknown]]=0),1,0)</f>
        <v>0</v>
      </c>
      <c r="AA120">
        <f>IF(AND(vp.tbl[[#This Row],[CrudeType]]="Crude",vp.tbl[[#This Row],[Dens]]&lt;=825,vp.tbl[[#This Row],[Sulf]]&lt;=0.5,vp.tbl[[#This Row],[Unknown]]=0),1,0)</f>
        <v>0</v>
      </c>
      <c r="AB120">
        <f>IF(AND(vp.tbl[[#This Row],[CrudeType]]="Crude",vp.tbl[[#This Row],[Dens]]&gt;825,vp.tbl[[#This Row],[Dens]]&lt;=870,vp.tbl[[#This Row],[Sulf]]&gt;0.5,vp.tbl[[#This Row],[Unknown]]=0),1,0)</f>
        <v>1</v>
      </c>
      <c r="AC120">
        <f>IF(AND(vp.tbl[[#This Row],[CrudeType]]="Crude",vp.tbl[[#This Row],[Dens]]&gt;825,vp.tbl[[#This Row],[Dens]]&lt;=900,vp.tbl[[#This Row],[Sulf]]&lt;=0.5,vp.tbl[[#This Row],[Unknown]]=0),1,0)</f>
        <v>0</v>
      </c>
      <c r="AD120">
        <f>IF(AND(vp.tbl[[#This Row],[CrudeType]]="Crude",vp.tbl[[#This Row],[Dens]]&gt;870,vp.tbl[[#This Row],[Dens]]&lt;=900,vp.tbl[[#This Row],[Sulf]]&gt;0.5,vp.tbl[[#This Row],[Unknown]]=0),1,0)</f>
        <v>0</v>
      </c>
      <c r="AE120">
        <f>IF(AND(vp.tbl[[#This Row],[CrudeType]]="Crude",vp.tbl[[#This Row],[Dens]]&gt;900,vp.tbl[[#This Row],[Sulf]]&lt;=0.5,vp.tbl[[#This Row],[Unknown]]=0),1,0)</f>
        <v>0</v>
      </c>
      <c r="AF120">
        <f>IF(AND(vp.tbl[[#This Row],[CrudeType]]="Crude",vp.tbl[[#This Row],[Dens]]&gt;900,vp.tbl[[#This Row],[Sulf]]&lt;=0.5,vp.tbl[[#This Row],[Unknown]]=0),1,0)</f>
        <v>0</v>
      </c>
      <c r="AG120" t="str">
        <f>INDEX(vp.tbl[[#Headers],[Unknown]:[Heavy_SW]],MATCH(1,vp.tbl[[#This Row],[Unknown]:[Heavy_SW]],0))</f>
        <v>Medium_LSB</v>
      </c>
      <c r="AH120" t="e">
        <f>INDEX([1]!crudeBD.lkup[Number],MATCH(vp.tbl[[#This Row],[Crude_Breakdown]],[1]!crudeBD.lkup[Crude Breakdown],0))</f>
        <v>#REF!</v>
      </c>
      <c r="AI120">
        <f>MONTH(vp.tbl[[#This Row],[SDate]])</f>
        <v>3</v>
      </c>
      <c r="AJ120" s="5">
        <f>IFERROR(vp.tbl[[#This Row],[Sulf]]*vp.tbl[[#This Row],[Net Dens]],"")</f>
        <v>3467034.0295500001</v>
      </c>
      <c r="AK120" s="5">
        <f>IFERROR(vp.tbl[[#This Row],[Dens]]*vp.tbl[[#This Row],[VolumeM3]],"")</f>
        <v>3809927.5049999999</v>
      </c>
      <c r="AL120" s="5">
        <f>IFERROR(vp.tbl[[#This Row],[VP]]*vp.tbl[[#This Row],[VolumeM3]],"")</f>
        <v>388589.58480000001</v>
      </c>
      <c r="AM120" s="4">
        <f>IFERROR((vp.tbl[[#This Row],[VP]]-INDEX(crudeBD.lkup.complete[Mean_VP],MATCH(vp.tbl[[#This Row],[Crude_Breakdown]],crudeBD.lkup.complete[Crude Breakdown],0)))^2,"")</f>
        <v>17.862499759013339</v>
      </c>
      <c r="AN120" s="4">
        <f>IFERROR((vp.tbl[[#This Row],[Dens]]-INDEX(crudeBD.lkup.complete[Mean_Dens],MATCH(vp.tbl[[#This Row],[Crude_Breakdown]],crudeBD.lkup.complete[Crude Breakdown],0)))^2,"")</f>
        <v>316.54895800605374</v>
      </c>
      <c r="AO120" s="4">
        <f>IFERROR((vp.tbl[[#This Row],[Sulf]]-INDEX(crudeBD.lkup.complete[Mean_Sulf],MATCH(vp.tbl[[#This Row],[Crude_Breakdown]],crudeBD.lkup.complete[Crude Breakdown],0)))^2,"")</f>
        <v>0.29694855314736274</v>
      </c>
      <c r="AP120">
        <f>IF(AND(vp.tbl[[#This Row],[SDate]]&gt;=DATE(YEAR(vp.tbl[[#This Row],[SDate]]),5,1),vp.tbl[[#This Row],[SDate]]&lt;=DATE(YEAR(vp.tbl[[#This Row],[SDate]]),9,15)),1,0)</f>
        <v>0</v>
      </c>
      <c r="AQ120" s="15">
        <f>IF(vp.tbl[[#This Row],[SDate]]&lt;DATE(2016,12,1),0,1)</f>
        <v>0</v>
      </c>
    </row>
    <row r="121" spans="1:43" x14ac:dyDescent="0.25">
      <c r="A121">
        <v>120</v>
      </c>
      <c r="B121" t="s">
        <v>60</v>
      </c>
      <c r="C121" t="s">
        <v>60</v>
      </c>
      <c r="D121" t="s">
        <v>61</v>
      </c>
      <c r="E121" t="s">
        <v>73</v>
      </c>
      <c r="F121" s="1">
        <v>42461</v>
      </c>
      <c r="G121" s="2">
        <v>68.900000000000006</v>
      </c>
      <c r="H121" s="2"/>
      <c r="I121" s="2">
        <v>1.1499999999999999</v>
      </c>
      <c r="J121" s="2"/>
      <c r="K121" s="2"/>
      <c r="L121" s="2"/>
      <c r="M121" s="2">
        <v>822.6</v>
      </c>
      <c r="N121" s="2">
        <f ca="1">INDEX(INDIRECT(_xlfn.CONCAT("weather.tbl[",N$1,"]")),MATCH(vp.tbl[[#This Row],[SDate]],weather.tbl[Date],0))</f>
        <v>0.46666666666666662</v>
      </c>
      <c r="O121" s="2">
        <f ca="1">INDEX(INDIRECT(_xlfn.CONCAT("weather.tbl[",O$1,"]")),MATCH(vp.tbl[[#This Row],[SDate]],weather.tbl[Date],0))</f>
        <v>2.1190476190476191</v>
      </c>
      <c r="P121" s="2">
        <f ca="1">INDEX(INDIRECT(_xlfn.CONCAT("weather.tbl[",P$1,"]")),MATCH(vp.tbl[[#This Row],[SDate]],weather.tbl[Date],0))</f>
        <v>0.7</v>
      </c>
      <c r="Q121" s="2">
        <f ca="1">INDEX(INDIRECT(_xlfn.CONCAT("weather.tbl[",Q$1,"]")),MATCH(vp.tbl[[#This Row],[SDate]],weather.tbl[Date],0))</f>
        <v>0.8</v>
      </c>
      <c r="R121" s="2">
        <f ca="1">INDEX(INDIRECT(_xlfn.CONCAT("weather.tbl[",R$1,"]")),MATCH(vp.tbl[[#This Row],[SDate]],weather.tbl[Date],0))</f>
        <v>0.3</v>
      </c>
      <c r="S121" s="2">
        <f ca="1">INDEX(INDIRECT(_xlfn.CONCAT("weather.tbl[",S$1,"]")),MATCH(vp.tbl[[#This Row],[SDate]],weather.tbl[Date],0))</f>
        <v>2</v>
      </c>
      <c r="T121" s="2">
        <f ca="1">INDEX(INDIRECT(_xlfn.CONCAT("weather.tbl[",T$1,"]")),MATCH(vp.tbl[[#This Row],[SDate]],weather.tbl[Date],0))</f>
        <v>-0.2</v>
      </c>
      <c r="U121" s="2">
        <f ca="1">INDEX(INDIRECT(_xlfn.CONCAT("weather.tbl[",U$1,"]")),MATCH(vp.tbl[[#This Row],[SDate]],weather.tbl[Date],0))</f>
        <v>-0.8</v>
      </c>
      <c r="V121" s="2">
        <v>104990.086</v>
      </c>
      <c r="W121" t="s">
        <v>48</v>
      </c>
      <c r="X121">
        <f>IF(OR(vp.tbl[[#This Row],[Sulf]]="",vp.tbl[[#This Row],[Dens]]=""),1,0)</f>
        <v>0</v>
      </c>
      <c r="Y121">
        <f>IF(vp.tbl[[#This Row],[CrudeType]]="C5+",1,0)</f>
        <v>0</v>
      </c>
      <c r="Z121">
        <f>IF(AND(vp.tbl[[#This Row],[CrudeType]]="Crude",vp.tbl[[#This Row],[Dens]]&lt;=825,vp.tbl[[#This Row],[Sulf]]&gt;0.5,vp.tbl[[#This Row],[Unknown]]=0),1,0)</f>
        <v>1</v>
      </c>
      <c r="AA121">
        <f>IF(AND(vp.tbl[[#This Row],[CrudeType]]="Crude",vp.tbl[[#This Row],[Dens]]&lt;=825,vp.tbl[[#This Row],[Sulf]]&lt;=0.5,vp.tbl[[#This Row],[Unknown]]=0),1,0)</f>
        <v>0</v>
      </c>
      <c r="AB121">
        <f>IF(AND(vp.tbl[[#This Row],[CrudeType]]="Crude",vp.tbl[[#This Row],[Dens]]&gt;825,vp.tbl[[#This Row],[Dens]]&lt;=870,vp.tbl[[#This Row],[Sulf]]&gt;0.5,vp.tbl[[#This Row],[Unknown]]=0),1,0)</f>
        <v>0</v>
      </c>
      <c r="AC121">
        <f>IF(AND(vp.tbl[[#This Row],[CrudeType]]="Crude",vp.tbl[[#This Row],[Dens]]&gt;825,vp.tbl[[#This Row],[Dens]]&lt;=900,vp.tbl[[#This Row],[Sulf]]&lt;=0.5,vp.tbl[[#This Row],[Unknown]]=0),1,0)</f>
        <v>0</v>
      </c>
      <c r="AD121">
        <f>IF(AND(vp.tbl[[#This Row],[CrudeType]]="Crude",vp.tbl[[#This Row],[Dens]]&gt;870,vp.tbl[[#This Row],[Dens]]&lt;=900,vp.tbl[[#This Row],[Sulf]]&gt;0.5,vp.tbl[[#This Row],[Unknown]]=0),1,0)</f>
        <v>0</v>
      </c>
      <c r="AE121">
        <f>IF(AND(vp.tbl[[#This Row],[CrudeType]]="Crude",vp.tbl[[#This Row],[Dens]]&gt;900,vp.tbl[[#This Row],[Sulf]]&lt;=0.5,vp.tbl[[#This Row],[Unknown]]=0),1,0)</f>
        <v>0</v>
      </c>
      <c r="AF121">
        <f>IF(AND(vp.tbl[[#This Row],[CrudeType]]="Crude",vp.tbl[[#This Row],[Dens]]&gt;900,vp.tbl[[#This Row],[Sulf]]&lt;=0.5,vp.tbl[[#This Row],[Unknown]]=0),1,0)</f>
        <v>0</v>
      </c>
      <c r="AG121" t="str">
        <f>INDEX(vp.tbl[[#Headers],[Unknown]:[Heavy_SW]],MATCH(1,vp.tbl[[#This Row],[Unknown]:[Heavy_SW]],0))</f>
        <v>Light_LSB</v>
      </c>
      <c r="AH121" t="e">
        <f>INDEX([1]!crudeBD.lkup[Number],MATCH(vp.tbl[[#This Row],[Crude_Breakdown]],[1]!crudeBD.lkup[Crude Breakdown],0))</f>
        <v>#REF!</v>
      </c>
      <c r="AI121">
        <f>MONTH(vp.tbl[[#This Row],[SDate]])</f>
        <v>4</v>
      </c>
      <c r="AJ121" s="5">
        <f>IFERROR(vp.tbl[[#This Row],[Sulf]]*vp.tbl[[#This Row],[Net Dens]],"")</f>
        <v>99319571.455139995</v>
      </c>
      <c r="AK121" s="5">
        <f>IFERROR(vp.tbl[[#This Row],[Dens]]*vp.tbl[[#This Row],[VolumeM3]],"")</f>
        <v>86364844.743599996</v>
      </c>
      <c r="AL121" s="5">
        <f>IFERROR(vp.tbl[[#This Row],[VP]]*vp.tbl[[#This Row],[VolumeM3]],"")</f>
        <v>7233816.9254000001</v>
      </c>
      <c r="AM121" s="4">
        <f>IFERROR((vp.tbl[[#This Row],[VP]]-INDEX(crudeBD.lkup.complete[Mean_VP],MATCH(vp.tbl[[#This Row],[Crude_Breakdown]],crudeBD.lkup.complete[Crude Breakdown],0)))^2,"")</f>
        <v>512.84972073546714</v>
      </c>
      <c r="AN121" s="4">
        <f>IFERROR((vp.tbl[[#This Row],[Dens]]-INDEX(crudeBD.lkup.complete[Mean_Dens],MATCH(vp.tbl[[#This Row],[Crude_Breakdown]],crudeBD.lkup.complete[Crude Breakdown],0)))^2,"")</f>
        <v>16.67276919734336</v>
      </c>
      <c r="AO121" s="4">
        <f>IFERROR((vp.tbl[[#This Row],[Sulf]]-INDEX(crudeBD.lkup.complete[Mean_Sulf],MATCH(vp.tbl[[#This Row],[Crude_Breakdown]],crudeBD.lkup.complete[Crude Breakdown],0)))^2,"")</f>
        <v>5.1542090384526708E-2</v>
      </c>
      <c r="AP121">
        <f>IF(AND(vp.tbl[[#This Row],[SDate]]&gt;=DATE(YEAR(vp.tbl[[#This Row],[SDate]]),5,1),vp.tbl[[#This Row],[SDate]]&lt;=DATE(YEAR(vp.tbl[[#This Row],[SDate]]),9,15)),1,0)</f>
        <v>0</v>
      </c>
      <c r="AQ121" s="15">
        <f>IF(vp.tbl[[#This Row],[SDate]]&lt;DATE(2016,12,1),0,1)</f>
        <v>0</v>
      </c>
    </row>
    <row r="122" spans="1:43" x14ac:dyDescent="0.25">
      <c r="A122">
        <v>121</v>
      </c>
      <c r="B122" t="s">
        <v>60</v>
      </c>
      <c r="C122" t="s">
        <v>60</v>
      </c>
      <c r="D122" t="s">
        <v>61</v>
      </c>
      <c r="E122" t="s">
        <v>55</v>
      </c>
      <c r="F122" s="1">
        <v>42461</v>
      </c>
      <c r="G122" s="2">
        <v>86.9</v>
      </c>
      <c r="H122" s="2"/>
      <c r="I122" s="2">
        <v>1.1499999999999999</v>
      </c>
      <c r="J122" s="2"/>
      <c r="K122" s="2"/>
      <c r="L122" s="2">
        <v>833.3</v>
      </c>
      <c r="M122" s="2">
        <v>833.3</v>
      </c>
      <c r="N122" s="2">
        <f ca="1">INDEX(INDIRECT(_xlfn.CONCAT("weather.tbl[",N$1,"]")),MATCH(vp.tbl[[#This Row],[SDate]],weather.tbl[Date],0))</f>
        <v>0.46666666666666662</v>
      </c>
      <c r="O122" s="2">
        <f ca="1">INDEX(INDIRECT(_xlfn.CONCAT("weather.tbl[",O$1,"]")),MATCH(vp.tbl[[#This Row],[SDate]],weather.tbl[Date],0))</f>
        <v>2.1190476190476191</v>
      </c>
      <c r="P122" s="2">
        <f ca="1">INDEX(INDIRECT(_xlfn.CONCAT("weather.tbl[",P$1,"]")),MATCH(vp.tbl[[#This Row],[SDate]],weather.tbl[Date],0))</f>
        <v>0.7</v>
      </c>
      <c r="Q122" s="2">
        <f ca="1">INDEX(INDIRECT(_xlfn.CONCAT("weather.tbl[",Q$1,"]")),MATCH(vp.tbl[[#This Row],[SDate]],weather.tbl[Date],0))</f>
        <v>0.8</v>
      </c>
      <c r="R122" s="2">
        <f ca="1">INDEX(INDIRECT(_xlfn.CONCAT("weather.tbl[",R$1,"]")),MATCH(vp.tbl[[#This Row],[SDate]],weather.tbl[Date],0))</f>
        <v>0.3</v>
      </c>
      <c r="S122" s="2">
        <f ca="1">INDEX(INDIRECT(_xlfn.CONCAT("weather.tbl[",S$1,"]")),MATCH(vp.tbl[[#This Row],[SDate]],weather.tbl[Date],0))</f>
        <v>2</v>
      </c>
      <c r="T122" s="2">
        <f ca="1">INDEX(INDIRECT(_xlfn.CONCAT("weather.tbl[",T$1,"]")),MATCH(vp.tbl[[#This Row],[SDate]],weather.tbl[Date],0))</f>
        <v>-0.2</v>
      </c>
      <c r="U122" s="2">
        <f ca="1">INDEX(INDIRECT(_xlfn.CONCAT("weather.tbl[",U$1,"]")),MATCH(vp.tbl[[#This Row],[SDate]],weather.tbl[Date],0))</f>
        <v>-0.8</v>
      </c>
      <c r="V122" s="2">
        <v>104990.086</v>
      </c>
      <c r="W122" t="s">
        <v>48</v>
      </c>
      <c r="X122">
        <f>IF(OR(vp.tbl[[#This Row],[Sulf]]="",vp.tbl[[#This Row],[Dens]]=""),1,0)</f>
        <v>0</v>
      </c>
      <c r="Y122">
        <f>IF(vp.tbl[[#This Row],[CrudeType]]="C5+",1,0)</f>
        <v>0</v>
      </c>
      <c r="Z122">
        <f>IF(AND(vp.tbl[[#This Row],[CrudeType]]="Crude",vp.tbl[[#This Row],[Dens]]&lt;=825,vp.tbl[[#This Row],[Sulf]]&gt;0.5,vp.tbl[[#This Row],[Unknown]]=0),1,0)</f>
        <v>0</v>
      </c>
      <c r="AA122">
        <f>IF(AND(vp.tbl[[#This Row],[CrudeType]]="Crude",vp.tbl[[#This Row],[Dens]]&lt;=825,vp.tbl[[#This Row],[Sulf]]&lt;=0.5,vp.tbl[[#This Row],[Unknown]]=0),1,0)</f>
        <v>0</v>
      </c>
      <c r="AB122">
        <f>IF(AND(vp.tbl[[#This Row],[CrudeType]]="Crude",vp.tbl[[#This Row],[Dens]]&gt;825,vp.tbl[[#This Row],[Dens]]&lt;=870,vp.tbl[[#This Row],[Sulf]]&gt;0.5,vp.tbl[[#This Row],[Unknown]]=0),1,0)</f>
        <v>1</v>
      </c>
      <c r="AC122">
        <f>IF(AND(vp.tbl[[#This Row],[CrudeType]]="Crude",vp.tbl[[#This Row],[Dens]]&gt;825,vp.tbl[[#This Row],[Dens]]&lt;=900,vp.tbl[[#This Row],[Sulf]]&lt;=0.5,vp.tbl[[#This Row],[Unknown]]=0),1,0)</f>
        <v>0</v>
      </c>
      <c r="AD122">
        <f>IF(AND(vp.tbl[[#This Row],[CrudeType]]="Crude",vp.tbl[[#This Row],[Dens]]&gt;870,vp.tbl[[#This Row],[Dens]]&lt;=900,vp.tbl[[#This Row],[Sulf]]&gt;0.5,vp.tbl[[#This Row],[Unknown]]=0),1,0)</f>
        <v>0</v>
      </c>
      <c r="AE122">
        <f>IF(AND(vp.tbl[[#This Row],[CrudeType]]="Crude",vp.tbl[[#This Row],[Dens]]&gt;900,vp.tbl[[#This Row],[Sulf]]&lt;=0.5,vp.tbl[[#This Row],[Unknown]]=0),1,0)</f>
        <v>0</v>
      </c>
      <c r="AF122">
        <f>IF(AND(vp.tbl[[#This Row],[CrudeType]]="Crude",vp.tbl[[#This Row],[Dens]]&gt;900,vp.tbl[[#This Row],[Sulf]]&lt;=0.5,vp.tbl[[#This Row],[Unknown]]=0),1,0)</f>
        <v>0</v>
      </c>
      <c r="AG122" t="str">
        <f>INDEX(vp.tbl[[#Headers],[Unknown]:[Heavy_SW]],MATCH(1,vp.tbl[[#This Row],[Unknown]:[Heavy_SW]],0))</f>
        <v>Medium_LSB</v>
      </c>
      <c r="AH122" t="e">
        <f>INDEX([1]!crudeBD.lkup[Number],MATCH(vp.tbl[[#This Row],[Crude_Breakdown]],[1]!crudeBD.lkup[Crude Breakdown],0))</f>
        <v>#REF!</v>
      </c>
      <c r="AI122">
        <f>MONTH(vp.tbl[[#This Row],[SDate]])</f>
        <v>4</v>
      </c>
      <c r="AJ122" s="5">
        <f>IFERROR(vp.tbl[[#This Row],[Sulf]]*vp.tbl[[#This Row],[Net Dens]],"")</f>
        <v>100611474.46336998</v>
      </c>
      <c r="AK122" s="5">
        <f>IFERROR(vp.tbl[[#This Row],[Dens]]*vp.tbl[[#This Row],[VolumeM3]],"")</f>
        <v>87488238.663799986</v>
      </c>
      <c r="AL122" s="5">
        <f>IFERROR(vp.tbl[[#This Row],[VP]]*vp.tbl[[#This Row],[VolumeM3]],"")</f>
        <v>9123638.4734000005</v>
      </c>
      <c r="AM122" s="4">
        <f>IFERROR((vp.tbl[[#This Row],[VP]]-INDEX(crudeBD.lkup.complete[Mean_VP],MATCH(vp.tbl[[#This Row],[Crude_Breakdown]],crudeBD.lkup.complete[Crude Breakdown],0)))^2,"")</f>
        <v>45.244525075469248</v>
      </c>
      <c r="AN122" s="4">
        <f>IFERROR((vp.tbl[[#This Row],[Dens]]-INDEX(crudeBD.lkup.complete[Mean_Dens],MATCH(vp.tbl[[#This Row],[Crude_Breakdown]],crudeBD.lkup.complete[Crude Breakdown],0)))^2,"")</f>
        <v>143.80381370226877</v>
      </c>
      <c r="AO122" s="4">
        <f>IFERROR((vp.tbl[[#This Row],[Sulf]]-INDEX(crudeBD.lkup.complete[Mean_Sulf],MATCH(vp.tbl[[#This Row],[Crude_Breakdown]],crudeBD.lkup.complete[Crude Breakdown],0)))^2,"")</f>
        <v>9.2982219982805162E-2</v>
      </c>
      <c r="AP122">
        <f>IF(AND(vp.tbl[[#This Row],[SDate]]&gt;=DATE(YEAR(vp.tbl[[#This Row],[SDate]]),5,1),vp.tbl[[#This Row],[SDate]]&lt;=DATE(YEAR(vp.tbl[[#This Row],[SDate]]),9,15)),1,0)</f>
        <v>0</v>
      </c>
      <c r="AQ122" s="15">
        <f>IF(vp.tbl[[#This Row],[SDate]]&lt;DATE(2016,12,1),0,1)</f>
        <v>0</v>
      </c>
    </row>
    <row r="123" spans="1:43" x14ac:dyDescent="0.25">
      <c r="A123">
        <v>122</v>
      </c>
      <c r="B123" t="s">
        <v>62</v>
      </c>
      <c r="C123" t="s">
        <v>62</v>
      </c>
      <c r="D123" t="s">
        <v>63</v>
      </c>
      <c r="F123" s="1">
        <v>42468</v>
      </c>
      <c r="G123" s="2">
        <v>140</v>
      </c>
      <c r="H123" s="2"/>
      <c r="I123" s="2">
        <v>1.26</v>
      </c>
      <c r="J123" s="2"/>
      <c r="K123" s="2"/>
      <c r="L123" s="2">
        <v>801.7</v>
      </c>
      <c r="M123" s="2">
        <v>801.7</v>
      </c>
      <c r="N123" s="2">
        <f ca="1">INDEX(INDIRECT(_xlfn.CONCAT("weather.tbl[",N$1,"]")),MATCH(vp.tbl[[#This Row],[SDate]],weather.tbl[Date],0))</f>
        <v>-1.45</v>
      </c>
      <c r="O123" s="2">
        <f ca="1">INDEX(INDIRECT(_xlfn.CONCAT("weather.tbl[",O$1,"]")),MATCH(vp.tbl[[#This Row],[SDate]],weather.tbl[Date],0))</f>
        <v>2.3500000000000005</v>
      </c>
      <c r="P123" s="2">
        <f ca="1">INDEX(INDIRECT(_xlfn.CONCAT("weather.tbl[",P$1,"]")),MATCH(vp.tbl[[#This Row],[SDate]],weather.tbl[Date],0))</f>
        <v>-1.2</v>
      </c>
      <c r="Q123" s="2">
        <f ca="1">INDEX(INDIRECT(_xlfn.CONCAT("weather.tbl[",Q$1,"]")),MATCH(vp.tbl[[#This Row],[SDate]],weather.tbl[Date],0))</f>
        <v>-0.2</v>
      </c>
      <c r="R123" s="2">
        <f ca="1">INDEX(INDIRECT(_xlfn.CONCAT("weather.tbl[",R$1,"]")),MATCH(vp.tbl[[#This Row],[SDate]],weather.tbl[Date],0))</f>
        <v>-1.3</v>
      </c>
      <c r="S123" s="2">
        <f ca="1">INDEX(INDIRECT(_xlfn.CONCAT("weather.tbl[",S$1,"]")),MATCH(vp.tbl[[#This Row],[SDate]],weather.tbl[Date],0))</f>
        <v>0</v>
      </c>
      <c r="T123" s="2">
        <f ca="1">INDEX(INDIRECT(_xlfn.CONCAT("weather.tbl[",T$1,"]")),MATCH(vp.tbl[[#This Row],[SDate]],weather.tbl[Date],0))</f>
        <v>-3.5</v>
      </c>
      <c r="U123" s="2">
        <f ca="1">INDEX(INDIRECT(_xlfn.CONCAT("weather.tbl[",U$1,"]")),MATCH(vp.tbl[[#This Row],[SDate]],weather.tbl[Date],0))</f>
        <v>-2.5</v>
      </c>
      <c r="V123" s="2">
        <v>6136.5</v>
      </c>
      <c r="W123" t="s">
        <v>48</v>
      </c>
      <c r="X123">
        <f>IF(OR(vp.tbl[[#This Row],[Sulf]]="",vp.tbl[[#This Row],[Dens]]=""),1,0)</f>
        <v>0</v>
      </c>
      <c r="Y123">
        <f>IF(vp.tbl[[#This Row],[CrudeType]]="C5+",1,0)</f>
        <v>0</v>
      </c>
      <c r="Z123">
        <f>IF(AND(vp.tbl[[#This Row],[CrudeType]]="Crude",vp.tbl[[#This Row],[Dens]]&lt;=825,vp.tbl[[#This Row],[Sulf]]&gt;0.5,vp.tbl[[#This Row],[Unknown]]=0),1,0)</f>
        <v>1</v>
      </c>
      <c r="AA123">
        <f>IF(AND(vp.tbl[[#This Row],[CrudeType]]="Crude",vp.tbl[[#This Row],[Dens]]&lt;=825,vp.tbl[[#This Row],[Sulf]]&lt;=0.5,vp.tbl[[#This Row],[Unknown]]=0),1,0)</f>
        <v>0</v>
      </c>
      <c r="AB123">
        <f>IF(AND(vp.tbl[[#This Row],[CrudeType]]="Crude",vp.tbl[[#This Row],[Dens]]&gt;825,vp.tbl[[#This Row],[Dens]]&lt;=870,vp.tbl[[#This Row],[Sulf]]&gt;0.5,vp.tbl[[#This Row],[Unknown]]=0),1,0)</f>
        <v>0</v>
      </c>
      <c r="AC123">
        <f>IF(AND(vp.tbl[[#This Row],[CrudeType]]="Crude",vp.tbl[[#This Row],[Dens]]&gt;825,vp.tbl[[#This Row],[Dens]]&lt;=900,vp.tbl[[#This Row],[Sulf]]&lt;=0.5,vp.tbl[[#This Row],[Unknown]]=0),1,0)</f>
        <v>0</v>
      </c>
      <c r="AD123">
        <f>IF(AND(vp.tbl[[#This Row],[CrudeType]]="Crude",vp.tbl[[#This Row],[Dens]]&gt;870,vp.tbl[[#This Row],[Dens]]&lt;=900,vp.tbl[[#This Row],[Sulf]]&gt;0.5,vp.tbl[[#This Row],[Unknown]]=0),1,0)</f>
        <v>0</v>
      </c>
      <c r="AE123">
        <f>IF(AND(vp.tbl[[#This Row],[CrudeType]]="Crude",vp.tbl[[#This Row],[Dens]]&gt;900,vp.tbl[[#This Row],[Sulf]]&lt;=0.5,vp.tbl[[#This Row],[Unknown]]=0),1,0)</f>
        <v>0</v>
      </c>
      <c r="AF123">
        <f>IF(AND(vp.tbl[[#This Row],[CrudeType]]="Crude",vp.tbl[[#This Row],[Dens]]&gt;900,vp.tbl[[#This Row],[Sulf]]&lt;=0.5,vp.tbl[[#This Row],[Unknown]]=0),1,0)</f>
        <v>0</v>
      </c>
      <c r="AG123" t="str">
        <f>INDEX(vp.tbl[[#Headers],[Unknown]:[Heavy_SW]],MATCH(1,vp.tbl[[#This Row],[Unknown]:[Heavy_SW]],0))</f>
        <v>Light_LSB</v>
      </c>
      <c r="AH123" t="e">
        <f>INDEX([1]!crudeBD.lkup[Number],MATCH(vp.tbl[[#This Row],[Crude_Breakdown]],[1]!crudeBD.lkup[Crude Breakdown],0))</f>
        <v>#REF!</v>
      </c>
      <c r="AI123">
        <f>MONTH(vp.tbl[[#This Row],[SDate]])</f>
        <v>4</v>
      </c>
      <c r="AJ123" s="5">
        <f>IFERROR(vp.tbl[[#This Row],[Sulf]]*vp.tbl[[#This Row],[Net Dens]],"")</f>
        <v>6198736.3829999994</v>
      </c>
      <c r="AK123" s="5">
        <f>IFERROR(vp.tbl[[#This Row],[Dens]]*vp.tbl[[#This Row],[VolumeM3]],"")</f>
        <v>4919632.05</v>
      </c>
      <c r="AL123" s="5">
        <f>IFERROR(vp.tbl[[#This Row],[VP]]*vp.tbl[[#This Row],[VolumeM3]],"")</f>
        <v>859110</v>
      </c>
      <c r="AM123" s="4">
        <f>IFERROR((vp.tbl[[#This Row],[VP]]-INDEX(crudeBD.lkup.complete[Mean_VP],MATCH(vp.tbl[[#This Row],[Crude_Breakdown]],crudeBD.lkup.complete[Crude Breakdown],0)))^2,"")</f>
        <v>2347.7721331065973</v>
      </c>
      <c r="AN123" s="4">
        <f>IFERROR((vp.tbl[[#This Row],[Dens]]-INDEX(crudeBD.lkup.complete[Mean_Dens],MATCH(vp.tbl[[#This Row],[Crude_Breakdown]],crudeBD.lkup.complete[Crude Breakdown],0)))^2,"")</f>
        <v>282.80374514234569</v>
      </c>
      <c r="AO123" s="4">
        <f>IFERROR((vp.tbl[[#This Row],[Sulf]]-INDEX(crudeBD.lkup.complete[Mean_Sulf],MATCH(vp.tbl[[#This Row],[Crude_Breakdown]],crudeBD.lkup.complete[Crude Breakdown],0)))^2,"")</f>
        <v>0.11358843333985327</v>
      </c>
      <c r="AP123">
        <f>IF(AND(vp.tbl[[#This Row],[SDate]]&gt;=DATE(YEAR(vp.tbl[[#This Row],[SDate]]),5,1),vp.tbl[[#This Row],[SDate]]&lt;=DATE(YEAR(vp.tbl[[#This Row],[SDate]]),9,15)),1,0)</f>
        <v>0</v>
      </c>
      <c r="AQ123" s="15">
        <f>IF(vp.tbl[[#This Row],[SDate]]&lt;DATE(2016,12,1),0,1)</f>
        <v>0</v>
      </c>
    </row>
    <row r="124" spans="1:43" x14ac:dyDescent="0.25">
      <c r="A124">
        <v>123</v>
      </c>
      <c r="B124" t="s">
        <v>62</v>
      </c>
      <c r="C124" t="s">
        <v>62</v>
      </c>
      <c r="D124" t="s">
        <v>63</v>
      </c>
      <c r="F124" s="1">
        <v>42469</v>
      </c>
      <c r="G124" s="2">
        <v>121.3</v>
      </c>
      <c r="H124" s="2"/>
      <c r="I124" s="2">
        <v>1.26</v>
      </c>
      <c r="J124" s="2"/>
      <c r="K124" s="2"/>
      <c r="L124" s="2">
        <v>796.4</v>
      </c>
      <c r="M124" s="2">
        <v>796.4</v>
      </c>
      <c r="N124" s="2">
        <f ca="1">INDEX(INDIRECT(_xlfn.CONCAT("weather.tbl[",N$1,"]")),MATCH(vp.tbl[[#This Row],[SDate]],weather.tbl[Date],0))</f>
        <v>5.7666666666666657</v>
      </c>
      <c r="O124" s="2">
        <f ca="1">INDEX(INDIRECT(_xlfn.CONCAT("weather.tbl[",O$1,"]")),MATCH(vp.tbl[[#This Row],[SDate]],weather.tbl[Date],0))</f>
        <v>2.2476190476190476</v>
      </c>
      <c r="P124" s="2">
        <f ca="1">INDEX(INDIRECT(_xlfn.CONCAT("weather.tbl[",P$1,"]")),MATCH(vp.tbl[[#This Row],[SDate]],weather.tbl[Date],0))</f>
        <v>8.6999999999999993</v>
      </c>
      <c r="Q124" s="2">
        <f ca="1">INDEX(INDIRECT(_xlfn.CONCAT("weather.tbl[",Q$1,"]")),MATCH(vp.tbl[[#This Row],[SDate]],weather.tbl[Date],0))</f>
        <v>7.6</v>
      </c>
      <c r="R124" s="2">
        <f ca="1">INDEX(INDIRECT(_xlfn.CONCAT("weather.tbl[",R$1,"]")),MATCH(vp.tbl[[#This Row],[SDate]],weather.tbl[Date],0))</f>
        <v>-1.3</v>
      </c>
      <c r="S124" s="2">
        <f ca="1">INDEX(INDIRECT(_xlfn.CONCAT("weather.tbl[",S$1,"]")),MATCH(vp.tbl[[#This Row],[SDate]],weather.tbl[Date],0))</f>
        <v>8.8000000000000007</v>
      </c>
      <c r="T124" s="2">
        <f ca="1">INDEX(INDIRECT(_xlfn.CONCAT("weather.tbl[",T$1,"]")),MATCH(vp.tbl[[#This Row],[SDate]],weather.tbl[Date],0))</f>
        <v>5.8</v>
      </c>
      <c r="U124" s="2">
        <f ca="1">INDEX(INDIRECT(_xlfn.CONCAT("weather.tbl[",U$1,"]")),MATCH(vp.tbl[[#This Row],[SDate]],weather.tbl[Date],0))</f>
        <v>5</v>
      </c>
      <c r="V124" s="2">
        <v>6136.5</v>
      </c>
      <c r="W124" t="s">
        <v>48</v>
      </c>
      <c r="X124">
        <f>IF(OR(vp.tbl[[#This Row],[Sulf]]="",vp.tbl[[#This Row],[Dens]]=""),1,0)</f>
        <v>0</v>
      </c>
      <c r="Y124">
        <f>IF(vp.tbl[[#This Row],[CrudeType]]="C5+",1,0)</f>
        <v>0</v>
      </c>
      <c r="Z124">
        <f>IF(AND(vp.tbl[[#This Row],[CrudeType]]="Crude",vp.tbl[[#This Row],[Dens]]&lt;=825,vp.tbl[[#This Row],[Sulf]]&gt;0.5,vp.tbl[[#This Row],[Unknown]]=0),1,0)</f>
        <v>1</v>
      </c>
      <c r="AA124">
        <f>IF(AND(vp.tbl[[#This Row],[CrudeType]]="Crude",vp.tbl[[#This Row],[Dens]]&lt;=825,vp.tbl[[#This Row],[Sulf]]&lt;=0.5,vp.tbl[[#This Row],[Unknown]]=0),1,0)</f>
        <v>0</v>
      </c>
      <c r="AB124">
        <f>IF(AND(vp.tbl[[#This Row],[CrudeType]]="Crude",vp.tbl[[#This Row],[Dens]]&gt;825,vp.tbl[[#This Row],[Dens]]&lt;=870,vp.tbl[[#This Row],[Sulf]]&gt;0.5,vp.tbl[[#This Row],[Unknown]]=0),1,0)</f>
        <v>0</v>
      </c>
      <c r="AC124">
        <f>IF(AND(vp.tbl[[#This Row],[CrudeType]]="Crude",vp.tbl[[#This Row],[Dens]]&gt;825,vp.tbl[[#This Row],[Dens]]&lt;=900,vp.tbl[[#This Row],[Sulf]]&lt;=0.5,vp.tbl[[#This Row],[Unknown]]=0),1,0)</f>
        <v>0</v>
      </c>
      <c r="AD124">
        <f>IF(AND(vp.tbl[[#This Row],[CrudeType]]="Crude",vp.tbl[[#This Row],[Dens]]&gt;870,vp.tbl[[#This Row],[Dens]]&lt;=900,vp.tbl[[#This Row],[Sulf]]&gt;0.5,vp.tbl[[#This Row],[Unknown]]=0),1,0)</f>
        <v>0</v>
      </c>
      <c r="AE124">
        <f>IF(AND(vp.tbl[[#This Row],[CrudeType]]="Crude",vp.tbl[[#This Row],[Dens]]&gt;900,vp.tbl[[#This Row],[Sulf]]&lt;=0.5,vp.tbl[[#This Row],[Unknown]]=0),1,0)</f>
        <v>0</v>
      </c>
      <c r="AF124">
        <f>IF(AND(vp.tbl[[#This Row],[CrudeType]]="Crude",vp.tbl[[#This Row],[Dens]]&gt;900,vp.tbl[[#This Row],[Sulf]]&lt;=0.5,vp.tbl[[#This Row],[Unknown]]=0),1,0)</f>
        <v>0</v>
      </c>
      <c r="AG124" t="str">
        <f>INDEX(vp.tbl[[#Headers],[Unknown]:[Heavy_SW]],MATCH(1,vp.tbl[[#This Row],[Unknown]:[Heavy_SW]],0))</f>
        <v>Light_LSB</v>
      </c>
      <c r="AH124" t="e">
        <f>INDEX([1]!crudeBD.lkup[Number],MATCH(vp.tbl[[#This Row],[Crude_Breakdown]],[1]!crudeBD.lkup[Crude Breakdown],0))</f>
        <v>#REF!</v>
      </c>
      <c r="AI124">
        <f>MONTH(vp.tbl[[#This Row],[SDate]])</f>
        <v>4</v>
      </c>
      <c r="AJ124" s="5">
        <f>IFERROR(vp.tbl[[#This Row],[Sulf]]*vp.tbl[[#This Row],[Net Dens]],"")</f>
        <v>6157756.8359999992</v>
      </c>
      <c r="AK124" s="5">
        <f>IFERROR(vp.tbl[[#This Row],[Dens]]*vp.tbl[[#This Row],[VolumeM3]],"")</f>
        <v>4887108.5999999996</v>
      </c>
      <c r="AL124" s="5">
        <f>IFERROR(vp.tbl[[#This Row],[VP]]*vp.tbl[[#This Row],[VolumeM3]],"")</f>
        <v>744357.45</v>
      </c>
      <c r="AM124" s="4">
        <f>IFERROR((vp.tbl[[#This Row],[VP]]-INDEX(crudeBD.lkup.complete[Mean_VP],MATCH(vp.tbl[[#This Row],[Crude_Breakdown]],crudeBD.lkup.complete[Crude Breakdown],0)))^2,"")</f>
        <v>885.28947331278357</v>
      </c>
      <c r="AN124" s="4">
        <f>IFERROR((vp.tbl[[#This Row],[Dens]]-INDEX(crudeBD.lkup.complete[Mean_Dens],MATCH(vp.tbl[[#This Row],[Crude_Breakdown]],crudeBD.lkup.complete[Crude Breakdown],0)))^2,"")</f>
        <v>489.15150459251674</v>
      </c>
      <c r="AO124" s="4">
        <f>IFERROR((vp.tbl[[#This Row],[Sulf]]-INDEX(crudeBD.lkup.complete[Mean_Sulf],MATCH(vp.tbl[[#This Row],[Crude_Breakdown]],crudeBD.lkup.complete[Crude Breakdown],0)))^2,"")</f>
        <v>0.11358843333985327</v>
      </c>
      <c r="AP124">
        <f>IF(AND(vp.tbl[[#This Row],[SDate]]&gt;=DATE(YEAR(vp.tbl[[#This Row],[SDate]]),5,1),vp.tbl[[#This Row],[SDate]]&lt;=DATE(YEAR(vp.tbl[[#This Row],[SDate]]),9,15)),1,0)</f>
        <v>0</v>
      </c>
      <c r="AQ124" s="15">
        <f>IF(vp.tbl[[#This Row],[SDate]]&lt;DATE(2016,12,1),0,1)</f>
        <v>0</v>
      </c>
    </row>
    <row r="125" spans="1:43" x14ac:dyDescent="0.25">
      <c r="A125">
        <v>124</v>
      </c>
      <c r="B125" t="s">
        <v>62</v>
      </c>
      <c r="C125" t="s">
        <v>62</v>
      </c>
      <c r="D125" t="s">
        <v>63</v>
      </c>
      <c r="F125" s="1">
        <v>42469</v>
      </c>
      <c r="G125" s="2">
        <v>121.3</v>
      </c>
      <c r="H125" s="2"/>
      <c r="I125" s="2">
        <v>1.26</v>
      </c>
      <c r="J125" s="2"/>
      <c r="K125" s="2"/>
      <c r="L125" s="2">
        <v>807.7</v>
      </c>
      <c r="M125" s="2">
        <v>807.7</v>
      </c>
      <c r="N125" s="2">
        <f ca="1">INDEX(INDIRECT(_xlfn.CONCAT("weather.tbl[",N$1,"]")),MATCH(vp.tbl[[#This Row],[SDate]],weather.tbl[Date],0))</f>
        <v>5.7666666666666657</v>
      </c>
      <c r="O125" s="2">
        <f ca="1">INDEX(INDIRECT(_xlfn.CONCAT("weather.tbl[",O$1,"]")),MATCH(vp.tbl[[#This Row],[SDate]],weather.tbl[Date],0))</f>
        <v>2.2476190476190476</v>
      </c>
      <c r="P125" s="2">
        <f ca="1">INDEX(INDIRECT(_xlfn.CONCAT("weather.tbl[",P$1,"]")),MATCH(vp.tbl[[#This Row],[SDate]],weather.tbl[Date],0))</f>
        <v>8.6999999999999993</v>
      </c>
      <c r="Q125" s="2">
        <f ca="1">INDEX(INDIRECT(_xlfn.CONCAT("weather.tbl[",Q$1,"]")),MATCH(vp.tbl[[#This Row],[SDate]],weather.tbl[Date],0))</f>
        <v>7.6</v>
      </c>
      <c r="R125" s="2">
        <f ca="1">INDEX(INDIRECT(_xlfn.CONCAT("weather.tbl[",R$1,"]")),MATCH(vp.tbl[[#This Row],[SDate]],weather.tbl[Date],0))</f>
        <v>-1.3</v>
      </c>
      <c r="S125" s="2">
        <f ca="1">INDEX(INDIRECT(_xlfn.CONCAT("weather.tbl[",S$1,"]")),MATCH(vp.tbl[[#This Row],[SDate]],weather.tbl[Date],0))</f>
        <v>8.8000000000000007</v>
      </c>
      <c r="T125" s="2">
        <f ca="1">INDEX(INDIRECT(_xlfn.CONCAT("weather.tbl[",T$1,"]")),MATCH(vp.tbl[[#This Row],[SDate]],weather.tbl[Date],0))</f>
        <v>5.8</v>
      </c>
      <c r="U125" s="2">
        <f ca="1">INDEX(INDIRECT(_xlfn.CONCAT("weather.tbl[",U$1,"]")),MATCH(vp.tbl[[#This Row],[SDate]],weather.tbl[Date],0))</f>
        <v>5</v>
      </c>
      <c r="V125" s="2">
        <v>6136.5</v>
      </c>
      <c r="W125" t="s">
        <v>48</v>
      </c>
      <c r="X125">
        <f>IF(OR(vp.tbl[[#This Row],[Sulf]]="",vp.tbl[[#This Row],[Dens]]=""),1,0)</f>
        <v>0</v>
      </c>
      <c r="Y125">
        <f>IF(vp.tbl[[#This Row],[CrudeType]]="C5+",1,0)</f>
        <v>0</v>
      </c>
      <c r="Z125">
        <f>IF(AND(vp.tbl[[#This Row],[CrudeType]]="Crude",vp.tbl[[#This Row],[Dens]]&lt;=825,vp.tbl[[#This Row],[Sulf]]&gt;0.5,vp.tbl[[#This Row],[Unknown]]=0),1,0)</f>
        <v>1</v>
      </c>
      <c r="AA125">
        <f>IF(AND(vp.tbl[[#This Row],[CrudeType]]="Crude",vp.tbl[[#This Row],[Dens]]&lt;=825,vp.tbl[[#This Row],[Sulf]]&lt;=0.5,vp.tbl[[#This Row],[Unknown]]=0),1,0)</f>
        <v>0</v>
      </c>
      <c r="AB125">
        <f>IF(AND(vp.tbl[[#This Row],[CrudeType]]="Crude",vp.tbl[[#This Row],[Dens]]&gt;825,vp.tbl[[#This Row],[Dens]]&lt;=870,vp.tbl[[#This Row],[Sulf]]&gt;0.5,vp.tbl[[#This Row],[Unknown]]=0),1,0)</f>
        <v>0</v>
      </c>
      <c r="AC125">
        <f>IF(AND(vp.tbl[[#This Row],[CrudeType]]="Crude",vp.tbl[[#This Row],[Dens]]&gt;825,vp.tbl[[#This Row],[Dens]]&lt;=900,vp.tbl[[#This Row],[Sulf]]&lt;=0.5,vp.tbl[[#This Row],[Unknown]]=0),1,0)</f>
        <v>0</v>
      </c>
      <c r="AD125">
        <f>IF(AND(vp.tbl[[#This Row],[CrudeType]]="Crude",vp.tbl[[#This Row],[Dens]]&gt;870,vp.tbl[[#This Row],[Dens]]&lt;=900,vp.tbl[[#This Row],[Sulf]]&gt;0.5,vp.tbl[[#This Row],[Unknown]]=0),1,0)</f>
        <v>0</v>
      </c>
      <c r="AE125">
        <f>IF(AND(vp.tbl[[#This Row],[CrudeType]]="Crude",vp.tbl[[#This Row],[Dens]]&gt;900,vp.tbl[[#This Row],[Sulf]]&lt;=0.5,vp.tbl[[#This Row],[Unknown]]=0),1,0)</f>
        <v>0</v>
      </c>
      <c r="AF125">
        <f>IF(AND(vp.tbl[[#This Row],[CrudeType]]="Crude",vp.tbl[[#This Row],[Dens]]&gt;900,vp.tbl[[#This Row],[Sulf]]&lt;=0.5,vp.tbl[[#This Row],[Unknown]]=0),1,0)</f>
        <v>0</v>
      </c>
      <c r="AG125" t="str">
        <f>INDEX(vp.tbl[[#Headers],[Unknown]:[Heavy_SW]],MATCH(1,vp.tbl[[#This Row],[Unknown]:[Heavy_SW]],0))</f>
        <v>Light_LSB</v>
      </c>
      <c r="AH125" t="e">
        <f>INDEX([1]!crudeBD.lkup[Number],MATCH(vp.tbl[[#This Row],[Crude_Breakdown]],[1]!crudeBD.lkup[Crude Breakdown],0))</f>
        <v>#REF!</v>
      </c>
      <c r="AI125">
        <f>MONTH(vp.tbl[[#This Row],[SDate]])</f>
        <v>4</v>
      </c>
      <c r="AJ125" s="5">
        <f>IFERROR(vp.tbl[[#This Row],[Sulf]]*vp.tbl[[#This Row],[Net Dens]],"")</f>
        <v>6245128.3229999999</v>
      </c>
      <c r="AK125" s="5">
        <f>IFERROR(vp.tbl[[#This Row],[Dens]]*vp.tbl[[#This Row],[VolumeM3]],"")</f>
        <v>4956451.05</v>
      </c>
      <c r="AL125" s="5">
        <f>IFERROR(vp.tbl[[#This Row],[VP]]*vp.tbl[[#This Row],[VolumeM3]],"")</f>
        <v>744357.45</v>
      </c>
      <c r="AM125" s="4">
        <f>IFERROR((vp.tbl[[#This Row],[VP]]-INDEX(crudeBD.lkup.complete[Mean_VP],MATCH(vp.tbl[[#This Row],[Crude_Breakdown]],crudeBD.lkup.complete[Crude Breakdown],0)))^2,"")</f>
        <v>885.28947331278357</v>
      </c>
      <c r="AN125" s="4">
        <f>IFERROR((vp.tbl[[#This Row],[Dens]]-INDEX(crudeBD.lkup.complete[Mean_Dens],MATCH(vp.tbl[[#This Row],[Crude_Breakdown]],crudeBD.lkup.complete[Crude Breakdown],0)))^2,"")</f>
        <v>117.00250802894794</v>
      </c>
      <c r="AO125" s="4">
        <f>IFERROR((vp.tbl[[#This Row],[Sulf]]-INDEX(crudeBD.lkup.complete[Mean_Sulf],MATCH(vp.tbl[[#This Row],[Crude_Breakdown]],crudeBD.lkup.complete[Crude Breakdown],0)))^2,"")</f>
        <v>0.11358843333985327</v>
      </c>
      <c r="AP125">
        <f>IF(AND(vp.tbl[[#This Row],[SDate]]&gt;=DATE(YEAR(vp.tbl[[#This Row],[SDate]]),5,1),vp.tbl[[#This Row],[SDate]]&lt;=DATE(YEAR(vp.tbl[[#This Row],[SDate]]),9,15)),1,0)</f>
        <v>0</v>
      </c>
      <c r="AQ125" s="15">
        <f>IF(vp.tbl[[#This Row],[SDate]]&lt;DATE(2016,12,1),0,1)</f>
        <v>0</v>
      </c>
    </row>
    <row r="126" spans="1:43" x14ac:dyDescent="0.25">
      <c r="A126">
        <v>125</v>
      </c>
      <c r="B126" t="s">
        <v>62</v>
      </c>
      <c r="C126" t="s">
        <v>62</v>
      </c>
      <c r="D126" t="s">
        <v>63</v>
      </c>
      <c r="F126" s="1">
        <v>42471</v>
      </c>
      <c r="G126" s="2">
        <v>141.69999999999999</v>
      </c>
      <c r="H126" s="2"/>
      <c r="I126" s="2">
        <v>1.26</v>
      </c>
      <c r="J126" s="2"/>
      <c r="K126" s="2"/>
      <c r="L126" s="2">
        <v>807.7</v>
      </c>
      <c r="M126" s="2">
        <v>807.7</v>
      </c>
      <c r="N126" s="2">
        <f ca="1">INDEX(INDIRECT(_xlfn.CONCAT("weather.tbl[",N$1,"]")),MATCH(vp.tbl[[#This Row],[SDate]],weather.tbl[Date],0))</f>
        <v>-3.1833333333333336</v>
      </c>
      <c r="O126" s="2">
        <f ca="1">INDEX(INDIRECT(_xlfn.CONCAT("weather.tbl[",O$1,"]")),MATCH(vp.tbl[[#This Row],[SDate]],weather.tbl[Date],0))</f>
        <v>1.0809523809523809</v>
      </c>
      <c r="P126" s="2">
        <f ca="1">INDEX(INDIRECT(_xlfn.CONCAT("weather.tbl[",P$1,"]")),MATCH(vp.tbl[[#This Row],[SDate]],weather.tbl[Date],0))</f>
        <v>-3.5</v>
      </c>
      <c r="Q126" s="2">
        <f ca="1">INDEX(INDIRECT(_xlfn.CONCAT("weather.tbl[",Q$1,"]")),MATCH(vp.tbl[[#This Row],[SDate]],weather.tbl[Date],0))</f>
        <v>-3.8</v>
      </c>
      <c r="R126" s="2">
        <f ca="1">INDEX(INDIRECT(_xlfn.CONCAT("weather.tbl[",R$1,"]")),MATCH(vp.tbl[[#This Row],[SDate]],weather.tbl[Date],0))</f>
        <v>-3</v>
      </c>
      <c r="S126" s="2">
        <f ca="1">INDEX(INDIRECT(_xlfn.CONCAT("weather.tbl[",S$1,"]")),MATCH(vp.tbl[[#This Row],[SDate]],weather.tbl[Date],0))</f>
        <v>-3</v>
      </c>
      <c r="T126" s="2">
        <f ca="1">INDEX(INDIRECT(_xlfn.CONCAT("weather.tbl[",T$1,"]")),MATCH(vp.tbl[[#This Row],[SDate]],weather.tbl[Date],0))</f>
        <v>-2.5</v>
      </c>
      <c r="U126" s="2">
        <f ca="1">INDEX(INDIRECT(_xlfn.CONCAT("weather.tbl[",U$1,"]")),MATCH(vp.tbl[[#This Row],[SDate]],weather.tbl[Date],0))</f>
        <v>-3.3</v>
      </c>
      <c r="V126" s="2">
        <v>6136.5</v>
      </c>
      <c r="W126" t="s">
        <v>48</v>
      </c>
      <c r="X126">
        <f>IF(OR(vp.tbl[[#This Row],[Sulf]]="",vp.tbl[[#This Row],[Dens]]=""),1,0)</f>
        <v>0</v>
      </c>
      <c r="Y126">
        <f>IF(vp.tbl[[#This Row],[CrudeType]]="C5+",1,0)</f>
        <v>0</v>
      </c>
      <c r="Z126">
        <f>IF(AND(vp.tbl[[#This Row],[CrudeType]]="Crude",vp.tbl[[#This Row],[Dens]]&lt;=825,vp.tbl[[#This Row],[Sulf]]&gt;0.5,vp.tbl[[#This Row],[Unknown]]=0),1,0)</f>
        <v>1</v>
      </c>
      <c r="AA126">
        <f>IF(AND(vp.tbl[[#This Row],[CrudeType]]="Crude",vp.tbl[[#This Row],[Dens]]&lt;=825,vp.tbl[[#This Row],[Sulf]]&lt;=0.5,vp.tbl[[#This Row],[Unknown]]=0),1,0)</f>
        <v>0</v>
      </c>
      <c r="AB126">
        <f>IF(AND(vp.tbl[[#This Row],[CrudeType]]="Crude",vp.tbl[[#This Row],[Dens]]&gt;825,vp.tbl[[#This Row],[Dens]]&lt;=870,vp.tbl[[#This Row],[Sulf]]&gt;0.5,vp.tbl[[#This Row],[Unknown]]=0),1,0)</f>
        <v>0</v>
      </c>
      <c r="AC126">
        <f>IF(AND(vp.tbl[[#This Row],[CrudeType]]="Crude",vp.tbl[[#This Row],[Dens]]&gt;825,vp.tbl[[#This Row],[Dens]]&lt;=900,vp.tbl[[#This Row],[Sulf]]&lt;=0.5,vp.tbl[[#This Row],[Unknown]]=0),1,0)</f>
        <v>0</v>
      </c>
      <c r="AD126">
        <f>IF(AND(vp.tbl[[#This Row],[CrudeType]]="Crude",vp.tbl[[#This Row],[Dens]]&gt;870,vp.tbl[[#This Row],[Dens]]&lt;=900,vp.tbl[[#This Row],[Sulf]]&gt;0.5,vp.tbl[[#This Row],[Unknown]]=0),1,0)</f>
        <v>0</v>
      </c>
      <c r="AE126">
        <f>IF(AND(vp.tbl[[#This Row],[CrudeType]]="Crude",vp.tbl[[#This Row],[Dens]]&gt;900,vp.tbl[[#This Row],[Sulf]]&lt;=0.5,vp.tbl[[#This Row],[Unknown]]=0),1,0)</f>
        <v>0</v>
      </c>
      <c r="AF126">
        <f>IF(AND(vp.tbl[[#This Row],[CrudeType]]="Crude",vp.tbl[[#This Row],[Dens]]&gt;900,vp.tbl[[#This Row],[Sulf]]&lt;=0.5,vp.tbl[[#This Row],[Unknown]]=0),1,0)</f>
        <v>0</v>
      </c>
      <c r="AG126" t="str">
        <f>INDEX(vp.tbl[[#Headers],[Unknown]:[Heavy_SW]],MATCH(1,vp.tbl[[#This Row],[Unknown]:[Heavy_SW]],0))</f>
        <v>Light_LSB</v>
      </c>
      <c r="AH126" t="e">
        <f>INDEX([1]!crudeBD.lkup[Number],MATCH(vp.tbl[[#This Row],[Crude_Breakdown]],[1]!crudeBD.lkup[Crude Breakdown],0))</f>
        <v>#REF!</v>
      </c>
      <c r="AI126">
        <f>MONTH(vp.tbl[[#This Row],[SDate]])</f>
        <v>4</v>
      </c>
      <c r="AJ126" s="5">
        <f>IFERROR(vp.tbl[[#This Row],[Sulf]]*vp.tbl[[#This Row],[Net Dens]],"")</f>
        <v>6245128.3229999999</v>
      </c>
      <c r="AK126" s="5">
        <f>IFERROR(vp.tbl[[#This Row],[Dens]]*vp.tbl[[#This Row],[VolumeM3]],"")</f>
        <v>4956451.05</v>
      </c>
      <c r="AL126" s="5">
        <f>IFERROR(vp.tbl[[#This Row],[VP]]*vp.tbl[[#This Row],[VolumeM3]],"")</f>
        <v>869542.04999999993</v>
      </c>
      <c r="AM126" s="4">
        <f>IFERROR((vp.tbl[[#This Row],[VP]]-INDEX(crudeBD.lkup.complete[Mean_VP],MATCH(vp.tbl[[#This Row],[Crude_Breakdown]],crudeBD.lkup.complete[Crude Breakdown],0)))^2,"")</f>
        <v>2515.4051021787609</v>
      </c>
      <c r="AN126" s="4">
        <f>IFERROR((vp.tbl[[#This Row],[Dens]]-INDEX(crudeBD.lkup.complete[Mean_Dens],MATCH(vp.tbl[[#This Row],[Crude_Breakdown]],crudeBD.lkup.complete[Crude Breakdown],0)))^2,"")</f>
        <v>117.00250802894794</v>
      </c>
      <c r="AO126" s="4">
        <f>IFERROR((vp.tbl[[#This Row],[Sulf]]-INDEX(crudeBD.lkup.complete[Mean_Sulf],MATCH(vp.tbl[[#This Row],[Crude_Breakdown]],crudeBD.lkup.complete[Crude Breakdown],0)))^2,"")</f>
        <v>0.11358843333985327</v>
      </c>
      <c r="AP126">
        <f>IF(AND(vp.tbl[[#This Row],[SDate]]&gt;=DATE(YEAR(vp.tbl[[#This Row],[SDate]]),5,1),vp.tbl[[#This Row],[SDate]]&lt;=DATE(YEAR(vp.tbl[[#This Row],[SDate]]),9,15)),1,0)</f>
        <v>0</v>
      </c>
      <c r="AQ126" s="15">
        <f>IF(vp.tbl[[#This Row],[SDate]]&lt;DATE(2016,12,1),0,1)</f>
        <v>0</v>
      </c>
    </row>
    <row r="127" spans="1:43" x14ac:dyDescent="0.25">
      <c r="A127">
        <v>126</v>
      </c>
      <c r="B127" t="s">
        <v>62</v>
      </c>
      <c r="C127" t="s">
        <v>62</v>
      </c>
      <c r="D127" t="s">
        <v>63</v>
      </c>
      <c r="F127" s="1">
        <v>42471</v>
      </c>
      <c r="G127" s="2">
        <v>140.4</v>
      </c>
      <c r="H127" s="2"/>
      <c r="I127" s="2">
        <v>1.26</v>
      </c>
      <c r="J127" s="2"/>
      <c r="K127" s="2"/>
      <c r="L127" s="2">
        <v>807.7</v>
      </c>
      <c r="M127" s="2">
        <v>807.7</v>
      </c>
      <c r="N127" s="2">
        <f ca="1">INDEX(INDIRECT(_xlfn.CONCAT("weather.tbl[",N$1,"]")),MATCH(vp.tbl[[#This Row],[SDate]],weather.tbl[Date],0))</f>
        <v>-3.1833333333333336</v>
      </c>
      <c r="O127" s="2">
        <f ca="1">INDEX(INDIRECT(_xlfn.CONCAT("weather.tbl[",O$1,"]")),MATCH(vp.tbl[[#This Row],[SDate]],weather.tbl[Date],0))</f>
        <v>1.0809523809523809</v>
      </c>
      <c r="P127" s="2">
        <f ca="1">INDEX(INDIRECT(_xlfn.CONCAT("weather.tbl[",P$1,"]")),MATCH(vp.tbl[[#This Row],[SDate]],weather.tbl[Date],0))</f>
        <v>-3.5</v>
      </c>
      <c r="Q127" s="2">
        <f ca="1">INDEX(INDIRECT(_xlfn.CONCAT("weather.tbl[",Q$1,"]")),MATCH(vp.tbl[[#This Row],[SDate]],weather.tbl[Date],0))</f>
        <v>-3.8</v>
      </c>
      <c r="R127" s="2">
        <f ca="1">INDEX(INDIRECT(_xlfn.CONCAT("weather.tbl[",R$1,"]")),MATCH(vp.tbl[[#This Row],[SDate]],weather.tbl[Date],0))</f>
        <v>-3</v>
      </c>
      <c r="S127" s="2">
        <f ca="1">INDEX(INDIRECT(_xlfn.CONCAT("weather.tbl[",S$1,"]")),MATCH(vp.tbl[[#This Row],[SDate]],weather.tbl[Date],0))</f>
        <v>-3</v>
      </c>
      <c r="T127" s="2">
        <f ca="1">INDEX(INDIRECT(_xlfn.CONCAT("weather.tbl[",T$1,"]")),MATCH(vp.tbl[[#This Row],[SDate]],weather.tbl[Date],0))</f>
        <v>-2.5</v>
      </c>
      <c r="U127" s="2">
        <f ca="1">INDEX(INDIRECT(_xlfn.CONCAT("weather.tbl[",U$1,"]")),MATCH(vp.tbl[[#This Row],[SDate]],weather.tbl[Date],0))</f>
        <v>-3.3</v>
      </c>
      <c r="V127" s="2">
        <v>6136.5</v>
      </c>
      <c r="W127" t="s">
        <v>48</v>
      </c>
      <c r="X127">
        <f>IF(OR(vp.tbl[[#This Row],[Sulf]]="",vp.tbl[[#This Row],[Dens]]=""),1,0)</f>
        <v>0</v>
      </c>
      <c r="Y127">
        <f>IF(vp.tbl[[#This Row],[CrudeType]]="C5+",1,0)</f>
        <v>0</v>
      </c>
      <c r="Z127">
        <f>IF(AND(vp.tbl[[#This Row],[CrudeType]]="Crude",vp.tbl[[#This Row],[Dens]]&lt;=825,vp.tbl[[#This Row],[Sulf]]&gt;0.5,vp.tbl[[#This Row],[Unknown]]=0),1,0)</f>
        <v>1</v>
      </c>
      <c r="AA127">
        <f>IF(AND(vp.tbl[[#This Row],[CrudeType]]="Crude",vp.tbl[[#This Row],[Dens]]&lt;=825,vp.tbl[[#This Row],[Sulf]]&lt;=0.5,vp.tbl[[#This Row],[Unknown]]=0),1,0)</f>
        <v>0</v>
      </c>
      <c r="AB127">
        <f>IF(AND(vp.tbl[[#This Row],[CrudeType]]="Crude",vp.tbl[[#This Row],[Dens]]&gt;825,vp.tbl[[#This Row],[Dens]]&lt;=870,vp.tbl[[#This Row],[Sulf]]&gt;0.5,vp.tbl[[#This Row],[Unknown]]=0),1,0)</f>
        <v>0</v>
      </c>
      <c r="AC127">
        <f>IF(AND(vp.tbl[[#This Row],[CrudeType]]="Crude",vp.tbl[[#This Row],[Dens]]&gt;825,vp.tbl[[#This Row],[Dens]]&lt;=900,vp.tbl[[#This Row],[Sulf]]&lt;=0.5,vp.tbl[[#This Row],[Unknown]]=0),1,0)</f>
        <v>0</v>
      </c>
      <c r="AD127">
        <f>IF(AND(vp.tbl[[#This Row],[CrudeType]]="Crude",vp.tbl[[#This Row],[Dens]]&gt;870,vp.tbl[[#This Row],[Dens]]&lt;=900,vp.tbl[[#This Row],[Sulf]]&gt;0.5,vp.tbl[[#This Row],[Unknown]]=0),1,0)</f>
        <v>0</v>
      </c>
      <c r="AE127">
        <f>IF(AND(vp.tbl[[#This Row],[CrudeType]]="Crude",vp.tbl[[#This Row],[Dens]]&gt;900,vp.tbl[[#This Row],[Sulf]]&lt;=0.5,vp.tbl[[#This Row],[Unknown]]=0),1,0)</f>
        <v>0</v>
      </c>
      <c r="AF127">
        <f>IF(AND(vp.tbl[[#This Row],[CrudeType]]="Crude",vp.tbl[[#This Row],[Dens]]&gt;900,vp.tbl[[#This Row],[Sulf]]&lt;=0.5,vp.tbl[[#This Row],[Unknown]]=0),1,0)</f>
        <v>0</v>
      </c>
      <c r="AG127" t="str">
        <f>INDEX(vp.tbl[[#Headers],[Unknown]:[Heavy_SW]],MATCH(1,vp.tbl[[#This Row],[Unknown]:[Heavy_SW]],0))</f>
        <v>Light_LSB</v>
      </c>
      <c r="AH127" t="e">
        <f>INDEX([1]!crudeBD.lkup[Number],MATCH(vp.tbl[[#This Row],[Crude_Breakdown]],[1]!crudeBD.lkup[Crude Breakdown],0))</f>
        <v>#REF!</v>
      </c>
      <c r="AI127">
        <f>MONTH(vp.tbl[[#This Row],[SDate]])</f>
        <v>4</v>
      </c>
      <c r="AJ127" s="5">
        <f>IFERROR(vp.tbl[[#This Row],[Sulf]]*vp.tbl[[#This Row],[Net Dens]],"")</f>
        <v>6245128.3229999999</v>
      </c>
      <c r="AK127" s="5">
        <f>IFERROR(vp.tbl[[#This Row],[Dens]]*vp.tbl[[#This Row],[VolumeM3]],"")</f>
        <v>4956451.05</v>
      </c>
      <c r="AL127" s="5">
        <f>IFERROR(vp.tbl[[#This Row],[VP]]*vp.tbl[[#This Row],[VolumeM3]],"")</f>
        <v>861564.6</v>
      </c>
      <c r="AM127" s="4">
        <f>IFERROR((vp.tbl[[#This Row],[VP]]-INDEX(crudeBD.lkup.complete[Mean_VP],MATCH(vp.tbl[[#This Row],[Crude_Breakdown]],crudeBD.lkup.complete[Crude Breakdown],0)))^2,"")</f>
        <v>2386.6951846529892</v>
      </c>
      <c r="AN127" s="4">
        <f>IFERROR((vp.tbl[[#This Row],[Dens]]-INDEX(crudeBD.lkup.complete[Mean_Dens],MATCH(vp.tbl[[#This Row],[Crude_Breakdown]],crudeBD.lkup.complete[Crude Breakdown],0)))^2,"")</f>
        <v>117.00250802894794</v>
      </c>
      <c r="AO127" s="4">
        <f>IFERROR((vp.tbl[[#This Row],[Sulf]]-INDEX(crudeBD.lkup.complete[Mean_Sulf],MATCH(vp.tbl[[#This Row],[Crude_Breakdown]],crudeBD.lkup.complete[Crude Breakdown],0)))^2,"")</f>
        <v>0.11358843333985327</v>
      </c>
      <c r="AP127">
        <f>IF(AND(vp.tbl[[#This Row],[SDate]]&gt;=DATE(YEAR(vp.tbl[[#This Row],[SDate]]),5,1),vp.tbl[[#This Row],[SDate]]&lt;=DATE(YEAR(vp.tbl[[#This Row],[SDate]]),9,15)),1,0)</f>
        <v>0</v>
      </c>
      <c r="AQ127" s="15">
        <f>IF(vp.tbl[[#This Row],[SDate]]&lt;DATE(2016,12,1),0,1)</f>
        <v>0</v>
      </c>
    </row>
    <row r="128" spans="1:43" x14ac:dyDescent="0.25">
      <c r="A128">
        <v>127</v>
      </c>
      <c r="B128" t="s">
        <v>62</v>
      </c>
      <c r="C128" t="s">
        <v>62</v>
      </c>
      <c r="D128" t="s">
        <v>63</v>
      </c>
      <c r="F128" s="1">
        <v>42472</v>
      </c>
      <c r="G128" s="2">
        <v>127.3</v>
      </c>
      <c r="H128" s="2"/>
      <c r="I128" s="2">
        <v>1.26</v>
      </c>
      <c r="J128" s="2"/>
      <c r="K128" s="2"/>
      <c r="L128" s="2">
        <v>797</v>
      </c>
      <c r="M128" s="2">
        <v>797</v>
      </c>
      <c r="N128" s="2">
        <f ca="1">INDEX(INDIRECT(_xlfn.CONCAT("weather.tbl[",N$1,"]")),MATCH(vp.tbl[[#This Row],[SDate]],weather.tbl[Date],0))</f>
        <v>7.3166666666666664</v>
      </c>
      <c r="O128" s="2">
        <f ca="1">INDEX(INDIRECT(_xlfn.CONCAT("weather.tbl[",O$1,"]")),MATCH(vp.tbl[[#This Row],[SDate]],weather.tbl[Date],0))</f>
        <v>1.5047619047619045</v>
      </c>
      <c r="P128" s="2">
        <f ca="1">INDEX(INDIRECT(_xlfn.CONCAT("weather.tbl[",P$1,"]")),MATCH(vp.tbl[[#This Row],[SDate]],weather.tbl[Date],0))</f>
        <v>7.9</v>
      </c>
      <c r="Q128" s="2">
        <f ca="1">INDEX(INDIRECT(_xlfn.CONCAT("weather.tbl[",Q$1,"]")),MATCH(vp.tbl[[#This Row],[SDate]],weather.tbl[Date],0))</f>
        <v>9.1</v>
      </c>
      <c r="R128" s="2">
        <f ca="1">INDEX(INDIRECT(_xlfn.CONCAT("weather.tbl[",R$1,"]")),MATCH(vp.tbl[[#This Row],[SDate]],weather.tbl[Date],0))</f>
        <v>5.5</v>
      </c>
      <c r="S128" s="2">
        <f ca="1">INDEX(INDIRECT(_xlfn.CONCAT("weather.tbl[",S$1,"]")),MATCH(vp.tbl[[#This Row],[SDate]],weather.tbl[Date],0))</f>
        <v>10</v>
      </c>
      <c r="T128" s="2">
        <f ca="1">INDEX(INDIRECT(_xlfn.CONCAT("weather.tbl[",T$1,"]")),MATCH(vp.tbl[[#This Row],[SDate]],weather.tbl[Date],0))</f>
        <v>4.0999999999999996</v>
      </c>
      <c r="U128" s="2">
        <f ca="1">INDEX(INDIRECT(_xlfn.CONCAT("weather.tbl[",U$1,"]")),MATCH(vp.tbl[[#This Row],[SDate]],weather.tbl[Date],0))</f>
        <v>7.3</v>
      </c>
      <c r="V128" s="2">
        <v>6136.5</v>
      </c>
      <c r="W128" t="s">
        <v>48</v>
      </c>
      <c r="X128">
        <f>IF(OR(vp.tbl[[#This Row],[Sulf]]="",vp.tbl[[#This Row],[Dens]]=""),1,0)</f>
        <v>0</v>
      </c>
      <c r="Y128">
        <f>IF(vp.tbl[[#This Row],[CrudeType]]="C5+",1,0)</f>
        <v>0</v>
      </c>
      <c r="Z128">
        <f>IF(AND(vp.tbl[[#This Row],[CrudeType]]="Crude",vp.tbl[[#This Row],[Dens]]&lt;=825,vp.tbl[[#This Row],[Sulf]]&gt;0.5,vp.tbl[[#This Row],[Unknown]]=0),1,0)</f>
        <v>1</v>
      </c>
      <c r="AA128">
        <f>IF(AND(vp.tbl[[#This Row],[CrudeType]]="Crude",vp.tbl[[#This Row],[Dens]]&lt;=825,vp.tbl[[#This Row],[Sulf]]&lt;=0.5,vp.tbl[[#This Row],[Unknown]]=0),1,0)</f>
        <v>0</v>
      </c>
      <c r="AB128">
        <f>IF(AND(vp.tbl[[#This Row],[CrudeType]]="Crude",vp.tbl[[#This Row],[Dens]]&gt;825,vp.tbl[[#This Row],[Dens]]&lt;=870,vp.tbl[[#This Row],[Sulf]]&gt;0.5,vp.tbl[[#This Row],[Unknown]]=0),1,0)</f>
        <v>0</v>
      </c>
      <c r="AC128">
        <f>IF(AND(vp.tbl[[#This Row],[CrudeType]]="Crude",vp.tbl[[#This Row],[Dens]]&gt;825,vp.tbl[[#This Row],[Dens]]&lt;=900,vp.tbl[[#This Row],[Sulf]]&lt;=0.5,vp.tbl[[#This Row],[Unknown]]=0),1,0)</f>
        <v>0</v>
      </c>
      <c r="AD128">
        <f>IF(AND(vp.tbl[[#This Row],[CrudeType]]="Crude",vp.tbl[[#This Row],[Dens]]&gt;870,vp.tbl[[#This Row],[Dens]]&lt;=900,vp.tbl[[#This Row],[Sulf]]&gt;0.5,vp.tbl[[#This Row],[Unknown]]=0),1,0)</f>
        <v>0</v>
      </c>
      <c r="AE128">
        <f>IF(AND(vp.tbl[[#This Row],[CrudeType]]="Crude",vp.tbl[[#This Row],[Dens]]&gt;900,vp.tbl[[#This Row],[Sulf]]&lt;=0.5,vp.tbl[[#This Row],[Unknown]]=0),1,0)</f>
        <v>0</v>
      </c>
      <c r="AF128">
        <f>IF(AND(vp.tbl[[#This Row],[CrudeType]]="Crude",vp.tbl[[#This Row],[Dens]]&gt;900,vp.tbl[[#This Row],[Sulf]]&lt;=0.5,vp.tbl[[#This Row],[Unknown]]=0),1,0)</f>
        <v>0</v>
      </c>
      <c r="AG128" t="str">
        <f>INDEX(vp.tbl[[#Headers],[Unknown]:[Heavy_SW]],MATCH(1,vp.tbl[[#This Row],[Unknown]:[Heavy_SW]],0))</f>
        <v>Light_LSB</v>
      </c>
      <c r="AH128" t="e">
        <f>INDEX([1]!crudeBD.lkup[Number],MATCH(vp.tbl[[#This Row],[Crude_Breakdown]],[1]!crudeBD.lkup[Crude Breakdown],0))</f>
        <v>#REF!</v>
      </c>
      <c r="AI128">
        <f>MONTH(vp.tbl[[#This Row],[SDate]])</f>
        <v>4</v>
      </c>
      <c r="AJ128" s="5">
        <f>IFERROR(vp.tbl[[#This Row],[Sulf]]*vp.tbl[[#This Row],[Net Dens]],"")</f>
        <v>6162396.0300000003</v>
      </c>
      <c r="AK128" s="5">
        <f>IFERROR(vp.tbl[[#This Row],[Dens]]*vp.tbl[[#This Row],[VolumeM3]],"")</f>
        <v>4890790.5</v>
      </c>
      <c r="AL128" s="5">
        <f>IFERROR(vp.tbl[[#This Row],[VP]]*vp.tbl[[#This Row],[VolumeM3]],"")</f>
        <v>781176.45</v>
      </c>
      <c r="AM128" s="4">
        <f>IFERROR((vp.tbl[[#This Row],[VP]]-INDEX(crudeBD.lkup.complete[Mean_VP],MATCH(vp.tbl[[#This Row],[Crude_Breakdown]],crudeBD.lkup.complete[Crude Breakdown],0)))^2,"")</f>
        <v>1278.3352465086596</v>
      </c>
      <c r="AN128" s="4">
        <f>IFERROR((vp.tbl[[#This Row],[Dens]]-INDEX(crudeBD.lkup.complete[Mean_Dens],MATCH(vp.tbl[[#This Row],[Crude_Breakdown]],crudeBD.lkup.complete[Crude Breakdown],0)))^2,"")</f>
        <v>462.97138088117589</v>
      </c>
      <c r="AO128" s="4">
        <f>IFERROR((vp.tbl[[#This Row],[Sulf]]-INDEX(crudeBD.lkup.complete[Mean_Sulf],MATCH(vp.tbl[[#This Row],[Crude_Breakdown]],crudeBD.lkup.complete[Crude Breakdown],0)))^2,"")</f>
        <v>0.11358843333985327</v>
      </c>
      <c r="AP128">
        <f>IF(AND(vp.tbl[[#This Row],[SDate]]&gt;=DATE(YEAR(vp.tbl[[#This Row],[SDate]]),5,1),vp.tbl[[#This Row],[SDate]]&lt;=DATE(YEAR(vp.tbl[[#This Row],[SDate]]),9,15)),1,0)</f>
        <v>0</v>
      </c>
      <c r="AQ128" s="15">
        <f>IF(vp.tbl[[#This Row],[SDate]]&lt;DATE(2016,12,1),0,1)</f>
        <v>0</v>
      </c>
    </row>
    <row r="129" spans="1:43" x14ac:dyDescent="0.25">
      <c r="A129">
        <v>128</v>
      </c>
      <c r="B129" t="s">
        <v>62</v>
      </c>
      <c r="C129" t="s">
        <v>62</v>
      </c>
      <c r="D129" t="s">
        <v>63</v>
      </c>
      <c r="F129" s="1">
        <v>42472</v>
      </c>
      <c r="G129" s="2">
        <v>127.6</v>
      </c>
      <c r="H129" s="2"/>
      <c r="I129" s="2">
        <v>1.26</v>
      </c>
      <c r="J129" s="2"/>
      <c r="K129" s="2"/>
      <c r="L129" s="2">
        <v>797</v>
      </c>
      <c r="M129" s="2">
        <v>797</v>
      </c>
      <c r="N129" s="2">
        <f ca="1">INDEX(INDIRECT(_xlfn.CONCAT("weather.tbl[",N$1,"]")),MATCH(vp.tbl[[#This Row],[SDate]],weather.tbl[Date],0))</f>
        <v>7.3166666666666664</v>
      </c>
      <c r="O129" s="2">
        <f ca="1">INDEX(INDIRECT(_xlfn.CONCAT("weather.tbl[",O$1,"]")),MATCH(vp.tbl[[#This Row],[SDate]],weather.tbl[Date],0))</f>
        <v>1.5047619047619045</v>
      </c>
      <c r="P129" s="2">
        <f ca="1">INDEX(INDIRECT(_xlfn.CONCAT("weather.tbl[",P$1,"]")),MATCH(vp.tbl[[#This Row],[SDate]],weather.tbl[Date],0))</f>
        <v>7.9</v>
      </c>
      <c r="Q129" s="2">
        <f ca="1">INDEX(INDIRECT(_xlfn.CONCAT("weather.tbl[",Q$1,"]")),MATCH(vp.tbl[[#This Row],[SDate]],weather.tbl[Date],0))</f>
        <v>9.1</v>
      </c>
      <c r="R129" s="2">
        <f ca="1">INDEX(INDIRECT(_xlfn.CONCAT("weather.tbl[",R$1,"]")),MATCH(vp.tbl[[#This Row],[SDate]],weather.tbl[Date],0))</f>
        <v>5.5</v>
      </c>
      <c r="S129" s="2">
        <f ca="1">INDEX(INDIRECT(_xlfn.CONCAT("weather.tbl[",S$1,"]")),MATCH(vp.tbl[[#This Row],[SDate]],weather.tbl[Date],0))</f>
        <v>10</v>
      </c>
      <c r="T129" s="2">
        <f ca="1">INDEX(INDIRECT(_xlfn.CONCAT("weather.tbl[",T$1,"]")),MATCH(vp.tbl[[#This Row],[SDate]],weather.tbl[Date],0))</f>
        <v>4.0999999999999996</v>
      </c>
      <c r="U129" s="2">
        <f ca="1">INDEX(INDIRECT(_xlfn.CONCAT("weather.tbl[",U$1,"]")),MATCH(vp.tbl[[#This Row],[SDate]],weather.tbl[Date],0))</f>
        <v>7.3</v>
      </c>
      <c r="V129" s="2">
        <v>6136.5</v>
      </c>
      <c r="W129" t="s">
        <v>48</v>
      </c>
      <c r="X129">
        <f>IF(OR(vp.tbl[[#This Row],[Sulf]]="",vp.tbl[[#This Row],[Dens]]=""),1,0)</f>
        <v>0</v>
      </c>
      <c r="Y129">
        <f>IF(vp.tbl[[#This Row],[CrudeType]]="C5+",1,0)</f>
        <v>0</v>
      </c>
      <c r="Z129">
        <f>IF(AND(vp.tbl[[#This Row],[CrudeType]]="Crude",vp.tbl[[#This Row],[Dens]]&lt;=825,vp.tbl[[#This Row],[Sulf]]&gt;0.5,vp.tbl[[#This Row],[Unknown]]=0),1,0)</f>
        <v>1</v>
      </c>
      <c r="AA129">
        <f>IF(AND(vp.tbl[[#This Row],[CrudeType]]="Crude",vp.tbl[[#This Row],[Dens]]&lt;=825,vp.tbl[[#This Row],[Sulf]]&lt;=0.5,vp.tbl[[#This Row],[Unknown]]=0),1,0)</f>
        <v>0</v>
      </c>
      <c r="AB129">
        <f>IF(AND(vp.tbl[[#This Row],[CrudeType]]="Crude",vp.tbl[[#This Row],[Dens]]&gt;825,vp.tbl[[#This Row],[Dens]]&lt;=870,vp.tbl[[#This Row],[Sulf]]&gt;0.5,vp.tbl[[#This Row],[Unknown]]=0),1,0)</f>
        <v>0</v>
      </c>
      <c r="AC129">
        <f>IF(AND(vp.tbl[[#This Row],[CrudeType]]="Crude",vp.tbl[[#This Row],[Dens]]&gt;825,vp.tbl[[#This Row],[Dens]]&lt;=900,vp.tbl[[#This Row],[Sulf]]&lt;=0.5,vp.tbl[[#This Row],[Unknown]]=0),1,0)</f>
        <v>0</v>
      </c>
      <c r="AD129">
        <f>IF(AND(vp.tbl[[#This Row],[CrudeType]]="Crude",vp.tbl[[#This Row],[Dens]]&gt;870,vp.tbl[[#This Row],[Dens]]&lt;=900,vp.tbl[[#This Row],[Sulf]]&gt;0.5,vp.tbl[[#This Row],[Unknown]]=0),1,0)</f>
        <v>0</v>
      </c>
      <c r="AE129">
        <f>IF(AND(vp.tbl[[#This Row],[CrudeType]]="Crude",vp.tbl[[#This Row],[Dens]]&gt;900,vp.tbl[[#This Row],[Sulf]]&lt;=0.5,vp.tbl[[#This Row],[Unknown]]=0),1,0)</f>
        <v>0</v>
      </c>
      <c r="AF129">
        <f>IF(AND(vp.tbl[[#This Row],[CrudeType]]="Crude",vp.tbl[[#This Row],[Dens]]&gt;900,vp.tbl[[#This Row],[Sulf]]&lt;=0.5,vp.tbl[[#This Row],[Unknown]]=0),1,0)</f>
        <v>0</v>
      </c>
      <c r="AG129" t="str">
        <f>INDEX(vp.tbl[[#Headers],[Unknown]:[Heavy_SW]],MATCH(1,vp.tbl[[#This Row],[Unknown]:[Heavy_SW]],0))</f>
        <v>Light_LSB</v>
      </c>
      <c r="AH129" t="e">
        <f>INDEX([1]!crudeBD.lkup[Number],MATCH(vp.tbl[[#This Row],[Crude_Breakdown]],[1]!crudeBD.lkup[Crude Breakdown],0))</f>
        <v>#REF!</v>
      </c>
      <c r="AI129">
        <f>MONTH(vp.tbl[[#This Row],[SDate]])</f>
        <v>4</v>
      </c>
      <c r="AJ129" s="5">
        <f>IFERROR(vp.tbl[[#This Row],[Sulf]]*vp.tbl[[#This Row],[Net Dens]],"")</f>
        <v>6162396.0300000003</v>
      </c>
      <c r="AK129" s="5">
        <f>IFERROR(vp.tbl[[#This Row],[Dens]]*vp.tbl[[#This Row],[VolumeM3]],"")</f>
        <v>4890790.5</v>
      </c>
      <c r="AL129" s="5">
        <f>IFERROR(vp.tbl[[#This Row],[VP]]*vp.tbl[[#This Row],[VolumeM3]],"")</f>
        <v>783017.4</v>
      </c>
      <c r="AM129" s="4">
        <f>IFERROR((vp.tbl[[#This Row],[VP]]-INDEX(crudeBD.lkup.complete[Mean_VP],MATCH(vp.tbl[[#This Row],[Crude_Breakdown]],crudeBD.lkup.complete[Crude Breakdown],0)))^2,"")</f>
        <v>1299.8775351684531</v>
      </c>
      <c r="AN129" s="4">
        <f>IFERROR((vp.tbl[[#This Row],[Dens]]-INDEX(crudeBD.lkup.complete[Mean_Dens],MATCH(vp.tbl[[#This Row],[Crude_Breakdown]],crudeBD.lkup.complete[Crude Breakdown],0)))^2,"")</f>
        <v>462.97138088117589</v>
      </c>
      <c r="AO129" s="4">
        <f>IFERROR((vp.tbl[[#This Row],[Sulf]]-INDEX(crudeBD.lkup.complete[Mean_Sulf],MATCH(vp.tbl[[#This Row],[Crude_Breakdown]],crudeBD.lkup.complete[Crude Breakdown],0)))^2,"")</f>
        <v>0.11358843333985327</v>
      </c>
      <c r="AP129">
        <f>IF(AND(vp.tbl[[#This Row],[SDate]]&gt;=DATE(YEAR(vp.tbl[[#This Row],[SDate]]),5,1),vp.tbl[[#This Row],[SDate]]&lt;=DATE(YEAR(vp.tbl[[#This Row],[SDate]]),9,15)),1,0)</f>
        <v>0</v>
      </c>
      <c r="AQ129" s="15">
        <f>IF(vp.tbl[[#This Row],[SDate]]&lt;DATE(2016,12,1),0,1)</f>
        <v>0</v>
      </c>
    </row>
    <row r="130" spans="1:43" x14ac:dyDescent="0.25">
      <c r="A130">
        <v>129</v>
      </c>
      <c r="B130" t="s">
        <v>51</v>
      </c>
      <c r="C130" t="s">
        <v>51</v>
      </c>
      <c r="D130" t="s">
        <v>58</v>
      </c>
      <c r="F130" s="1">
        <v>42473</v>
      </c>
      <c r="G130" s="2">
        <v>108.8</v>
      </c>
      <c r="H130" s="2"/>
      <c r="I130" s="2">
        <v>1.2</v>
      </c>
      <c r="J130" s="2"/>
      <c r="K130" s="2"/>
      <c r="L130" s="2">
        <v>824.7</v>
      </c>
      <c r="M130" s="2">
        <v>824.7</v>
      </c>
      <c r="N130" s="2">
        <f ca="1">INDEX(INDIRECT(_xlfn.CONCAT("weather.tbl[",N$1,"]")),MATCH(vp.tbl[[#This Row],[SDate]],weather.tbl[Date],0))</f>
        <v>10.483333333333333</v>
      </c>
      <c r="O130" s="2">
        <f ca="1">INDEX(INDIRECT(_xlfn.CONCAT("weather.tbl[",O$1,"]")),MATCH(vp.tbl[[#This Row],[SDate]],weather.tbl[Date],0))</f>
        <v>2.5333333333333328</v>
      </c>
      <c r="P130" s="2">
        <f ca="1">INDEX(INDIRECT(_xlfn.CONCAT("weather.tbl[",P$1,"]")),MATCH(vp.tbl[[#This Row],[SDate]],weather.tbl[Date],0))</f>
        <v>10.199999999999999</v>
      </c>
      <c r="Q130" s="2">
        <f ca="1">INDEX(INDIRECT(_xlfn.CONCAT("weather.tbl[",Q$1,"]")),MATCH(vp.tbl[[#This Row],[SDate]],weather.tbl[Date],0))</f>
        <v>11.5</v>
      </c>
      <c r="R130" s="2">
        <f ca="1">INDEX(INDIRECT(_xlfn.CONCAT("weather.tbl[",R$1,"]")),MATCH(vp.tbl[[#This Row],[SDate]],weather.tbl[Date],0))</f>
        <v>9</v>
      </c>
      <c r="S130" s="2">
        <f ca="1">INDEX(INDIRECT(_xlfn.CONCAT("weather.tbl[",S$1,"]")),MATCH(vp.tbl[[#This Row],[SDate]],weather.tbl[Date],0))</f>
        <v>10.8</v>
      </c>
      <c r="T130" s="2">
        <f ca="1">INDEX(INDIRECT(_xlfn.CONCAT("weather.tbl[",T$1,"]")),MATCH(vp.tbl[[#This Row],[SDate]],weather.tbl[Date],0))</f>
        <v>9.9</v>
      </c>
      <c r="U130" s="2">
        <f ca="1">INDEX(INDIRECT(_xlfn.CONCAT("weather.tbl[",U$1,"]")),MATCH(vp.tbl[[#This Row],[SDate]],weather.tbl[Date],0))</f>
        <v>11.5</v>
      </c>
      <c r="V130" s="2">
        <v>6872.53</v>
      </c>
      <c r="W130" t="s">
        <v>48</v>
      </c>
      <c r="X130">
        <f>IF(OR(vp.tbl[[#This Row],[Sulf]]="",vp.tbl[[#This Row],[Dens]]=""),1,0)</f>
        <v>0</v>
      </c>
      <c r="Y130">
        <f>IF(vp.tbl[[#This Row],[CrudeType]]="C5+",1,0)</f>
        <v>0</v>
      </c>
      <c r="Z130">
        <f>IF(AND(vp.tbl[[#This Row],[CrudeType]]="Crude",vp.tbl[[#This Row],[Dens]]&lt;=825,vp.tbl[[#This Row],[Sulf]]&gt;0.5,vp.tbl[[#This Row],[Unknown]]=0),1,0)</f>
        <v>1</v>
      </c>
      <c r="AA130">
        <f>IF(AND(vp.tbl[[#This Row],[CrudeType]]="Crude",vp.tbl[[#This Row],[Dens]]&lt;=825,vp.tbl[[#This Row],[Sulf]]&lt;=0.5,vp.tbl[[#This Row],[Unknown]]=0),1,0)</f>
        <v>0</v>
      </c>
      <c r="AB130">
        <f>IF(AND(vp.tbl[[#This Row],[CrudeType]]="Crude",vp.tbl[[#This Row],[Dens]]&gt;825,vp.tbl[[#This Row],[Dens]]&lt;=870,vp.tbl[[#This Row],[Sulf]]&gt;0.5,vp.tbl[[#This Row],[Unknown]]=0),1,0)</f>
        <v>0</v>
      </c>
      <c r="AC130">
        <f>IF(AND(vp.tbl[[#This Row],[CrudeType]]="Crude",vp.tbl[[#This Row],[Dens]]&gt;825,vp.tbl[[#This Row],[Dens]]&lt;=900,vp.tbl[[#This Row],[Sulf]]&lt;=0.5,vp.tbl[[#This Row],[Unknown]]=0),1,0)</f>
        <v>0</v>
      </c>
      <c r="AD130">
        <f>IF(AND(vp.tbl[[#This Row],[CrudeType]]="Crude",vp.tbl[[#This Row],[Dens]]&gt;870,vp.tbl[[#This Row],[Dens]]&lt;=900,vp.tbl[[#This Row],[Sulf]]&gt;0.5,vp.tbl[[#This Row],[Unknown]]=0),1,0)</f>
        <v>0</v>
      </c>
      <c r="AE130">
        <f>IF(AND(vp.tbl[[#This Row],[CrudeType]]="Crude",vp.tbl[[#This Row],[Dens]]&gt;900,vp.tbl[[#This Row],[Sulf]]&lt;=0.5,vp.tbl[[#This Row],[Unknown]]=0),1,0)</f>
        <v>0</v>
      </c>
      <c r="AF130">
        <f>IF(AND(vp.tbl[[#This Row],[CrudeType]]="Crude",vp.tbl[[#This Row],[Dens]]&gt;900,vp.tbl[[#This Row],[Sulf]]&lt;=0.5,vp.tbl[[#This Row],[Unknown]]=0),1,0)</f>
        <v>0</v>
      </c>
      <c r="AG130" t="str">
        <f>INDEX(vp.tbl[[#Headers],[Unknown]:[Heavy_SW]],MATCH(1,vp.tbl[[#This Row],[Unknown]:[Heavy_SW]],0))</f>
        <v>Light_LSB</v>
      </c>
      <c r="AH130" t="e">
        <f>INDEX([1]!crudeBD.lkup[Number],MATCH(vp.tbl[[#This Row],[Crude_Breakdown]],[1]!crudeBD.lkup[Crude Breakdown],0))</f>
        <v>#REF!</v>
      </c>
      <c r="AI130">
        <f>MONTH(vp.tbl[[#This Row],[SDate]])</f>
        <v>4</v>
      </c>
      <c r="AJ130" s="5">
        <f>IFERROR(vp.tbl[[#This Row],[Sulf]]*vp.tbl[[#This Row],[Net Dens]],"")</f>
        <v>6801330.5892000003</v>
      </c>
      <c r="AK130" s="5">
        <f>IFERROR(vp.tbl[[#This Row],[Dens]]*vp.tbl[[#This Row],[VolumeM3]],"")</f>
        <v>5667775.4910000004</v>
      </c>
      <c r="AL130" s="5">
        <f>IFERROR(vp.tbl[[#This Row],[VP]]*vp.tbl[[#This Row],[VolumeM3]],"")</f>
        <v>747731.26399999997</v>
      </c>
      <c r="AM130" s="4">
        <f>IFERROR((vp.tbl[[#This Row],[VP]]-INDEX(crudeBD.lkup.complete[Mean_VP],MATCH(vp.tbl[[#This Row],[Crude_Breakdown]],crudeBD.lkup.complete[Crude Breakdown],0)))^2,"")</f>
        <v>297.69411248804221</v>
      </c>
      <c r="AN130" s="4">
        <f>IFERROR((vp.tbl[[#This Row],[Dens]]-INDEX(crudeBD.lkup.complete[Mean_Dens],MATCH(vp.tbl[[#This Row],[Crude_Breakdown]],crudeBD.lkup.complete[Crude Breakdown],0)))^2,"")</f>
        <v>38.232336207654335</v>
      </c>
      <c r="AO130" s="4">
        <f>IFERROR((vp.tbl[[#This Row],[Sulf]]-INDEX(crudeBD.lkup.complete[Mean_Sulf],MATCH(vp.tbl[[#This Row],[Crude_Breakdown]],crudeBD.lkup.complete[Crude Breakdown],0)))^2,"")</f>
        <v>7.6744973546038778E-2</v>
      </c>
      <c r="AP130">
        <f>IF(AND(vp.tbl[[#This Row],[SDate]]&gt;=DATE(YEAR(vp.tbl[[#This Row],[SDate]]),5,1),vp.tbl[[#This Row],[SDate]]&lt;=DATE(YEAR(vp.tbl[[#This Row],[SDate]]),9,15)),1,0)</f>
        <v>0</v>
      </c>
      <c r="AQ130" s="15">
        <f>IF(vp.tbl[[#This Row],[SDate]]&lt;DATE(2016,12,1),0,1)</f>
        <v>0</v>
      </c>
    </row>
    <row r="131" spans="1:43" x14ac:dyDescent="0.25">
      <c r="A131">
        <v>130</v>
      </c>
      <c r="B131" t="s">
        <v>49</v>
      </c>
      <c r="C131" t="s">
        <v>49</v>
      </c>
      <c r="D131" t="s">
        <v>74</v>
      </c>
      <c r="F131" s="1">
        <v>42475</v>
      </c>
      <c r="G131" s="2">
        <v>114.4</v>
      </c>
      <c r="H131" s="2"/>
      <c r="I131" s="2">
        <v>0.14000000000000001</v>
      </c>
      <c r="J131" s="2"/>
      <c r="K131" s="2"/>
      <c r="L131" s="2">
        <v>802.2</v>
      </c>
      <c r="M131" s="2">
        <v>802.2</v>
      </c>
      <c r="N131" s="2">
        <f ca="1">INDEX(INDIRECT(_xlfn.CONCAT("weather.tbl[",N$1,"]")),MATCH(vp.tbl[[#This Row],[SDate]],weather.tbl[Date],0))</f>
        <v>3.9666666666666668</v>
      </c>
      <c r="O131" s="2">
        <f ca="1">INDEX(INDIRECT(_xlfn.CONCAT("weather.tbl[",O$1,"]")),MATCH(vp.tbl[[#This Row],[SDate]],weather.tbl[Date],0))</f>
        <v>4.5571428571428569</v>
      </c>
      <c r="P131" s="2">
        <f ca="1">INDEX(INDIRECT(_xlfn.CONCAT("weather.tbl[",P$1,"]")),MATCH(vp.tbl[[#This Row],[SDate]],weather.tbl[Date],0))</f>
        <v>4.8</v>
      </c>
      <c r="Q131" s="2">
        <f ca="1">INDEX(INDIRECT(_xlfn.CONCAT("weather.tbl[",Q$1,"]")),MATCH(vp.tbl[[#This Row],[SDate]],weather.tbl[Date],0))</f>
        <v>4.7</v>
      </c>
      <c r="R131" s="2">
        <f ca="1">INDEX(INDIRECT(_xlfn.CONCAT("weather.tbl[",R$1,"]")),MATCH(vp.tbl[[#This Row],[SDate]],weather.tbl[Date],0))</f>
        <v>3</v>
      </c>
      <c r="S131" s="2">
        <f ca="1">INDEX(INDIRECT(_xlfn.CONCAT("weather.tbl[",S$1,"]")),MATCH(vp.tbl[[#This Row],[SDate]],weather.tbl[Date],0))</f>
        <v>4</v>
      </c>
      <c r="T131" s="2">
        <f ca="1">INDEX(INDIRECT(_xlfn.CONCAT("weather.tbl[",T$1,"]")),MATCH(vp.tbl[[#This Row],[SDate]],weather.tbl[Date],0))</f>
        <v>5</v>
      </c>
      <c r="U131" s="2">
        <f ca="1">INDEX(INDIRECT(_xlfn.CONCAT("weather.tbl[",U$1,"]")),MATCH(vp.tbl[[#This Row],[SDate]],weather.tbl[Date],0))</f>
        <v>2.2999999999999998</v>
      </c>
      <c r="V131" s="2">
        <v>47572.436999999998</v>
      </c>
      <c r="W131" t="s">
        <v>48</v>
      </c>
      <c r="X131">
        <f>IF(OR(vp.tbl[[#This Row],[Sulf]]="",vp.tbl[[#This Row],[Dens]]=""),1,0)</f>
        <v>0</v>
      </c>
      <c r="Y131">
        <f>IF(vp.tbl[[#This Row],[CrudeType]]="C5+",1,0)</f>
        <v>0</v>
      </c>
      <c r="Z131">
        <f>IF(AND(vp.tbl[[#This Row],[CrudeType]]="Crude",vp.tbl[[#This Row],[Dens]]&lt;=825,vp.tbl[[#This Row],[Sulf]]&gt;0.5,vp.tbl[[#This Row],[Unknown]]=0),1,0)</f>
        <v>0</v>
      </c>
      <c r="AA131">
        <f>IF(AND(vp.tbl[[#This Row],[CrudeType]]="Crude",vp.tbl[[#This Row],[Dens]]&lt;=825,vp.tbl[[#This Row],[Sulf]]&lt;=0.5,vp.tbl[[#This Row],[Unknown]]=0),1,0)</f>
        <v>1</v>
      </c>
      <c r="AB131">
        <f>IF(AND(vp.tbl[[#This Row],[CrudeType]]="Crude",vp.tbl[[#This Row],[Dens]]&gt;825,vp.tbl[[#This Row],[Dens]]&lt;=870,vp.tbl[[#This Row],[Sulf]]&gt;0.5,vp.tbl[[#This Row],[Unknown]]=0),1,0)</f>
        <v>0</v>
      </c>
      <c r="AC131">
        <f>IF(AND(vp.tbl[[#This Row],[CrudeType]]="Crude",vp.tbl[[#This Row],[Dens]]&gt;825,vp.tbl[[#This Row],[Dens]]&lt;=900,vp.tbl[[#This Row],[Sulf]]&lt;=0.5,vp.tbl[[#This Row],[Unknown]]=0),1,0)</f>
        <v>0</v>
      </c>
      <c r="AD131">
        <f>IF(AND(vp.tbl[[#This Row],[CrudeType]]="Crude",vp.tbl[[#This Row],[Dens]]&gt;870,vp.tbl[[#This Row],[Dens]]&lt;=900,vp.tbl[[#This Row],[Sulf]]&gt;0.5,vp.tbl[[#This Row],[Unknown]]=0),1,0)</f>
        <v>0</v>
      </c>
      <c r="AE131">
        <f>IF(AND(vp.tbl[[#This Row],[CrudeType]]="Crude",vp.tbl[[#This Row],[Dens]]&gt;900,vp.tbl[[#This Row],[Sulf]]&lt;=0.5,vp.tbl[[#This Row],[Unknown]]=0),1,0)</f>
        <v>0</v>
      </c>
      <c r="AF131">
        <f>IF(AND(vp.tbl[[#This Row],[CrudeType]]="Crude",vp.tbl[[#This Row],[Dens]]&gt;900,vp.tbl[[#This Row],[Sulf]]&lt;=0.5,vp.tbl[[#This Row],[Unknown]]=0),1,0)</f>
        <v>0</v>
      </c>
      <c r="AG131" t="str">
        <f>INDEX(vp.tbl[[#Headers],[Unknown]:[Heavy_SW]],MATCH(1,vp.tbl[[#This Row],[Unknown]:[Heavy_SW]],0))</f>
        <v>Light_SW</v>
      </c>
      <c r="AH131" t="e">
        <f>INDEX([1]!crudeBD.lkup[Number],MATCH(vp.tbl[[#This Row],[Crude_Breakdown]],[1]!crudeBD.lkup[Crude Breakdown],0))</f>
        <v>#REF!</v>
      </c>
      <c r="AI131">
        <f>MONTH(vp.tbl[[#This Row],[SDate]])</f>
        <v>4</v>
      </c>
      <c r="AJ131" s="5">
        <f>IFERROR(vp.tbl[[#This Row],[Sulf]]*vp.tbl[[#This Row],[Net Dens]],"")</f>
        <v>5342765.2545960005</v>
      </c>
      <c r="AK131" s="5">
        <f>IFERROR(vp.tbl[[#This Row],[Dens]]*vp.tbl[[#This Row],[VolumeM3]],"")</f>
        <v>38162608.961400002</v>
      </c>
      <c r="AL131" s="5">
        <f>IFERROR(vp.tbl[[#This Row],[VP]]*vp.tbl[[#This Row],[VolumeM3]],"")</f>
        <v>5442286.7927999999</v>
      </c>
      <c r="AM131" s="4">
        <f>IFERROR((vp.tbl[[#This Row],[VP]]-INDEX(crudeBD.lkup.complete[Mean_VP],MATCH(vp.tbl[[#This Row],[Crude_Breakdown]],crudeBD.lkup.complete[Crude Breakdown],0)))^2,"")</f>
        <v>477.40879626558689</v>
      </c>
      <c r="AN131" s="4">
        <f>IFERROR((vp.tbl[[#This Row],[Dens]]-INDEX(crudeBD.lkup.complete[Mean_Dens],MATCH(vp.tbl[[#This Row],[Crude_Breakdown]],crudeBD.lkup.complete[Crude Breakdown],0)))^2,"")</f>
        <v>37.350410955574723</v>
      </c>
      <c r="AO131" s="4">
        <f>IFERROR((vp.tbl[[#This Row],[Sulf]]-INDEX(crudeBD.lkup.complete[Mean_Sulf],MATCH(vp.tbl[[#This Row],[Crude_Breakdown]],crudeBD.lkup.complete[Crude Breakdown],0)))^2,"")</f>
        <v>9.2624863475336272E-3</v>
      </c>
      <c r="AP131">
        <f>IF(AND(vp.tbl[[#This Row],[SDate]]&gt;=DATE(YEAR(vp.tbl[[#This Row],[SDate]]),5,1),vp.tbl[[#This Row],[SDate]]&lt;=DATE(YEAR(vp.tbl[[#This Row],[SDate]]),9,15)),1,0)</f>
        <v>0</v>
      </c>
      <c r="AQ131" s="15">
        <f>IF(vp.tbl[[#This Row],[SDate]]&lt;DATE(2016,12,1),0,1)</f>
        <v>0</v>
      </c>
    </row>
    <row r="132" spans="1:43" x14ac:dyDescent="0.25">
      <c r="A132">
        <v>131</v>
      </c>
      <c r="B132" t="s">
        <v>49</v>
      </c>
      <c r="C132" t="s">
        <v>49</v>
      </c>
      <c r="D132" t="s">
        <v>67</v>
      </c>
      <c r="F132" s="1">
        <v>42475</v>
      </c>
      <c r="G132" s="2">
        <v>115.7</v>
      </c>
      <c r="H132" s="2"/>
      <c r="I132" s="2">
        <v>0.21</v>
      </c>
      <c r="J132" s="2"/>
      <c r="K132" s="2"/>
      <c r="L132" s="2">
        <v>804.4</v>
      </c>
      <c r="M132" s="2">
        <v>804.4</v>
      </c>
      <c r="N132" s="2">
        <f ca="1">INDEX(INDIRECT(_xlfn.CONCAT("weather.tbl[",N$1,"]")),MATCH(vp.tbl[[#This Row],[SDate]],weather.tbl[Date],0))</f>
        <v>3.9666666666666668</v>
      </c>
      <c r="O132" s="2">
        <f ca="1">INDEX(INDIRECT(_xlfn.CONCAT("weather.tbl[",O$1,"]")),MATCH(vp.tbl[[#This Row],[SDate]],weather.tbl[Date],0))</f>
        <v>4.5571428571428569</v>
      </c>
      <c r="P132" s="2">
        <f ca="1">INDEX(INDIRECT(_xlfn.CONCAT("weather.tbl[",P$1,"]")),MATCH(vp.tbl[[#This Row],[SDate]],weather.tbl[Date],0))</f>
        <v>4.8</v>
      </c>
      <c r="Q132" s="2">
        <f ca="1">INDEX(INDIRECT(_xlfn.CONCAT("weather.tbl[",Q$1,"]")),MATCH(vp.tbl[[#This Row],[SDate]],weather.tbl[Date],0))</f>
        <v>4.7</v>
      </c>
      <c r="R132" s="2">
        <f ca="1">INDEX(INDIRECT(_xlfn.CONCAT("weather.tbl[",R$1,"]")),MATCH(vp.tbl[[#This Row],[SDate]],weather.tbl[Date],0))</f>
        <v>3</v>
      </c>
      <c r="S132" s="2">
        <f ca="1">INDEX(INDIRECT(_xlfn.CONCAT("weather.tbl[",S$1,"]")),MATCH(vp.tbl[[#This Row],[SDate]],weather.tbl[Date],0))</f>
        <v>4</v>
      </c>
      <c r="T132" s="2">
        <f ca="1">INDEX(INDIRECT(_xlfn.CONCAT("weather.tbl[",T$1,"]")),MATCH(vp.tbl[[#This Row],[SDate]],weather.tbl[Date],0))</f>
        <v>5</v>
      </c>
      <c r="U132" s="2">
        <f ca="1">INDEX(INDIRECT(_xlfn.CONCAT("weather.tbl[",U$1,"]")),MATCH(vp.tbl[[#This Row],[SDate]],weather.tbl[Date],0))</f>
        <v>2.2999999999999998</v>
      </c>
      <c r="V132" s="2">
        <v>57873.212</v>
      </c>
      <c r="W132" t="s">
        <v>48</v>
      </c>
      <c r="X132">
        <f>IF(OR(vp.tbl[[#This Row],[Sulf]]="",vp.tbl[[#This Row],[Dens]]=""),1,0)</f>
        <v>0</v>
      </c>
      <c r="Y132">
        <f>IF(vp.tbl[[#This Row],[CrudeType]]="C5+",1,0)</f>
        <v>0</v>
      </c>
      <c r="Z132">
        <f>IF(AND(vp.tbl[[#This Row],[CrudeType]]="Crude",vp.tbl[[#This Row],[Dens]]&lt;=825,vp.tbl[[#This Row],[Sulf]]&gt;0.5,vp.tbl[[#This Row],[Unknown]]=0),1,0)</f>
        <v>0</v>
      </c>
      <c r="AA132">
        <f>IF(AND(vp.tbl[[#This Row],[CrudeType]]="Crude",vp.tbl[[#This Row],[Dens]]&lt;=825,vp.tbl[[#This Row],[Sulf]]&lt;=0.5,vp.tbl[[#This Row],[Unknown]]=0),1,0)</f>
        <v>1</v>
      </c>
      <c r="AB132">
        <f>IF(AND(vp.tbl[[#This Row],[CrudeType]]="Crude",vp.tbl[[#This Row],[Dens]]&gt;825,vp.tbl[[#This Row],[Dens]]&lt;=870,vp.tbl[[#This Row],[Sulf]]&gt;0.5,vp.tbl[[#This Row],[Unknown]]=0),1,0)</f>
        <v>0</v>
      </c>
      <c r="AC132">
        <f>IF(AND(vp.tbl[[#This Row],[CrudeType]]="Crude",vp.tbl[[#This Row],[Dens]]&gt;825,vp.tbl[[#This Row],[Dens]]&lt;=900,vp.tbl[[#This Row],[Sulf]]&lt;=0.5,vp.tbl[[#This Row],[Unknown]]=0),1,0)</f>
        <v>0</v>
      </c>
      <c r="AD132">
        <f>IF(AND(vp.tbl[[#This Row],[CrudeType]]="Crude",vp.tbl[[#This Row],[Dens]]&gt;870,vp.tbl[[#This Row],[Dens]]&lt;=900,vp.tbl[[#This Row],[Sulf]]&gt;0.5,vp.tbl[[#This Row],[Unknown]]=0),1,0)</f>
        <v>0</v>
      </c>
      <c r="AE132">
        <f>IF(AND(vp.tbl[[#This Row],[CrudeType]]="Crude",vp.tbl[[#This Row],[Dens]]&gt;900,vp.tbl[[#This Row],[Sulf]]&lt;=0.5,vp.tbl[[#This Row],[Unknown]]=0),1,0)</f>
        <v>0</v>
      </c>
      <c r="AF132">
        <f>IF(AND(vp.tbl[[#This Row],[CrudeType]]="Crude",vp.tbl[[#This Row],[Dens]]&gt;900,vp.tbl[[#This Row],[Sulf]]&lt;=0.5,vp.tbl[[#This Row],[Unknown]]=0),1,0)</f>
        <v>0</v>
      </c>
      <c r="AG132" t="str">
        <f>INDEX(vp.tbl[[#Headers],[Unknown]:[Heavy_SW]],MATCH(1,vp.tbl[[#This Row],[Unknown]:[Heavy_SW]],0))</f>
        <v>Light_SW</v>
      </c>
      <c r="AH132" t="e">
        <f>INDEX([1]!crudeBD.lkup[Number],MATCH(vp.tbl[[#This Row],[Crude_Breakdown]],[1]!crudeBD.lkup[Crude Breakdown],0))</f>
        <v>#REF!</v>
      </c>
      <c r="AI132">
        <f>MONTH(vp.tbl[[#This Row],[SDate]])</f>
        <v>4</v>
      </c>
      <c r="AJ132" s="5">
        <f>IFERROR(vp.tbl[[#This Row],[Sulf]]*vp.tbl[[#This Row],[Net Dens]],"")</f>
        <v>9776174.4638879988</v>
      </c>
      <c r="AK132" s="5">
        <f>IFERROR(vp.tbl[[#This Row],[Dens]]*vp.tbl[[#This Row],[VolumeM3]],"")</f>
        <v>46553211.732799999</v>
      </c>
      <c r="AL132" s="5">
        <f>IFERROR(vp.tbl[[#This Row],[VP]]*vp.tbl[[#This Row],[VolumeM3]],"")</f>
        <v>6695930.6283999998</v>
      </c>
      <c r="AM132" s="4">
        <f>IFERROR((vp.tbl[[#This Row],[VP]]-INDEX(crudeBD.lkup.complete[Mean_VP],MATCH(vp.tbl[[#This Row],[Crude_Breakdown]],crudeBD.lkup.complete[Crude Breakdown],0)))^2,"")</f>
        <v>535.90798093457636</v>
      </c>
      <c r="AN132" s="4">
        <f>IFERROR((vp.tbl[[#This Row],[Dens]]-INDEX(crudeBD.lkup.complete[Mean_Dens],MATCH(vp.tbl[[#This Row],[Crude_Breakdown]],crudeBD.lkup.complete[Crude Breakdown],0)))^2,"")</f>
        <v>15.299818621081645</v>
      </c>
      <c r="AO132" s="4">
        <f>IFERROR((vp.tbl[[#This Row],[Sulf]]-INDEX(crudeBD.lkup.complete[Mean_Sulf],MATCH(vp.tbl[[#This Row],[Crude_Breakdown]],crudeBD.lkup.complete[Crude Breakdown],0)))^2,"")</f>
        <v>6.8863268899706654E-4</v>
      </c>
      <c r="AP132">
        <f>IF(AND(vp.tbl[[#This Row],[SDate]]&gt;=DATE(YEAR(vp.tbl[[#This Row],[SDate]]),5,1),vp.tbl[[#This Row],[SDate]]&lt;=DATE(YEAR(vp.tbl[[#This Row],[SDate]]),9,15)),1,0)</f>
        <v>0</v>
      </c>
      <c r="AQ132" s="15">
        <f>IF(vp.tbl[[#This Row],[SDate]]&lt;DATE(2016,12,1),0,1)</f>
        <v>0</v>
      </c>
    </row>
    <row r="133" spans="1:43" x14ac:dyDescent="0.25">
      <c r="A133">
        <v>132</v>
      </c>
      <c r="B133" t="s">
        <v>62</v>
      </c>
      <c r="C133" t="s">
        <v>62</v>
      </c>
      <c r="D133" t="s">
        <v>63</v>
      </c>
      <c r="F133" s="1">
        <v>42475</v>
      </c>
      <c r="G133" s="2">
        <v>106.3</v>
      </c>
      <c r="H133" s="2"/>
      <c r="I133" s="2">
        <v>1.26</v>
      </c>
      <c r="J133" s="2"/>
      <c r="K133" s="2"/>
      <c r="L133" s="2">
        <v>813</v>
      </c>
      <c r="M133" s="2">
        <v>813</v>
      </c>
      <c r="N133" s="2">
        <f ca="1">INDEX(INDIRECT(_xlfn.CONCAT("weather.tbl[",N$1,"]")),MATCH(vp.tbl[[#This Row],[SDate]],weather.tbl[Date],0))</f>
        <v>3.9666666666666668</v>
      </c>
      <c r="O133" s="2">
        <f ca="1">INDEX(INDIRECT(_xlfn.CONCAT("weather.tbl[",O$1,"]")),MATCH(vp.tbl[[#This Row],[SDate]],weather.tbl[Date],0))</f>
        <v>4.5571428571428569</v>
      </c>
      <c r="P133" s="2">
        <f ca="1">INDEX(INDIRECT(_xlfn.CONCAT("weather.tbl[",P$1,"]")),MATCH(vp.tbl[[#This Row],[SDate]],weather.tbl[Date],0))</f>
        <v>4.8</v>
      </c>
      <c r="Q133" s="2">
        <f ca="1">INDEX(INDIRECT(_xlfn.CONCAT("weather.tbl[",Q$1,"]")),MATCH(vp.tbl[[#This Row],[SDate]],weather.tbl[Date],0))</f>
        <v>4.7</v>
      </c>
      <c r="R133" s="2">
        <f ca="1">INDEX(INDIRECT(_xlfn.CONCAT("weather.tbl[",R$1,"]")),MATCH(vp.tbl[[#This Row],[SDate]],weather.tbl[Date],0))</f>
        <v>3</v>
      </c>
      <c r="S133" s="2">
        <f ca="1">INDEX(INDIRECT(_xlfn.CONCAT("weather.tbl[",S$1,"]")),MATCH(vp.tbl[[#This Row],[SDate]],weather.tbl[Date],0))</f>
        <v>4</v>
      </c>
      <c r="T133" s="2">
        <f ca="1">INDEX(INDIRECT(_xlfn.CONCAT("weather.tbl[",T$1,"]")),MATCH(vp.tbl[[#This Row],[SDate]],weather.tbl[Date],0))</f>
        <v>5</v>
      </c>
      <c r="U133" s="2">
        <f ca="1">INDEX(INDIRECT(_xlfn.CONCAT("weather.tbl[",U$1,"]")),MATCH(vp.tbl[[#This Row],[SDate]],weather.tbl[Date],0))</f>
        <v>2.2999999999999998</v>
      </c>
      <c r="V133" s="2">
        <v>6136.5</v>
      </c>
      <c r="W133" t="s">
        <v>48</v>
      </c>
      <c r="X133">
        <f>IF(OR(vp.tbl[[#This Row],[Sulf]]="",vp.tbl[[#This Row],[Dens]]=""),1,0)</f>
        <v>0</v>
      </c>
      <c r="Y133">
        <f>IF(vp.tbl[[#This Row],[CrudeType]]="C5+",1,0)</f>
        <v>0</v>
      </c>
      <c r="Z133">
        <f>IF(AND(vp.tbl[[#This Row],[CrudeType]]="Crude",vp.tbl[[#This Row],[Dens]]&lt;=825,vp.tbl[[#This Row],[Sulf]]&gt;0.5,vp.tbl[[#This Row],[Unknown]]=0),1,0)</f>
        <v>1</v>
      </c>
      <c r="AA133">
        <f>IF(AND(vp.tbl[[#This Row],[CrudeType]]="Crude",vp.tbl[[#This Row],[Dens]]&lt;=825,vp.tbl[[#This Row],[Sulf]]&lt;=0.5,vp.tbl[[#This Row],[Unknown]]=0),1,0)</f>
        <v>0</v>
      </c>
      <c r="AB133">
        <f>IF(AND(vp.tbl[[#This Row],[CrudeType]]="Crude",vp.tbl[[#This Row],[Dens]]&gt;825,vp.tbl[[#This Row],[Dens]]&lt;=870,vp.tbl[[#This Row],[Sulf]]&gt;0.5,vp.tbl[[#This Row],[Unknown]]=0),1,0)</f>
        <v>0</v>
      </c>
      <c r="AC133">
        <f>IF(AND(vp.tbl[[#This Row],[CrudeType]]="Crude",vp.tbl[[#This Row],[Dens]]&gt;825,vp.tbl[[#This Row],[Dens]]&lt;=900,vp.tbl[[#This Row],[Sulf]]&lt;=0.5,vp.tbl[[#This Row],[Unknown]]=0),1,0)</f>
        <v>0</v>
      </c>
      <c r="AD133">
        <f>IF(AND(vp.tbl[[#This Row],[CrudeType]]="Crude",vp.tbl[[#This Row],[Dens]]&gt;870,vp.tbl[[#This Row],[Dens]]&lt;=900,vp.tbl[[#This Row],[Sulf]]&gt;0.5,vp.tbl[[#This Row],[Unknown]]=0),1,0)</f>
        <v>0</v>
      </c>
      <c r="AE133">
        <f>IF(AND(vp.tbl[[#This Row],[CrudeType]]="Crude",vp.tbl[[#This Row],[Dens]]&gt;900,vp.tbl[[#This Row],[Sulf]]&lt;=0.5,vp.tbl[[#This Row],[Unknown]]=0),1,0)</f>
        <v>0</v>
      </c>
      <c r="AF133">
        <f>IF(AND(vp.tbl[[#This Row],[CrudeType]]="Crude",vp.tbl[[#This Row],[Dens]]&gt;900,vp.tbl[[#This Row],[Sulf]]&lt;=0.5,vp.tbl[[#This Row],[Unknown]]=0),1,0)</f>
        <v>0</v>
      </c>
      <c r="AG133" t="str">
        <f>INDEX(vp.tbl[[#Headers],[Unknown]:[Heavy_SW]],MATCH(1,vp.tbl[[#This Row],[Unknown]:[Heavy_SW]],0))</f>
        <v>Light_LSB</v>
      </c>
      <c r="AH133" t="e">
        <f>INDEX([1]!crudeBD.lkup[Number],MATCH(vp.tbl[[#This Row],[Crude_Breakdown]],[1]!crudeBD.lkup[Crude Breakdown],0))</f>
        <v>#REF!</v>
      </c>
      <c r="AI133">
        <f>MONTH(vp.tbl[[#This Row],[SDate]])</f>
        <v>4</v>
      </c>
      <c r="AJ133" s="5">
        <f>IFERROR(vp.tbl[[#This Row],[Sulf]]*vp.tbl[[#This Row],[Net Dens]],"")</f>
        <v>6286107.8700000001</v>
      </c>
      <c r="AK133" s="5">
        <f>IFERROR(vp.tbl[[#This Row],[Dens]]*vp.tbl[[#This Row],[VolumeM3]],"")</f>
        <v>4988974.5</v>
      </c>
      <c r="AL133" s="5">
        <f>IFERROR(vp.tbl[[#This Row],[VP]]*vp.tbl[[#This Row],[VolumeM3]],"")</f>
        <v>652309.94999999995</v>
      </c>
      <c r="AM133" s="4">
        <f>IFERROR((vp.tbl[[#This Row],[VP]]-INDEX(crudeBD.lkup.complete[Mean_VP],MATCH(vp.tbl[[#This Row],[Crude_Breakdown]],crudeBD.lkup.complete[Crude Breakdown],0)))^2,"")</f>
        <v>217.6750403230939</v>
      </c>
      <c r="AN133" s="4">
        <f>IFERROR((vp.tbl[[#This Row],[Dens]]-INDEX(crudeBD.lkup.complete[Mean_Dens],MATCH(vp.tbl[[#This Row],[Crude_Breakdown]],crudeBD.lkup.complete[Crude Breakdown],0)))^2,"")</f>
        <v>30.434748578780439</v>
      </c>
      <c r="AO133" s="4">
        <f>IFERROR((vp.tbl[[#This Row],[Sulf]]-INDEX(crudeBD.lkup.complete[Mean_Sulf],MATCH(vp.tbl[[#This Row],[Crude_Breakdown]],crudeBD.lkup.complete[Crude Breakdown],0)))^2,"")</f>
        <v>0.11358843333985327</v>
      </c>
      <c r="AP133">
        <f>IF(AND(vp.tbl[[#This Row],[SDate]]&gt;=DATE(YEAR(vp.tbl[[#This Row],[SDate]]),5,1),vp.tbl[[#This Row],[SDate]]&lt;=DATE(YEAR(vp.tbl[[#This Row],[SDate]]),9,15)),1,0)</f>
        <v>0</v>
      </c>
      <c r="AQ133" s="15">
        <f>IF(vp.tbl[[#This Row],[SDate]]&lt;DATE(2016,12,1),0,1)</f>
        <v>0</v>
      </c>
    </row>
    <row r="134" spans="1:43" x14ac:dyDescent="0.25">
      <c r="A134">
        <v>133</v>
      </c>
      <c r="B134" t="s">
        <v>60</v>
      </c>
      <c r="C134" t="s">
        <v>60</v>
      </c>
      <c r="D134" t="s">
        <v>61</v>
      </c>
      <c r="E134" t="s">
        <v>73</v>
      </c>
      <c r="F134" s="1">
        <v>42478</v>
      </c>
      <c r="G134" s="2">
        <v>95.1</v>
      </c>
      <c r="H134" s="2"/>
      <c r="I134" s="2">
        <v>1.1499999999999999</v>
      </c>
      <c r="J134" s="2"/>
      <c r="K134" s="2"/>
      <c r="L134" s="2"/>
      <c r="M134" s="2">
        <v>822.6</v>
      </c>
      <c r="N134" s="2">
        <f ca="1">INDEX(INDIRECT(_xlfn.CONCAT("weather.tbl[",N$1,"]")),MATCH(vp.tbl[[#This Row],[SDate]],weather.tbl[Date],0))</f>
        <v>8.0499999999999989</v>
      </c>
      <c r="O134" s="2">
        <f ca="1">INDEX(INDIRECT(_xlfn.CONCAT("weather.tbl[",O$1,"]")),MATCH(vp.tbl[[#This Row],[SDate]],weather.tbl[Date],0))</f>
        <v>6.8285714285714283</v>
      </c>
      <c r="P134" s="2">
        <f ca="1">INDEX(INDIRECT(_xlfn.CONCAT("weather.tbl[",P$1,"]")),MATCH(vp.tbl[[#This Row],[SDate]],weather.tbl[Date],0))</f>
        <v>7.7</v>
      </c>
      <c r="Q134" s="2">
        <f ca="1">INDEX(INDIRECT(_xlfn.CONCAT("weather.tbl[",Q$1,"]")),MATCH(vp.tbl[[#This Row],[SDate]],weather.tbl[Date],0))</f>
        <v>7.7</v>
      </c>
      <c r="R134" s="2">
        <f ca="1">INDEX(INDIRECT(_xlfn.CONCAT("weather.tbl[",R$1,"]")),MATCH(vp.tbl[[#This Row],[SDate]],weather.tbl[Date],0))</f>
        <v>7.8</v>
      </c>
      <c r="S134" s="2">
        <f ca="1">INDEX(INDIRECT(_xlfn.CONCAT("weather.tbl[",S$1,"]")),MATCH(vp.tbl[[#This Row],[SDate]],weather.tbl[Date],0))</f>
        <v>8.5</v>
      </c>
      <c r="T134" s="2">
        <f ca="1">INDEX(INDIRECT(_xlfn.CONCAT("weather.tbl[",T$1,"]")),MATCH(vp.tbl[[#This Row],[SDate]],weather.tbl[Date],0))</f>
        <v>8.8000000000000007</v>
      </c>
      <c r="U134" s="2">
        <f ca="1">INDEX(INDIRECT(_xlfn.CONCAT("weather.tbl[",U$1,"]")),MATCH(vp.tbl[[#This Row],[SDate]],weather.tbl[Date],0))</f>
        <v>7.8</v>
      </c>
      <c r="V134" s="2">
        <v>104990.086</v>
      </c>
      <c r="W134" t="s">
        <v>48</v>
      </c>
      <c r="X134">
        <f>IF(OR(vp.tbl[[#This Row],[Sulf]]="",vp.tbl[[#This Row],[Dens]]=""),1,0)</f>
        <v>0</v>
      </c>
      <c r="Y134">
        <f>IF(vp.tbl[[#This Row],[CrudeType]]="C5+",1,0)</f>
        <v>0</v>
      </c>
      <c r="Z134">
        <f>IF(AND(vp.tbl[[#This Row],[CrudeType]]="Crude",vp.tbl[[#This Row],[Dens]]&lt;=825,vp.tbl[[#This Row],[Sulf]]&gt;0.5,vp.tbl[[#This Row],[Unknown]]=0),1,0)</f>
        <v>1</v>
      </c>
      <c r="AA134">
        <f>IF(AND(vp.tbl[[#This Row],[CrudeType]]="Crude",vp.tbl[[#This Row],[Dens]]&lt;=825,vp.tbl[[#This Row],[Sulf]]&lt;=0.5,vp.tbl[[#This Row],[Unknown]]=0),1,0)</f>
        <v>0</v>
      </c>
      <c r="AB134">
        <f>IF(AND(vp.tbl[[#This Row],[CrudeType]]="Crude",vp.tbl[[#This Row],[Dens]]&gt;825,vp.tbl[[#This Row],[Dens]]&lt;=870,vp.tbl[[#This Row],[Sulf]]&gt;0.5,vp.tbl[[#This Row],[Unknown]]=0),1,0)</f>
        <v>0</v>
      </c>
      <c r="AC134">
        <f>IF(AND(vp.tbl[[#This Row],[CrudeType]]="Crude",vp.tbl[[#This Row],[Dens]]&gt;825,vp.tbl[[#This Row],[Dens]]&lt;=900,vp.tbl[[#This Row],[Sulf]]&lt;=0.5,vp.tbl[[#This Row],[Unknown]]=0),1,0)</f>
        <v>0</v>
      </c>
      <c r="AD134">
        <f>IF(AND(vp.tbl[[#This Row],[CrudeType]]="Crude",vp.tbl[[#This Row],[Dens]]&gt;870,vp.tbl[[#This Row],[Dens]]&lt;=900,vp.tbl[[#This Row],[Sulf]]&gt;0.5,vp.tbl[[#This Row],[Unknown]]=0),1,0)</f>
        <v>0</v>
      </c>
      <c r="AE134">
        <f>IF(AND(vp.tbl[[#This Row],[CrudeType]]="Crude",vp.tbl[[#This Row],[Dens]]&gt;900,vp.tbl[[#This Row],[Sulf]]&lt;=0.5,vp.tbl[[#This Row],[Unknown]]=0),1,0)</f>
        <v>0</v>
      </c>
      <c r="AF134">
        <f>IF(AND(vp.tbl[[#This Row],[CrudeType]]="Crude",vp.tbl[[#This Row],[Dens]]&gt;900,vp.tbl[[#This Row],[Sulf]]&lt;=0.5,vp.tbl[[#This Row],[Unknown]]=0),1,0)</f>
        <v>0</v>
      </c>
      <c r="AG134" t="str">
        <f>INDEX(vp.tbl[[#Headers],[Unknown]:[Heavy_SW]],MATCH(1,vp.tbl[[#This Row],[Unknown]:[Heavy_SW]],0))</f>
        <v>Light_LSB</v>
      </c>
      <c r="AH134" t="e">
        <f>INDEX([1]!crudeBD.lkup[Number],MATCH(vp.tbl[[#This Row],[Crude_Breakdown]],[1]!crudeBD.lkup[Crude Breakdown],0))</f>
        <v>#REF!</v>
      </c>
      <c r="AI134">
        <f>MONTH(vp.tbl[[#This Row],[SDate]])</f>
        <v>4</v>
      </c>
      <c r="AJ134" s="5">
        <f>IFERROR(vp.tbl[[#This Row],[Sulf]]*vp.tbl[[#This Row],[Net Dens]],"")</f>
        <v>99319571.455139995</v>
      </c>
      <c r="AK134" s="5">
        <f>IFERROR(vp.tbl[[#This Row],[Dens]]*vp.tbl[[#This Row],[VolumeM3]],"")</f>
        <v>86364844.743599996</v>
      </c>
      <c r="AL134" s="5">
        <f>IFERROR(vp.tbl[[#This Row],[VP]]*vp.tbl[[#This Row],[VolumeM3]],"")</f>
        <v>9984557.1785999984</v>
      </c>
      <c r="AM134" s="4">
        <f>IFERROR((vp.tbl[[#This Row],[VP]]-INDEX(crudeBD.lkup.complete[Mean_VP],MATCH(vp.tbl[[#This Row],[Crude_Breakdown]],crudeBD.lkup.complete[Crude Breakdown],0)))^2,"")</f>
        <v>12.629597024125575</v>
      </c>
      <c r="AN134" s="4">
        <f>IFERROR((vp.tbl[[#This Row],[Dens]]-INDEX(crudeBD.lkup.complete[Mean_Dens],MATCH(vp.tbl[[#This Row],[Crude_Breakdown]],crudeBD.lkup.complete[Crude Breakdown],0)))^2,"")</f>
        <v>16.67276919734336</v>
      </c>
      <c r="AO134" s="4">
        <f>IFERROR((vp.tbl[[#This Row],[Sulf]]-INDEX(crudeBD.lkup.complete[Mean_Sulf],MATCH(vp.tbl[[#This Row],[Crude_Breakdown]],crudeBD.lkup.complete[Crude Breakdown],0)))^2,"")</f>
        <v>5.1542090384526708E-2</v>
      </c>
      <c r="AP134">
        <f>IF(AND(vp.tbl[[#This Row],[SDate]]&gt;=DATE(YEAR(vp.tbl[[#This Row],[SDate]]),5,1),vp.tbl[[#This Row],[SDate]]&lt;=DATE(YEAR(vp.tbl[[#This Row],[SDate]]),9,15)),1,0)</f>
        <v>0</v>
      </c>
      <c r="AQ134" s="15">
        <f>IF(vp.tbl[[#This Row],[SDate]]&lt;DATE(2016,12,1),0,1)</f>
        <v>0</v>
      </c>
    </row>
    <row r="135" spans="1:43" x14ac:dyDescent="0.25">
      <c r="A135">
        <v>134</v>
      </c>
      <c r="B135" t="s">
        <v>49</v>
      </c>
      <c r="C135" t="s">
        <v>49</v>
      </c>
      <c r="D135" t="s">
        <v>75</v>
      </c>
      <c r="F135" s="1">
        <v>42478</v>
      </c>
      <c r="G135" s="2">
        <v>99.8</v>
      </c>
      <c r="H135" s="2"/>
      <c r="I135" s="2">
        <v>0.15</v>
      </c>
      <c r="J135" s="2"/>
      <c r="K135" s="2"/>
      <c r="L135" s="2">
        <v>800.6</v>
      </c>
      <c r="M135" s="2">
        <v>800.6</v>
      </c>
      <c r="N135" s="2">
        <f ca="1">INDEX(INDIRECT(_xlfn.CONCAT("weather.tbl[",N$1,"]")),MATCH(vp.tbl[[#This Row],[SDate]],weather.tbl[Date],0))</f>
        <v>8.0499999999999989</v>
      </c>
      <c r="O135" s="2">
        <f ca="1">INDEX(INDIRECT(_xlfn.CONCAT("weather.tbl[",O$1,"]")),MATCH(vp.tbl[[#This Row],[SDate]],weather.tbl[Date],0))</f>
        <v>6.8285714285714283</v>
      </c>
      <c r="P135" s="2">
        <f ca="1">INDEX(INDIRECT(_xlfn.CONCAT("weather.tbl[",P$1,"]")),MATCH(vp.tbl[[#This Row],[SDate]],weather.tbl[Date],0))</f>
        <v>7.7</v>
      </c>
      <c r="Q135" s="2">
        <f ca="1">INDEX(INDIRECT(_xlfn.CONCAT("weather.tbl[",Q$1,"]")),MATCH(vp.tbl[[#This Row],[SDate]],weather.tbl[Date],0))</f>
        <v>7.7</v>
      </c>
      <c r="R135" s="2">
        <f ca="1">INDEX(INDIRECT(_xlfn.CONCAT("weather.tbl[",R$1,"]")),MATCH(vp.tbl[[#This Row],[SDate]],weather.tbl[Date],0))</f>
        <v>7.8</v>
      </c>
      <c r="S135" s="2">
        <f ca="1">INDEX(INDIRECT(_xlfn.CONCAT("weather.tbl[",S$1,"]")),MATCH(vp.tbl[[#This Row],[SDate]],weather.tbl[Date],0))</f>
        <v>8.5</v>
      </c>
      <c r="T135" s="2">
        <f ca="1">INDEX(INDIRECT(_xlfn.CONCAT("weather.tbl[",T$1,"]")),MATCH(vp.tbl[[#This Row],[SDate]],weather.tbl[Date],0))</f>
        <v>8.8000000000000007</v>
      </c>
      <c r="U135" s="2">
        <f ca="1">INDEX(INDIRECT(_xlfn.CONCAT("weather.tbl[",U$1,"]")),MATCH(vp.tbl[[#This Row],[SDate]],weather.tbl[Date],0))</f>
        <v>7.8</v>
      </c>
      <c r="V135" s="2">
        <v>20795.141</v>
      </c>
      <c r="W135" t="s">
        <v>48</v>
      </c>
      <c r="X135">
        <f>IF(OR(vp.tbl[[#This Row],[Sulf]]="",vp.tbl[[#This Row],[Dens]]=""),1,0)</f>
        <v>0</v>
      </c>
      <c r="Y135">
        <f>IF(vp.tbl[[#This Row],[CrudeType]]="C5+",1,0)</f>
        <v>0</v>
      </c>
      <c r="Z135">
        <f>IF(AND(vp.tbl[[#This Row],[CrudeType]]="Crude",vp.tbl[[#This Row],[Dens]]&lt;=825,vp.tbl[[#This Row],[Sulf]]&gt;0.5,vp.tbl[[#This Row],[Unknown]]=0),1,0)</f>
        <v>0</v>
      </c>
      <c r="AA135">
        <f>IF(AND(vp.tbl[[#This Row],[CrudeType]]="Crude",vp.tbl[[#This Row],[Dens]]&lt;=825,vp.tbl[[#This Row],[Sulf]]&lt;=0.5,vp.tbl[[#This Row],[Unknown]]=0),1,0)</f>
        <v>1</v>
      </c>
      <c r="AB135">
        <f>IF(AND(vp.tbl[[#This Row],[CrudeType]]="Crude",vp.tbl[[#This Row],[Dens]]&gt;825,vp.tbl[[#This Row],[Dens]]&lt;=870,vp.tbl[[#This Row],[Sulf]]&gt;0.5,vp.tbl[[#This Row],[Unknown]]=0),1,0)</f>
        <v>0</v>
      </c>
      <c r="AC135">
        <f>IF(AND(vp.tbl[[#This Row],[CrudeType]]="Crude",vp.tbl[[#This Row],[Dens]]&gt;825,vp.tbl[[#This Row],[Dens]]&lt;=900,vp.tbl[[#This Row],[Sulf]]&lt;=0.5,vp.tbl[[#This Row],[Unknown]]=0),1,0)</f>
        <v>0</v>
      </c>
      <c r="AD135">
        <f>IF(AND(vp.tbl[[#This Row],[CrudeType]]="Crude",vp.tbl[[#This Row],[Dens]]&gt;870,vp.tbl[[#This Row],[Dens]]&lt;=900,vp.tbl[[#This Row],[Sulf]]&gt;0.5,vp.tbl[[#This Row],[Unknown]]=0),1,0)</f>
        <v>0</v>
      </c>
      <c r="AE135">
        <f>IF(AND(vp.tbl[[#This Row],[CrudeType]]="Crude",vp.tbl[[#This Row],[Dens]]&gt;900,vp.tbl[[#This Row],[Sulf]]&lt;=0.5,vp.tbl[[#This Row],[Unknown]]=0),1,0)</f>
        <v>0</v>
      </c>
      <c r="AF135">
        <f>IF(AND(vp.tbl[[#This Row],[CrudeType]]="Crude",vp.tbl[[#This Row],[Dens]]&gt;900,vp.tbl[[#This Row],[Sulf]]&lt;=0.5,vp.tbl[[#This Row],[Unknown]]=0),1,0)</f>
        <v>0</v>
      </c>
      <c r="AG135" t="str">
        <f>INDEX(vp.tbl[[#Headers],[Unknown]:[Heavy_SW]],MATCH(1,vp.tbl[[#This Row],[Unknown]:[Heavy_SW]],0))</f>
        <v>Light_SW</v>
      </c>
      <c r="AH135" t="e">
        <f>INDEX([1]!crudeBD.lkup[Number],MATCH(vp.tbl[[#This Row],[Crude_Breakdown]],[1]!crudeBD.lkup[Crude Breakdown],0))</f>
        <v>#REF!</v>
      </c>
      <c r="AI135">
        <f>MONTH(vp.tbl[[#This Row],[SDate]])</f>
        <v>4</v>
      </c>
      <c r="AJ135" s="5">
        <f>IFERROR(vp.tbl[[#This Row],[Sulf]]*vp.tbl[[#This Row],[Net Dens]],"")</f>
        <v>2497288.48269</v>
      </c>
      <c r="AK135" s="5">
        <f>IFERROR(vp.tbl[[#This Row],[Dens]]*vp.tbl[[#This Row],[VolumeM3]],"")</f>
        <v>16648589.8846</v>
      </c>
      <c r="AL135" s="5">
        <f>IFERROR(vp.tbl[[#This Row],[VP]]*vp.tbl[[#This Row],[VolumeM3]],"")</f>
        <v>2075355.0717999998</v>
      </c>
      <c r="AM135" s="4">
        <f>IFERROR((vp.tbl[[#This Row],[VP]]-INDEX(crudeBD.lkup.complete[Mean_VP],MATCH(vp.tbl[[#This Row],[Crude_Breakdown]],crudeBD.lkup.complete[Crude Breakdown],0)))^2,"")</f>
        <v>52.557953060010824</v>
      </c>
      <c r="AN135" s="4">
        <f>IFERROR((vp.tbl[[#This Row],[Dens]]-INDEX(crudeBD.lkup.complete[Mean_Dens],MATCH(vp.tbl[[#This Row],[Crude_Breakdown]],crudeBD.lkup.complete[Crude Breakdown],0)))^2,"")</f>
        <v>59.467205380661341</v>
      </c>
      <c r="AO135" s="4">
        <f>IFERROR((vp.tbl[[#This Row],[Sulf]]-INDEX(crudeBD.lkup.complete[Mean_Sulf],MATCH(vp.tbl[[#This Row],[Crude_Breakdown]],crudeBD.lkup.complete[Crude Breakdown],0)))^2,"")</f>
        <v>7.4376501105998362E-3</v>
      </c>
      <c r="AP135">
        <f>IF(AND(vp.tbl[[#This Row],[SDate]]&gt;=DATE(YEAR(vp.tbl[[#This Row],[SDate]]),5,1),vp.tbl[[#This Row],[SDate]]&lt;=DATE(YEAR(vp.tbl[[#This Row],[SDate]]),9,15)),1,0)</f>
        <v>0</v>
      </c>
      <c r="AQ135" s="15">
        <f>IF(vp.tbl[[#This Row],[SDate]]&lt;DATE(2016,12,1),0,1)</f>
        <v>0</v>
      </c>
    </row>
    <row r="136" spans="1:43" x14ac:dyDescent="0.25">
      <c r="A136">
        <v>135</v>
      </c>
      <c r="B136" t="s">
        <v>51</v>
      </c>
      <c r="C136" t="s">
        <v>51</v>
      </c>
      <c r="D136" t="s">
        <v>58</v>
      </c>
      <c r="F136" s="1">
        <v>42478</v>
      </c>
      <c r="G136" s="2">
        <v>89.3</v>
      </c>
      <c r="H136" s="2"/>
      <c r="I136" s="2">
        <v>1.2</v>
      </c>
      <c r="J136" s="2"/>
      <c r="K136" s="2"/>
      <c r="L136" s="2">
        <v>806.5</v>
      </c>
      <c r="M136" s="2">
        <v>806.5</v>
      </c>
      <c r="N136" s="2">
        <f ca="1">INDEX(INDIRECT(_xlfn.CONCAT("weather.tbl[",N$1,"]")),MATCH(vp.tbl[[#This Row],[SDate]],weather.tbl[Date],0))</f>
        <v>8.0499999999999989</v>
      </c>
      <c r="O136" s="2">
        <f ca="1">INDEX(INDIRECT(_xlfn.CONCAT("weather.tbl[",O$1,"]")),MATCH(vp.tbl[[#This Row],[SDate]],weather.tbl[Date],0))</f>
        <v>6.8285714285714283</v>
      </c>
      <c r="P136" s="2">
        <f ca="1">INDEX(INDIRECT(_xlfn.CONCAT("weather.tbl[",P$1,"]")),MATCH(vp.tbl[[#This Row],[SDate]],weather.tbl[Date],0))</f>
        <v>7.7</v>
      </c>
      <c r="Q136" s="2">
        <f ca="1">INDEX(INDIRECT(_xlfn.CONCAT("weather.tbl[",Q$1,"]")),MATCH(vp.tbl[[#This Row],[SDate]],weather.tbl[Date],0))</f>
        <v>7.7</v>
      </c>
      <c r="R136" s="2">
        <f ca="1">INDEX(INDIRECT(_xlfn.CONCAT("weather.tbl[",R$1,"]")),MATCH(vp.tbl[[#This Row],[SDate]],weather.tbl[Date],0))</f>
        <v>7.8</v>
      </c>
      <c r="S136" s="2">
        <f ca="1">INDEX(INDIRECT(_xlfn.CONCAT("weather.tbl[",S$1,"]")),MATCH(vp.tbl[[#This Row],[SDate]],weather.tbl[Date],0))</f>
        <v>8.5</v>
      </c>
      <c r="T136" s="2">
        <f ca="1">INDEX(INDIRECT(_xlfn.CONCAT("weather.tbl[",T$1,"]")),MATCH(vp.tbl[[#This Row],[SDate]],weather.tbl[Date],0))</f>
        <v>8.8000000000000007</v>
      </c>
      <c r="U136" s="2">
        <f ca="1">INDEX(INDIRECT(_xlfn.CONCAT("weather.tbl[",U$1,"]")),MATCH(vp.tbl[[#This Row],[SDate]],weather.tbl[Date],0))</f>
        <v>7.8</v>
      </c>
      <c r="V136" s="2">
        <v>6872.53</v>
      </c>
      <c r="W136" t="s">
        <v>48</v>
      </c>
      <c r="X136">
        <f>IF(OR(vp.tbl[[#This Row],[Sulf]]="",vp.tbl[[#This Row],[Dens]]=""),1,0)</f>
        <v>0</v>
      </c>
      <c r="Y136">
        <f>IF(vp.tbl[[#This Row],[CrudeType]]="C5+",1,0)</f>
        <v>0</v>
      </c>
      <c r="Z136">
        <f>IF(AND(vp.tbl[[#This Row],[CrudeType]]="Crude",vp.tbl[[#This Row],[Dens]]&lt;=825,vp.tbl[[#This Row],[Sulf]]&gt;0.5,vp.tbl[[#This Row],[Unknown]]=0),1,0)</f>
        <v>1</v>
      </c>
      <c r="AA136">
        <f>IF(AND(vp.tbl[[#This Row],[CrudeType]]="Crude",vp.tbl[[#This Row],[Dens]]&lt;=825,vp.tbl[[#This Row],[Sulf]]&lt;=0.5,vp.tbl[[#This Row],[Unknown]]=0),1,0)</f>
        <v>0</v>
      </c>
      <c r="AB136">
        <f>IF(AND(vp.tbl[[#This Row],[CrudeType]]="Crude",vp.tbl[[#This Row],[Dens]]&gt;825,vp.tbl[[#This Row],[Dens]]&lt;=870,vp.tbl[[#This Row],[Sulf]]&gt;0.5,vp.tbl[[#This Row],[Unknown]]=0),1,0)</f>
        <v>0</v>
      </c>
      <c r="AC136">
        <f>IF(AND(vp.tbl[[#This Row],[CrudeType]]="Crude",vp.tbl[[#This Row],[Dens]]&gt;825,vp.tbl[[#This Row],[Dens]]&lt;=900,vp.tbl[[#This Row],[Sulf]]&lt;=0.5,vp.tbl[[#This Row],[Unknown]]=0),1,0)</f>
        <v>0</v>
      </c>
      <c r="AD136">
        <f>IF(AND(vp.tbl[[#This Row],[CrudeType]]="Crude",vp.tbl[[#This Row],[Dens]]&gt;870,vp.tbl[[#This Row],[Dens]]&lt;=900,vp.tbl[[#This Row],[Sulf]]&gt;0.5,vp.tbl[[#This Row],[Unknown]]=0),1,0)</f>
        <v>0</v>
      </c>
      <c r="AE136">
        <f>IF(AND(vp.tbl[[#This Row],[CrudeType]]="Crude",vp.tbl[[#This Row],[Dens]]&gt;900,vp.tbl[[#This Row],[Sulf]]&lt;=0.5,vp.tbl[[#This Row],[Unknown]]=0),1,0)</f>
        <v>0</v>
      </c>
      <c r="AF136">
        <f>IF(AND(vp.tbl[[#This Row],[CrudeType]]="Crude",vp.tbl[[#This Row],[Dens]]&gt;900,vp.tbl[[#This Row],[Sulf]]&lt;=0.5,vp.tbl[[#This Row],[Unknown]]=0),1,0)</f>
        <v>0</v>
      </c>
      <c r="AG136" t="str">
        <f>INDEX(vp.tbl[[#Headers],[Unknown]:[Heavy_SW]],MATCH(1,vp.tbl[[#This Row],[Unknown]:[Heavy_SW]],0))</f>
        <v>Light_LSB</v>
      </c>
      <c r="AH136" t="e">
        <f>INDEX([1]!crudeBD.lkup[Number],MATCH(vp.tbl[[#This Row],[Crude_Breakdown]],[1]!crudeBD.lkup[Crude Breakdown],0))</f>
        <v>#REF!</v>
      </c>
      <c r="AI136">
        <f>MONTH(vp.tbl[[#This Row],[SDate]])</f>
        <v>4</v>
      </c>
      <c r="AJ136" s="5">
        <f>IFERROR(vp.tbl[[#This Row],[Sulf]]*vp.tbl[[#This Row],[Net Dens]],"")</f>
        <v>6651234.5339999991</v>
      </c>
      <c r="AK136" s="5">
        <f>IFERROR(vp.tbl[[#This Row],[Dens]]*vp.tbl[[#This Row],[VolumeM3]],"")</f>
        <v>5542695.4449999994</v>
      </c>
      <c r="AL136" s="5">
        <f>IFERROR(vp.tbl[[#This Row],[VP]]*vp.tbl[[#This Row],[VolumeM3]],"")</f>
        <v>613716.929</v>
      </c>
      <c r="AM136" s="4">
        <f>IFERROR((vp.tbl[[#This Row],[VP]]-INDEX(crudeBD.lkup.complete[Mean_VP],MATCH(vp.tbl[[#This Row],[Crude_Breakdown]],crudeBD.lkup.complete[Crude Breakdown],0)))^2,"")</f>
        <v>5.0453496014455768</v>
      </c>
      <c r="AN136" s="4">
        <f>IFERROR((vp.tbl[[#This Row],[Dens]]-INDEX(crudeBD.lkup.complete[Mean_Dens],MATCH(vp.tbl[[#This Row],[Crude_Breakdown]],crudeBD.lkup.complete[Crude Breakdown],0)))^2,"")</f>
        <v>144.40275545162859</v>
      </c>
      <c r="AO136" s="4">
        <f>IFERROR((vp.tbl[[#This Row],[Sulf]]-INDEX(crudeBD.lkup.complete[Mean_Sulf],MATCH(vp.tbl[[#This Row],[Crude_Breakdown]],crudeBD.lkup.complete[Crude Breakdown],0)))^2,"")</f>
        <v>7.6744973546038778E-2</v>
      </c>
      <c r="AP136">
        <f>IF(AND(vp.tbl[[#This Row],[SDate]]&gt;=DATE(YEAR(vp.tbl[[#This Row],[SDate]]),5,1),vp.tbl[[#This Row],[SDate]]&lt;=DATE(YEAR(vp.tbl[[#This Row],[SDate]]),9,15)),1,0)</f>
        <v>0</v>
      </c>
      <c r="AQ136" s="15">
        <f>IF(vp.tbl[[#This Row],[SDate]]&lt;DATE(2016,12,1),0,1)</f>
        <v>0</v>
      </c>
    </row>
    <row r="137" spans="1:43" x14ac:dyDescent="0.25">
      <c r="A137">
        <v>136</v>
      </c>
      <c r="B137" t="s">
        <v>51</v>
      </c>
      <c r="C137" t="s">
        <v>51</v>
      </c>
      <c r="D137" t="s">
        <v>58</v>
      </c>
      <c r="F137" s="1">
        <v>42478</v>
      </c>
      <c r="G137" s="2">
        <v>88.9</v>
      </c>
      <c r="H137" s="2"/>
      <c r="I137" s="2">
        <v>1.2</v>
      </c>
      <c r="J137" s="2"/>
      <c r="K137" s="2"/>
      <c r="L137" s="2">
        <v>806.5</v>
      </c>
      <c r="M137" s="2">
        <v>806.5</v>
      </c>
      <c r="N137" s="2">
        <f ca="1">INDEX(INDIRECT(_xlfn.CONCAT("weather.tbl[",N$1,"]")),MATCH(vp.tbl[[#This Row],[SDate]],weather.tbl[Date],0))</f>
        <v>8.0499999999999989</v>
      </c>
      <c r="O137" s="2">
        <f ca="1">INDEX(INDIRECT(_xlfn.CONCAT("weather.tbl[",O$1,"]")),MATCH(vp.tbl[[#This Row],[SDate]],weather.tbl[Date],0))</f>
        <v>6.8285714285714283</v>
      </c>
      <c r="P137" s="2">
        <f ca="1">INDEX(INDIRECT(_xlfn.CONCAT("weather.tbl[",P$1,"]")),MATCH(vp.tbl[[#This Row],[SDate]],weather.tbl[Date],0))</f>
        <v>7.7</v>
      </c>
      <c r="Q137" s="2">
        <f ca="1">INDEX(INDIRECT(_xlfn.CONCAT("weather.tbl[",Q$1,"]")),MATCH(vp.tbl[[#This Row],[SDate]],weather.tbl[Date],0))</f>
        <v>7.7</v>
      </c>
      <c r="R137" s="2">
        <f ca="1">INDEX(INDIRECT(_xlfn.CONCAT("weather.tbl[",R$1,"]")),MATCH(vp.tbl[[#This Row],[SDate]],weather.tbl[Date],0))</f>
        <v>7.8</v>
      </c>
      <c r="S137" s="2">
        <f ca="1">INDEX(INDIRECT(_xlfn.CONCAT("weather.tbl[",S$1,"]")),MATCH(vp.tbl[[#This Row],[SDate]],weather.tbl[Date],0))</f>
        <v>8.5</v>
      </c>
      <c r="T137" s="2">
        <f ca="1">INDEX(INDIRECT(_xlfn.CONCAT("weather.tbl[",T$1,"]")),MATCH(vp.tbl[[#This Row],[SDate]],weather.tbl[Date],0))</f>
        <v>8.8000000000000007</v>
      </c>
      <c r="U137" s="2">
        <f ca="1">INDEX(INDIRECT(_xlfn.CONCAT("weather.tbl[",U$1,"]")),MATCH(vp.tbl[[#This Row],[SDate]],weather.tbl[Date],0))</f>
        <v>7.8</v>
      </c>
      <c r="V137" s="2">
        <v>6872.53</v>
      </c>
      <c r="W137" t="s">
        <v>48</v>
      </c>
      <c r="X137">
        <f>IF(OR(vp.tbl[[#This Row],[Sulf]]="",vp.tbl[[#This Row],[Dens]]=""),1,0)</f>
        <v>0</v>
      </c>
      <c r="Y137">
        <f>IF(vp.tbl[[#This Row],[CrudeType]]="C5+",1,0)</f>
        <v>0</v>
      </c>
      <c r="Z137">
        <f>IF(AND(vp.tbl[[#This Row],[CrudeType]]="Crude",vp.tbl[[#This Row],[Dens]]&lt;=825,vp.tbl[[#This Row],[Sulf]]&gt;0.5,vp.tbl[[#This Row],[Unknown]]=0),1,0)</f>
        <v>1</v>
      </c>
      <c r="AA137">
        <f>IF(AND(vp.tbl[[#This Row],[CrudeType]]="Crude",vp.tbl[[#This Row],[Dens]]&lt;=825,vp.tbl[[#This Row],[Sulf]]&lt;=0.5,vp.tbl[[#This Row],[Unknown]]=0),1,0)</f>
        <v>0</v>
      </c>
      <c r="AB137">
        <f>IF(AND(vp.tbl[[#This Row],[CrudeType]]="Crude",vp.tbl[[#This Row],[Dens]]&gt;825,vp.tbl[[#This Row],[Dens]]&lt;=870,vp.tbl[[#This Row],[Sulf]]&gt;0.5,vp.tbl[[#This Row],[Unknown]]=0),1,0)</f>
        <v>0</v>
      </c>
      <c r="AC137">
        <f>IF(AND(vp.tbl[[#This Row],[CrudeType]]="Crude",vp.tbl[[#This Row],[Dens]]&gt;825,vp.tbl[[#This Row],[Dens]]&lt;=900,vp.tbl[[#This Row],[Sulf]]&lt;=0.5,vp.tbl[[#This Row],[Unknown]]=0),1,0)</f>
        <v>0</v>
      </c>
      <c r="AD137">
        <f>IF(AND(vp.tbl[[#This Row],[CrudeType]]="Crude",vp.tbl[[#This Row],[Dens]]&gt;870,vp.tbl[[#This Row],[Dens]]&lt;=900,vp.tbl[[#This Row],[Sulf]]&gt;0.5,vp.tbl[[#This Row],[Unknown]]=0),1,0)</f>
        <v>0</v>
      </c>
      <c r="AE137">
        <f>IF(AND(vp.tbl[[#This Row],[CrudeType]]="Crude",vp.tbl[[#This Row],[Dens]]&gt;900,vp.tbl[[#This Row],[Sulf]]&lt;=0.5,vp.tbl[[#This Row],[Unknown]]=0),1,0)</f>
        <v>0</v>
      </c>
      <c r="AF137">
        <f>IF(AND(vp.tbl[[#This Row],[CrudeType]]="Crude",vp.tbl[[#This Row],[Dens]]&gt;900,vp.tbl[[#This Row],[Sulf]]&lt;=0.5,vp.tbl[[#This Row],[Unknown]]=0),1,0)</f>
        <v>0</v>
      </c>
      <c r="AG137" t="str">
        <f>INDEX(vp.tbl[[#Headers],[Unknown]:[Heavy_SW]],MATCH(1,vp.tbl[[#This Row],[Unknown]:[Heavy_SW]],0))</f>
        <v>Light_LSB</v>
      </c>
      <c r="AH137" t="e">
        <f>INDEX([1]!crudeBD.lkup[Number],MATCH(vp.tbl[[#This Row],[Crude_Breakdown]],[1]!crudeBD.lkup[Crude Breakdown],0))</f>
        <v>#REF!</v>
      </c>
      <c r="AI137">
        <f>MONTH(vp.tbl[[#This Row],[SDate]])</f>
        <v>4</v>
      </c>
      <c r="AJ137" s="5">
        <f>IFERROR(vp.tbl[[#This Row],[Sulf]]*vp.tbl[[#This Row],[Net Dens]],"")</f>
        <v>6651234.5339999991</v>
      </c>
      <c r="AK137" s="5">
        <f>IFERROR(vp.tbl[[#This Row],[Dens]]*vp.tbl[[#This Row],[VolumeM3]],"")</f>
        <v>5542695.4449999994</v>
      </c>
      <c r="AL137" s="5">
        <f>IFERROR(vp.tbl[[#This Row],[VP]]*vp.tbl[[#This Row],[VolumeM3]],"")</f>
        <v>610967.91700000002</v>
      </c>
      <c r="AM137" s="4">
        <f>IFERROR((vp.tbl[[#This Row],[VP]]-INDEX(crudeBD.lkup.complete[Mean_VP],MATCH(vp.tbl[[#This Row],[Crude_Breakdown]],crudeBD.lkup.complete[Crude Breakdown],0)))^2,"")</f>
        <v>7.0022980550538065</v>
      </c>
      <c r="AN137" s="4">
        <f>IFERROR((vp.tbl[[#This Row],[Dens]]-INDEX(crudeBD.lkup.complete[Mean_Dens],MATCH(vp.tbl[[#This Row],[Crude_Breakdown]],crudeBD.lkup.complete[Crude Breakdown],0)))^2,"")</f>
        <v>144.40275545162859</v>
      </c>
      <c r="AO137" s="4">
        <f>IFERROR((vp.tbl[[#This Row],[Sulf]]-INDEX(crudeBD.lkup.complete[Mean_Sulf],MATCH(vp.tbl[[#This Row],[Crude_Breakdown]],crudeBD.lkup.complete[Crude Breakdown],0)))^2,"")</f>
        <v>7.6744973546038778E-2</v>
      </c>
      <c r="AP137">
        <f>IF(AND(vp.tbl[[#This Row],[SDate]]&gt;=DATE(YEAR(vp.tbl[[#This Row],[SDate]]),5,1),vp.tbl[[#This Row],[SDate]]&lt;=DATE(YEAR(vp.tbl[[#This Row],[SDate]]),9,15)),1,0)</f>
        <v>0</v>
      </c>
      <c r="AQ137" s="15">
        <f>IF(vp.tbl[[#This Row],[SDate]]&lt;DATE(2016,12,1),0,1)</f>
        <v>0</v>
      </c>
    </row>
    <row r="138" spans="1:43" x14ac:dyDescent="0.25">
      <c r="A138">
        <v>137</v>
      </c>
      <c r="B138" t="s">
        <v>62</v>
      </c>
      <c r="C138" t="s">
        <v>62</v>
      </c>
      <c r="D138" t="s">
        <v>83</v>
      </c>
      <c r="F138" s="1">
        <v>42478</v>
      </c>
      <c r="G138" s="2">
        <v>93.6</v>
      </c>
      <c r="H138" s="2"/>
      <c r="I138" s="2">
        <v>0.19</v>
      </c>
      <c r="J138" s="2"/>
      <c r="K138" s="2"/>
      <c r="L138" s="2">
        <v>811.3</v>
      </c>
      <c r="M138" s="2">
        <v>811.3</v>
      </c>
      <c r="N138" s="2">
        <f ca="1">INDEX(INDIRECT(_xlfn.CONCAT("weather.tbl[",N$1,"]")),MATCH(vp.tbl[[#This Row],[SDate]],weather.tbl[Date],0))</f>
        <v>8.0499999999999989</v>
      </c>
      <c r="O138" s="2">
        <f ca="1">INDEX(INDIRECT(_xlfn.CONCAT("weather.tbl[",O$1,"]")),MATCH(vp.tbl[[#This Row],[SDate]],weather.tbl[Date],0))</f>
        <v>6.8285714285714283</v>
      </c>
      <c r="P138" s="2">
        <f ca="1">INDEX(INDIRECT(_xlfn.CONCAT("weather.tbl[",P$1,"]")),MATCH(vp.tbl[[#This Row],[SDate]],weather.tbl[Date],0))</f>
        <v>7.7</v>
      </c>
      <c r="Q138" s="2">
        <f ca="1">INDEX(INDIRECT(_xlfn.CONCAT("weather.tbl[",Q$1,"]")),MATCH(vp.tbl[[#This Row],[SDate]],weather.tbl[Date],0))</f>
        <v>7.7</v>
      </c>
      <c r="R138" s="2">
        <f ca="1">INDEX(INDIRECT(_xlfn.CONCAT("weather.tbl[",R$1,"]")),MATCH(vp.tbl[[#This Row],[SDate]],weather.tbl[Date],0))</f>
        <v>7.8</v>
      </c>
      <c r="S138" s="2">
        <f ca="1">INDEX(INDIRECT(_xlfn.CONCAT("weather.tbl[",S$1,"]")),MATCH(vp.tbl[[#This Row],[SDate]],weather.tbl[Date],0))</f>
        <v>8.5</v>
      </c>
      <c r="T138" s="2">
        <f ca="1">INDEX(INDIRECT(_xlfn.CONCAT("weather.tbl[",T$1,"]")),MATCH(vp.tbl[[#This Row],[SDate]],weather.tbl[Date],0))</f>
        <v>8.8000000000000007</v>
      </c>
      <c r="U138" s="2">
        <f ca="1">INDEX(INDIRECT(_xlfn.CONCAT("weather.tbl[",U$1,"]")),MATCH(vp.tbl[[#This Row],[SDate]],weather.tbl[Date],0))</f>
        <v>7.8</v>
      </c>
      <c r="V138" s="2">
        <v>9948.65</v>
      </c>
      <c r="W138" t="s">
        <v>48</v>
      </c>
      <c r="X138">
        <f>IF(OR(vp.tbl[[#This Row],[Sulf]]="",vp.tbl[[#This Row],[Dens]]=""),1,0)</f>
        <v>0</v>
      </c>
      <c r="Y138">
        <f>IF(vp.tbl[[#This Row],[CrudeType]]="C5+",1,0)</f>
        <v>0</v>
      </c>
      <c r="Z138">
        <f>IF(AND(vp.tbl[[#This Row],[CrudeType]]="Crude",vp.tbl[[#This Row],[Dens]]&lt;=825,vp.tbl[[#This Row],[Sulf]]&gt;0.5,vp.tbl[[#This Row],[Unknown]]=0),1,0)</f>
        <v>0</v>
      </c>
      <c r="AA138">
        <f>IF(AND(vp.tbl[[#This Row],[CrudeType]]="Crude",vp.tbl[[#This Row],[Dens]]&lt;=825,vp.tbl[[#This Row],[Sulf]]&lt;=0.5,vp.tbl[[#This Row],[Unknown]]=0),1,0)</f>
        <v>1</v>
      </c>
      <c r="AB138">
        <f>IF(AND(vp.tbl[[#This Row],[CrudeType]]="Crude",vp.tbl[[#This Row],[Dens]]&gt;825,vp.tbl[[#This Row],[Dens]]&lt;=870,vp.tbl[[#This Row],[Sulf]]&gt;0.5,vp.tbl[[#This Row],[Unknown]]=0),1,0)</f>
        <v>0</v>
      </c>
      <c r="AC138">
        <f>IF(AND(vp.tbl[[#This Row],[CrudeType]]="Crude",vp.tbl[[#This Row],[Dens]]&gt;825,vp.tbl[[#This Row],[Dens]]&lt;=900,vp.tbl[[#This Row],[Sulf]]&lt;=0.5,vp.tbl[[#This Row],[Unknown]]=0),1,0)</f>
        <v>0</v>
      </c>
      <c r="AD138">
        <f>IF(AND(vp.tbl[[#This Row],[CrudeType]]="Crude",vp.tbl[[#This Row],[Dens]]&gt;870,vp.tbl[[#This Row],[Dens]]&lt;=900,vp.tbl[[#This Row],[Sulf]]&gt;0.5,vp.tbl[[#This Row],[Unknown]]=0),1,0)</f>
        <v>0</v>
      </c>
      <c r="AE138">
        <f>IF(AND(vp.tbl[[#This Row],[CrudeType]]="Crude",vp.tbl[[#This Row],[Dens]]&gt;900,vp.tbl[[#This Row],[Sulf]]&lt;=0.5,vp.tbl[[#This Row],[Unknown]]=0),1,0)</f>
        <v>0</v>
      </c>
      <c r="AF138">
        <f>IF(AND(vp.tbl[[#This Row],[CrudeType]]="Crude",vp.tbl[[#This Row],[Dens]]&gt;900,vp.tbl[[#This Row],[Sulf]]&lt;=0.5,vp.tbl[[#This Row],[Unknown]]=0),1,0)</f>
        <v>0</v>
      </c>
      <c r="AG138" t="str">
        <f>INDEX(vp.tbl[[#Headers],[Unknown]:[Heavy_SW]],MATCH(1,vp.tbl[[#This Row],[Unknown]:[Heavy_SW]],0))</f>
        <v>Light_SW</v>
      </c>
      <c r="AH138" t="e">
        <f>INDEX([1]!crudeBD.lkup[Number],MATCH(vp.tbl[[#This Row],[Crude_Breakdown]],[1]!crudeBD.lkup[Crude Breakdown],0))</f>
        <v>#REF!</v>
      </c>
      <c r="AI138">
        <f>MONTH(vp.tbl[[#This Row],[SDate]])</f>
        <v>4</v>
      </c>
      <c r="AJ138" s="5">
        <f>IFERROR(vp.tbl[[#This Row],[Sulf]]*vp.tbl[[#This Row],[Net Dens]],"")</f>
        <v>1533554.55155</v>
      </c>
      <c r="AK138" s="5">
        <f>IFERROR(vp.tbl[[#This Row],[Dens]]*vp.tbl[[#This Row],[VolumeM3]],"")</f>
        <v>8071339.7449999992</v>
      </c>
      <c r="AL138" s="5">
        <f>IFERROR(vp.tbl[[#This Row],[VP]]*vp.tbl[[#This Row],[VolumeM3]],"")</f>
        <v>931193.6399999999</v>
      </c>
      <c r="AM138" s="4">
        <f>IFERROR((vp.tbl[[#This Row],[VP]]-INDEX(crudeBD.lkup.complete[Mean_VP],MATCH(vp.tbl[[#This Row],[Crude_Breakdown]],crudeBD.lkup.complete[Crude Breakdown],0)))^2,"")</f>
        <v>1.1018415617526511</v>
      </c>
      <c r="AN138" s="4">
        <f>IFERROR((vp.tbl[[#This Row],[Dens]]-INDEX(crudeBD.lkup.complete[Mean_Dens],MATCH(vp.tbl[[#This Row],[Crude_Breakdown]],crudeBD.lkup.complete[Crude Breakdown],0)))^2,"")</f>
        <v>8.931142662896054</v>
      </c>
      <c r="AO138" s="4">
        <f>IFERROR((vp.tbl[[#This Row],[Sulf]]-INDEX(crudeBD.lkup.complete[Mean_Sulf],MATCH(vp.tbl[[#This Row],[Crude_Breakdown]],crudeBD.lkup.complete[Crude Breakdown],0)))^2,"")</f>
        <v>2.1383051628646554E-3</v>
      </c>
      <c r="AP138">
        <f>IF(AND(vp.tbl[[#This Row],[SDate]]&gt;=DATE(YEAR(vp.tbl[[#This Row],[SDate]]),5,1),vp.tbl[[#This Row],[SDate]]&lt;=DATE(YEAR(vp.tbl[[#This Row],[SDate]]),9,15)),1,0)</f>
        <v>0</v>
      </c>
      <c r="AQ138" s="15">
        <f>IF(vp.tbl[[#This Row],[SDate]]&lt;DATE(2016,12,1),0,1)</f>
        <v>0</v>
      </c>
    </row>
    <row r="139" spans="1:43" x14ac:dyDescent="0.25">
      <c r="A139">
        <v>138</v>
      </c>
      <c r="B139" t="s">
        <v>62</v>
      </c>
      <c r="C139" t="s">
        <v>62</v>
      </c>
      <c r="D139" t="s">
        <v>79</v>
      </c>
      <c r="F139" s="1">
        <v>42478</v>
      </c>
      <c r="G139" s="2">
        <v>61.4</v>
      </c>
      <c r="H139" s="2"/>
      <c r="I139" s="2">
        <v>0.26</v>
      </c>
      <c r="J139" s="2"/>
      <c r="K139" s="2"/>
      <c r="L139" s="2">
        <v>818.9</v>
      </c>
      <c r="M139" s="2">
        <v>818.9</v>
      </c>
      <c r="N139" s="2">
        <f ca="1">INDEX(INDIRECT(_xlfn.CONCAT("weather.tbl[",N$1,"]")),MATCH(vp.tbl[[#This Row],[SDate]],weather.tbl[Date],0))</f>
        <v>8.0499999999999989</v>
      </c>
      <c r="O139" s="2">
        <f ca="1">INDEX(INDIRECT(_xlfn.CONCAT("weather.tbl[",O$1,"]")),MATCH(vp.tbl[[#This Row],[SDate]],weather.tbl[Date],0))</f>
        <v>6.8285714285714283</v>
      </c>
      <c r="P139" s="2">
        <f ca="1">INDEX(INDIRECT(_xlfn.CONCAT("weather.tbl[",P$1,"]")),MATCH(vp.tbl[[#This Row],[SDate]],weather.tbl[Date],0))</f>
        <v>7.7</v>
      </c>
      <c r="Q139" s="2">
        <f ca="1">INDEX(INDIRECT(_xlfn.CONCAT("weather.tbl[",Q$1,"]")),MATCH(vp.tbl[[#This Row],[SDate]],weather.tbl[Date],0))</f>
        <v>7.7</v>
      </c>
      <c r="R139" s="2">
        <f ca="1">INDEX(INDIRECT(_xlfn.CONCAT("weather.tbl[",R$1,"]")),MATCH(vp.tbl[[#This Row],[SDate]],weather.tbl[Date],0))</f>
        <v>7.8</v>
      </c>
      <c r="S139" s="2">
        <f ca="1">INDEX(INDIRECT(_xlfn.CONCAT("weather.tbl[",S$1,"]")),MATCH(vp.tbl[[#This Row],[SDate]],weather.tbl[Date],0))</f>
        <v>8.5</v>
      </c>
      <c r="T139" s="2">
        <f ca="1">INDEX(INDIRECT(_xlfn.CONCAT("weather.tbl[",T$1,"]")),MATCH(vp.tbl[[#This Row],[SDate]],weather.tbl[Date],0))</f>
        <v>8.8000000000000007</v>
      </c>
      <c r="U139" s="2">
        <f ca="1">INDEX(INDIRECT(_xlfn.CONCAT("weather.tbl[",U$1,"]")),MATCH(vp.tbl[[#This Row],[SDate]],weather.tbl[Date],0))</f>
        <v>7.8</v>
      </c>
      <c r="V139" s="2">
        <v>14130.948</v>
      </c>
      <c r="W139" t="s">
        <v>48</v>
      </c>
      <c r="X139">
        <f>IF(OR(vp.tbl[[#This Row],[Sulf]]="",vp.tbl[[#This Row],[Dens]]=""),1,0)</f>
        <v>0</v>
      </c>
      <c r="Y139">
        <f>IF(vp.tbl[[#This Row],[CrudeType]]="C5+",1,0)</f>
        <v>0</v>
      </c>
      <c r="Z139">
        <f>IF(AND(vp.tbl[[#This Row],[CrudeType]]="Crude",vp.tbl[[#This Row],[Dens]]&lt;=825,vp.tbl[[#This Row],[Sulf]]&gt;0.5,vp.tbl[[#This Row],[Unknown]]=0),1,0)</f>
        <v>0</v>
      </c>
      <c r="AA139">
        <f>IF(AND(vp.tbl[[#This Row],[CrudeType]]="Crude",vp.tbl[[#This Row],[Dens]]&lt;=825,vp.tbl[[#This Row],[Sulf]]&lt;=0.5,vp.tbl[[#This Row],[Unknown]]=0),1,0)</f>
        <v>1</v>
      </c>
      <c r="AB139">
        <f>IF(AND(vp.tbl[[#This Row],[CrudeType]]="Crude",vp.tbl[[#This Row],[Dens]]&gt;825,vp.tbl[[#This Row],[Dens]]&lt;=870,vp.tbl[[#This Row],[Sulf]]&gt;0.5,vp.tbl[[#This Row],[Unknown]]=0),1,0)</f>
        <v>0</v>
      </c>
      <c r="AC139">
        <f>IF(AND(vp.tbl[[#This Row],[CrudeType]]="Crude",vp.tbl[[#This Row],[Dens]]&gt;825,vp.tbl[[#This Row],[Dens]]&lt;=900,vp.tbl[[#This Row],[Sulf]]&lt;=0.5,vp.tbl[[#This Row],[Unknown]]=0),1,0)</f>
        <v>0</v>
      </c>
      <c r="AD139">
        <f>IF(AND(vp.tbl[[#This Row],[CrudeType]]="Crude",vp.tbl[[#This Row],[Dens]]&gt;870,vp.tbl[[#This Row],[Dens]]&lt;=900,vp.tbl[[#This Row],[Sulf]]&gt;0.5,vp.tbl[[#This Row],[Unknown]]=0),1,0)</f>
        <v>0</v>
      </c>
      <c r="AE139">
        <f>IF(AND(vp.tbl[[#This Row],[CrudeType]]="Crude",vp.tbl[[#This Row],[Dens]]&gt;900,vp.tbl[[#This Row],[Sulf]]&lt;=0.5,vp.tbl[[#This Row],[Unknown]]=0),1,0)</f>
        <v>0</v>
      </c>
      <c r="AF139">
        <f>IF(AND(vp.tbl[[#This Row],[CrudeType]]="Crude",vp.tbl[[#This Row],[Dens]]&gt;900,vp.tbl[[#This Row],[Sulf]]&lt;=0.5,vp.tbl[[#This Row],[Unknown]]=0),1,0)</f>
        <v>0</v>
      </c>
      <c r="AG139" t="str">
        <f>INDEX(vp.tbl[[#Headers],[Unknown]:[Heavy_SW]],MATCH(1,vp.tbl[[#This Row],[Unknown]:[Heavy_SW]],0))</f>
        <v>Light_SW</v>
      </c>
      <c r="AH139" t="e">
        <f>INDEX([1]!crudeBD.lkup[Number],MATCH(vp.tbl[[#This Row],[Crude_Breakdown]],[1]!crudeBD.lkup[Crude Breakdown],0))</f>
        <v>#REF!</v>
      </c>
      <c r="AI139">
        <f>MONTH(vp.tbl[[#This Row],[SDate]])</f>
        <v>4</v>
      </c>
      <c r="AJ139" s="5">
        <f>IFERROR(vp.tbl[[#This Row],[Sulf]]*vp.tbl[[#This Row],[Net Dens]],"")</f>
        <v>3008676.6624719999</v>
      </c>
      <c r="AK139" s="5">
        <f>IFERROR(vp.tbl[[#This Row],[Dens]]*vp.tbl[[#This Row],[VolumeM3]],"")</f>
        <v>11571833.317199999</v>
      </c>
      <c r="AL139" s="5">
        <f>IFERROR(vp.tbl[[#This Row],[VP]]*vp.tbl[[#This Row],[VolumeM3]],"")</f>
        <v>867640.20719999995</v>
      </c>
      <c r="AM139" s="4">
        <f>IFERROR((vp.tbl[[#This Row],[VP]]-INDEX(crudeBD.lkup.complete[Mean_VP],MATCH(vp.tbl[[#This Row],[Crude_Breakdown]],crudeBD.lkup.complete[Crude Breakdown],0)))^2,"")</f>
        <v>970.34203668370208</v>
      </c>
      <c r="AN139" s="4">
        <f>IFERROR((vp.tbl[[#This Row],[Dens]]-INDEX(crudeBD.lkup.complete[Mean_Dens],MATCH(vp.tbl[[#This Row],[Crude_Breakdown]],crudeBD.lkup.complete[Crude Breakdown],0)))^2,"")</f>
        <v>112.1163691437354</v>
      </c>
      <c r="AO139" s="4">
        <f>IFERROR((vp.tbl[[#This Row],[Sulf]]-INDEX(crudeBD.lkup.complete[Mean_Sulf],MATCH(vp.tbl[[#This Row],[Crude_Breakdown]],crudeBD.lkup.complete[Crude Breakdown],0)))^2,"")</f>
        <v>5.644515043280923E-4</v>
      </c>
      <c r="AP139">
        <f>IF(AND(vp.tbl[[#This Row],[SDate]]&gt;=DATE(YEAR(vp.tbl[[#This Row],[SDate]]),5,1),vp.tbl[[#This Row],[SDate]]&lt;=DATE(YEAR(vp.tbl[[#This Row],[SDate]]),9,15)),1,0)</f>
        <v>0</v>
      </c>
      <c r="AQ139" s="15">
        <f>IF(vp.tbl[[#This Row],[SDate]]&lt;DATE(2016,12,1),0,1)</f>
        <v>0</v>
      </c>
    </row>
    <row r="140" spans="1:43" x14ac:dyDescent="0.25">
      <c r="A140">
        <v>139</v>
      </c>
      <c r="B140" t="s">
        <v>49</v>
      </c>
      <c r="C140" t="s">
        <v>49</v>
      </c>
      <c r="D140" t="s">
        <v>81</v>
      </c>
      <c r="F140" s="1">
        <v>42478</v>
      </c>
      <c r="G140" s="2">
        <v>92.1</v>
      </c>
      <c r="H140" s="2"/>
      <c r="I140" s="2">
        <v>0.48</v>
      </c>
      <c r="J140" s="2"/>
      <c r="K140" s="2"/>
      <c r="L140" s="2">
        <v>819.1</v>
      </c>
      <c r="M140" s="2">
        <v>819.1</v>
      </c>
      <c r="N140" s="2">
        <f ca="1">INDEX(INDIRECT(_xlfn.CONCAT("weather.tbl[",N$1,"]")),MATCH(vp.tbl[[#This Row],[SDate]],weather.tbl[Date],0))</f>
        <v>8.0499999999999989</v>
      </c>
      <c r="O140" s="2">
        <f ca="1">INDEX(INDIRECT(_xlfn.CONCAT("weather.tbl[",O$1,"]")),MATCH(vp.tbl[[#This Row],[SDate]],weather.tbl[Date],0))</f>
        <v>6.8285714285714283</v>
      </c>
      <c r="P140" s="2">
        <f ca="1">INDEX(INDIRECT(_xlfn.CONCAT("weather.tbl[",P$1,"]")),MATCH(vp.tbl[[#This Row],[SDate]],weather.tbl[Date],0))</f>
        <v>7.7</v>
      </c>
      <c r="Q140" s="2">
        <f ca="1">INDEX(INDIRECT(_xlfn.CONCAT("weather.tbl[",Q$1,"]")),MATCH(vp.tbl[[#This Row],[SDate]],weather.tbl[Date],0))</f>
        <v>7.7</v>
      </c>
      <c r="R140" s="2">
        <f ca="1">INDEX(INDIRECT(_xlfn.CONCAT("weather.tbl[",R$1,"]")),MATCH(vp.tbl[[#This Row],[SDate]],weather.tbl[Date],0))</f>
        <v>7.8</v>
      </c>
      <c r="S140" s="2">
        <f ca="1">INDEX(INDIRECT(_xlfn.CONCAT("weather.tbl[",S$1,"]")),MATCH(vp.tbl[[#This Row],[SDate]],weather.tbl[Date],0))</f>
        <v>8.5</v>
      </c>
      <c r="T140" s="2">
        <f ca="1">INDEX(INDIRECT(_xlfn.CONCAT("weather.tbl[",T$1,"]")),MATCH(vp.tbl[[#This Row],[SDate]],weather.tbl[Date],0))</f>
        <v>8.8000000000000007</v>
      </c>
      <c r="U140" s="2">
        <f ca="1">INDEX(INDIRECT(_xlfn.CONCAT("weather.tbl[",U$1,"]")),MATCH(vp.tbl[[#This Row],[SDate]],weather.tbl[Date],0))</f>
        <v>7.8</v>
      </c>
      <c r="V140" s="2">
        <v>26331.701000000001</v>
      </c>
      <c r="W140" t="s">
        <v>48</v>
      </c>
      <c r="X140">
        <f>IF(OR(vp.tbl[[#This Row],[Sulf]]="",vp.tbl[[#This Row],[Dens]]=""),1,0)</f>
        <v>0</v>
      </c>
      <c r="Y140">
        <f>IF(vp.tbl[[#This Row],[CrudeType]]="C5+",1,0)</f>
        <v>0</v>
      </c>
      <c r="Z140">
        <f>IF(AND(vp.tbl[[#This Row],[CrudeType]]="Crude",vp.tbl[[#This Row],[Dens]]&lt;=825,vp.tbl[[#This Row],[Sulf]]&gt;0.5,vp.tbl[[#This Row],[Unknown]]=0),1,0)</f>
        <v>0</v>
      </c>
      <c r="AA140">
        <f>IF(AND(vp.tbl[[#This Row],[CrudeType]]="Crude",vp.tbl[[#This Row],[Dens]]&lt;=825,vp.tbl[[#This Row],[Sulf]]&lt;=0.5,vp.tbl[[#This Row],[Unknown]]=0),1,0)</f>
        <v>1</v>
      </c>
      <c r="AB140">
        <f>IF(AND(vp.tbl[[#This Row],[CrudeType]]="Crude",vp.tbl[[#This Row],[Dens]]&gt;825,vp.tbl[[#This Row],[Dens]]&lt;=870,vp.tbl[[#This Row],[Sulf]]&gt;0.5,vp.tbl[[#This Row],[Unknown]]=0),1,0)</f>
        <v>0</v>
      </c>
      <c r="AC140">
        <f>IF(AND(vp.tbl[[#This Row],[CrudeType]]="Crude",vp.tbl[[#This Row],[Dens]]&gt;825,vp.tbl[[#This Row],[Dens]]&lt;=900,vp.tbl[[#This Row],[Sulf]]&lt;=0.5,vp.tbl[[#This Row],[Unknown]]=0),1,0)</f>
        <v>0</v>
      </c>
      <c r="AD140">
        <f>IF(AND(vp.tbl[[#This Row],[CrudeType]]="Crude",vp.tbl[[#This Row],[Dens]]&gt;870,vp.tbl[[#This Row],[Dens]]&lt;=900,vp.tbl[[#This Row],[Sulf]]&gt;0.5,vp.tbl[[#This Row],[Unknown]]=0),1,0)</f>
        <v>0</v>
      </c>
      <c r="AE140">
        <f>IF(AND(vp.tbl[[#This Row],[CrudeType]]="Crude",vp.tbl[[#This Row],[Dens]]&gt;900,vp.tbl[[#This Row],[Sulf]]&lt;=0.5,vp.tbl[[#This Row],[Unknown]]=0),1,0)</f>
        <v>0</v>
      </c>
      <c r="AF140">
        <f>IF(AND(vp.tbl[[#This Row],[CrudeType]]="Crude",vp.tbl[[#This Row],[Dens]]&gt;900,vp.tbl[[#This Row],[Sulf]]&lt;=0.5,vp.tbl[[#This Row],[Unknown]]=0),1,0)</f>
        <v>0</v>
      </c>
      <c r="AG140" t="str">
        <f>INDEX(vp.tbl[[#Headers],[Unknown]:[Heavy_SW]],MATCH(1,vp.tbl[[#This Row],[Unknown]:[Heavy_SW]],0))</f>
        <v>Light_SW</v>
      </c>
      <c r="AH140" t="e">
        <f>INDEX([1]!crudeBD.lkup[Number],MATCH(vp.tbl[[#This Row],[Crude_Breakdown]],[1]!crudeBD.lkup[Crude Breakdown],0))</f>
        <v>#REF!</v>
      </c>
      <c r="AI140">
        <f>MONTH(vp.tbl[[#This Row],[SDate]])</f>
        <v>4</v>
      </c>
      <c r="AJ140" s="5">
        <f>IFERROR(vp.tbl[[#This Row],[Sulf]]*vp.tbl[[#This Row],[Net Dens]],"")</f>
        <v>10352782.218768001</v>
      </c>
      <c r="AK140" s="5">
        <f>IFERROR(vp.tbl[[#This Row],[Dens]]*vp.tbl[[#This Row],[VolumeM3]],"")</f>
        <v>21568296.289100002</v>
      </c>
      <c r="AL140" s="5">
        <f>IFERROR(vp.tbl[[#This Row],[VP]]*vp.tbl[[#This Row],[VolumeM3]],"")</f>
        <v>2425149.6620999998</v>
      </c>
      <c r="AM140" s="4">
        <f>IFERROR((vp.tbl[[#This Row],[VP]]-INDEX(crudeBD.lkup.complete[Mean_VP],MATCH(vp.tbl[[#This Row],[Crude_Breakdown]],crudeBD.lkup.complete[Crude Breakdown],0)))^2,"")</f>
        <v>0.20278232830310228</v>
      </c>
      <c r="AN140" s="4">
        <f>IFERROR((vp.tbl[[#This Row],[Dens]]-INDEX(crudeBD.lkup.complete[Mean_Dens],MATCH(vp.tbl[[#This Row],[Crude_Breakdown]],crudeBD.lkup.complete[Crude Breakdown],0)))^2,"")</f>
        <v>116.39176984060057</v>
      </c>
      <c r="AO140" s="4">
        <f>IFERROR((vp.tbl[[#This Row],[Sulf]]-INDEX(crudeBD.lkup.complete[Mean_Sulf],MATCH(vp.tbl[[#This Row],[Crude_Breakdown]],crudeBD.lkup.complete[Crude Breakdown],0)))^2,"")</f>
        <v>5.9418054291784594E-2</v>
      </c>
      <c r="AP140">
        <f>IF(AND(vp.tbl[[#This Row],[SDate]]&gt;=DATE(YEAR(vp.tbl[[#This Row],[SDate]]),5,1),vp.tbl[[#This Row],[SDate]]&lt;=DATE(YEAR(vp.tbl[[#This Row],[SDate]]),9,15)),1,0)</f>
        <v>0</v>
      </c>
      <c r="AQ140" s="15">
        <f>IF(vp.tbl[[#This Row],[SDate]]&lt;DATE(2016,12,1),0,1)</f>
        <v>0</v>
      </c>
    </row>
    <row r="141" spans="1:43" x14ac:dyDescent="0.25">
      <c r="A141">
        <v>140</v>
      </c>
      <c r="B141" t="s">
        <v>62</v>
      </c>
      <c r="C141" t="s">
        <v>62</v>
      </c>
      <c r="D141" t="s">
        <v>63</v>
      </c>
      <c r="F141" s="1">
        <v>42478</v>
      </c>
      <c r="G141" s="2">
        <v>92.9</v>
      </c>
      <c r="H141" s="2"/>
      <c r="I141" s="2">
        <v>1.26</v>
      </c>
      <c r="J141" s="2"/>
      <c r="K141" s="2"/>
      <c r="L141" s="2">
        <v>824.7</v>
      </c>
      <c r="M141" s="2">
        <v>824.7</v>
      </c>
      <c r="N141" s="2">
        <f ca="1">INDEX(INDIRECT(_xlfn.CONCAT("weather.tbl[",N$1,"]")),MATCH(vp.tbl[[#This Row],[SDate]],weather.tbl[Date],0))</f>
        <v>8.0499999999999989</v>
      </c>
      <c r="O141" s="2">
        <f ca="1">INDEX(INDIRECT(_xlfn.CONCAT("weather.tbl[",O$1,"]")),MATCH(vp.tbl[[#This Row],[SDate]],weather.tbl[Date],0))</f>
        <v>6.8285714285714283</v>
      </c>
      <c r="P141" s="2">
        <f ca="1">INDEX(INDIRECT(_xlfn.CONCAT("weather.tbl[",P$1,"]")),MATCH(vp.tbl[[#This Row],[SDate]],weather.tbl[Date],0))</f>
        <v>7.7</v>
      </c>
      <c r="Q141" s="2">
        <f ca="1">INDEX(INDIRECT(_xlfn.CONCAT("weather.tbl[",Q$1,"]")),MATCH(vp.tbl[[#This Row],[SDate]],weather.tbl[Date],0))</f>
        <v>7.7</v>
      </c>
      <c r="R141" s="2">
        <f ca="1">INDEX(INDIRECT(_xlfn.CONCAT("weather.tbl[",R$1,"]")),MATCH(vp.tbl[[#This Row],[SDate]],weather.tbl[Date],0))</f>
        <v>7.8</v>
      </c>
      <c r="S141" s="2">
        <f ca="1">INDEX(INDIRECT(_xlfn.CONCAT("weather.tbl[",S$1,"]")),MATCH(vp.tbl[[#This Row],[SDate]],weather.tbl[Date],0))</f>
        <v>8.5</v>
      </c>
      <c r="T141" s="2">
        <f ca="1">INDEX(INDIRECT(_xlfn.CONCAT("weather.tbl[",T$1,"]")),MATCH(vp.tbl[[#This Row],[SDate]],weather.tbl[Date],0))</f>
        <v>8.8000000000000007</v>
      </c>
      <c r="U141" s="2">
        <f ca="1">INDEX(INDIRECT(_xlfn.CONCAT("weather.tbl[",U$1,"]")),MATCH(vp.tbl[[#This Row],[SDate]],weather.tbl[Date],0))</f>
        <v>7.8</v>
      </c>
      <c r="V141" s="2">
        <v>6136.5</v>
      </c>
      <c r="W141" t="s">
        <v>48</v>
      </c>
      <c r="X141">
        <f>IF(OR(vp.tbl[[#This Row],[Sulf]]="",vp.tbl[[#This Row],[Dens]]=""),1,0)</f>
        <v>0</v>
      </c>
      <c r="Y141">
        <f>IF(vp.tbl[[#This Row],[CrudeType]]="C5+",1,0)</f>
        <v>0</v>
      </c>
      <c r="Z141">
        <f>IF(AND(vp.tbl[[#This Row],[CrudeType]]="Crude",vp.tbl[[#This Row],[Dens]]&lt;=825,vp.tbl[[#This Row],[Sulf]]&gt;0.5,vp.tbl[[#This Row],[Unknown]]=0),1,0)</f>
        <v>1</v>
      </c>
      <c r="AA141">
        <f>IF(AND(vp.tbl[[#This Row],[CrudeType]]="Crude",vp.tbl[[#This Row],[Dens]]&lt;=825,vp.tbl[[#This Row],[Sulf]]&lt;=0.5,vp.tbl[[#This Row],[Unknown]]=0),1,0)</f>
        <v>0</v>
      </c>
      <c r="AB141">
        <f>IF(AND(vp.tbl[[#This Row],[CrudeType]]="Crude",vp.tbl[[#This Row],[Dens]]&gt;825,vp.tbl[[#This Row],[Dens]]&lt;=870,vp.tbl[[#This Row],[Sulf]]&gt;0.5,vp.tbl[[#This Row],[Unknown]]=0),1,0)</f>
        <v>0</v>
      </c>
      <c r="AC141">
        <f>IF(AND(vp.tbl[[#This Row],[CrudeType]]="Crude",vp.tbl[[#This Row],[Dens]]&gt;825,vp.tbl[[#This Row],[Dens]]&lt;=900,vp.tbl[[#This Row],[Sulf]]&lt;=0.5,vp.tbl[[#This Row],[Unknown]]=0),1,0)</f>
        <v>0</v>
      </c>
      <c r="AD141">
        <f>IF(AND(vp.tbl[[#This Row],[CrudeType]]="Crude",vp.tbl[[#This Row],[Dens]]&gt;870,vp.tbl[[#This Row],[Dens]]&lt;=900,vp.tbl[[#This Row],[Sulf]]&gt;0.5,vp.tbl[[#This Row],[Unknown]]=0),1,0)</f>
        <v>0</v>
      </c>
      <c r="AE141">
        <f>IF(AND(vp.tbl[[#This Row],[CrudeType]]="Crude",vp.tbl[[#This Row],[Dens]]&gt;900,vp.tbl[[#This Row],[Sulf]]&lt;=0.5,vp.tbl[[#This Row],[Unknown]]=0),1,0)</f>
        <v>0</v>
      </c>
      <c r="AF141">
        <f>IF(AND(vp.tbl[[#This Row],[CrudeType]]="Crude",vp.tbl[[#This Row],[Dens]]&gt;900,vp.tbl[[#This Row],[Sulf]]&lt;=0.5,vp.tbl[[#This Row],[Unknown]]=0),1,0)</f>
        <v>0</v>
      </c>
      <c r="AG141" t="str">
        <f>INDEX(vp.tbl[[#Headers],[Unknown]:[Heavy_SW]],MATCH(1,vp.tbl[[#This Row],[Unknown]:[Heavy_SW]],0))</f>
        <v>Light_LSB</v>
      </c>
      <c r="AH141" t="e">
        <f>INDEX([1]!crudeBD.lkup[Number],MATCH(vp.tbl[[#This Row],[Crude_Breakdown]],[1]!crudeBD.lkup[Crude Breakdown],0))</f>
        <v>#REF!</v>
      </c>
      <c r="AI141">
        <f>MONTH(vp.tbl[[#This Row],[SDate]])</f>
        <v>4</v>
      </c>
      <c r="AJ141" s="5">
        <f>IFERROR(vp.tbl[[#This Row],[Sulf]]*vp.tbl[[#This Row],[Net Dens]],"")</f>
        <v>6376572.1529999999</v>
      </c>
      <c r="AK141" s="5">
        <f>IFERROR(vp.tbl[[#This Row],[Dens]]*vp.tbl[[#This Row],[VolumeM3]],"")</f>
        <v>5060771.55</v>
      </c>
      <c r="AL141" s="5">
        <f>IFERROR(vp.tbl[[#This Row],[VP]]*vp.tbl[[#This Row],[VolumeM3]],"")</f>
        <v>570080.85</v>
      </c>
      <c r="AM141" s="4">
        <f>IFERROR((vp.tbl[[#This Row],[VP]]-INDEX(crudeBD.lkup.complete[Mean_VP],MATCH(vp.tbl[[#This Row],[Crude_Breakdown]],crudeBD.lkup.complete[Crude Breakdown],0)))^2,"")</f>
        <v>1.832813518971129</v>
      </c>
      <c r="AN141" s="4">
        <f>IFERROR((vp.tbl[[#This Row],[Dens]]-INDEX(crudeBD.lkup.complete[Mean_Dens],MATCH(vp.tbl[[#This Row],[Crude_Breakdown]],crudeBD.lkup.complete[Crude Breakdown],0)))^2,"")</f>
        <v>38.232336207654335</v>
      </c>
      <c r="AO141" s="4">
        <f>IFERROR((vp.tbl[[#This Row],[Sulf]]-INDEX(crudeBD.lkup.complete[Mean_Sulf],MATCH(vp.tbl[[#This Row],[Crude_Breakdown]],crudeBD.lkup.complete[Crude Breakdown],0)))^2,"")</f>
        <v>0.11358843333985327</v>
      </c>
      <c r="AP141">
        <f>IF(AND(vp.tbl[[#This Row],[SDate]]&gt;=DATE(YEAR(vp.tbl[[#This Row],[SDate]]),5,1),vp.tbl[[#This Row],[SDate]]&lt;=DATE(YEAR(vp.tbl[[#This Row],[SDate]]),9,15)),1,0)</f>
        <v>0</v>
      </c>
      <c r="AQ141" s="15">
        <f>IF(vp.tbl[[#This Row],[SDate]]&lt;DATE(2016,12,1),0,1)</f>
        <v>0</v>
      </c>
    </row>
    <row r="142" spans="1:43" x14ac:dyDescent="0.25">
      <c r="A142">
        <v>141</v>
      </c>
      <c r="B142" t="s">
        <v>62</v>
      </c>
      <c r="C142" t="s">
        <v>62</v>
      </c>
      <c r="D142" t="s">
        <v>63</v>
      </c>
      <c r="F142" s="1">
        <v>42478</v>
      </c>
      <c r="G142" s="2">
        <v>95.7</v>
      </c>
      <c r="H142" s="2"/>
      <c r="I142" s="2">
        <v>1.26</v>
      </c>
      <c r="J142" s="2"/>
      <c r="K142" s="2"/>
      <c r="L142" s="2">
        <v>824.7</v>
      </c>
      <c r="M142" s="2">
        <v>824.7</v>
      </c>
      <c r="N142" s="2">
        <f ca="1">INDEX(INDIRECT(_xlfn.CONCAT("weather.tbl[",N$1,"]")),MATCH(vp.tbl[[#This Row],[SDate]],weather.tbl[Date],0))</f>
        <v>8.0499999999999989</v>
      </c>
      <c r="O142" s="2">
        <f ca="1">INDEX(INDIRECT(_xlfn.CONCAT("weather.tbl[",O$1,"]")),MATCH(vp.tbl[[#This Row],[SDate]],weather.tbl[Date],0))</f>
        <v>6.8285714285714283</v>
      </c>
      <c r="P142" s="2">
        <f ca="1">INDEX(INDIRECT(_xlfn.CONCAT("weather.tbl[",P$1,"]")),MATCH(vp.tbl[[#This Row],[SDate]],weather.tbl[Date],0))</f>
        <v>7.7</v>
      </c>
      <c r="Q142" s="2">
        <f ca="1">INDEX(INDIRECT(_xlfn.CONCAT("weather.tbl[",Q$1,"]")),MATCH(vp.tbl[[#This Row],[SDate]],weather.tbl[Date],0))</f>
        <v>7.7</v>
      </c>
      <c r="R142" s="2">
        <f ca="1">INDEX(INDIRECT(_xlfn.CONCAT("weather.tbl[",R$1,"]")),MATCH(vp.tbl[[#This Row],[SDate]],weather.tbl[Date],0))</f>
        <v>7.8</v>
      </c>
      <c r="S142" s="2">
        <f ca="1">INDEX(INDIRECT(_xlfn.CONCAT("weather.tbl[",S$1,"]")),MATCH(vp.tbl[[#This Row],[SDate]],weather.tbl[Date],0))</f>
        <v>8.5</v>
      </c>
      <c r="T142" s="2">
        <f ca="1">INDEX(INDIRECT(_xlfn.CONCAT("weather.tbl[",T$1,"]")),MATCH(vp.tbl[[#This Row],[SDate]],weather.tbl[Date],0))</f>
        <v>8.8000000000000007</v>
      </c>
      <c r="U142" s="2">
        <f ca="1">INDEX(INDIRECT(_xlfn.CONCAT("weather.tbl[",U$1,"]")),MATCH(vp.tbl[[#This Row],[SDate]],weather.tbl[Date],0))</f>
        <v>7.8</v>
      </c>
      <c r="V142" s="2">
        <v>6136.5</v>
      </c>
      <c r="W142" t="s">
        <v>48</v>
      </c>
      <c r="X142">
        <f>IF(OR(vp.tbl[[#This Row],[Sulf]]="",vp.tbl[[#This Row],[Dens]]=""),1,0)</f>
        <v>0</v>
      </c>
      <c r="Y142">
        <f>IF(vp.tbl[[#This Row],[CrudeType]]="C5+",1,0)</f>
        <v>0</v>
      </c>
      <c r="Z142">
        <f>IF(AND(vp.tbl[[#This Row],[CrudeType]]="Crude",vp.tbl[[#This Row],[Dens]]&lt;=825,vp.tbl[[#This Row],[Sulf]]&gt;0.5,vp.tbl[[#This Row],[Unknown]]=0),1,0)</f>
        <v>1</v>
      </c>
      <c r="AA142">
        <f>IF(AND(vp.tbl[[#This Row],[CrudeType]]="Crude",vp.tbl[[#This Row],[Dens]]&lt;=825,vp.tbl[[#This Row],[Sulf]]&lt;=0.5,vp.tbl[[#This Row],[Unknown]]=0),1,0)</f>
        <v>0</v>
      </c>
      <c r="AB142">
        <f>IF(AND(vp.tbl[[#This Row],[CrudeType]]="Crude",vp.tbl[[#This Row],[Dens]]&gt;825,vp.tbl[[#This Row],[Dens]]&lt;=870,vp.tbl[[#This Row],[Sulf]]&gt;0.5,vp.tbl[[#This Row],[Unknown]]=0),1,0)</f>
        <v>0</v>
      </c>
      <c r="AC142">
        <f>IF(AND(vp.tbl[[#This Row],[CrudeType]]="Crude",vp.tbl[[#This Row],[Dens]]&gt;825,vp.tbl[[#This Row],[Dens]]&lt;=900,vp.tbl[[#This Row],[Sulf]]&lt;=0.5,vp.tbl[[#This Row],[Unknown]]=0),1,0)</f>
        <v>0</v>
      </c>
      <c r="AD142">
        <f>IF(AND(vp.tbl[[#This Row],[CrudeType]]="Crude",vp.tbl[[#This Row],[Dens]]&gt;870,vp.tbl[[#This Row],[Dens]]&lt;=900,vp.tbl[[#This Row],[Sulf]]&gt;0.5,vp.tbl[[#This Row],[Unknown]]=0),1,0)</f>
        <v>0</v>
      </c>
      <c r="AE142">
        <f>IF(AND(vp.tbl[[#This Row],[CrudeType]]="Crude",vp.tbl[[#This Row],[Dens]]&gt;900,vp.tbl[[#This Row],[Sulf]]&lt;=0.5,vp.tbl[[#This Row],[Unknown]]=0),1,0)</f>
        <v>0</v>
      </c>
      <c r="AF142">
        <f>IF(AND(vp.tbl[[#This Row],[CrudeType]]="Crude",vp.tbl[[#This Row],[Dens]]&gt;900,vp.tbl[[#This Row],[Sulf]]&lt;=0.5,vp.tbl[[#This Row],[Unknown]]=0),1,0)</f>
        <v>0</v>
      </c>
      <c r="AG142" t="str">
        <f>INDEX(vp.tbl[[#Headers],[Unknown]:[Heavy_SW]],MATCH(1,vp.tbl[[#This Row],[Unknown]:[Heavy_SW]],0))</f>
        <v>Light_LSB</v>
      </c>
      <c r="AH142" t="e">
        <f>INDEX([1]!crudeBD.lkup[Number],MATCH(vp.tbl[[#This Row],[Crude_Breakdown]],[1]!crudeBD.lkup[Crude Breakdown],0))</f>
        <v>#REF!</v>
      </c>
      <c r="AI142">
        <f>MONTH(vp.tbl[[#This Row],[SDate]])</f>
        <v>4</v>
      </c>
      <c r="AJ142" s="5">
        <f>IFERROR(vp.tbl[[#This Row],[Sulf]]*vp.tbl[[#This Row],[Net Dens]],"")</f>
        <v>6376572.1529999999</v>
      </c>
      <c r="AK142" s="5">
        <f>IFERROR(vp.tbl[[#This Row],[Dens]]*vp.tbl[[#This Row],[VolumeM3]],"")</f>
        <v>5060771.55</v>
      </c>
      <c r="AL142" s="5">
        <f>IFERROR(vp.tbl[[#This Row],[VP]]*vp.tbl[[#This Row],[VolumeM3]],"")</f>
        <v>587263.05000000005</v>
      </c>
      <c r="AM142" s="4">
        <f>IFERROR((vp.tbl[[#This Row],[VP]]-INDEX(crudeBD.lkup.complete[Mean_VP],MATCH(vp.tbl[[#This Row],[Crude_Breakdown]],crudeBD.lkup.complete[Crude Breakdown],0)))^2,"")</f>
        <v>17.254174343713231</v>
      </c>
      <c r="AN142" s="4">
        <f>IFERROR((vp.tbl[[#This Row],[Dens]]-INDEX(crudeBD.lkup.complete[Mean_Dens],MATCH(vp.tbl[[#This Row],[Crude_Breakdown]],crudeBD.lkup.complete[Crude Breakdown],0)))^2,"")</f>
        <v>38.232336207654335</v>
      </c>
      <c r="AO142" s="4">
        <f>IFERROR((vp.tbl[[#This Row],[Sulf]]-INDEX(crudeBD.lkup.complete[Mean_Sulf],MATCH(vp.tbl[[#This Row],[Crude_Breakdown]],crudeBD.lkup.complete[Crude Breakdown],0)))^2,"")</f>
        <v>0.11358843333985327</v>
      </c>
      <c r="AP142">
        <f>IF(AND(vp.tbl[[#This Row],[SDate]]&gt;=DATE(YEAR(vp.tbl[[#This Row],[SDate]]),5,1),vp.tbl[[#This Row],[SDate]]&lt;=DATE(YEAR(vp.tbl[[#This Row],[SDate]]),9,15)),1,0)</f>
        <v>0</v>
      </c>
      <c r="AQ142" s="15">
        <f>IF(vp.tbl[[#This Row],[SDate]]&lt;DATE(2016,12,1),0,1)</f>
        <v>0</v>
      </c>
    </row>
    <row r="143" spans="1:43" x14ac:dyDescent="0.25">
      <c r="A143">
        <v>142</v>
      </c>
      <c r="B143" t="s">
        <v>68</v>
      </c>
      <c r="C143" t="s">
        <v>68</v>
      </c>
      <c r="D143" t="s">
        <v>69</v>
      </c>
      <c r="F143" s="1">
        <v>42478</v>
      </c>
      <c r="G143" s="2">
        <v>43.3</v>
      </c>
      <c r="H143" s="2"/>
      <c r="I143" s="2">
        <v>1.73</v>
      </c>
      <c r="J143" s="2"/>
      <c r="K143" s="2"/>
      <c r="L143" s="2">
        <v>827.3</v>
      </c>
      <c r="M143" s="2">
        <v>827.3</v>
      </c>
      <c r="N143" s="2">
        <f ca="1">INDEX(INDIRECT(_xlfn.CONCAT("weather.tbl[",N$1,"]")),MATCH(vp.tbl[[#This Row],[SDate]],weather.tbl[Date],0))</f>
        <v>8.0499999999999989</v>
      </c>
      <c r="O143" s="2">
        <f ca="1">INDEX(INDIRECT(_xlfn.CONCAT("weather.tbl[",O$1,"]")),MATCH(vp.tbl[[#This Row],[SDate]],weather.tbl[Date],0))</f>
        <v>6.8285714285714283</v>
      </c>
      <c r="P143" s="2">
        <f ca="1">INDEX(INDIRECT(_xlfn.CONCAT("weather.tbl[",P$1,"]")),MATCH(vp.tbl[[#This Row],[SDate]],weather.tbl[Date],0))</f>
        <v>7.7</v>
      </c>
      <c r="Q143" s="2">
        <f ca="1">INDEX(INDIRECT(_xlfn.CONCAT("weather.tbl[",Q$1,"]")),MATCH(vp.tbl[[#This Row],[SDate]],weather.tbl[Date],0))</f>
        <v>7.7</v>
      </c>
      <c r="R143" s="2">
        <f ca="1">INDEX(INDIRECT(_xlfn.CONCAT("weather.tbl[",R$1,"]")),MATCH(vp.tbl[[#This Row],[SDate]],weather.tbl[Date],0))</f>
        <v>7.8</v>
      </c>
      <c r="S143" s="2">
        <f ca="1">INDEX(INDIRECT(_xlfn.CONCAT("weather.tbl[",S$1,"]")),MATCH(vp.tbl[[#This Row],[SDate]],weather.tbl[Date],0))</f>
        <v>8.5</v>
      </c>
      <c r="T143" s="2">
        <f ca="1">INDEX(INDIRECT(_xlfn.CONCAT("weather.tbl[",T$1,"]")),MATCH(vp.tbl[[#This Row],[SDate]],weather.tbl[Date],0))</f>
        <v>8.8000000000000007</v>
      </c>
      <c r="U143" s="2">
        <f ca="1">INDEX(INDIRECT(_xlfn.CONCAT("weather.tbl[",U$1,"]")),MATCH(vp.tbl[[#This Row],[SDate]],weather.tbl[Date],0))</f>
        <v>7.8</v>
      </c>
      <c r="V143" s="2">
        <v>1385.557</v>
      </c>
      <c r="W143" t="s">
        <v>48</v>
      </c>
      <c r="X143">
        <f>IF(OR(vp.tbl[[#This Row],[Sulf]]="",vp.tbl[[#This Row],[Dens]]=""),1,0)</f>
        <v>0</v>
      </c>
      <c r="Y143">
        <f>IF(vp.tbl[[#This Row],[CrudeType]]="C5+",1,0)</f>
        <v>0</v>
      </c>
      <c r="Z143">
        <f>IF(AND(vp.tbl[[#This Row],[CrudeType]]="Crude",vp.tbl[[#This Row],[Dens]]&lt;=825,vp.tbl[[#This Row],[Sulf]]&gt;0.5,vp.tbl[[#This Row],[Unknown]]=0),1,0)</f>
        <v>0</v>
      </c>
      <c r="AA143">
        <f>IF(AND(vp.tbl[[#This Row],[CrudeType]]="Crude",vp.tbl[[#This Row],[Dens]]&lt;=825,vp.tbl[[#This Row],[Sulf]]&lt;=0.5,vp.tbl[[#This Row],[Unknown]]=0),1,0)</f>
        <v>0</v>
      </c>
      <c r="AB143">
        <f>IF(AND(vp.tbl[[#This Row],[CrudeType]]="Crude",vp.tbl[[#This Row],[Dens]]&gt;825,vp.tbl[[#This Row],[Dens]]&lt;=870,vp.tbl[[#This Row],[Sulf]]&gt;0.5,vp.tbl[[#This Row],[Unknown]]=0),1,0)</f>
        <v>1</v>
      </c>
      <c r="AC143">
        <f>IF(AND(vp.tbl[[#This Row],[CrudeType]]="Crude",vp.tbl[[#This Row],[Dens]]&gt;825,vp.tbl[[#This Row],[Dens]]&lt;=900,vp.tbl[[#This Row],[Sulf]]&lt;=0.5,vp.tbl[[#This Row],[Unknown]]=0),1,0)</f>
        <v>0</v>
      </c>
      <c r="AD143">
        <f>IF(AND(vp.tbl[[#This Row],[CrudeType]]="Crude",vp.tbl[[#This Row],[Dens]]&gt;870,vp.tbl[[#This Row],[Dens]]&lt;=900,vp.tbl[[#This Row],[Sulf]]&gt;0.5,vp.tbl[[#This Row],[Unknown]]=0),1,0)</f>
        <v>0</v>
      </c>
      <c r="AE143">
        <f>IF(AND(vp.tbl[[#This Row],[CrudeType]]="Crude",vp.tbl[[#This Row],[Dens]]&gt;900,vp.tbl[[#This Row],[Sulf]]&lt;=0.5,vp.tbl[[#This Row],[Unknown]]=0),1,0)</f>
        <v>0</v>
      </c>
      <c r="AF143">
        <f>IF(AND(vp.tbl[[#This Row],[CrudeType]]="Crude",vp.tbl[[#This Row],[Dens]]&gt;900,vp.tbl[[#This Row],[Sulf]]&lt;=0.5,vp.tbl[[#This Row],[Unknown]]=0),1,0)</f>
        <v>0</v>
      </c>
      <c r="AG143" t="str">
        <f>INDEX(vp.tbl[[#Headers],[Unknown]:[Heavy_SW]],MATCH(1,vp.tbl[[#This Row],[Unknown]:[Heavy_SW]],0))</f>
        <v>Medium_LSB</v>
      </c>
      <c r="AH143" t="e">
        <f>INDEX([1]!crudeBD.lkup[Number],MATCH(vp.tbl[[#This Row],[Crude_Breakdown]],[1]!crudeBD.lkup[Crude Breakdown],0))</f>
        <v>#REF!</v>
      </c>
      <c r="AI143">
        <f>MONTH(vp.tbl[[#This Row],[SDate]])</f>
        <v>4</v>
      </c>
      <c r="AJ143" s="5">
        <f>IFERROR(vp.tbl[[#This Row],[Sulf]]*vp.tbl[[#This Row],[Net Dens]],"")</f>
        <v>1983049.359553</v>
      </c>
      <c r="AK143" s="5">
        <f>IFERROR(vp.tbl[[#This Row],[Dens]]*vp.tbl[[#This Row],[VolumeM3]],"")</f>
        <v>1146271.3060999999</v>
      </c>
      <c r="AL143" s="5">
        <f>IFERROR(vp.tbl[[#This Row],[VP]]*vp.tbl[[#This Row],[VolumeM3]],"")</f>
        <v>59994.6181</v>
      </c>
      <c r="AM143" s="4">
        <f>IFERROR((vp.tbl[[#This Row],[VP]]-INDEX(crudeBD.lkup.complete[Mean_VP],MATCH(vp.tbl[[#This Row],[Crude_Breakdown]],crudeBD.lkup.complete[Crude Breakdown],0)))^2,"")</f>
        <v>1359.6620035564788</v>
      </c>
      <c r="AN143" s="4">
        <f>IFERROR((vp.tbl[[#This Row],[Dens]]-INDEX(crudeBD.lkup.complete[Mean_Dens],MATCH(vp.tbl[[#This Row],[Crude_Breakdown]],crudeBD.lkup.complete[Crude Breakdown],0)))^2,"")</f>
        <v>323.70568711997902</v>
      </c>
      <c r="AO143" s="4">
        <f>IFERROR((vp.tbl[[#This Row],[Sulf]]-INDEX(crudeBD.lkup.complete[Mean_Sulf],MATCH(vp.tbl[[#This Row],[Crude_Breakdown]],crudeBD.lkup.complete[Crude Breakdown],0)))^2,"")</f>
        <v>7.5663581501790714E-2</v>
      </c>
      <c r="AP143">
        <f>IF(AND(vp.tbl[[#This Row],[SDate]]&gt;=DATE(YEAR(vp.tbl[[#This Row],[SDate]]),5,1),vp.tbl[[#This Row],[SDate]]&lt;=DATE(YEAR(vp.tbl[[#This Row],[SDate]]),9,15)),1,0)</f>
        <v>0</v>
      </c>
      <c r="AQ143" s="15">
        <f>IF(vp.tbl[[#This Row],[SDate]]&lt;DATE(2016,12,1),0,1)</f>
        <v>0</v>
      </c>
    </row>
    <row r="144" spans="1:43" x14ac:dyDescent="0.25">
      <c r="A144">
        <v>143</v>
      </c>
      <c r="B144" t="s">
        <v>51</v>
      </c>
      <c r="C144" t="s">
        <v>51</v>
      </c>
      <c r="D144" t="s">
        <v>71</v>
      </c>
      <c r="F144" s="1">
        <v>42478</v>
      </c>
      <c r="G144" s="2">
        <v>90.9</v>
      </c>
      <c r="H144" s="2"/>
      <c r="I144" s="2">
        <v>1.37</v>
      </c>
      <c r="J144" s="2"/>
      <c r="K144" s="2"/>
      <c r="L144" s="2">
        <v>833.1</v>
      </c>
      <c r="M144" s="2">
        <v>833.1</v>
      </c>
      <c r="N144" s="2">
        <f ca="1">INDEX(INDIRECT(_xlfn.CONCAT("weather.tbl[",N$1,"]")),MATCH(vp.tbl[[#This Row],[SDate]],weather.tbl[Date],0))</f>
        <v>8.0499999999999989</v>
      </c>
      <c r="O144" s="2">
        <f ca="1">INDEX(INDIRECT(_xlfn.CONCAT("weather.tbl[",O$1,"]")),MATCH(vp.tbl[[#This Row],[SDate]],weather.tbl[Date],0))</f>
        <v>6.8285714285714283</v>
      </c>
      <c r="P144" s="2">
        <f ca="1">INDEX(INDIRECT(_xlfn.CONCAT("weather.tbl[",P$1,"]")),MATCH(vp.tbl[[#This Row],[SDate]],weather.tbl[Date],0))</f>
        <v>7.7</v>
      </c>
      <c r="Q144" s="2">
        <f ca="1">INDEX(INDIRECT(_xlfn.CONCAT("weather.tbl[",Q$1,"]")),MATCH(vp.tbl[[#This Row],[SDate]],weather.tbl[Date],0))</f>
        <v>7.7</v>
      </c>
      <c r="R144" s="2">
        <f ca="1">INDEX(INDIRECT(_xlfn.CONCAT("weather.tbl[",R$1,"]")),MATCH(vp.tbl[[#This Row],[SDate]],weather.tbl[Date],0))</f>
        <v>7.8</v>
      </c>
      <c r="S144" s="2">
        <f ca="1">INDEX(INDIRECT(_xlfn.CONCAT("weather.tbl[",S$1,"]")),MATCH(vp.tbl[[#This Row],[SDate]],weather.tbl[Date],0))</f>
        <v>8.5</v>
      </c>
      <c r="T144" s="2">
        <f ca="1">INDEX(INDIRECT(_xlfn.CONCAT("weather.tbl[",T$1,"]")),MATCH(vp.tbl[[#This Row],[SDate]],weather.tbl[Date],0))</f>
        <v>8.8000000000000007</v>
      </c>
      <c r="U144" s="2">
        <f ca="1">INDEX(INDIRECT(_xlfn.CONCAT("weather.tbl[",U$1,"]")),MATCH(vp.tbl[[#This Row],[SDate]],weather.tbl[Date],0))</f>
        <v>7.8</v>
      </c>
      <c r="V144" s="2">
        <v>4963.1080000000002</v>
      </c>
      <c r="W144" t="s">
        <v>48</v>
      </c>
      <c r="X144">
        <f>IF(OR(vp.tbl[[#This Row],[Sulf]]="",vp.tbl[[#This Row],[Dens]]=""),1,0)</f>
        <v>0</v>
      </c>
      <c r="Y144">
        <f>IF(vp.tbl[[#This Row],[CrudeType]]="C5+",1,0)</f>
        <v>0</v>
      </c>
      <c r="Z144">
        <f>IF(AND(vp.tbl[[#This Row],[CrudeType]]="Crude",vp.tbl[[#This Row],[Dens]]&lt;=825,vp.tbl[[#This Row],[Sulf]]&gt;0.5,vp.tbl[[#This Row],[Unknown]]=0),1,0)</f>
        <v>0</v>
      </c>
      <c r="AA144">
        <f>IF(AND(vp.tbl[[#This Row],[CrudeType]]="Crude",vp.tbl[[#This Row],[Dens]]&lt;=825,vp.tbl[[#This Row],[Sulf]]&lt;=0.5,vp.tbl[[#This Row],[Unknown]]=0),1,0)</f>
        <v>0</v>
      </c>
      <c r="AB144">
        <f>IF(AND(vp.tbl[[#This Row],[CrudeType]]="Crude",vp.tbl[[#This Row],[Dens]]&gt;825,vp.tbl[[#This Row],[Dens]]&lt;=870,vp.tbl[[#This Row],[Sulf]]&gt;0.5,vp.tbl[[#This Row],[Unknown]]=0),1,0)</f>
        <v>1</v>
      </c>
      <c r="AC144">
        <f>IF(AND(vp.tbl[[#This Row],[CrudeType]]="Crude",vp.tbl[[#This Row],[Dens]]&gt;825,vp.tbl[[#This Row],[Dens]]&lt;=900,vp.tbl[[#This Row],[Sulf]]&lt;=0.5,vp.tbl[[#This Row],[Unknown]]=0),1,0)</f>
        <v>0</v>
      </c>
      <c r="AD144">
        <f>IF(AND(vp.tbl[[#This Row],[CrudeType]]="Crude",vp.tbl[[#This Row],[Dens]]&gt;870,vp.tbl[[#This Row],[Dens]]&lt;=900,vp.tbl[[#This Row],[Sulf]]&gt;0.5,vp.tbl[[#This Row],[Unknown]]=0),1,0)</f>
        <v>0</v>
      </c>
      <c r="AE144">
        <f>IF(AND(vp.tbl[[#This Row],[CrudeType]]="Crude",vp.tbl[[#This Row],[Dens]]&gt;900,vp.tbl[[#This Row],[Sulf]]&lt;=0.5,vp.tbl[[#This Row],[Unknown]]=0),1,0)</f>
        <v>0</v>
      </c>
      <c r="AF144">
        <f>IF(AND(vp.tbl[[#This Row],[CrudeType]]="Crude",vp.tbl[[#This Row],[Dens]]&gt;900,vp.tbl[[#This Row],[Sulf]]&lt;=0.5,vp.tbl[[#This Row],[Unknown]]=0),1,0)</f>
        <v>0</v>
      </c>
      <c r="AG144" t="str">
        <f>INDEX(vp.tbl[[#Headers],[Unknown]:[Heavy_SW]],MATCH(1,vp.tbl[[#This Row],[Unknown]:[Heavy_SW]],0))</f>
        <v>Medium_LSB</v>
      </c>
      <c r="AH144" t="e">
        <f>INDEX([1]!crudeBD.lkup[Number],MATCH(vp.tbl[[#This Row],[Crude_Breakdown]],[1]!crudeBD.lkup[Crude Breakdown],0))</f>
        <v>#REF!</v>
      </c>
      <c r="AI144">
        <f>MONTH(vp.tbl[[#This Row],[SDate]])</f>
        <v>4</v>
      </c>
      <c r="AJ144" s="5">
        <f>IFERROR(vp.tbl[[#This Row],[Sulf]]*vp.tbl[[#This Row],[Net Dens]],"")</f>
        <v>5664628.4264760008</v>
      </c>
      <c r="AK144" s="5">
        <f>IFERROR(vp.tbl[[#This Row],[Dens]]*vp.tbl[[#This Row],[VolumeM3]],"")</f>
        <v>4134765.2748000002</v>
      </c>
      <c r="AL144" s="5">
        <f>IFERROR(vp.tbl[[#This Row],[VP]]*vp.tbl[[#This Row],[VolumeM3]],"")</f>
        <v>451146.51720000006</v>
      </c>
      <c r="AM144" s="4">
        <f>IFERROR((vp.tbl[[#This Row],[VP]]-INDEX(crudeBD.lkup.complete[Mean_VP],MATCH(vp.tbl[[#This Row],[Crude_Breakdown]],crudeBD.lkup.complete[Crude Breakdown],0)))^2,"")</f>
        <v>115.0557655817987</v>
      </c>
      <c r="AN144" s="4">
        <f>IFERROR((vp.tbl[[#This Row],[Dens]]-INDEX(crudeBD.lkup.complete[Mean_Dens],MATCH(vp.tbl[[#This Row],[Crude_Breakdown]],crudeBD.lkup.complete[Crude Breakdown],0)))^2,"")</f>
        <v>148.64054281619079</v>
      </c>
      <c r="AO144" s="4">
        <f>IFERROR((vp.tbl[[#This Row],[Sulf]]-INDEX(crudeBD.lkup.complete[Mean_Sulf],MATCH(vp.tbl[[#This Row],[Crude_Breakdown]],crudeBD.lkup.complete[Crude Breakdown],0)))^2,"")</f>
        <v>7.2130812486272166E-3</v>
      </c>
      <c r="AP144">
        <f>IF(AND(vp.tbl[[#This Row],[SDate]]&gt;=DATE(YEAR(vp.tbl[[#This Row],[SDate]]),5,1),vp.tbl[[#This Row],[SDate]]&lt;=DATE(YEAR(vp.tbl[[#This Row],[SDate]]),9,15)),1,0)</f>
        <v>0</v>
      </c>
      <c r="AQ144" s="15">
        <f>IF(vp.tbl[[#This Row],[SDate]]&lt;DATE(2016,12,1),0,1)</f>
        <v>0</v>
      </c>
    </row>
    <row r="145" spans="1:43" x14ac:dyDescent="0.25">
      <c r="A145">
        <v>144</v>
      </c>
      <c r="B145" t="s">
        <v>84</v>
      </c>
      <c r="C145" t="s">
        <v>84</v>
      </c>
      <c r="D145" t="s">
        <v>85</v>
      </c>
      <c r="F145" s="1">
        <v>42478</v>
      </c>
      <c r="G145" s="2">
        <v>78.8</v>
      </c>
      <c r="H145" s="2"/>
      <c r="I145" s="2">
        <v>1.32</v>
      </c>
      <c r="J145" s="2"/>
      <c r="K145" s="2"/>
      <c r="L145" s="2">
        <v>848</v>
      </c>
      <c r="M145" s="2">
        <v>848</v>
      </c>
      <c r="N145" s="2">
        <f ca="1">INDEX(INDIRECT(_xlfn.CONCAT("weather.tbl[",N$1,"]")),MATCH(vp.tbl[[#This Row],[SDate]],weather.tbl[Date],0))</f>
        <v>8.0499999999999989</v>
      </c>
      <c r="O145" s="2">
        <f ca="1">INDEX(INDIRECT(_xlfn.CONCAT("weather.tbl[",O$1,"]")),MATCH(vp.tbl[[#This Row],[SDate]],weather.tbl[Date],0))</f>
        <v>6.8285714285714283</v>
      </c>
      <c r="P145" s="2">
        <f ca="1">INDEX(INDIRECT(_xlfn.CONCAT("weather.tbl[",P$1,"]")),MATCH(vp.tbl[[#This Row],[SDate]],weather.tbl[Date],0))</f>
        <v>7.7</v>
      </c>
      <c r="Q145" s="2">
        <f ca="1">INDEX(INDIRECT(_xlfn.CONCAT("weather.tbl[",Q$1,"]")),MATCH(vp.tbl[[#This Row],[SDate]],weather.tbl[Date],0))</f>
        <v>7.7</v>
      </c>
      <c r="R145" s="2">
        <f ca="1">INDEX(INDIRECT(_xlfn.CONCAT("weather.tbl[",R$1,"]")),MATCH(vp.tbl[[#This Row],[SDate]],weather.tbl[Date],0))</f>
        <v>7.8</v>
      </c>
      <c r="S145" s="2">
        <f ca="1">INDEX(INDIRECT(_xlfn.CONCAT("weather.tbl[",S$1,"]")),MATCH(vp.tbl[[#This Row],[SDate]],weather.tbl[Date],0))</f>
        <v>8.5</v>
      </c>
      <c r="T145" s="2">
        <f ca="1">INDEX(INDIRECT(_xlfn.CONCAT("weather.tbl[",T$1,"]")),MATCH(vp.tbl[[#This Row],[SDate]],weather.tbl[Date],0))</f>
        <v>8.8000000000000007</v>
      </c>
      <c r="U145" s="2">
        <f ca="1">INDEX(INDIRECT(_xlfn.CONCAT("weather.tbl[",U$1,"]")),MATCH(vp.tbl[[#This Row],[SDate]],weather.tbl[Date],0))</f>
        <v>7.8</v>
      </c>
      <c r="V145" s="2">
        <v>2463.5520000000001</v>
      </c>
      <c r="W145" t="s">
        <v>48</v>
      </c>
      <c r="X145">
        <f>IF(OR(vp.tbl[[#This Row],[Sulf]]="",vp.tbl[[#This Row],[Dens]]=""),1,0)</f>
        <v>0</v>
      </c>
      <c r="Y145">
        <f>IF(vp.tbl[[#This Row],[CrudeType]]="C5+",1,0)</f>
        <v>0</v>
      </c>
      <c r="Z145">
        <f>IF(AND(vp.tbl[[#This Row],[CrudeType]]="Crude",vp.tbl[[#This Row],[Dens]]&lt;=825,vp.tbl[[#This Row],[Sulf]]&gt;0.5,vp.tbl[[#This Row],[Unknown]]=0),1,0)</f>
        <v>0</v>
      </c>
      <c r="AA145">
        <f>IF(AND(vp.tbl[[#This Row],[CrudeType]]="Crude",vp.tbl[[#This Row],[Dens]]&lt;=825,vp.tbl[[#This Row],[Sulf]]&lt;=0.5,vp.tbl[[#This Row],[Unknown]]=0),1,0)</f>
        <v>0</v>
      </c>
      <c r="AB145">
        <f>IF(AND(vp.tbl[[#This Row],[CrudeType]]="Crude",vp.tbl[[#This Row],[Dens]]&gt;825,vp.tbl[[#This Row],[Dens]]&lt;=870,vp.tbl[[#This Row],[Sulf]]&gt;0.5,vp.tbl[[#This Row],[Unknown]]=0),1,0)</f>
        <v>1</v>
      </c>
      <c r="AC145">
        <f>IF(AND(vp.tbl[[#This Row],[CrudeType]]="Crude",vp.tbl[[#This Row],[Dens]]&gt;825,vp.tbl[[#This Row],[Dens]]&lt;=900,vp.tbl[[#This Row],[Sulf]]&lt;=0.5,vp.tbl[[#This Row],[Unknown]]=0),1,0)</f>
        <v>0</v>
      </c>
      <c r="AD145">
        <f>IF(AND(vp.tbl[[#This Row],[CrudeType]]="Crude",vp.tbl[[#This Row],[Dens]]&gt;870,vp.tbl[[#This Row],[Dens]]&lt;=900,vp.tbl[[#This Row],[Sulf]]&gt;0.5,vp.tbl[[#This Row],[Unknown]]=0),1,0)</f>
        <v>0</v>
      </c>
      <c r="AE145">
        <f>IF(AND(vp.tbl[[#This Row],[CrudeType]]="Crude",vp.tbl[[#This Row],[Dens]]&gt;900,vp.tbl[[#This Row],[Sulf]]&lt;=0.5,vp.tbl[[#This Row],[Unknown]]=0),1,0)</f>
        <v>0</v>
      </c>
      <c r="AF145">
        <f>IF(AND(vp.tbl[[#This Row],[CrudeType]]="Crude",vp.tbl[[#This Row],[Dens]]&gt;900,vp.tbl[[#This Row],[Sulf]]&lt;=0.5,vp.tbl[[#This Row],[Unknown]]=0),1,0)</f>
        <v>0</v>
      </c>
      <c r="AG145" t="str">
        <f>INDEX(vp.tbl[[#Headers],[Unknown]:[Heavy_SW]],MATCH(1,vp.tbl[[#This Row],[Unknown]:[Heavy_SW]],0))</f>
        <v>Medium_LSB</v>
      </c>
      <c r="AH145" t="e">
        <f>INDEX([1]!crudeBD.lkup[Number],MATCH(vp.tbl[[#This Row],[Crude_Breakdown]],[1]!crudeBD.lkup[Crude Breakdown],0))</f>
        <v>#REF!</v>
      </c>
      <c r="AI145">
        <f>MONTH(vp.tbl[[#This Row],[SDate]])</f>
        <v>4</v>
      </c>
      <c r="AJ145" s="5">
        <f>IFERROR(vp.tbl[[#This Row],[Sulf]]*vp.tbl[[#This Row],[Net Dens]],"")</f>
        <v>2757601.5667200005</v>
      </c>
      <c r="AK145" s="5">
        <f>IFERROR(vp.tbl[[#This Row],[Dens]]*vp.tbl[[#This Row],[VolumeM3]],"")</f>
        <v>2089092.0960000001</v>
      </c>
      <c r="AL145" s="5">
        <f>IFERROR(vp.tbl[[#This Row],[VP]]*vp.tbl[[#This Row],[VolumeM3]],"")</f>
        <v>194127.8976</v>
      </c>
      <c r="AM145" s="4">
        <f>IFERROR((vp.tbl[[#This Row],[VP]]-INDEX(crudeBD.lkup.complete[Mean_VP],MATCH(vp.tbl[[#This Row],[Crude_Breakdown]],crudeBD.lkup.complete[Crude Breakdown],0)))^2,"")</f>
        <v>1.8867630501521258</v>
      </c>
      <c r="AN145" s="4">
        <f>IFERROR((vp.tbl[[#This Row],[Dens]]-INDEX(crudeBD.lkup.complete[Mean_Dens],MATCH(vp.tbl[[#This Row],[Crude_Breakdown]],crudeBD.lkup.complete[Crude Breakdown],0)))^2,"")</f>
        <v>7.334223828878911</v>
      </c>
      <c r="AO145" s="4">
        <f>IFERROR((vp.tbl[[#This Row],[Sulf]]-INDEX(crudeBD.lkup.complete[Mean_Sulf],MATCH(vp.tbl[[#This Row],[Crude_Breakdown]],crudeBD.lkup.complete[Crude Breakdown],0)))^2,"")</f>
        <v>1.8206067324576733E-2</v>
      </c>
      <c r="AP145">
        <f>IF(AND(vp.tbl[[#This Row],[SDate]]&gt;=DATE(YEAR(vp.tbl[[#This Row],[SDate]]),5,1),vp.tbl[[#This Row],[SDate]]&lt;=DATE(YEAR(vp.tbl[[#This Row],[SDate]]),9,15)),1,0)</f>
        <v>0</v>
      </c>
      <c r="AQ145" s="15">
        <f>IF(vp.tbl[[#This Row],[SDate]]&lt;DATE(2016,12,1),0,1)</f>
        <v>0</v>
      </c>
    </row>
    <row r="146" spans="1:43" x14ac:dyDescent="0.25">
      <c r="A146">
        <v>145</v>
      </c>
      <c r="B146" t="s">
        <v>60</v>
      </c>
      <c r="C146" t="s">
        <v>60</v>
      </c>
      <c r="D146" t="s">
        <v>61</v>
      </c>
      <c r="E146" t="s">
        <v>55</v>
      </c>
      <c r="F146" s="1">
        <v>42478</v>
      </c>
      <c r="G146" s="2">
        <v>93.4</v>
      </c>
      <c r="H146" s="2"/>
      <c r="I146" s="2">
        <v>1.1499999999999999</v>
      </c>
      <c r="J146" s="2"/>
      <c r="K146" s="2"/>
      <c r="L146" s="2">
        <v>831</v>
      </c>
      <c r="M146" s="2">
        <v>831</v>
      </c>
      <c r="N146" s="2">
        <f ca="1">INDEX(INDIRECT(_xlfn.CONCAT("weather.tbl[",N$1,"]")),MATCH(vp.tbl[[#This Row],[SDate]],weather.tbl[Date],0))</f>
        <v>8.0499999999999989</v>
      </c>
      <c r="O146" s="2">
        <f ca="1">INDEX(INDIRECT(_xlfn.CONCAT("weather.tbl[",O$1,"]")),MATCH(vp.tbl[[#This Row],[SDate]],weather.tbl[Date],0))</f>
        <v>6.8285714285714283</v>
      </c>
      <c r="P146" s="2">
        <f ca="1">INDEX(INDIRECT(_xlfn.CONCAT("weather.tbl[",P$1,"]")),MATCH(vp.tbl[[#This Row],[SDate]],weather.tbl[Date],0))</f>
        <v>7.7</v>
      </c>
      <c r="Q146" s="2">
        <f ca="1">INDEX(INDIRECT(_xlfn.CONCAT("weather.tbl[",Q$1,"]")),MATCH(vp.tbl[[#This Row],[SDate]],weather.tbl[Date],0))</f>
        <v>7.7</v>
      </c>
      <c r="R146" s="2">
        <f ca="1">INDEX(INDIRECT(_xlfn.CONCAT("weather.tbl[",R$1,"]")),MATCH(vp.tbl[[#This Row],[SDate]],weather.tbl[Date],0))</f>
        <v>7.8</v>
      </c>
      <c r="S146" s="2">
        <f ca="1">INDEX(INDIRECT(_xlfn.CONCAT("weather.tbl[",S$1,"]")),MATCH(vp.tbl[[#This Row],[SDate]],weather.tbl[Date],0))</f>
        <v>8.5</v>
      </c>
      <c r="T146" s="2">
        <f ca="1">INDEX(INDIRECT(_xlfn.CONCAT("weather.tbl[",T$1,"]")),MATCH(vp.tbl[[#This Row],[SDate]],weather.tbl[Date],0))</f>
        <v>8.8000000000000007</v>
      </c>
      <c r="U146" s="2">
        <f ca="1">INDEX(INDIRECT(_xlfn.CONCAT("weather.tbl[",U$1,"]")),MATCH(vp.tbl[[#This Row],[SDate]],weather.tbl[Date],0))</f>
        <v>7.8</v>
      </c>
      <c r="V146" s="2">
        <v>104990.086</v>
      </c>
      <c r="W146" t="s">
        <v>48</v>
      </c>
      <c r="X146">
        <f>IF(OR(vp.tbl[[#This Row],[Sulf]]="",vp.tbl[[#This Row],[Dens]]=""),1,0)</f>
        <v>0</v>
      </c>
      <c r="Y146">
        <f>IF(vp.tbl[[#This Row],[CrudeType]]="C5+",1,0)</f>
        <v>0</v>
      </c>
      <c r="Z146">
        <f>IF(AND(vp.tbl[[#This Row],[CrudeType]]="Crude",vp.tbl[[#This Row],[Dens]]&lt;=825,vp.tbl[[#This Row],[Sulf]]&gt;0.5,vp.tbl[[#This Row],[Unknown]]=0),1,0)</f>
        <v>0</v>
      </c>
      <c r="AA146">
        <f>IF(AND(vp.tbl[[#This Row],[CrudeType]]="Crude",vp.tbl[[#This Row],[Dens]]&lt;=825,vp.tbl[[#This Row],[Sulf]]&lt;=0.5,vp.tbl[[#This Row],[Unknown]]=0),1,0)</f>
        <v>0</v>
      </c>
      <c r="AB146">
        <f>IF(AND(vp.tbl[[#This Row],[CrudeType]]="Crude",vp.tbl[[#This Row],[Dens]]&gt;825,vp.tbl[[#This Row],[Dens]]&lt;=870,vp.tbl[[#This Row],[Sulf]]&gt;0.5,vp.tbl[[#This Row],[Unknown]]=0),1,0)</f>
        <v>1</v>
      </c>
      <c r="AC146">
        <f>IF(AND(vp.tbl[[#This Row],[CrudeType]]="Crude",vp.tbl[[#This Row],[Dens]]&gt;825,vp.tbl[[#This Row],[Dens]]&lt;=900,vp.tbl[[#This Row],[Sulf]]&lt;=0.5,vp.tbl[[#This Row],[Unknown]]=0),1,0)</f>
        <v>0</v>
      </c>
      <c r="AD146">
        <f>IF(AND(vp.tbl[[#This Row],[CrudeType]]="Crude",vp.tbl[[#This Row],[Dens]]&gt;870,vp.tbl[[#This Row],[Dens]]&lt;=900,vp.tbl[[#This Row],[Sulf]]&gt;0.5,vp.tbl[[#This Row],[Unknown]]=0),1,0)</f>
        <v>0</v>
      </c>
      <c r="AE146">
        <f>IF(AND(vp.tbl[[#This Row],[CrudeType]]="Crude",vp.tbl[[#This Row],[Dens]]&gt;900,vp.tbl[[#This Row],[Sulf]]&lt;=0.5,vp.tbl[[#This Row],[Unknown]]=0),1,0)</f>
        <v>0</v>
      </c>
      <c r="AF146">
        <f>IF(AND(vp.tbl[[#This Row],[CrudeType]]="Crude",vp.tbl[[#This Row],[Dens]]&gt;900,vp.tbl[[#This Row],[Sulf]]&lt;=0.5,vp.tbl[[#This Row],[Unknown]]=0),1,0)</f>
        <v>0</v>
      </c>
      <c r="AG146" t="str">
        <f>INDEX(vp.tbl[[#Headers],[Unknown]:[Heavy_SW]],MATCH(1,vp.tbl[[#This Row],[Unknown]:[Heavy_SW]],0))</f>
        <v>Medium_LSB</v>
      </c>
      <c r="AH146" t="e">
        <f>INDEX([1]!crudeBD.lkup[Number],MATCH(vp.tbl[[#This Row],[Crude_Breakdown]],[1]!crudeBD.lkup[Crude Breakdown],0))</f>
        <v>#REF!</v>
      </c>
      <c r="AI146">
        <f>MONTH(vp.tbl[[#This Row],[SDate]])</f>
        <v>4</v>
      </c>
      <c r="AJ146" s="5">
        <f>IFERROR(vp.tbl[[#This Row],[Sulf]]*vp.tbl[[#This Row],[Net Dens]],"")</f>
        <v>100333775.68589999</v>
      </c>
      <c r="AK146" s="5">
        <f>IFERROR(vp.tbl[[#This Row],[Dens]]*vp.tbl[[#This Row],[VolumeM3]],"")</f>
        <v>87246761.465999991</v>
      </c>
      <c r="AL146" s="5">
        <f>IFERROR(vp.tbl[[#This Row],[VP]]*vp.tbl[[#This Row],[VolumeM3]],"")</f>
        <v>9806074.0324000008</v>
      </c>
      <c r="AM146" s="4">
        <f>IFERROR((vp.tbl[[#This Row],[VP]]-INDEX(crudeBD.lkup.complete[Mean_VP],MATCH(vp.tbl[[#This Row],[Crude_Breakdown]],crudeBD.lkup.complete[Crude Breakdown],0)))^2,"")</f>
        <v>174.9377908982546</v>
      </c>
      <c r="AN146" s="4">
        <f>IFERROR((vp.tbl[[#This Row],[Dens]]-INDEX(crudeBD.lkup.complete[Mean_Dens],MATCH(vp.tbl[[#This Row],[Crude_Breakdown]],crudeBD.lkup.complete[Crude Breakdown],0)))^2,"")</f>
        <v>204.25619851238974</v>
      </c>
      <c r="AO146" s="4">
        <f>IFERROR((vp.tbl[[#This Row],[Sulf]]-INDEX(crudeBD.lkup.complete[Mean_Sulf],MATCH(vp.tbl[[#This Row],[Crude_Breakdown]],crudeBD.lkup.complete[Crude Breakdown],0)))^2,"")</f>
        <v>9.2982219982805162E-2</v>
      </c>
      <c r="AP146">
        <f>IF(AND(vp.tbl[[#This Row],[SDate]]&gt;=DATE(YEAR(vp.tbl[[#This Row],[SDate]]),5,1),vp.tbl[[#This Row],[SDate]]&lt;=DATE(YEAR(vp.tbl[[#This Row],[SDate]]),9,15)),1,0)</f>
        <v>0</v>
      </c>
      <c r="AQ146" s="15">
        <f>IF(vp.tbl[[#This Row],[SDate]]&lt;DATE(2016,12,1),0,1)</f>
        <v>0</v>
      </c>
    </row>
    <row r="147" spans="1:43" x14ac:dyDescent="0.25">
      <c r="A147">
        <v>146</v>
      </c>
      <c r="B147" t="s">
        <v>49</v>
      </c>
      <c r="C147" t="s">
        <v>49</v>
      </c>
      <c r="D147" t="s">
        <v>67</v>
      </c>
      <c r="F147" s="1">
        <v>42479</v>
      </c>
      <c r="G147" s="2">
        <v>107.7</v>
      </c>
      <c r="H147" s="2"/>
      <c r="I147" s="2">
        <v>0.21</v>
      </c>
      <c r="J147" s="2"/>
      <c r="K147" s="2"/>
      <c r="L147" s="2">
        <v>799.3</v>
      </c>
      <c r="M147" s="2">
        <v>799.3</v>
      </c>
      <c r="N147" s="2">
        <f ca="1">INDEX(INDIRECT(_xlfn.CONCAT("weather.tbl[",N$1,"]")),MATCH(vp.tbl[[#This Row],[SDate]],weather.tbl[Date],0))</f>
        <v>9.4666666666666668</v>
      </c>
      <c r="O147" s="2">
        <f ca="1">INDEX(INDIRECT(_xlfn.CONCAT("weather.tbl[",O$1,"]")),MATCH(vp.tbl[[#This Row],[SDate]],weather.tbl[Date],0))</f>
        <v>7.1357142857142861</v>
      </c>
      <c r="P147" s="2">
        <f ca="1">INDEX(INDIRECT(_xlfn.CONCAT("weather.tbl[",P$1,"]")),MATCH(vp.tbl[[#This Row],[SDate]],weather.tbl[Date],0))</f>
        <v>9</v>
      </c>
      <c r="Q147" s="2">
        <f ca="1">INDEX(INDIRECT(_xlfn.CONCAT("weather.tbl[",Q$1,"]")),MATCH(vp.tbl[[#This Row],[SDate]],weather.tbl[Date],0))</f>
        <v>9</v>
      </c>
      <c r="R147" s="2">
        <f ca="1">INDEX(INDIRECT(_xlfn.CONCAT("weather.tbl[",R$1,"]")),MATCH(vp.tbl[[#This Row],[SDate]],weather.tbl[Date],0))</f>
        <v>7.8</v>
      </c>
      <c r="S147" s="2">
        <f ca="1">INDEX(INDIRECT(_xlfn.CONCAT("weather.tbl[",S$1,"]")),MATCH(vp.tbl[[#This Row],[SDate]],weather.tbl[Date],0))</f>
        <v>11.5</v>
      </c>
      <c r="T147" s="2">
        <f ca="1">INDEX(INDIRECT(_xlfn.CONCAT("weather.tbl[",T$1,"]")),MATCH(vp.tbl[[#This Row],[SDate]],weather.tbl[Date],0))</f>
        <v>9</v>
      </c>
      <c r="U147" s="2">
        <f ca="1">INDEX(INDIRECT(_xlfn.CONCAT("weather.tbl[",U$1,"]")),MATCH(vp.tbl[[#This Row],[SDate]],weather.tbl[Date],0))</f>
        <v>10.5</v>
      </c>
      <c r="V147" s="2">
        <v>57873.212</v>
      </c>
      <c r="W147" t="s">
        <v>48</v>
      </c>
      <c r="X147">
        <f>IF(OR(vp.tbl[[#This Row],[Sulf]]="",vp.tbl[[#This Row],[Dens]]=""),1,0)</f>
        <v>0</v>
      </c>
      <c r="Y147">
        <f>IF(vp.tbl[[#This Row],[CrudeType]]="C5+",1,0)</f>
        <v>0</v>
      </c>
      <c r="Z147">
        <f>IF(AND(vp.tbl[[#This Row],[CrudeType]]="Crude",vp.tbl[[#This Row],[Dens]]&lt;=825,vp.tbl[[#This Row],[Sulf]]&gt;0.5,vp.tbl[[#This Row],[Unknown]]=0),1,0)</f>
        <v>0</v>
      </c>
      <c r="AA147">
        <f>IF(AND(vp.tbl[[#This Row],[CrudeType]]="Crude",vp.tbl[[#This Row],[Dens]]&lt;=825,vp.tbl[[#This Row],[Sulf]]&lt;=0.5,vp.tbl[[#This Row],[Unknown]]=0),1,0)</f>
        <v>1</v>
      </c>
      <c r="AB147">
        <f>IF(AND(vp.tbl[[#This Row],[CrudeType]]="Crude",vp.tbl[[#This Row],[Dens]]&gt;825,vp.tbl[[#This Row],[Dens]]&lt;=870,vp.tbl[[#This Row],[Sulf]]&gt;0.5,vp.tbl[[#This Row],[Unknown]]=0),1,0)</f>
        <v>0</v>
      </c>
      <c r="AC147">
        <f>IF(AND(vp.tbl[[#This Row],[CrudeType]]="Crude",vp.tbl[[#This Row],[Dens]]&gt;825,vp.tbl[[#This Row],[Dens]]&lt;=900,vp.tbl[[#This Row],[Sulf]]&lt;=0.5,vp.tbl[[#This Row],[Unknown]]=0),1,0)</f>
        <v>0</v>
      </c>
      <c r="AD147">
        <f>IF(AND(vp.tbl[[#This Row],[CrudeType]]="Crude",vp.tbl[[#This Row],[Dens]]&gt;870,vp.tbl[[#This Row],[Dens]]&lt;=900,vp.tbl[[#This Row],[Sulf]]&gt;0.5,vp.tbl[[#This Row],[Unknown]]=0),1,0)</f>
        <v>0</v>
      </c>
      <c r="AE147">
        <f>IF(AND(vp.tbl[[#This Row],[CrudeType]]="Crude",vp.tbl[[#This Row],[Dens]]&gt;900,vp.tbl[[#This Row],[Sulf]]&lt;=0.5,vp.tbl[[#This Row],[Unknown]]=0),1,0)</f>
        <v>0</v>
      </c>
      <c r="AF147">
        <f>IF(AND(vp.tbl[[#This Row],[CrudeType]]="Crude",vp.tbl[[#This Row],[Dens]]&gt;900,vp.tbl[[#This Row],[Sulf]]&lt;=0.5,vp.tbl[[#This Row],[Unknown]]=0),1,0)</f>
        <v>0</v>
      </c>
      <c r="AG147" t="str">
        <f>INDEX(vp.tbl[[#Headers],[Unknown]:[Heavy_SW]],MATCH(1,vp.tbl[[#This Row],[Unknown]:[Heavy_SW]],0))</f>
        <v>Light_SW</v>
      </c>
      <c r="AH147" t="e">
        <f>INDEX([1]!crudeBD.lkup[Number],MATCH(vp.tbl[[#This Row],[Crude_Breakdown]],[1]!crudeBD.lkup[Crude Breakdown],0))</f>
        <v>#REF!</v>
      </c>
      <c r="AI147">
        <f>MONTH(vp.tbl[[#This Row],[SDate]])</f>
        <v>4</v>
      </c>
      <c r="AJ147" s="5">
        <f>IFERROR(vp.tbl[[#This Row],[Sulf]]*vp.tbl[[#This Row],[Net Dens]],"")</f>
        <v>9714192.2538359985</v>
      </c>
      <c r="AK147" s="5">
        <f>IFERROR(vp.tbl[[#This Row],[Dens]]*vp.tbl[[#This Row],[VolumeM3]],"")</f>
        <v>46258058.351599999</v>
      </c>
      <c r="AL147" s="5">
        <f>IFERROR(vp.tbl[[#This Row],[VP]]*vp.tbl[[#This Row],[VolumeM3]],"")</f>
        <v>6232944.9324000003</v>
      </c>
      <c r="AM147" s="4">
        <f>IFERROR((vp.tbl[[#This Row],[VP]]-INDEX(crudeBD.lkup.complete[Mean_VP],MATCH(vp.tbl[[#This Row],[Crude_Breakdown]],crudeBD.lkup.complete[Crude Breakdown],0)))^2,"")</f>
        <v>229.51299835617866</v>
      </c>
      <c r="AN147" s="4">
        <f>IFERROR((vp.tbl[[#This Row],[Dens]]-INDEX(crudeBD.lkup.complete[Mean_Dens],MATCH(vp.tbl[[#This Row],[Crude_Breakdown]],crudeBD.lkup.complete[Crude Breakdown],0)))^2,"")</f>
        <v>81.207100851045212</v>
      </c>
      <c r="AO147" s="4">
        <f>IFERROR((vp.tbl[[#This Row],[Sulf]]-INDEX(crudeBD.lkup.complete[Mean_Sulf],MATCH(vp.tbl[[#This Row],[Crude_Breakdown]],crudeBD.lkup.complete[Crude Breakdown],0)))^2,"")</f>
        <v>6.8863268899706654E-4</v>
      </c>
      <c r="AP147">
        <f>IF(AND(vp.tbl[[#This Row],[SDate]]&gt;=DATE(YEAR(vp.tbl[[#This Row],[SDate]]),5,1),vp.tbl[[#This Row],[SDate]]&lt;=DATE(YEAR(vp.tbl[[#This Row],[SDate]]),9,15)),1,0)</f>
        <v>0</v>
      </c>
      <c r="AQ147" s="15">
        <f>IF(vp.tbl[[#This Row],[SDate]]&lt;DATE(2016,12,1),0,1)</f>
        <v>0</v>
      </c>
    </row>
    <row r="148" spans="1:43" x14ac:dyDescent="0.25">
      <c r="A148">
        <v>147</v>
      </c>
      <c r="B148" t="s">
        <v>46</v>
      </c>
      <c r="C148" t="s">
        <v>46</v>
      </c>
      <c r="D148" t="s">
        <v>47</v>
      </c>
      <c r="F148" s="1">
        <v>42479</v>
      </c>
      <c r="G148" s="2">
        <v>87.9</v>
      </c>
      <c r="H148" s="2"/>
      <c r="I148" s="2">
        <v>2.41</v>
      </c>
      <c r="J148" s="2"/>
      <c r="K148" s="2"/>
      <c r="L148" s="2">
        <v>868.7</v>
      </c>
      <c r="M148" s="2">
        <v>868.7</v>
      </c>
      <c r="N148" s="2">
        <f ca="1">INDEX(INDIRECT(_xlfn.CONCAT("weather.tbl[",N$1,"]")),MATCH(vp.tbl[[#This Row],[SDate]],weather.tbl[Date],0))</f>
        <v>9.4666666666666668</v>
      </c>
      <c r="O148" s="2">
        <f ca="1">INDEX(INDIRECT(_xlfn.CONCAT("weather.tbl[",O$1,"]")),MATCH(vp.tbl[[#This Row],[SDate]],weather.tbl[Date],0))</f>
        <v>7.1357142857142861</v>
      </c>
      <c r="P148" s="2">
        <f ca="1">INDEX(INDIRECT(_xlfn.CONCAT("weather.tbl[",P$1,"]")),MATCH(vp.tbl[[#This Row],[SDate]],weather.tbl[Date],0))</f>
        <v>9</v>
      </c>
      <c r="Q148" s="2">
        <f ca="1">INDEX(INDIRECT(_xlfn.CONCAT("weather.tbl[",Q$1,"]")),MATCH(vp.tbl[[#This Row],[SDate]],weather.tbl[Date],0))</f>
        <v>9</v>
      </c>
      <c r="R148" s="2">
        <f ca="1">INDEX(INDIRECT(_xlfn.CONCAT("weather.tbl[",R$1,"]")),MATCH(vp.tbl[[#This Row],[SDate]],weather.tbl[Date],0))</f>
        <v>7.8</v>
      </c>
      <c r="S148" s="2">
        <f ca="1">INDEX(INDIRECT(_xlfn.CONCAT("weather.tbl[",S$1,"]")),MATCH(vp.tbl[[#This Row],[SDate]],weather.tbl[Date],0))</f>
        <v>11.5</v>
      </c>
      <c r="T148" s="2">
        <f ca="1">INDEX(INDIRECT(_xlfn.CONCAT("weather.tbl[",T$1,"]")),MATCH(vp.tbl[[#This Row],[SDate]],weather.tbl[Date],0))</f>
        <v>9</v>
      </c>
      <c r="U148" s="2">
        <f ca="1">INDEX(INDIRECT(_xlfn.CONCAT("weather.tbl[",U$1,"]")),MATCH(vp.tbl[[#This Row],[SDate]],weather.tbl[Date],0))</f>
        <v>10.5</v>
      </c>
      <c r="V148" s="2">
        <v>113007.879</v>
      </c>
      <c r="W148" t="s">
        <v>48</v>
      </c>
      <c r="X148">
        <f>IF(OR(vp.tbl[[#This Row],[Sulf]]="",vp.tbl[[#This Row],[Dens]]=""),1,0)</f>
        <v>0</v>
      </c>
      <c r="Y148">
        <f>IF(vp.tbl[[#This Row],[CrudeType]]="C5+",1,0)</f>
        <v>0</v>
      </c>
      <c r="Z148">
        <f>IF(AND(vp.tbl[[#This Row],[CrudeType]]="Crude",vp.tbl[[#This Row],[Dens]]&lt;=825,vp.tbl[[#This Row],[Sulf]]&gt;0.5,vp.tbl[[#This Row],[Unknown]]=0),1,0)</f>
        <v>0</v>
      </c>
      <c r="AA148">
        <f>IF(AND(vp.tbl[[#This Row],[CrudeType]]="Crude",vp.tbl[[#This Row],[Dens]]&lt;=825,vp.tbl[[#This Row],[Sulf]]&lt;=0.5,vp.tbl[[#This Row],[Unknown]]=0),1,0)</f>
        <v>0</v>
      </c>
      <c r="AB148">
        <f>IF(AND(vp.tbl[[#This Row],[CrudeType]]="Crude",vp.tbl[[#This Row],[Dens]]&gt;825,vp.tbl[[#This Row],[Dens]]&lt;=870,vp.tbl[[#This Row],[Sulf]]&gt;0.5,vp.tbl[[#This Row],[Unknown]]=0),1,0)</f>
        <v>1</v>
      </c>
      <c r="AC148">
        <f>IF(AND(vp.tbl[[#This Row],[CrudeType]]="Crude",vp.tbl[[#This Row],[Dens]]&gt;825,vp.tbl[[#This Row],[Dens]]&lt;=900,vp.tbl[[#This Row],[Sulf]]&lt;=0.5,vp.tbl[[#This Row],[Unknown]]=0),1,0)</f>
        <v>0</v>
      </c>
      <c r="AD148">
        <f>IF(AND(vp.tbl[[#This Row],[CrudeType]]="Crude",vp.tbl[[#This Row],[Dens]]&gt;870,vp.tbl[[#This Row],[Dens]]&lt;=900,vp.tbl[[#This Row],[Sulf]]&gt;0.5,vp.tbl[[#This Row],[Unknown]]=0),1,0)</f>
        <v>0</v>
      </c>
      <c r="AE148">
        <f>IF(AND(vp.tbl[[#This Row],[CrudeType]]="Crude",vp.tbl[[#This Row],[Dens]]&gt;900,vp.tbl[[#This Row],[Sulf]]&lt;=0.5,vp.tbl[[#This Row],[Unknown]]=0),1,0)</f>
        <v>0</v>
      </c>
      <c r="AF148">
        <f>IF(AND(vp.tbl[[#This Row],[CrudeType]]="Crude",vp.tbl[[#This Row],[Dens]]&gt;900,vp.tbl[[#This Row],[Sulf]]&lt;=0.5,vp.tbl[[#This Row],[Unknown]]=0),1,0)</f>
        <v>0</v>
      </c>
      <c r="AG148" t="str">
        <f>INDEX(vp.tbl[[#Headers],[Unknown]:[Heavy_SW]],MATCH(1,vp.tbl[[#This Row],[Unknown]:[Heavy_SW]],0))</f>
        <v>Medium_LSB</v>
      </c>
      <c r="AH148" t="e">
        <f>INDEX([1]!crudeBD.lkup[Number],MATCH(vp.tbl[[#This Row],[Crude_Breakdown]],[1]!crudeBD.lkup[Crude Breakdown],0))</f>
        <v>#REF!</v>
      </c>
      <c r="AI148">
        <f>MONTH(vp.tbl[[#This Row],[SDate]])</f>
        <v>4</v>
      </c>
      <c r="AJ148" s="5">
        <f>IFERROR(vp.tbl[[#This Row],[Sulf]]*vp.tbl[[#This Row],[Net Dens]],"")</f>
        <v>236589566.21439302</v>
      </c>
      <c r="AK148" s="5">
        <f>IFERROR(vp.tbl[[#This Row],[Dens]]*vp.tbl[[#This Row],[VolumeM3]],"")</f>
        <v>98169944.487300009</v>
      </c>
      <c r="AL148" s="5">
        <f>IFERROR(vp.tbl[[#This Row],[VP]]*vp.tbl[[#This Row],[VolumeM3]],"")</f>
        <v>9933392.564100001</v>
      </c>
      <c r="AM148" s="4">
        <f>IFERROR((vp.tbl[[#This Row],[VP]]-INDEX(crudeBD.lkup.complete[Mean_VP],MATCH(vp.tbl[[#This Row],[Crude_Breakdown]],crudeBD.lkup.complete[Crude Breakdown],0)))^2,"")</f>
        <v>59.697335202051612</v>
      </c>
      <c r="AN148" s="4">
        <f>IFERROR((vp.tbl[[#This Row],[Dens]]-INDEX(crudeBD.lkup.complete[Mean_Dens],MATCH(vp.tbl[[#This Row],[Crude_Breakdown]],crudeBD.lkup.complete[Crude Breakdown],0)))^2,"")</f>
        <v>547.94276053778253</v>
      </c>
      <c r="AO148" s="4">
        <f>IFERROR((vp.tbl[[#This Row],[Sulf]]-INDEX(crudeBD.lkup.complete[Mean_Sulf],MATCH(vp.tbl[[#This Row],[Crude_Breakdown]],crudeBD.lkup.complete[Crude Breakdown],0)))^2,"")</f>
        <v>0.91215897086887754</v>
      </c>
      <c r="AP148">
        <f>IF(AND(vp.tbl[[#This Row],[SDate]]&gt;=DATE(YEAR(vp.tbl[[#This Row],[SDate]]),5,1),vp.tbl[[#This Row],[SDate]]&lt;=DATE(YEAR(vp.tbl[[#This Row],[SDate]]),9,15)),1,0)</f>
        <v>0</v>
      </c>
      <c r="AQ148" s="15">
        <f>IF(vp.tbl[[#This Row],[SDate]]&lt;DATE(2016,12,1),0,1)</f>
        <v>0</v>
      </c>
    </row>
    <row r="149" spans="1:43" x14ac:dyDescent="0.25">
      <c r="A149">
        <v>148</v>
      </c>
      <c r="B149" t="s">
        <v>51</v>
      </c>
      <c r="C149" t="s">
        <v>51</v>
      </c>
      <c r="D149" t="s">
        <v>52</v>
      </c>
      <c r="F149" s="1">
        <v>42479</v>
      </c>
      <c r="G149" s="2">
        <v>78.900000000000006</v>
      </c>
      <c r="H149" s="2"/>
      <c r="I149" s="2">
        <v>2.2999999999999998</v>
      </c>
      <c r="J149" s="2"/>
      <c r="K149" s="2"/>
      <c r="L149" s="2">
        <v>871.1</v>
      </c>
      <c r="M149" s="2">
        <v>871.1</v>
      </c>
      <c r="N149" s="2">
        <f ca="1">INDEX(INDIRECT(_xlfn.CONCAT("weather.tbl[",N$1,"]")),MATCH(vp.tbl[[#This Row],[SDate]],weather.tbl[Date],0))</f>
        <v>9.4666666666666668</v>
      </c>
      <c r="O149" s="2">
        <f ca="1">INDEX(INDIRECT(_xlfn.CONCAT("weather.tbl[",O$1,"]")),MATCH(vp.tbl[[#This Row],[SDate]],weather.tbl[Date],0))</f>
        <v>7.1357142857142861</v>
      </c>
      <c r="P149" s="2">
        <f ca="1">INDEX(INDIRECT(_xlfn.CONCAT("weather.tbl[",P$1,"]")),MATCH(vp.tbl[[#This Row],[SDate]],weather.tbl[Date],0))</f>
        <v>9</v>
      </c>
      <c r="Q149" s="2">
        <f ca="1">INDEX(INDIRECT(_xlfn.CONCAT("weather.tbl[",Q$1,"]")),MATCH(vp.tbl[[#This Row],[SDate]],weather.tbl[Date],0))</f>
        <v>9</v>
      </c>
      <c r="R149" s="2">
        <f ca="1">INDEX(INDIRECT(_xlfn.CONCAT("weather.tbl[",R$1,"]")),MATCH(vp.tbl[[#This Row],[SDate]],weather.tbl[Date],0))</f>
        <v>7.8</v>
      </c>
      <c r="S149" s="2">
        <f ca="1">INDEX(INDIRECT(_xlfn.CONCAT("weather.tbl[",S$1,"]")),MATCH(vp.tbl[[#This Row],[SDate]],weather.tbl[Date],0))</f>
        <v>11.5</v>
      </c>
      <c r="T149" s="2">
        <f ca="1">INDEX(INDIRECT(_xlfn.CONCAT("weather.tbl[",T$1,"]")),MATCH(vp.tbl[[#This Row],[SDate]],weather.tbl[Date],0))</f>
        <v>9</v>
      </c>
      <c r="U149" s="2">
        <f ca="1">INDEX(INDIRECT(_xlfn.CONCAT("weather.tbl[",U$1,"]")),MATCH(vp.tbl[[#This Row],[SDate]],weather.tbl[Date],0))</f>
        <v>10.5</v>
      </c>
      <c r="V149" s="2">
        <v>7709.2969999999996</v>
      </c>
      <c r="W149" t="s">
        <v>48</v>
      </c>
      <c r="X149">
        <f>IF(OR(vp.tbl[[#This Row],[Sulf]]="",vp.tbl[[#This Row],[Dens]]=""),1,0)</f>
        <v>0</v>
      </c>
      <c r="Y149">
        <f>IF(vp.tbl[[#This Row],[CrudeType]]="C5+",1,0)</f>
        <v>0</v>
      </c>
      <c r="Z149">
        <f>IF(AND(vp.tbl[[#This Row],[CrudeType]]="Crude",vp.tbl[[#This Row],[Dens]]&lt;=825,vp.tbl[[#This Row],[Sulf]]&gt;0.5,vp.tbl[[#This Row],[Unknown]]=0),1,0)</f>
        <v>0</v>
      </c>
      <c r="AA149">
        <f>IF(AND(vp.tbl[[#This Row],[CrudeType]]="Crude",vp.tbl[[#This Row],[Dens]]&lt;=825,vp.tbl[[#This Row],[Sulf]]&lt;=0.5,vp.tbl[[#This Row],[Unknown]]=0),1,0)</f>
        <v>0</v>
      </c>
      <c r="AB149">
        <f>IF(AND(vp.tbl[[#This Row],[CrudeType]]="Crude",vp.tbl[[#This Row],[Dens]]&gt;825,vp.tbl[[#This Row],[Dens]]&lt;=870,vp.tbl[[#This Row],[Sulf]]&gt;0.5,vp.tbl[[#This Row],[Unknown]]=0),1,0)</f>
        <v>0</v>
      </c>
      <c r="AC149">
        <f>IF(AND(vp.tbl[[#This Row],[CrudeType]]="Crude",vp.tbl[[#This Row],[Dens]]&gt;825,vp.tbl[[#This Row],[Dens]]&lt;=900,vp.tbl[[#This Row],[Sulf]]&lt;=0.5,vp.tbl[[#This Row],[Unknown]]=0),1,0)</f>
        <v>0</v>
      </c>
      <c r="AD149">
        <f>IF(AND(vp.tbl[[#This Row],[CrudeType]]="Crude",vp.tbl[[#This Row],[Dens]]&gt;870,vp.tbl[[#This Row],[Dens]]&lt;=900,vp.tbl[[#This Row],[Sulf]]&gt;0.5,vp.tbl[[#This Row],[Unknown]]=0),1,0)</f>
        <v>1</v>
      </c>
      <c r="AE149">
        <f>IF(AND(vp.tbl[[#This Row],[CrudeType]]="Crude",vp.tbl[[#This Row],[Dens]]&gt;900,vp.tbl[[#This Row],[Sulf]]&lt;=0.5,vp.tbl[[#This Row],[Unknown]]=0),1,0)</f>
        <v>0</v>
      </c>
      <c r="AF149">
        <f>IF(AND(vp.tbl[[#This Row],[CrudeType]]="Crude",vp.tbl[[#This Row],[Dens]]&gt;900,vp.tbl[[#This Row],[Sulf]]&lt;=0.5,vp.tbl[[#This Row],[Unknown]]=0),1,0)</f>
        <v>0</v>
      </c>
      <c r="AG149" t="str">
        <f>INDEX(vp.tbl[[#Headers],[Unknown]:[Heavy_SW]],MATCH(1,vp.tbl[[#This Row],[Unknown]:[Heavy_SW]],0))</f>
        <v>Midale</v>
      </c>
      <c r="AH149" t="e">
        <f>INDEX([1]!crudeBD.lkup[Number],MATCH(vp.tbl[[#This Row],[Crude_Breakdown]],[1]!crudeBD.lkup[Crude Breakdown],0))</f>
        <v>#REF!</v>
      </c>
      <c r="AI149">
        <f>MONTH(vp.tbl[[#This Row],[SDate]])</f>
        <v>4</v>
      </c>
      <c r="AJ149" s="5">
        <f>IFERROR(vp.tbl[[#This Row],[Sulf]]*vp.tbl[[#This Row],[Net Dens]],"")</f>
        <v>15445807.81841</v>
      </c>
      <c r="AK149" s="5">
        <f>IFERROR(vp.tbl[[#This Row],[Dens]]*vp.tbl[[#This Row],[VolumeM3]],"")</f>
        <v>6715568.6167000001</v>
      </c>
      <c r="AL149" s="5">
        <f>IFERROR(vp.tbl[[#This Row],[VP]]*vp.tbl[[#This Row],[VolumeM3]],"")</f>
        <v>608263.53330000001</v>
      </c>
      <c r="AM149" s="4">
        <f>IFERROR((vp.tbl[[#This Row],[VP]]-INDEX(crudeBD.lkup.complete[Mean_VP],MATCH(vp.tbl[[#This Row],[Crude_Breakdown]],crudeBD.lkup.complete[Crude Breakdown],0)))^2,"")</f>
        <v>113.67064927753785</v>
      </c>
      <c r="AN149" s="4">
        <f>IFERROR((vp.tbl[[#This Row],[Dens]]-INDEX(crudeBD.lkup.complete[Mean_Dens],MATCH(vp.tbl[[#This Row],[Crude_Breakdown]],crudeBD.lkup.complete[Crude Breakdown],0)))^2,"")</f>
        <v>41.629011071491391</v>
      </c>
      <c r="AO149" s="4">
        <f>IFERROR((vp.tbl[[#This Row],[Sulf]]-INDEX(crudeBD.lkup.complete[Mean_Sulf],MATCH(vp.tbl[[#This Row],[Crude_Breakdown]],crudeBD.lkup.complete[Crude Breakdown],0)))^2,"")</f>
        <v>1.3303347200018519E-2</v>
      </c>
      <c r="AP149">
        <f>IF(AND(vp.tbl[[#This Row],[SDate]]&gt;=DATE(YEAR(vp.tbl[[#This Row],[SDate]]),5,1),vp.tbl[[#This Row],[SDate]]&lt;=DATE(YEAR(vp.tbl[[#This Row],[SDate]]),9,15)),1,0)</f>
        <v>0</v>
      </c>
      <c r="AQ149" s="15">
        <f>IF(vp.tbl[[#This Row],[SDate]]&lt;DATE(2016,12,1),0,1)</f>
        <v>0</v>
      </c>
    </row>
    <row r="150" spans="1:43" x14ac:dyDescent="0.25">
      <c r="A150">
        <v>149</v>
      </c>
      <c r="B150" t="s">
        <v>49</v>
      </c>
      <c r="C150" t="s">
        <v>49</v>
      </c>
      <c r="D150" t="s">
        <v>50</v>
      </c>
      <c r="F150" s="1">
        <v>42479</v>
      </c>
      <c r="G150" s="2">
        <v>59.6</v>
      </c>
      <c r="H150" s="2"/>
      <c r="I150" s="2">
        <v>2.59</v>
      </c>
      <c r="J150" s="2"/>
      <c r="K150" s="2"/>
      <c r="L150" s="2">
        <v>881.4</v>
      </c>
      <c r="M150" s="2">
        <v>881.4</v>
      </c>
      <c r="N150" s="2">
        <f ca="1">INDEX(INDIRECT(_xlfn.CONCAT("weather.tbl[",N$1,"]")),MATCH(vp.tbl[[#This Row],[SDate]],weather.tbl[Date],0))</f>
        <v>9.4666666666666668</v>
      </c>
      <c r="O150" s="2">
        <f ca="1">INDEX(INDIRECT(_xlfn.CONCAT("weather.tbl[",O$1,"]")),MATCH(vp.tbl[[#This Row],[SDate]],weather.tbl[Date],0))</f>
        <v>7.1357142857142861</v>
      </c>
      <c r="P150" s="2">
        <f ca="1">INDEX(INDIRECT(_xlfn.CONCAT("weather.tbl[",P$1,"]")),MATCH(vp.tbl[[#This Row],[SDate]],weather.tbl[Date],0))</f>
        <v>9</v>
      </c>
      <c r="Q150" s="2">
        <f ca="1">INDEX(INDIRECT(_xlfn.CONCAT("weather.tbl[",Q$1,"]")),MATCH(vp.tbl[[#This Row],[SDate]],weather.tbl[Date],0))</f>
        <v>9</v>
      </c>
      <c r="R150" s="2">
        <f ca="1">INDEX(INDIRECT(_xlfn.CONCAT("weather.tbl[",R$1,"]")),MATCH(vp.tbl[[#This Row],[SDate]],weather.tbl[Date],0))</f>
        <v>7.8</v>
      </c>
      <c r="S150" s="2">
        <f ca="1">INDEX(INDIRECT(_xlfn.CONCAT("weather.tbl[",S$1,"]")),MATCH(vp.tbl[[#This Row],[SDate]],weather.tbl[Date],0))</f>
        <v>11.5</v>
      </c>
      <c r="T150" s="2">
        <f ca="1">INDEX(INDIRECT(_xlfn.CONCAT("weather.tbl[",T$1,"]")),MATCH(vp.tbl[[#This Row],[SDate]],weather.tbl[Date],0))</f>
        <v>9</v>
      </c>
      <c r="U150" s="2">
        <f ca="1">INDEX(INDIRECT(_xlfn.CONCAT("weather.tbl[",U$1,"]")),MATCH(vp.tbl[[#This Row],[SDate]],weather.tbl[Date],0))</f>
        <v>10.5</v>
      </c>
      <c r="V150" s="2">
        <v>8132.3109999999997</v>
      </c>
      <c r="W150" t="s">
        <v>48</v>
      </c>
      <c r="X150">
        <f>IF(OR(vp.tbl[[#This Row],[Sulf]]="",vp.tbl[[#This Row],[Dens]]=""),1,0)</f>
        <v>0</v>
      </c>
      <c r="Y150">
        <f>IF(vp.tbl[[#This Row],[CrudeType]]="C5+",1,0)</f>
        <v>0</v>
      </c>
      <c r="Z150">
        <f>IF(AND(vp.tbl[[#This Row],[CrudeType]]="Crude",vp.tbl[[#This Row],[Dens]]&lt;=825,vp.tbl[[#This Row],[Sulf]]&gt;0.5,vp.tbl[[#This Row],[Unknown]]=0),1,0)</f>
        <v>0</v>
      </c>
      <c r="AA150">
        <f>IF(AND(vp.tbl[[#This Row],[CrudeType]]="Crude",vp.tbl[[#This Row],[Dens]]&lt;=825,vp.tbl[[#This Row],[Sulf]]&lt;=0.5,vp.tbl[[#This Row],[Unknown]]=0),1,0)</f>
        <v>0</v>
      </c>
      <c r="AB150">
        <f>IF(AND(vp.tbl[[#This Row],[CrudeType]]="Crude",vp.tbl[[#This Row],[Dens]]&gt;825,vp.tbl[[#This Row],[Dens]]&lt;=870,vp.tbl[[#This Row],[Sulf]]&gt;0.5,vp.tbl[[#This Row],[Unknown]]=0),1,0)</f>
        <v>0</v>
      </c>
      <c r="AC150">
        <f>IF(AND(vp.tbl[[#This Row],[CrudeType]]="Crude",vp.tbl[[#This Row],[Dens]]&gt;825,vp.tbl[[#This Row],[Dens]]&lt;=900,vp.tbl[[#This Row],[Sulf]]&lt;=0.5,vp.tbl[[#This Row],[Unknown]]=0),1,0)</f>
        <v>0</v>
      </c>
      <c r="AD150">
        <f>IF(AND(vp.tbl[[#This Row],[CrudeType]]="Crude",vp.tbl[[#This Row],[Dens]]&gt;870,vp.tbl[[#This Row],[Dens]]&lt;=900,vp.tbl[[#This Row],[Sulf]]&gt;0.5,vp.tbl[[#This Row],[Unknown]]=0),1,0)</f>
        <v>1</v>
      </c>
      <c r="AE150">
        <f>IF(AND(vp.tbl[[#This Row],[CrudeType]]="Crude",vp.tbl[[#This Row],[Dens]]&gt;900,vp.tbl[[#This Row],[Sulf]]&lt;=0.5,vp.tbl[[#This Row],[Unknown]]=0),1,0)</f>
        <v>0</v>
      </c>
      <c r="AF150">
        <f>IF(AND(vp.tbl[[#This Row],[CrudeType]]="Crude",vp.tbl[[#This Row],[Dens]]&gt;900,vp.tbl[[#This Row],[Sulf]]&lt;=0.5,vp.tbl[[#This Row],[Unknown]]=0),1,0)</f>
        <v>0</v>
      </c>
      <c r="AG150" t="str">
        <f>INDEX(vp.tbl[[#Headers],[Unknown]:[Heavy_SW]],MATCH(1,vp.tbl[[#This Row],[Unknown]:[Heavy_SW]],0))</f>
        <v>Midale</v>
      </c>
      <c r="AH150" t="e">
        <f>INDEX([1]!crudeBD.lkup[Number],MATCH(vp.tbl[[#This Row],[Crude_Breakdown]],[1]!crudeBD.lkup[Crude Breakdown],0))</f>
        <v>#REF!</v>
      </c>
      <c r="AI150">
        <f>MONTH(vp.tbl[[#This Row],[SDate]])</f>
        <v>4</v>
      </c>
      <c r="AJ150" s="5">
        <f>IFERROR(vp.tbl[[#This Row],[Sulf]]*vp.tbl[[#This Row],[Net Dens]],"")</f>
        <v>18564650.990885999</v>
      </c>
      <c r="AK150" s="5">
        <f>IFERROR(vp.tbl[[#This Row],[Dens]]*vp.tbl[[#This Row],[VolumeM3]],"")</f>
        <v>7167818.9153999994</v>
      </c>
      <c r="AL150" s="5">
        <f>IFERROR(vp.tbl[[#This Row],[VP]]*vp.tbl[[#This Row],[VolumeM3]],"")</f>
        <v>484685.73560000001</v>
      </c>
      <c r="AM150" s="4">
        <f>IFERROR((vp.tbl[[#This Row],[VP]]-INDEX(crudeBD.lkup.complete[Mean_VP],MATCH(vp.tbl[[#This Row],[Crude_Breakdown]],crudeBD.lkup.complete[Crude Breakdown],0)))^2,"")</f>
        <v>74.621197222743675</v>
      </c>
      <c r="AN150" s="4">
        <f>IFERROR((vp.tbl[[#This Row],[Dens]]-INDEX(crudeBD.lkup.complete[Mean_Dens],MATCH(vp.tbl[[#This Row],[Crude_Breakdown]],crudeBD.lkup.complete[Crude Breakdown],0)))^2,"")</f>
        <v>14.806682304374457</v>
      </c>
      <c r="AO150" s="4">
        <f>IFERROR((vp.tbl[[#This Row],[Sulf]]-INDEX(crudeBD.lkup.complete[Mean_Sulf],MATCH(vp.tbl[[#This Row],[Crude_Breakdown]],crudeBD.lkup.complete[Crude Breakdown],0)))^2,"")</f>
        <v>3.0506067747964355E-2</v>
      </c>
      <c r="AP150">
        <f>IF(AND(vp.tbl[[#This Row],[SDate]]&gt;=DATE(YEAR(vp.tbl[[#This Row],[SDate]]),5,1),vp.tbl[[#This Row],[SDate]]&lt;=DATE(YEAR(vp.tbl[[#This Row],[SDate]]),9,15)),1,0)</f>
        <v>0</v>
      </c>
      <c r="AQ150" s="15">
        <f>IF(vp.tbl[[#This Row],[SDate]]&lt;DATE(2016,12,1),0,1)</f>
        <v>0</v>
      </c>
    </row>
    <row r="151" spans="1:43" x14ac:dyDescent="0.25">
      <c r="A151">
        <v>150</v>
      </c>
      <c r="B151" t="s">
        <v>62</v>
      </c>
      <c r="C151" t="s">
        <v>62</v>
      </c>
      <c r="D151" t="s">
        <v>63</v>
      </c>
      <c r="F151" s="1">
        <v>42480</v>
      </c>
      <c r="G151" s="2">
        <v>109.4</v>
      </c>
      <c r="H151" s="2"/>
      <c r="I151" s="2">
        <v>1.26</v>
      </c>
      <c r="J151" s="2"/>
      <c r="K151" s="2"/>
      <c r="L151" s="2">
        <v>792</v>
      </c>
      <c r="M151" s="2">
        <v>792</v>
      </c>
      <c r="N151" s="2">
        <f ca="1">INDEX(INDIRECT(_xlfn.CONCAT("weather.tbl[",N$1,"]")),MATCH(vp.tbl[[#This Row],[SDate]],weather.tbl[Date],0))</f>
        <v>13.200000000000001</v>
      </c>
      <c r="O151" s="2">
        <f ca="1">INDEX(INDIRECT(_xlfn.CONCAT("weather.tbl[",O$1,"]")),MATCH(vp.tbl[[#This Row],[SDate]],weather.tbl[Date],0))</f>
        <v>7.5238095238095246</v>
      </c>
      <c r="P151" s="2">
        <f ca="1">INDEX(INDIRECT(_xlfn.CONCAT("weather.tbl[",P$1,"]")),MATCH(vp.tbl[[#This Row],[SDate]],weather.tbl[Date],0))</f>
        <v>12.5</v>
      </c>
      <c r="Q151" s="2">
        <f ca="1">INDEX(INDIRECT(_xlfn.CONCAT("weather.tbl[",Q$1,"]")),MATCH(vp.tbl[[#This Row],[SDate]],weather.tbl[Date],0))</f>
        <v>12.4</v>
      </c>
      <c r="R151" s="2">
        <f ca="1">INDEX(INDIRECT(_xlfn.CONCAT("weather.tbl[",R$1,"]")),MATCH(vp.tbl[[#This Row],[SDate]],weather.tbl[Date],0))</f>
        <v>12.5</v>
      </c>
      <c r="S151" s="2">
        <f ca="1">INDEX(INDIRECT(_xlfn.CONCAT("weather.tbl[",S$1,"]")),MATCH(vp.tbl[[#This Row],[SDate]],weather.tbl[Date],0))</f>
        <v>13.5</v>
      </c>
      <c r="T151" s="2">
        <f ca="1">INDEX(INDIRECT(_xlfn.CONCAT("weather.tbl[",T$1,"]")),MATCH(vp.tbl[[#This Row],[SDate]],weather.tbl[Date],0))</f>
        <v>14.5</v>
      </c>
      <c r="U151" s="2">
        <f ca="1">INDEX(INDIRECT(_xlfn.CONCAT("weather.tbl[",U$1,"]")),MATCH(vp.tbl[[#This Row],[SDate]],weather.tbl[Date],0))</f>
        <v>13.8</v>
      </c>
      <c r="V151" s="2">
        <v>6136.5</v>
      </c>
      <c r="W151" t="s">
        <v>48</v>
      </c>
      <c r="X151">
        <f>IF(OR(vp.tbl[[#This Row],[Sulf]]="",vp.tbl[[#This Row],[Dens]]=""),1,0)</f>
        <v>0</v>
      </c>
      <c r="Y151">
        <f>IF(vp.tbl[[#This Row],[CrudeType]]="C5+",1,0)</f>
        <v>0</v>
      </c>
      <c r="Z151">
        <f>IF(AND(vp.tbl[[#This Row],[CrudeType]]="Crude",vp.tbl[[#This Row],[Dens]]&lt;=825,vp.tbl[[#This Row],[Sulf]]&gt;0.5,vp.tbl[[#This Row],[Unknown]]=0),1,0)</f>
        <v>1</v>
      </c>
      <c r="AA151">
        <f>IF(AND(vp.tbl[[#This Row],[CrudeType]]="Crude",vp.tbl[[#This Row],[Dens]]&lt;=825,vp.tbl[[#This Row],[Sulf]]&lt;=0.5,vp.tbl[[#This Row],[Unknown]]=0),1,0)</f>
        <v>0</v>
      </c>
      <c r="AB151">
        <f>IF(AND(vp.tbl[[#This Row],[CrudeType]]="Crude",vp.tbl[[#This Row],[Dens]]&gt;825,vp.tbl[[#This Row],[Dens]]&lt;=870,vp.tbl[[#This Row],[Sulf]]&gt;0.5,vp.tbl[[#This Row],[Unknown]]=0),1,0)</f>
        <v>0</v>
      </c>
      <c r="AC151">
        <f>IF(AND(vp.tbl[[#This Row],[CrudeType]]="Crude",vp.tbl[[#This Row],[Dens]]&gt;825,vp.tbl[[#This Row],[Dens]]&lt;=900,vp.tbl[[#This Row],[Sulf]]&lt;=0.5,vp.tbl[[#This Row],[Unknown]]=0),1,0)</f>
        <v>0</v>
      </c>
      <c r="AD151">
        <f>IF(AND(vp.tbl[[#This Row],[CrudeType]]="Crude",vp.tbl[[#This Row],[Dens]]&gt;870,vp.tbl[[#This Row],[Dens]]&lt;=900,vp.tbl[[#This Row],[Sulf]]&gt;0.5,vp.tbl[[#This Row],[Unknown]]=0),1,0)</f>
        <v>0</v>
      </c>
      <c r="AE151">
        <f>IF(AND(vp.tbl[[#This Row],[CrudeType]]="Crude",vp.tbl[[#This Row],[Dens]]&gt;900,vp.tbl[[#This Row],[Sulf]]&lt;=0.5,vp.tbl[[#This Row],[Unknown]]=0),1,0)</f>
        <v>0</v>
      </c>
      <c r="AF151">
        <f>IF(AND(vp.tbl[[#This Row],[CrudeType]]="Crude",vp.tbl[[#This Row],[Dens]]&gt;900,vp.tbl[[#This Row],[Sulf]]&lt;=0.5,vp.tbl[[#This Row],[Unknown]]=0),1,0)</f>
        <v>0</v>
      </c>
      <c r="AG151" t="str">
        <f>INDEX(vp.tbl[[#Headers],[Unknown]:[Heavy_SW]],MATCH(1,vp.tbl[[#This Row],[Unknown]:[Heavy_SW]],0))</f>
        <v>Light_LSB</v>
      </c>
      <c r="AH151" t="e">
        <f>INDEX([1]!crudeBD.lkup[Number],MATCH(vp.tbl[[#This Row],[Crude_Breakdown]],[1]!crudeBD.lkup[Crude Breakdown],0))</f>
        <v>#REF!</v>
      </c>
      <c r="AI151">
        <f>MONTH(vp.tbl[[#This Row],[SDate]])</f>
        <v>4</v>
      </c>
      <c r="AJ151" s="5">
        <f>IFERROR(vp.tbl[[#This Row],[Sulf]]*vp.tbl[[#This Row],[Net Dens]],"")</f>
        <v>6123736.0800000001</v>
      </c>
      <c r="AK151" s="5">
        <f>IFERROR(vp.tbl[[#This Row],[Dens]]*vp.tbl[[#This Row],[VolumeM3]],"")</f>
        <v>4860108</v>
      </c>
      <c r="AL151" s="5">
        <f>IFERROR(vp.tbl[[#This Row],[VP]]*vp.tbl[[#This Row],[VolumeM3]],"")</f>
        <v>671333.1</v>
      </c>
      <c r="AM151" s="4">
        <f>IFERROR((vp.tbl[[#This Row],[VP]]-INDEX(crudeBD.lkup.complete[Mean_VP],MATCH(vp.tbl[[#This Row],[Crude_Breakdown]],crudeBD.lkup.complete[Crude Breakdown],0)))^2,"")</f>
        <v>318.75868980763011</v>
      </c>
      <c r="AN151" s="4">
        <f>IFERROR((vp.tbl[[#This Row],[Dens]]-INDEX(crudeBD.lkup.complete[Mean_Dens],MATCH(vp.tbl[[#This Row],[Crude_Breakdown]],crudeBD.lkup.complete[Crude Breakdown],0)))^2,"")</f>
        <v>703.13907847567441</v>
      </c>
      <c r="AO151" s="4">
        <f>IFERROR((vp.tbl[[#This Row],[Sulf]]-INDEX(crudeBD.lkup.complete[Mean_Sulf],MATCH(vp.tbl[[#This Row],[Crude_Breakdown]],crudeBD.lkup.complete[Crude Breakdown],0)))^2,"")</f>
        <v>0.11358843333985327</v>
      </c>
      <c r="AP151">
        <f>IF(AND(vp.tbl[[#This Row],[SDate]]&gt;=DATE(YEAR(vp.tbl[[#This Row],[SDate]]),5,1),vp.tbl[[#This Row],[SDate]]&lt;=DATE(YEAR(vp.tbl[[#This Row],[SDate]]),9,15)),1,0)</f>
        <v>0</v>
      </c>
      <c r="AQ151" s="15">
        <f>IF(vp.tbl[[#This Row],[SDate]]&lt;DATE(2016,12,1),0,1)</f>
        <v>0</v>
      </c>
    </row>
    <row r="152" spans="1:43" x14ac:dyDescent="0.25">
      <c r="A152">
        <v>151</v>
      </c>
      <c r="B152" t="s">
        <v>62</v>
      </c>
      <c r="C152" t="s">
        <v>62</v>
      </c>
      <c r="D152" t="s">
        <v>63</v>
      </c>
      <c r="F152" s="1">
        <v>42480</v>
      </c>
      <c r="G152" s="2">
        <v>107.1</v>
      </c>
      <c r="H152" s="2"/>
      <c r="I152" s="2">
        <v>1.26</v>
      </c>
      <c r="J152" s="2"/>
      <c r="K152" s="2"/>
      <c r="L152" s="2">
        <v>792</v>
      </c>
      <c r="M152" s="2">
        <v>792</v>
      </c>
      <c r="N152" s="2">
        <f ca="1">INDEX(INDIRECT(_xlfn.CONCAT("weather.tbl[",N$1,"]")),MATCH(vp.tbl[[#This Row],[SDate]],weather.tbl[Date],0))</f>
        <v>13.200000000000001</v>
      </c>
      <c r="O152" s="2">
        <f ca="1">INDEX(INDIRECT(_xlfn.CONCAT("weather.tbl[",O$1,"]")),MATCH(vp.tbl[[#This Row],[SDate]],weather.tbl[Date],0))</f>
        <v>7.5238095238095246</v>
      </c>
      <c r="P152" s="2">
        <f ca="1">INDEX(INDIRECT(_xlfn.CONCAT("weather.tbl[",P$1,"]")),MATCH(vp.tbl[[#This Row],[SDate]],weather.tbl[Date],0))</f>
        <v>12.5</v>
      </c>
      <c r="Q152" s="2">
        <f ca="1">INDEX(INDIRECT(_xlfn.CONCAT("weather.tbl[",Q$1,"]")),MATCH(vp.tbl[[#This Row],[SDate]],weather.tbl[Date],0))</f>
        <v>12.4</v>
      </c>
      <c r="R152" s="2">
        <f ca="1">INDEX(INDIRECT(_xlfn.CONCAT("weather.tbl[",R$1,"]")),MATCH(vp.tbl[[#This Row],[SDate]],weather.tbl[Date],0))</f>
        <v>12.5</v>
      </c>
      <c r="S152" s="2">
        <f ca="1">INDEX(INDIRECT(_xlfn.CONCAT("weather.tbl[",S$1,"]")),MATCH(vp.tbl[[#This Row],[SDate]],weather.tbl[Date],0))</f>
        <v>13.5</v>
      </c>
      <c r="T152" s="2">
        <f ca="1">INDEX(INDIRECT(_xlfn.CONCAT("weather.tbl[",T$1,"]")),MATCH(vp.tbl[[#This Row],[SDate]],weather.tbl[Date],0))</f>
        <v>14.5</v>
      </c>
      <c r="U152" s="2">
        <f ca="1">INDEX(INDIRECT(_xlfn.CONCAT("weather.tbl[",U$1,"]")),MATCH(vp.tbl[[#This Row],[SDate]],weather.tbl[Date],0))</f>
        <v>13.8</v>
      </c>
      <c r="V152" s="2">
        <v>6136.5</v>
      </c>
      <c r="W152" t="s">
        <v>48</v>
      </c>
      <c r="X152">
        <f>IF(OR(vp.tbl[[#This Row],[Sulf]]="",vp.tbl[[#This Row],[Dens]]=""),1,0)</f>
        <v>0</v>
      </c>
      <c r="Y152">
        <f>IF(vp.tbl[[#This Row],[CrudeType]]="C5+",1,0)</f>
        <v>0</v>
      </c>
      <c r="Z152">
        <f>IF(AND(vp.tbl[[#This Row],[CrudeType]]="Crude",vp.tbl[[#This Row],[Dens]]&lt;=825,vp.tbl[[#This Row],[Sulf]]&gt;0.5,vp.tbl[[#This Row],[Unknown]]=0),1,0)</f>
        <v>1</v>
      </c>
      <c r="AA152">
        <f>IF(AND(vp.tbl[[#This Row],[CrudeType]]="Crude",vp.tbl[[#This Row],[Dens]]&lt;=825,vp.tbl[[#This Row],[Sulf]]&lt;=0.5,vp.tbl[[#This Row],[Unknown]]=0),1,0)</f>
        <v>0</v>
      </c>
      <c r="AB152">
        <f>IF(AND(vp.tbl[[#This Row],[CrudeType]]="Crude",vp.tbl[[#This Row],[Dens]]&gt;825,vp.tbl[[#This Row],[Dens]]&lt;=870,vp.tbl[[#This Row],[Sulf]]&gt;0.5,vp.tbl[[#This Row],[Unknown]]=0),1,0)</f>
        <v>0</v>
      </c>
      <c r="AC152">
        <f>IF(AND(vp.tbl[[#This Row],[CrudeType]]="Crude",vp.tbl[[#This Row],[Dens]]&gt;825,vp.tbl[[#This Row],[Dens]]&lt;=900,vp.tbl[[#This Row],[Sulf]]&lt;=0.5,vp.tbl[[#This Row],[Unknown]]=0),1,0)</f>
        <v>0</v>
      </c>
      <c r="AD152">
        <f>IF(AND(vp.tbl[[#This Row],[CrudeType]]="Crude",vp.tbl[[#This Row],[Dens]]&gt;870,vp.tbl[[#This Row],[Dens]]&lt;=900,vp.tbl[[#This Row],[Sulf]]&gt;0.5,vp.tbl[[#This Row],[Unknown]]=0),1,0)</f>
        <v>0</v>
      </c>
      <c r="AE152">
        <f>IF(AND(vp.tbl[[#This Row],[CrudeType]]="Crude",vp.tbl[[#This Row],[Dens]]&gt;900,vp.tbl[[#This Row],[Sulf]]&lt;=0.5,vp.tbl[[#This Row],[Unknown]]=0),1,0)</f>
        <v>0</v>
      </c>
      <c r="AF152">
        <f>IF(AND(vp.tbl[[#This Row],[CrudeType]]="Crude",vp.tbl[[#This Row],[Dens]]&gt;900,vp.tbl[[#This Row],[Sulf]]&lt;=0.5,vp.tbl[[#This Row],[Unknown]]=0),1,0)</f>
        <v>0</v>
      </c>
      <c r="AG152" t="str">
        <f>INDEX(vp.tbl[[#Headers],[Unknown]:[Heavy_SW]],MATCH(1,vp.tbl[[#This Row],[Unknown]:[Heavy_SW]],0))</f>
        <v>Light_LSB</v>
      </c>
      <c r="AH152" t="e">
        <f>INDEX([1]!crudeBD.lkup[Number],MATCH(vp.tbl[[#This Row],[Crude_Breakdown]],[1]!crudeBD.lkup[Crude Breakdown],0))</f>
        <v>#REF!</v>
      </c>
      <c r="AI152">
        <f>MONTH(vp.tbl[[#This Row],[SDate]])</f>
        <v>4</v>
      </c>
      <c r="AJ152" s="5">
        <f>IFERROR(vp.tbl[[#This Row],[Sulf]]*vp.tbl[[#This Row],[Net Dens]],"")</f>
        <v>6123736.0800000001</v>
      </c>
      <c r="AK152" s="5">
        <f>IFERROR(vp.tbl[[#This Row],[Dens]]*vp.tbl[[#This Row],[VolumeM3]],"")</f>
        <v>4860108</v>
      </c>
      <c r="AL152" s="5">
        <f>IFERROR(vp.tbl[[#This Row],[VP]]*vp.tbl[[#This Row],[VolumeM3]],"")</f>
        <v>657219.15</v>
      </c>
      <c r="AM152" s="4">
        <f>IFERROR((vp.tbl[[#This Row],[VP]]-INDEX(crudeBD.lkup.complete[Mean_VP],MATCH(vp.tbl[[#This Row],[Crude_Breakdown]],crudeBD.lkup.complete[Crude Breakdown],0)))^2,"")</f>
        <v>241.92114341587728</v>
      </c>
      <c r="AN152" s="4">
        <f>IFERROR((vp.tbl[[#This Row],[Dens]]-INDEX(crudeBD.lkup.complete[Mean_Dens],MATCH(vp.tbl[[#This Row],[Crude_Breakdown]],crudeBD.lkup.complete[Crude Breakdown],0)))^2,"")</f>
        <v>703.13907847567441</v>
      </c>
      <c r="AO152" s="4">
        <f>IFERROR((vp.tbl[[#This Row],[Sulf]]-INDEX(crudeBD.lkup.complete[Mean_Sulf],MATCH(vp.tbl[[#This Row],[Crude_Breakdown]],crudeBD.lkup.complete[Crude Breakdown],0)))^2,"")</f>
        <v>0.11358843333985327</v>
      </c>
      <c r="AP152">
        <f>IF(AND(vp.tbl[[#This Row],[SDate]]&gt;=DATE(YEAR(vp.tbl[[#This Row],[SDate]]),5,1),vp.tbl[[#This Row],[SDate]]&lt;=DATE(YEAR(vp.tbl[[#This Row],[SDate]]),9,15)),1,0)</f>
        <v>0</v>
      </c>
      <c r="AQ152" s="15">
        <f>IF(vp.tbl[[#This Row],[SDate]]&lt;DATE(2016,12,1),0,1)</f>
        <v>0</v>
      </c>
    </row>
    <row r="153" spans="1:43" x14ac:dyDescent="0.25">
      <c r="A153">
        <v>152</v>
      </c>
      <c r="B153" t="s">
        <v>62</v>
      </c>
      <c r="C153" t="s">
        <v>62</v>
      </c>
      <c r="D153" t="s">
        <v>63</v>
      </c>
      <c r="F153" s="1">
        <v>42480</v>
      </c>
      <c r="G153" s="2">
        <v>108.2</v>
      </c>
      <c r="H153" s="2"/>
      <c r="I153" s="2">
        <v>1.26</v>
      </c>
      <c r="J153" s="2"/>
      <c r="K153" s="2"/>
      <c r="L153" s="2">
        <v>818</v>
      </c>
      <c r="M153" s="2">
        <v>818</v>
      </c>
      <c r="N153" s="2">
        <f ca="1">INDEX(INDIRECT(_xlfn.CONCAT("weather.tbl[",N$1,"]")),MATCH(vp.tbl[[#This Row],[SDate]],weather.tbl[Date],0))</f>
        <v>13.200000000000001</v>
      </c>
      <c r="O153" s="2">
        <f ca="1">INDEX(INDIRECT(_xlfn.CONCAT("weather.tbl[",O$1,"]")),MATCH(vp.tbl[[#This Row],[SDate]],weather.tbl[Date],0))</f>
        <v>7.5238095238095246</v>
      </c>
      <c r="P153" s="2">
        <f ca="1">INDEX(INDIRECT(_xlfn.CONCAT("weather.tbl[",P$1,"]")),MATCH(vp.tbl[[#This Row],[SDate]],weather.tbl[Date],0))</f>
        <v>12.5</v>
      </c>
      <c r="Q153" s="2">
        <f ca="1">INDEX(INDIRECT(_xlfn.CONCAT("weather.tbl[",Q$1,"]")),MATCH(vp.tbl[[#This Row],[SDate]],weather.tbl[Date],0))</f>
        <v>12.4</v>
      </c>
      <c r="R153" s="2">
        <f ca="1">INDEX(INDIRECT(_xlfn.CONCAT("weather.tbl[",R$1,"]")),MATCH(vp.tbl[[#This Row],[SDate]],weather.tbl[Date],0))</f>
        <v>12.5</v>
      </c>
      <c r="S153" s="2">
        <f ca="1">INDEX(INDIRECT(_xlfn.CONCAT("weather.tbl[",S$1,"]")),MATCH(vp.tbl[[#This Row],[SDate]],weather.tbl[Date],0))</f>
        <v>13.5</v>
      </c>
      <c r="T153" s="2">
        <f ca="1">INDEX(INDIRECT(_xlfn.CONCAT("weather.tbl[",T$1,"]")),MATCH(vp.tbl[[#This Row],[SDate]],weather.tbl[Date],0))</f>
        <v>14.5</v>
      </c>
      <c r="U153" s="2">
        <f ca="1">INDEX(INDIRECT(_xlfn.CONCAT("weather.tbl[",U$1,"]")),MATCH(vp.tbl[[#This Row],[SDate]],weather.tbl[Date],0))</f>
        <v>13.8</v>
      </c>
      <c r="V153" s="2">
        <v>6136.5</v>
      </c>
      <c r="W153" t="s">
        <v>48</v>
      </c>
      <c r="X153">
        <f>IF(OR(vp.tbl[[#This Row],[Sulf]]="",vp.tbl[[#This Row],[Dens]]=""),1,0)</f>
        <v>0</v>
      </c>
      <c r="Y153">
        <f>IF(vp.tbl[[#This Row],[CrudeType]]="C5+",1,0)</f>
        <v>0</v>
      </c>
      <c r="Z153">
        <f>IF(AND(vp.tbl[[#This Row],[CrudeType]]="Crude",vp.tbl[[#This Row],[Dens]]&lt;=825,vp.tbl[[#This Row],[Sulf]]&gt;0.5,vp.tbl[[#This Row],[Unknown]]=0),1,0)</f>
        <v>1</v>
      </c>
      <c r="AA153">
        <f>IF(AND(vp.tbl[[#This Row],[CrudeType]]="Crude",vp.tbl[[#This Row],[Dens]]&lt;=825,vp.tbl[[#This Row],[Sulf]]&lt;=0.5,vp.tbl[[#This Row],[Unknown]]=0),1,0)</f>
        <v>0</v>
      </c>
      <c r="AB153">
        <f>IF(AND(vp.tbl[[#This Row],[CrudeType]]="Crude",vp.tbl[[#This Row],[Dens]]&gt;825,vp.tbl[[#This Row],[Dens]]&lt;=870,vp.tbl[[#This Row],[Sulf]]&gt;0.5,vp.tbl[[#This Row],[Unknown]]=0),1,0)</f>
        <v>0</v>
      </c>
      <c r="AC153">
        <f>IF(AND(vp.tbl[[#This Row],[CrudeType]]="Crude",vp.tbl[[#This Row],[Dens]]&gt;825,vp.tbl[[#This Row],[Dens]]&lt;=900,vp.tbl[[#This Row],[Sulf]]&lt;=0.5,vp.tbl[[#This Row],[Unknown]]=0),1,0)</f>
        <v>0</v>
      </c>
      <c r="AD153">
        <f>IF(AND(vp.tbl[[#This Row],[CrudeType]]="Crude",vp.tbl[[#This Row],[Dens]]&gt;870,vp.tbl[[#This Row],[Dens]]&lt;=900,vp.tbl[[#This Row],[Sulf]]&gt;0.5,vp.tbl[[#This Row],[Unknown]]=0),1,0)</f>
        <v>0</v>
      </c>
      <c r="AE153">
        <f>IF(AND(vp.tbl[[#This Row],[CrudeType]]="Crude",vp.tbl[[#This Row],[Dens]]&gt;900,vp.tbl[[#This Row],[Sulf]]&lt;=0.5,vp.tbl[[#This Row],[Unknown]]=0),1,0)</f>
        <v>0</v>
      </c>
      <c r="AF153">
        <f>IF(AND(vp.tbl[[#This Row],[CrudeType]]="Crude",vp.tbl[[#This Row],[Dens]]&gt;900,vp.tbl[[#This Row],[Sulf]]&lt;=0.5,vp.tbl[[#This Row],[Unknown]]=0),1,0)</f>
        <v>0</v>
      </c>
      <c r="AG153" t="str">
        <f>INDEX(vp.tbl[[#Headers],[Unknown]:[Heavy_SW]],MATCH(1,vp.tbl[[#This Row],[Unknown]:[Heavy_SW]],0))</f>
        <v>Light_LSB</v>
      </c>
      <c r="AH153" t="e">
        <f>INDEX([1]!crudeBD.lkup[Number],MATCH(vp.tbl[[#This Row],[Crude_Breakdown]],[1]!crudeBD.lkup[Crude Breakdown],0))</f>
        <v>#REF!</v>
      </c>
      <c r="AI153">
        <f>MONTH(vp.tbl[[#This Row],[SDate]])</f>
        <v>4</v>
      </c>
      <c r="AJ153" s="5">
        <f>IFERROR(vp.tbl[[#This Row],[Sulf]]*vp.tbl[[#This Row],[Net Dens]],"")</f>
        <v>6324767.8200000003</v>
      </c>
      <c r="AK153" s="5">
        <f>IFERROR(vp.tbl[[#This Row],[Dens]]*vp.tbl[[#This Row],[VolumeM3]],"")</f>
        <v>5019657</v>
      </c>
      <c r="AL153" s="5">
        <f>IFERROR(vp.tbl[[#This Row],[VP]]*vp.tbl[[#This Row],[VolumeM3]],"")</f>
        <v>663969.30000000005</v>
      </c>
      <c r="AM153" s="4">
        <f>IFERROR((vp.tbl[[#This Row],[VP]]-INDEX(crudeBD.lkup.complete[Mean_VP],MATCH(vp.tbl[[#This Row],[Crude_Breakdown]],crudeBD.lkup.complete[Crude Breakdown],0)))^2,"")</f>
        <v>277.34953516845479</v>
      </c>
      <c r="AN153" s="4">
        <f>IFERROR((vp.tbl[[#This Row],[Dens]]-INDEX(crudeBD.lkup.complete[Mean_Dens],MATCH(vp.tbl[[#This Row],[Crude_Breakdown]],crudeBD.lkup.complete[Crude Breakdown],0)))^2,"")</f>
        <v>0.2670509842818638</v>
      </c>
      <c r="AO153" s="4">
        <f>IFERROR((vp.tbl[[#This Row],[Sulf]]-INDEX(crudeBD.lkup.complete[Mean_Sulf],MATCH(vp.tbl[[#This Row],[Crude_Breakdown]],crudeBD.lkup.complete[Crude Breakdown],0)))^2,"")</f>
        <v>0.11358843333985327</v>
      </c>
      <c r="AP153">
        <f>IF(AND(vp.tbl[[#This Row],[SDate]]&gt;=DATE(YEAR(vp.tbl[[#This Row],[SDate]]),5,1),vp.tbl[[#This Row],[SDate]]&lt;=DATE(YEAR(vp.tbl[[#This Row],[SDate]]),9,15)),1,0)</f>
        <v>0</v>
      </c>
      <c r="AQ153" s="15">
        <f>IF(vp.tbl[[#This Row],[SDate]]&lt;DATE(2016,12,1),0,1)</f>
        <v>0</v>
      </c>
    </row>
    <row r="154" spans="1:43" x14ac:dyDescent="0.25">
      <c r="A154">
        <v>153</v>
      </c>
      <c r="B154" t="s">
        <v>62</v>
      </c>
      <c r="C154" t="s">
        <v>62</v>
      </c>
      <c r="D154" t="s">
        <v>63</v>
      </c>
      <c r="F154" s="1">
        <v>42480</v>
      </c>
      <c r="G154" s="2">
        <v>95.8</v>
      </c>
      <c r="H154" s="2"/>
      <c r="I154" s="2">
        <v>1.26</v>
      </c>
      <c r="J154" s="2"/>
      <c r="K154" s="2"/>
      <c r="L154" s="2">
        <v>818</v>
      </c>
      <c r="M154" s="2">
        <v>818</v>
      </c>
      <c r="N154" s="2">
        <f ca="1">INDEX(INDIRECT(_xlfn.CONCAT("weather.tbl[",N$1,"]")),MATCH(vp.tbl[[#This Row],[SDate]],weather.tbl[Date],0))</f>
        <v>13.200000000000001</v>
      </c>
      <c r="O154" s="2">
        <f ca="1">INDEX(INDIRECT(_xlfn.CONCAT("weather.tbl[",O$1,"]")),MATCH(vp.tbl[[#This Row],[SDate]],weather.tbl[Date],0))</f>
        <v>7.5238095238095246</v>
      </c>
      <c r="P154" s="2">
        <f ca="1">INDEX(INDIRECT(_xlfn.CONCAT("weather.tbl[",P$1,"]")),MATCH(vp.tbl[[#This Row],[SDate]],weather.tbl[Date],0))</f>
        <v>12.5</v>
      </c>
      <c r="Q154" s="2">
        <f ca="1">INDEX(INDIRECT(_xlfn.CONCAT("weather.tbl[",Q$1,"]")),MATCH(vp.tbl[[#This Row],[SDate]],weather.tbl[Date],0))</f>
        <v>12.4</v>
      </c>
      <c r="R154" s="2">
        <f ca="1">INDEX(INDIRECT(_xlfn.CONCAT("weather.tbl[",R$1,"]")),MATCH(vp.tbl[[#This Row],[SDate]],weather.tbl[Date],0))</f>
        <v>12.5</v>
      </c>
      <c r="S154" s="2">
        <f ca="1">INDEX(INDIRECT(_xlfn.CONCAT("weather.tbl[",S$1,"]")),MATCH(vp.tbl[[#This Row],[SDate]],weather.tbl[Date],0))</f>
        <v>13.5</v>
      </c>
      <c r="T154" s="2">
        <f ca="1">INDEX(INDIRECT(_xlfn.CONCAT("weather.tbl[",T$1,"]")),MATCH(vp.tbl[[#This Row],[SDate]],weather.tbl[Date],0))</f>
        <v>14.5</v>
      </c>
      <c r="U154" s="2">
        <f ca="1">INDEX(INDIRECT(_xlfn.CONCAT("weather.tbl[",U$1,"]")),MATCH(vp.tbl[[#This Row],[SDate]],weather.tbl[Date],0))</f>
        <v>13.8</v>
      </c>
      <c r="V154" s="2">
        <v>6136.5</v>
      </c>
      <c r="W154" t="s">
        <v>48</v>
      </c>
      <c r="X154">
        <f>IF(OR(vp.tbl[[#This Row],[Sulf]]="",vp.tbl[[#This Row],[Dens]]=""),1,0)</f>
        <v>0</v>
      </c>
      <c r="Y154">
        <f>IF(vp.tbl[[#This Row],[CrudeType]]="C5+",1,0)</f>
        <v>0</v>
      </c>
      <c r="Z154">
        <f>IF(AND(vp.tbl[[#This Row],[CrudeType]]="Crude",vp.tbl[[#This Row],[Dens]]&lt;=825,vp.tbl[[#This Row],[Sulf]]&gt;0.5,vp.tbl[[#This Row],[Unknown]]=0),1,0)</f>
        <v>1</v>
      </c>
      <c r="AA154">
        <f>IF(AND(vp.tbl[[#This Row],[CrudeType]]="Crude",vp.tbl[[#This Row],[Dens]]&lt;=825,vp.tbl[[#This Row],[Sulf]]&lt;=0.5,vp.tbl[[#This Row],[Unknown]]=0),1,0)</f>
        <v>0</v>
      </c>
      <c r="AB154">
        <f>IF(AND(vp.tbl[[#This Row],[CrudeType]]="Crude",vp.tbl[[#This Row],[Dens]]&gt;825,vp.tbl[[#This Row],[Dens]]&lt;=870,vp.tbl[[#This Row],[Sulf]]&gt;0.5,vp.tbl[[#This Row],[Unknown]]=0),1,0)</f>
        <v>0</v>
      </c>
      <c r="AC154">
        <f>IF(AND(vp.tbl[[#This Row],[CrudeType]]="Crude",vp.tbl[[#This Row],[Dens]]&gt;825,vp.tbl[[#This Row],[Dens]]&lt;=900,vp.tbl[[#This Row],[Sulf]]&lt;=0.5,vp.tbl[[#This Row],[Unknown]]=0),1,0)</f>
        <v>0</v>
      </c>
      <c r="AD154">
        <f>IF(AND(vp.tbl[[#This Row],[CrudeType]]="Crude",vp.tbl[[#This Row],[Dens]]&gt;870,vp.tbl[[#This Row],[Dens]]&lt;=900,vp.tbl[[#This Row],[Sulf]]&gt;0.5,vp.tbl[[#This Row],[Unknown]]=0),1,0)</f>
        <v>0</v>
      </c>
      <c r="AE154">
        <f>IF(AND(vp.tbl[[#This Row],[CrudeType]]="Crude",vp.tbl[[#This Row],[Dens]]&gt;900,vp.tbl[[#This Row],[Sulf]]&lt;=0.5,vp.tbl[[#This Row],[Unknown]]=0),1,0)</f>
        <v>0</v>
      </c>
      <c r="AF154">
        <f>IF(AND(vp.tbl[[#This Row],[CrudeType]]="Crude",vp.tbl[[#This Row],[Dens]]&gt;900,vp.tbl[[#This Row],[Sulf]]&lt;=0.5,vp.tbl[[#This Row],[Unknown]]=0),1,0)</f>
        <v>0</v>
      </c>
      <c r="AG154" t="str">
        <f>INDEX(vp.tbl[[#Headers],[Unknown]:[Heavy_SW]],MATCH(1,vp.tbl[[#This Row],[Unknown]:[Heavy_SW]],0))</f>
        <v>Light_LSB</v>
      </c>
      <c r="AH154" t="e">
        <f>INDEX([1]!crudeBD.lkup[Number],MATCH(vp.tbl[[#This Row],[Crude_Breakdown]],[1]!crudeBD.lkup[Crude Breakdown],0))</f>
        <v>#REF!</v>
      </c>
      <c r="AI154">
        <f>MONTH(vp.tbl[[#This Row],[SDate]])</f>
        <v>4</v>
      </c>
      <c r="AJ154" s="5">
        <f>IFERROR(vp.tbl[[#This Row],[Sulf]]*vp.tbl[[#This Row],[Net Dens]],"")</f>
        <v>6324767.8200000003</v>
      </c>
      <c r="AK154" s="5">
        <f>IFERROR(vp.tbl[[#This Row],[Dens]]*vp.tbl[[#This Row],[VolumeM3]],"")</f>
        <v>5019657</v>
      </c>
      <c r="AL154" s="5">
        <f>IFERROR(vp.tbl[[#This Row],[VP]]*vp.tbl[[#This Row],[VolumeM3]],"")</f>
        <v>587876.69999999995</v>
      </c>
      <c r="AM154" s="4">
        <f>IFERROR((vp.tbl[[#This Row],[VP]]-INDEX(crudeBD.lkup.complete[Mean_VP],MATCH(vp.tbl[[#This Row],[Crude_Breakdown]],crudeBD.lkup.complete[Crude Breakdown],0)))^2,"")</f>
        <v>18.094937230311114</v>
      </c>
      <c r="AN154" s="4">
        <f>IFERROR((vp.tbl[[#This Row],[Dens]]-INDEX(crudeBD.lkup.complete[Mean_Dens],MATCH(vp.tbl[[#This Row],[Crude_Breakdown]],crudeBD.lkup.complete[Crude Breakdown],0)))^2,"")</f>
        <v>0.2670509842818638</v>
      </c>
      <c r="AO154" s="4">
        <f>IFERROR((vp.tbl[[#This Row],[Sulf]]-INDEX(crudeBD.lkup.complete[Mean_Sulf],MATCH(vp.tbl[[#This Row],[Crude_Breakdown]],crudeBD.lkup.complete[Crude Breakdown],0)))^2,"")</f>
        <v>0.11358843333985327</v>
      </c>
      <c r="AP154">
        <f>IF(AND(vp.tbl[[#This Row],[SDate]]&gt;=DATE(YEAR(vp.tbl[[#This Row],[SDate]]),5,1),vp.tbl[[#This Row],[SDate]]&lt;=DATE(YEAR(vp.tbl[[#This Row],[SDate]]),9,15)),1,0)</f>
        <v>0</v>
      </c>
      <c r="AQ154" s="15">
        <f>IF(vp.tbl[[#This Row],[SDate]]&lt;DATE(2016,12,1),0,1)</f>
        <v>0</v>
      </c>
    </row>
    <row r="155" spans="1:43" x14ac:dyDescent="0.25">
      <c r="A155">
        <v>154</v>
      </c>
      <c r="B155" t="s">
        <v>49</v>
      </c>
      <c r="C155" t="s">
        <v>49</v>
      </c>
      <c r="D155" t="s">
        <v>59</v>
      </c>
      <c r="F155" s="1">
        <v>42482</v>
      </c>
      <c r="G155" s="2">
        <v>129.80000000000001</v>
      </c>
      <c r="H155" s="2"/>
      <c r="I155" s="2">
        <v>1.53</v>
      </c>
      <c r="J155" s="2"/>
      <c r="K155" s="2"/>
      <c r="L155" s="2">
        <v>850.4</v>
      </c>
      <c r="M155" s="2">
        <v>850.4</v>
      </c>
      <c r="N155" s="2">
        <f ca="1">INDEX(INDIRECT(_xlfn.CONCAT("weather.tbl[",N$1,"]")),MATCH(vp.tbl[[#This Row],[SDate]],weather.tbl[Date],0))</f>
        <v>7.3000000000000007</v>
      </c>
      <c r="O155" s="2">
        <f ca="1">INDEX(INDIRECT(_xlfn.CONCAT("weather.tbl[",O$1,"]")),MATCH(vp.tbl[[#This Row],[SDate]],weather.tbl[Date],0))</f>
        <v>7.2333333333333325</v>
      </c>
      <c r="P155" s="2">
        <f ca="1">INDEX(INDIRECT(_xlfn.CONCAT("weather.tbl[",P$1,"]")),MATCH(vp.tbl[[#This Row],[SDate]],weather.tbl[Date],0))</f>
        <v>7.5</v>
      </c>
      <c r="Q155" s="2">
        <f ca="1">INDEX(INDIRECT(_xlfn.CONCAT("weather.tbl[",Q$1,"]")),MATCH(vp.tbl[[#This Row],[SDate]],weather.tbl[Date],0))</f>
        <v>8.6999999999999993</v>
      </c>
      <c r="R155" s="2">
        <f ca="1">INDEX(INDIRECT(_xlfn.CONCAT("weather.tbl[",R$1,"]")),MATCH(vp.tbl[[#This Row],[SDate]],weather.tbl[Date],0))</f>
        <v>6.5</v>
      </c>
      <c r="S155" s="2">
        <f ca="1">INDEX(INDIRECT(_xlfn.CONCAT("weather.tbl[",S$1,"]")),MATCH(vp.tbl[[#This Row],[SDate]],weather.tbl[Date],0))</f>
        <v>9.5</v>
      </c>
      <c r="T155" s="2">
        <f ca="1">INDEX(INDIRECT(_xlfn.CONCAT("weather.tbl[",T$1,"]")),MATCH(vp.tbl[[#This Row],[SDate]],weather.tbl[Date],0))</f>
        <v>5.0999999999999996</v>
      </c>
      <c r="U155" s="2">
        <f ca="1">INDEX(INDIRECT(_xlfn.CONCAT("weather.tbl[",U$1,"]")),MATCH(vp.tbl[[#This Row],[SDate]],weather.tbl[Date],0))</f>
        <v>6.5</v>
      </c>
      <c r="V155" s="2">
        <v>1897.519</v>
      </c>
      <c r="W155" t="s">
        <v>48</v>
      </c>
      <c r="X155">
        <f>IF(OR(vp.tbl[[#This Row],[Sulf]]="",vp.tbl[[#This Row],[Dens]]=""),1,0)</f>
        <v>0</v>
      </c>
      <c r="Y155">
        <f>IF(vp.tbl[[#This Row],[CrudeType]]="C5+",1,0)</f>
        <v>0</v>
      </c>
      <c r="Z155">
        <f>IF(AND(vp.tbl[[#This Row],[CrudeType]]="Crude",vp.tbl[[#This Row],[Dens]]&lt;=825,vp.tbl[[#This Row],[Sulf]]&gt;0.5,vp.tbl[[#This Row],[Unknown]]=0),1,0)</f>
        <v>0</v>
      </c>
      <c r="AA155">
        <f>IF(AND(vp.tbl[[#This Row],[CrudeType]]="Crude",vp.tbl[[#This Row],[Dens]]&lt;=825,vp.tbl[[#This Row],[Sulf]]&lt;=0.5,vp.tbl[[#This Row],[Unknown]]=0),1,0)</f>
        <v>0</v>
      </c>
      <c r="AB155">
        <f>IF(AND(vp.tbl[[#This Row],[CrudeType]]="Crude",vp.tbl[[#This Row],[Dens]]&gt;825,vp.tbl[[#This Row],[Dens]]&lt;=870,vp.tbl[[#This Row],[Sulf]]&gt;0.5,vp.tbl[[#This Row],[Unknown]]=0),1,0)</f>
        <v>1</v>
      </c>
      <c r="AC155">
        <f>IF(AND(vp.tbl[[#This Row],[CrudeType]]="Crude",vp.tbl[[#This Row],[Dens]]&gt;825,vp.tbl[[#This Row],[Dens]]&lt;=900,vp.tbl[[#This Row],[Sulf]]&lt;=0.5,vp.tbl[[#This Row],[Unknown]]=0),1,0)</f>
        <v>0</v>
      </c>
      <c r="AD155">
        <f>IF(AND(vp.tbl[[#This Row],[CrudeType]]="Crude",vp.tbl[[#This Row],[Dens]]&gt;870,vp.tbl[[#This Row],[Dens]]&lt;=900,vp.tbl[[#This Row],[Sulf]]&gt;0.5,vp.tbl[[#This Row],[Unknown]]=0),1,0)</f>
        <v>0</v>
      </c>
      <c r="AE155">
        <f>IF(AND(vp.tbl[[#This Row],[CrudeType]]="Crude",vp.tbl[[#This Row],[Dens]]&gt;900,vp.tbl[[#This Row],[Sulf]]&lt;=0.5,vp.tbl[[#This Row],[Unknown]]=0),1,0)</f>
        <v>0</v>
      </c>
      <c r="AF155">
        <f>IF(AND(vp.tbl[[#This Row],[CrudeType]]="Crude",vp.tbl[[#This Row],[Dens]]&gt;900,vp.tbl[[#This Row],[Sulf]]&lt;=0.5,vp.tbl[[#This Row],[Unknown]]=0),1,0)</f>
        <v>0</v>
      </c>
      <c r="AG155" t="str">
        <f>INDEX(vp.tbl[[#Headers],[Unknown]:[Heavy_SW]],MATCH(1,vp.tbl[[#This Row],[Unknown]:[Heavy_SW]],0))</f>
        <v>Medium_LSB</v>
      </c>
      <c r="AH155" t="e">
        <f>INDEX([1]!crudeBD.lkup[Number],MATCH(vp.tbl[[#This Row],[Crude_Breakdown]],[1]!crudeBD.lkup[Crude Breakdown],0))</f>
        <v>#REF!</v>
      </c>
      <c r="AI155">
        <f>MONTH(vp.tbl[[#This Row],[SDate]])</f>
        <v>4</v>
      </c>
      <c r="AJ155" s="5">
        <f>IFERROR(vp.tbl[[#This Row],[Sulf]]*vp.tbl[[#This Row],[Net Dens]],"")</f>
        <v>2468884.741128</v>
      </c>
      <c r="AK155" s="5">
        <f>IFERROR(vp.tbl[[#This Row],[Dens]]*vp.tbl[[#This Row],[VolumeM3]],"")</f>
        <v>1613650.1576</v>
      </c>
      <c r="AL155" s="5">
        <f>IFERROR(vp.tbl[[#This Row],[VP]]*vp.tbl[[#This Row],[VolumeM3]],"")</f>
        <v>246297.96620000002</v>
      </c>
      <c r="AM155" s="4">
        <f>IFERROR((vp.tbl[[#This Row],[VP]]-INDEX(crudeBD.lkup.complete[Mean_VP],MATCH(vp.tbl[[#This Row],[Crude_Breakdown]],crudeBD.lkup.complete[Crude Breakdown],0)))^2,"")</f>
        <v>2462.7800795058533</v>
      </c>
      <c r="AN155" s="4">
        <f>IFERROR((vp.tbl[[#This Row],[Dens]]-INDEX(crudeBD.lkup.complete[Mean_Dens],MATCH(vp.tbl[[#This Row],[Crude_Breakdown]],crudeBD.lkup.complete[Crude Breakdown],0)))^2,"")</f>
        <v>26.093474461794798</v>
      </c>
      <c r="AO155" s="4">
        <f>IFERROR((vp.tbl[[#This Row],[Sulf]]-INDEX(crudeBD.lkup.complete[Mean_Sulf],MATCH(vp.tbl[[#This Row],[Crude_Breakdown]],crudeBD.lkup.complete[Crude Breakdown],0)))^2,"")</f>
        <v>5.6355258055887899E-3</v>
      </c>
      <c r="AP155">
        <f>IF(AND(vp.tbl[[#This Row],[SDate]]&gt;=DATE(YEAR(vp.tbl[[#This Row],[SDate]]),5,1),vp.tbl[[#This Row],[SDate]]&lt;=DATE(YEAR(vp.tbl[[#This Row],[SDate]]),9,15)),1,0)</f>
        <v>0</v>
      </c>
      <c r="AQ155" s="15">
        <f>IF(vp.tbl[[#This Row],[SDate]]&lt;DATE(2016,12,1),0,1)</f>
        <v>0</v>
      </c>
    </row>
    <row r="156" spans="1:43" x14ac:dyDescent="0.25">
      <c r="A156">
        <v>155</v>
      </c>
      <c r="B156" t="s">
        <v>49</v>
      </c>
      <c r="C156" t="s">
        <v>49</v>
      </c>
      <c r="D156" t="s">
        <v>50</v>
      </c>
      <c r="F156" s="1">
        <v>42485</v>
      </c>
      <c r="G156" s="2">
        <v>112.8</v>
      </c>
      <c r="H156" s="2"/>
      <c r="I156" s="2">
        <v>2.59</v>
      </c>
      <c r="J156" s="2"/>
      <c r="K156" s="2"/>
      <c r="L156" s="2">
        <v>869.3</v>
      </c>
      <c r="M156" s="2">
        <v>869.3</v>
      </c>
      <c r="N156" s="2">
        <f ca="1">INDEX(INDIRECT(_xlfn.CONCAT("weather.tbl[",N$1,"]")),MATCH(vp.tbl[[#This Row],[SDate]],weather.tbl[Date],0))</f>
        <v>6.6333333333333329</v>
      </c>
      <c r="O156" s="2">
        <f ca="1">INDEX(INDIRECT(_xlfn.CONCAT("weather.tbl[",O$1,"]")),MATCH(vp.tbl[[#This Row],[SDate]],weather.tbl[Date],0))</f>
        <v>7.7404761904761914</v>
      </c>
      <c r="P156" s="2">
        <f ca="1">INDEX(INDIRECT(_xlfn.CONCAT("weather.tbl[",P$1,"]")),MATCH(vp.tbl[[#This Row],[SDate]],weather.tbl[Date],0))</f>
        <v>7.3</v>
      </c>
      <c r="Q156" s="2">
        <f ca="1">INDEX(INDIRECT(_xlfn.CONCAT("weather.tbl[",Q$1,"]")),MATCH(vp.tbl[[#This Row],[SDate]],weather.tbl[Date],0))</f>
        <v>6.9</v>
      </c>
      <c r="R156" s="2">
        <f ca="1">INDEX(INDIRECT(_xlfn.CONCAT("weather.tbl[",R$1,"]")),MATCH(vp.tbl[[#This Row],[SDate]],weather.tbl[Date],0))</f>
        <v>6.3</v>
      </c>
      <c r="S156" s="2">
        <f ca="1">INDEX(INDIRECT(_xlfn.CONCAT("weather.tbl[",S$1,"]")),MATCH(vp.tbl[[#This Row],[SDate]],weather.tbl[Date],0))</f>
        <v>8</v>
      </c>
      <c r="T156" s="2">
        <f ca="1">INDEX(INDIRECT(_xlfn.CONCAT("weather.tbl[",T$1,"]")),MATCH(vp.tbl[[#This Row],[SDate]],weather.tbl[Date],0))</f>
        <v>6.5</v>
      </c>
      <c r="U156" s="2">
        <f ca="1">INDEX(INDIRECT(_xlfn.CONCAT("weather.tbl[",U$1,"]")),MATCH(vp.tbl[[#This Row],[SDate]],weather.tbl[Date],0))</f>
        <v>4.8</v>
      </c>
      <c r="V156" s="2">
        <v>8132.3109999999997</v>
      </c>
      <c r="W156" t="s">
        <v>48</v>
      </c>
      <c r="X156">
        <f>IF(OR(vp.tbl[[#This Row],[Sulf]]="",vp.tbl[[#This Row],[Dens]]=""),1,0)</f>
        <v>0</v>
      </c>
      <c r="Y156">
        <f>IF(vp.tbl[[#This Row],[CrudeType]]="C5+",1,0)</f>
        <v>0</v>
      </c>
      <c r="Z156">
        <f>IF(AND(vp.tbl[[#This Row],[CrudeType]]="Crude",vp.tbl[[#This Row],[Dens]]&lt;=825,vp.tbl[[#This Row],[Sulf]]&gt;0.5,vp.tbl[[#This Row],[Unknown]]=0),1,0)</f>
        <v>0</v>
      </c>
      <c r="AA156">
        <f>IF(AND(vp.tbl[[#This Row],[CrudeType]]="Crude",vp.tbl[[#This Row],[Dens]]&lt;=825,vp.tbl[[#This Row],[Sulf]]&lt;=0.5,vp.tbl[[#This Row],[Unknown]]=0),1,0)</f>
        <v>0</v>
      </c>
      <c r="AB156">
        <f>IF(AND(vp.tbl[[#This Row],[CrudeType]]="Crude",vp.tbl[[#This Row],[Dens]]&gt;825,vp.tbl[[#This Row],[Dens]]&lt;=870,vp.tbl[[#This Row],[Sulf]]&gt;0.5,vp.tbl[[#This Row],[Unknown]]=0),1,0)</f>
        <v>1</v>
      </c>
      <c r="AC156">
        <f>IF(AND(vp.tbl[[#This Row],[CrudeType]]="Crude",vp.tbl[[#This Row],[Dens]]&gt;825,vp.tbl[[#This Row],[Dens]]&lt;=900,vp.tbl[[#This Row],[Sulf]]&lt;=0.5,vp.tbl[[#This Row],[Unknown]]=0),1,0)</f>
        <v>0</v>
      </c>
      <c r="AD156">
        <f>IF(AND(vp.tbl[[#This Row],[CrudeType]]="Crude",vp.tbl[[#This Row],[Dens]]&gt;870,vp.tbl[[#This Row],[Dens]]&lt;=900,vp.tbl[[#This Row],[Sulf]]&gt;0.5,vp.tbl[[#This Row],[Unknown]]=0),1,0)</f>
        <v>0</v>
      </c>
      <c r="AE156">
        <f>IF(AND(vp.tbl[[#This Row],[CrudeType]]="Crude",vp.tbl[[#This Row],[Dens]]&gt;900,vp.tbl[[#This Row],[Sulf]]&lt;=0.5,vp.tbl[[#This Row],[Unknown]]=0),1,0)</f>
        <v>0</v>
      </c>
      <c r="AF156">
        <f>IF(AND(vp.tbl[[#This Row],[CrudeType]]="Crude",vp.tbl[[#This Row],[Dens]]&gt;900,vp.tbl[[#This Row],[Sulf]]&lt;=0.5,vp.tbl[[#This Row],[Unknown]]=0),1,0)</f>
        <v>0</v>
      </c>
      <c r="AG156" t="str">
        <f>INDEX(vp.tbl[[#Headers],[Unknown]:[Heavy_SW]],MATCH(1,vp.tbl[[#This Row],[Unknown]:[Heavy_SW]],0))</f>
        <v>Medium_LSB</v>
      </c>
      <c r="AH156" t="e">
        <f>INDEX([1]!crudeBD.lkup[Number],MATCH(vp.tbl[[#This Row],[Crude_Breakdown]],[1]!crudeBD.lkup[Crude Breakdown],0))</f>
        <v>#REF!</v>
      </c>
      <c r="AI156">
        <f>MONTH(vp.tbl[[#This Row],[SDate]])</f>
        <v>4</v>
      </c>
      <c r="AJ156" s="5">
        <f>IFERROR(vp.tbl[[#This Row],[Sulf]]*vp.tbl[[#This Row],[Net Dens]],"")</f>
        <v>18309792.496456996</v>
      </c>
      <c r="AK156" s="5">
        <f>IFERROR(vp.tbl[[#This Row],[Dens]]*vp.tbl[[#This Row],[VolumeM3]],"")</f>
        <v>7069417.9522999991</v>
      </c>
      <c r="AL156" s="5">
        <f>IFERROR(vp.tbl[[#This Row],[VP]]*vp.tbl[[#This Row],[VolumeM3]],"")</f>
        <v>917324.68079999997</v>
      </c>
      <c r="AM156" s="4">
        <f>IFERROR((vp.tbl[[#This Row],[VP]]-INDEX(crudeBD.lkup.complete[Mean_VP],MATCH(vp.tbl[[#This Row],[Crude_Breakdown]],crudeBD.lkup.complete[Crude Breakdown],0)))^2,"")</f>
        <v>1064.4823073539519</v>
      </c>
      <c r="AN156" s="4">
        <f>IFERROR((vp.tbl[[#This Row],[Dens]]-INDEX(crudeBD.lkup.complete[Mean_Dens],MATCH(vp.tbl[[#This Row],[Crude_Breakdown]],crudeBD.lkup.complete[Crude Breakdown],0)))^2,"")</f>
        <v>576.39257319600733</v>
      </c>
      <c r="AO156" s="4">
        <f>IFERROR((vp.tbl[[#This Row],[Sulf]]-INDEX(crudeBD.lkup.complete[Mean_Sulf],MATCH(vp.tbl[[#This Row],[Crude_Breakdown]],crudeBD.lkup.complete[Crude Breakdown],0)))^2,"")</f>
        <v>1.2883842209954588</v>
      </c>
      <c r="AP156">
        <f>IF(AND(vp.tbl[[#This Row],[SDate]]&gt;=DATE(YEAR(vp.tbl[[#This Row],[SDate]]),5,1),vp.tbl[[#This Row],[SDate]]&lt;=DATE(YEAR(vp.tbl[[#This Row],[SDate]]),9,15)),1,0)</f>
        <v>0</v>
      </c>
      <c r="AQ156" s="15">
        <f>IF(vp.tbl[[#This Row],[SDate]]&lt;DATE(2016,12,1),0,1)</f>
        <v>0</v>
      </c>
    </row>
    <row r="157" spans="1:43" x14ac:dyDescent="0.25">
      <c r="A157">
        <v>156</v>
      </c>
      <c r="B157" t="s">
        <v>49</v>
      </c>
      <c r="C157" t="s">
        <v>49</v>
      </c>
      <c r="D157" t="s">
        <v>86</v>
      </c>
      <c r="F157" s="1">
        <v>42485</v>
      </c>
      <c r="G157" s="2">
        <v>113.3</v>
      </c>
      <c r="H157" s="2"/>
      <c r="I157" s="2">
        <v>2.8</v>
      </c>
      <c r="J157" s="2"/>
      <c r="K157" s="2"/>
      <c r="L157" s="2">
        <v>871.2</v>
      </c>
      <c r="M157" s="2">
        <v>871.2</v>
      </c>
      <c r="N157" s="2">
        <f ca="1">INDEX(INDIRECT(_xlfn.CONCAT("weather.tbl[",N$1,"]")),MATCH(vp.tbl[[#This Row],[SDate]],weather.tbl[Date],0))</f>
        <v>6.6333333333333329</v>
      </c>
      <c r="O157" s="2">
        <f ca="1">INDEX(INDIRECT(_xlfn.CONCAT("weather.tbl[",O$1,"]")),MATCH(vp.tbl[[#This Row],[SDate]],weather.tbl[Date],0))</f>
        <v>7.7404761904761914</v>
      </c>
      <c r="P157" s="2">
        <f ca="1">INDEX(INDIRECT(_xlfn.CONCAT("weather.tbl[",P$1,"]")),MATCH(vp.tbl[[#This Row],[SDate]],weather.tbl[Date],0))</f>
        <v>7.3</v>
      </c>
      <c r="Q157" s="2">
        <f ca="1">INDEX(INDIRECT(_xlfn.CONCAT("weather.tbl[",Q$1,"]")),MATCH(vp.tbl[[#This Row],[SDate]],weather.tbl[Date],0))</f>
        <v>6.9</v>
      </c>
      <c r="R157" s="2">
        <f ca="1">INDEX(INDIRECT(_xlfn.CONCAT("weather.tbl[",R$1,"]")),MATCH(vp.tbl[[#This Row],[SDate]],weather.tbl[Date],0))</f>
        <v>6.3</v>
      </c>
      <c r="S157" s="2">
        <f ca="1">INDEX(INDIRECT(_xlfn.CONCAT("weather.tbl[",S$1,"]")),MATCH(vp.tbl[[#This Row],[SDate]],weather.tbl[Date],0))</f>
        <v>8</v>
      </c>
      <c r="T157" s="2">
        <f ca="1">INDEX(INDIRECT(_xlfn.CONCAT("weather.tbl[",T$1,"]")),MATCH(vp.tbl[[#This Row],[SDate]],weather.tbl[Date],0))</f>
        <v>6.5</v>
      </c>
      <c r="U157" s="2">
        <f ca="1">INDEX(INDIRECT(_xlfn.CONCAT("weather.tbl[",U$1,"]")),MATCH(vp.tbl[[#This Row],[SDate]],weather.tbl[Date],0))</f>
        <v>4.8</v>
      </c>
      <c r="V157" s="2">
        <v>5790.9930000000004</v>
      </c>
      <c r="W157" t="s">
        <v>48</v>
      </c>
      <c r="X157">
        <f>IF(OR(vp.tbl[[#This Row],[Sulf]]="",vp.tbl[[#This Row],[Dens]]=""),1,0)</f>
        <v>0</v>
      </c>
      <c r="Y157">
        <f>IF(vp.tbl[[#This Row],[CrudeType]]="C5+",1,0)</f>
        <v>0</v>
      </c>
      <c r="Z157">
        <f>IF(AND(vp.tbl[[#This Row],[CrudeType]]="Crude",vp.tbl[[#This Row],[Dens]]&lt;=825,vp.tbl[[#This Row],[Sulf]]&gt;0.5,vp.tbl[[#This Row],[Unknown]]=0),1,0)</f>
        <v>0</v>
      </c>
      <c r="AA157">
        <f>IF(AND(vp.tbl[[#This Row],[CrudeType]]="Crude",vp.tbl[[#This Row],[Dens]]&lt;=825,vp.tbl[[#This Row],[Sulf]]&lt;=0.5,vp.tbl[[#This Row],[Unknown]]=0),1,0)</f>
        <v>0</v>
      </c>
      <c r="AB157">
        <f>IF(AND(vp.tbl[[#This Row],[CrudeType]]="Crude",vp.tbl[[#This Row],[Dens]]&gt;825,vp.tbl[[#This Row],[Dens]]&lt;=870,vp.tbl[[#This Row],[Sulf]]&gt;0.5,vp.tbl[[#This Row],[Unknown]]=0),1,0)</f>
        <v>0</v>
      </c>
      <c r="AC157">
        <f>IF(AND(vp.tbl[[#This Row],[CrudeType]]="Crude",vp.tbl[[#This Row],[Dens]]&gt;825,vp.tbl[[#This Row],[Dens]]&lt;=900,vp.tbl[[#This Row],[Sulf]]&lt;=0.5,vp.tbl[[#This Row],[Unknown]]=0),1,0)</f>
        <v>0</v>
      </c>
      <c r="AD157">
        <f>IF(AND(vp.tbl[[#This Row],[CrudeType]]="Crude",vp.tbl[[#This Row],[Dens]]&gt;870,vp.tbl[[#This Row],[Dens]]&lt;=900,vp.tbl[[#This Row],[Sulf]]&gt;0.5,vp.tbl[[#This Row],[Unknown]]=0),1,0)</f>
        <v>1</v>
      </c>
      <c r="AE157">
        <f>IF(AND(vp.tbl[[#This Row],[CrudeType]]="Crude",vp.tbl[[#This Row],[Dens]]&gt;900,vp.tbl[[#This Row],[Sulf]]&lt;=0.5,vp.tbl[[#This Row],[Unknown]]=0),1,0)</f>
        <v>0</v>
      </c>
      <c r="AF157">
        <f>IF(AND(vp.tbl[[#This Row],[CrudeType]]="Crude",vp.tbl[[#This Row],[Dens]]&gt;900,vp.tbl[[#This Row],[Sulf]]&lt;=0.5,vp.tbl[[#This Row],[Unknown]]=0),1,0)</f>
        <v>0</v>
      </c>
      <c r="AG157" t="str">
        <f>INDEX(vp.tbl[[#Headers],[Unknown]:[Heavy_SW]],MATCH(1,vp.tbl[[#This Row],[Unknown]:[Heavy_SW]],0))</f>
        <v>Midale</v>
      </c>
      <c r="AH157" t="e">
        <f>INDEX([1]!crudeBD.lkup[Number],MATCH(vp.tbl[[#This Row],[Crude_Breakdown]],[1]!crudeBD.lkup[Crude Breakdown],0))</f>
        <v>#REF!</v>
      </c>
      <c r="AI157">
        <f>MONTH(vp.tbl[[#This Row],[SDate]])</f>
        <v>4</v>
      </c>
      <c r="AJ157" s="5">
        <f>IFERROR(vp.tbl[[#This Row],[Sulf]]*vp.tbl[[#This Row],[Net Dens]],"")</f>
        <v>14126316.68448</v>
      </c>
      <c r="AK157" s="5">
        <f>IFERROR(vp.tbl[[#This Row],[Dens]]*vp.tbl[[#This Row],[VolumeM3]],"")</f>
        <v>5045113.1016000006</v>
      </c>
      <c r="AL157" s="5">
        <f>IFERROR(vp.tbl[[#This Row],[VP]]*vp.tbl[[#This Row],[VolumeM3]],"")</f>
        <v>656119.50690000004</v>
      </c>
      <c r="AM157" s="4">
        <f>IFERROR((vp.tbl[[#This Row],[VP]]-INDEX(crudeBD.lkup.complete[Mean_VP],MATCH(vp.tbl[[#This Row],[Crude_Breakdown]],crudeBD.lkup.complete[Crude Breakdown],0)))^2,"")</f>
        <v>2030.5517451679475</v>
      </c>
      <c r="AN157" s="4">
        <f>IFERROR((vp.tbl[[#This Row],[Dens]]-INDEX(crudeBD.lkup.complete[Mean_Dens],MATCH(vp.tbl[[#This Row],[Crude_Breakdown]],crudeBD.lkup.complete[Crude Breakdown],0)))^2,"")</f>
        <v>40.348600112587057</v>
      </c>
      <c r="AO157" s="4">
        <f>IFERROR((vp.tbl[[#This Row],[Sulf]]-INDEX(crudeBD.lkup.complete[Mean_Sulf],MATCH(vp.tbl[[#This Row],[Crude_Breakdown]],crudeBD.lkup.complete[Crude Breakdown],0)))^2,"")</f>
        <v>0.14796321021371822</v>
      </c>
      <c r="AP157">
        <f>IF(AND(vp.tbl[[#This Row],[SDate]]&gt;=DATE(YEAR(vp.tbl[[#This Row],[SDate]]),5,1),vp.tbl[[#This Row],[SDate]]&lt;=DATE(YEAR(vp.tbl[[#This Row],[SDate]]),9,15)),1,0)</f>
        <v>0</v>
      </c>
      <c r="AQ157" s="15">
        <f>IF(vp.tbl[[#This Row],[SDate]]&lt;DATE(2016,12,1),0,1)</f>
        <v>0</v>
      </c>
    </row>
    <row r="158" spans="1:43" x14ac:dyDescent="0.25">
      <c r="A158">
        <v>157</v>
      </c>
      <c r="B158" t="s">
        <v>62</v>
      </c>
      <c r="C158" t="s">
        <v>62</v>
      </c>
      <c r="D158" t="s">
        <v>63</v>
      </c>
      <c r="F158" s="1">
        <v>42486</v>
      </c>
      <c r="G158" s="2">
        <v>112.3</v>
      </c>
      <c r="H158" s="2"/>
      <c r="I158" s="2">
        <v>1.26</v>
      </c>
      <c r="J158" s="2"/>
      <c r="K158" s="2"/>
      <c r="L158" s="2">
        <v>789.8</v>
      </c>
      <c r="M158" s="2">
        <v>789.8</v>
      </c>
      <c r="N158" s="2">
        <f ca="1">INDEX(INDIRECT(_xlfn.CONCAT("weather.tbl[",N$1,"]")),MATCH(vp.tbl[[#This Row],[SDate]],weather.tbl[Date],0))</f>
        <v>5.8</v>
      </c>
      <c r="O158" s="2">
        <f ca="1">INDEX(INDIRECT(_xlfn.CONCAT("weather.tbl[",O$1,"]")),MATCH(vp.tbl[[#This Row],[SDate]],weather.tbl[Date],0))</f>
        <v>7.2166666666666668</v>
      </c>
      <c r="P158" s="2">
        <f ca="1">INDEX(INDIRECT(_xlfn.CONCAT("weather.tbl[",P$1,"]")),MATCH(vp.tbl[[#This Row],[SDate]],weather.tbl[Date],0))</f>
        <v>4.4000000000000004</v>
      </c>
      <c r="Q158" s="2">
        <f ca="1">INDEX(INDIRECT(_xlfn.CONCAT("weather.tbl[",Q$1,"]")),MATCH(vp.tbl[[#This Row],[SDate]],weather.tbl[Date],0))</f>
        <v>6</v>
      </c>
      <c r="R158" s="2">
        <f ca="1">INDEX(INDIRECT(_xlfn.CONCAT("weather.tbl[",R$1,"]")),MATCH(vp.tbl[[#This Row],[SDate]],weather.tbl[Date],0))</f>
        <v>6.3</v>
      </c>
      <c r="S158" s="2">
        <f ca="1">INDEX(INDIRECT(_xlfn.CONCAT("weather.tbl[",S$1,"]")),MATCH(vp.tbl[[#This Row],[SDate]],weather.tbl[Date],0))</f>
        <v>7</v>
      </c>
      <c r="T158" s="2">
        <f ca="1">INDEX(INDIRECT(_xlfn.CONCAT("weather.tbl[",T$1,"]")),MATCH(vp.tbl[[#This Row],[SDate]],weather.tbl[Date],0))</f>
        <v>5.8</v>
      </c>
      <c r="U158" s="2">
        <f ca="1">INDEX(INDIRECT(_xlfn.CONCAT("weather.tbl[",U$1,"]")),MATCH(vp.tbl[[#This Row],[SDate]],weather.tbl[Date],0))</f>
        <v>5.3</v>
      </c>
      <c r="V158" s="2">
        <v>6136.5</v>
      </c>
      <c r="W158" t="s">
        <v>48</v>
      </c>
      <c r="X158">
        <f>IF(OR(vp.tbl[[#This Row],[Sulf]]="",vp.tbl[[#This Row],[Dens]]=""),1,0)</f>
        <v>0</v>
      </c>
      <c r="Y158">
        <f>IF(vp.tbl[[#This Row],[CrudeType]]="C5+",1,0)</f>
        <v>0</v>
      </c>
      <c r="Z158">
        <f>IF(AND(vp.tbl[[#This Row],[CrudeType]]="Crude",vp.tbl[[#This Row],[Dens]]&lt;=825,vp.tbl[[#This Row],[Sulf]]&gt;0.5,vp.tbl[[#This Row],[Unknown]]=0),1,0)</f>
        <v>1</v>
      </c>
      <c r="AA158">
        <f>IF(AND(vp.tbl[[#This Row],[CrudeType]]="Crude",vp.tbl[[#This Row],[Dens]]&lt;=825,vp.tbl[[#This Row],[Sulf]]&lt;=0.5,vp.tbl[[#This Row],[Unknown]]=0),1,0)</f>
        <v>0</v>
      </c>
      <c r="AB158">
        <f>IF(AND(vp.tbl[[#This Row],[CrudeType]]="Crude",vp.tbl[[#This Row],[Dens]]&gt;825,vp.tbl[[#This Row],[Dens]]&lt;=870,vp.tbl[[#This Row],[Sulf]]&gt;0.5,vp.tbl[[#This Row],[Unknown]]=0),1,0)</f>
        <v>0</v>
      </c>
      <c r="AC158">
        <f>IF(AND(vp.tbl[[#This Row],[CrudeType]]="Crude",vp.tbl[[#This Row],[Dens]]&gt;825,vp.tbl[[#This Row],[Dens]]&lt;=900,vp.tbl[[#This Row],[Sulf]]&lt;=0.5,vp.tbl[[#This Row],[Unknown]]=0),1,0)</f>
        <v>0</v>
      </c>
      <c r="AD158">
        <f>IF(AND(vp.tbl[[#This Row],[CrudeType]]="Crude",vp.tbl[[#This Row],[Dens]]&gt;870,vp.tbl[[#This Row],[Dens]]&lt;=900,vp.tbl[[#This Row],[Sulf]]&gt;0.5,vp.tbl[[#This Row],[Unknown]]=0),1,0)</f>
        <v>0</v>
      </c>
      <c r="AE158">
        <f>IF(AND(vp.tbl[[#This Row],[CrudeType]]="Crude",vp.tbl[[#This Row],[Dens]]&gt;900,vp.tbl[[#This Row],[Sulf]]&lt;=0.5,vp.tbl[[#This Row],[Unknown]]=0),1,0)</f>
        <v>0</v>
      </c>
      <c r="AF158">
        <f>IF(AND(vp.tbl[[#This Row],[CrudeType]]="Crude",vp.tbl[[#This Row],[Dens]]&gt;900,vp.tbl[[#This Row],[Sulf]]&lt;=0.5,vp.tbl[[#This Row],[Unknown]]=0),1,0)</f>
        <v>0</v>
      </c>
      <c r="AG158" t="str">
        <f>INDEX(vp.tbl[[#Headers],[Unknown]:[Heavy_SW]],MATCH(1,vp.tbl[[#This Row],[Unknown]:[Heavy_SW]],0))</f>
        <v>Light_LSB</v>
      </c>
      <c r="AH158" t="e">
        <f>INDEX([1]!crudeBD.lkup[Number],MATCH(vp.tbl[[#This Row],[Crude_Breakdown]],[1]!crudeBD.lkup[Crude Breakdown],0))</f>
        <v>#REF!</v>
      </c>
      <c r="AI158">
        <f>MONTH(vp.tbl[[#This Row],[SDate]])</f>
        <v>4</v>
      </c>
      <c r="AJ158" s="5">
        <f>IFERROR(vp.tbl[[#This Row],[Sulf]]*vp.tbl[[#This Row],[Net Dens]],"")</f>
        <v>6106725.7020000005</v>
      </c>
      <c r="AK158" s="5">
        <f>IFERROR(vp.tbl[[#This Row],[Dens]]*vp.tbl[[#This Row],[VolumeM3]],"")</f>
        <v>4846607.7</v>
      </c>
      <c r="AL158" s="5">
        <f>IFERROR(vp.tbl[[#This Row],[VP]]*vp.tbl[[#This Row],[VolumeM3]],"")</f>
        <v>689128.95</v>
      </c>
      <c r="AM158" s="4">
        <f>IFERROR((vp.tbl[[#This Row],[VP]]-INDEX(crudeBD.lkup.complete[Mean_VP],MATCH(vp.tbl[[#This Row],[Crude_Breakdown]],crudeBD.lkup.complete[Crude Breakdown],0)))^2,"")</f>
        <v>430.72081351896981</v>
      </c>
      <c r="AN158" s="4">
        <f>IFERROR((vp.tbl[[#This Row],[Dens]]-INDEX(crudeBD.lkup.complete[Mean_Dens],MATCH(vp.tbl[[#This Row],[Crude_Breakdown]],crudeBD.lkup.complete[Crude Breakdown],0)))^2,"")</f>
        <v>824.65286541725641</v>
      </c>
      <c r="AO158" s="4">
        <f>IFERROR((vp.tbl[[#This Row],[Sulf]]-INDEX(crudeBD.lkup.complete[Mean_Sulf],MATCH(vp.tbl[[#This Row],[Crude_Breakdown]],crudeBD.lkup.complete[Crude Breakdown],0)))^2,"")</f>
        <v>0.11358843333985327</v>
      </c>
      <c r="AP158">
        <f>IF(AND(vp.tbl[[#This Row],[SDate]]&gt;=DATE(YEAR(vp.tbl[[#This Row],[SDate]]),5,1),vp.tbl[[#This Row],[SDate]]&lt;=DATE(YEAR(vp.tbl[[#This Row],[SDate]]),9,15)),1,0)</f>
        <v>0</v>
      </c>
      <c r="AQ158" s="15">
        <f>IF(vp.tbl[[#This Row],[SDate]]&lt;DATE(2016,12,1),0,1)</f>
        <v>0</v>
      </c>
    </row>
    <row r="159" spans="1:43" x14ac:dyDescent="0.25">
      <c r="A159">
        <v>158</v>
      </c>
      <c r="B159" t="s">
        <v>62</v>
      </c>
      <c r="C159" t="s">
        <v>62</v>
      </c>
      <c r="D159" t="s">
        <v>63</v>
      </c>
      <c r="F159" s="1">
        <v>42486</v>
      </c>
      <c r="G159" s="2">
        <v>115.6</v>
      </c>
      <c r="H159" s="2"/>
      <c r="I159" s="2">
        <v>1.26</v>
      </c>
      <c r="J159" s="2"/>
      <c r="K159" s="2"/>
      <c r="L159" s="2">
        <v>789.8</v>
      </c>
      <c r="M159" s="2">
        <v>789.8</v>
      </c>
      <c r="N159" s="2">
        <f ca="1">INDEX(INDIRECT(_xlfn.CONCAT("weather.tbl[",N$1,"]")),MATCH(vp.tbl[[#This Row],[SDate]],weather.tbl[Date],0))</f>
        <v>5.8</v>
      </c>
      <c r="O159" s="2">
        <f ca="1">INDEX(INDIRECT(_xlfn.CONCAT("weather.tbl[",O$1,"]")),MATCH(vp.tbl[[#This Row],[SDate]],weather.tbl[Date],0))</f>
        <v>7.2166666666666668</v>
      </c>
      <c r="P159" s="2">
        <f ca="1">INDEX(INDIRECT(_xlfn.CONCAT("weather.tbl[",P$1,"]")),MATCH(vp.tbl[[#This Row],[SDate]],weather.tbl[Date],0))</f>
        <v>4.4000000000000004</v>
      </c>
      <c r="Q159" s="2">
        <f ca="1">INDEX(INDIRECT(_xlfn.CONCAT("weather.tbl[",Q$1,"]")),MATCH(vp.tbl[[#This Row],[SDate]],weather.tbl[Date],0))</f>
        <v>6</v>
      </c>
      <c r="R159" s="2">
        <f ca="1">INDEX(INDIRECT(_xlfn.CONCAT("weather.tbl[",R$1,"]")),MATCH(vp.tbl[[#This Row],[SDate]],weather.tbl[Date],0))</f>
        <v>6.3</v>
      </c>
      <c r="S159" s="2">
        <f ca="1">INDEX(INDIRECT(_xlfn.CONCAT("weather.tbl[",S$1,"]")),MATCH(vp.tbl[[#This Row],[SDate]],weather.tbl[Date],0))</f>
        <v>7</v>
      </c>
      <c r="T159" s="2">
        <f ca="1">INDEX(INDIRECT(_xlfn.CONCAT("weather.tbl[",T$1,"]")),MATCH(vp.tbl[[#This Row],[SDate]],weather.tbl[Date],0))</f>
        <v>5.8</v>
      </c>
      <c r="U159" s="2">
        <f ca="1">INDEX(INDIRECT(_xlfn.CONCAT("weather.tbl[",U$1,"]")),MATCH(vp.tbl[[#This Row],[SDate]],weather.tbl[Date],0))</f>
        <v>5.3</v>
      </c>
      <c r="V159" s="2">
        <v>6136.5</v>
      </c>
      <c r="W159" t="s">
        <v>48</v>
      </c>
      <c r="X159">
        <f>IF(OR(vp.tbl[[#This Row],[Sulf]]="",vp.tbl[[#This Row],[Dens]]=""),1,0)</f>
        <v>0</v>
      </c>
      <c r="Y159">
        <f>IF(vp.tbl[[#This Row],[CrudeType]]="C5+",1,0)</f>
        <v>0</v>
      </c>
      <c r="Z159">
        <f>IF(AND(vp.tbl[[#This Row],[CrudeType]]="Crude",vp.tbl[[#This Row],[Dens]]&lt;=825,vp.tbl[[#This Row],[Sulf]]&gt;0.5,vp.tbl[[#This Row],[Unknown]]=0),1,0)</f>
        <v>1</v>
      </c>
      <c r="AA159">
        <f>IF(AND(vp.tbl[[#This Row],[CrudeType]]="Crude",vp.tbl[[#This Row],[Dens]]&lt;=825,vp.tbl[[#This Row],[Sulf]]&lt;=0.5,vp.tbl[[#This Row],[Unknown]]=0),1,0)</f>
        <v>0</v>
      </c>
      <c r="AB159">
        <f>IF(AND(vp.tbl[[#This Row],[CrudeType]]="Crude",vp.tbl[[#This Row],[Dens]]&gt;825,vp.tbl[[#This Row],[Dens]]&lt;=870,vp.tbl[[#This Row],[Sulf]]&gt;0.5,vp.tbl[[#This Row],[Unknown]]=0),1,0)</f>
        <v>0</v>
      </c>
      <c r="AC159">
        <f>IF(AND(vp.tbl[[#This Row],[CrudeType]]="Crude",vp.tbl[[#This Row],[Dens]]&gt;825,vp.tbl[[#This Row],[Dens]]&lt;=900,vp.tbl[[#This Row],[Sulf]]&lt;=0.5,vp.tbl[[#This Row],[Unknown]]=0),1,0)</f>
        <v>0</v>
      </c>
      <c r="AD159">
        <f>IF(AND(vp.tbl[[#This Row],[CrudeType]]="Crude",vp.tbl[[#This Row],[Dens]]&gt;870,vp.tbl[[#This Row],[Dens]]&lt;=900,vp.tbl[[#This Row],[Sulf]]&gt;0.5,vp.tbl[[#This Row],[Unknown]]=0),1,0)</f>
        <v>0</v>
      </c>
      <c r="AE159">
        <f>IF(AND(vp.tbl[[#This Row],[CrudeType]]="Crude",vp.tbl[[#This Row],[Dens]]&gt;900,vp.tbl[[#This Row],[Sulf]]&lt;=0.5,vp.tbl[[#This Row],[Unknown]]=0),1,0)</f>
        <v>0</v>
      </c>
      <c r="AF159">
        <f>IF(AND(vp.tbl[[#This Row],[CrudeType]]="Crude",vp.tbl[[#This Row],[Dens]]&gt;900,vp.tbl[[#This Row],[Sulf]]&lt;=0.5,vp.tbl[[#This Row],[Unknown]]=0),1,0)</f>
        <v>0</v>
      </c>
      <c r="AG159" t="str">
        <f>INDEX(vp.tbl[[#Headers],[Unknown]:[Heavy_SW]],MATCH(1,vp.tbl[[#This Row],[Unknown]:[Heavy_SW]],0))</f>
        <v>Light_LSB</v>
      </c>
      <c r="AH159" t="e">
        <f>INDEX([1]!crudeBD.lkup[Number],MATCH(vp.tbl[[#This Row],[Crude_Breakdown]],[1]!crudeBD.lkup[Crude Breakdown],0))</f>
        <v>#REF!</v>
      </c>
      <c r="AI159">
        <f>MONTH(vp.tbl[[#This Row],[SDate]])</f>
        <v>4</v>
      </c>
      <c r="AJ159" s="5">
        <f>IFERROR(vp.tbl[[#This Row],[Sulf]]*vp.tbl[[#This Row],[Net Dens]],"")</f>
        <v>6106725.7020000005</v>
      </c>
      <c r="AK159" s="5">
        <f>IFERROR(vp.tbl[[#This Row],[Dens]]*vp.tbl[[#This Row],[VolumeM3]],"")</f>
        <v>4846607.7</v>
      </c>
      <c r="AL159" s="5">
        <f>IFERROR(vp.tbl[[#This Row],[VP]]*vp.tbl[[#This Row],[VolumeM3]],"")</f>
        <v>709379.4</v>
      </c>
      <c r="AM159" s="4">
        <f>IFERROR((vp.tbl[[#This Row],[VP]]-INDEX(crudeBD.lkup.complete[Mean_VP],MATCH(vp.tbl[[#This Row],[Crude_Breakdown]],crudeBD.lkup.complete[Crude Breakdown],0)))^2,"")</f>
        <v>578.58598877670136</v>
      </c>
      <c r="AN159" s="4">
        <f>IFERROR((vp.tbl[[#This Row],[Dens]]-INDEX(crudeBD.lkup.complete[Mean_Dens],MATCH(vp.tbl[[#This Row],[Crude_Breakdown]],crudeBD.lkup.complete[Crude Breakdown],0)))^2,"")</f>
        <v>824.65286541725641</v>
      </c>
      <c r="AO159" s="4">
        <f>IFERROR((vp.tbl[[#This Row],[Sulf]]-INDEX(crudeBD.lkup.complete[Mean_Sulf],MATCH(vp.tbl[[#This Row],[Crude_Breakdown]],crudeBD.lkup.complete[Crude Breakdown],0)))^2,"")</f>
        <v>0.11358843333985327</v>
      </c>
      <c r="AP159">
        <f>IF(AND(vp.tbl[[#This Row],[SDate]]&gt;=DATE(YEAR(vp.tbl[[#This Row],[SDate]]),5,1),vp.tbl[[#This Row],[SDate]]&lt;=DATE(YEAR(vp.tbl[[#This Row],[SDate]]),9,15)),1,0)</f>
        <v>0</v>
      </c>
      <c r="AQ159" s="15">
        <f>IF(vp.tbl[[#This Row],[SDate]]&lt;DATE(2016,12,1),0,1)</f>
        <v>0</v>
      </c>
    </row>
    <row r="160" spans="1:43" x14ac:dyDescent="0.25">
      <c r="A160">
        <v>159</v>
      </c>
      <c r="B160" t="s">
        <v>49</v>
      </c>
      <c r="C160" t="s">
        <v>49</v>
      </c>
      <c r="D160" t="s">
        <v>70</v>
      </c>
      <c r="F160" s="1">
        <v>42486</v>
      </c>
      <c r="G160" s="2">
        <v>69.5</v>
      </c>
      <c r="H160" s="2"/>
      <c r="I160" s="2">
        <v>0.71</v>
      </c>
      <c r="J160" s="2"/>
      <c r="K160" s="2"/>
      <c r="L160" s="2">
        <v>825</v>
      </c>
      <c r="M160" s="2">
        <v>825</v>
      </c>
      <c r="N160" s="2">
        <f ca="1">INDEX(INDIRECT(_xlfn.CONCAT("weather.tbl[",N$1,"]")),MATCH(vp.tbl[[#This Row],[SDate]],weather.tbl[Date],0))</f>
        <v>5.8</v>
      </c>
      <c r="O160" s="2">
        <f ca="1">INDEX(INDIRECT(_xlfn.CONCAT("weather.tbl[",O$1,"]")),MATCH(vp.tbl[[#This Row],[SDate]],weather.tbl[Date],0))</f>
        <v>7.2166666666666668</v>
      </c>
      <c r="P160" s="2">
        <f ca="1">INDEX(INDIRECT(_xlfn.CONCAT("weather.tbl[",P$1,"]")),MATCH(vp.tbl[[#This Row],[SDate]],weather.tbl[Date],0))</f>
        <v>4.4000000000000004</v>
      </c>
      <c r="Q160" s="2">
        <f ca="1">INDEX(INDIRECT(_xlfn.CONCAT("weather.tbl[",Q$1,"]")),MATCH(vp.tbl[[#This Row],[SDate]],weather.tbl[Date],0))</f>
        <v>6</v>
      </c>
      <c r="R160" s="2">
        <f ca="1">INDEX(INDIRECT(_xlfn.CONCAT("weather.tbl[",R$1,"]")),MATCH(vp.tbl[[#This Row],[SDate]],weather.tbl[Date],0))</f>
        <v>6.3</v>
      </c>
      <c r="S160" s="2">
        <f ca="1">INDEX(INDIRECT(_xlfn.CONCAT("weather.tbl[",S$1,"]")),MATCH(vp.tbl[[#This Row],[SDate]],weather.tbl[Date],0))</f>
        <v>7</v>
      </c>
      <c r="T160" s="2">
        <f ca="1">INDEX(INDIRECT(_xlfn.CONCAT("weather.tbl[",T$1,"]")),MATCH(vp.tbl[[#This Row],[SDate]],weather.tbl[Date],0))</f>
        <v>5.8</v>
      </c>
      <c r="U160" s="2">
        <f ca="1">INDEX(INDIRECT(_xlfn.CONCAT("weather.tbl[",U$1,"]")),MATCH(vp.tbl[[#This Row],[SDate]],weather.tbl[Date],0))</f>
        <v>5.3</v>
      </c>
      <c r="V160" s="2">
        <v>2884.9520000000002</v>
      </c>
      <c r="W160" t="s">
        <v>48</v>
      </c>
      <c r="X160">
        <f>IF(OR(vp.tbl[[#This Row],[Sulf]]="",vp.tbl[[#This Row],[Dens]]=""),1,0)</f>
        <v>0</v>
      </c>
      <c r="Y160">
        <f>IF(vp.tbl[[#This Row],[CrudeType]]="C5+",1,0)</f>
        <v>0</v>
      </c>
      <c r="Z160">
        <f>IF(AND(vp.tbl[[#This Row],[CrudeType]]="Crude",vp.tbl[[#This Row],[Dens]]&lt;=825,vp.tbl[[#This Row],[Sulf]]&gt;0.5,vp.tbl[[#This Row],[Unknown]]=0),1,0)</f>
        <v>1</v>
      </c>
      <c r="AA160">
        <f>IF(AND(vp.tbl[[#This Row],[CrudeType]]="Crude",vp.tbl[[#This Row],[Dens]]&lt;=825,vp.tbl[[#This Row],[Sulf]]&lt;=0.5,vp.tbl[[#This Row],[Unknown]]=0),1,0)</f>
        <v>0</v>
      </c>
      <c r="AB160">
        <f>IF(AND(vp.tbl[[#This Row],[CrudeType]]="Crude",vp.tbl[[#This Row],[Dens]]&gt;825,vp.tbl[[#This Row],[Dens]]&lt;=870,vp.tbl[[#This Row],[Sulf]]&gt;0.5,vp.tbl[[#This Row],[Unknown]]=0),1,0)</f>
        <v>0</v>
      </c>
      <c r="AC160">
        <f>IF(AND(vp.tbl[[#This Row],[CrudeType]]="Crude",vp.tbl[[#This Row],[Dens]]&gt;825,vp.tbl[[#This Row],[Dens]]&lt;=900,vp.tbl[[#This Row],[Sulf]]&lt;=0.5,vp.tbl[[#This Row],[Unknown]]=0),1,0)</f>
        <v>0</v>
      </c>
      <c r="AD160">
        <f>IF(AND(vp.tbl[[#This Row],[CrudeType]]="Crude",vp.tbl[[#This Row],[Dens]]&gt;870,vp.tbl[[#This Row],[Dens]]&lt;=900,vp.tbl[[#This Row],[Sulf]]&gt;0.5,vp.tbl[[#This Row],[Unknown]]=0),1,0)</f>
        <v>0</v>
      </c>
      <c r="AE160">
        <f>IF(AND(vp.tbl[[#This Row],[CrudeType]]="Crude",vp.tbl[[#This Row],[Dens]]&gt;900,vp.tbl[[#This Row],[Sulf]]&lt;=0.5,vp.tbl[[#This Row],[Unknown]]=0),1,0)</f>
        <v>0</v>
      </c>
      <c r="AF160">
        <f>IF(AND(vp.tbl[[#This Row],[CrudeType]]="Crude",vp.tbl[[#This Row],[Dens]]&gt;900,vp.tbl[[#This Row],[Sulf]]&lt;=0.5,vp.tbl[[#This Row],[Unknown]]=0),1,0)</f>
        <v>0</v>
      </c>
      <c r="AG160" t="str">
        <f>INDEX(vp.tbl[[#Headers],[Unknown]:[Heavy_SW]],MATCH(1,vp.tbl[[#This Row],[Unknown]:[Heavy_SW]],0))</f>
        <v>Light_LSB</v>
      </c>
      <c r="AH160" t="e">
        <f>INDEX([1]!crudeBD.lkup[Number],MATCH(vp.tbl[[#This Row],[Crude_Breakdown]],[1]!crudeBD.lkup[Crude Breakdown],0))</f>
        <v>#REF!</v>
      </c>
      <c r="AI160">
        <f>MONTH(vp.tbl[[#This Row],[SDate]])</f>
        <v>4</v>
      </c>
      <c r="AJ160" s="5">
        <f>IFERROR(vp.tbl[[#This Row],[Sulf]]*vp.tbl[[#This Row],[Net Dens]],"")</f>
        <v>1689860.6340000001</v>
      </c>
      <c r="AK160" s="5">
        <f>IFERROR(vp.tbl[[#This Row],[Dens]]*vp.tbl[[#This Row],[VolumeM3]],"")</f>
        <v>2380085.4000000004</v>
      </c>
      <c r="AL160" s="5">
        <f>IFERROR(vp.tbl[[#This Row],[VP]]*vp.tbl[[#This Row],[VolumeM3]],"")</f>
        <v>200504.16400000002</v>
      </c>
      <c r="AM160" s="4">
        <f>IFERROR((vp.tbl[[#This Row],[VP]]-INDEX(crudeBD.lkup.complete[Mean_VP],MATCH(vp.tbl[[#This Row],[Crude_Breakdown]],crudeBD.lkup.complete[Crude Breakdown],0)))^2,"")</f>
        <v>486.03429805505505</v>
      </c>
      <c r="AN160" s="4">
        <f>IFERROR((vp.tbl[[#This Row],[Dens]]-INDEX(crudeBD.lkup.complete[Mean_Dens],MATCH(vp.tbl[[#This Row],[Crude_Breakdown]],crudeBD.lkup.complete[Crude Breakdown],0)))^2,"")</f>
        <v>42.032274351983858</v>
      </c>
      <c r="AO160" s="4">
        <f>IFERROR((vp.tbl[[#This Row],[Sulf]]-INDEX(crudeBD.lkup.complete[Mean_Sulf],MATCH(vp.tbl[[#This Row],[Crude_Breakdown]],crudeBD.lkup.complete[Crude Breakdown],0)))^2,"")</f>
        <v>4.5356718563220697E-2</v>
      </c>
      <c r="AP160">
        <f>IF(AND(vp.tbl[[#This Row],[SDate]]&gt;=DATE(YEAR(vp.tbl[[#This Row],[SDate]]),5,1),vp.tbl[[#This Row],[SDate]]&lt;=DATE(YEAR(vp.tbl[[#This Row],[SDate]]),9,15)),1,0)</f>
        <v>0</v>
      </c>
      <c r="AQ160" s="15">
        <f>IF(vp.tbl[[#This Row],[SDate]]&lt;DATE(2016,12,1),0,1)</f>
        <v>0</v>
      </c>
    </row>
    <row r="161" spans="1:43" x14ac:dyDescent="0.25">
      <c r="A161">
        <v>160</v>
      </c>
      <c r="B161" t="s">
        <v>51</v>
      </c>
      <c r="C161" t="s">
        <v>51</v>
      </c>
      <c r="D161" t="s">
        <v>72</v>
      </c>
      <c r="F161" s="1">
        <v>42486</v>
      </c>
      <c r="G161" s="2">
        <v>117.3</v>
      </c>
      <c r="H161" s="2"/>
      <c r="I161" s="2">
        <v>1.08</v>
      </c>
      <c r="J161" s="2"/>
      <c r="K161" s="2"/>
      <c r="L161" s="2">
        <v>841.6</v>
      </c>
      <c r="M161" s="2">
        <v>841.6</v>
      </c>
      <c r="N161" s="2">
        <f ca="1">INDEX(INDIRECT(_xlfn.CONCAT("weather.tbl[",N$1,"]")),MATCH(vp.tbl[[#This Row],[SDate]],weather.tbl[Date],0))</f>
        <v>5.8</v>
      </c>
      <c r="O161" s="2">
        <f ca="1">INDEX(INDIRECT(_xlfn.CONCAT("weather.tbl[",O$1,"]")),MATCH(vp.tbl[[#This Row],[SDate]],weather.tbl[Date],0))</f>
        <v>7.2166666666666668</v>
      </c>
      <c r="P161" s="2">
        <f ca="1">INDEX(INDIRECT(_xlfn.CONCAT("weather.tbl[",P$1,"]")),MATCH(vp.tbl[[#This Row],[SDate]],weather.tbl[Date],0))</f>
        <v>4.4000000000000004</v>
      </c>
      <c r="Q161" s="2">
        <f ca="1">INDEX(INDIRECT(_xlfn.CONCAT("weather.tbl[",Q$1,"]")),MATCH(vp.tbl[[#This Row],[SDate]],weather.tbl[Date],0))</f>
        <v>6</v>
      </c>
      <c r="R161" s="2">
        <f ca="1">INDEX(INDIRECT(_xlfn.CONCAT("weather.tbl[",R$1,"]")),MATCH(vp.tbl[[#This Row],[SDate]],weather.tbl[Date],0))</f>
        <v>6.3</v>
      </c>
      <c r="S161" s="2">
        <f ca="1">INDEX(INDIRECT(_xlfn.CONCAT("weather.tbl[",S$1,"]")),MATCH(vp.tbl[[#This Row],[SDate]],weather.tbl[Date],0))</f>
        <v>7</v>
      </c>
      <c r="T161" s="2">
        <f ca="1">INDEX(INDIRECT(_xlfn.CONCAT("weather.tbl[",T$1,"]")),MATCH(vp.tbl[[#This Row],[SDate]],weather.tbl[Date],0))</f>
        <v>5.8</v>
      </c>
      <c r="U161" s="2">
        <f ca="1">INDEX(INDIRECT(_xlfn.CONCAT("weather.tbl[",U$1,"]")),MATCH(vp.tbl[[#This Row],[SDate]],weather.tbl[Date],0))</f>
        <v>5.3</v>
      </c>
      <c r="V161" s="2">
        <v>3846.4929999999999</v>
      </c>
      <c r="W161" t="s">
        <v>48</v>
      </c>
      <c r="X161">
        <f>IF(OR(vp.tbl[[#This Row],[Sulf]]="",vp.tbl[[#This Row],[Dens]]=""),1,0)</f>
        <v>0</v>
      </c>
      <c r="Y161">
        <f>IF(vp.tbl[[#This Row],[CrudeType]]="C5+",1,0)</f>
        <v>0</v>
      </c>
      <c r="Z161">
        <f>IF(AND(vp.tbl[[#This Row],[CrudeType]]="Crude",vp.tbl[[#This Row],[Dens]]&lt;=825,vp.tbl[[#This Row],[Sulf]]&gt;0.5,vp.tbl[[#This Row],[Unknown]]=0),1,0)</f>
        <v>0</v>
      </c>
      <c r="AA161">
        <f>IF(AND(vp.tbl[[#This Row],[CrudeType]]="Crude",vp.tbl[[#This Row],[Dens]]&lt;=825,vp.tbl[[#This Row],[Sulf]]&lt;=0.5,vp.tbl[[#This Row],[Unknown]]=0),1,0)</f>
        <v>0</v>
      </c>
      <c r="AB161">
        <f>IF(AND(vp.tbl[[#This Row],[CrudeType]]="Crude",vp.tbl[[#This Row],[Dens]]&gt;825,vp.tbl[[#This Row],[Dens]]&lt;=870,vp.tbl[[#This Row],[Sulf]]&gt;0.5,vp.tbl[[#This Row],[Unknown]]=0),1,0)</f>
        <v>1</v>
      </c>
      <c r="AC161">
        <f>IF(AND(vp.tbl[[#This Row],[CrudeType]]="Crude",vp.tbl[[#This Row],[Dens]]&gt;825,vp.tbl[[#This Row],[Dens]]&lt;=900,vp.tbl[[#This Row],[Sulf]]&lt;=0.5,vp.tbl[[#This Row],[Unknown]]=0),1,0)</f>
        <v>0</v>
      </c>
      <c r="AD161">
        <f>IF(AND(vp.tbl[[#This Row],[CrudeType]]="Crude",vp.tbl[[#This Row],[Dens]]&gt;870,vp.tbl[[#This Row],[Dens]]&lt;=900,vp.tbl[[#This Row],[Sulf]]&gt;0.5,vp.tbl[[#This Row],[Unknown]]=0),1,0)</f>
        <v>0</v>
      </c>
      <c r="AE161">
        <f>IF(AND(vp.tbl[[#This Row],[CrudeType]]="Crude",vp.tbl[[#This Row],[Dens]]&gt;900,vp.tbl[[#This Row],[Sulf]]&lt;=0.5,vp.tbl[[#This Row],[Unknown]]=0),1,0)</f>
        <v>0</v>
      </c>
      <c r="AF161">
        <f>IF(AND(vp.tbl[[#This Row],[CrudeType]]="Crude",vp.tbl[[#This Row],[Dens]]&gt;900,vp.tbl[[#This Row],[Sulf]]&lt;=0.5,vp.tbl[[#This Row],[Unknown]]=0),1,0)</f>
        <v>0</v>
      </c>
      <c r="AG161" t="str">
        <f>INDEX(vp.tbl[[#Headers],[Unknown]:[Heavy_SW]],MATCH(1,vp.tbl[[#This Row],[Unknown]:[Heavy_SW]],0))</f>
        <v>Medium_LSB</v>
      </c>
      <c r="AH161" t="e">
        <f>INDEX([1]!crudeBD.lkup[Number],MATCH(vp.tbl[[#This Row],[Crude_Breakdown]],[1]!crudeBD.lkup[Crude Breakdown],0))</f>
        <v>#REF!</v>
      </c>
      <c r="AI161">
        <f>MONTH(vp.tbl[[#This Row],[SDate]])</f>
        <v>4</v>
      </c>
      <c r="AJ161" s="5">
        <f>IFERROR(vp.tbl[[#This Row],[Sulf]]*vp.tbl[[#This Row],[Net Dens]],"")</f>
        <v>3496185.1895040004</v>
      </c>
      <c r="AK161" s="5">
        <f>IFERROR(vp.tbl[[#This Row],[Dens]]*vp.tbl[[#This Row],[VolumeM3]],"")</f>
        <v>3237208.5088</v>
      </c>
      <c r="AL161" s="5">
        <f>IFERROR(vp.tbl[[#This Row],[VP]]*vp.tbl[[#This Row],[VolumeM3]],"")</f>
        <v>451193.62890000001</v>
      </c>
      <c r="AM161" s="4">
        <f>IFERROR((vp.tbl[[#This Row],[VP]]-INDEX(crudeBD.lkup.complete[Mean_VP],MATCH(vp.tbl[[#This Row],[Crude_Breakdown]],crudeBD.lkup.complete[Crude Breakdown],0)))^2,"")</f>
        <v>1378.3699529235726</v>
      </c>
      <c r="AN161" s="4">
        <f>IFERROR((vp.tbl[[#This Row],[Dens]]-INDEX(crudeBD.lkup.complete[Mean_Dens],MATCH(vp.tbl[[#This Row],[Crude_Breakdown]],crudeBD.lkup.complete[Crude Breakdown],0)))^2,"")</f>
        <v>13.62955547443576</v>
      </c>
      <c r="AO161" s="4">
        <f>IFERROR((vp.tbl[[#This Row],[Sulf]]-INDEX(crudeBD.lkup.complete[Mean_Sulf],MATCH(vp.tbl[[#This Row],[Crude_Breakdown]],crudeBD.lkup.complete[Crude Breakdown],0)))^2,"")</f>
        <v>0.14057240048913436</v>
      </c>
      <c r="AP161">
        <f>IF(AND(vp.tbl[[#This Row],[SDate]]&gt;=DATE(YEAR(vp.tbl[[#This Row],[SDate]]),5,1),vp.tbl[[#This Row],[SDate]]&lt;=DATE(YEAR(vp.tbl[[#This Row],[SDate]]),9,15)),1,0)</f>
        <v>0</v>
      </c>
      <c r="AQ161" s="15">
        <f>IF(vp.tbl[[#This Row],[SDate]]&lt;DATE(2016,12,1),0,1)</f>
        <v>0</v>
      </c>
    </row>
    <row r="162" spans="1:43" x14ac:dyDescent="0.25">
      <c r="A162">
        <v>161</v>
      </c>
      <c r="B162" t="s">
        <v>49</v>
      </c>
      <c r="C162" t="s">
        <v>49</v>
      </c>
      <c r="D162" t="s">
        <v>59</v>
      </c>
      <c r="F162" s="1">
        <v>42486</v>
      </c>
      <c r="G162" s="2">
        <v>67.400000000000006</v>
      </c>
      <c r="H162" s="2"/>
      <c r="I162" s="2">
        <v>1.53</v>
      </c>
      <c r="J162" s="2"/>
      <c r="K162" s="2"/>
      <c r="L162" s="2">
        <v>846.5</v>
      </c>
      <c r="M162" s="2">
        <v>846.5</v>
      </c>
      <c r="N162" s="2">
        <f ca="1">INDEX(INDIRECT(_xlfn.CONCAT("weather.tbl[",N$1,"]")),MATCH(vp.tbl[[#This Row],[SDate]],weather.tbl[Date],0))</f>
        <v>5.8</v>
      </c>
      <c r="O162" s="2">
        <f ca="1">INDEX(INDIRECT(_xlfn.CONCAT("weather.tbl[",O$1,"]")),MATCH(vp.tbl[[#This Row],[SDate]],weather.tbl[Date],0))</f>
        <v>7.2166666666666668</v>
      </c>
      <c r="P162" s="2">
        <f ca="1">INDEX(INDIRECT(_xlfn.CONCAT("weather.tbl[",P$1,"]")),MATCH(vp.tbl[[#This Row],[SDate]],weather.tbl[Date],0))</f>
        <v>4.4000000000000004</v>
      </c>
      <c r="Q162" s="2">
        <f ca="1">INDEX(INDIRECT(_xlfn.CONCAT("weather.tbl[",Q$1,"]")),MATCH(vp.tbl[[#This Row],[SDate]],weather.tbl[Date],0))</f>
        <v>6</v>
      </c>
      <c r="R162" s="2">
        <f ca="1">INDEX(INDIRECT(_xlfn.CONCAT("weather.tbl[",R$1,"]")),MATCH(vp.tbl[[#This Row],[SDate]],weather.tbl[Date],0))</f>
        <v>6.3</v>
      </c>
      <c r="S162" s="2">
        <f ca="1">INDEX(INDIRECT(_xlfn.CONCAT("weather.tbl[",S$1,"]")),MATCH(vp.tbl[[#This Row],[SDate]],weather.tbl[Date],0))</f>
        <v>7</v>
      </c>
      <c r="T162" s="2">
        <f ca="1">INDEX(INDIRECT(_xlfn.CONCAT("weather.tbl[",T$1,"]")),MATCH(vp.tbl[[#This Row],[SDate]],weather.tbl[Date],0))</f>
        <v>5.8</v>
      </c>
      <c r="U162" s="2">
        <f ca="1">INDEX(INDIRECT(_xlfn.CONCAT("weather.tbl[",U$1,"]")),MATCH(vp.tbl[[#This Row],[SDate]],weather.tbl[Date],0))</f>
        <v>5.3</v>
      </c>
      <c r="V162" s="2">
        <v>1897.519</v>
      </c>
      <c r="W162" t="s">
        <v>48</v>
      </c>
      <c r="X162">
        <f>IF(OR(vp.tbl[[#This Row],[Sulf]]="",vp.tbl[[#This Row],[Dens]]=""),1,0)</f>
        <v>0</v>
      </c>
      <c r="Y162">
        <f>IF(vp.tbl[[#This Row],[CrudeType]]="C5+",1,0)</f>
        <v>0</v>
      </c>
      <c r="Z162">
        <f>IF(AND(vp.tbl[[#This Row],[CrudeType]]="Crude",vp.tbl[[#This Row],[Dens]]&lt;=825,vp.tbl[[#This Row],[Sulf]]&gt;0.5,vp.tbl[[#This Row],[Unknown]]=0),1,0)</f>
        <v>0</v>
      </c>
      <c r="AA162">
        <f>IF(AND(vp.tbl[[#This Row],[CrudeType]]="Crude",vp.tbl[[#This Row],[Dens]]&lt;=825,vp.tbl[[#This Row],[Sulf]]&lt;=0.5,vp.tbl[[#This Row],[Unknown]]=0),1,0)</f>
        <v>0</v>
      </c>
      <c r="AB162">
        <f>IF(AND(vp.tbl[[#This Row],[CrudeType]]="Crude",vp.tbl[[#This Row],[Dens]]&gt;825,vp.tbl[[#This Row],[Dens]]&lt;=870,vp.tbl[[#This Row],[Sulf]]&gt;0.5,vp.tbl[[#This Row],[Unknown]]=0),1,0)</f>
        <v>1</v>
      </c>
      <c r="AC162">
        <f>IF(AND(vp.tbl[[#This Row],[CrudeType]]="Crude",vp.tbl[[#This Row],[Dens]]&gt;825,vp.tbl[[#This Row],[Dens]]&lt;=900,vp.tbl[[#This Row],[Sulf]]&lt;=0.5,vp.tbl[[#This Row],[Unknown]]=0),1,0)</f>
        <v>0</v>
      </c>
      <c r="AD162">
        <f>IF(AND(vp.tbl[[#This Row],[CrudeType]]="Crude",vp.tbl[[#This Row],[Dens]]&gt;870,vp.tbl[[#This Row],[Dens]]&lt;=900,vp.tbl[[#This Row],[Sulf]]&gt;0.5,vp.tbl[[#This Row],[Unknown]]=0),1,0)</f>
        <v>0</v>
      </c>
      <c r="AE162">
        <f>IF(AND(vp.tbl[[#This Row],[CrudeType]]="Crude",vp.tbl[[#This Row],[Dens]]&gt;900,vp.tbl[[#This Row],[Sulf]]&lt;=0.5,vp.tbl[[#This Row],[Unknown]]=0),1,0)</f>
        <v>0</v>
      </c>
      <c r="AF162">
        <f>IF(AND(vp.tbl[[#This Row],[CrudeType]]="Crude",vp.tbl[[#This Row],[Dens]]&gt;900,vp.tbl[[#This Row],[Sulf]]&lt;=0.5,vp.tbl[[#This Row],[Unknown]]=0),1,0)</f>
        <v>0</v>
      </c>
      <c r="AG162" t="str">
        <f>INDEX(vp.tbl[[#Headers],[Unknown]:[Heavy_SW]],MATCH(1,vp.tbl[[#This Row],[Unknown]:[Heavy_SW]],0))</f>
        <v>Medium_LSB</v>
      </c>
      <c r="AH162" t="e">
        <f>INDEX([1]!crudeBD.lkup[Number],MATCH(vp.tbl[[#This Row],[Crude_Breakdown]],[1]!crudeBD.lkup[Crude Breakdown],0))</f>
        <v>#REF!</v>
      </c>
      <c r="AI162">
        <f>MONTH(vp.tbl[[#This Row],[SDate]])</f>
        <v>4</v>
      </c>
      <c r="AJ162" s="5">
        <f>IFERROR(vp.tbl[[#This Row],[Sulf]]*vp.tbl[[#This Row],[Net Dens]],"")</f>
        <v>2457562.245255</v>
      </c>
      <c r="AK162" s="5">
        <f>IFERROR(vp.tbl[[#This Row],[Dens]]*vp.tbl[[#This Row],[VolumeM3]],"")</f>
        <v>1606249.8334999999</v>
      </c>
      <c r="AL162" s="5">
        <f>IFERROR(vp.tbl[[#This Row],[VP]]*vp.tbl[[#This Row],[VolumeM3]],"")</f>
        <v>127892.78060000001</v>
      </c>
      <c r="AM162" s="4">
        <f>IFERROR((vp.tbl[[#This Row],[VP]]-INDEX(crudeBD.lkup.complete[Mean_VP],MATCH(vp.tbl[[#This Row],[Crude_Breakdown]],crudeBD.lkup.complete[Crude Breakdown],0)))^2,"")</f>
        <v>163.16472760711315</v>
      </c>
      <c r="AN162" s="4">
        <f>IFERROR((vp.tbl[[#This Row],[Dens]]-INDEX(crudeBD.lkup.complete[Mean_Dens],MATCH(vp.tbl[[#This Row],[Crude_Breakdown]],crudeBD.lkup.complete[Crude Breakdown],0)))^2,"")</f>
        <v>1.459692183306337</v>
      </c>
      <c r="AO162" s="4">
        <f>IFERROR((vp.tbl[[#This Row],[Sulf]]-INDEX(crudeBD.lkup.complete[Mean_Sulf],MATCH(vp.tbl[[#This Row],[Crude_Breakdown]],crudeBD.lkup.complete[Crude Breakdown],0)))^2,"")</f>
        <v>5.6355258055887899E-3</v>
      </c>
      <c r="AP162">
        <f>IF(AND(vp.tbl[[#This Row],[SDate]]&gt;=DATE(YEAR(vp.tbl[[#This Row],[SDate]]),5,1),vp.tbl[[#This Row],[SDate]]&lt;=DATE(YEAR(vp.tbl[[#This Row],[SDate]]),9,15)),1,0)</f>
        <v>0</v>
      </c>
      <c r="AQ162" s="15">
        <f>IF(vp.tbl[[#This Row],[SDate]]&lt;DATE(2016,12,1),0,1)</f>
        <v>0</v>
      </c>
    </row>
    <row r="163" spans="1:43" x14ac:dyDescent="0.25">
      <c r="A163">
        <v>162</v>
      </c>
      <c r="B163" t="s">
        <v>51</v>
      </c>
      <c r="C163" t="s">
        <v>51</v>
      </c>
      <c r="D163" t="s">
        <v>66</v>
      </c>
      <c r="F163" s="1">
        <v>42487</v>
      </c>
      <c r="G163" s="2">
        <v>111.6</v>
      </c>
      <c r="H163" s="2"/>
      <c r="I163" s="2">
        <v>0.9</v>
      </c>
      <c r="J163" s="2"/>
      <c r="K163" s="2"/>
      <c r="L163" s="2">
        <v>826.7</v>
      </c>
      <c r="M163" s="2">
        <v>826.7</v>
      </c>
      <c r="N163" s="2">
        <f ca="1">INDEX(INDIRECT(_xlfn.CONCAT("weather.tbl[",N$1,"]")),MATCH(vp.tbl[[#This Row],[SDate]],weather.tbl[Date],0))</f>
        <v>8.8833333333333329</v>
      </c>
      <c r="O163" s="2">
        <f ca="1">INDEX(INDIRECT(_xlfn.CONCAT("weather.tbl[",O$1,"]")),MATCH(vp.tbl[[#This Row],[SDate]],weather.tbl[Date],0))</f>
        <v>6.6000000000000005</v>
      </c>
      <c r="P163" s="2">
        <f ca="1">INDEX(INDIRECT(_xlfn.CONCAT("weather.tbl[",P$1,"]")),MATCH(vp.tbl[[#This Row],[SDate]],weather.tbl[Date],0))</f>
        <v>9.1999999999999993</v>
      </c>
      <c r="Q163" s="2">
        <f ca="1">INDEX(INDIRECT(_xlfn.CONCAT("weather.tbl[",Q$1,"]")),MATCH(vp.tbl[[#This Row],[SDate]],weather.tbl[Date],0))</f>
        <v>9.5</v>
      </c>
      <c r="R163" s="2">
        <f ca="1">INDEX(INDIRECT(_xlfn.CONCAT("weather.tbl[",R$1,"]")),MATCH(vp.tbl[[#This Row],[SDate]],weather.tbl[Date],0))</f>
        <v>6.3</v>
      </c>
      <c r="S163" s="2">
        <f ca="1">INDEX(INDIRECT(_xlfn.CONCAT("weather.tbl[",S$1,"]")),MATCH(vp.tbl[[#This Row],[SDate]],weather.tbl[Date],0))</f>
        <v>10.5</v>
      </c>
      <c r="T163" s="2">
        <f ca="1">INDEX(INDIRECT(_xlfn.CONCAT("weather.tbl[",T$1,"]")),MATCH(vp.tbl[[#This Row],[SDate]],weather.tbl[Date],0))</f>
        <v>8.5</v>
      </c>
      <c r="U163" s="2">
        <f ca="1">INDEX(INDIRECT(_xlfn.CONCAT("weather.tbl[",U$1,"]")),MATCH(vp.tbl[[#This Row],[SDate]],weather.tbl[Date],0))</f>
        <v>9.3000000000000007</v>
      </c>
      <c r="V163" s="2">
        <v>3331.0340000000001</v>
      </c>
      <c r="W163" t="s">
        <v>48</v>
      </c>
      <c r="X163">
        <f>IF(OR(vp.tbl[[#This Row],[Sulf]]="",vp.tbl[[#This Row],[Dens]]=""),1,0)</f>
        <v>0</v>
      </c>
      <c r="Y163">
        <f>IF(vp.tbl[[#This Row],[CrudeType]]="C5+",1,0)</f>
        <v>0</v>
      </c>
      <c r="Z163">
        <f>IF(AND(vp.tbl[[#This Row],[CrudeType]]="Crude",vp.tbl[[#This Row],[Dens]]&lt;=825,vp.tbl[[#This Row],[Sulf]]&gt;0.5,vp.tbl[[#This Row],[Unknown]]=0),1,0)</f>
        <v>0</v>
      </c>
      <c r="AA163">
        <f>IF(AND(vp.tbl[[#This Row],[CrudeType]]="Crude",vp.tbl[[#This Row],[Dens]]&lt;=825,vp.tbl[[#This Row],[Sulf]]&lt;=0.5,vp.tbl[[#This Row],[Unknown]]=0),1,0)</f>
        <v>0</v>
      </c>
      <c r="AB163">
        <f>IF(AND(vp.tbl[[#This Row],[CrudeType]]="Crude",vp.tbl[[#This Row],[Dens]]&gt;825,vp.tbl[[#This Row],[Dens]]&lt;=870,vp.tbl[[#This Row],[Sulf]]&gt;0.5,vp.tbl[[#This Row],[Unknown]]=0),1,0)</f>
        <v>1</v>
      </c>
      <c r="AC163">
        <f>IF(AND(vp.tbl[[#This Row],[CrudeType]]="Crude",vp.tbl[[#This Row],[Dens]]&gt;825,vp.tbl[[#This Row],[Dens]]&lt;=900,vp.tbl[[#This Row],[Sulf]]&lt;=0.5,vp.tbl[[#This Row],[Unknown]]=0),1,0)</f>
        <v>0</v>
      </c>
      <c r="AD163">
        <f>IF(AND(vp.tbl[[#This Row],[CrudeType]]="Crude",vp.tbl[[#This Row],[Dens]]&gt;870,vp.tbl[[#This Row],[Dens]]&lt;=900,vp.tbl[[#This Row],[Sulf]]&gt;0.5,vp.tbl[[#This Row],[Unknown]]=0),1,0)</f>
        <v>0</v>
      </c>
      <c r="AE163">
        <f>IF(AND(vp.tbl[[#This Row],[CrudeType]]="Crude",vp.tbl[[#This Row],[Dens]]&gt;900,vp.tbl[[#This Row],[Sulf]]&lt;=0.5,vp.tbl[[#This Row],[Unknown]]=0),1,0)</f>
        <v>0</v>
      </c>
      <c r="AF163">
        <f>IF(AND(vp.tbl[[#This Row],[CrudeType]]="Crude",vp.tbl[[#This Row],[Dens]]&gt;900,vp.tbl[[#This Row],[Sulf]]&lt;=0.5,vp.tbl[[#This Row],[Unknown]]=0),1,0)</f>
        <v>0</v>
      </c>
      <c r="AG163" t="str">
        <f>INDEX(vp.tbl[[#Headers],[Unknown]:[Heavy_SW]],MATCH(1,vp.tbl[[#This Row],[Unknown]:[Heavy_SW]],0))</f>
        <v>Medium_LSB</v>
      </c>
      <c r="AH163" t="e">
        <f>INDEX([1]!crudeBD.lkup[Number],MATCH(vp.tbl[[#This Row],[Crude_Breakdown]],[1]!crudeBD.lkup[Crude Breakdown],0))</f>
        <v>#REF!</v>
      </c>
      <c r="AI163">
        <f>MONTH(vp.tbl[[#This Row],[SDate]])</f>
        <v>4</v>
      </c>
      <c r="AJ163" s="5">
        <f>IFERROR(vp.tbl[[#This Row],[Sulf]]*vp.tbl[[#This Row],[Net Dens]],"")</f>
        <v>2478389.2270200001</v>
      </c>
      <c r="AK163" s="5">
        <f>IFERROR(vp.tbl[[#This Row],[Dens]]*vp.tbl[[#This Row],[VolumeM3]],"")</f>
        <v>2753765.8078000001</v>
      </c>
      <c r="AL163" s="5">
        <f>IFERROR(vp.tbl[[#This Row],[VP]]*vp.tbl[[#This Row],[VolumeM3]],"")</f>
        <v>371743.39439999999</v>
      </c>
      <c r="AM163" s="4">
        <f>IFERROR((vp.tbl[[#This Row],[VP]]-INDEX(crudeBD.lkup.complete[Mean_VP],MATCH(vp.tbl[[#This Row],[Crude_Breakdown]],crudeBD.lkup.complete[Crude Breakdown],0)))^2,"")</f>
        <v>987.61893520205297</v>
      </c>
      <c r="AN163" s="4">
        <f>IFERROR((vp.tbl[[#This Row],[Dens]]-INDEX(crudeBD.lkup.complete[Mean_Dens],MATCH(vp.tbl[[#This Row],[Crude_Breakdown]],crudeBD.lkup.complete[Crude Breakdown],0)))^2,"")</f>
        <v>345.65587446174669</v>
      </c>
      <c r="AO163" s="4">
        <f>IFERROR((vp.tbl[[#This Row],[Sulf]]-INDEX(crudeBD.lkup.complete[Mean_Sulf],MATCH(vp.tbl[[#This Row],[Crude_Breakdown]],crudeBD.lkup.complete[Crude Breakdown],0)))^2,"")</f>
        <v>0.30794715036255266</v>
      </c>
      <c r="AP163">
        <f>IF(AND(vp.tbl[[#This Row],[SDate]]&gt;=DATE(YEAR(vp.tbl[[#This Row],[SDate]]),5,1),vp.tbl[[#This Row],[SDate]]&lt;=DATE(YEAR(vp.tbl[[#This Row],[SDate]]),9,15)),1,0)</f>
        <v>0</v>
      </c>
      <c r="AQ163" s="15">
        <f>IF(vp.tbl[[#This Row],[SDate]]&lt;DATE(2016,12,1),0,1)</f>
        <v>0</v>
      </c>
    </row>
    <row r="164" spans="1:43" x14ac:dyDescent="0.25">
      <c r="A164">
        <v>163</v>
      </c>
      <c r="B164" t="s">
        <v>49</v>
      </c>
      <c r="C164" t="s">
        <v>49</v>
      </c>
      <c r="D164" t="s">
        <v>50</v>
      </c>
      <c r="F164" s="1">
        <v>42487</v>
      </c>
      <c r="G164" s="2">
        <v>73.900000000000006</v>
      </c>
      <c r="H164" s="2"/>
      <c r="I164" s="2">
        <v>2.59</v>
      </c>
      <c r="J164" s="2"/>
      <c r="K164" s="2"/>
      <c r="L164" s="2">
        <v>877</v>
      </c>
      <c r="M164" s="2">
        <v>877</v>
      </c>
      <c r="N164" s="2">
        <f ca="1">INDEX(INDIRECT(_xlfn.CONCAT("weather.tbl[",N$1,"]")),MATCH(vp.tbl[[#This Row],[SDate]],weather.tbl[Date],0))</f>
        <v>8.8833333333333329</v>
      </c>
      <c r="O164" s="2">
        <f ca="1">INDEX(INDIRECT(_xlfn.CONCAT("weather.tbl[",O$1,"]")),MATCH(vp.tbl[[#This Row],[SDate]],weather.tbl[Date],0))</f>
        <v>6.6000000000000005</v>
      </c>
      <c r="P164" s="2">
        <f ca="1">INDEX(INDIRECT(_xlfn.CONCAT("weather.tbl[",P$1,"]")),MATCH(vp.tbl[[#This Row],[SDate]],weather.tbl[Date],0))</f>
        <v>9.1999999999999993</v>
      </c>
      <c r="Q164" s="2">
        <f ca="1">INDEX(INDIRECT(_xlfn.CONCAT("weather.tbl[",Q$1,"]")),MATCH(vp.tbl[[#This Row],[SDate]],weather.tbl[Date],0))</f>
        <v>9.5</v>
      </c>
      <c r="R164" s="2">
        <f ca="1">INDEX(INDIRECT(_xlfn.CONCAT("weather.tbl[",R$1,"]")),MATCH(vp.tbl[[#This Row],[SDate]],weather.tbl[Date],0))</f>
        <v>6.3</v>
      </c>
      <c r="S164" s="2">
        <f ca="1">INDEX(INDIRECT(_xlfn.CONCAT("weather.tbl[",S$1,"]")),MATCH(vp.tbl[[#This Row],[SDate]],weather.tbl[Date],0))</f>
        <v>10.5</v>
      </c>
      <c r="T164" s="2">
        <f ca="1">INDEX(INDIRECT(_xlfn.CONCAT("weather.tbl[",T$1,"]")),MATCH(vp.tbl[[#This Row],[SDate]],weather.tbl[Date],0))</f>
        <v>8.5</v>
      </c>
      <c r="U164" s="2">
        <f ca="1">INDEX(INDIRECT(_xlfn.CONCAT("weather.tbl[",U$1,"]")),MATCH(vp.tbl[[#This Row],[SDate]],weather.tbl[Date],0))</f>
        <v>9.3000000000000007</v>
      </c>
      <c r="V164" s="2">
        <v>8132.3109999999997</v>
      </c>
      <c r="W164" t="s">
        <v>48</v>
      </c>
      <c r="X164">
        <f>IF(OR(vp.tbl[[#This Row],[Sulf]]="",vp.tbl[[#This Row],[Dens]]=""),1,0)</f>
        <v>0</v>
      </c>
      <c r="Y164">
        <f>IF(vp.tbl[[#This Row],[CrudeType]]="C5+",1,0)</f>
        <v>0</v>
      </c>
      <c r="Z164">
        <f>IF(AND(vp.tbl[[#This Row],[CrudeType]]="Crude",vp.tbl[[#This Row],[Dens]]&lt;=825,vp.tbl[[#This Row],[Sulf]]&gt;0.5,vp.tbl[[#This Row],[Unknown]]=0),1,0)</f>
        <v>0</v>
      </c>
      <c r="AA164">
        <f>IF(AND(vp.tbl[[#This Row],[CrudeType]]="Crude",vp.tbl[[#This Row],[Dens]]&lt;=825,vp.tbl[[#This Row],[Sulf]]&lt;=0.5,vp.tbl[[#This Row],[Unknown]]=0),1,0)</f>
        <v>0</v>
      </c>
      <c r="AB164">
        <f>IF(AND(vp.tbl[[#This Row],[CrudeType]]="Crude",vp.tbl[[#This Row],[Dens]]&gt;825,vp.tbl[[#This Row],[Dens]]&lt;=870,vp.tbl[[#This Row],[Sulf]]&gt;0.5,vp.tbl[[#This Row],[Unknown]]=0),1,0)</f>
        <v>0</v>
      </c>
      <c r="AC164">
        <f>IF(AND(vp.tbl[[#This Row],[CrudeType]]="Crude",vp.tbl[[#This Row],[Dens]]&gt;825,vp.tbl[[#This Row],[Dens]]&lt;=900,vp.tbl[[#This Row],[Sulf]]&lt;=0.5,vp.tbl[[#This Row],[Unknown]]=0),1,0)</f>
        <v>0</v>
      </c>
      <c r="AD164">
        <f>IF(AND(vp.tbl[[#This Row],[CrudeType]]="Crude",vp.tbl[[#This Row],[Dens]]&gt;870,vp.tbl[[#This Row],[Dens]]&lt;=900,vp.tbl[[#This Row],[Sulf]]&gt;0.5,vp.tbl[[#This Row],[Unknown]]=0),1,0)</f>
        <v>1</v>
      </c>
      <c r="AE164">
        <f>IF(AND(vp.tbl[[#This Row],[CrudeType]]="Crude",vp.tbl[[#This Row],[Dens]]&gt;900,vp.tbl[[#This Row],[Sulf]]&lt;=0.5,vp.tbl[[#This Row],[Unknown]]=0),1,0)</f>
        <v>0</v>
      </c>
      <c r="AF164">
        <f>IF(AND(vp.tbl[[#This Row],[CrudeType]]="Crude",vp.tbl[[#This Row],[Dens]]&gt;900,vp.tbl[[#This Row],[Sulf]]&lt;=0.5,vp.tbl[[#This Row],[Unknown]]=0),1,0)</f>
        <v>0</v>
      </c>
      <c r="AG164" t="str">
        <f>INDEX(vp.tbl[[#Headers],[Unknown]:[Heavy_SW]],MATCH(1,vp.tbl[[#This Row],[Unknown]:[Heavy_SW]],0))</f>
        <v>Midale</v>
      </c>
      <c r="AH164" t="e">
        <f>INDEX([1]!crudeBD.lkup[Number],MATCH(vp.tbl[[#This Row],[Crude_Breakdown]],[1]!crudeBD.lkup[Crude Breakdown],0))</f>
        <v>#REF!</v>
      </c>
      <c r="AI164">
        <f>MONTH(vp.tbl[[#This Row],[SDate]])</f>
        <v>4</v>
      </c>
      <c r="AJ164" s="5">
        <f>IFERROR(vp.tbl[[#This Row],[Sulf]]*vp.tbl[[#This Row],[Net Dens]],"")</f>
        <v>18471975.174729999</v>
      </c>
      <c r="AK164" s="5">
        <f>IFERROR(vp.tbl[[#This Row],[Dens]]*vp.tbl[[#This Row],[VolumeM3]],"")</f>
        <v>7132036.7469999995</v>
      </c>
      <c r="AL164" s="5">
        <f>IFERROR(vp.tbl[[#This Row],[VP]]*vp.tbl[[#This Row],[VolumeM3]],"")</f>
        <v>600977.78289999999</v>
      </c>
      <c r="AM164" s="4">
        <f>IFERROR((vp.tbl[[#This Row],[VP]]-INDEX(crudeBD.lkup.complete[Mean_VP],MATCH(vp.tbl[[#This Row],[Crude_Breakdown]],crudeBD.lkup.complete[Crude Breakdown],0)))^2,"")</f>
        <v>32.054210921373532</v>
      </c>
      <c r="AN164" s="4">
        <f>IFERROR((vp.tbl[[#This Row],[Dens]]-INDEX(crudeBD.lkup.complete[Mean_Dens],MATCH(vp.tbl[[#This Row],[Crude_Breakdown]],crudeBD.lkup.complete[Crude Breakdown],0)))^2,"")</f>
        <v>0.30476449615279017</v>
      </c>
      <c r="AO164" s="4">
        <f>IFERROR((vp.tbl[[#This Row],[Sulf]]-INDEX(crudeBD.lkup.complete[Mean_Sulf],MATCH(vp.tbl[[#This Row],[Crude_Breakdown]],crudeBD.lkup.complete[Crude Breakdown],0)))^2,"")</f>
        <v>3.0506067747964355E-2</v>
      </c>
      <c r="AP164">
        <f>IF(AND(vp.tbl[[#This Row],[SDate]]&gt;=DATE(YEAR(vp.tbl[[#This Row],[SDate]]),5,1),vp.tbl[[#This Row],[SDate]]&lt;=DATE(YEAR(vp.tbl[[#This Row],[SDate]]),9,15)),1,0)</f>
        <v>0</v>
      </c>
      <c r="AQ164" s="15">
        <f>IF(vp.tbl[[#This Row],[SDate]]&lt;DATE(2016,12,1),0,1)</f>
        <v>0</v>
      </c>
    </row>
    <row r="165" spans="1:43" x14ac:dyDescent="0.25">
      <c r="A165">
        <v>164</v>
      </c>
      <c r="B165" t="s">
        <v>49</v>
      </c>
      <c r="C165" t="s">
        <v>49</v>
      </c>
      <c r="D165" t="s">
        <v>50</v>
      </c>
      <c r="F165" s="1">
        <v>42487</v>
      </c>
      <c r="G165" s="2">
        <v>67.8</v>
      </c>
      <c r="H165" s="2"/>
      <c r="I165" s="2">
        <v>2.59</v>
      </c>
      <c r="J165" s="2"/>
      <c r="K165" s="2"/>
      <c r="L165" s="2">
        <v>877</v>
      </c>
      <c r="M165" s="2">
        <v>877</v>
      </c>
      <c r="N165" s="2">
        <f ca="1">INDEX(INDIRECT(_xlfn.CONCAT("weather.tbl[",N$1,"]")),MATCH(vp.tbl[[#This Row],[SDate]],weather.tbl[Date],0))</f>
        <v>8.8833333333333329</v>
      </c>
      <c r="O165" s="2">
        <f ca="1">INDEX(INDIRECT(_xlfn.CONCAT("weather.tbl[",O$1,"]")),MATCH(vp.tbl[[#This Row],[SDate]],weather.tbl[Date],0))</f>
        <v>6.6000000000000005</v>
      </c>
      <c r="P165" s="2">
        <f ca="1">INDEX(INDIRECT(_xlfn.CONCAT("weather.tbl[",P$1,"]")),MATCH(vp.tbl[[#This Row],[SDate]],weather.tbl[Date],0))</f>
        <v>9.1999999999999993</v>
      </c>
      <c r="Q165" s="2">
        <f ca="1">INDEX(INDIRECT(_xlfn.CONCAT("weather.tbl[",Q$1,"]")),MATCH(vp.tbl[[#This Row],[SDate]],weather.tbl[Date],0))</f>
        <v>9.5</v>
      </c>
      <c r="R165" s="2">
        <f ca="1">INDEX(INDIRECT(_xlfn.CONCAT("weather.tbl[",R$1,"]")),MATCH(vp.tbl[[#This Row],[SDate]],weather.tbl[Date],0))</f>
        <v>6.3</v>
      </c>
      <c r="S165" s="2">
        <f ca="1">INDEX(INDIRECT(_xlfn.CONCAT("weather.tbl[",S$1,"]")),MATCH(vp.tbl[[#This Row],[SDate]],weather.tbl[Date],0))</f>
        <v>10.5</v>
      </c>
      <c r="T165" s="2">
        <f ca="1">INDEX(INDIRECT(_xlfn.CONCAT("weather.tbl[",T$1,"]")),MATCH(vp.tbl[[#This Row],[SDate]],weather.tbl[Date],0))</f>
        <v>8.5</v>
      </c>
      <c r="U165" s="2">
        <f ca="1">INDEX(INDIRECT(_xlfn.CONCAT("weather.tbl[",U$1,"]")),MATCH(vp.tbl[[#This Row],[SDate]],weather.tbl[Date],0))</f>
        <v>9.3000000000000007</v>
      </c>
      <c r="V165" s="2">
        <v>8132.3109999999997</v>
      </c>
      <c r="W165" t="s">
        <v>48</v>
      </c>
      <c r="X165">
        <f>IF(OR(vp.tbl[[#This Row],[Sulf]]="",vp.tbl[[#This Row],[Dens]]=""),1,0)</f>
        <v>0</v>
      </c>
      <c r="Y165">
        <f>IF(vp.tbl[[#This Row],[CrudeType]]="C5+",1,0)</f>
        <v>0</v>
      </c>
      <c r="Z165">
        <f>IF(AND(vp.tbl[[#This Row],[CrudeType]]="Crude",vp.tbl[[#This Row],[Dens]]&lt;=825,vp.tbl[[#This Row],[Sulf]]&gt;0.5,vp.tbl[[#This Row],[Unknown]]=0),1,0)</f>
        <v>0</v>
      </c>
      <c r="AA165">
        <f>IF(AND(vp.tbl[[#This Row],[CrudeType]]="Crude",vp.tbl[[#This Row],[Dens]]&lt;=825,vp.tbl[[#This Row],[Sulf]]&lt;=0.5,vp.tbl[[#This Row],[Unknown]]=0),1,0)</f>
        <v>0</v>
      </c>
      <c r="AB165">
        <f>IF(AND(vp.tbl[[#This Row],[CrudeType]]="Crude",vp.tbl[[#This Row],[Dens]]&gt;825,vp.tbl[[#This Row],[Dens]]&lt;=870,vp.tbl[[#This Row],[Sulf]]&gt;0.5,vp.tbl[[#This Row],[Unknown]]=0),1,0)</f>
        <v>0</v>
      </c>
      <c r="AC165">
        <f>IF(AND(vp.tbl[[#This Row],[CrudeType]]="Crude",vp.tbl[[#This Row],[Dens]]&gt;825,vp.tbl[[#This Row],[Dens]]&lt;=900,vp.tbl[[#This Row],[Sulf]]&lt;=0.5,vp.tbl[[#This Row],[Unknown]]=0),1,0)</f>
        <v>0</v>
      </c>
      <c r="AD165">
        <f>IF(AND(vp.tbl[[#This Row],[CrudeType]]="Crude",vp.tbl[[#This Row],[Dens]]&gt;870,vp.tbl[[#This Row],[Dens]]&lt;=900,vp.tbl[[#This Row],[Sulf]]&gt;0.5,vp.tbl[[#This Row],[Unknown]]=0),1,0)</f>
        <v>1</v>
      </c>
      <c r="AE165">
        <f>IF(AND(vp.tbl[[#This Row],[CrudeType]]="Crude",vp.tbl[[#This Row],[Dens]]&gt;900,vp.tbl[[#This Row],[Sulf]]&lt;=0.5,vp.tbl[[#This Row],[Unknown]]=0),1,0)</f>
        <v>0</v>
      </c>
      <c r="AF165">
        <f>IF(AND(vp.tbl[[#This Row],[CrudeType]]="Crude",vp.tbl[[#This Row],[Dens]]&gt;900,vp.tbl[[#This Row],[Sulf]]&lt;=0.5,vp.tbl[[#This Row],[Unknown]]=0),1,0)</f>
        <v>0</v>
      </c>
      <c r="AG165" t="str">
        <f>INDEX(vp.tbl[[#Headers],[Unknown]:[Heavy_SW]],MATCH(1,vp.tbl[[#This Row],[Unknown]:[Heavy_SW]],0))</f>
        <v>Midale</v>
      </c>
      <c r="AH165" t="e">
        <f>INDEX([1]!crudeBD.lkup[Number],MATCH(vp.tbl[[#This Row],[Crude_Breakdown]],[1]!crudeBD.lkup[Crude Breakdown],0))</f>
        <v>#REF!</v>
      </c>
      <c r="AI165">
        <f>MONTH(vp.tbl[[#This Row],[SDate]])</f>
        <v>4</v>
      </c>
      <c r="AJ165" s="5">
        <f>IFERROR(vp.tbl[[#This Row],[Sulf]]*vp.tbl[[#This Row],[Net Dens]],"")</f>
        <v>18471975.174729999</v>
      </c>
      <c r="AK165" s="5">
        <f>IFERROR(vp.tbl[[#This Row],[Dens]]*vp.tbl[[#This Row],[VolumeM3]],"")</f>
        <v>7132036.7469999995</v>
      </c>
      <c r="AL165" s="5">
        <f>IFERROR(vp.tbl[[#This Row],[VP]]*vp.tbl[[#This Row],[VolumeM3]],"")</f>
        <v>551370.68579999998</v>
      </c>
      <c r="AM165" s="4">
        <f>IFERROR((vp.tbl[[#This Row],[VP]]-INDEX(crudeBD.lkup.complete[Mean_VP],MATCH(vp.tbl[[#This Row],[Crude_Breakdown]],crudeBD.lkup.complete[Crude Breakdown],0)))^2,"")</f>
        <v>0.19215612685308212</v>
      </c>
      <c r="AN165" s="4">
        <f>IFERROR((vp.tbl[[#This Row],[Dens]]-INDEX(crudeBD.lkup.complete[Mean_Dens],MATCH(vp.tbl[[#This Row],[Crude_Breakdown]],crudeBD.lkup.complete[Crude Breakdown],0)))^2,"")</f>
        <v>0.30476449615279017</v>
      </c>
      <c r="AO165" s="4">
        <f>IFERROR((vp.tbl[[#This Row],[Sulf]]-INDEX(crudeBD.lkup.complete[Mean_Sulf],MATCH(vp.tbl[[#This Row],[Crude_Breakdown]],crudeBD.lkup.complete[Crude Breakdown],0)))^2,"")</f>
        <v>3.0506067747964355E-2</v>
      </c>
      <c r="AP165">
        <f>IF(AND(vp.tbl[[#This Row],[SDate]]&gt;=DATE(YEAR(vp.tbl[[#This Row],[SDate]]),5,1),vp.tbl[[#This Row],[SDate]]&lt;=DATE(YEAR(vp.tbl[[#This Row],[SDate]]),9,15)),1,0)</f>
        <v>0</v>
      </c>
      <c r="AQ165" s="15">
        <f>IF(vp.tbl[[#This Row],[SDate]]&lt;DATE(2016,12,1),0,1)</f>
        <v>0</v>
      </c>
    </row>
    <row r="166" spans="1:43" x14ac:dyDescent="0.25">
      <c r="A166">
        <v>165</v>
      </c>
      <c r="B166" t="s">
        <v>49</v>
      </c>
      <c r="C166" t="s">
        <v>49</v>
      </c>
      <c r="D166" t="s">
        <v>86</v>
      </c>
      <c r="F166" s="1">
        <v>42487</v>
      </c>
      <c r="G166" s="2">
        <v>115.4</v>
      </c>
      <c r="H166" s="2"/>
      <c r="I166" s="2">
        <v>2.8</v>
      </c>
      <c r="J166" s="2"/>
      <c r="K166" s="2"/>
      <c r="L166" s="2">
        <v>888.3</v>
      </c>
      <c r="M166" s="2">
        <v>888.3</v>
      </c>
      <c r="N166" s="2">
        <f ca="1">INDEX(INDIRECT(_xlfn.CONCAT("weather.tbl[",N$1,"]")),MATCH(vp.tbl[[#This Row],[SDate]],weather.tbl[Date],0))</f>
        <v>8.8833333333333329</v>
      </c>
      <c r="O166" s="2">
        <f ca="1">INDEX(INDIRECT(_xlfn.CONCAT("weather.tbl[",O$1,"]")),MATCH(vp.tbl[[#This Row],[SDate]],weather.tbl[Date],0))</f>
        <v>6.6000000000000005</v>
      </c>
      <c r="P166" s="2">
        <f ca="1">INDEX(INDIRECT(_xlfn.CONCAT("weather.tbl[",P$1,"]")),MATCH(vp.tbl[[#This Row],[SDate]],weather.tbl[Date],0))</f>
        <v>9.1999999999999993</v>
      </c>
      <c r="Q166" s="2">
        <f ca="1">INDEX(INDIRECT(_xlfn.CONCAT("weather.tbl[",Q$1,"]")),MATCH(vp.tbl[[#This Row],[SDate]],weather.tbl[Date],0))</f>
        <v>9.5</v>
      </c>
      <c r="R166" s="2">
        <f ca="1">INDEX(INDIRECT(_xlfn.CONCAT("weather.tbl[",R$1,"]")),MATCH(vp.tbl[[#This Row],[SDate]],weather.tbl[Date],0))</f>
        <v>6.3</v>
      </c>
      <c r="S166" s="2">
        <f ca="1">INDEX(INDIRECT(_xlfn.CONCAT("weather.tbl[",S$1,"]")),MATCH(vp.tbl[[#This Row],[SDate]],weather.tbl[Date],0))</f>
        <v>10.5</v>
      </c>
      <c r="T166" s="2">
        <f ca="1">INDEX(INDIRECT(_xlfn.CONCAT("weather.tbl[",T$1,"]")),MATCH(vp.tbl[[#This Row],[SDate]],weather.tbl[Date],0))</f>
        <v>8.5</v>
      </c>
      <c r="U166" s="2">
        <f ca="1">INDEX(INDIRECT(_xlfn.CONCAT("weather.tbl[",U$1,"]")),MATCH(vp.tbl[[#This Row],[SDate]],weather.tbl[Date],0))</f>
        <v>9.3000000000000007</v>
      </c>
      <c r="V166" s="2">
        <v>5790.9930000000004</v>
      </c>
      <c r="W166" t="s">
        <v>48</v>
      </c>
      <c r="X166">
        <f>IF(OR(vp.tbl[[#This Row],[Sulf]]="",vp.tbl[[#This Row],[Dens]]=""),1,0)</f>
        <v>0</v>
      </c>
      <c r="Y166">
        <f>IF(vp.tbl[[#This Row],[CrudeType]]="C5+",1,0)</f>
        <v>0</v>
      </c>
      <c r="Z166">
        <f>IF(AND(vp.tbl[[#This Row],[CrudeType]]="Crude",vp.tbl[[#This Row],[Dens]]&lt;=825,vp.tbl[[#This Row],[Sulf]]&gt;0.5,vp.tbl[[#This Row],[Unknown]]=0),1,0)</f>
        <v>0</v>
      </c>
      <c r="AA166">
        <f>IF(AND(vp.tbl[[#This Row],[CrudeType]]="Crude",vp.tbl[[#This Row],[Dens]]&lt;=825,vp.tbl[[#This Row],[Sulf]]&lt;=0.5,vp.tbl[[#This Row],[Unknown]]=0),1,0)</f>
        <v>0</v>
      </c>
      <c r="AB166">
        <f>IF(AND(vp.tbl[[#This Row],[CrudeType]]="Crude",vp.tbl[[#This Row],[Dens]]&gt;825,vp.tbl[[#This Row],[Dens]]&lt;=870,vp.tbl[[#This Row],[Sulf]]&gt;0.5,vp.tbl[[#This Row],[Unknown]]=0),1,0)</f>
        <v>0</v>
      </c>
      <c r="AC166">
        <f>IF(AND(vp.tbl[[#This Row],[CrudeType]]="Crude",vp.tbl[[#This Row],[Dens]]&gt;825,vp.tbl[[#This Row],[Dens]]&lt;=900,vp.tbl[[#This Row],[Sulf]]&lt;=0.5,vp.tbl[[#This Row],[Unknown]]=0),1,0)</f>
        <v>0</v>
      </c>
      <c r="AD166">
        <f>IF(AND(vp.tbl[[#This Row],[CrudeType]]="Crude",vp.tbl[[#This Row],[Dens]]&gt;870,vp.tbl[[#This Row],[Dens]]&lt;=900,vp.tbl[[#This Row],[Sulf]]&gt;0.5,vp.tbl[[#This Row],[Unknown]]=0),1,0)</f>
        <v>1</v>
      </c>
      <c r="AE166">
        <f>IF(AND(vp.tbl[[#This Row],[CrudeType]]="Crude",vp.tbl[[#This Row],[Dens]]&gt;900,vp.tbl[[#This Row],[Sulf]]&lt;=0.5,vp.tbl[[#This Row],[Unknown]]=0),1,0)</f>
        <v>0</v>
      </c>
      <c r="AF166">
        <f>IF(AND(vp.tbl[[#This Row],[CrudeType]]="Crude",vp.tbl[[#This Row],[Dens]]&gt;900,vp.tbl[[#This Row],[Sulf]]&lt;=0.5,vp.tbl[[#This Row],[Unknown]]=0),1,0)</f>
        <v>0</v>
      </c>
      <c r="AG166" t="str">
        <f>INDEX(vp.tbl[[#Headers],[Unknown]:[Heavy_SW]],MATCH(1,vp.tbl[[#This Row],[Unknown]:[Heavy_SW]],0))</f>
        <v>Midale</v>
      </c>
      <c r="AH166" t="e">
        <f>INDEX([1]!crudeBD.lkup[Number],MATCH(vp.tbl[[#This Row],[Crude_Breakdown]],[1]!crudeBD.lkup[Crude Breakdown],0))</f>
        <v>#REF!</v>
      </c>
      <c r="AI166">
        <f>MONTH(vp.tbl[[#This Row],[SDate]])</f>
        <v>4</v>
      </c>
      <c r="AJ166" s="5">
        <f>IFERROR(vp.tbl[[#This Row],[Sulf]]*vp.tbl[[#This Row],[Net Dens]],"")</f>
        <v>14403589.429319998</v>
      </c>
      <c r="AK166" s="5">
        <f>IFERROR(vp.tbl[[#This Row],[Dens]]*vp.tbl[[#This Row],[VolumeM3]],"")</f>
        <v>5144139.0818999996</v>
      </c>
      <c r="AL166" s="5">
        <f>IFERROR(vp.tbl[[#This Row],[VP]]*vp.tbl[[#This Row],[VolumeM3]],"")</f>
        <v>668280.59220000007</v>
      </c>
      <c r="AM166" s="4">
        <f>IFERROR((vp.tbl[[#This Row],[VP]]-INDEX(crudeBD.lkup.complete[Mean_VP],MATCH(vp.tbl[[#This Row],[Crude_Breakdown]],crudeBD.lkup.complete[Crude Breakdown],0)))^2,"")</f>
        <v>2224.2206492775372</v>
      </c>
      <c r="AN166" s="4">
        <f>IFERROR((vp.tbl[[#This Row],[Dens]]-INDEX(crudeBD.lkup.complete[Mean_Dens],MATCH(vp.tbl[[#This Row],[Crude_Breakdown]],crudeBD.lkup.complete[Crude Breakdown],0)))^2,"")</f>
        <v>115.51832613999427</v>
      </c>
      <c r="AO166" s="4">
        <f>IFERROR((vp.tbl[[#This Row],[Sulf]]-INDEX(crudeBD.lkup.complete[Mean_Sulf],MATCH(vp.tbl[[#This Row],[Crude_Breakdown]],crudeBD.lkup.complete[Crude Breakdown],0)))^2,"")</f>
        <v>0.14796321021371822</v>
      </c>
      <c r="AP166">
        <f>IF(AND(vp.tbl[[#This Row],[SDate]]&gt;=DATE(YEAR(vp.tbl[[#This Row],[SDate]]),5,1),vp.tbl[[#This Row],[SDate]]&lt;=DATE(YEAR(vp.tbl[[#This Row],[SDate]]),9,15)),1,0)</f>
        <v>0</v>
      </c>
      <c r="AQ166" s="15">
        <f>IF(vp.tbl[[#This Row],[SDate]]&lt;DATE(2016,12,1),0,1)</f>
        <v>0</v>
      </c>
    </row>
    <row r="167" spans="1:43" x14ac:dyDescent="0.25">
      <c r="A167">
        <v>166</v>
      </c>
      <c r="B167" t="s">
        <v>49</v>
      </c>
      <c r="C167" t="s">
        <v>49</v>
      </c>
      <c r="D167" t="s">
        <v>86</v>
      </c>
      <c r="F167" s="1">
        <v>42487</v>
      </c>
      <c r="G167" s="2">
        <v>81.2</v>
      </c>
      <c r="H167" s="2"/>
      <c r="I167" s="2">
        <v>2.8</v>
      </c>
      <c r="J167" s="2"/>
      <c r="K167" s="2"/>
      <c r="L167" s="2">
        <v>888.3</v>
      </c>
      <c r="M167" s="2">
        <v>888.3</v>
      </c>
      <c r="N167" s="2">
        <f ca="1">INDEX(INDIRECT(_xlfn.CONCAT("weather.tbl[",N$1,"]")),MATCH(vp.tbl[[#This Row],[SDate]],weather.tbl[Date],0))</f>
        <v>8.8833333333333329</v>
      </c>
      <c r="O167" s="2">
        <f ca="1">INDEX(INDIRECT(_xlfn.CONCAT("weather.tbl[",O$1,"]")),MATCH(vp.tbl[[#This Row],[SDate]],weather.tbl[Date],0))</f>
        <v>6.6000000000000005</v>
      </c>
      <c r="P167" s="2">
        <f ca="1">INDEX(INDIRECT(_xlfn.CONCAT("weather.tbl[",P$1,"]")),MATCH(vp.tbl[[#This Row],[SDate]],weather.tbl[Date],0))</f>
        <v>9.1999999999999993</v>
      </c>
      <c r="Q167" s="2">
        <f ca="1">INDEX(INDIRECT(_xlfn.CONCAT("weather.tbl[",Q$1,"]")),MATCH(vp.tbl[[#This Row],[SDate]],weather.tbl[Date],0))</f>
        <v>9.5</v>
      </c>
      <c r="R167" s="2">
        <f ca="1">INDEX(INDIRECT(_xlfn.CONCAT("weather.tbl[",R$1,"]")),MATCH(vp.tbl[[#This Row],[SDate]],weather.tbl[Date],0))</f>
        <v>6.3</v>
      </c>
      <c r="S167" s="2">
        <f ca="1">INDEX(INDIRECT(_xlfn.CONCAT("weather.tbl[",S$1,"]")),MATCH(vp.tbl[[#This Row],[SDate]],weather.tbl[Date],0))</f>
        <v>10.5</v>
      </c>
      <c r="T167" s="2">
        <f ca="1">INDEX(INDIRECT(_xlfn.CONCAT("weather.tbl[",T$1,"]")),MATCH(vp.tbl[[#This Row],[SDate]],weather.tbl[Date],0))</f>
        <v>8.5</v>
      </c>
      <c r="U167" s="2">
        <f ca="1">INDEX(INDIRECT(_xlfn.CONCAT("weather.tbl[",U$1,"]")),MATCH(vp.tbl[[#This Row],[SDate]],weather.tbl[Date],0))</f>
        <v>9.3000000000000007</v>
      </c>
      <c r="V167" s="2">
        <v>5790.9930000000004</v>
      </c>
      <c r="W167" t="s">
        <v>48</v>
      </c>
      <c r="X167">
        <f>IF(OR(vp.tbl[[#This Row],[Sulf]]="",vp.tbl[[#This Row],[Dens]]=""),1,0)</f>
        <v>0</v>
      </c>
      <c r="Y167">
        <f>IF(vp.tbl[[#This Row],[CrudeType]]="C5+",1,0)</f>
        <v>0</v>
      </c>
      <c r="Z167">
        <f>IF(AND(vp.tbl[[#This Row],[CrudeType]]="Crude",vp.tbl[[#This Row],[Dens]]&lt;=825,vp.tbl[[#This Row],[Sulf]]&gt;0.5,vp.tbl[[#This Row],[Unknown]]=0),1,0)</f>
        <v>0</v>
      </c>
      <c r="AA167">
        <f>IF(AND(vp.tbl[[#This Row],[CrudeType]]="Crude",vp.tbl[[#This Row],[Dens]]&lt;=825,vp.tbl[[#This Row],[Sulf]]&lt;=0.5,vp.tbl[[#This Row],[Unknown]]=0),1,0)</f>
        <v>0</v>
      </c>
      <c r="AB167">
        <f>IF(AND(vp.tbl[[#This Row],[CrudeType]]="Crude",vp.tbl[[#This Row],[Dens]]&gt;825,vp.tbl[[#This Row],[Dens]]&lt;=870,vp.tbl[[#This Row],[Sulf]]&gt;0.5,vp.tbl[[#This Row],[Unknown]]=0),1,0)</f>
        <v>0</v>
      </c>
      <c r="AC167">
        <f>IF(AND(vp.tbl[[#This Row],[CrudeType]]="Crude",vp.tbl[[#This Row],[Dens]]&gt;825,vp.tbl[[#This Row],[Dens]]&lt;=900,vp.tbl[[#This Row],[Sulf]]&lt;=0.5,vp.tbl[[#This Row],[Unknown]]=0),1,0)</f>
        <v>0</v>
      </c>
      <c r="AD167">
        <f>IF(AND(vp.tbl[[#This Row],[CrudeType]]="Crude",vp.tbl[[#This Row],[Dens]]&gt;870,vp.tbl[[#This Row],[Dens]]&lt;=900,vp.tbl[[#This Row],[Sulf]]&gt;0.5,vp.tbl[[#This Row],[Unknown]]=0),1,0)</f>
        <v>1</v>
      </c>
      <c r="AE167">
        <f>IF(AND(vp.tbl[[#This Row],[CrudeType]]="Crude",vp.tbl[[#This Row],[Dens]]&gt;900,vp.tbl[[#This Row],[Sulf]]&lt;=0.5,vp.tbl[[#This Row],[Unknown]]=0),1,0)</f>
        <v>0</v>
      </c>
      <c r="AF167">
        <f>IF(AND(vp.tbl[[#This Row],[CrudeType]]="Crude",vp.tbl[[#This Row],[Dens]]&gt;900,vp.tbl[[#This Row],[Sulf]]&lt;=0.5,vp.tbl[[#This Row],[Unknown]]=0),1,0)</f>
        <v>0</v>
      </c>
      <c r="AG167" t="str">
        <f>INDEX(vp.tbl[[#Headers],[Unknown]:[Heavy_SW]],MATCH(1,vp.tbl[[#This Row],[Unknown]:[Heavy_SW]],0))</f>
        <v>Midale</v>
      </c>
      <c r="AH167" t="e">
        <f>INDEX([1]!crudeBD.lkup[Number],MATCH(vp.tbl[[#This Row],[Crude_Breakdown]],[1]!crudeBD.lkup[Crude Breakdown],0))</f>
        <v>#REF!</v>
      </c>
      <c r="AI167">
        <f>MONTH(vp.tbl[[#This Row],[SDate]])</f>
        <v>4</v>
      </c>
      <c r="AJ167" s="5">
        <f>IFERROR(vp.tbl[[#This Row],[Sulf]]*vp.tbl[[#This Row],[Net Dens]],"")</f>
        <v>14403589.429319998</v>
      </c>
      <c r="AK167" s="5">
        <f>IFERROR(vp.tbl[[#This Row],[Dens]]*vp.tbl[[#This Row],[VolumeM3]],"")</f>
        <v>5144139.0818999996</v>
      </c>
      <c r="AL167" s="5">
        <f>IFERROR(vp.tbl[[#This Row],[VP]]*vp.tbl[[#This Row],[VolumeM3]],"")</f>
        <v>470228.63160000002</v>
      </c>
      <c r="AM167" s="4">
        <f>IFERROR((vp.tbl[[#This Row],[VP]]-INDEX(crudeBD.lkup.complete[Mean_VP],MATCH(vp.tbl[[#This Row],[Crude_Breakdown]],crudeBD.lkup.complete[Crude Breakdown],0)))^2,"")</f>
        <v>168.00421092137336</v>
      </c>
      <c r="AN167" s="4">
        <f>IFERROR((vp.tbl[[#This Row],[Dens]]-INDEX(crudeBD.lkup.complete[Mean_Dens],MATCH(vp.tbl[[#This Row],[Crude_Breakdown]],crudeBD.lkup.complete[Crude Breakdown],0)))^2,"")</f>
        <v>115.51832613999427</v>
      </c>
      <c r="AO167" s="4">
        <f>IFERROR((vp.tbl[[#This Row],[Sulf]]-INDEX(crudeBD.lkup.complete[Mean_Sulf],MATCH(vp.tbl[[#This Row],[Crude_Breakdown]],crudeBD.lkup.complete[Crude Breakdown],0)))^2,"")</f>
        <v>0.14796321021371822</v>
      </c>
      <c r="AP167">
        <f>IF(AND(vp.tbl[[#This Row],[SDate]]&gt;=DATE(YEAR(vp.tbl[[#This Row],[SDate]]),5,1),vp.tbl[[#This Row],[SDate]]&lt;=DATE(YEAR(vp.tbl[[#This Row],[SDate]]),9,15)),1,0)</f>
        <v>0</v>
      </c>
      <c r="AQ167" s="15">
        <f>IF(vp.tbl[[#This Row],[SDate]]&lt;DATE(2016,12,1),0,1)</f>
        <v>0</v>
      </c>
    </row>
    <row r="168" spans="1:43" x14ac:dyDescent="0.25">
      <c r="A168">
        <v>167</v>
      </c>
      <c r="B168" t="s">
        <v>49</v>
      </c>
      <c r="C168" t="s">
        <v>49</v>
      </c>
      <c r="D168" t="s">
        <v>67</v>
      </c>
      <c r="F168" s="1">
        <v>42488</v>
      </c>
      <c r="G168" s="2">
        <v>91.7</v>
      </c>
      <c r="H168" s="2"/>
      <c r="I168" s="2">
        <v>0.21</v>
      </c>
      <c r="J168" s="2"/>
      <c r="K168" s="2"/>
      <c r="L168" s="2">
        <v>805</v>
      </c>
      <c r="M168" s="2">
        <v>805</v>
      </c>
      <c r="N168" s="2">
        <f ca="1">INDEX(INDIRECT(_xlfn.CONCAT("weather.tbl[",N$1,"]")),MATCH(vp.tbl[[#This Row],[SDate]],weather.tbl[Date],0))</f>
        <v>7.3666666666666671</v>
      </c>
      <c r="O168" s="2">
        <f ca="1">INDEX(INDIRECT(_xlfn.CONCAT("weather.tbl[",O$1,"]")),MATCH(vp.tbl[[#This Row],[SDate]],weather.tbl[Date],0))</f>
        <v>6.9476190476190478</v>
      </c>
      <c r="P168" s="2">
        <f ca="1">INDEX(INDIRECT(_xlfn.CONCAT("weather.tbl[",P$1,"]")),MATCH(vp.tbl[[#This Row],[SDate]],weather.tbl[Date],0))</f>
        <v>7.3</v>
      </c>
      <c r="Q168" s="2">
        <f ca="1">INDEX(INDIRECT(_xlfn.CONCAT("weather.tbl[",Q$1,"]")),MATCH(vp.tbl[[#This Row],[SDate]],weather.tbl[Date],0))</f>
        <v>7.6</v>
      </c>
      <c r="R168" s="2">
        <f ca="1">INDEX(INDIRECT(_xlfn.CONCAT("weather.tbl[",R$1,"]")),MATCH(vp.tbl[[#This Row],[SDate]],weather.tbl[Date],0))</f>
        <v>7.3</v>
      </c>
      <c r="S168" s="2">
        <f ca="1">INDEX(INDIRECT(_xlfn.CONCAT("weather.tbl[",S$1,"]")),MATCH(vp.tbl[[#This Row],[SDate]],weather.tbl[Date],0))</f>
        <v>8.5</v>
      </c>
      <c r="T168" s="2">
        <f ca="1">INDEX(INDIRECT(_xlfn.CONCAT("weather.tbl[",T$1,"]")),MATCH(vp.tbl[[#This Row],[SDate]],weather.tbl[Date],0))</f>
        <v>6</v>
      </c>
      <c r="U168" s="2">
        <f ca="1">INDEX(INDIRECT(_xlfn.CONCAT("weather.tbl[",U$1,"]")),MATCH(vp.tbl[[#This Row],[SDate]],weather.tbl[Date],0))</f>
        <v>7.5</v>
      </c>
      <c r="V168" s="2">
        <v>57873.212</v>
      </c>
      <c r="W168" t="s">
        <v>48</v>
      </c>
      <c r="X168">
        <f>IF(OR(vp.tbl[[#This Row],[Sulf]]="",vp.tbl[[#This Row],[Dens]]=""),1,0)</f>
        <v>0</v>
      </c>
      <c r="Y168">
        <f>IF(vp.tbl[[#This Row],[CrudeType]]="C5+",1,0)</f>
        <v>0</v>
      </c>
      <c r="Z168">
        <f>IF(AND(vp.tbl[[#This Row],[CrudeType]]="Crude",vp.tbl[[#This Row],[Dens]]&lt;=825,vp.tbl[[#This Row],[Sulf]]&gt;0.5,vp.tbl[[#This Row],[Unknown]]=0),1,0)</f>
        <v>0</v>
      </c>
      <c r="AA168">
        <f>IF(AND(vp.tbl[[#This Row],[CrudeType]]="Crude",vp.tbl[[#This Row],[Dens]]&lt;=825,vp.tbl[[#This Row],[Sulf]]&lt;=0.5,vp.tbl[[#This Row],[Unknown]]=0),1,0)</f>
        <v>1</v>
      </c>
      <c r="AB168">
        <f>IF(AND(vp.tbl[[#This Row],[CrudeType]]="Crude",vp.tbl[[#This Row],[Dens]]&gt;825,vp.tbl[[#This Row],[Dens]]&lt;=870,vp.tbl[[#This Row],[Sulf]]&gt;0.5,vp.tbl[[#This Row],[Unknown]]=0),1,0)</f>
        <v>0</v>
      </c>
      <c r="AC168">
        <f>IF(AND(vp.tbl[[#This Row],[CrudeType]]="Crude",vp.tbl[[#This Row],[Dens]]&gt;825,vp.tbl[[#This Row],[Dens]]&lt;=900,vp.tbl[[#This Row],[Sulf]]&lt;=0.5,vp.tbl[[#This Row],[Unknown]]=0),1,0)</f>
        <v>0</v>
      </c>
      <c r="AD168">
        <f>IF(AND(vp.tbl[[#This Row],[CrudeType]]="Crude",vp.tbl[[#This Row],[Dens]]&gt;870,vp.tbl[[#This Row],[Dens]]&lt;=900,vp.tbl[[#This Row],[Sulf]]&gt;0.5,vp.tbl[[#This Row],[Unknown]]=0),1,0)</f>
        <v>0</v>
      </c>
      <c r="AE168">
        <f>IF(AND(vp.tbl[[#This Row],[CrudeType]]="Crude",vp.tbl[[#This Row],[Dens]]&gt;900,vp.tbl[[#This Row],[Sulf]]&lt;=0.5,vp.tbl[[#This Row],[Unknown]]=0),1,0)</f>
        <v>0</v>
      </c>
      <c r="AF168">
        <f>IF(AND(vp.tbl[[#This Row],[CrudeType]]="Crude",vp.tbl[[#This Row],[Dens]]&gt;900,vp.tbl[[#This Row],[Sulf]]&lt;=0.5,vp.tbl[[#This Row],[Unknown]]=0),1,0)</f>
        <v>0</v>
      </c>
      <c r="AG168" t="str">
        <f>INDEX(vp.tbl[[#Headers],[Unknown]:[Heavy_SW]],MATCH(1,vp.tbl[[#This Row],[Unknown]:[Heavy_SW]],0))</f>
        <v>Light_SW</v>
      </c>
      <c r="AH168" t="e">
        <f>INDEX([1]!crudeBD.lkup[Number],MATCH(vp.tbl[[#This Row],[Crude_Breakdown]],[1]!crudeBD.lkup[Crude Breakdown],0))</f>
        <v>#REF!</v>
      </c>
      <c r="AI168">
        <f>MONTH(vp.tbl[[#This Row],[SDate]])</f>
        <v>4</v>
      </c>
      <c r="AJ168" s="5">
        <f>IFERROR(vp.tbl[[#This Row],[Sulf]]*vp.tbl[[#This Row],[Net Dens]],"")</f>
        <v>9783466.4885999989</v>
      </c>
      <c r="AK168" s="5">
        <f>IFERROR(vp.tbl[[#This Row],[Dens]]*vp.tbl[[#This Row],[VolumeM3]],"")</f>
        <v>46587935.659999996</v>
      </c>
      <c r="AL168" s="5">
        <f>IFERROR(vp.tbl[[#This Row],[VP]]*vp.tbl[[#This Row],[VolumeM3]],"")</f>
        <v>5306973.5404000003</v>
      </c>
      <c r="AM168" s="4">
        <f>IFERROR((vp.tbl[[#This Row],[VP]]-INDEX(crudeBD.lkup.complete[Mean_VP],MATCH(vp.tbl[[#This Row],[Crude_Breakdown]],crudeBD.lkup.complete[Crude Breakdown],0)))^2,"")</f>
        <v>0.72303319938320809</v>
      </c>
      <c r="AN168" s="4">
        <f>IFERROR((vp.tbl[[#This Row],[Dens]]-INDEX(crudeBD.lkup.complete[Mean_Dens],MATCH(vp.tbl[[#This Row],[Crude_Breakdown]],crudeBD.lkup.complete[Crude Breakdown],0)))^2,"")</f>
        <v>10.966020711674062</v>
      </c>
      <c r="AO168" s="4">
        <f>IFERROR((vp.tbl[[#This Row],[Sulf]]-INDEX(crudeBD.lkup.complete[Mean_Sulf],MATCH(vp.tbl[[#This Row],[Crude_Breakdown]],crudeBD.lkup.complete[Crude Breakdown],0)))^2,"")</f>
        <v>6.8863268899706654E-4</v>
      </c>
      <c r="AP168">
        <f>IF(AND(vp.tbl[[#This Row],[SDate]]&gt;=DATE(YEAR(vp.tbl[[#This Row],[SDate]]),5,1),vp.tbl[[#This Row],[SDate]]&lt;=DATE(YEAR(vp.tbl[[#This Row],[SDate]]),9,15)),1,0)</f>
        <v>0</v>
      </c>
      <c r="AQ168" s="15">
        <f>IF(vp.tbl[[#This Row],[SDate]]&lt;DATE(2016,12,1),0,1)</f>
        <v>0</v>
      </c>
    </row>
    <row r="169" spans="1:43" x14ac:dyDescent="0.25">
      <c r="A169">
        <v>168</v>
      </c>
      <c r="B169" t="s">
        <v>62</v>
      </c>
      <c r="C169" t="s">
        <v>62</v>
      </c>
      <c r="D169" t="s">
        <v>87</v>
      </c>
      <c r="F169" s="1">
        <v>42488</v>
      </c>
      <c r="G169" s="2">
        <v>90.3</v>
      </c>
      <c r="H169" s="2"/>
      <c r="I169" s="2">
        <v>0.17</v>
      </c>
      <c r="J169" s="2"/>
      <c r="K169" s="2"/>
      <c r="L169" s="2">
        <v>808</v>
      </c>
      <c r="M169" s="2">
        <v>808</v>
      </c>
      <c r="N169" s="2">
        <f ca="1">INDEX(INDIRECT(_xlfn.CONCAT("weather.tbl[",N$1,"]")),MATCH(vp.tbl[[#This Row],[SDate]],weather.tbl[Date],0))</f>
        <v>7.3666666666666671</v>
      </c>
      <c r="O169" s="2">
        <f ca="1">INDEX(INDIRECT(_xlfn.CONCAT("weather.tbl[",O$1,"]")),MATCH(vp.tbl[[#This Row],[SDate]],weather.tbl[Date],0))</f>
        <v>6.9476190476190478</v>
      </c>
      <c r="P169" s="2">
        <f ca="1">INDEX(INDIRECT(_xlfn.CONCAT("weather.tbl[",P$1,"]")),MATCH(vp.tbl[[#This Row],[SDate]],weather.tbl[Date],0))</f>
        <v>7.3</v>
      </c>
      <c r="Q169" s="2">
        <f ca="1">INDEX(INDIRECT(_xlfn.CONCAT("weather.tbl[",Q$1,"]")),MATCH(vp.tbl[[#This Row],[SDate]],weather.tbl[Date],0))</f>
        <v>7.6</v>
      </c>
      <c r="R169" s="2">
        <f ca="1">INDEX(INDIRECT(_xlfn.CONCAT("weather.tbl[",R$1,"]")),MATCH(vp.tbl[[#This Row],[SDate]],weather.tbl[Date],0))</f>
        <v>7.3</v>
      </c>
      <c r="S169" s="2">
        <f ca="1">INDEX(INDIRECT(_xlfn.CONCAT("weather.tbl[",S$1,"]")),MATCH(vp.tbl[[#This Row],[SDate]],weather.tbl[Date],0))</f>
        <v>8.5</v>
      </c>
      <c r="T169" s="2">
        <f ca="1">INDEX(INDIRECT(_xlfn.CONCAT("weather.tbl[",T$1,"]")),MATCH(vp.tbl[[#This Row],[SDate]],weather.tbl[Date],0))</f>
        <v>6</v>
      </c>
      <c r="U169" s="2">
        <f ca="1">INDEX(INDIRECT(_xlfn.CONCAT("weather.tbl[",U$1,"]")),MATCH(vp.tbl[[#This Row],[SDate]],weather.tbl[Date],0))</f>
        <v>7.5</v>
      </c>
      <c r="V169" s="2">
        <v>7120.0259999999998</v>
      </c>
      <c r="W169" t="s">
        <v>48</v>
      </c>
      <c r="X169">
        <f>IF(OR(vp.tbl[[#This Row],[Sulf]]="",vp.tbl[[#This Row],[Dens]]=""),1,0)</f>
        <v>0</v>
      </c>
      <c r="Y169">
        <f>IF(vp.tbl[[#This Row],[CrudeType]]="C5+",1,0)</f>
        <v>0</v>
      </c>
      <c r="Z169">
        <f>IF(AND(vp.tbl[[#This Row],[CrudeType]]="Crude",vp.tbl[[#This Row],[Dens]]&lt;=825,vp.tbl[[#This Row],[Sulf]]&gt;0.5,vp.tbl[[#This Row],[Unknown]]=0),1,0)</f>
        <v>0</v>
      </c>
      <c r="AA169">
        <f>IF(AND(vp.tbl[[#This Row],[CrudeType]]="Crude",vp.tbl[[#This Row],[Dens]]&lt;=825,vp.tbl[[#This Row],[Sulf]]&lt;=0.5,vp.tbl[[#This Row],[Unknown]]=0),1,0)</f>
        <v>1</v>
      </c>
      <c r="AB169">
        <f>IF(AND(vp.tbl[[#This Row],[CrudeType]]="Crude",vp.tbl[[#This Row],[Dens]]&gt;825,vp.tbl[[#This Row],[Dens]]&lt;=870,vp.tbl[[#This Row],[Sulf]]&gt;0.5,vp.tbl[[#This Row],[Unknown]]=0),1,0)</f>
        <v>0</v>
      </c>
      <c r="AC169">
        <f>IF(AND(vp.tbl[[#This Row],[CrudeType]]="Crude",vp.tbl[[#This Row],[Dens]]&gt;825,vp.tbl[[#This Row],[Dens]]&lt;=900,vp.tbl[[#This Row],[Sulf]]&lt;=0.5,vp.tbl[[#This Row],[Unknown]]=0),1,0)</f>
        <v>0</v>
      </c>
      <c r="AD169">
        <f>IF(AND(vp.tbl[[#This Row],[CrudeType]]="Crude",vp.tbl[[#This Row],[Dens]]&gt;870,vp.tbl[[#This Row],[Dens]]&lt;=900,vp.tbl[[#This Row],[Sulf]]&gt;0.5,vp.tbl[[#This Row],[Unknown]]=0),1,0)</f>
        <v>0</v>
      </c>
      <c r="AE169">
        <f>IF(AND(vp.tbl[[#This Row],[CrudeType]]="Crude",vp.tbl[[#This Row],[Dens]]&gt;900,vp.tbl[[#This Row],[Sulf]]&lt;=0.5,vp.tbl[[#This Row],[Unknown]]=0),1,0)</f>
        <v>0</v>
      </c>
      <c r="AF169">
        <f>IF(AND(vp.tbl[[#This Row],[CrudeType]]="Crude",vp.tbl[[#This Row],[Dens]]&gt;900,vp.tbl[[#This Row],[Sulf]]&lt;=0.5,vp.tbl[[#This Row],[Unknown]]=0),1,0)</f>
        <v>0</v>
      </c>
      <c r="AG169" t="str">
        <f>INDEX(vp.tbl[[#Headers],[Unknown]:[Heavy_SW]],MATCH(1,vp.tbl[[#This Row],[Unknown]:[Heavy_SW]],0))</f>
        <v>Light_SW</v>
      </c>
      <c r="AH169" t="e">
        <f>INDEX([1]!crudeBD.lkup[Number],MATCH(vp.tbl[[#This Row],[Crude_Breakdown]],[1]!crudeBD.lkup[Crude Breakdown],0))</f>
        <v>#REF!</v>
      </c>
      <c r="AI169">
        <f>MONTH(vp.tbl[[#This Row],[SDate]])</f>
        <v>4</v>
      </c>
      <c r="AJ169" s="5">
        <f>IFERROR(vp.tbl[[#This Row],[Sulf]]*vp.tbl[[#This Row],[Net Dens]],"")</f>
        <v>978006.77136000001</v>
      </c>
      <c r="AK169" s="5">
        <f>IFERROR(vp.tbl[[#This Row],[Dens]]*vp.tbl[[#This Row],[VolumeM3]],"")</f>
        <v>5752981.0079999994</v>
      </c>
      <c r="AL169" s="5">
        <f>IFERROR(vp.tbl[[#This Row],[VP]]*vp.tbl[[#This Row],[VolumeM3]],"")</f>
        <v>642938.34779999999</v>
      </c>
      <c r="AM169" s="4">
        <f>IFERROR((vp.tbl[[#This Row],[VP]]-INDEX(crudeBD.lkup.complete[Mean_VP],MATCH(vp.tbl[[#This Row],[Crude_Breakdown]],crudeBD.lkup.complete[Crude Breakdown],0)))^2,"")</f>
        <v>5.063911248163631</v>
      </c>
      <c r="AN169" s="4">
        <f>IFERROR((vp.tbl[[#This Row],[Dens]]-INDEX(crudeBD.lkup.complete[Mean_Dens],MATCH(vp.tbl[[#This Row],[Crude_Breakdown]],crudeBD.lkup.complete[Crude Breakdown],0)))^2,"")</f>
        <v>9.7031164637045433E-2</v>
      </c>
      <c r="AO169" s="4">
        <f>IFERROR((vp.tbl[[#This Row],[Sulf]]-INDEX(crudeBD.lkup.complete[Mean_Sulf],MATCH(vp.tbl[[#This Row],[Crude_Breakdown]],crudeBD.lkup.complete[Crude Breakdown],0)))^2,"")</f>
        <v>4.3879776367322437E-3</v>
      </c>
      <c r="AP169">
        <f>IF(AND(vp.tbl[[#This Row],[SDate]]&gt;=DATE(YEAR(vp.tbl[[#This Row],[SDate]]),5,1),vp.tbl[[#This Row],[SDate]]&lt;=DATE(YEAR(vp.tbl[[#This Row],[SDate]]),9,15)),1,0)</f>
        <v>0</v>
      </c>
      <c r="AQ169" s="15">
        <f>IF(vp.tbl[[#This Row],[SDate]]&lt;DATE(2016,12,1),0,1)</f>
        <v>0</v>
      </c>
    </row>
    <row r="170" spans="1:43" x14ac:dyDescent="0.25">
      <c r="A170">
        <v>169</v>
      </c>
      <c r="B170" t="s">
        <v>49</v>
      </c>
      <c r="C170" t="s">
        <v>49</v>
      </c>
      <c r="D170" t="s">
        <v>80</v>
      </c>
      <c r="F170" s="1">
        <v>42488</v>
      </c>
      <c r="G170" s="2">
        <v>83.7</v>
      </c>
      <c r="H170" s="2"/>
      <c r="I170" s="2">
        <v>0.37</v>
      </c>
      <c r="J170" s="2"/>
      <c r="K170" s="2"/>
      <c r="L170" s="2">
        <v>814.6</v>
      </c>
      <c r="M170" s="2">
        <v>814.6</v>
      </c>
      <c r="N170" s="2">
        <f ca="1">INDEX(INDIRECT(_xlfn.CONCAT("weather.tbl[",N$1,"]")),MATCH(vp.tbl[[#This Row],[SDate]],weather.tbl[Date],0))</f>
        <v>7.3666666666666671</v>
      </c>
      <c r="O170" s="2">
        <f ca="1">INDEX(INDIRECT(_xlfn.CONCAT("weather.tbl[",O$1,"]")),MATCH(vp.tbl[[#This Row],[SDate]],weather.tbl[Date],0))</f>
        <v>6.9476190476190478</v>
      </c>
      <c r="P170" s="2">
        <f ca="1">INDEX(INDIRECT(_xlfn.CONCAT("weather.tbl[",P$1,"]")),MATCH(vp.tbl[[#This Row],[SDate]],weather.tbl[Date],0))</f>
        <v>7.3</v>
      </c>
      <c r="Q170" s="2">
        <f ca="1">INDEX(INDIRECT(_xlfn.CONCAT("weather.tbl[",Q$1,"]")),MATCH(vp.tbl[[#This Row],[SDate]],weather.tbl[Date],0))</f>
        <v>7.6</v>
      </c>
      <c r="R170" s="2">
        <f ca="1">INDEX(INDIRECT(_xlfn.CONCAT("weather.tbl[",R$1,"]")),MATCH(vp.tbl[[#This Row],[SDate]],weather.tbl[Date],0))</f>
        <v>7.3</v>
      </c>
      <c r="S170" s="2">
        <f ca="1">INDEX(INDIRECT(_xlfn.CONCAT("weather.tbl[",S$1,"]")),MATCH(vp.tbl[[#This Row],[SDate]],weather.tbl[Date],0))</f>
        <v>8.5</v>
      </c>
      <c r="T170" s="2">
        <f ca="1">INDEX(INDIRECT(_xlfn.CONCAT("weather.tbl[",T$1,"]")),MATCH(vp.tbl[[#This Row],[SDate]],weather.tbl[Date],0))</f>
        <v>6</v>
      </c>
      <c r="U170" s="2">
        <f ca="1">INDEX(INDIRECT(_xlfn.CONCAT("weather.tbl[",U$1,"]")),MATCH(vp.tbl[[#This Row],[SDate]],weather.tbl[Date],0))</f>
        <v>7.5</v>
      </c>
      <c r="V170" s="2">
        <v>21898.512999999999</v>
      </c>
      <c r="W170" t="s">
        <v>48</v>
      </c>
      <c r="X170">
        <f>IF(OR(vp.tbl[[#This Row],[Sulf]]="",vp.tbl[[#This Row],[Dens]]=""),1,0)</f>
        <v>0</v>
      </c>
      <c r="Y170">
        <f>IF(vp.tbl[[#This Row],[CrudeType]]="C5+",1,0)</f>
        <v>0</v>
      </c>
      <c r="Z170">
        <f>IF(AND(vp.tbl[[#This Row],[CrudeType]]="Crude",vp.tbl[[#This Row],[Dens]]&lt;=825,vp.tbl[[#This Row],[Sulf]]&gt;0.5,vp.tbl[[#This Row],[Unknown]]=0),1,0)</f>
        <v>0</v>
      </c>
      <c r="AA170">
        <f>IF(AND(vp.tbl[[#This Row],[CrudeType]]="Crude",vp.tbl[[#This Row],[Dens]]&lt;=825,vp.tbl[[#This Row],[Sulf]]&lt;=0.5,vp.tbl[[#This Row],[Unknown]]=0),1,0)</f>
        <v>1</v>
      </c>
      <c r="AB170">
        <f>IF(AND(vp.tbl[[#This Row],[CrudeType]]="Crude",vp.tbl[[#This Row],[Dens]]&gt;825,vp.tbl[[#This Row],[Dens]]&lt;=870,vp.tbl[[#This Row],[Sulf]]&gt;0.5,vp.tbl[[#This Row],[Unknown]]=0),1,0)</f>
        <v>0</v>
      </c>
      <c r="AC170">
        <f>IF(AND(vp.tbl[[#This Row],[CrudeType]]="Crude",vp.tbl[[#This Row],[Dens]]&gt;825,vp.tbl[[#This Row],[Dens]]&lt;=900,vp.tbl[[#This Row],[Sulf]]&lt;=0.5,vp.tbl[[#This Row],[Unknown]]=0),1,0)</f>
        <v>0</v>
      </c>
      <c r="AD170">
        <f>IF(AND(vp.tbl[[#This Row],[CrudeType]]="Crude",vp.tbl[[#This Row],[Dens]]&gt;870,vp.tbl[[#This Row],[Dens]]&lt;=900,vp.tbl[[#This Row],[Sulf]]&gt;0.5,vp.tbl[[#This Row],[Unknown]]=0),1,0)</f>
        <v>0</v>
      </c>
      <c r="AE170">
        <f>IF(AND(vp.tbl[[#This Row],[CrudeType]]="Crude",vp.tbl[[#This Row],[Dens]]&gt;900,vp.tbl[[#This Row],[Sulf]]&lt;=0.5,vp.tbl[[#This Row],[Unknown]]=0),1,0)</f>
        <v>0</v>
      </c>
      <c r="AF170">
        <f>IF(AND(vp.tbl[[#This Row],[CrudeType]]="Crude",vp.tbl[[#This Row],[Dens]]&gt;900,vp.tbl[[#This Row],[Sulf]]&lt;=0.5,vp.tbl[[#This Row],[Unknown]]=0),1,0)</f>
        <v>0</v>
      </c>
      <c r="AG170" t="str">
        <f>INDEX(vp.tbl[[#Headers],[Unknown]:[Heavy_SW]],MATCH(1,vp.tbl[[#This Row],[Unknown]:[Heavy_SW]],0))</f>
        <v>Light_SW</v>
      </c>
      <c r="AH170" t="e">
        <f>INDEX([1]!crudeBD.lkup[Number],MATCH(vp.tbl[[#This Row],[Crude_Breakdown]],[1]!crudeBD.lkup[Crude Breakdown],0))</f>
        <v>#REF!</v>
      </c>
      <c r="AI170">
        <f>MONTH(vp.tbl[[#This Row],[SDate]])</f>
        <v>4</v>
      </c>
      <c r="AJ170" s="5">
        <f>IFERROR(vp.tbl[[#This Row],[Sulf]]*vp.tbl[[#This Row],[Net Dens]],"")</f>
        <v>6600255.6152259996</v>
      </c>
      <c r="AK170" s="5">
        <f>IFERROR(vp.tbl[[#This Row],[Dens]]*vp.tbl[[#This Row],[VolumeM3]],"")</f>
        <v>17838528.689799998</v>
      </c>
      <c r="AL170" s="5">
        <f>IFERROR(vp.tbl[[#This Row],[VP]]*vp.tbl[[#This Row],[VolumeM3]],"")</f>
        <v>1832905.5381</v>
      </c>
      <c r="AM170" s="4">
        <f>IFERROR((vp.tbl[[#This Row],[VP]]-INDEX(crudeBD.lkup.complete[Mean_VP],MATCH(vp.tbl[[#This Row],[Crude_Breakdown]],crudeBD.lkup.complete[Crude Breakdown],0)))^2,"")</f>
        <v>78.328050620985479</v>
      </c>
      <c r="AN170" s="4">
        <f>IFERROR((vp.tbl[[#This Row],[Dens]]-INDEX(crudeBD.lkup.complete[Mean_Dens],MATCH(vp.tbl[[#This Row],[Crude_Breakdown]],crudeBD.lkup.complete[Crude Breakdown],0)))^2,"")</f>
        <v>39.545254161155896</v>
      </c>
      <c r="AO170" s="4">
        <f>IFERROR((vp.tbl[[#This Row],[Sulf]]-INDEX(crudeBD.lkup.complete[Mean_Sulf],MATCH(vp.tbl[[#This Row],[Crude_Breakdown]],crudeBD.lkup.complete[Crude Breakdown],0)))^2,"")</f>
        <v>1.7891252898056348E-2</v>
      </c>
      <c r="AP170">
        <f>IF(AND(vp.tbl[[#This Row],[SDate]]&gt;=DATE(YEAR(vp.tbl[[#This Row],[SDate]]),5,1),vp.tbl[[#This Row],[SDate]]&lt;=DATE(YEAR(vp.tbl[[#This Row],[SDate]]),9,15)),1,0)</f>
        <v>0</v>
      </c>
      <c r="AQ170" s="15">
        <f>IF(vp.tbl[[#This Row],[SDate]]&lt;DATE(2016,12,1),0,1)</f>
        <v>0</v>
      </c>
    </row>
    <row r="171" spans="1:43" x14ac:dyDescent="0.25">
      <c r="A171">
        <v>170</v>
      </c>
      <c r="B171" t="s">
        <v>49</v>
      </c>
      <c r="C171" t="s">
        <v>49</v>
      </c>
      <c r="D171" t="s">
        <v>74</v>
      </c>
      <c r="F171" s="1">
        <v>42492</v>
      </c>
      <c r="G171" s="2">
        <v>113.3</v>
      </c>
      <c r="H171" s="2"/>
      <c r="I171" s="2">
        <v>0.14000000000000001</v>
      </c>
      <c r="J171" s="2"/>
      <c r="K171" s="2"/>
      <c r="L171" s="2">
        <v>799.5</v>
      </c>
      <c r="M171" s="2">
        <v>799.5</v>
      </c>
      <c r="N171" s="2">
        <f ca="1">INDEX(INDIRECT(_xlfn.CONCAT("weather.tbl[",N$1,"]")),MATCH(vp.tbl[[#This Row],[SDate]],weather.tbl[Date],0))</f>
        <v>13.799999999999999</v>
      </c>
      <c r="O171" s="2">
        <f ca="1">INDEX(INDIRECT(_xlfn.CONCAT("weather.tbl[",O$1,"]")),MATCH(vp.tbl[[#This Row],[SDate]],weather.tbl[Date],0))</f>
        <v>8.7261904761904763</v>
      </c>
      <c r="P171" s="2">
        <f ca="1">INDEX(INDIRECT(_xlfn.CONCAT("weather.tbl[",P$1,"]")),MATCH(vp.tbl[[#This Row],[SDate]],weather.tbl[Date],0))</f>
        <v>13.6</v>
      </c>
      <c r="Q171" s="2">
        <f ca="1">INDEX(INDIRECT(_xlfn.CONCAT("weather.tbl[",Q$1,"]")),MATCH(vp.tbl[[#This Row],[SDate]],weather.tbl[Date],0))</f>
        <v>12.3</v>
      </c>
      <c r="R171" s="2">
        <f ca="1">INDEX(INDIRECT(_xlfn.CONCAT("weather.tbl[",R$1,"]")),MATCH(vp.tbl[[#This Row],[SDate]],weather.tbl[Date],0))</f>
        <v>13.5</v>
      </c>
      <c r="S171" s="2">
        <f ca="1">INDEX(INDIRECT(_xlfn.CONCAT("weather.tbl[",S$1,"]")),MATCH(vp.tbl[[#This Row],[SDate]],weather.tbl[Date],0))</f>
        <v>16</v>
      </c>
      <c r="T171" s="2">
        <f ca="1">INDEX(INDIRECT(_xlfn.CONCAT("weather.tbl[",T$1,"]")),MATCH(vp.tbl[[#This Row],[SDate]],weather.tbl[Date],0))</f>
        <v>13.4</v>
      </c>
      <c r="U171" s="2">
        <f ca="1">INDEX(INDIRECT(_xlfn.CONCAT("weather.tbl[",U$1,"]")),MATCH(vp.tbl[[#This Row],[SDate]],weather.tbl[Date],0))</f>
        <v>14</v>
      </c>
      <c r="V171" s="2">
        <v>45143.608</v>
      </c>
      <c r="W171" t="s">
        <v>48</v>
      </c>
      <c r="X171">
        <f>IF(OR(vp.tbl[[#This Row],[Sulf]]="",vp.tbl[[#This Row],[Dens]]=""),1,0)</f>
        <v>0</v>
      </c>
      <c r="Y171">
        <f>IF(vp.tbl[[#This Row],[CrudeType]]="C5+",1,0)</f>
        <v>0</v>
      </c>
      <c r="Z171">
        <f>IF(AND(vp.tbl[[#This Row],[CrudeType]]="Crude",vp.tbl[[#This Row],[Dens]]&lt;=825,vp.tbl[[#This Row],[Sulf]]&gt;0.5,vp.tbl[[#This Row],[Unknown]]=0),1,0)</f>
        <v>0</v>
      </c>
      <c r="AA171">
        <f>IF(AND(vp.tbl[[#This Row],[CrudeType]]="Crude",vp.tbl[[#This Row],[Dens]]&lt;=825,vp.tbl[[#This Row],[Sulf]]&lt;=0.5,vp.tbl[[#This Row],[Unknown]]=0),1,0)</f>
        <v>1</v>
      </c>
      <c r="AB171">
        <f>IF(AND(vp.tbl[[#This Row],[CrudeType]]="Crude",vp.tbl[[#This Row],[Dens]]&gt;825,vp.tbl[[#This Row],[Dens]]&lt;=870,vp.tbl[[#This Row],[Sulf]]&gt;0.5,vp.tbl[[#This Row],[Unknown]]=0),1,0)</f>
        <v>0</v>
      </c>
      <c r="AC171">
        <f>IF(AND(vp.tbl[[#This Row],[CrudeType]]="Crude",vp.tbl[[#This Row],[Dens]]&gt;825,vp.tbl[[#This Row],[Dens]]&lt;=900,vp.tbl[[#This Row],[Sulf]]&lt;=0.5,vp.tbl[[#This Row],[Unknown]]=0),1,0)</f>
        <v>0</v>
      </c>
      <c r="AD171">
        <f>IF(AND(vp.tbl[[#This Row],[CrudeType]]="Crude",vp.tbl[[#This Row],[Dens]]&gt;870,vp.tbl[[#This Row],[Dens]]&lt;=900,vp.tbl[[#This Row],[Sulf]]&gt;0.5,vp.tbl[[#This Row],[Unknown]]=0),1,0)</f>
        <v>0</v>
      </c>
      <c r="AE171">
        <f>IF(AND(vp.tbl[[#This Row],[CrudeType]]="Crude",vp.tbl[[#This Row],[Dens]]&gt;900,vp.tbl[[#This Row],[Sulf]]&lt;=0.5,vp.tbl[[#This Row],[Unknown]]=0),1,0)</f>
        <v>0</v>
      </c>
      <c r="AF171">
        <f>IF(AND(vp.tbl[[#This Row],[CrudeType]]="Crude",vp.tbl[[#This Row],[Dens]]&gt;900,vp.tbl[[#This Row],[Sulf]]&lt;=0.5,vp.tbl[[#This Row],[Unknown]]=0),1,0)</f>
        <v>0</v>
      </c>
      <c r="AG171" t="str">
        <f>INDEX(vp.tbl[[#Headers],[Unknown]:[Heavy_SW]],MATCH(1,vp.tbl[[#This Row],[Unknown]:[Heavy_SW]],0))</f>
        <v>Light_SW</v>
      </c>
      <c r="AH171" t="e">
        <f>INDEX([1]!crudeBD.lkup[Number],MATCH(vp.tbl[[#This Row],[Crude_Breakdown]],[1]!crudeBD.lkup[Crude Breakdown],0))</f>
        <v>#REF!</v>
      </c>
      <c r="AI171">
        <f>MONTH(vp.tbl[[#This Row],[SDate]])</f>
        <v>5</v>
      </c>
      <c r="AJ171" s="5">
        <f>IFERROR(vp.tbl[[#This Row],[Sulf]]*vp.tbl[[#This Row],[Net Dens]],"")</f>
        <v>5052924.0434400002</v>
      </c>
      <c r="AK171" s="5">
        <f>IFERROR(vp.tbl[[#This Row],[Dens]]*vp.tbl[[#This Row],[VolumeM3]],"")</f>
        <v>36092314.596000001</v>
      </c>
      <c r="AL171" s="5">
        <f>IFERROR(vp.tbl[[#This Row],[VP]]*vp.tbl[[#This Row],[VolumeM3]],"")</f>
        <v>5114770.7863999996</v>
      </c>
      <c r="AM171" s="4">
        <f>IFERROR((vp.tbl[[#This Row],[VP]]-INDEX(crudeBD.lkup.complete[Mean_VP],MATCH(vp.tbl[[#This Row],[Crude_Breakdown]],crudeBD.lkup.complete[Crude Breakdown],0)))^2,"")</f>
        <v>430.54948616105685</v>
      </c>
      <c r="AN171" s="4">
        <f>IFERROR((vp.tbl[[#This Row],[Dens]]-INDEX(crudeBD.lkup.complete[Mean_Dens],MATCH(vp.tbl[[#This Row],[Crude_Breakdown]],crudeBD.lkup.complete[Crude Breakdown],0)))^2,"")</f>
        <v>77.642501547908594</v>
      </c>
      <c r="AO171" s="4">
        <f>IFERROR((vp.tbl[[#This Row],[Sulf]]-INDEX(crudeBD.lkup.complete[Mean_Sulf],MATCH(vp.tbl[[#This Row],[Crude_Breakdown]],crudeBD.lkup.complete[Crude Breakdown],0)))^2,"")</f>
        <v>9.2624863475336272E-3</v>
      </c>
      <c r="AP171">
        <f>IF(AND(vp.tbl[[#This Row],[SDate]]&gt;=DATE(YEAR(vp.tbl[[#This Row],[SDate]]),5,1),vp.tbl[[#This Row],[SDate]]&lt;=DATE(YEAR(vp.tbl[[#This Row],[SDate]]),9,15)),1,0)</f>
        <v>1</v>
      </c>
      <c r="AQ171" s="15">
        <f>IF(vp.tbl[[#This Row],[SDate]]&lt;DATE(2016,12,1),0,1)</f>
        <v>0</v>
      </c>
    </row>
    <row r="172" spans="1:43" x14ac:dyDescent="0.25">
      <c r="A172">
        <v>171</v>
      </c>
      <c r="B172" t="s">
        <v>62</v>
      </c>
      <c r="C172" t="s">
        <v>62</v>
      </c>
      <c r="D172" t="s">
        <v>79</v>
      </c>
      <c r="F172" s="1">
        <v>42492</v>
      </c>
      <c r="G172" s="2">
        <v>63.6</v>
      </c>
      <c r="H172" s="2"/>
      <c r="I172" s="2">
        <v>0.26</v>
      </c>
      <c r="J172" s="2"/>
      <c r="K172" s="2"/>
      <c r="L172" s="2">
        <v>804.4</v>
      </c>
      <c r="M172" s="2">
        <v>804.4</v>
      </c>
      <c r="N172" s="2">
        <f ca="1">INDEX(INDIRECT(_xlfn.CONCAT("weather.tbl[",N$1,"]")),MATCH(vp.tbl[[#This Row],[SDate]],weather.tbl[Date],0))</f>
        <v>13.799999999999999</v>
      </c>
      <c r="O172" s="2">
        <f ca="1">INDEX(INDIRECT(_xlfn.CONCAT("weather.tbl[",O$1,"]")),MATCH(vp.tbl[[#This Row],[SDate]],weather.tbl[Date],0))</f>
        <v>8.7261904761904763</v>
      </c>
      <c r="P172" s="2">
        <f ca="1">INDEX(INDIRECT(_xlfn.CONCAT("weather.tbl[",P$1,"]")),MATCH(vp.tbl[[#This Row],[SDate]],weather.tbl[Date],0))</f>
        <v>13.6</v>
      </c>
      <c r="Q172" s="2">
        <f ca="1">INDEX(INDIRECT(_xlfn.CONCAT("weather.tbl[",Q$1,"]")),MATCH(vp.tbl[[#This Row],[SDate]],weather.tbl[Date],0))</f>
        <v>12.3</v>
      </c>
      <c r="R172" s="2">
        <f ca="1">INDEX(INDIRECT(_xlfn.CONCAT("weather.tbl[",R$1,"]")),MATCH(vp.tbl[[#This Row],[SDate]],weather.tbl[Date],0))</f>
        <v>13.5</v>
      </c>
      <c r="S172" s="2">
        <f ca="1">INDEX(INDIRECT(_xlfn.CONCAT("weather.tbl[",S$1,"]")),MATCH(vp.tbl[[#This Row],[SDate]],weather.tbl[Date],0))</f>
        <v>16</v>
      </c>
      <c r="T172" s="2">
        <f ca="1">INDEX(INDIRECT(_xlfn.CONCAT("weather.tbl[",T$1,"]")),MATCH(vp.tbl[[#This Row],[SDate]],weather.tbl[Date],0))</f>
        <v>13.4</v>
      </c>
      <c r="U172" s="2">
        <f ca="1">INDEX(INDIRECT(_xlfn.CONCAT("weather.tbl[",U$1,"]")),MATCH(vp.tbl[[#This Row],[SDate]],weather.tbl[Date],0))</f>
        <v>14</v>
      </c>
      <c r="V172" s="2">
        <v>16126.073</v>
      </c>
      <c r="W172" t="s">
        <v>48</v>
      </c>
      <c r="X172">
        <f>IF(OR(vp.tbl[[#This Row],[Sulf]]="",vp.tbl[[#This Row],[Dens]]=""),1,0)</f>
        <v>0</v>
      </c>
      <c r="Y172">
        <f>IF(vp.tbl[[#This Row],[CrudeType]]="C5+",1,0)</f>
        <v>0</v>
      </c>
      <c r="Z172">
        <f>IF(AND(vp.tbl[[#This Row],[CrudeType]]="Crude",vp.tbl[[#This Row],[Dens]]&lt;=825,vp.tbl[[#This Row],[Sulf]]&gt;0.5,vp.tbl[[#This Row],[Unknown]]=0),1,0)</f>
        <v>0</v>
      </c>
      <c r="AA172">
        <f>IF(AND(vp.tbl[[#This Row],[CrudeType]]="Crude",vp.tbl[[#This Row],[Dens]]&lt;=825,vp.tbl[[#This Row],[Sulf]]&lt;=0.5,vp.tbl[[#This Row],[Unknown]]=0),1,0)</f>
        <v>1</v>
      </c>
      <c r="AB172">
        <f>IF(AND(vp.tbl[[#This Row],[CrudeType]]="Crude",vp.tbl[[#This Row],[Dens]]&gt;825,vp.tbl[[#This Row],[Dens]]&lt;=870,vp.tbl[[#This Row],[Sulf]]&gt;0.5,vp.tbl[[#This Row],[Unknown]]=0),1,0)</f>
        <v>0</v>
      </c>
      <c r="AC172">
        <f>IF(AND(vp.tbl[[#This Row],[CrudeType]]="Crude",vp.tbl[[#This Row],[Dens]]&gt;825,vp.tbl[[#This Row],[Dens]]&lt;=900,vp.tbl[[#This Row],[Sulf]]&lt;=0.5,vp.tbl[[#This Row],[Unknown]]=0),1,0)</f>
        <v>0</v>
      </c>
      <c r="AD172">
        <f>IF(AND(vp.tbl[[#This Row],[CrudeType]]="Crude",vp.tbl[[#This Row],[Dens]]&gt;870,vp.tbl[[#This Row],[Dens]]&lt;=900,vp.tbl[[#This Row],[Sulf]]&gt;0.5,vp.tbl[[#This Row],[Unknown]]=0),1,0)</f>
        <v>0</v>
      </c>
      <c r="AE172">
        <f>IF(AND(vp.tbl[[#This Row],[CrudeType]]="Crude",vp.tbl[[#This Row],[Dens]]&gt;900,vp.tbl[[#This Row],[Sulf]]&lt;=0.5,vp.tbl[[#This Row],[Unknown]]=0),1,0)</f>
        <v>0</v>
      </c>
      <c r="AF172">
        <f>IF(AND(vp.tbl[[#This Row],[CrudeType]]="Crude",vp.tbl[[#This Row],[Dens]]&gt;900,vp.tbl[[#This Row],[Sulf]]&lt;=0.5,vp.tbl[[#This Row],[Unknown]]=0),1,0)</f>
        <v>0</v>
      </c>
      <c r="AG172" t="str">
        <f>INDEX(vp.tbl[[#Headers],[Unknown]:[Heavy_SW]],MATCH(1,vp.tbl[[#This Row],[Unknown]:[Heavy_SW]],0))</f>
        <v>Light_SW</v>
      </c>
      <c r="AH172" t="e">
        <f>INDEX([1]!crudeBD.lkup[Number],MATCH(vp.tbl[[#This Row],[Crude_Breakdown]],[1]!crudeBD.lkup[Crude Breakdown],0))</f>
        <v>#REF!</v>
      </c>
      <c r="AI172">
        <f>MONTH(vp.tbl[[#This Row],[SDate]])</f>
        <v>5</v>
      </c>
      <c r="AJ172" s="5">
        <f>IFERROR(vp.tbl[[#This Row],[Sulf]]*vp.tbl[[#This Row],[Net Dens]],"")</f>
        <v>3372671.411512</v>
      </c>
      <c r="AK172" s="5">
        <f>IFERROR(vp.tbl[[#This Row],[Dens]]*vp.tbl[[#This Row],[VolumeM3]],"")</f>
        <v>12971813.121199999</v>
      </c>
      <c r="AL172" s="5">
        <f>IFERROR(vp.tbl[[#This Row],[VP]]*vp.tbl[[#This Row],[VolumeM3]],"")</f>
        <v>1025618.2428</v>
      </c>
      <c r="AM172" s="4">
        <f>IFERROR((vp.tbl[[#This Row],[VP]]-INDEX(crudeBD.lkup.complete[Mean_VP],MATCH(vp.tbl[[#This Row],[Crude_Breakdown]],crudeBD.lkup.complete[Crude Breakdown],0)))^2,"")</f>
        <v>838.1206568927613</v>
      </c>
      <c r="AN172" s="4">
        <f>IFERROR((vp.tbl[[#This Row],[Dens]]-INDEX(crudeBD.lkup.complete[Mean_Dens],MATCH(vp.tbl[[#This Row],[Crude_Breakdown]],crudeBD.lkup.complete[Crude Breakdown],0)))^2,"")</f>
        <v>15.299818621081645</v>
      </c>
      <c r="AO172" s="4">
        <f>IFERROR((vp.tbl[[#This Row],[Sulf]]-INDEX(crudeBD.lkup.complete[Mean_Sulf],MATCH(vp.tbl[[#This Row],[Crude_Breakdown]],crudeBD.lkup.complete[Crude Breakdown],0)))^2,"")</f>
        <v>5.644515043280923E-4</v>
      </c>
      <c r="AP172">
        <f>IF(AND(vp.tbl[[#This Row],[SDate]]&gt;=DATE(YEAR(vp.tbl[[#This Row],[SDate]]),5,1),vp.tbl[[#This Row],[SDate]]&lt;=DATE(YEAR(vp.tbl[[#This Row],[SDate]]),9,15)),1,0)</f>
        <v>1</v>
      </c>
      <c r="AQ172" s="15">
        <f>IF(vp.tbl[[#This Row],[SDate]]&lt;DATE(2016,12,1),0,1)</f>
        <v>0</v>
      </c>
    </row>
    <row r="173" spans="1:43" x14ac:dyDescent="0.25">
      <c r="A173">
        <v>172</v>
      </c>
      <c r="B173" t="s">
        <v>49</v>
      </c>
      <c r="C173" t="s">
        <v>49</v>
      </c>
      <c r="D173" t="s">
        <v>88</v>
      </c>
      <c r="F173" s="1">
        <v>42492</v>
      </c>
      <c r="G173" s="2">
        <v>92.5</v>
      </c>
      <c r="H173" s="2"/>
      <c r="I173" s="2">
        <v>1.9</v>
      </c>
      <c r="J173" s="2"/>
      <c r="K173" s="2"/>
      <c r="L173" s="2">
        <v>807.3</v>
      </c>
      <c r="M173" s="2">
        <v>807.3</v>
      </c>
      <c r="N173" s="2">
        <f ca="1">INDEX(INDIRECT(_xlfn.CONCAT("weather.tbl[",N$1,"]")),MATCH(vp.tbl[[#This Row],[SDate]],weather.tbl[Date],0))</f>
        <v>13.799999999999999</v>
      </c>
      <c r="O173" s="2">
        <f ca="1">INDEX(INDIRECT(_xlfn.CONCAT("weather.tbl[",O$1,"]")),MATCH(vp.tbl[[#This Row],[SDate]],weather.tbl[Date],0))</f>
        <v>8.7261904761904763</v>
      </c>
      <c r="P173" s="2">
        <f ca="1">INDEX(INDIRECT(_xlfn.CONCAT("weather.tbl[",P$1,"]")),MATCH(vp.tbl[[#This Row],[SDate]],weather.tbl[Date],0))</f>
        <v>13.6</v>
      </c>
      <c r="Q173" s="2">
        <f ca="1">INDEX(INDIRECT(_xlfn.CONCAT("weather.tbl[",Q$1,"]")),MATCH(vp.tbl[[#This Row],[SDate]],weather.tbl[Date],0))</f>
        <v>12.3</v>
      </c>
      <c r="R173" s="2">
        <f ca="1">INDEX(INDIRECT(_xlfn.CONCAT("weather.tbl[",R$1,"]")),MATCH(vp.tbl[[#This Row],[SDate]],weather.tbl[Date],0))</f>
        <v>13.5</v>
      </c>
      <c r="S173" s="2">
        <f ca="1">INDEX(INDIRECT(_xlfn.CONCAT("weather.tbl[",S$1,"]")),MATCH(vp.tbl[[#This Row],[SDate]],weather.tbl[Date],0))</f>
        <v>16</v>
      </c>
      <c r="T173" s="2">
        <f ca="1">INDEX(INDIRECT(_xlfn.CONCAT("weather.tbl[",T$1,"]")),MATCH(vp.tbl[[#This Row],[SDate]],weather.tbl[Date],0))</f>
        <v>13.4</v>
      </c>
      <c r="U173" s="2">
        <f ca="1">INDEX(INDIRECT(_xlfn.CONCAT("weather.tbl[",U$1,"]")),MATCH(vp.tbl[[#This Row],[SDate]],weather.tbl[Date],0))</f>
        <v>14</v>
      </c>
      <c r="V173" s="2">
        <v>5468.8130000000001</v>
      </c>
      <c r="W173" t="s">
        <v>48</v>
      </c>
      <c r="X173">
        <f>IF(OR(vp.tbl[[#This Row],[Sulf]]="",vp.tbl[[#This Row],[Dens]]=""),1,0)</f>
        <v>0</v>
      </c>
      <c r="Y173">
        <f>IF(vp.tbl[[#This Row],[CrudeType]]="C5+",1,0)</f>
        <v>0</v>
      </c>
      <c r="Z173">
        <f>IF(AND(vp.tbl[[#This Row],[CrudeType]]="Crude",vp.tbl[[#This Row],[Dens]]&lt;=825,vp.tbl[[#This Row],[Sulf]]&gt;0.5,vp.tbl[[#This Row],[Unknown]]=0),1,0)</f>
        <v>1</v>
      </c>
      <c r="AA173">
        <f>IF(AND(vp.tbl[[#This Row],[CrudeType]]="Crude",vp.tbl[[#This Row],[Dens]]&lt;=825,vp.tbl[[#This Row],[Sulf]]&lt;=0.5,vp.tbl[[#This Row],[Unknown]]=0),1,0)</f>
        <v>0</v>
      </c>
      <c r="AB173">
        <f>IF(AND(vp.tbl[[#This Row],[CrudeType]]="Crude",vp.tbl[[#This Row],[Dens]]&gt;825,vp.tbl[[#This Row],[Dens]]&lt;=870,vp.tbl[[#This Row],[Sulf]]&gt;0.5,vp.tbl[[#This Row],[Unknown]]=0),1,0)</f>
        <v>0</v>
      </c>
      <c r="AC173">
        <f>IF(AND(vp.tbl[[#This Row],[CrudeType]]="Crude",vp.tbl[[#This Row],[Dens]]&gt;825,vp.tbl[[#This Row],[Dens]]&lt;=900,vp.tbl[[#This Row],[Sulf]]&lt;=0.5,vp.tbl[[#This Row],[Unknown]]=0),1,0)</f>
        <v>0</v>
      </c>
      <c r="AD173">
        <f>IF(AND(vp.tbl[[#This Row],[CrudeType]]="Crude",vp.tbl[[#This Row],[Dens]]&gt;870,vp.tbl[[#This Row],[Dens]]&lt;=900,vp.tbl[[#This Row],[Sulf]]&gt;0.5,vp.tbl[[#This Row],[Unknown]]=0),1,0)</f>
        <v>0</v>
      </c>
      <c r="AE173">
        <f>IF(AND(vp.tbl[[#This Row],[CrudeType]]="Crude",vp.tbl[[#This Row],[Dens]]&gt;900,vp.tbl[[#This Row],[Sulf]]&lt;=0.5,vp.tbl[[#This Row],[Unknown]]=0),1,0)</f>
        <v>0</v>
      </c>
      <c r="AF173">
        <f>IF(AND(vp.tbl[[#This Row],[CrudeType]]="Crude",vp.tbl[[#This Row],[Dens]]&gt;900,vp.tbl[[#This Row],[Sulf]]&lt;=0.5,vp.tbl[[#This Row],[Unknown]]=0),1,0)</f>
        <v>0</v>
      </c>
      <c r="AG173" t="str">
        <f>INDEX(vp.tbl[[#Headers],[Unknown]:[Heavy_SW]],MATCH(1,vp.tbl[[#This Row],[Unknown]:[Heavy_SW]],0))</f>
        <v>Light_LSB</v>
      </c>
      <c r="AH173" t="e">
        <f>INDEX([1]!crudeBD.lkup[Number],MATCH(vp.tbl[[#This Row],[Crude_Breakdown]],[1]!crudeBD.lkup[Crude Breakdown],0))</f>
        <v>#REF!</v>
      </c>
      <c r="AI173">
        <f>MONTH(vp.tbl[[#This Row],[SDate]])</f>
        <v>5</v>
      </c>
      <c r="AJ173" s="5">
        <f>IFERROR(vp.tbl[[#This Row],[Sulf]]*vp.tbl[[#This Row],[Net Dens]],"")</f>
        <v>8388448.1963099986</v>
      </c>
      <c r="AK173" s="5">
        <f>IFERROR(vp.tbl[[#This Row],[Dens]]*vp.tbl[[#This Row],[VolumeM3]],"")</f>
        <v>4414972.7348999996</v>
      </c>
      <c r="AL173" s="5">
        <f>IFERROR(vp.tbl[[#This Row],[VP]]*vp.tbl[[#This Row],[VolumeM3]],"")</f>
        <v>505865.20250000001</v>
      </c>
      <c r="AM173" s="4">
        <f>IFERROR((vp.tbl[[#This Row],[VP]]-INDEX(crudeBD.lkup.complete[Mean_VP],MATCH(vp.tbl[[#This Row],[Crude_Breakdown]],crudeBD.lkup.complete[Crude Breakdown],0)))^2,"")</f>
        <v>0.90976197257938585</v>
      </c>
      <c r="AN173" s="4">
        <f>IFERROR((vp.tbl[[#This Row],[Dens]]-INDEX(crudeBD.lkup.complete[Mean_Dens],MATCH(vp.tbl[[#This Row],[Crude_Breakdown]],crudeBD.lkup.complete[Crude Breakdown],0)))^2,"")</f>
        <v>125.81592383650984</v>
      </c>
      <c r="AO173" s="4">
        <f>IFERROR((vp.tbl[[#This Row],[Sulf]]-INDEX(crudeBD.lkup.complete[Mean_Sulf],MATCH(vp.tbl[[#This Row],[Crude_Breakdown]],crudeBD.lkup.complete[Crude Breakdown],0)))^2,"")</f>
        <v>0.95458533780720733</v>
      </c>
      <c r="AP173">
        <f>IF(AND(vp.tbl[[#This Row],[SDate]]&gt;=DATE(YEAR(vp.tbl[[#This Row],[SDate]]),5,1),vp.tbl[[#This Row],[SDate]]&lt;=DATE(YEAR(vp.tbl[[#This Row],[SDate]]),9,15)),1,0)</f>
        <v>1</v>
      </c>
      <c r="AQ173" s="15">
        <f>IF(vp.tbl[[#This Row],[SDate]]&lt;DATE(2016,12,1),0,1)</f>
        <v>0</v>
      </c>
    </row>
    <row r="174" spans="1:43" x14ac:dyDescent="0.25">
      <c r="A174">
        <v>173</v>
      </c>
      <c r="B174" t="s">
        <v>62</v>
      </c>
      <c r="C174" t="s">
        <v>62</v>
      </c>
      <c r="D174" t="s">
        <v>83</v>
      </c>
      <c r="F174" s="1">
        <v>42492</v>
      </c>
      <c r="G174" s="2">
        <v>80</v>
      </c>
      <c r="H174" s="2"/>
      <c r="I174" s="2">
        <v>0.19</v>
      </c>
      <c r="J174" s="2"/>
      <c r="K174" s="2"/>
      <c r="L174" s="2">
        <v>813</v>
      </c>
      <c r="M174" s="2">
        <v>813</v>
      </c>
      <c r="N174" s="2">
        <f ca="1">INDEX(INDIRECT(_xlfn.CONCAT("weather.tbl[",N$1,"]")),MATCH(vp.tbl[[#This Row],[SDate]],weather.tbl[Date],0))</f>
        <v>13.799999999999999</v>
      </c>
      <c r="O174" s="2">
        <f ca="1">INDEX(INDIRECT(_xlfn.CONCAT("weather.tbl[",O$1,"]")),MATCH(vp.tbl[[#This Row],[SDate]],weather.tbl[Date],0))</f>
        <v>8.7261904761904763</v>
      </c>
      <c r="P174" s="2">
        <f ca="1">INDEX(INDIRECT(_xlfn.CONCAT("weather.tbl[",P$1,"]")),MATCH(vp.tbl[[#This Row],[SDate]],weather.tbl[Date],0))</f>
        <v>13.6</v>
      </c>
      <c r="Q174" s="2">
        <f ca="1">INDEX(INDIRECT(_xlfn.CONCAT("weather.tbl[",Q$1,"]")),MATCH(vp.tbl[[#This Row],[SDate]],weather.tbl[Date],0))</f>
        <v>12.3</v>
      </c>
      <c r="R174" s="2">
        <f ca="1">INDEX(INDIRECT(_xlfn.CONCAT("weather.tbl[",R$1,"]")),MATCH(vp.tbl[[#This Row],[SDate]],weather.tbl[Date],0))</f>
        <v>13.5</v>
      </c>
      <c r="S174" s="2">
        <f ca="1">INDEX(INDIRECT(_xlfn.CONCAT("weather.tbl[",S$1,"]")),MATCH(vp.tbl[[#This Row],[SDate]],weather.tbl[Date],0))</f>
        <v>16</v>
      </c>
      <c r="T174" s="2">
        <f ca="1">INDEX(INDIRECT(_xlfn.CONCAT("weather.tbl[",T$1,"]")),MATCH(vp.tbl[[#This Row],[SDate]],weather.tbl[Date],0))</f>
        <v>13.4</v>
      </c>
      <c r="U174" s="2">
        <f ca="1">INDEX(INDIRECT(_xlfn.CONCAT("weather.tbl[",U$1,"]")),MATCH(vp.tbl[[#This Row],[SDate]],weather.tbl[Date],0))</f>
        <v>14</v>
      </c>
      <c r="V174" s="2">
        <v>11957.736999999999</v>
      </c>
      <c r="W174" t="s">
        <v>48</v>
      </c>
      <c r="X174">
        <f>IF(OR(vp.tbl[[#This Row],[Sulf]]="",vp.tbl[[#This Row],[Dens]]=""),1,0)</f>
        <v>0</v>
      </c>
      <c r="Y174">
        <f>IF(vp.tbl[[#This Row],[CrudeType]]="C5+",1,0)</f>
        <v>0</v>
      </c>
      <c r="Z174">
        <f>IF(AND(vp.tbl[[#This Row],[CrudeType]]="Crude",vp.tbl[[#This Row],[Dens]]&lt;=825,vp.tbl[[#This Row],[Sulf]]&gt;0.5,vp.tbl[[#This Row],[Unknown]]=0),1,0)</f>
        <v>0</v>
      </c>
      <c r="AA174">
        <f>IF(AND(vp.tbl[[#This Row],[CrudeType]]="Crude",vp.tbl[[#This Row],[Dens]]&lt;=825,vp.tbl[[#This Row],[Sulf]]&lt;=0.5,vp.tbl[[#This Row],[Unknown]]=0),1,0)</f>
        <v>1</v>
      </c>
      <c r="AB174">
        <f>IF(AND(vp.tbl[[#This Row],[CrudeType]]="Crude",vp.tbl[[#This Row],[Dens]]&gt;825,vp.tbl[[#This Row],[Dens]]&lt;=870,vp.tbl[[#This Row],[Sulf]]&gt;0.5,vp.tbl[[#This Row],[Unknown]]=0),1,0)</f>
        <v>0</v>
      </c>
      <c r="AC174">
        <f>IF(AND(vp.tbl[[#This Row],[CrudeType]]="Crude",vp.tbl[[#This Row],[Dens]]&gt;825,vp.tbl[[#This Row],[Dens]]&lt;=900,vp.tbl[[#This Row],[Sulf]]&lt;=0.5,vp.tbl[[#This Row],[Unknown]]=0),1,0)</f>
        <v>0</v>
      </c>
      <c r="AD174">
        <f>IF(AND(vp.tbl[[#This Row],[CrudeType]]="Crude",vp.tbl[[#This Row],[Dens]]&gt;870,vp.tbl[[#This Row],[Dens]]&lt;=900,vp.tbl[[#This Row],[Sulf]]&gt;0.5,vp.tbl[[#This Row],[Unknown]]=0),1,0)</f>
        <v>0</v>
      </c>
      <c r="AE174">
        <f>IF(AND(vp.tbl[[#This Row],[CrudeType]]="Crude",vp.tbl[[#This Row],[Dens]]&gt;900,vp.tbl[[#This Row],[Sulf]]&lt;=0.5,vp.tbl[[#This Row],[Unknown]]=0),1,0)</f>
        <v>0</v>
      </c>
      <c r="AF174">
        <f>IF(AND(vp.tbl[[#This Row],[CrudeType]]="Crude",vp.tbl[[#This Row],[Dens]]&gt;900,vp.tbl[[#This Row],[Sulf]]&lt;=0.5,vp.tbl[[#This Row],[Unknown]]=0),1,0)</f>
        <v>0</v>
      </c>
      <c r="AG174" t="str">
        <f>INDEX(vp.tbl[[#Headers],[Unknown]:[Heavy_SW]],MATCH(1,vp.tbl[[#This Row],[Unknown]:[Heavy_SW]],0))</f>
        <v>Light_SW</v>
      </c>
      <c r="AH174" t="e">
        <f>INDEX([1]!crudeBD.lkup[Number],MATCH(vp.tbl[[#This Row],[Crude_Breakdown]],[1]!crudeBD.lkup[Crude Breakdown],0))</f>
        <v>#REF!</v>
      </c>
      <c r="AI174">
        <f>MONTH(vp.tbl[[#This Row],[SDate]])</f>
        <v>5</v>
      </c>
      <c r="AJ174" s="5">
        <f>IFERROR(vp.tbl[[#This Row],[Sulf]]*vp.tbl[[#This Row],[Net Dens]],"")</f>
        <v>1847111.63439</v>
      </c>
      <c r="AK174" s="5">
        <f>IFERROR(vp.tbl[[#This Row],[Dens]]*vp.tbl[[#This Row],[VolumeM3]],"")</f>
        <v>9721640.1809999999</v>
      </c>
      <c r="AL174" s="5">
        <f>IFERROR(vp.tbl[[#This Row],[VP]]*vp.tbl[[#This Row],[VolumeM3]],"")</f>
        <v>956618.96</v>
      </c>
      <c r="AM174" s="4">
        <f>IFERROR((vp.tbl[[#This Row],[VP]]-INDEX(crudeBD.lkup.complete[Mean_VP],MATCH(vp.tbl[[#This Row],[Crude_Breakdown]],crudeBD.lkup.complete[Crude Breakdown],0)))^2,"")</f>
        <v>157.51037117847659</v>
      </c>
      <c r="AN174" s="4">
        <f>IFERROR((vp.tbl[[#This Row],[Dens]]-INDEX(crudeBD.lkup.complete[Mean_Dens],MATCH(vp.tbl[[#This Row],[Crude_Breakdown]],crudeBD.lkup.complete[Crude Breakdown],0)))^2,"")</f>
        <v>21.982048586242016</v>
      </c>
      <c r="AO174" s="4">
        <f>IFERROR((vp.tbl[[#This Row],[Sulf]]-INDEX(crudeBD.lkup.complete[Mean_Sulf],MATCH(vp.tbl[[#This Row],[Crude_Breakdown]],crudeBD.lkup.complete[Crude Breakdown],0)))^2,"")</f>
        <v>2.1383051628646554E-3</v>
      </c>
      <c r="AP174">
        <f>IF(AND(vp.tbl[[#This Row],[SDate]]&gt;=DATE(YEAR(vp.tbl[[#This Row],[SDate]]),5,1),vp.tbl[[#This Row],[SDate]]&lt;=DATE(YEAR(vp.tbl[[#This Row],[SDate]]),9,15)),1,0)</f>
        <v>1</v>
      </c>
      <c r="AQ174" s="15">
        <f>IF(vp.tbl[[#This Row],[SDate]]&lt;DATE(2016,12,1),0,1)</f>
        <v>0</v>
      </c>
    </row>
    <row r="175" spans="1:43" x14ac:dyDescent="0.25">
      <c r="A175">
        <v>174</v>
      </c>
      <c r="B175" t="s">
        <v>51</v>
      </c>
      <c r="C175" t="s">
        <v>51</v>
      </c>
      <c r="D175" t="s">
        <v>72</v>
      </c>
      <c r="F175" s="1">
        <v>42492</v>
      </c>
      <c r="G175" s="2">
        <v>115.7</v>
      </c>
      <c r="H175" s="2"/>
      <c r="I175" s="2">
        <v>1.08</v>
      </c>
      <c r="J175" s="2"/>
      <c r="K175" s="2"/>
      <c r="L175" s="2">
        <v>842</v>
      </c>
      <c r="M175" s="2">
        <v>842</v>
      </c>
      <c r="N175" s="2">
        <f ca="1">INDEX(INDIRECT(_xlfn.CONCAT("weather.tbl[",N$1,"]")),MATCH(vp.tbl[[#This Row],[SDate]],weather.tbl[Date],0))</f>
        <v>13.799999999999999</v>
      </c>
      <c r="O175" s="2">
        <f ca="1">INDEX(INDIRECT(_xlfn.CONCAT("weather.tbl[",O$1,"]")),MATCH(vp.tbl[[#This Row],[SDate]],weather.tbl[Date],0))</f>
        <v>8.7261904761904763</v>
      </c>
      <c r="P175" s="2">
        <f ca="1">INDEX(INDIRECT(_xlfn.CONCAT("weather.tbl[",P$1,"]")),MATCH(vp.tbl[[#This Row],[SDate]],weather.tbl[Date],0))</f>
        <v>13.6</v>
      </c>
      <c r="Q175" s="2">
        <f ca="1">INDEX(INDIRECT(_xlfn.CONCAT("weather.tbl[",Q$1,"]")),MATCH(vp.tbl[[#This Row],[SDate]],weather.tbl[Date],0))</f>
        <v>12.3</v>
      </c>
      <c r="R175" s="2">
        <f ca="1">INDEX(INDIRECT(_xlfn.CONCAT("weather.tbl[",R$1,"]")),MATCH(vp.tbl[[#This Row],[SDate]],weather.tbl[Date],0))</f>
        <v>13.5</v>
      </c>
      <c r="S175" s="2">
        <f ca="1">INDEX(INDIRECT(_xlfn.CONCAT("weather.tbl[",S$1,"]")),MATCH(vp.tbl[[#This Row],[SDate]],weather.tbl[Date],0))</f>
        <v>16</v>
      </c>
      <c r="T175" s="2">
        <f ca="1">INDEX(INDIRECT(_xlfn.CONCAT("weather.tbl[",T$1,"]")),MATCH(vp.tbl[[#This Row],[SDate]],weather.tbl[Date],0))</f>
        <v>13.4</v>
      </c>
      <c r="U175" s="2">
        <f ca="1">INDEX(INDIRECT(_xlfn.CONCAT("weather.tbl[",U$1,"]")),MATCH(vp.tbl[[#This Row],[SDate]],weather.tbl[Date],0))</f>
        <v>14</v>
      </c>
      <c r="V175" s="2">
        <v>3736.6970000000001</v>
      </c>
      <c r="W175" t="s">
        <v>48</v>
      </c>
      <c r="X175">
        <f>IF(OR(vp.tbl[[#This Row],[Sulf]]="",vp.tbl[[#This Row],[Dens]]=""),1,0)</f>
        <v>0</v>
      </c>
      <c r="Y175">
        <f>IF(vp.tbl[[#This Row],[CrudeType]]="C5+",1,0)</f>
        <v>0</v>
      </c>
      <c r="Z175">
        <f>IF(AND(vp.tbl[[#This Row],[CrudeType]]="Crude",vp.tbl[[#This Row],[Dens]]&lt;=825,vp.tbl[[#This Row],[Sulf]]&gt;0.5,vp.tbl[[#This Row],[Unknown]]=0),1,0)</f>
        <v>0</v>
      </c>
      <c r="AA175">
        <f>IF(AND(vp.tbl[[#This Row],[CrudeType]]="Crude",vp.tbl[[#This Row],[Dens]]&lt;=825,vp.tbl[[#This Row],[Sulf]]&lt;=0.5,vp.tbl[[#This Row],[Unknown]]=0),1,0)</f>
        <v>0</v>
      </c>
      <c r="AB175">
        <f>IF(AND(vp.tbl[[#This Row],[CrudeType]]="Crude",vp.tbl[[#This Row],[Dens]]&gt;825,vp.tbl[[#This Row],[Dens]]&lt;=870,vp.tbl[[#This Row],[Sulf]]&gt;0.5,vp.tbl[[#This Row],[Unknown]]=0),1,0)</f>
        <v>1</v>
      </c>
      <c r="AC175">
        <f>IF(AND(vp.tbl[[#This Row],[CrudeType]]="Crude",vp.tbl[[#This Row],[Dens]]&gt;825,vp.tbl[[#This Row],[Dens]]&lt;=900,vp.tbl[[#This Row],[Sulf]]&lt;=0.5,vp.tbl[[#This Row],[Unknown]]=0),1,0)</f>
        <v>0</v>
      </c>
      <c r="AD175">
        <f>IF(AND(vp.tbl[[#This Row],[CrudeType]]="Crude",vp.tbl[[#This Row],[Dens]]&gt;870,vp.tbl[[#This Row],[Dens]]&lt;=900,vp.tbl[[#This Row],[Sulf]]&gt;0.5,vp.tbl[[#This Row],[Unknown]]=0),1,0)</f>
        <v>0</v>
      </c>
      <c r="AE175">
        <f>IF(AND(vp.tbl[[#This Row],[CrudeType]]="Crude",vp.tbl[[#This Row],[Dens]]&gt;900,vp.tbl[[#This Row],[Sulf]]&lt;=0.5,vp.tbl[[#This Row],[Unknown]]=0),1,0)</f>
        <v>0</v>
      </c>
      <c r="AF175">
        <f>IF(AND(vp.tbl[[#This Row],[CrudeType]]="Crude",vp.tbl[[#This Row],[Dens]]&gt;900,vp.tbl[[#This Row],[Sulf]]&lt;=0.5,vp.tbl[[#This Row],[Unknown]]=0),1,0)</f>
        <v>0</v>
      </c>
      <c r="AG175" t="str">
        <f>INDEX(vp.tbl[[#Headers],[Unknown]:[Heavy_SW]],MATCH(1,vp.tbl[[#This Row],[Unknown]:[Heavy_SW]],0))</f>
        <v>Medium_LSB</v>
      </c>
      <c r="AH175" t="e">
        <f>INDEX([1]!crudeBD.lkup[Number],MATCH(vp.tbl[[#This Row],[Crude_Breakdown]],[1]!crudeBD.lkup[Crude Breakdown],0))</f>
        <v>#REF!</v>
      </c>
      <c r="AI175">
        <f>MONTH(vp.tbl[[#This Row],[SDate]])</f>
        <v>5</v>
      </c>
      <c r="AJ175" s="5">
        <f>IFERROR(vp.tbl[[#This Row],[Sulf]]*vp.tbl[[#This Row],[Net Dens]],"")</f>
        <v>3398002.7839200008</v>
      </c>
      <c r="AK175" s="5">
        <f>IFERROR(vp.tbl[[#This Row],[Dens]]*vp.tbl[[#This Row],[VolumeM3]],"")</f>
        <v>3146298.8740000003</v>
      </c>
      <c r="AL175" s="5">
        <f>IFERROR(vp.tbl[[#This Row],[VP]]*vp.tbl[[#This Row],[VolumeM3]],"")</f>
        <v>432335.84290000005</v>
      </c>
      <c r="AM175" s="4">
        <f>IFERROR((vp.tbl[[#This Row],[VP]]-INDEX(crudeBD.lkup.complete[Mean_VP],MATCH(vp.tbl[[#This Row],[Crude_Breakdown]],crudeBD.lkup.complete[Crude Breakdown],0)))^2,"")</f>
        <v>1262.125456721041</v>
      </c>
      <c r="AN175" s="4">
        <f>IFERROR((vp.tbl[[#This Row],[Dens]]-INDEX(crudeBD.lkup.complete[Mean_Dens],MATCH(vp.tbl[[#This Row],[Crude_Breakdown]],crudeBD.lkup.complete[Crude Breakdown],0)))^2,"")</f>
        <v>10.836097246588615</v>
      </c>
      <c r="AO175" s="4">
        <f>IFERROR((vp.tbl[[#This Row],[Sulf]]-INDEX(crudeBD.lkup.complete[Mean_Sulf],MATCH(vp.tbl[[#This Row],[Crude_Breakdown]],crudeBD.lkup.complete[Crude Breakdown],0)))^2,"")</f>
        <v>0.14057240048913436</v>
      </c>
      <c r="AP175">
        <f>IF(AND(vp.tbl[[#This Row],[SDate]]&gt;=DATE(YEAR(vp.tbl[[#This Row],[SDate]]),5,1),vp.tbl[[#This Row],[SDate]]&lt;=DATE(YEAR(vp.tbl[[#This Row],[SDate]]),9,15)),1,0)</f>
        <v>1</v>
      </c>
      <c r="AQ175" s="15">
        <f>IF(vp.tbl[[#This Row],[SDate]]&lt;DATE(2016,12,1),0,1)</f>
        <v>0</v>
      </c>
    </row>
    <row r="176" spans="1:43" x14ac:dyDescent="0.25">
      <c r="A176">
        <v>175</v>
      </c>
      <c r="B176" t="s">
        <v>49</v>
      </c>
      <c r="C176" t="s">
        <v>49</v>
      </c>
      <c r="D176" t="s">
        <v>67</v>
      </c>
      <c r="F176" s="1">
        <v>42493</v>
      </c>
      <c r="G176" s="2">
        <v>88.8</v>
      </c>
      <c r="H176" s="2"/>
      <c r="I176" s="2">
        <v>0.21</v>
      </c>
      <c r="J176" s="2"/>
      <c r="K176" s="2"/>
      <c r="L176" s="2">
        <v>803.6</v>
      </c>
      <c r="M176" s="2">
        <v>803.6</v>
      </c>
      <c r="N176" s="2">
        <f ca="1">INDEX(INDIRECT(_xlfn.CONCAT("weather.tbl[",N$1,"]")),MATCH(vp.tbl[[#This Row],[SDate]],weather.tbl[Date],0))</f>
        <v>14.399999999999999</v>
      </c>
      <c r="O176" s="2">
        <f ca="1">INDEX(INDIRECT(_xlfn.CONCAT("weather.tbl[",O$1,"]")),MATCH(vp.tbl[[#This Row],[SDate]],weather.tbl[Date],0))</f>
        <v>9.9547619047619058</v>
      </c>
      <c r="P176" s="2">
        <f ca="1">INDEX(INDIRECT(_xlfn.CONCAT("weather.tbl[",P$1,"]")),MATCH(vp.tbl[[#This Row],[SDate]],weather.tbl[Date],0))</f>
        <v>14.2</v>
      </c>
      <c r="Q176" s="2">
        <f ca="1">INDEX(INDIRECT(_xlfn.CONCAT("weather.tbl[",Q$1,"]")),MATCH(vp.tbl[[#This Row],[SDate]],weather.tbl[Date],0))</f>
        <v>14.3</v>
      </c>
      <c r="R176" s="2">
        <f ca="1">INDEX(INDIRECT(_xlfn.CONCAT("weather.tbl[",R$1,"]")),MATCH(vp.tbl[[#This Row],[SDate]],weather.tbl[Date],0))</f>
        <v>14.8</v>
      </c>
      <c r="S176" s="2">
        <f ca="1">INDEX(INDIRECT(_xlfn.CONCAT("weather.tbl[",S$1,"]")),MATCH(vp.tbl[[#This Row],[SDate]],weather.tbl[Date],0))</f>
        <v>16</v>
      </c>
      <c r="T176" s="2">
        <f ca="1">INDEX(INDIRECT(_xlfn.CONCAT("weather.tbl[",T$1,"]")),MATCH(vp.tbl[[#This Row],[SDate]],weather.tbl[Date],0))</f>
        <v>13.1</v>
      </c>
      <c r="U176" s="2">
        <f ca="1">INDEX(INDIRECT(_xlfn.CONCAT("weather.tbl[",U$1,"]")),MATCH(vp.tbl[[#This Row],[SDate]],weather.tbl[Date],0))</f>
        <v>14</v>
      </c>
      <c r="V176" s="2">
        <v>57057.805</v>
      </c>
      <c r="W176" t="s">
        <v>48</v>
      </c>
      <c r="X176">
        <f>IF(OR(vp.tbl[[#This Row],[Sulf]]="",vp.tbl[[#This Row],[Dens]]=""),1,0)</f>
        <v>0</v>
      </c>
      <c r="Y176">
        <f>IF(vp.tbl[[#This Row],[CrudeType]]="C5+",1,0)</f>
        <v>0</v>
      </c>
      <c r="Z176">
        <f>IF(AND(vp.tbl[[#This Row],[CrudeType]]="Crude",vp.tbl[[#This Row],[Dens]]&lt;=825,vp.tbl[[#This Row],[Sulf]]&gt;0.5,vp.tbl[[#This Row],[Unknown]]=0),1,0)</f>
        <v>0</v>
      </c>
      <c r="AA176">
        <f>IF(AND(vp.tbl[[#This Row],[CrudeType]]="Crude",vp.tbl[[#This Row],[Dens]]&lt;=825,vp.tbl[[#This Row],[Sulf]]&lt;=0.5,vp.tbl[[#This Row],[Unknown]]=0),1,0)</f>
        <v>1</v>
      </c>
      <c r="AB176">
        <f>IF(AND(vp.tbl[[#This Row],[CrudeType]]="Crude",vp.tbl[[#This Row],[Dens]]&gt;825,vp.tbl[[#This Row],[Dens]]&lt;=870,vp.tbl[[#This Row],[Sulf]]&gt;0.5,vp.tbl[[#This Row],[Unknown]]=0),1,0)</f>
        <v>0</v>
      </c>
      <c r="AC176">
        <f>IF(AND(vp.tbl[[#This Row],[CrudeType]]="Crude",vp.tbl[[#This Row],[Dens]]&gt;825,vp.tbl[[#This Row],[Dens]]&lt;=900,vp.tbl[[#This Row],[Sulf]]&lt;=0.5,vp.tbl[[#This Row],[Unknown]]=0),1,0)</f>
        <v>0</v>
      </c>
      <c r="AD176">
        <f>IF(AND(vp.tbl[[#This Row],[CrudeType]]="Crude",vp.tbl[[#This Row],[Dens]]&gt;870,vp.tbl[[#This Row],[Dens]]&lt;=900,vp.tbl[[#This Row],[Sulf]]&gt;0.5,vp.tbl[[#This Row],[Unknown]]=0),1,0)</f>
        <v>0</v>
      </c>
      <c r="AE176">
        <f>IF(AND(vp.tbl[[#This Row],[CrudeType]]="Crude",vp.tbl[[#This Row],[Dens]]&gt;900,vp.tbl[[#This Row],[Sulf]]&lt;=0.5,vp.tbl[[#This Row],[Unknown]]=0),1,0)</f>
        <v>0</v>
      </c>
      <c r="AF176">
        <f>IF(AND(vp.tbl[[#This Row],[CrudeType]]="Crude",vp.tbl[[#This Row],[Dens]]&gt;900,vp.tbl[[#This Row],[Sulf]]&lt;=0.5,vp.tbl[[#This Row],[Unknown]]=0),1,0)</f>
        <v>0</v>
      </c>
      <c r="AG176" t="str">
        <f>INDEX(vp.tbl[[#Headers],[Unknown]:[Heavy_SW]],MATCH(1,vp.tbl[[#This Row],[Unknown]:[Heavy_SW]],0))</f>
        <v>Light_SW</v>
      </c>
      <c r="AH176" t="e">
        <f>INDEX([1]!crudeBD.lkup[Number],MATCH(vp.tbl[[#This Row],[Crude_Breakdown]],[1]!crudeBD.lkup[Crude Breakdown],0))</f>
        <v>#REF!</v>
      </c>
      <c r="AI176">
        <f>MONTH(vp.tbl[[#This Row],[SDate]])</f>
        <v>5</v>
      </c>
      <c r="AJ176" s="5">
        <f>IFERROR(vp.tbl[[#This Row],[Sulf]]*vp.tbl[[#This Row],[Net Dens]],"")</f>
        <v>9628846.9405800011</v>
      </c>
      <c r="AK176" s="5">
        <f>IFERROR(vp.tbl[[#This Row],[Dens]]*vp.tbl[[#This Row],[VolumeM3]],"")</f>
        <v>45851652.098000005</v>
      </c>
      <c r="AL176" s="5">
        <f>IFERROR(vp.tbl[[#This Row],[VP]]*vp.tbl[[#This Row],[VolumeM3]],"")</f>
        <v>5066733.0839999998</v>
      </c>
      <c r="AM176" s="4">
        <f>IFERROR((vp.tbl[[#This Row],[VP]]-INDEX(crudeBD.lkup.complete[Mean_VP],MATCH(vp.tbl[[#This Row],[Crude_Breakdown]],crudeBD.lkup.complete[Crude Breakdown],0)))^2,"")</f>
        <v>14.064852014714074</v>
      </c>
      <c r="AN176" s="4">
        <f>IFERROR((vp.tbl[[#This Row],[Dens]]-INDEX(crudeBD.lkup.complete[Mean_Dens],MATCH(vp.tbl[[#This Row],[Crude_Breakdown]],crudeBD.lkup.complete[Crude Breakdown],0)))^2,"")</f>
        <v>22.198215833624456</v>
      </c>
      <c r="AO176" s="4">
        <f>IFERROR((vp.tbl[[#This Row],[Sulf]]-INDEX(crudeBD.lkup.complete[Mean_Sulf],MATCH(vp.tbl[[#This Row],[Crude_Breakdown]],crudeBD.lkup.complete[Crude Breakdown],0)))^2,"")</f>
        <v>6.8863268899706654E-4</v>
      </c>
      <c r="AP176">
        <f>IF(AND(vp.tbl[[#This Row],[SDate]]&gt;=DATE(YEAR(vp.tbl[[#This Row],[SDate]]),5,1),vp.tbl[[#This Row],[SDate]]&lt;=DATE(YEAR(vp.tbl[[#This Row],[SDate]]),9,15)),1,0)</f>
        <v>1</v>
      </c>
      <c r="AQ176" s="15">
        <f>IF(vp.tbl[[#This Row],[SDate]]&lt;DATE(2016,12,1),0,1)</f>
        <v>0</v>
      </c>
    </row>
    <row r="177" spans="1:43" x14ac:dyDescent="0.25">
      <c r="A177">
        <v>176</v>
      </c>
      <c r="B177" t="s">
        <v>49</v>
      </c>
      <c r="C177" t="s">
        <v>49</v>
      </c>
      <c r="D177" t="s">
        <v>89</v>
      </c>
      <c r="F177" s="1">
        <v>42493</v>
      </c>
      <c r="G177" s="2">
        <v>98.8</v>
      </c>
      <c r="H177" s="2"/>
      <c r="I177" s="2">
        <v>0.21</v>
      </c>
      <c r="J177" s="2"/>
      <c r="K177" s="2"/>
      <c r="L177" s="2">
        <v>815.3</v>
      </c>
      <c r="M177" s="2">
        <v>815.3</v>
      </c>
      <c r="N177" s="2">
        <f ca="1">INDEX(INDIRECT(_xlfn.CONCAT("weather.tbl[",N$1,"]")),MATCH(vp.tbl[[#This Row],[SDate]],weather.tbl[Date],0))</f>
        <v>14.399999999999999</v>
      </c>
      <c r="O177" s="2">
        <f ca="1">INDEX(INDIRECT(_xlfn.CONCAT("weather.tbl[",O$1,"]")),MATCH(vp.tbl[[#This Row],[SDate]],weather.tbl[Date],0))</f>
        <v>9.9547619047619058</v>
      </c>
      <c r="P177" s="2">
        <f ca="1">INDEX(INDIRECT(_xlfn.CONCAT("weather.tbl[",P$1,"]")),MATCH(vp.tbl[[#This Row],[SDate]],weather.tbl[Date],0))</f>
        <v>14.2</v>
      </c>
      <c r="Q177" s="2">
        <f ca="1">INDEX(INDIRECT(_xlfn.CONCAT("weather.tbl[",Q$1,"]")),MATCH(vp.tbl[[#This Row],[SDate]],weather.tbl[Date],0))</f>
        <v>14.3</v>
      </c>
      <c r="R177" s="2">
        <f ca="1">INDEX(INDIRECT(_xlfn.CONCAT("weather.tbl[",R$1,"]")),MATCH(vp.tbl[[#This Row],[SDate]],weather.tbl[Date],0))</f>
        <v>14.8</v>
      </c>
      <c r="S177" s="2">
        <f ca="1">INDEX(INDIRECT(_xlfn.CONCAT("weather.tbl[",S$1,"]")),MATCH(vp.tbl[[#This Row],[SDate]],weather.tbl[Date],0))</f>
        <v>16</v>
      </c>
      <c r="T177" s="2">
        <f ca="1">INDEX(INDIRECT(_xlfn.CONCAT("weather.tbl[",T$1,"]")),MATCH(vp.tbl[[#This Row],[SDate]],weather.tbl[Date],0))</f>
        <v>13.1</v>
      </c>
      <c r="U177" s="2">
        <f ca="1">INDEX(INDIRECT(_xlfn.CONCAT("weather.tbl[",U$1,"]")),MATCH(vp.tbl[[#This Row],[SDate]],weather.tbl[Date],0))</f>
        <v>14</v>
      </c>
      <c r="V177" s="2">
        <v>6943.06</v>
      </c>
      <c r="W177" t="s">
        <v>48</v>
      </c>
      <c r="X177">
        <f>IF(OR(vp.tbl[[#This Row],[Sulf]]="",vp.tbl[[#This Row],[Dens]]=""),1,0)</f>
        <v>0</v>
      </c>
      <c r="Y177">
        <f>IF(vp.tbl[[#This Row],[CrudeType]]="C5+",1,0)</f>
        <v>0</v>
      </c>
      <c r="Z177">
        <f>IF(AND(vp.tbl[[#This Row],[CrudeType]]="Crude",vp.tbl[[#This Row],[Dens]]&lt;=825,vp.tbl[[#This Row],[Sulf]]&gt;0.5,vp.tbl[[#This Row],[Unknown]]=0),1,0)</f>
        <v>0</v>
      </c>
      <c r="AA177">
        <f>IF(AND(vp.tbl[[#This Row],[CrudeType]]="Crude",vp.tbl[[#This Row],[Dens]]&lt;=825,vp.tbl[[#This Row],[Sulf]]&lt;=0.5,vp.tbl[[#This Row],[Unknown]]=0),1,0)</f>
        <v>1</v>
      </c>
      <c r="AB177">
        <f>IF(AND(vp.tbl[[#This Row],[CrudeType]]="Crude",vp.tbl[[#This Row],[Dens]]&gt;825,vp.tbl[[#This Row],[Dens]]&lt;=870,vp.tbl[[#This Row],[Sulf]]&gt;0.5,vp.tbl[[#This Row],[Unknown]]=0),1,0)</f>
        <v>0</v>
      </c>
      <c r="AC177">
        <f>IF(AND(vp.tbl[[#This Row],[CrudeType]]="Crude",vp.tbl[[#This Row],[Dens]]&gt;825,vp.tbl[[#This Row],[Dens]]&lt;=900,vp.tbl[[#This Row],[Sulf]]&lt;=0.5,vp.tbl[[#This Row],[Unknown]]=0),1,0)</f>
        <v>0</v>
      </c>
      <c r="AD177">
        <f>IF(AND(vp.tbl[[#This Row],[CrudeType]]="Crude",vp.tbl[[#This Row],[Dens]]&gt;870,vp.tbl[[#This Row],[Dens]]&lt;=900,vp.tbl[[#This Row],[Sulf]]&gt;0.5,vp.tbl[[#This Row],[Unknown]]=0),1,0)</f>
        <v>0</v>
      </c>
      <c r="AE177">
        <f>IF(AND(vp.tbl[[#This Row],[CrudeType]]="Crude",vp.tbl[[#This Row],[Dens]]&gt;900,vp.tbl[[#This Row],[Sulf]]&lt;=0.5,vp.tbl[[#This Row],[Unknown]]=0),1,0)</f>
        <v>0</v>
      </c>
      <c r="AF177">
        <f>IF(AND(vp.tbl[[#This Row],[CrudeType]]="Crude",vp.tbl[[#This Row],[Dens]]&gt;900,vp.tbl[[#This Row],[Sulf]]&lt;=0.5,vp.tbl[[#This Row],[Unknown]]=0),1,0)</f>
        <v>0</v>
      </c>
      <c r="AG177" t="str">
        <f>INDEX(vp.tbl[[#Headers],[Unknown]:[Heavy_SW]],MATCH(1,vp.tbl[[#This Row],[Unknown]:[Heavy_SW]],0))</f>
        <v>Light_SW</v>
      </c>
      <c r="AH177" t="e">
        <f>INDEX([1]!crudeBD.lkup[Number],MATCH(vp.tbl[[#This Row],[Crude_Breakdown]],[1]!crudeBD.lkup[Crude Breakdown],0))</f>
        <v>#REF!</v>
      </c>
      <c r="AI177">
        <f>MONTH(vp.tbl[[#This Row],[SDate]])</f>
        <v>5</v>
      </c>
      <c r="AJ177" s="5">
        <f>IFERROR(vp.tbl[[#This Row],[Sulf]]*vp.tbl[[#This Row],[Net Dens]],"")</f>
        <v>1188742.1317799999</v>
      </c>
      <c r="AK177" s="5">
        <f>IFERROR(vp.tbl[[#This Row],[Dens]]*vp.tbl[[#This Row],[VolumeM3]],"")</f>
        <v>5660676.818</v>
      </c>
      <c r="AL177" s="5">
        <f>IFERROR(vp.tbl[[#This Row],[VP]]*vp.tbl[[#This Row],[VolumeM3]],"")</f>
        <v>685974.32799999998</v>
      </c>
      <c r="AM177" s="4">
        <f>IFERROR((vp.tbl[[#This Row],[VP]]-INDEX(crudeBD.lkup.complete[Mean_VP],MATCH(vp.tbl[[#This Row],[Crude_Breakdown]],crudeBD.lkup.complete[Crude Breakdown],0)))^2,"")</f>
        <v>39.058580237711119</v>
      </c>
      <c r="AN177" s="4">
        <f>IFERROR((vp.tbl[[#This Row],[Dens]]-INDEX(crudeBD.lkup.complete[Mean_Dens],MATCH(vp.tbl[[#This Row],[Crude_Breakdown]],crudeBD.lkup.complete[Crude Breakdown],0)))^2,"")</f>
        <v>48.83915660017967</v>
      </c>
      <c r="AO177" s="4">
        <f>IFERROR((vp.tbl[[#This Row],[Sulf]]-INDEX(crudeBD.lkup.complete[Mean_Sulf],MATCH(vp.tbl[[#This Row],[Crude_Breakdown]],crudeBD.lkup.complete[Crude Breakdown],0)))^2,"")</f>
        <v>6.8863268899706654E-4</v>
      </c>
      <c r="AP177">
        <f>IF(AND(vp.tbl[[#This Row],[SDate]]&gt;=DATE(YEAR(vp.tbl[[#This Row],[SDate]]),5,1),vp.tbl[[#This Row],[SDate]]&lt;=DATE(YEAR(vp.tbl[[#This Row],[SDate]]),9,15)),1,0)</f>
        <v>1</v>
      </c>
      <c r="AQ177" s="15">
        <f>IF(vp.tbl[[#This Row],[SDate]]&lt;DATE(2016,12,1),0,1)</f>
        <v>0</v>
      </c>
    </row>
    <row r="178" spans="1:43" x14ac:dyDescent="0.25">
      <c r="A178">
        <v>177</v>
      </c>
      <c r="B178" t="s">
        <v>51</v>
      </c>
      <c r="C178" t="s">
        <v>51</v>
      </c>
      <c r="D178" t="s">
        <v>66</v>
      </c>
      <c r="F178" s="1">
        <v>42499</v>
      </c>
      <c r="G178" s="2">
        <v>79.2</v>
      </c>
      <c r="H178" s="2"/>
      <c r="I178" s="2">
        <v>0.9</v>
      </c>
      <c r="J178" s="2"/>
      <c r="K178" s="2"/>
      <c r="L178" s="2">
        <v>826.5</v>
      </c>
      <c r="M178" s="2">
        <v>826.5</v>
      </c>
      <c r="N178" s="2">
        <f ca="1">INDEX(INDIRECT(_xlfn.CONCAT("weather.tbl[",N$1,"]")),MATCH(vp.tbl[[#This Row],[SDate]],weather.tbl[Date],0))</f>
        <v>16.900000000000002</v>
      </c>
      <c r="O178" s="2">
        <f ca="1">INDEX(INDIRECT(_xlfn.CONCAT("weather.tbl[",O$1,"]")),MATCH(vp.tbl[[#This Row],[SDate]],weather.tbl[Date],0))</f>
        <v>16.095238095238095</v>
      </c>
      <c r="P178" s="2">
        <f ca="1">INDEX(INDIRECT(_xlfn.CONCAT("weather.tbl[",P$1,"]")),MATCH(vp.tbl[[#This Row],[SDate]],weather.tbl[Date],0))</f>
        <v>16.3</v>
      </c>
      <c r="Q178" s="2">
        <f ca="1">INDEX(INDIRECT(_xlfn.CONCAT("weather.tbl[",Q$1,"]")),MATCH(vp.tbl[[#This Row],[SDate]],weather.tbl[Date],0))</f>
        <v>17.3</v>
      </c>
      <c r="R178" s="2">
        <f ca="1">INDEX(INDIRECT(_xlfn.CONCAT("weather.tbl[",R$1,"]")),MATCH(vp.tbl[[#This Row],[SDate]],weather.tbl[Date],0))</f>
        <v>16</v>
      </c>
      <c r="S178" s="2">
        <f ca="1">INDEX(INDIRECT(_xlfn.CONCAT("weather.tbl[",S$1,"]")),MATCH(vp.tbl[[#This Row],[SDate]],weather.tbl[Date],0))</f>
        <v>17.3</v>
      </c>
      <c r="T178" s="2">
        <f ca="1">INDEX(INDIRECT(_xlfn.CONCAT("weather.tbl[",T$1,"]")),MATCH(vp.tbl[[#This Row],[SDate]],weather.tbl[Date],0))</f>
        <v>17.5</v>
      </c>
      <c r="U178" s="2">
        <f ca="1">INDEX(INDIRECT(_xlfn.CONCAT("weather.tbl[",U$1,"]")),MATCH(vp.tbl[[#This Row],[SDate]],weather.tbl[Date],0))</f>
        <v>17</v>
      </c>
      <c r="V178" s="2">
        <v>3966.6509999999998</v>
      </c>
      <c r="W178" t="s">
        <v>48</v>
      </c>
      <c r="X178">
        <f>IF(OR(vp.tbl[[#This Row],[Sulf]]="",vp.tbl[[#This Row],[Dens]]=""),1,0)</f>
        <v>0</v>
      </c>
      <c r="Y178">
        <f>IF(vp.tbl[[#This Row],[CrudeType]]="C5+",1,0)</f>
        <v>0</v>
      </c>
      <c r="Z178">
        <f>IF(AND(vp.tbl[[#This Row],[CrudeType]]="Crude",vp.tbl[[#This Row],[Dens]]&lt;=825,vp.tbl[[#This Row],[Sulf]]&gt;0.5,vp.tbl[[#This Row],[Unknown]]=0),1,0)</f>
        <v>0</v>
      </c>
      <c r="AA178">
        <f>IF(AND(vp.tbl[[#This Row],[CrudeType]]="Crude",vp.tbl[[#This Row],[Dens]]&lt;=825,vp.tbl[[#This Row],[Sulf]]&lt;=0.5,vp.tbl[[#This Row],[Unknown]]=0),1,0)</f>
        <v>0</v>
      </c>
      <c r="AB178">
        <f>IF(AND(vp.tbl[[#This Row],[CrudeType]]="Crude",vp.tbl[[#This Row],[Dens]]&gt;825,vp.tbl[[#This Row],[Dens]]&lt;=870,vp.tbl[[#This Row],[Sulf]]&gt;0.5,vp.tbl[[#This Row],[Unknown]]=0),1,0)</f>
        <v>1</v>
      </c>
      <c r="AC178">
        <f>IF(AND(vp.tbl[[#This Row],[CrudeType]]="Crude",vp.tbl[[#This Row],[Dens]]&gt;825,vp.tbl[[#This Row],[Dens]]&lt;=900,vp.tbl[[#This Row],[Sulf]]&lt;=0.5,vp.tbl[[#This Row],[Unknown]]=0),1,0)</f>
        <v>0</v>
      </c>
      <c r="AD178">
        <f>IF(AND(vp.tbl[[#This Row],[CrudeType]]="Crude",vp.tbl[[#This Row],[Dens]]&gt;870,vp.tbl[[#This Row],[Dens]]&lt;=900,vp.tbl[[#This Row],[Sulf]]&gt;0.5,vp.tbl[[#This Row],[Unknown]]=0),1,0)</f>
        <v>0</v>
      </c>
      <c r="AE178">
        <f>IF(AND(vp.tbl[[#This Row],[CrudeType]]="Crude",vp.tbl[[#This Row],[Dens]]&gt;900,vp.tbl[[#This Row],[Sulf]]&lt;=0.5,vp.tbl[[#This Row],[Unknown]]=0),1,0)</f>
        <v>0</v>
      </c>
      <c r="AF178">
        <f>IF(AND(vp.tbl[[#This Row],[CrudeType]]="Crude",vp.tbl[[#This Row],[Dens]]&gt;900,vp.tbl[[#This Row],[Sulf]]&lt;=0.5,vp.tbl[[#This Row],[Unknown]]=0),1,0)</f>
        <v>0</v>
      </c>
      <c r="AG178" t="str">
        <f>INDEX(vp.tbl[[#Headers],[Unknown]:[Heavy_SW]],MATCH(1,vp.tbl[[#This Row],[Unknown]:[Heavy_SW]],0))</f>
        <v>Medium_LSB</v>
      </c>
      <c r="AH178" t="e">
        <f>INDEX([1]!crudeBD.lkup[Number],MATCH(vp.tbl[[#This Row],[Crude_Breakdown]],[1]!crudeBD.lkup[Crude Breakdown],0))</f>
        <v>#REF!</v>
      </c>
      <c r="AI178">
        <f>MONTH(vp.tbl[[#This Row],[SDate]])</f>
        <v>5</v>
      </c>
      <c r="AJ178" s="5">
        <f>IFERROR(vp.tbl[[#This Row],[Sulf]]*vp.tbl[[#This Row],[Net Dens]],"")</f>
        <v>2950593.3463500002</v>
      </c>
      <c r="AK178" s="5">
        <f>IFERROR(vp.tbl[[#This Row],[Dens]]*vp.tbl[[#This Row],[VolumeM3]],"")</f>
        <v>3278437.0515000001</v>
      </c>
      <c r="AL178" s="5">
        <f>IFERROR(vp.tbl[[#This Row],[VP]]*vp.tbl[[#This Row],[VolumeM3]],"")</f>
        <v>314158.75919999997</v>
      </c>
      <c r="AM178" s="4">
        <f>IFERROR((vp.tbl[[#This Row],[VP]]-INDEX(crudeBD.lkup.complete[Mean_VP],MATCH(vp.tbl[[#This Row],[Crude_Breakdown]],crudeBD.lkup.complete[Crude Breakdown],0)))^2,"")</f>
        <v>0.94788710078505323</v>
      </c>
      <c r="AN178" s="4">
        <f>IFERROR((vp.tbl[[#This Row],[Dens]]-INDEX(crudeBD.lkup.complete[Mean_Dens],MATCH(vp.tbl[[#This Row],[Crude_Breakdown]],crudeBD.lkup.complete[Crude Breakdown],0)))^2,"")</f>
        <v>353.13260357567202</v>
      </c>
      <c r="AO178" s="4">
        <f>IFERROR((vp.tbl[[#This Row],[Sulf]]-INDEX(crudeBD.lkup.complete[Mean_Sulf],MATCH(vp.tbl[[#This Row],[Crude_Breakdown]],crudeBD.lkup.complete[Crude Breakdown],0)))^2,"")</f>
        <v>0.30794715036255266</v>
      </c>
      <c r="AP178">
        <f>IF(AND(vp.tbl[[#This Row],[SDate]]&gt;=DATE(YEAR(vp.tbl[[#This Row],[SDate]]),5,1),vp.tbl[[#This Row],[SDate]]&lt;=DATE(YEAR(vp.tbl[[#This Row],[SDate]]),9,15)),1,0)</f>
        <v>1</v>
      </c>
      <c r="AQ178" s="15">
        <f>IF(vp.tbl[[#This Row],[SDate]]&lt;DATE(2016,12,1),0,1)</f>
        <v>0</v>
      </c>
    </row>
    <row r="179" spans="1:43" x14ac:dyDescent="0.25">
      <c r="A179">
        <v>178</v>
      </c>
      <c r="B179" t="s">
        <v>62</v>
      </c>
      <c r="C179" t="s">
        <v>62</v>
      </c>
      <c r="D179" t="s">
        <v>87</v>
      </c>
      <c r="F179" s="1">
        <v>42501</v>
      </c>
      <c r="G179" s="2">
        <v>84.6</v>
      </c>
      <c r="H179" s="2"/>
      <c r="I179" s="2">
        <v>0.17</v>
      </c>
      <c r="J179" s="2"/>
      <c r="K179" s="2"/>
      <c r="L179" s="2">
        <v>809.7</v>
      </c>
      <c r="M179" s="2">
        <v>809.7</v>
      </c>
      <c r="N179" s="2">
        <f ca="1">INDEX(INDIRECT(_xlfn.CONCAT("weather.tbl[",N$1,"]")),MATCH(vp.tbl[[#This Row],[SDate]],weather.tbl[Date],0))</f>
        <v>6.0166666666666666</v>
      </c>
      <c r="O179" s="2">
        <f ca="1">INDEX(INDIRECT(_xlfn.CONCAT("weather.tbl[",O$1,"]")),MATCH(vp.tbl[[#This Row],[SDate]],weather.tbl[Date],0))</f>
        <v>13.845238095238093</v>
      </c>
      <c r="P179" s="2">
        <f ca="1">INDEX(INDIRECT(_xlfn.CONCAT("weather.tbl[",P$1,"]")),MATCH(vp.tbl[[#This Row],[SDate]],weather.tbl[Date],0))</f>
        <v>5.7</v>
      </c>
      <c r="Q179" s="2">
        <f ca="1">INDEX(INDIRECT(_xlfn.CONCAT("weather.tbl[",Q$1,"]")),MATCH(vp.tbl[[#This Row],[SDate]],weather.tbl[Date],0))</f>
        <v>6.8</v>
      </c>
      <c r="R179" s="2">
        <f ca="1">INDEX(INDIRECT(_xlfn.CONCAT("weather.tbl[",R$1,"]")),MATCH(vp.tbl[[#This Row],[SDate]],weather.tbl[Date],0))</f>
        <v>5.5</v>
      </c>
      <c r="S179" s="2">
        <f ca="1">INDEX(INDIRECT(_xlfn.CONCAT("weather.tbl[",S$1,"]")),MATCH(vp.tbl[[#This Row],[SDate]],weather.tbl[Date],0))</f>
        <v>6.5</v>
      </c>
      <c r="T179" s="2">
        <f ca="1">INDEX(INDIRECT(_xlfn.CONCAT("weather.tbl[",T$1,"]")),MATCH(vp.tbl[[#This Row],[SDate]],weather.tbl[Date],0))</f>
        <v>6.1</v>
      </c>
      <c r="U179" s="2">
        <f ca="1">INDEX(INDIRECT(_xlfn.CONCAT("weather.tbl[",U$1,"]")),MATCH(vp.tbl[[#This Row],[SDate]],weather.tbl[Date],0))</f>
        <v>5.5</v>
      </c>
      <c r="V179" s="2">
        <v>8886.0290000000005</v>
      </c>
      <c r="W179" t="s">
        <v>48</v>
      </c>
      <c r="X179">
        <f>IF(OR(vp.tbl[[#This Row],[Sulf]]="",vp.tbl[[#This Row],[Dens]]=""),1,0)</f>
        <v>0</v>
      </c>
      <c r="Y179">
        <f>IF(vp.tbl[[#This Row],[CrudeType]]="C5+",1,0)</f>
        <v>0</v>
      </c>
      <c r="Z179">
        <f>IF(AND(vp.tbl[[#This Row],[CrudeType]]="Crude",vp.tbl[[#This Row],[Dens]]&lt;=825,vp.tbl[[#This Row],[Sulf]]&gt;0.5,vp.tbl[[#This Row],[Unknown]]=0),1,0)</f>
        <v>0</v>
      </c>
      <c r="AA179">
        <f>IF(AND(vp.tbl[[#This Row],[CrudeType]]="Crude",vp.tbl[[#This Row],[Dens]]&lt;=825,vp.tbl[[#This Row],[Sulf]]&lt;=0.5,vp.tbl[[#This Row],[Unknown]]=0),1,0)</f>
        <v>1</v>
      </c>
      <c r="AB179">
        <f>IF(AND(vp.tbl[[#This Row],[CrudeType]]="Crude",vp.tbl[[#This Row],[Dens]]&gt;825,vp.tbl[[#This Row],[Dens]]&lt;=870,vp.tbl[[#This Row],[Sulf]]&gt;0.5,vp.tbl[[#This Row],[Unknown]]=0),1,0)</f>
        <v>0</v>
      </c>
      <c r="AC179">
        <f>IF(AND(vp.tbl[[#This Row],[CrudeType]]="Crude",vp.tbl[[#This Row],[Dens]]&gt;825,vp.tbl[[#This Row],[Dens]]&lt;=900,vp.tbl[[#This Row],[Sulf]]&lt;=0.5,vp.tbl[[#This Row],[Unknown]]=0),1,0)</f>
        <v>0</v>
      </c>
      <c r="AD179">
        <f>IF(AND(vp.tbl[[#This Row],[CrudeType]]="Crude",vp.tbl[[#This Row],[Dens]]&gt;870,vp.tbl[[#This Row],[Dens]]&lt;=900,vp.tbl[[#This Row],[Sulf]]&gt;0.5,vp.tbl[[#This Row],[Unknown]]=0),1,0)</f>
        <v>0</v>
      </c>
      <c r="AE179">
        <f>IF(AND(vp.tbl[[#This Row],[CrudeType]]="Crude",vp.tbl[[#This Row],[Dens]]&gt;900,vp.tbl[[#This Row],[Sulf]]&lt;=0.5,vp.tbl[[#This Row],[Unknown]]=0),1,0)</f>
        <v>0</v>
      </c>
      <c r="AF179">
        <f>IF(AND(vp.tbl[[#This Row],[CrudeType]]="Crude",vp.tbl[[#This Row],[Dens]]&gt;900,vp.tbl[[#This Row],[Sulf]]&lt;=0.5,vp.tbl[[#This Row],[Unknown]]=0),1,0)</f>
        <v>0</v>
      </c>
      <c r="AG179" t="str">
        <f>INDEX(vp.tbl[[#Headers],[Unknown]:[Heavy_SW]],MATCH(1,vp.tbl[[#This Row],[Unknown]:[Heavy_SW]],0))</f>
        <v>Light_SW</v>
      </c>
      <c r="AH179" t="e">
        <f>INDEX([1]!crudeBD.lkup[Number],MATCH(vp.tbl[[#This Row],[Crude_Breakdown]],[1]!crudeBD.lkup[Crude Breakdown],0))</f>
        <v>#REF!</v>
      </c>
      <c r="AI179">
        <f>MONTH(vp.tbl[[#This Row],[SDate]])</f>
        <v>5</v>
      </c>
      <c r="AJ179" s="5">
        <f>IFERROR(vp.tbl[[#This Row],[Sulf]]*vp.tbl[[#This Row],[Net Dens]],"")</f>
        <v>1223153.0058210003</v>
      </c>
      <c r="AK179" s="5">
        <f>IFERROR(vp.tbl[[#This Row],[Dens]]*vp.tbl[[#This Row],[VolumeM3]],"")</f>
        <v>7195017.6813000012</v>
      </c>
      <c r="AL179" s="5">
        <f>IFERROR(vp.tbl[[#This Row],[VP]]*vp.tbl[[#This Row],[VolumeM3]],"")</f>
        <v>751758.05339999998</v>
      </c>
      <c r="AM179" s="4">
        <f>IFERROR((vp.tbl[[#This Row],[VP]]-INDEX(crudeBD.lkup.complete[Mean_VP],MATCH(vp.tbl[[#This Row],[Crude_Breakdown]],crudeBD.lkup.complete[Crude Breakdown],0)))^2,"")</f>
        <v>63.207486161055357</v>
      </c>
      <c r="AN179" s="4">
        <f>IFERROR((vp.tbl[[#This Row],[Dens]]-INDEX(crudeBD.lkup.complete[Mean_Dens],MATCH(vp.tbl[[#This Row],[Crude_Breakdown]],crudeBD.lkup.complete[Crude Breakdown],0)))^2,"")</f>
        <v>1.9279370879828619</v>
      </c>
      <c r="AO179" s="4">
        <f>IFERROR((vp.tbl[[#This Row],[Sulf]]-INDEX(crudeBD.lkup.complete[Mean_Sulf],MATCH(vp.tbl[[#This Row],[Crude_Breakdown]],crudeBD.lkup.complete[Crude Breakdown],0)))^2,"")</f>
        <v>4.3879776367322437E-3</v>
      </c>
      <c r="AP179">
        <f>IF(AND(vp.tbl[[#This Row],[SDate]]&gt;=DATE(YEAR(vp.tbl[[#This Row],[SDate]]),5,1),vp.tbl[[#This Row],[SDate]]&lt;=DATE(YEAR(vp.tbl[[#This Row],[SDate]]),9,15)),1,0)</f>
        <v>1</v>
      </c>
      <c r="AQ179" s="15">
        <f>IF(vp.tbl[[#This Row],[SDate]]&lt;DATE(2016,12,1),0,1)</f>
        <v>0</v>
      </c>
    </row>
    <row r="180" spans="1:43" x14ac:dyDescent="0.25">
      <c r="A180">
        <v>179</v>
      </c>
      <c r="B180" t="s">
        <v>62</v>
      </c>
      <c r="C180" t="s">
        <v>62</v>
      </c>
      <c r="D180" t="s">
        <v>83</v>
      </c>
      <c r="F180" s="1">
        <v>42501</v>
      </c>
      <c r="G180" s="2">
        <v>74.010000000000005</v>
      </c>
      <c r="H180" s="2"/>
      <c r="I180" s="2">
        <v>0.19</v>
      </c>
      <c r="J180" s="2"/>
      <c r="K180" s="2"/>
      <c r="L180" s="2">
        <v>810.1</v>
      </c>
      <c r="M180" s="2">
        <v>810.1</v>
      </c>
      <c r="N180" s="2">
        <f ca="1">INDEX(INDIRECT(_xlfn.CONCAT("weather.tbl[",N$1,"]")),MATCH(vp.tbl[[#This Row],[SDate]],weather.tbl[Date],0))</f>
        <v>6.0166666666666666</v>
      </c>
      <c r="O180" s="2">
        <f ca="1">INDEX(INDIRECT(_xlfn.CONCAT("weather.tbl[",O$1,"]")),MATCH(vp.tbl[[#This Row],[SDate]],weather.tbl[Date],0))</f>
        <v>13.845238095238093</v>
      </c>
      <c r="P180" s="2">
        <f ca="1">INDEX(INDIRECT(_xlfn.CONCAT("weather.tbl[",P$1,"]")),MATCH(vp.tbl[[#This Row],[SDate]],weather.tbl[Date],0))</f>
        <v>5.7</v>
      </c>
      <c r="Q180" s="2">
        <f ca="1">INDEX(INDIRECT(_xlfn.CONCAT("weather.tbl[",Q$1,"]")),MATCH(vp.tbl[[#This Row],[SDate]],weather.tbl[Date],0))</f>
        <v>6.8</v>
      </c>
      <c r="R180" s="2">
        <f ca="1">INDEX(INDIRECT(_xlfn.CONCAT("weather.tbl[",R$1,"]")),MATCH(vp.tbl[[#This Row],[SDate]],weather.tbl[Date],0))</f>
        <v>5.5</v>
      </c>
      <c r="S180" s="2">
        <f ca="1">INDEX(INDIRECT(_xlfn.CONCAT("weather.tbl[",S$1,"]")),MATCH(vp.tbl[[#This Row],[SDate]],weather.tbl[Date],0))</f>
        <v>6.5</v>
      </c>
      <c r="T180" s="2">
        <f ca="1">INDEX(INDIRECT(_xlfn.CONCAT("weather.tbl[",T$1,"]")),MATCH(vp.tbl[[#This Row],[SDate]],weather.tbl[Date],0))</f>
        <v>6.1</v>
      </c>
      <c r="U180" s="2">
        <f ca="1">INDEX(INDIRECT(_xlfn.CONCAT("weather.tbl[",U$1,"]")),MATCH(vp.tbl[[#This Row],[SDate]],weather.tbl[Date],0))</f>
        <v>5.5</v>
      </c>
      <c r="V180" s="2">
        <v>11957.736999999999</v>
      </c>
      <c r="W180" t="s">
        <v>48</v>
      </c>
      <c r="X180">
        <f>IF(OR(vp.tbl[[#This Row],[Sulf]]="",vp.tbl[[#This Row],[Dens]]=""),1,0)</f>
        <v>0</v>
      </c>
      <c r="Y180">
        <f>IF(vp.tbl[[#This Row],[CrudeType]]="C5+",1,0)</f>
        <v>0</v>
      </c>
      <c r="Z180">
        <f>IF(AND(vp.tbl[[#This Row],[CrudeType]]="Crude",vp.tbl[[#This Row],[Dens]]&lt;=825,vp.tbl[[#This Row],[Sulf]]&gt;0.5,vp.tbl[[#This Row],[Unknown]]=0),1,0)</f>
        <v>0</v>
      </c>
      <c r="AA180">
        <f>IF(AND(vp.tbl[[#This Row],[CrudeType]]="Crude",vp.tbl[[#This Row],[Dens]]&lt;=825,vp.tbl[[#This Row],[Sulf]]&lt;=0.5,vp.tbl[[#This Row],[Unknown]]=0),1,0)</f>
        <v>1</v>
      </c>
      <c r="AB180">
        <f>IF(AND(vp.tbl[[#This Row],[CrudeType]]="Crude",vp.tbl[[#This Row],[Dens]]&gt;825,vp.tbl[[#This Row],[Dens]]&lt;=870,vp.tbl[[#This Row],[Sulf]]&gt;0.5,vp.tbl[[#This Row],[Unknown]]=0),1,0)</f>
        <v>0</v>
      </c>
      <c r="AC180">
        <f>IF(AND(vp.tbl[[#This Row],[CrudeType]]="Crude",vp.tbl[[#This Row],[Dens]]&gt;825,vp.tbl[[#This Row],[Dens]]&lt;=900,vp.tbl[[#This Row],[Sulf]]&lt;=0.5,vp.tbl[[#This Row],[Unknown]]=0),1,0)</f>
        <v>0</v>
      </c>
      <c r="AD180">
        <f>IF(AND(vp.tbl[[#This Row],[CrudeType]]="Crude",vp.tbl[[#This Row],[Dens]]&gt;870,vp.tbl[[#This Row],[Dens]]&lt;=900,vp.tbl[[#This Row],[Sulf]]&gt;0.5,vp.tbl[[#This Row],[Unknown]]=0),1,0)</f>
        <v>0</v>
      </c>
      <c r="AE180">
        <f>IF(AND(vp.tbl[[#This Row],[CrudeType]]="Crude",vp.tbl[[#This Row],[Dens]]&gt;900,vp.tbl[[#This Row],[Sulf]]&lt;=0.5,vp.tbl[[#This Row],[Unknown]]=0),1,0)</f>
        <v>0</v>
      </c>
      <c r="AF180">
        <f>IF(AND(vp.tbl[[#This Row],[CrudeType]]="Crude",vp.tbl[[#This Row],[Dens]]&gt;900,vp.tbl[[#This Row],[Sulf]]&lt;=0.5,vp.tbl[[#This Row],[Unknown]]=0),1,0)</f>
        <v>0</v>
      </c>
      <c r="AG180" t="str">
        <f>INDEX(vp.tbl[[#Headers],[Unknown]:[Heavy_SW]],MATCH(1,vp.tbl[[#This Row],[Unknown]:[Heavy_SW]],0))</f>
        <v>Light_SW</v>
      </c>
      <c r="AH180" t="e">
        <f>INDEX([1]!crudeBD.lkup[Number],MATCH(vp.tbl[[#This Row],[Crude_Breakdown]],[1]!crudeBD.lkup[Crude Breakdown],0))</f>
        <v>#REF!</v>
      </c>
      <c r="AI180">
        <f>MONTH(vp.tbl[[#This Row],[SDate]])</f>
        <v>5</v>
      </c>
      <c r="AJ180" s="5">
        <f>IFERROR(vp.tbl[[#This Row],[Sulf]]*vp.tbl[[#This Row],[Net Dens]],"")</f>
        <v>1840522.9213029998</v>
      </c>
      <c r="AK180" s="5">
        <f>IFERROR(vp.tbl[[#This Row],[Dens]]*vp.tbl[[#This Row],[VolumeM3]],"")</f>
        <v>9686962.7436999995</v>
      </c>
      <c r="AL180" s="5">
        <f>IFERROR(vp.tbl[[#This Row],[VP]]*vp.tbl[[#This Row],[VolumeM3]],"")</f>
        <v>884992.11537000001</v>
      </c>
      <c r="AM180" s="4">
        <f>IFERROR((vp.tbl[[#This Row],[VP]]-INDEX(crudeBD.lkup.complete[Mean_VP],MATCH(vp.tbl[[#This Row],[Crude_Breakdown]],crudeBD.lkup.complete[Crude Breakdown],0)))^2,"")</f>
        <v>343.74322797290114</v>
      </c>
      <c r="AN180" s="4">
        <f>IFERROR((vp.tbl[[#This Row],[Dens]]-INDEX(crudeBD.lkup.complete[Mean_Dens],MATCH(vp.tbl[[#This Row],[Crude_Breakdown]],crudeBD.lkup.complete[Crude Breakdown],0)))^2,"")</f>
        <v>3.1987384817112146</v>
      </c>
      <c r="AO180" s="4">
        <f>IFERROR((vp.tbl[[#This Row],[Sulf]]-INDEX(crudeBD.lkup.complete[Mean_Sulf],MATCH(vp.tbl[[#This Row],[Crude_Breakdown]],crudeBD.lkup.complete[Crude Breakdown],0)))^2,"")</f>
        <v>2.1383051628646554E-3</v>
      </c>
      <c r="AP180">
        <f>IF(AND(vp.tbl[[#This Row],[SDate]]&gt;=DATE(YEAR(vp.tbl[[#This Row],[SDate]]),5,1),vp.tbl[[#This Row],[SDate]]&lt;=DATE(YEAR(vp.tbl[[#This Row],[SDate]]),9,15)),1,0)</f>
        <v>1</v>
      </c>
      <c r="AQ180" s="15">
        <f>IF(vp.tbl[[#This Row],[SDate]]&lt;DATE(2016,12,1),0,1)</f>
        <v>0</v>
      </c>
    </row>
    <row r="181" spans="1:43" x14ac:dyDescent="0.25">
      <c r="A181">
        <v>180</v>
      </c>
      <c r="B181" t="s">
        <v>62</v>
      </c>
      <c r="C181" t="s">
        <v>62</v>
      </c>
      <c r="D181" t="s">
        <v>79</v>
      </c>
      <c r="F181" s="1">
        <v>42501</v>
      </c>
      <c r="G181" s="2">
        <v>79.5</v>
      </c>
      <c r="H181" s="2"/>
      <c r="I181" s="2">
        <v>0.26</v>
      </c>
      <c r="J181" s="2"/>
      <c r="K181" s="2"/>
      <c r="L181" s="2">
        <v>811.6</v>
      </c>
      <c r="M181" s="2">
        <v>811.6</v>
      </c>
      <c r="N181" s="2">
        <f ca="1">INDEX(INDIRECT(_xlfn.CONCAT("weather.tbl[",N$1,"]")),MATCH(vp.tbl[[#This Row],[SDate]],weather.tbl[Date],0))</f>
        <v>6.0166666666666666</v>
      </c>
      <c r="O181" s="2">
        <f ca="1">INDEX(INDIRECT(_xlfn.CONCAT("weather.tbl[",O$1,"]")),MATCH(vp.tbl[[#This Row],[SDate]],weather.tbl[Date],0))</f>
        <v>13.845238095238093</v>
      </c>
      <c r="P181" s="2">
        <f ca="1">INDEX(INDIRECT(_xlfn.CONCAT("weather.tbl[",P$1,"]")),MATCH(vp.tbl[[#This Row],[SDate]],weather.tbl[Date],0))</f>
        <v>5.7</v>
      </c>
      <c r="Q181" s="2">
        <f ca="1">INDEX(INDIRECT(_xlfn.CONCAT("weather.tbl[",Q$1,"]")),MATCH(vp.tbl[[#This Row],[SDate]],weather.tbl[Date],0))</f>
        <v>6.8</v>
      </c>
      <c r="R181" s="2">
        <f ca="1">INDEX(INDIRECT(_xlfn.CONCAT("weather.tbl[",R$1,"]")),MATCH(vp.tbl[[#This Row],[SDate]],weather.tbl[Date],0))</f>
        <v>5.5</v>
      </c>
      <c r="S181" s="2">
        <f ca="1">INDEX(INDIRECT(_xlfn.CONCAT("weather.tbl[",S$1,"]")),MATCH(vp.tbl[[#This Row],[SDate]],weather.tbl[Date],0))</f>
        <v>6.5</v>
      </c>
      <c r="T181" s="2">
        <f ca="1">INDEX(INDIRECT(_xlfn.CONCAT("weather.tbl[",T$1,"]")),MATCH(vp.tbl[[#This Row],[SDate]],weather.tbl[Date],0))</f>
        <v>6.1</v>
      </c>
      <c r="U181" s="2">
        <f ca="1">INDEX(INDIRECT(_xlfn.CONCAT("weather.tbl[",U$1,"]")),MATCH(vp.tbl[[#This Row],[SDate]],weather.tbl[Date],0))</f>
        <v>5.5</v>
      </c>
      <c r="V181" s="2">
        <v>16126.073</v>
      </c>
      <c r="W181" t="s">
        <v>48</v>
      </c>
      <c r="X181">
        <f>IF(OR(vp.tbl[[#This Row],[Sulf]]="",vp.tbl[[#This Row],[Dens]]=""),1,0)</f>
        <v>0</v>
      </c>
      <c r="Y181">
        <f>IF(vp.tbl[[#This Row],[CrudeType]]="C5+",1,0)</f>
        <v>0</v>
      </c>
      <c r="Z181">
        <f>IF(AND(vp.tbl[[#This Row],[CrudeType]]="Crude",vp.tbl[[#This Row],[Dens]]&lt;=825,vp.tbl[[#This Row],[Sulf]]&gt;0.5,vp.tbl[[#This Row],[Unknown]]=0),1,0)</f>
        <v>0</v>
      </c>
      <c r="AA181">
        <f>IF(AND(vp.tbl[[#This Row],[CrudeType]]="Crude",vp.tbl[[#This Row],[Dens]]&lt;=825,vp.tbl[[#This Row],[Sulf]]&lt;=0.5,vp.tbl[[#This Row],[Unknown]]=0),1,0)</f>
        <v>1</v>
      </c>
      <c r="AB181">
        <f>IF(AND(vp.tbl[[#This Row],[CrudeType]]="Crude",vp.tbl[[#This Row],[Dens]]&gt;825,vp.tbl[[#This Row],[Dens]]&lt;=870,vp.tbl[[#This Row],[Sulf]]&gt;0.5,vp.tbl[[#This Row],[Unknown]]=0),1,0)</f>
        <v>0</v>
      </c>
      <c r="AC181">
        <f>IF(AND(vp.tbl[[#This Row],[CrudeType]]="Crude",vp.tbl[[#This Row],[Dens]]&gt;825,vp.tbl[[#This Row],[Dens]]&lt;=900,vp.tbl[[#This Row],[Sulf]]&lt;=0.5,vp.tbl[[#This Row],[Unknown]]=0),1,0)</f>
        <v>0</v>
      </c>
      <c r="AD181">
        <f>IF(AND(vp.tbl[[#This Row],[CrudeType]]="Crude",vp.tbl[[#This Row],[Dens]]&gt;870,vp.tbl[[#This Row],[Dens]]&lt;=900,vp.tbl[[#This Row],[Sulf]]&gt;0.5,vp.tbl[[#This Row],[Unknown]]=0),1,0)</f>
        <v>0</v>
      </c>
      <c r="AE181">
        <f>IF(AND(vp.tbl[[#This Row],[CrudeType]]="Crude",vp.tbl[[#This Row],[Dens]]&gt;900,vp.tbl[[#This Row],[Sulf]]&lt;=0.5,vp.tbl[[#This Row],[Unknown]]=0),1,0)</f>
        <v>0</v>
      </c>
      <c r="AF181">
        <f>IF(AND(vp.tbl[[#This Row],[CrudeType]]="Crude",vp.tbl[[#This Row],[Dens]]&gt;900,vp.tbl[[#This Row],[Sulf]]&lt;=0.5,vp.tbl[[#This Row],[Unknown]]=0),1,0)</f>
        <v>0</v>
      </c>
      <c r="AG181" t="str">
        <f>INDEX(vp.tbl[[#Headers],[Unknown]:[Heavy_SW]],MATCH(1,vp.tbl[[#This Row],[Unknown]:[Heavy_SW]],0))</f>
        <v>Light_SW</v>
      </c>
      <c r="AH181" t="e">
        <f>INDEX([1]!crudeBD.lkup[Number],MATCH(vp.tbl[[#This Row],[Crude_Breakdown]],[1]!crudeBD.lkup[Crude Breakdown],0))</f>
        <v>#REF!</v>
      </c>
      <c r="AI181">
        <f>MONTH(vp.tbl[[#This Row],[SDate]])</f>
        <v>5</v>
      </c>
      <c r="AJ181" s="5">
        <f>IFERROR(vp.tbl[[#This Row],[Sulf]]*vp.tbl[[#This Row],[Net Dens]],"")</f>
        <v>3402859.4201680003</v>
      </c>
      <c r="AK181" s="5">
        <f>IFERROR(vp.tbl[[#This Row],[Dens]]*vp.tbl[[#This Row],[VolumeM3]],"")</f>
        <v>13087920.846800001</v>
      </c>
      <c r="AL181" s="5">
        <f>IFERROR(vp.tbl[[#This Row],[VP]]*vp.tbl[[#This Row],[VolumeM3]],"")</f>
        <v>1282022.8034999999</v>
      </c>
      <c r="AM181" s="4">
        <f>IFERROR((vp.tbl[[#This Row],[VP]]-INDEX(crudeBD.lkup.complete[Mean_VP],MATCH(vp.tbl[[#This Row],[Crude_Breakdown]],crudeBD.lkup.complete[Crude Breakdown],0)))^2,"")</f>
        <v>170.31068476732673</v>
      </c>
      <c r="AN181" s="4">
        <f>IFERROR((vp.tbl[[#This Row],[Dens]]-INDEX(crudeBD.lkup.complete[Mean_Dens],MATCH(vp.tbl[[#This Row],[Crude_Breakdown]],crudeBD.lkup.complete[Crude Breakdown],0)))^2,"")</f>
        <v>10.814243708192773</v>
      </c>
      <c r="AO181" s="4">
        <f>IFERROR((vp.tbl[[#This Row],[Sulf]]-INDEX(crudeBD.lkup.complete[Mean_Sulf],MATCH(vp.tbl[[#This Row],[Crude_Breakdown]],crudeBD.lkup.complete[Crude Breakdown],0)))^2,"")</f>
        <v>5.644515043280923E-4</v>
      </c>
      <c r="AP181">
        <f>IF(AND(vp.tbl[[#This Row],[SDate]]&gt;=DATE(YEAR(vp.tbl[[#This Row],[SDate]]),5,1),vp.tbl[[#This Row],[SDate]]&lt;=DATE(YEAR(vp.tbl[[#This Row],[SDate]]),9,15)),1,0)</f>
        <v>1</v>
      </c>
      <c r="AQ181" s="15">
        <f>IF(vp.tbl[[#This Row],[SDate]]&lt;DATE(2016,12,1),0,1)</f>
        <v>0</v>
      </c>
    </row>
    <row r="182" spans="1:43" x14ac:dyDescent="0.25">
      <c r="A182">
        <v>181</v>
      </c>
      <c r="B182" t="s">
        <v>56</v>
      </c>
      <c r="C182" t="s">
        <v>56</v>
      </c>
      <c r="D182" t="s">
        <v>57</v>
      </c>
      <c r="F182" s="1">
        <v>42502</v>
      </c>
      <c r="G182" s="2">
        <v>75</v>
      </c>
      <c r="H182" s="2"/>
      <c r="I182" s="2">
        <v>1.44</v>
      </c>
      <c r="J182" s="2"/>
      <c r="K182" s="2"/>
      <c r="L182" s="2">
        <v>835.9</v>
      </c>
      <c r="M182" s="2">
        <v>835.9</v>
      </c>
      <c r="N182" s="2">
        <f ca="1">INDEX(INDIRECT(_xlfn.CONCAT("weather.tbl[",N$1,"]")),MATCH(vp.tbl[[#This Row],[SDate]],weather.tbl[Date],0))</f>
        <v>3.1833333333333336</v>
      </c>
      <c r="O182" s="2">
        <f ca="1">INDEX(INDIRECT(_xlfn.CONCAT("weather.tbl[",O$1,"]")),MATCH(vp.tbl[[#This Row],[SDate]],weather.tbl[Date],0))</f>
        <v>11.223809523809523</v>
      </c>
      <c r="P182" s="2">
        <f ca="1">INDEX(INDIRECT(_xlfn.CONCAT("weather.tbl[",P$1,"]")),MATCH(vp.tbl[[#This Row],[SDate]],weather.tbl[Date],0))</f>
        <v>3.4</v>
      </c>
      <c r="Q182" s="2">
        <f ca="1">INDEX(INDIRECT(_xlfn.CONCAT("weather.tbl[",Q$1,"]")),MATCH(vp.tbl[[#This Row],[SDate]],weather.tbl[Date],0))</f>
        <v>2.9</v>
      </c>
      <c r="R182" s="2">
        <f ca="1">INDEX(INDIRECT(_xlfn.CONCAT("weather.tbl[",R$1,"]")),MATCH(vp.tbl[[#This Row],[SDate]],weather.tbl[Date],0))</f>
        <v>3</v>
      </c>
      <c r="S182" s="2">
        <f ca="1">INDEX(INDIRECT(_xlfn.CONCAT("weather.tbl[",S$1,"]")),MATCH(vp.tbl[[#This Row],[SDate]],weather.tbl[Date],0))</f>
        <v>3.5</v>
      </c>
      <c r="T182" s="2">
        <f ca="1">INDEX(INDIRECT(_xlfn.CONCAT("weather.tbl[",T$1,"]")),MATCH(vp.tbl[[#This Row],[SDate]],weather.tbl[Date],0))</f>
        <v>4.8</v>
      </c>
      <c r="U182" s="2">
        <f ca="1">INDEX(INDIRECT(_xlfn.CONCAT("weather.tbl[",U$1,"]")),MATCH(vp.tbl[[#This Row],[SDate]],weather.tbl[Date],0))</f>
        <v>1.5</v>
      </c>
      <c r="V182" s="2">
        <v>3381.45</v>
      </c>
      <c r="W182" t="s">
        <v>48</v>
      </c>
      <c r="X182">
        <f>IF(OR(vp.tbl[[#This Row],[Sulf]]="",vp.tbl[[#This Row],[Dens]]=""),1,0)</f>
        <v>0</v>
      </c>
      <c r="Y182">
        <f>IF(vp.tbl[[#This Row],[CrudeType]]="C5+",1,0)</f>
        <v>0</v>
      </c>
      <c r="Z182">
        <f>IF(AND(vp.tbl[[#This Row],[CrudeType]]="Crude",vp.tbl[[#This Row],[Dens]]&lt;=825,vp.tbl[[#This Row],[Sulf]]&gt;0.5,vp.tbl[[#This Row],[Unknown]]=0),1,0)</f>
        <v>0</v>
      </c>
      <c r="AA182">
        <f>IF(AND(vp.tbl[[#This Row],[CrudeType]]="Crude",vp.tbl[[#This Row],[Dens]]&lt;=825,vp.tbl[[#This Row],[Sulf]]&lt;=0.5,vp.tbl[[#This Row],[Unknown]]=0),1,0)</f>
        <v>0</v>
      </c>
      <c r="AB182">
        <f>IF(AND(vp.tbl[[#This Row],[CrudeType]]="Crude",vp.tbl[[#This Row],[Dens]]&gt;825,vp.tbl[[#This Row],[Dens]]&lt;=870,vp.tbl[[#This Row],[Sulf]]&gt;0.5,vp.tbl[[#This Row],[Unknown]]=0),1,0)</f>
        <v>1</v>
      </c>
      <c r="AC182">
        <f>IF(AND(vp.tbl[[#This Row],[CrudeType]]="Crude",vp.tbl[[#This Row],[Dens]]&gt;825,vp.tbl[[#This Row],[Dens]]&lt;=900,vp.tbl[[#This Row],[Sulf]]&lt;=0.5,vp.tbl[[#This Row],[Unknown]]=0),1,0)</f>
        <v>0</v>
      </c>
      <c r="AD182">
        <f>IF(AND(vp.tbl[[#This Row],[CrudeType]]="Crude",vp.tbl[[#This Row],[Dens]]&gt;870,vp.tbl[[#This Row],[Dens]]&lt;=900,vp.tbl[[#This Row],[Sulf]]&gt;0.5,vp.tbl[[#This Row],[Unknown]]=0),1,0)</f>
        <v>0</v>
      </c>
      <c r="AE182">
        <f>IF(AND(vp.tbl[[#This Row],[CrudeType]]="Crude",vp.tbl[[#This Row],[Dens]]&gt;900,vp.tbl[[#This Row],[Sulf]]&lt;=0.5,vp.tbl[[#This Row],[Unknown]]=0),1,0)</f>
        <v>0</v>
      </c>
      <c r="AF182">
        <f>IF(AND(vp.tbl[[#This Row],[CrudeType]]="Crude",vp.tbl[[#This Row],[Dens]]&gt;900,vp.tbl[[#This Row],[Sulf]]&lt;=0.5,vp.tbl[[#This Row],[Unknown]]=0),1,0)</f>
        <v>0</v>
      </c>
      <c r="AG182" t="str">
        <f>INDEX(vp.tbl[[#Headers],[Unknown]:[Heavy_SW]],MATCH(1,vp.tbl[[#This Row],[Unknown]:[Heavy_SW]],0))</f>
        <v>Medium_LSB</v>
      </c>
      <c r="AH182" t="e">
        <f>INDEX([1]!crudeBD.lkup[Number],MATCH(vp.tbl[[#This Row],[Crude_Breakdown]],[1]!crudeBD.lkup[Crude Breakdown],0))</f>
        <v>#REF!</v>
      </c>
      <c r="AI182">
        <f>MONTH(vp.tbl[[#This Row],[SDate]])</f>
        <v>5</v>
      </c>
      <c r="AJ182" s="5">
        <f>IFERROR(vp.tbl[[#This Row],[Sulf]]*vp.tbl[[#This Row],[Net Dens]],"")</f>
        <v>4070237.8391999993</v>
      </c>
      <c r="AK182" s="5">
        <f>IFERROR(vp.tbl[[#This Row],[Dens]]*vp.tbl[[#This Row],[VolumeM3]],"")</f>
        <v>2826554.0549999997</v>
      </c>
      <c r="AL182" s="5">
        <f>IFERROR(vp.tbl[[#This Row],[VP]]*vp.tbl[[#This Row],[VolumeM3]],"")</f>
        <v>253608.75</v>
      </c>
      <c r="AM182" s="4">
        <f>IFERROR((vp.tbl[[#This Row],[VP]]-INDEX(crudeBD.lkup.complete[Mean_VP],MATCH(vp.tbl[[#This Row],[Crude_Breakdown]],crudeBD.lkup.complete[Crude Breakdown],0)))^2,"")</f>
        <v>26.766084569139178</v>
      </c>
      <c r="AN182" s="4">
        <f>IFERROR((vp.tbl[[#This Row],[Dens]]-INDEX(crudeBD.lkup.complete[Mean_Dens],MATCH(vp.tbl[[#This Row],[Crude_Breakdown]],crudeBD.lkup.complete[Crude Breakdown],0)))^2,"")</f>
        <v>88.206335221260574</v>
      </c>
      <c r="AO182" s="4">
        <f>IFERROR((vp.tbl[[#This Row],[Sulf]]-INDEX(crudeBD.lkup.complete[Mean_Sulf],MATCH(vp.tbl[[#This Row],[Crude_Breakdown]],crudeBD.lkup.complete[Crude Breakdown],0)))^2,"")</f>
        <v>2.2290074229791476E-4</v>
      </c>
      <c r="AP182">
        <f>IF(AND(vp.tbl[[#This Row],[SDate]]&gt;=DATE(YEAR(vp.tbl[[#This Row],[SDate]]),5,1),vp.tbl[[#This Row],[SDate]]&lt;=DATE(YEAR(vp.tbl[[#This Row],[SDate]]),9,15)),1,0)</f>
        <v>1</v>
      </c>
      <c r="AQ182" s="15">
        <f>IF(vp.tbl[[#This Row],[SDate]]&lt;DATE(2016,12,1),0,1)</f>
        <v>0</v>
      </c>
    </row>
    <row r="183" spans="1:43" x14ac:dyDescent="0.25">
      <c r="A183">
        <v>182</v>
      </c>
      <c r="B183" t="s">
        <v>51</v>
      </c>
      <c r="C183" t="s">
        <v>51</v>
      </c>
      <c r="D183" t="s">
        <v>58</v>
      </c>
      <c r="F183" s="1">
        <v>42502</v>
      </c>
      <c r="G183" s="2">
        <v>83</v>
      </c>
      <c r="H183" s="2"/>
      <c r="I183" s="2">
        <v>1.4</v>
      </c>
      <c r="J183" s="2"/>
      <c r="K183" s="2"/>
      <c r="L183" s="2">
        <v>855.6</v>
      </c>
      <c r="M183" s="2">
        <v>855.6</v>
      </c>
      <c r="N183" s="2">
        <f ca="1">INDEX(INDIRECT(_xlfn.CONCAT("weather.tbl[",N$1,"]")),MATCH(vp.tbl[[#This Row],[SDate]],weather.tbl[Date],0))</f>
        <v>3.1833333333333336</v>
      </c>
      <c r="O183" s="2">
        <f ca="1">INDEX(INDIRECT(_xlfn.CONCAT("weather.tbl[",O$1,"]")),MATCH(vp.tbl[[#This Row],[SDate]],weather.tbl[Date],0))</f>
        <v>11.223809523809523</v>
      </c>
      <c r="P183" s="2">
        <f ca="1">INDEX(INDIRECT(_xlfn.CONCAT("weather.tbl[",P$1,"]")),MATCH(vp.tbl[[#This Row],[SDate]],weather.tbl[Date],0))</f>
        <v>3.4</v>
      </c>
      <c r="Q183" s="2">
        <f ca="1">INDEX(INDIRECT(_xlfn.CONCAT("weather.tbl[",Q$1,"]")),MATCH(vp.tbl[[#This Row],[SDate]],weather.tbl[Date],0))</f>
        <v>2.9</v>
      </c>
      <c r="R183" s="2">
        <f ca="1">INDEX(INDIRECT(_xlfn.CONCAT("weather.tbl[",R$1,"]")),MATCH(vp.tbl[[#This Row],[SDate]],weather.tbl[Date],0))</f>
        <v>3</v>
      </c>
      <c r="S183" s="2">
        <f ca="1">INDEX(INDIRECT(_xlfn.CONCAT("weather.tbl[",S$1,"]")),MATCH(vp.tbl[[#This Row],[SDate]],weather.tbl[Date],0))</f>
        <v>3.5</v>
      </c>
      <c r="T183" s="2">
        <f ca="1">INDEX(INDIRECT(_xlfn.CONCAT("weather.tbl[",T$1,"]")),MATCH(vp.tbl[[#This Row],[SDate]],weather.tbl[Date],0))</f>
        <v>4.8</v>
      </c>
      <c r="U183" s="2">
        <f ca="1">INDEX(INDIRECT(_xlfn.CONCAT("weather.tbl[",U$1,"]")),MATCH(vp.tbl[[#This Row],[SDate]],weather.tbl[Date],0))</f>
        <v>1.5</v>
      </c>
      <c r="V183" s="2">
        <v>5988.0969999999998</v>
      </c>
      <c r="W183" t="s">
        <v>48</v>
      </c>
      <c r="X183">
        <f>IF(OR(vp.tbl[[#This Row],[Sulf]]="",vp.tbl[[#This Row],[Dens]]=""),1,0)</f>
        <v>0</v>
      </c>
      <c r="Y183">
        <f>IF(vp.tbl[[#This Row],[CrudeType]]="C5+",1,0)</f>
        <v>0</v>
      </c>
      <c r="Z183">
        <f>IF(AND(vp.tbl[[#This Row],[CrudeType]]="Crude",vp.tbl[[#This Row],[Dens]]&lt;=825,vp.tbl[[#This Row],[Sulf]]&gt;0.5,vp.tbl[[#This Row],[Unknown]]=0),1,0)</f>
        <v>0</v>
      </c>
      <c r="AA183">
        <f>IF(AND(vp.tbl[[#This Row],[CrudeType]]="Crude",vp.tbl[[#This Row],[Dens]]&lt;=825,vp.tbl[[#This Row],[Sulf]]&lt;=0.5,vp.tbl[[#This Row],[Unknown]]=0),1,0)</f>
        <v>0</v>
      </c>
      <c r="AB183">
        <f>IF(AND(vp.tbl[[#This Row],[CrudeType]]="Crude",vp.tbl[[#This Row],[Dens]]&gt;825,vp.tbl[[#This Row],[Dens]]&lt;=870,vp.tbl[[#This Row],[Sulf]]&gt;0.5,vp.tbl[[#This Row],[Unknown]]=0),1,0)</f>
        <v>1</v>
      </c>
      <c r="AC183">
        <f>IF(AND(vp.tbl[[#This Row],[CrudeType]]="Crude",vp.tbl[[#This Row],[Dens]]&gt;825,vp.tbl[[#This Row],[Dens]]&lt;=900,vp.tbl[[#This Row],[Sulf]]&lt;=0.5,vp.tbl[[#This Row],[Unknown]]=0),1,0)</f>
        <v>0</v>
      </c>
      <c r="AD183">
        <f>IF(AND(vp.tbl[[#This Row],[CrudeType]]="Crude",vp.tbl[[#This Row],[Dens]]&gt;870,vp.tbl[[#This Row],[Dens]]&lt;=900,vp.tbl[[#This Row],[Sulf]]&gt;0.5,vp.tbl[[#This Row],[Unknown]]=0),1,0)</f>
        <v>0</v>
      </c>
      <c r="AE183">
        <f>IF(AND(vp.tbl[[#This Row],[CrudeType]]="Crude",vp.tbl[[#This Row],[Dens]]&gt;900,vp.tbl[[#This Row],[Sulf]]&lt;=0.5,vp.tbl[[#This Row],[Unknown]]=0),1,0)</f>
        <v>0</v>
      </c>
      <c r="AF183">
        <f>IF(AND(vp.tbl[[#This Row],[CrudeType]]="Crude",vp.tbl[[#This Row],[Dens]]&gt;900,vp.tbl[[#This Row],[Sulf]]&lt;=0.5,vp.tbl[[#This Row],[Unknown]]=0),1,0)</f>
        <v>0</v>
      </c>
      <c r="AG183" t="str">
        <f>INDEX(vp.tbl[[#Headers],[Unknown]:[Heavy_SW]],MATCH(1,vp.tbl[[#This Row],[Unknown]:[Heavy_SW]],0))</f>
        <v>Medium_LSB</v>
      </c>
      <c r="AH183" t="e">
        <f>INDEX([1]!crudeBD.lkup[Number],MATCH(vp.tbl[[#This Row],[Crude_Breakdown]],[1]!crudeBD.lkup[Crude Breakdown],0))</f>
        <v>#REF!</v>
      </c>
      <c r="AI183">
        <f>MONTH(vp.tbl[[#This Row],[SDate]])</f>
        <v>5</v>
      </c>
      <c r="AJ183" s="5">
        <f>IFERROR(vp.tbl[[#This Row],[Sulf]]*vp.tbl[[#This Row],[Net Dens]],"")</f>
        <v>7172782.1104800003</v>
      </c>
      <c r="AK183" s="5">
        <f>IFERROR(vp.tbl[[#This Row],[Dens]]*vp.tbl[[#This Row],[VolumeM3]],"")</f>
        <v>5123415.7932000002</v>
      </c>
      <c r="AL183" s="5">
        <f>IFERROR(vp.tbl[[#This Row],[VP]]*vp.tbl[[#This Row],[VolumeM3]],"")</f>
        <v>497012.05099999998</v>
      </c>
      <c r="AM183" s="4">
        <f>IFERROR((vp.tbl[[#This Row],[VP]]-INDEX(crudeBD.lkup.complete[Mean_VP],MATCH(vp.tbl[[#This Row],[Crude_Breakdown]],crudeBD.lkup.complete[Crude Breakdown],0)))^2,"")</f>
        <v>7.9885655817979977</v>
      </c>
      <c r="AN183" s="4">
        <f>IFERROR((vp.tbl[[#This Row],[Dens]]-INDEX(crudeBD.lkup.complete[Mean_Dens],MATCH(vp.tbl[[#This Row],[Crude_Breakdown]],crudeBD.lkup.complete[Crude Breakdown],0)))^2,"")</f>
        <v>106.25851749978042</v>
      </c>
      <c r="AO183" s="4">
        <f>IFERROR((vp.tbl[[#This Row],[Sulf]]-INDEX(crudeBD.lkup.complete[Mean_Sulf],MATCH(vp.tbl[[#This Row],[Crude_Breakdown]],crudeBD.lkup.complete[Crude Breakdown],0)))^2,"")</f>
        <v>3.0172896030575352E-3</v>
      </c>
      <c r="AP183">
        <f>IF(AND(vp.tbl[[#This Row],[SDate]]&gt;=DATE(YEAR(vp.tbl[[#This Row],[SDate]]),5,1),vp.tbl[[#This Row],[SDate]]&lt;=DATE(YEAR(vp.tbl[[#This Row],[SDate]]),9,15)),1,0)</f>
        <v>1</v>
      </c>
      <c r="AQ183" s="15">
        <f>IF(vp.tbl[[#This Row],[SDate]]&lt;DATE(2016,12,1),0,1)</f>
        <v>0</v>
      </c>
    </row>
    <row r="184" spans="1:43" x14ac:dyDescent="0.25">
      <c r="A184">
        <v>183</v>
      </c>
      <c r="B184" t="s">
        <v>68</v>
      </c>
      <c r="C184" t="s">
        <v>68</v>
      </c>
      <c r="D184" t="s">
        <v>69</v>
      </c>
      <c r="F184" s="1">
        <v>42506</v>
      </c>
      <c r="G184" s="2">
        <v>86.8</v>
      </c>
      <c r="H184" s="2"/>
      <c r="I184" s="2">
        <v>1.74</v>
      </c>
      <c r="J184" s="2"/>
      <c r="K184" s="2"/>
      <c r="L184" s="2">
        <v>827.1</v>
      </c>
      <c r="M184" s="2">
        <v>827.1</v>
      </c>
      <c r="N184" s="2">
        <f ca="1">INDEX(INDIRECT(_xlfn.CONCAT("weather.tbl[",N$1,"]")),MATCH(vp.tbl[[#This Row],[SDate]],weather.tbl[Date],0))</f>
        <v>11.483333333333334</v>
      </c>
      <c r="O184" s="2">
        <f ca="1">INDEX(INDIRECT(_xlfn.CONCAT("weather.tbl[",O$1,"]")),MATCH(vp.tbl[[#This Row],[SDate]],weather.tbl[Date],0))</f>
        <v>7.916666666666667</v>
      </c>
      <c r="P184" s="2">
        <f ca="1">INDEX(INDIRECT(_xlfn.CONCAT("weather.tbl[",P$1,"]")),MATCH(vp.tbl[[#This Row],[SDate]],weather.tbl[Date],0))</f>
        <v>11</v>
      </c>
      <c r="Q184" s="2">
        <f ca="1">INDEX(INDIRECT(_xlfn.CONCAT("weather.tbl[",Q$1,"]")),MATCH(vp.tbl[[#This Row],[SDate]],weather.tbl[Date],0))</f>
        <v>11.4</v>
      </c>
      <c r="R184" s="2">
        <f ca="1">INDEX(INDIRECT(_xlfn.CONCAT("weather.tbl[",R$1,"]")),MATCH(vp.tbl[[#This Row],[SDate]],weather.tbl[Date],0))</f>
        <v>9.8000000000000007</v>
      </c>
      <c r="S184" s="2">
        <f ca="1">INDEX(INDIRECT(_xlfn.CONCAT("weather.tbl[",S$1,"]")),MATCH(vp.tbl[[#This Row],[SDate]],weather.tbl[Date],0))</f>
        <v>13.5</v>
      </c>
      <c r="T184" s="2">
        <f ca="1">INDEX(INDIRECT(_xlfn.CONCAT("weather.tbl[",T$1,"]")),MATCH(vp.tbl[[#This Row],[SDate]],weather.tbl[Date],0))</f>
        <v>10.9</v>
      </c>
      <c r="U184" s="2">
        <f ca="1">INDEX(INDIRECT(_xlfn.CONCAT("weather.tbl[",U$1,"]")),MATCH(vp.tbl[[#This Row],[SDate]],weather.tbl[Date],0))</f>
        <v>12.3</v>
      </c>
      <c r="V184" s="2">
        <v>1413.011</v>
      </c>
      <c r="W184" t="s">
        <v>48</v>
      </c>
      <c r="X184">
        <f>IF(OR(vp.tbl[[#This Row],[Sulf]]="",vp.tbl[[#This Row],[Dens]]=""),1,0)</f>
        <v>0</v>
      </c>
      <c r="Y184">
        <f>IF(vp.tbl[[#This Row],[CrudeType]]="C5+",1,0)</f>
        <v>0</v>
      </c>
      <c r="Z184">
        <f>IF(AND(vp.tbl[[#This Row],[CrudeType]]="Crude",vp.tbl[[#This Row],[Dens]]&lt;=825,vp.tbl[[#This Row],[Sulf]]&gt;0.5,vp.tbl[[#This Row],[Unknown]]=0),1,0)</f>
        <v>0</v>
      </c>
      <c r="AA184">
        <f>IF(AND(vp.tbl[[#This Row],[CrudeType]]="Crude",vp.tbl[[#This Row],[Dens]]&lt;=825,vp.tbl[[#This Row],[Sulf]]&lt;=0.5,vp.tbl[[#This Row],[Unknown]]=0),1,0)</f>
        <v>0</v>
      </c>
      <c r="AB184">
        <f>IF(AND(vp.tbl[[#This Row],[CrudeType]]="Crude",vp.tbl[[#This Row],[Dens]]&gt;825,vp.tbl[[#This Row],[Dens]]&lt;=870,vp.tbl[[#This Row],[Sulf]]&gt;0.5,vp.tbl[[#This Row],[Unknown]]=0),1,0)</f>
        <v>1</v>
      </c>
      <c r="AC184">
        <f>IF(AND(vp.tbl[[#This Row],[CrudeType]]="Crude",vp.tbl[[#This Row],[Dens]]&gt;825,vp.tbl[[#This Row],[Dens]]&lt;=900,vp.tbl[[#This Row],[Sulf]]&lt;=0.5,vp.tbl[[#This Row],[Unknown]]=0),1,0)</f>
        <v>0</v>
      </c>
      <c r="AD184">
        <f>IF(AND(vp.tbl[[#This Row],[CrudeType]]="Crude",vp.tbl[[#This Row],[Dens]]&gt;870,vp.tbl[[#This Row],[Dens]]&lt;=900,vp.tbl[[#This Row],[Sulf]]&gt;0.5,vp.tbl[[#This Row],[Unknown]]=0),1,0)</f>
        <v>0</v>
      </c>
      <c r="AE184">
        <f>IF(AND(vp.tbl[[#This Row],[CrudeType]]="Crude",vp.tbl[[#This Row],[Dens]]&gt;900,vp.tbl[[#This Row],[Sulf]]&lt;=0.5,vp.tbl[[#This Row],[Unknown]]=0),1,0)</f>
        <v>0</v>
      </c>
      <c r="AF184">
        <f>IF(AND(vp.tbl[[#This Row],[CrudeType]]="Crude",vp.tbl[[#This Row],[Dens]]&gt;900,vp.tbl[[#This Row],[Sulf]]&lt;=0.5,vp.tbl[[#This Row],[Unknown]]=0),1,0)</f>
        <v>0</v>
      </c>
      <c r="AG184" t="str">
        <f>INDEX(vp.tbl[[#Headers],[Unknown]:[Heavy_SW]],MATCH(1,vp.tbl[[#This Row],[Unknown]:[Heavy_SW]],0))</f>
        <v>Medium_LSB</v>
      </c>
      <c r="AH184" t="e">
        <f>INDEX([1]!crudeBD.lkup[Number],MATCH(vp.tbl[[#This Row],[Crude_Breakdown]],[1]!crudeBD.lkup[Crude Breakdown],0))</f>
        <v>#REF!</v>
      </c>
      <c r="AI184">
        <f>MONTH(vp.tbl[[#This Row],[SDate]])</f>
        <v>5</v>
      </c>
      <c r="AJ184" s="5">
        <f>IFERROR(vp.tbl[[#This Row],[Sulf]]*vp.tbl[[#This Row],[Net Dens]],"")</f>
        <v>2033540.4326940002</v>
      </c>
      <c r="AK184" s="5">
        <f>IFERROR(vp.tbl[[#This Row],[Dens]]*vp.tbl[[#This Row],[VolumeM3]],"")</f>
        <v>1168701.3981000001</v>
      </c>
      <c r="AL184" s="5">
        <f>IFERROR(vp.tbl[[#This Row],[VP]]*vp.tbl[[#This Row],[VolumeM3]],"")</f>
        <v>122649.35479999999</v>
      </c>
      <c r="AM184" s="4">
        <f>IFERROR((vp.tbl[[#This Row],[VP]]-INDEX(crudeBD.lkup.complete[Mean_VP],MATCH(vp.tbl[[#This Row],[Crude_Breakdown]],crudeBD.lkup.complete[Crude Breakdown],0)))^2,"")</f>
        <v>43.909244062810899</v>
      </c>
      <c r="AN184" s="4">
        <f>IFERROR((vp.tbl[[#This Row],[Dens]]-INDEX(crudeBD.lkup.complete[Mean_Dens],MATCH(vp.tbl[[#This Row],[Crude_Breakdown]],crudeBD.lkup.complete[Crude Breakdown],0)))^2,"")</f>
        <v>330.94241623390019</v>
      </c>
      <c r="AO184" s="4">
        <f>IFERROR((vp.tbl[[#This Row],[Sulf]]-INDEX(crudeBD.lkup.complete[Mean_Sulf],MATCH(vp.tbl[[#This Row],[Crude_Breakdown]],crudeBD.lkup.complete[Crude Breakdown],0)))^2,"")</f>
        <v>8.1264984286600811E-2</v>
      </c>
      <c r="AP184">
        <f>IF(AND(vp.tbl[[#This Row],[SDate]]&gt;=DATE(YEAR(vp.tbl[[#This Row],[SDate]]),5,1),vp.tbl[[#This Row],[SDate]]&lt;=DATE(YEAR(vp.tbl[[#This Row],[SDate]]),9,15)),1,0)</f>
        <v>1</v>
      </c>
      <c r="AQ184" s="15">
        <f>IF(vp.tbl[[#This Row],[SDate]]&lt;DATE(2016,12,1),0,1)</f>
        <v>0</v>
      </c>
    </row>
    <row r="185" spans="1:43" x14ac:dyDescent="0.25">
      <c r="A185">
        <v>184</v>
      </c>
      <c r="B185" t="s">
        <v>49</v>
      </c>
      <c r="C185" t="s">
        <v>49</v>
      </c>
      <c r="D185" t="s">
        <v>75</v>
      </c>
      <c r="F185" s="1">
        <v>42507</v>
      </c>
      <c r="G185" s="2">
        <v>61.9</v>
      </c>
      <c r="H185" s="2"/>
      <c r="I185" s="2">
        <v>0.15</v>
      </c>
      <c r="J185" s="2"/>
      <c r="K185" s="2"/>
      <c r="L185" s="2">
        <v>801.1</v>
      </c>
      <c r="M185" s="2">
        <v>801.1</v>
      </c>
      <c r="N185" s="2">
        <f ca="1">INDEX(INDIRECT(_xlfn.CONCAT("weather.tbl[",N$1,"]")),MATCH(vp.tbl[[#This Row],[SDate]],weather.tbl[Date],0))</f>
        <v>13.016666666666666</v>
      </c>
      <c r="O185" s="2">
        <f ca="1">INDEX(INDIRECT(_xlfn.CONCAT("weather.tbl[",O$1,"]")),MATCH(vp.tbl[[#This Row],[SDate]],weather.tbl[Date],0))</f>
        <v>8.3047619047619055</v>
      </c>
      <c r="P185" s="2">
        <f ca="1">INDEX(INDIRECT(_xlfn.CONCAT("weather.tbl[",P$1,"]")),MATCH(vp.tbl[[#This Row],[SDate]],weather.tbl[Date],0))</f>
        <v>13.8</v>
      </c>
      <c r="Q185" s="2">
        <f ca="1">INDEX(INDIRECT(_xlfn.CONCAT("weather.tbl[",Q$1,"]")),MATCH(vp.tbl[[#This Row],[SDate]],weather.tbl[Date],0))</f>
        <v>13.7</v>
      </c>
      <c r="R185" s="2">
        <f ca="1">INDEX(INDIRECT(_xlfn.CONCAT("weather.tbl[",R$1,"]")),MATCH(vp.tbl[[#This Row],[SDate]],weather.tbl[Date],0))</f>
        <v>9.8000000000000007</v>
      </c>
      <c r="S185" s="2">
        <f ca="1">INDEX(INDIRECT(_xlfn.CONCAT("weather.tbl[",S$1,"]")),MATCH(vp.tbl[[#This Row],[SDate]],weather.tbl[Date],0))</f>
        <v>14</v>
      </c>
      <c r="T185" s="2">
        <f ca="1">INDEX(INDIRECT(_xlfn.CONCAT("weather.tbl[",T$1,"]")),MATCH(vp.tbl[[#This Row],[SDate]],weather.tbl[Date],0))</f>
        <v>12.3</v>
      </c>
      <c r="U185" s="2">
        <f ca="1">INDEX(INDIRECT(_xlfn.CONCAT("weather.tbl[",U$1,"]")),MATCH(vp.tbl[[#This Row],[SDate]],weather.tbl[Date],0))</f>
        <v>14.5</v>
      </c>
      <c r="V185" s="2">
        <v>21322.589</v>
      </c>
      <c r="W185" t="s">
        <v>48</v>
      </c>
      <c r="X185">
        <f>IF(OR(vp.tbl[[#This Row],[Sulf]]="",vp.tbl[[#This Row],[Dens]]=""),1,0)</f>
        <v>0</v>
      </c>
      <c r="Y185">
        <f>IF(vp.tbl[[#This Row],[CrudeType]]="C5+",1,0)</f>
        <v>0</v>
      </c>
      <c r="Z185">
        <f>IF(AND(vp.tbl[[#This Row],[CrudeType]]="Crude",vp.tbl[[#This Row],[Dens]]&lt;=825,vp.tbl[[#This Row],[Sulf]]&gt;0.5,vp.tbl[[#This Row],[Unknown]]=0),1,0)</f>
        <v>0</v>
      </c>
      <c r="AA185">
        <f>IF(AND(vp.tbl[[#This Row],[CrudeType]]="Crude",vp.tbl[[#This Row],[Dens]]&lt;=825,vp.tbl[[#This Row],[Sulf]]&lt;=0.5,vp.tbl[[#This Row],[Unknown]]=0),1,0)</f>
        <v>1</v>
      </c>
      <c r="AB185">
        <f>IF(AND(vp.tbl[[#This Row],[CrudeType]]="Crude",vp.tbl[[#This Row],[Dens]]&gt;825,vp.tbl[[#This Row],[Dens]]&lt;=870,vp.tbl[[#This Row],[Sulf]]&gt;0.5,vp.tbl[[#This Row],[Unknown]]=0),1,0)</f>
        <v>0</v>
      </c>
      <c r="AC185">
        <f>IF(AND(vp.tbl[[#This Row],[CrudeType]]="Crude",vp.tbl[[#This Row],[Dens]]&gt;825,vp.tbl[[#This Row],[Dens]]&lt;=900,vp.tbl[[#This Row],[Sulf]]&lt;=0.5,vp.tbl[[#This Row],[Unknown]]=0),1,0)</f>
        <v>0</v>
      </c>
      <c r="AD185">
        <f>IF(AND(vp.tbl[[#This Row],[CrudeType]]="Crude",vp.tbl[[#This Row],[Dens]]&gt;870,vp.tbl[[#This Row],[Dens]]&lt;=900,vp.tbl[[#This Row],[Sulf]]&gt;0.5,vp.tbl[[#This Row],[Unknown]]=0),1,0)</f>
        <v>0</v>
      </c>
      <c r="AE185">
        <f>IF(AND(vp.tbl[[#This Row],[CrudeType]]="Crude",vp.tbl[[#This Row],[Dens]]&gt;900,vp.tbl[[#This Row],[Sulf]]&lt;=0.5,vp.tbl[[#This Row],[Unknown]]=0),1,0)</f>
        <v>0</v>
      </c>
      <c r="AF185">
        <f>IF(AND(vp.tbl[[#This Row],[CrudeType]]="Crude",vp.tbl[[#This Row],[Dens]]&gt;900,vp.tbl[[#This Row],[Sulf]]&lt;=0.5,vp.tbl[[#This Row],[Unknown]]=0),1,0)</f>
        <v>0</v>
      </c>
      <c r="AG185" t="str">
        <f>INDEX(vp.tbl[[#Headers],[Unknown]:[Heavy_SW]],MATCH(1,vp.tbl[[#This Row],[Unknown]:[Heavy_SW]],0))</f>
        <v>Light_SW</v>
      </c>
      <c r="AH185" t="e">
        <f>INDEX([1]!crudeBD.lkup[Number],MATCH(vp.tbl[[#This Row],[Crude_Breakdown]],[1]!crudeBD.lkup[Crude Breakdown],0))</f>
        <v>#REF!</v>
      </c>
      <c r="AI185">
        <f>MONTH(vp.tbl[[#This Row],[SDate]])</f>
        <v>5</v>
      </c>
      <c r="AJ185" s="5">
        <f>IFERROR(vp.tbl[[#This Row],[Sulf]]*vp.tbl[[#This Row],[Net Dens]],"")</f>
        <v>2562228.9071849999</v>
      </c>
      <c r="AK185" s="5">
        <f>IFERROR(vp.tbl[[#This Row],[Dens]]*vp.tbl[[#This Row],[VolumeM3]],"")</f>
        <v>17081526.047899999</v>
      </c>
      <c r="AL185" s="5">
        <f>IFERROR(vp.tbl[[#This Row],[VP]]*vp.tbl[[#This Row],[VolumeM3]],"")</f>
        <v>1319868.2590999999</v>
      </c>
      <c r="AM185" s="4">
        <f>IFERROR((vp.tbl[[#This Row],[VP]]-INDEX(crudeBD.lkup.complete[Mean_VP],MATCH(vp.tbl[[#This Row],[Crude_Breakdown]],crudeBD.lkup.complete[Crude Breakdown],0)))^2,"")</f>
        <v>939.44172309485191</v>
      </c>
      <c r="AN185" s="4">
        <f>IFERROR((vp.tbl[[#This Row],[Dens]]-INDEX(crudeBD.lkup.complete[Mean_Dens],MATCH(vp.tbl[[#This Row],[Crude_Breakdown]],crudeBD.lkup.complete[Crude Breakdown],0)))^2,"")</f>
        <v>52.00570712282186</v>
      </c>
      <c r="AO185" s="4">
        <f>IFERROR((vp.tbl[[#This Row],[Sulf]]-INDEX(crudeBD.lkup.complete[Mean_Sulf],MATCH(vp.tbl[[#This Row],[Crude_Breakdown]],crudeBD.lkup.complete[Crude Breakdown],0)))^2,"")</f>
        <v>7.4376501105998362E-3</v>
      </c>
      <c r="AP185">
        <f>IF(AND(vp.tbl[[#This Row],[SDate]]&gt;=DATE(YEAR(vp.tbl[[#This Row],[SDate]]),5,1),vp.tbl[[#This Row],[SDate]]&lt;=DATE(YEAR(vp.tbl[[#This Row],[SDate]]),9,15)),1,0)</f>
        <v>1</v>
      </c>
      <c r="AQ185" s="15">
        <f>IF(vp.tbl[[#This Row],[SDate]]&lt;DATE(2016,12,1),0,1)</f>
        <v>0</v>
      </c>
    </row>
    <row r="186" spans="1:43" x14ac:dyDescent="0.25">
      <c r="A186">
        <v>185</v>
      </c>
      <c r="B186" t="s">
        <v>49</v>
      </c>
      <c r="C186" t="s">
        <v>49</v>
      </c>
      <c r="D186" t="s">
        <v>74</v>
      </c>
      <c r="F186" s="1">
        <v>42507</v>
      </c>
      <c r="G186" s="2">
        <v>113</v>
      </c>
      <c r="H186" s="2"/>
      <c r="I186" s="2">
        <v>0.14000000000000001</v>
      </c>
      <c r="J186" s="2"/>
      <c r="K186" s="2"/>
      <c r="L186" s="2">
        <v>808.3</v>
      </c>
      <c r="M186" s="2">
        <v>808.3</v>
      </c>
      <c r="N186" s="2">
        <f ca="1">INDEX(INDIRECT(_xlfn.CONCAT("weather.tbl[",N$1,"]")),MATCH(vp.tbl[[#This Row],[SDate]],weather.tbl[Date],0))</f>
        <v>13.016666666666666</v>
      </c>
      <c r="O186" s="2">
        <f ca="1">INDEX(INDIRECT(_xlfn.CONCAT("weather.tbl[",O$1,"]")),MATCH(vp.tbl[[#This Row],[SDate]],weather.tbl[Date],0))</f>
        <v>8.3047619047619055</v>
      </c>
      <c r="P186" s="2">
        <f ca="1">INDEX(INDIRECT(_xlfn.CONCAT("weather.tbl[",P$1,"]")),MATCH(vp.tbl[[#This Row],[SDate]],weather.tbl[Date],0))</f>
        <v>13.8</v>
      </c>
      <c r="Q186" s="2">
        <f ca="1">INDEX(INDIRECT(_xlfn.CONCAT("weather.tbl[",Q$1,"]")),MATCH(vp.tbl[[#This Row],[SDate]],weather.tbl[Date],0))</f>
        <v>13.7</v>
      </c>
      <c r="R186" s="2">
        <f ca="1">INDEX(INDIRECT(_xlfn.CONCAT("weather.tbl[",R$1,"]")),MATCH(vp.tbl[[#This Row],[SDate]],weather.tbl[Date],0))</f>
        <v>9.8000000000000007</v>
      </c>
      <c r="S186" s="2">
        <f ca="1">INDEX(INDIRECT(_xlfn.CONCAT("weather.tbl[",S$1,"]")),MATCH(vp.tbl[[#This Row],[SDate]],weather.tbl[Date],0))</f>
        <v>14</v>
      </c>
      <c r="T186" s="2">
        <f ca="1">INDEX(INDIRECT(_xlfn.CONCAT("weather.tbl[",T$1,"]")),MATCH(vp.tbl[[#This Row],[SDate]],weather.tbl[Date],0))</f>
        <v>12.3</v>
      </c>
      <c r="U186" s="2">
        <f ca="1">INDEX(INDIRECT(_xlfn.CONCAT("weather.tbl[",U$1,"]")),MATCH(vp.tbl[[#This Row],[SDate]],weather.tbl[Date],0))</f>
        <v>14.5</v>
      </c>
      <c r="V186" s="2">
        <v>45143.608</v>
      </c>
      <c r="W186" t="s">
        <v>48</v>
      </c>
      <c r="X186">
        <f>IF(OR(vp.tbl[[#This Row],[Sulf]]="",vp.tbl[[#This Row],[Dens]]=""),1,0)</f>
        <v>0</v>
      </c>
      <c r="Y186">
        <f>IF(vp.tbl[[#This Row],[CrudeType]]="C5+",1,0)</f>
        <v>0</v>
      </c>
      <c r="Z186">
        <f>IF(AND(vp.tbl[[#This Row],[CrudeType]]="Crude",vp.tbl[[#This Row],[Dens]]&lt;=825,vp.tbl[[#This Row],[Sulf]]&gt;0.5,vp.tbl[[#This Row],[Unknown]]=0),1,0)</f>
        <v>0</v>
      </c>
      <c r="AA186">
        <f>IF(AND(vp.tbl[[#This Row],[CrudeType]]="Crude",vp.tbl[[#This Row],[Dens]]&lt;=825,vp.tbl[[#This Row],[Sulf]]&lt;=0.5,vp.tbl[[#This Row],[Unknown]]=0),1,0)</f>
        <v>1</v>
      </c>
      <c r="AB186">
        <f>IF(AND(vp.tbl[[#This Row],[CrudeType]]="Crude",vp.tbl[[#This Row],[Dens]]&gt;825,vp.tbl[[#This Row],[Dens]]&lt;=870,vp.tbl[[#This Row],[Sulf]]&gt;0.5,vp.tbl[[#This Row],[Unknown]]=0),1,0)</f>
        <v>0</v>
      </c>
      <c r="AC186">
        <f>IF(AND(vp.tbl[[#This Row],[CrudeType]]="Crude",vp.tbl[[#This Row],[Dens]]&gt;825,vp.tbl[[#This Row],[Dens]]&lt;=900,vp.tbl[[#This Row],[Sulf]]&lt;=0.5,vp.tbl[[#This Row],[Unknown]]=0),1,0)</f>
        <v>0</v>
      </c>
      <c r="AD186">
        <f>IF(AND(vp.tbl[[#This Row],[CrudeType]]="Crude",vp.tbl[[#This Row],[Dens]]&gt;870,vp.tbl[[#This Row],[Dens]]&lt;=900,vp.tbl[[#This Row],[Sulf]]&gt;0.5,vp.tbl[[#This Row],[Unknown]]=0),1,0)</f>
        <v>0</v>
      </c>
      <c r="AE186">
        <f>IF(AND(vp.tbl[[#This Row],[CrudeType]]="Crude",vp.tbl[[#This Row],[Dens]]&gt;900,vp.tbl[[#This Row],[Sulf]]&lt;=0.5,vp.tbl[[#This Row],[Unknown]]=0),1,0)</f>
        <v>0</v>
      </c>
      <c r="AF186">
        <f>IF(AND(vp.tbl[[#This Row],[CrudeType]]="Crude",vp.tbl[[#This Row],[Dens]]&gt;900,vp.tbl[[#This Row],[Sulf]]&lt;=0.5,vp.tbl[[#This Row],[Unknown]]=0),1,0)</f>
        <v>0</v>
      </c>
      <c r="AG186" t="str">
        <f>INDEX(vp.tbl[[#Headers],[Unknown]:[Heavy_SW]],MATCH(1,vp.tbl[[#This Row],[Unknown]:[Heavy_SW]],0))</f>
        <v>Light_SW</v>
      </c>
      <c r="AH186" t="e">
        <f>INDEX([1]!crudeBD.lkup[Number],MATCH(vp.tbl[[#This Row],[Crude_Breakdown]],[1]!crudeBD.lkup[Crude Breakdown],0))</f>
        <v>#REF!</v>
      </c>
      <c r="AI186">
        <f>MONTH(vp.tbl[[#This Row],[SDate]])</f>
        <v>5</v>
      </c>
      <c r="AJ186" s="5">
        <f>IFERROR(vp.tbl[[#This Row],[Sulf]]*vp.tbl[[#This Row],[Net Dens]],"")</f>
        <v>5108540.9684960004</v>
      </c>
      <c r="AK186" s="5">
        <f>IFERROR(vp.tbl[[#This Row],[Dens]]*vp.tbl[[#This Row],[VolumeM3]],"")</f>
        <v>36489578.3464</v>
      </c>
      <c r="AL186" s="5">
        <f>IFERROR(vp.tbl[[#This Row],[VP]]*vp.tbl[[#This Row],[VolumeM3]],"")</f>
        <v>5101227.7039999999</v>
      </c>
      <c r="AM186" s="4">
        <f>IFERROR((vp.tbl[[#This Row],[VP]]-INDEX(crudeBD.lkup.complete[Mean_VP],MATCH(vp.tbl[[#This Row],[Crude_Breakdown]],crudeBD.lkup.complete[Crude Breakdown],0)))^2,"")</f>
        <v>418.18967431436704</v>
      </c>
      <c r="AN186" s="4">
        <f>IFERROR((vp.tbl[[#This Row],[Dens]]-INDEX(crudeBD.lkup.complete[Mean_Dens],MATCH(vp.tbl[[#This Row],[Crude_Breakdown]],crudeBD.lkup.complete[Crude Breakdown],0)))^2,"")</f>
        <v>1.3220993334473594E-4</v>
      </c>
      <c r="AO186" s="4">
        <f>IFERROR((vp.tbl[[#This Row],[Sulf]]-INDEX(crudeBD.lkup.complete[Mean_Sulf],MATCH(vp.tbl[[#This Row],[Crude_Breakdown]],crudeBD.lkup.complete[Crude Breakdown],0)))^2,"")</f>
        <v>9.2624863475336272E-3</v>
      </c>
      <c r="AP186">
        <f>IF(AND(vp.tbl[[#This Row],[SDate]]&gt;=DATE(YEAR(vp.tbl[[#This Row],[SDate]]),5,1),vp.tbl[[#This Row],[SDate]]&lt;=DATE(YEAR(vp.tbl[[#This Row],[SDate]]),9,15)),1,0)</f>
        <v>1</v>
      </c>
      <c r="AQ186" s="15">
        <f>IF(vp.tbl[[#This Row],[SDate]]&lt;DATE(2016,12,1),0,1)</f>
        <v>0</v>
      </c>
    </row>
    <row r="187" spans="1:43" x14ac:dyDescent="0.25">
      <c r="A187">
        <v>186</v>
      </c>
      <c r="B187" t="s">
        <v>49</v>
      </c>
      <c r="C187" t="s">
        <v>49</v>
      </c>
      <c r="D187" t="s">
        <v>67</v>
      </c>
      <c r="F187" s="1">
        <v>42508</v>
      </c>
      <c r="G187" s="2">
        <v>80.5</v>
      </c>
      <c r="H187" s="2"/>
      <c r="I187" s="2">
        <v>0.21</v>
      </c>
      <c r="J187" s="2"/>
      <c r="K187" s="2"/>
      <c r="L187" s="2">
        <v>802.4</v>
      </c>
      <c r="M187" s="2">
        <v>802.4</v>
      </c>
      <c r="N187" s="2">
        <f ca="1">INDEX(INDIRECT(_xlfn.CONCAT("weather.tbl[",N$1,"]")),MATCH(vp.tbl[[#This Row],[SDate]],weather.tbl[Date],0))</f>
        <v>16.916666666666668</v>
      </c>
      <c r="O187" s="2">
        <f ca="1">INDEX(INDIRECT(_xlfn.CONCAT("weather.tbl[",O$1,"]")),MATCH(vp.tbl[[#This Row],[SDate]],weather.tbl[Date],0))</f>
        <v>9.8619047619047624</v>
      </c>
      <c r="P187" s="2">
        <f ca="1">INDEX(INDIRECT(_xlfn.CONCAT("weather.tbl[",P$1,"]")),MATCH(vp.tbl[[#This Row],[SDate]],weather.tbl[Date],0))</f>
        <v>17.7</v>
      </c>
      <c r="Q187" s="2">
        <f ca="1">INDEX(INDIRECT(_xlfn.CONCAT("weather.tbl[",Q$1,"]")),MATCH(vp.tbl[[#This Row],[SDate]],weather.tbl[Date],0))</f>
        <v>17.5</v>
      </c>
      <c r="R187" s="2">
        <f ca="1">INDEX(INDIRECT(_xlfn.CONCAT("weather.tbl[",R$1,"]")),MATCH(vp.tbl[[#This Row],[SDate]],weather.tbl[Date],0))</f>
        <v>15.5</v>
      </c>
      <c r="S187" s="2">
        <f ca="1">INDEX(INDIRECT(_xlfn.CONCAT("weather.tbl[",S$1,"]")),MATCH(vp.tbl[[#This Row],[SDate]],weather.tbl[Date],0))</f>
        <v>17.5</v>
      </c>
      <c r="T187" s="2">
        <f ca="1">INDEX(INDIRECT(_xlfn.CONCAT("weather.tbl[",T$1,"]")),MATCH(vp.tbl[[#This Row],[SDate]],weather.tbl[Date],0))</f>
        <v>16.3</v>
      </c>
      <c r="U187" s="2">
        <f ca="1">INDEX(INDIRECT(_xlfn.CONCAT("weather.tbl[",U$1,"]")),MATCH(vp.tbl[[#This Row],[SDate]],weather.tbl[Date],0))</f>
        <v>17</v>
      </c>
      <c r="V187" s="2">
        <v>57057.805</v>
      </c>
      <c r="W187" t="s">
        <v>48</v>
      </c>
      <c r="X187">
        <f>IF(OR(vp.tbl[[#This Row],[Sulf]]="",vp.tbl[[#This Row],[Dens]]=""),1,0)</f>
        <v>0</v>
      </c>
      <c r="Y187">
        <f>IF(vp.tbl[[#This Row],[CrudeType]]="C5+",1,0)</f>
        <v>0</v>
      </c>
      <c r="Z187">
        <f>IF(AND(vp.tbl[[#This Row],[CrudeType]]="Crude",vp.tbl[[#This Row],[Dens]]&lt;=825,vp.tbl[[#This Row],[Sulf]]&gt;0.5,vp.tbl[[#This Row],[Unknown]]=0),1,0)</f>
        <v>0</v>
      </c>
      <c r="AA187">
        <f>IF(AND(vp.tbl[[#This Row],[CrudeType]]="Crude",vp.tbl[[#This Row],[Dens]]&lt;=825,vp.tbl[[#This Row],[Sulf]]&lt;=0.5,vp.tbl[[#This Row],[Unknown]]=0),1,0)</f>
        <v>1</v>
      </c>
      <c r="AB187">
        <f>IF(AND(vp.tbl[[#This Row],[CrudeType]]="Crude",vp.tbl[[#This Row],[Dens]]&gt;825,vp.tbl[[#This Row],[Dens]]&lt;=870,vp.tbl[[#This Row],[Sulf]]&gt;0.5,vp.tbl[[#This Row],[Unknown]]=0),1,0)</f>
        <v>0</v>
      </c>
      <c r="AC187">
        <f>IF(AND(vp.tbl[[#This Row],[CrudeType]]="Crude",vp.tbl[[#This Row],[Dens]]&gt;825,vp.tbl[[#This Row],[Dens]]&lt;=900,vp.tbl[[#This Row],[Sulf]]&lt;=0.5,vp.tbl[[#This Row],[Unknown]]=0),1,0)</f>
        <v>0</v>
      </c>
      <c r="AD187">
        <f>IF(AND(vp.tbl[[#This Row],[CrudeType]]="Crude",vp.tbl[[#This Row],[Dens]]&gt;870,vp.tbl[[#This Row],[Dens]]&lt;=900,vp.tbl[[#This Row],[Sulf]]&gt;0.5,vp.tbl[[#This Row],[Unknown]]=0),1,0)</f>
        <v>0</v>
      </c>
      <c r="AE187">
        <f>IF(AND(vp.tbl[[#This Row],[CrudeType]]="Crude",vp.tbl[[#This Row],[Dens]]&gt;900,vp.tbl[[#This Row],[Sulf]]&lt;=0.5,vp.tbl[[#This Row],[Unknown]]=0),1,0)</f>
        <v>0</v>
      </c>
      <c r="AF187">
        <f>IF(AND(vp.tbl[[#This Row],[CrudeType]]="Crude",vp.tbl[[#This Row],[Dens]]&gt;900,vp.tbl[[#This Row],[Sulf]]&lt;=0.5,vp.tbl[[#This Row],[Unknown]]=0),1,0)</f>
        <v>0</v>
      </c>
      <c r="AG187" t="str">
        <f>INDEX(vp.tbl[[#Headers],[Unknown]:[Heavy_SW]],MATCH(1,vp.tbl[[#This Row],[Unknown]:[Heavy_SW]],0))</f>
        <v>Light_SW</v>
      </c>
      <c r="AH187" t="e">
        <f>INDEX([1]!crudeBD.lkup[Number],MATCH(vp.tbl[[#This Row],[Crude_Breakdown]],[1]!crudeBD.lkup[Crude Breakdown],0))</f>
        <v>#REF!</v>
      </c>
      <c r="AI187">
        <f>MONTH(vp.tbl[[#This Row],[SDate]])</f>
        <v>5</v>
      </c>
      <c r="AJ187" s="5">
        <f>IFERROR(vp.tbl[[#This Row],[Sulf]]*vp.tbl[[#This Row],[Net Dens]],"")</f>
        <v>9614468.3737199996</v>
      </c>
      <c r="AK187" s="5">
        <f>IFERROR(vp.tbl[[#This Row],[Dens]]*vp.tbl[[#This Row],[VolumeM3]],"")</f>
        <v>45783182.732000001</v>
      </c>
      <c r="AL187" s="5">
        <f>IFERROR(vp.tbl[[#This Row],[VP]]*vp.tbl[[#This Row],[VolumeM3]],"")</f>
        <v>4593153.3025000002</v>
      </c>
      <c r="AM187" s="4">
        <f>IFERROR((vp.tbl[[#This Row],[VP]]-INDEX(crudeBD.lkup.complete[Mean_VP],MATCH(vp.tbl[[#This Row],[Crude_Breakdown]],crudeBD.lkup.complete[Crude Breakdown],0)))^2,"")</f>
        <v>145.21005758962644</v>
      </c>
      <c r="AN187" s="4">
        <f>IFERROR((vp.tbl[[#This Row],[Dens]]-INDEX(crudeBD.lkup.complete[Mean_Dens],MATCH(vp.tbl[[#This Row],[Crude_Breakdown]],crudeBD.lkup.complete[Crude Breakdown],0)))^2,"")</f>
        <v>34.945811652439744</v>
      </c>
      <c r="AO187" s="4">
        <f>IFERROR((vp.tbl[[#This Row],[Sulf]]-INDEX(crudeBD.lkup.complete[Mean_Sulf],MATCH(vp.tbl[[#This Row],[Crude_Breakdown]],crudeBD.lkup.complete[Crude Breakdown],0)))^2,"")</f>
        <v>6.8863268899706654E-4</v>
      </c>
      <c r="AP187">
        <f>IF(AND(vp.tbl[[#This Row],[SDate]]&gt;=DATE(YEAR(vp.tbl[[#This Row],[SDate]]),5,1),vp.tbl[[#This Row],[SDate]]&lt;=DATE(YEAR(vp.tbl[[#This Row],[SDate]]),9,15)),1,0)</f>
        <v>1</v>
      </c>
      <c r="AQ187" s="15">
        <f>IF(vp.tbl[[#This Row],[SDate]]&lt;DATE(2016,12,1),0,1)</f>
        <v>0</v>
      </c>
    </row>
    <row r="188" spans="1:43" x14ac:dyDescent="0.25">
      <c r="A188">
        <v>187</v>
      </c>
      <c r="B188" t="s">
        <v>62</v>
      </c>
      <c r="C188" t="s">
        <v>62</v>
      </c>
      <c r="D188" t="s">
        <v>87</v>
      </c>
      <c r="F188" s="1">
        <v>42508</v>
      </c>
      <c r="G188" s="2">
        <v>79.5</v>
      </c>
      <c r="H188" s="2"/>
      <c r="I188" s="2">
        <v>0.17</v>
      </c>
      <c r="J188" s="2"/>
      <c r="K188" s="2"/>
      <c r="L188" s="2">
        <v>810.6</v>
      </c>
      <c r="M188" s="2">
        <v>810.6</v>
      </c>
      <c r="N188" s="2">
        <f ca="1">INDEX(INDIRECT(_xlfn.CONCAT("weather.tbl[",N$1,"]")),MATCH(vp.tbl[[#This Row],[SDate]],weather.tbl[Date],0))</f>
        <v>16.916666666666668</v>
      </c>
      <c r="O188" s="2">
        <f ca="1">INDEX(INDIRECT(_xlfn.CONCAT("weather.tbl[",O$1,"]")),MATCH(vp.tbl[[#This Row],[SDate]],weather.tbl[Date],0))</f>
        <v>9.8619047619047624</v>
      </c>
      <c r="P188" s="2">
        <f ca="1">INDEX(INDIRECT(_xlfn.CONCAT("weather.tbl[",P$1,"]")),MATCH(vp.tbl[[#This Row],[SDate]],weather.tbl[Date],0))</f>
        <v>17.7</v>
      </c>
      <c r="Q188" s="2">
        <f ca="1">INDEX(INDIRECT(_xlfn.CONCAT("weather.tbl[",Q$1,"]")),MATCH(vp.tbl[[#This Row],[SDate]],weather.tbl[Date],0))</f>
        <v>17.5</v>
      </c>
      <c r="R188" s="2">
        <f ca="1">INDEX(INDIRECT(_xlfn.CONCAT("weather.tbl[",R$1,"]")),MATCH(vp.tbl[[#This Row],[SDate]],weather.tbl[Date],0))</f>
        <v>15.5</v>
      </c>
      <c r="S188" s="2">
        <f ca="1">INDEX(INDIRECT(_xlfn.CONCAT("weather.tbl[",S$1,"]")),MATCH(vp.tbl[[#This Row],[SDate]],weather.tbl[Date],0))</f>
        <v>17.5</v>
      </c>
      <c r="T188" s="2">
        <f ca="1">INDEX(INDIRECT(_xlfn.CONCAT("weather.tbl[",T$1,"]")),MATCH(vp.tbl[[#This Row],[SDate]],weather.tbl[Date],0))</f>
        <v>16.3</v>
      </c>
      <c r="U188" s="2">
        <f ca="1">INDEX(INDIRECT(_xlfn.CONCAT("weather.tbl[",U$1,"]")),MATCH(vp.tbl[[#This Row],[SDate]],weather.tbl[Date],0))</f>
        <v>17</v>
      </c>
      <c r="V188" s="2">
        <v>8886.0290000000005</v>
      </c>
      <c r="W188" t="s">
        <v>48</v>
      </c>
      <c r="X188">
        <f>IF(OR(vp.tbl[[#This Row],[Sulf]]="",vp.tbl[[#This Row],[Dens]]=""),1,0)</f>
        <v>0</v>
      </c>
      <c r="Y188">
        <f>IF(vp.tbl[[#This Row],[CrudeType]]="C5+",1,0)</f>
        <v>0</v>
      </c>
      <c r="Z188">
        <f>IF(AND(vp.tbl[[#This Row],[CrudeType]]="Crude",vp.tbl[[#This Row],[Dens]]&lt;=825,vp.tbl[[#This Row],[Sulf]]&gt;0.5,vp.tbl[[#This Row],[Unknown]]=0),1,0)</f>
        <v>0</v>
      </c>
      <c r="AA188">
        <f>IF(AND(vp.tbl[[#This Row],[CrudeType]]="Crude",vp.tbl[[#This Row],[Dens]]&lt;=825,vp.tbl[[#This Row],[Sulf]]&lt;=0.5,vp.tbl[[#This Row],[Unknown]]=0),1,0)</f>
        <v>1</v>
      </c>
      <c r="AB188">
        <f>IF(AND(vp.tbl[[#This Row],[CrudeType]]="Crude",vp.tbl[[#This Row],[Dens]]&gt;825,vp.tbl[[#This Row],[Dens]]&lt;=870,vp.tbl[[#This Row],[Sulf]]&gt;0.5,vp.tbl[[#This Row],[Unknown]]=0),1,0)</f>
        <v>0</v>
      </c>
      <c r="AC188">
        <f>IF(AND(vp.tbl[[#This Row],[CrudeType]]="Crude",vp.tbl[[#This Row],[Dens]]&gt;825,vp.tbl[[#This Row],[Dens]]&lt;=900,vp.tbl[[#This Row],[Sulf]]&lt;=0.5,vp.tbl[[#This Row],[Unknown]]=0),1,0)</f>
        <v>0</v>
      </c>
      <c r="AD188">
        <f>IF(AND(vp.tbl[[#This Row],[CrudeType]]="Crude",vp.tbl[[#This Row],[Dens]]&gt;870,vp.tbl[[#This Row],[Dens]]&lt;=900,vp.tbl[[#This Row],[Sulf]]&gt;0.5,vp.tbl[[#This Row],[Unknown]]=0),1,0)</f>
        <v>0</v>
      </c>
      <c r="AE188">
        <f>IF(AND(vp.tbl[[#This Row],[CrudeType]]="Crude",vp.tbl[[#This Row],[Dens]]&gt;900,vp.tbl[[#This Row],[Sulf]]&lt;=0.5,vp.tbl[[#This Row],[Unknown]]=0),1,0)</f>
        <v>0</v>
      </c>
      <c r="AF188">
        <f>IF(AND(vp.tbl[[#This Row],[CrudeType]]="Crude",vp.tbl[[#This Row],[Dens]]&gt;900,vp.tbl[[#This Row],[Sulf]]&lt;=0.5,vp.tbl[[#This Row],[Unknown]]=0),1,0)</f>
        <v>0</v>
      </c>
      <c r="AG188" t="str">
        <f>INDEX(vp.tbl[[#Headers],[Unknown]:[Heavy_SW]],MATCH(1,vp.tbl[[#This Row],[Unknown]:[Heavy_SW]],0))</f>
        <v>Light_SW</v>
      </c>
      <c r="AH188" t="e">
        <f>INDEX([1]!crudeBD.lkup[Number],MATCH(vp.tbl[[#This Row],[Crude_Breakdown]],[1]!crudeBD.lkup[Crude Breakdown],0))</f>
        <v>#REF!</v>
      </c>
      <c r="AI188">
        <f>MONTH(vp.tbl[[#This Row],[SDate]])</f>
        <v>5</v>
      </c>
      <c r="AJ188" s="5">
        <f>IFERROR(vp.tbl[[#This Row],[Sulf]]*vp.tbl[[#This Row],[Net Dens]],"")</f>
        <v>1224512.5682580003</v>
      </c>
      <c r="AK188" s="5">
        <f>IFERROR(vp.tbl[[#This Row],[Dens]]*vp.tbl[[#This Row],[VolumeM3]],"")</f>
        <v>7203015.107400001</v>
      </c>
      <c r="AL188" s="5">
        <f>IFERROR(vp.tbl[[#This Row],[VP]]*vp.tbl[[#This Row],[VolumeM3]],"")</f>
        <v>706439.30550000002</v>
      </c>
      <c r="AM188" s="4">
        <f>IFERROR((vp.tbl[[#This Row],[VP]]-INDEX(crudeBD.lkup.complete[Mean_VP],MATCH(vp.tbl[[#This Row],[Crude_Breakdown]],crudeBD.lkup.complete[Crude Breakdown],0)))^2,"")</f>
        <v>170.31068476732673</v>
      </c>
      <c r="AN188" s="4">
        <f>IFERROR((vp.tbl[[#This Row],[Dens]]-INDEX(crudeBD.lkup.complete[Mean_Dens],MATCH(vp.tbl[[#This Row],[Crude_Breakdown]],crudeBD.lkup.complete[Crude Breakdown],0)))^2,"")</f>
        <v>5.2372402238717344</v>
      </c>
      <c r="AO188" s="4">
        <f>IFERROR((vp.tbl[[#This Row],[Sulf]]-INDEX(crudeBD.lkup.complete[Mean_Sulf],MATCH(vp.tbl[[#This Row],[Crude_Breakdown]],crudeBD.lkup.complete[Crude Breakdown],0)))^2,"")</f>
        <v>4.3879776367322437E-3</v>
      </c>
      <c r="AP188">
        <f>IF(AND(vp.tbl[[#This Row],[SDate]]&gt;=DATE(YEAR(vp.tbl[[#This Row],[SDate]]),5,1),vp.tbl[[#This Row],[SDate]]&lt;=DATE(YEAR(vp.tbl[[#This Row],[SDate]]),9,15)),1,0)</f>
        <v>1</v>
      </c>
      <c r="AQ188" s="15">
        <f>IF(vp.tbl[[#This Row],[SDate]]&lt;DATE(2016,12,1),0,1)</f>
        <v>0</v>
      </c>
    </row>
    <row r="189" spans="1:43" x14ac:dyDescent="0.25">
      <c r="A189">
        <v>188</v>
      </c>
      <c r="B189" t="s">
        <v>62</v>
      </c>
      <c r="C189" t="s">
        <v>62</v>
      </c>
      <c r="D189" t="s">
        <v>83</v>
      </c>
      <c r="F189" s="1">
        <v>42508</v>
      </c>
      <c r="G189" s="2">
        <v>82.4</v>
      </c>
      <c r="H189" s="2"/>
      <c r="I189" s="2">
        <v>0.19</v>
      </c>
      <c r="J189" s="2"/>
      <c r="K189" s="2"/>
      <c r="L189" s="2">
        <v>815.4</v>
      </c>
      <c r="M189" s="2">
        <v>815.4</v>
      </c>
      <c r="N189" s="2">
        <f ca="1">INDEX(INDIRECT(_xlfn.CONCAT("weather.tbl[",N$1,"]")),MATCH(vp.tbl[[#This Row],[SDate]],weather.tbl[Date],0))</f>
        <v>16.916666666666668</v>
      </c>
      <c r="O189" s="2">
        <f ca="1">INDEX(INDIRECT(_xlfn.CONCAT("weather.tbl[",O$1,"]")),MATCH(vp.tbl[[#This Row],[SDate]],weather.tbl[Date],0))</f>
        <v>9.8619047619047624</v>
      </c>
      <c r="P189" s="2">
        <f ca="1">INDEX(INDIRECT(_xlfn.CONCAT("weather.tbl[",P$1,"]")),MATCH(vp.tbl[[#This Row],[SDate]],weather.tbl[Date],0))</f>
        <v>17.7</v>
      </c>
      <c r="Q189" s="2">
        <f ca="1">INDEX(INDIRECT(_xlfn.CONCAT("weather.tbl[",Q$1,"]")),MATCH(vp.tbl[[#This Row],[SDate]],weather.tbl[Date],0))</f>
        <v>17.5</v>
      </c>
      <c r="R189" s="2">
        <f ca="1">INDEX(INDIRECT(_xlfn.CONCAT("weather.tbl[",R$1,"]")),MATCH(vp.tbl[[#This Row],[SDate]],weather.tbl[Date],0))</f>
        <v>15.5</v>
      </c>
      <c r="S189" s="2">
        <f ca="1">INDEX(INDIRECT(_xlfn.CONCAT("weather.tbl[",S$1,"]")),MATCH(vp.tbl[[#This Row],[SDate]],weather.tbl[Date],0))</f>
        <v>17.5</v>
      </c>
      <c r="T189" s="2">
        <f ca="1">INDEX(INDIRECT(_xlfn.CONCAT("weather.tbl[",T$1,"]")),MATCH(vp.tbl[[#This Row],[SDate]],weather.tbl[Date],0))</f>
        <v>16.3</v>
      </c>
      <c r="U189" s="2">
        <f ca="1">INDEX(INDIRECT(_xlfn.CONCAT("weather.tbl[",U$1,"]")),MATCH(vp.tbl[[#This Row],[SDate]],weather.tbl[Date],0))</f>
        <v>17</v>
      </c>
      <c r="V189" s="2">
        <v>11957.736999999999</v>
      </c>
      <c r="W189" t="s">
        <v>48</v>
      </c>
      <c r="X189">
        <f>IF(OR(vp.tbl[[#This Row],[Sulf]]="",vp.tbl[[#This Row],[Dens]]=""),1,0)</f>
        <v>0</v>
      </c>
      <c r="Y189">
        <f>IF(vp.tbl[[#This Row],[CrudeType]]="C5+",1,0)</f>
        <v>0</v>
      </c>
      <c r="Z189">
        <f>IF(AND(vp.tbl[[#This Row],[CrudeType]]="Crude",vp.tbl[[#This Row],[Dens]]&lt;=825,vp.tbl[[#This Row],[Sulf]]&gt;0.5,vp.tbl[[#This Row],[Unknown]]=0),1,0)</f>
        <v>0</v>
      </c>
      <c r="AA189">
        <f>IF(AND(vp.tbl[[#This Row],[CrudeType]]="Crude",vp.tbl[[#This Row],[Dens]]&lt;=825,vp.tbl[[#This Row],[Sulf]]&lt;=0.5,vp.tbl[[#This Row],[Unknown]]=0),1,0)</f>
        <v>1</v>
      </c>
      <c r="AB189">
        <f>IF(AND(vp.tbl[[#This Row],[CrudeType]]="Crude",vp.tbl[[#This Row],[Dens]]&gt;825,vp.tbl[[#This Row],[Dens]]&lt;=870,vp.tbl[[#This Row],[Sulf]]&gt;0.5,vp.tbl[[#This Row],[Unknown]]=0),1,0)</f>
        <v>0</v>
      </c>
      <c r="AC189">
        <f>IF(AND(vp.tbl[[#This Row],[CrudeType]]="Crude",vp.tbl[[#This Row],[Dens]]&gt;825,vp.tbl[[#This Row],[Dens]]&lt;=900,vp.tbl[[#This Row],[Sulf]]&lt;=0.5,vp.tbl[[#This Row],[Unknown]]=0),1,0)</f>
        <v>0</v>
      </c>
      <c r="AD189">
        <f>IF(AND(vp.tbl[[#This Row],[CrudeType]]="Crude",vp.tbl[[#This Row],[Dens]]&gt;870,vp.tbl[[#This Row],[Dens]]&lt;=900,vp.tbl[[#This Row],[Sulf]]&gt;0.5,vp.tbl[[#This Row],[Unknown]]=0),1,0)</f>
        <v>0</v>
      </c>
      <c r="AE189">
        <f>IF(AND(vp.tbl[[#This Row],[CrudeType]]="Crude",vp.tbl[[#This Row],[Dens]]&gt;900,vp.tbl[[#This Row],[Sulf]]&lt;=0.5,vp.tbl[[#This Row],[Unknown]]=0),1,0)</f>
        <v>0</v>
      </c>
      <c r="AF189">
        <f>IF(AND(vp.tbl[[#This Row],[CrudeType]]="Crude",vp.tbl[[#This Row],[Dens]]&gt;900,vp.tbl[[#This Row],[Sulf]]&lt;=0.5,vp.tbl[[#This Row],[Unknown]]=0),1,0)</f>
        <v>0</v>
      </c>
      <c r="AG189" t="str">
        <f>INDEX(vp.tbl[[#Headers],[Unknown]:[Heavy_SW]],MATCH(1,vp.tbl[[#This Row],[Unknown]:[Heavy_SW]],0))</f>
        <v>Light_SW</v>
      </c>
      <c r="AH189" t="e">
        <f>INDEX([1]!crudeBD.lkup[Number],MATCH(vp.tbl[[#This Row],[Crude_Breakdown]],[1]!crudeBD.lkup[Crude Breakdown],0))</f>
        <v>#REF!</v>
      </c>
      <c r="AI189">
        <f>MONTH(vp.tbl[[#This Row],[SDate]])</f>
        <v>5</v>
      </c>
      <c r="AJ189" s="5">
        <f>IFERROR(vp.tbl[[#This Row],[Sulf]]*vp.tbl[[#This Row],[Net Dens]],"")</f>
        <v>1852564.3624619998</v>
      </c>
      <c r="AK189" s="5">
        <f>IFERROR(vp.tbl[[#This Row],[Dens]]*vp.tbl[[#This Row],[VolumeM3]],"")</f>
        <v>9750338.7497999985</v>
      </c>
      <c r="AL189" s="5">
        <f>IFERROR(vp.tbl[[#This Row],[VP]]*vp.tbl[[#This Row],[VolumeM3]],"")</f>
        <v>985317.52879999997</v>
      </c>
      <c r="AM189" s="4">
        <f>IFERROR((vp.tbl[[#This Row],[VP]]-INDEX(crudeBD.lkup.complete[Mean_VP],MATCH(vp.tbl[[#This Row],[Crude_Breakdown]],crudeBD.lkup.complete[Crude Breakdown],0)))^2,"")</f>
        <v>103.02886595199578</v>
      </c>
      <c r="AN189" s="4">
        <f>IFERROR((vp.tbl[[#This Row],[Dens]]-INDEX(crudeBD.lkup.complete[Mean_Dens],MATCH(vp.tbl[[#This Row],[Crude_Breakdown]],crudeBD.lkup.complete[Crude Breakdown],0)))^2,"")</f>
        <v>50.246856948612077</v>
      </c>
      <c r="AO189" s="4">
        <f>IFERROR((vp.tbl[[#This Row],[Sulf]]-INDEX(crudeBD.lkup.complete[Mean_Sulf],MATCH(vp.tbl[[#This Row],[Crude_Breakdown]],crudeBD.lkup.complete[Crude Breakdown],0)))^2,"")</f>
        <v>2.1383051628646554E-3</v>
      </c>
      <c r="AP189">
        <f>IF(AND(vp.tbl[[#This Row],[SDate]]&gt;=DATE(YEAR(vp.tbl[[#This Row],[SDate]]),5,1),vp.tbl[[#This Row],[SDate]]&lt;=DATE(YEAR(vp.tbl[[#This Row],[SDate]]),9,15)),1,0)</f>
        <v>1</v>
      </c>
      <c r="AQ189" s="15">
        <f>IF(vp.tbl[[#This Row],[SDate]]&lt;DATE(2016,12,1),0,1)</f>
        <v>0</v>
      </c>
    </row>
    <row r="190" spans="1:43" x14ac:dyDescent="0.25">
      <c r="A190">
        <v>189</v>
      </c>
      <c r="B190" t="s">
        <v>62</v>
      </c>
      <c r="C190" t="s">
        <v>62</v>
      </c>
      <c r="D190" t="s">
        <v>79</v>
      </c>
      <c r="F190" s="1">
        <v>42508</v>
      </c>
      <c r="G190" s="2">
        <v>83.2</v>
      </c>
      <c r="H190" s="2"/>
      <c r="I190" s="2">
        <v>0.26</v>
      </c>
      <c r="J190" s="2"/>
      <c r="K190" s="2"/>
      <c r="L190" s="2">
        <v>820.5</v>
      </c>
      <c r="M190" s="2">
        <v>820.5</v>
      </c>
      <c r="N190" s="2">
        <f ca="1">INDEX(INDIRECT(_xlfn.CONCAT("weather.tbl[",N$1,"]")),MATCH(vp.tbl[[#This Row],[SDate]],weather.tbl[Date],0))</f>
        <v>16.916666666666668</v>
      </c>
      <c r="O190" s="2">
        <f ca="1">INDEX(INDIRECT(_xlfn.CONCAT("weather.tbl[",O$1,"]")),MATCH(vp.tbl[[#This Row],[SDate]],weather.tbl[Date],0))</f>
        <v>9.8619047619047624</v>
      </c>
      <c r="P190" s="2">
        <f ca="1">INDEX(INDIRECT(_xlfn.CONCAT("weather.tbl[",P$1,"]")),MATCH(vp.tbl[[#This Row],[SDate]],weather.tbl[Date],0))</f>
        <v>17.7</v>
      </c>
      <c r="Q190" s="2">
        <f ca="1">INDEX(INDIRECT(_xlfn.CONCAT("weather.tbl[",Q$1,"]")),MATCH(vp.tbl[[#This Row],[SDate]],weather.tbl[Date],0))</f>
        <v>17.5</v>
      </c>
      <c r="R190" s="2">
        <f ca="1">INDEX(INDIRECT(_xlfn.CONCAT("weather.tbl[",R$1,"]")),MATCH(vp.tbl[[#This Row],[SDate]],weather.tbl[Date],0))</f>
        <v>15.5</v>
      </c>
      <c r="S190" s="2">
        <f ca="1">INDEX(INDIRECT(_xlfn.CONCAT("weather.tbl[",S$1,"]")),MATCH(vp.tbl[[#This Row],[SDate]],weather.tbl[Date],0))</f>
        <v>17.5</v>
      </c>
      <c r="T190" s="2">
        <f ca="1">INDEX(INDIRECT(_xlfn.CONCAT("weather.tbl[",T$1,"]")),MATCH(vp.tbl[[#This Row],[SDate]],weather.tbl[Date],0))</f>
        <v>16.3</v>
      </c>
      <c r="U190" s="2">
        <f ca="1">INDEX(INDIRECT(_xlfn.CONCAT("weather.tbl[",U$1,"]")),MATCH(vp.tbl[[#This Row],[SDate]],weather.tbl[Date],0))</f>
        <v>17</v>
      </c>
      <c r="V190" s="2">
        <v>16126.073</v>
      </c>
      <c r="W190" t="s">
        <v>48</v>
      </c>
      <c r="X190">
        <f>IF(OR(vp.tbl[[#This Row],[Sulf]]="",vp.tbl[[#This Row],[Dens]]=""),1,0)</f>
        <v>0</v>
      </c>
      <c r="Y190">
        <f>IF(vp.tbl[[#This Row],[CrudeType]]="C5+",1,0)</f>
        <v>0</v>
      </c>
      <c r="Z190">
        <f>IF(AND(vp.tbl[[#This Row],[CrudeType]]="Crude",vp.tbl[[#This Row],[Dens]]&lt;=825,vp.tbl[[#This Row],[Sulf]]&gt;0.5,vp.tbl[[#This Row],[Unknown]]=0),1,0)</f>
        <v>0</v>
      </c>
      <c r="AA190">
        <f>IF(AND(vp.tbl[[#This Row],[CrudeType]]="Crude",vp.tbl[[#This Row],[Dens]]&lt;=825,vp.tbl[[#This Row],[Sulf]]&lt;=0.5,vp.tbl[[#This Row],[Unknown]]=0),1,0)</f>
        <v>1</v>
      </c>
      <c r="AB190">
        <f>IF(AND(vp.tbl[[#This Row],[CrudeType]]="Crude",vp.tbl[[#This Row],[Dens]]&gt;825,vp.tbl[[#This Row],[Dens]]&lt;=870,vp.tbl[[#This Row],[Sulf]]&gt;0.5,vp.tbl[[#This Row],[Unknown]]=0),1,0)</f>
        <v>0</v>
      </c>
      <c r="AC190">
        <f>IF(AND(vp.tbl[[#This Row],[CrudeType]]="Crude",vp.tbl[[#This Row],[Dens]]&gt;825,vp.tbl[[#This Row],[Dens]]&lt;=900,vp.tbl[[#This Row],[Sulf]]&lt;=0.5,vp.tbl[[#This Row],[Unknown]]=0),1,0)</f>
        <v>0</v>
      </c>
      <c r="AD190">
        <f>IF(AND(vp.tbl[[#This Row],[CrudeType]]="Crude",vp.tbl[[#This Row],[Dens]]&gt;870,vp.tbl[[#This Row],[Dens]]&lt;=900,vp.tbl[[#This Row],[Sulf]]&gt;0.5,vp.tbl[[#This Row],[Unknown]]=0),1,0)</f>
        <v>0</v>
      </c>
      <c r="AE190">
        <f>IF(AND(vp.tbl[[#This Row],[CrudeType]]="Crude",vp.tbl[[#This Row],[Dens]]&gt;900,vp.tbl[[#This Row],[Sulf]]&lt;=0.5,vp.tbl[[#This Row],[Unknown]]=0),1,0)</f>
        <v>0</v>
      </c>
      <c r="AF190">
        <f>IF(AND(vp.tbl[[#This Row],[CrudeType]]="Crude",vp.tbl[[#This Row],[Dens]]&gt;900,vp.tbl[[#This Row],[Sulf]]&lt;=0.5,vp.tbl[[#This Row],[Unknown]]=0),1,0)</f>
        <v>0</v>
      </c>
      <c r="AG190" t="str">
        <f>INDEX(vp.tbl[[#Headers],[Unknown]:[Heavy_SW]],MATCH(1,vp.tbl[[#This Row],[Unknown]:[Heavy_SW]],0))</f>
        <v>Light_SW</v>
      </c>
      <c r="AH190" t="e">
        <f>INDEX([1]!crudeBD.lkup[Number],MATCH(vp.tbl[[#This Row],[Crude_Breakdown]],[1]!crudeBD.lkup[Crude Breakdown],0))</f>
        <v>#REF!</v>
      </c>
      <c r="AI190">
        <f>MONTH(vp.tbl[[#This Row],[SDate]])</f>
        <v>5</v>
      </c>
      <c r="AJ190" s="5">
        <f>IFERROR(vp.tbl[[#This Row],[Sulf]]*vp.tbl[[#This Row],[Net Dens]],"")</f>
        <v>3440175.1530900002</v>
      </c>
      <c r="AK190" s="5">
        <f>IFERROR(vp.tbl[[#This Row],[Dens]]*vp.tbl[[#This Row],[VolumeM3]],"")</f>
        <v>13231442.896500001</v>
      </c>
      <c r="AL190" s="5">
        <f>IFERROR(vp.tbl[[#This Row],[VP]]*vp.tbl[[#This Row],[VolumeM3]],"")</f>
        <v>1341689.2736</v>
      </c>
      <c r="AM190" s="4">
        <f>IFERROR((vp.tbl[[#This Row],[VP]]-INDEX(crudeBD.lkup.complete[Mean_VP],MATCH(vp.tbl[[#This Row],[Crude_Breakdown]],crudeBD.lkup.complete[Crude Breakdown],0)))^2,"")</f>
        <v>87.428364209835621</v>
      </c>
      <c r="AN190" s="4">
        <f>IFERROR((vp.tbl[[#This Row],[Dens]]-INDEX(crudeBD.lkup.complete[Mean_Dens],MATCH(vp.tbl[[#This Row],[Crude_Breakdown]],crudeBD.lkup.complete[Crude Breakdown],0)))^2,"")</f>
        <v>148.55957471864949</v>
      </c>
      <c r="AO190" s="4">
        <f>IFERROR((vp.tbl[[#This Row],[Sulf]]-INDEX(crudeBD.lkup.complete[Mean_Sulf],MATCH(vp.tbl[[#This Row],[Crude_Breakdown]],crudeBD.lkup.complete[Crude Breakdown],0)))^2,"")</f>
        <v>5.644515043280923E-4</v>
      </c>
      <c r="AP190">
        <f>IF(AND(vp.tbl[[#This Row],[SDate]]&gt;=DATE(YEAR(vp.tbl[[#This Row],[SDate]]),5,1),vp.tbl[[#This Row],[SDate]]&lt;=DATE(YEAR(vp.tbl[[#This Row],[SDate]]),9,15)),1,0)</f>
        <v>1</v>
      </c>
      <c r="AQ190" s="15">
        <f>IF(vp.tbl[[#This Row],[SDate]]&lt;DATE(2016,12,1),0,1)</f>
        <v>0</v>
      </c>
    </row>
    <row r="191" spans="1:43" x14ac:dyDescent="0.25">
      <c r="A191">
        <v>190</v>
      </c>
      <c r="B191" t="s">
        <v>49</v>
      </c>
      <c r="C191" t="s">
        <v>49</v>
      </c>
      <c r="D191" t="s">
        <v>50</v>
      </c>
      <c r="F191" s="1">
        <v>42508</v>
      </c>
      <c r="G191" s="2">
        <v>67.900000000000006</v>
      </c>
      <c r="H191" s="2"/>
      <c r="I191" s="2">
        <v>2.59</v>
      </c>
      <c r="J191" s="2"/>
      <c r="K191" s="2"/>
      <c r="L191" s="2">
        <v>851.3</v>
      </c>
      <c r="M191" s="2">
        <v>851.3</v>
      </c>
      <c r="N191" s="2">
        <f ca="1">INDEX(INDIRECT(_xlfn.CONCAT("weather.tbl[",N$1,"]")),MATCH(vp.tbl[[#This Row],[SDate]],weather.tbl[Date],0))</f>
        <v>16.916666666666668</v>
      </c>
      <c r="O191" s="2">
        <f ca="1">INDEX(INDIRECT(_xlfn.CONCAT("weather.tbl[",O$1,"]")),MATCH(vp.tbl[[#This Row],[SDate]],weather.tbl[Date],0))</f>
        <v>9.8619047619047624</v>
      </c>
      <c r="P191" s="2">
        <f ca="1">INDEX(INDIRECT(_xlfn.CONCAT("weather.tbl[",P$1,"]")),MATCH(vp.tbl[[#This Row],[SDate]],weather.tbl[Date],0))</f>
        <v>17.7</v>
      </c>
      <c r="Q191" s="2">
        <f ca="1">INDEX(INDIRECT(_xlfn.CONCAT("weather.tbl[",Q$1,"]")),MATCH(vp.tbl[[#This Row],[SDate]],weather.tbl[Date],0))</f>
        <v>17.5</v>
      </c>
      <c r="R191" s="2">
        <f ca="1">INDEX(INDIRECT(_xlfn.CONCAT("weather.tbl[",R$1,"]")),MATCH(vp.tbl[[#This Row],[SDate]],weather.tbl[Date],0))</f>
        <v>15.5</v>
      </c>
      <c r="S191" s="2">
        <f ca="1">INDEX(INDIRECT(_xlfn.CONCAT("weather.tbl[",S$1,"]")),MATCH(vp.tbl[[#This Row],[SDate]],weather.tbl[Date],0))</f>
        <v>17.5</v>
      </c>
      <c r="T191" s="2">
        <f ca="1">INDEX(INDIRECT(_xlfn.CONCAT("weather.tbl[",T$1,"]")),MATCH(vp.tbl[[#This Row],[SDate]],weather.tbl[Date],0))</f>
        <v>16.3</v>
      </c>
      <c r="U191" s="2">
        <f ca="1">INDEX(INDIRECT(_xlfn.CONCAT("weather.tbl[",U$1,"]")),MATCH(vp.tbl[[#This Row],[SDate]],weather.tbl[Date],0))</f>
        <v>17</v>
      </c>
      <c r="V191" s="2">
        <v>7696.8040000000001</v>
      </c>
      <c r="W191" t="s">
        <v>48</v>
      </c>
      <c r="X191">
        <f>IF(OR(vp.tbl[[#This Row],[Sulf]]="",vp.tbl[[#This Row],[Dens]]=""),1,0)</f>
        <v>0</v>
      </c>
      <c r="Y191">
        <f>IF(vp.tbl[[#This Row],[CrudeType]]="C5+",1,0)</f>
        <v>0</v>
      </c>
      <c r="Z191">
        <f>IF(AND(vp.tbl[[#This Row],[CrudeType]]="Crude",vp.tbl[[#This Row],[Dens]]&lt;=825,vp.tbl[[#This Row],[Sulf]]&gt;0.5,vp.tbl[[#This Row],[Unknown]]=0),1,0)</f>
        <v>0</v>
      </c>
      <c r="AA191">
        <f>IF(AND(vp.tbl[[#This Row],[CrudeType]]="Crude",vp.tbl[[#This Row],[Dens]]&lt;=825,vp.tbl[[#This Row],[Sulf]]&lt;=0.5,vp.tbl[[#This Row],[Unknown]]=0),1,0)</f>
        <v>0</v>
      </c>
      <c r="AB191">
        <f>IF(AND(vp.tbl[[#This Row],[CrudeType]]="Crude",vp.tbl[[#This Row],[Dens]]&gt;825,vp.tbl[[#This Row],[Dens]]&lt;=870,vp.tbl[[#This Row],[Sulf]]&gt;0.5,vp.tbl[[#This Row],[Unknown]]=0),1,0)</f>
        <v>1</v>
      </c>
      <c r="AC191">
        <f>IF(AND(vp.tbl[[#This Row],[CrudeType]]="Crude",vp.tbl[[#This Row],[Dens]]&gt;825,vp.tbl[[#This Row],[Dens]]&lt;=900,vp.tbl[[#This Row],[Sulf]]&lt;=0.5,vp.tbl[[#This Row],[Unknown]]=0),1,0)</f>
        <v>0</v>
      </c>
      <c r="AD191">
        <f>IF(AND(vp.tbl[[#This Row],[CrudeType]]="Crude",vp.tbl[[#This Row],[Dens]]&gt;870,vp.tbl[[#This Row],[Dens]]&lt;=900,vp.tbl[[#This Row],[Sulf]]&gt;0.5,vp.tbl[[#This Row],[Unknown]]=0),1,0)</f>
        <v>0</v>
      </c>
      <c r="AE191">
        <f>IF(AND(vp.tbl[[#This Row],[CrudeType]]="Crude",vp.tbl[[#This Row],[Dens]]&gt;900,vp.tbl[[#This Row],[Sulf]]&lt;=0.5,vp.tbl[[#This Row],[Unknown]]=0),1,0)</f>
        <v>0</v>
      </c>
      <c r="AF191">
        <f>IF(AND(vp.tbl[[#This Row],[CrudeType]]="Crude",vp.tbl[[#This Row],[Dens]]&gt;900,vp.tbl[[#This Row],[Sulf]]&lt;=0.5,vp.tbl[[#This Row],[Unknown]]=0),1,0)</f>
        <v>0</v>
      </c>
      <c r="AG191" t="str">
        <f>INDEX(vp.tbl[[#Headers],[Unknown]:[Heavy_SW]],MATCH(1,vp.tbl[[#This Row],[Unknown]:[Heavy_SW]],0))</f>
        <v>Medium_LSB</v>
      </c>
      <c r="AH191" t="e">
        <f>INDEX([1]!crudeBD.lkup[Number],MATCH(vp.tbl[[#This Row],[Crude_Breakdown]],[1]!crudeBD.lkup[Crude Breakdown],0))</f>
        <v>#REF!</v>
      </c>
      <c r="AI191">
        <f>MONTH(vp.tbl[[#This Row],[SDate]])</f>
        <v>5</v>
      </c>
      <c r="AJ191" s="5">
        <f>IFERROR(vp.tbl[[#This Row],[Sulf]]*vp.tbl[[#This Row],[Net Dens]],"")</f>
        <v>16970429.145067997</v>
      </c>
      <c r="AK191" s="5">
        <f>IFERROR(vp.tbl[[#This Row],[Dens]]*vp.tbl[[#This Row],[VolumeM3]],"")</f>
        <v>6552289.2451999998</v>
      </c>
      <c r="AL191" s="5">
        <f>IFERROR(vp.tbl[[#This Row],[VP]]*vp.tbl[[#This Row],[VolumeM3]],"")</f>
        <v>522612.99160000007</v>
      </c>
      <c r="AM191" s="4">
        <f>IFERROR((vp.tbl[[#This Row],[VP]]-INDEX(crudeBD.lkup.complete[Mean_VP],MATCH(vp.tbl[[#This Row],[Crude_Breakdown]],crudeBD.lkup.complete[Crude Breakdown],0)))^2,"")</f>
        <v>150.64113267040435</v>
      </c>
      <c r="AN191" s="4">
        <f>IFERROR((vp.tbl[[#This Row],[Dens]]-INDEX(crudeBD.lkup.complete[Mean_Dens],MATCH(vp.tbl[[#This Row],[Crude_Breakdown]],crudeBD.lkup.complete[Crude Breakdown],0)))^2,"")</f>
        <v>36.09819344913803</v>
      </c>
      <c r="AO191" s="4">
        <f>IFERROR((vp.tbl[[#This Row],[Sulf]]-INDEX(crudeBD.lkup.complete[Mean_Sulf],MATCH(vp.tbl[[#This Row],[Crude_Breakdown]],crudeBD.lkup.complete[Crude Breakdown],0)))^2,"")</f>
        <v>1.2883842209954588</v>
      </c>
      <c r="AP191">
        <f>IF(AND(vp.tbl[[#This Row],[SDate]]&gt;=DATE(YEAR(vp.tbl[[#This Row],[SDate]]),5,1),vp.tbl[[#This Row],[SDate]]&lt;=DATE(YEAR(vp.tbl[[#This Row],[SDate]]),9,15)),1,0)</f>
        <v>1</v>
      </c>
      <c r="AQ191" s="15">
        <f>IF(vp.tbl[[#This Row],[SDate]]&lt;DATE(2016,12,1),0,1)</f>
        <v>0</v>
      </c>
    </row>
    <row r="192" spans="1:43" x14ac:dyDescent="0.25">
      <c r="A192">
        <v>191</v>
      </c>
      <c r="B192" t="s">
        <v>51</v>
      </c>
      <c r="C192" t="s">
        <v>51</v>
      </c>
      <c r="D192" t="s">
        <v>52</v>
      </c>
      <c r="F192" s="1">
        <v>42508</v>
      </c>
      <c r="G192" s="2">
        <v>49.4</v>
      </c>
      <c r="H192" s="2"/>
      <c r="I192" s="2">
        <v>2.2999999999999998</v>
      </c>
      <c r="J192" s="2"/>
      <c r="K192" s="2"/>
      <c r="L192" s="2">
        <v>869.6</v>
      </c>
      <c r="M192" s="2">
        <v>869.6</v>
      </c>
      <c r="N192" s="2">
        <f ca="1">INDEX(INDIRECT(_xlfn.CONCAT("weather.tbl[",N$1,"]")),MATCH(vp.tbl[[#This Row],[SDate]],weather.tbl[Date],0))</f>
        <v>16.916666666666668</v>
      </c>
      <c r="O192" s="2">
        <f ca="1">INDEX(INDIRECT(_xlfn.CONCAT("weather.tbl[",O$1,"]")),MATCH(vp.tbl[[#This Row],[SDate]],weather.tbl[Date],0))</f>
        <v>9.8619047619047624</v>
      </c>
      <c r="P192" s="2">
        <f ca="1">INDEX(INDIRECT(_xlfn.CONCAT("weather.tbl[",P$1,"]")),MATCH(vp.tbl[[#This Row],[SDate]],weather.tbl[Date],0))</f>
        <v>17.7</v>
      </c>
      <c r="Q192" s="2">
        <f ca="1">INDEX(INDIRECT(_xlfn.CONCAT("weather.tbl[",Q$1,"]")),MATCH(vp.tbl[[#This Row],[SDate]],weather.tbl[Date],0))</f>
        <v>17.5</v>
      </c>
      <c r="R192" s="2">
        <f ca="1">INDEX(INDIRECT(_xlfn.CONCAT("weather.tbl[",R$1,"]")),MATCH(vp.tbl[[#This Row],[SDate]],weather.tbl[Date],0))</f>
        <v>15.5</v>
      </c>
      <c r="S192" s="2">
        <f ca="1">INDEX(INDIRECT(_xlfn.CONCAT("weather.tbl[",S$1,"]")),MATCH(vp.tbl[[#This Row],[SDate]],weather.tbl[Date],0))</f>
        <v>17.5</v>
      </c>
      <c r="T192" s="2">
        <f ca="1">INDEX(INDIRECT(_xlfn.CONCAT("weather.tbl[",T$1,"]")),MATCH(vp.tbl[[#This Row],[SDate]],weather.tbl[Date],0))</f>
        <v>16.3</v>
      </c>
      <c r="U192" s="2">
        <f ca="1">INDEX(INDIRECT(_xlfn.CONCAT("weather.tbl[",U$1,"]")),MATCH(vp.tbl[[#This Row],[SDate]],weather.tbl[Date],0))</f>
        <v>17</v>
      </c>
      <c r="V192" s="2">
        <v>7741.1940000000004</v>
      </c>
      <c r="W192" t="s">
        <v>48</v>
      </c>
      <c r="X192">
        <f>IF(OR(vp.tbl[[#This Row],[Sulf]]="",vp.tbl[[#This Row],[Dens]]=""),1,0)</f>
        <v>0</v>
      </c>
      <c r="Y192">
        <f>IF(vp.tbl[[#This Row],[CrudeType]]="C5+",1,0)</f>
        <v>0</v>
      </c>
      <c r="Z192">
        <f>IF(AND(vp.tbl[[#This Row],[CrudeType]]="Crude",vp.tbl[[#This Row],[Dens]]&lt;=825,vp.tbl[[#This Row],[Sulf]]&gt;0.5,vp.tbl[[#This Row],[Unknown]]=0),1,0)</f>
        <v>0</v>
      </c>
      <c r="AA192">
        <f>IF(AND(vp.tbl[[#This Row],[CrudeType]]="Crude",vp.tbl[[#This Row],[Dens]]&lt;=825,vp.tbl[[#This Row],[Sulf]]&lt;=0.5,vp.tbl[[#This Row],[Unknown]]=0),1,0)</f>
        <v>0</v>
      </c>
      <c r="AB192">
        <f>IF(AND(vp.tbl[[#This Row],[CrudeType]]="Crude",vp.tbl[[#This Row],[Dens]]&gt;825,vp.tbl[[#This Row],[Dens]]&lt;=870,vp.tbl[[#This Row],[Sulf]]&gt;0.5,vp.tbl[[#This Row],[Unknown]]=0),1,0)</f>
        <v>1</v>
      </c>
      <c r="AC192">
        <f>IF(AND(vp.tbl[[#This Row],[CrudeType]]="Crude",vp.tbl[[#This Row],[Dens]]&gt;825,vp.tbl[[#This Row],[Dens]]&lt;=900,vp.tbl[[#This Row],[Sulf]]&lt;=0.5,vp.tbl[[#This Row],[Unknown]]=0),1,0)</f>
        <v>0</v>
      </c>
      <c r="AD192">
        <f>IF(AND(vp.tbl[[#This Row],[CrudeType]]="Crude",vp.tbl[[#This Row],[Dens]]&gt;870,vp.tbl[[#This Row],[Dens]]&lt;=900,vp.tbl[[#This Row],[Sulf]]&gt;0.5,vp.tbl[[#This Row],[Unknown]]=0),1,0)</f>
        <v>0</v>
      </c>
      <c r="AE192">
        <f>IF(AND(vp.tbl[[#This Row],[CrudeType]]="Crude",vp.tbl[[#This Row],[Dens]]&gt;900,vp.tbl[[#This Row],[Sulf]]&lt;=0.5,vp.tbl[[#This Row],[Unknown]]=0),1,0)</f>
        <v>0</v>
      </c>
      <c r="AF192">
        <f>IF(AND(vp.tbl[[#This Row],[CrudeType]]="Crude",vp.tbl[[#This Row],[Dens]]&gt;900,vp.tbl[[#This Row],[Sulf]]&lt;=0.5,vp.tbl[[#This Row],[Unknown]]=0),1,0)</f>
        <v>0</v>
      </c>
      <c r="AG192" t="str">
        <f>INDEX(vp.tbl[[#Headers],[Unknown]:[Heavy_SW]],MATCH(1,vp.tbl[[#This Row],[Unknown]:[Heavy_SW]],0))</f>
        <v>Medium_LSB</v>
      </c>
      <c r="AH192" t="e">
        <f>INDEX([1]!crudeBD.lkup[Number],MATCH(vp.tbl[[#This Row],[Crude_Breakdown]],[1]!crudeBD.lkup[Crude Breakdown],0))</f>
        <v>#REF!</v>
      </c>
      <c r="AI192">
        <f>MONTH(vp.tbl[[#This Row],[SDate]])</f>
        <v>5</v>
      </c>
      <c r="AJ192" s="5">
        <f>IFERROR(vp.tbl[[#This Row],[Sulf]]*vp.tbl[[#This Row],[Net Dens]],"")</f>
        <v>15483007.29552</v>
      </c>
      <c r="AK192" s="5">
        <f>IFERROR(vp.tbl[[#This Row],[Dens]]*vp.tbl[[#This Row],[VolumeM3]],"")</f>
        <v>6731742.3024000004</v>
      </c>
      <c r="AL192" s="5">
        <f>IFERROR(vp.tbl[[#This Row],[VP]]*vp.tbl[[#This Row],[VolumeM3]],"")</f>
        <v>382414.98360000004</v>
      </c>
      <c r="AM192" s="4">
        <f>IFERROR((vp.tbl[[#This Row],[VP]]-INDEX(crudeBD.lkup.complete[Mean_VP],MATCH(vp.tbl[[#This Row],[Crude_Breakdown]],crudeBD.lkup.complete[Crude Breakdown],0)))^2,"")</f>
        <v>947.014145328631</v>
      </c>
      <c r="AN192" s="4">
        <f>IFERROR((vp.tbl[[#This Row],[Dens]]-INDEX(crudeBD.lkup.complete[Mean_Dens],MATCH(vp.tbl[[#This Row],[Crude_Breakdown]],crudeBD.lkup.complete[Crude Breakdown],0)))^2,"")</f>
        <v>590.88747952512506</v>
      </c>
      <c r="AO192" s="4">
        <f>IFERROR((vp.tbl[[#This Row],[Sulf]]-INDEX(crudeBD.lkup.complete[Mean_Sulf],MATCH(vp.tbl[[#This Row],[Crude_Breakdown]],crudeBD.lkup.complete[Crude Breakdown],0)))^2,"")</f>
        <v>0.71414354023596593</v>
      </c>
      <c r="AP192">
        <f>IF(AND(vp.tbl[[#This Row],[SDate]]&gt;=DATE(YEAR(vp.tbl[[#This Row],[SDate]]),5,1),vp.tbl[[#This Row],[SDate]]&lt;=DATE(YEAR(vp.tbl[[#This Row],[SDate]]),9,15)),1,0)</f>
        <v>1</v>
      </c>
      <c r="AQ192" s="15">
        <f>IF(vp.tbl[[#This Row],[SDate]]&lt;DATE(2016,12,1),0,1)</f>
        <v>0</v>
      </c>
    </row>
    <row r="193" spans="1:43" x14ac:dyDescent="0.25">
      <c r="A193">
        <v>192</v>
      </c>
      <c r="B193" t="s">
        <v>46</v>
      </c>
      <c r="C193" t="s">
        <v>46</v>
      </c>
      <c r="D193" t="s">
        <v>47</v>
      </c>
      <c r="F193" s="1">
        <v>42508</v>
      </c>
      <c r="G193" s="2">
        <v>61.6</v>
      </c>
      <c r="H193" s="2"/>
      <c r="I193" s="2">
        <v>2.41</v>
      </c>
      <c r="J193" s="2"/>
      <c r="K193" s="2"/>
      <c r="L193" s="2">
        <v>874.2</v>
      </c>
      <c r="M193" s="2">
        <v>874.2</v>
      </c>
      <c r="N193" s="2">
        <f ca="1">INDEX(INDIRECT(_xlfn.CONCAT("weather.tbl[",N$1,"]")),MATCH(vp.tbl[[#This Row],[SDate]],weather.tbl[Date],0))</f>
        <v>16.916666666666668</v>
      </c>
      <c r="O193" s="2">
        <f ca="1">INDEX(INDIRECT(_xlfn.CONCAT("weather.tbl[",O$1,"]")),MATCH(vp.tbl[[#This Row],[SDate]],weather.tbl[Date],0))</f>
        <v>9.8619047619047624</v>
      </c>
      <c r="P193" s="2">
        <f ca="1">INDEX(INDIRECT(_xlfn.CONCAT("weather.tbl[",P$1,"]")),MATCH(vp.tbl[[#This Row],[SDate]],weather.tbl[Date],0))</f>
        <v>17.7</v>
      </c>
      <c r="Q193" s="2">
        <f ca="1">INDEX(INDIRECT(_xlfn.CONCAT("weather.tbl[",Q$1,"]")),MATCH(vp.tbl[[#This Row],[SDate]],weather.tbl[Date],0))</f>
        <v>17.5</v>
      </c>
      <c r="R193" s="2">
        <f ca="1">INDEX(INDIRECT(_xlfn.CONCAT("weather.tbl[",R$1,"]")),MATCH(vp.tbl[[#This Row],[SDate]],weather.tbl[Date],0))</f>
        <v>15.5</v>
      </c>
      <c r="S193" s="2">
        <f ca="1">INDEX(INDIRECT(_xlfn.CONCAT("weather.tbl[",S$1,"]")),MATCH(vp.tbl[[#This Row],[SDate]],weather.tbl[Date],0))</f>
        <v>17.5</v>
      </c>
      <c r="T193" s="2">
        <f ca="1">INDEX(INDIRECT(_xlfn.CONCAT("weather.tbl[",T$1,"]")),MATCH(vp.tbl[[#This Row],[SDate]],weather.tbl[Date],0))</f>
        <v>16.3</v>
      </c>
      <c r="U193" s="2">
        <f ca="1">INDEX(INDIRECT(_xlfn.CONCAT("weather.tbl[",U$1,"]")),MATCH(vp.tbl[[#This Row],[SDate]],weather.tbl[Date],0))</f>
        <v>17</v>
      </c>
      <c r="V193" s="2">
        <v>116895.311</v>
      </c>
      <c r="W193" t="s">
        <v>48</v>
      </c>
      <c r="X193">
        <f>IF(OR(vp.tbl[[#This Row],[Sulf]]="",vp.tbl[[#This Row],[Dens]]=""),1,0)</f>
        <v>0</v>
      </c>
      <c r="Y193">
        <f>IF(vp.tbl[[#This Row],[CrudeType]]="C5+",1,0)</f>
        <v>0</v>
      </c>
      <c r="Z193">
        <f>IF(AND(vp.tbl[[#This Row],[CrudeType]]="Crude",vp.tbl[[#This Row],[Dens]]&lt;=825,vp.tbl[[#This Row],[Sulf]]&gt;0.5,vp.tbl[[#This Row],[Unknown]]=0),1,0)</f>
        <v>0</v>
      </c>
      <c r="AA193">
        <f>IF(AND(vp.tbl[[#This Row],[CrudeType]]="Crude",vp.tbl[[#This Row],[Dens]]&lt;=825,vp.tbl[[#This Row],[Sulf]]&lt;=0.5,vp.tbl[[#This Row],[Unknown]]=0),1,0)</f>
        <v>0</v>
      </c>
      <c r="AB193">
        <f>IF(AND(vp.tbl[[#This Row],[CrudeType]]="Crude",vp.tbl[[#This Row],[Dens]]&gt;825,vp.tbl[[#This Row],[Dens]]&lt;=870,vp.tbl[[#This Row],[Sulf]]&gt;0.5,vp.tbl[[#This Row],[Unknown]]=0),1,0)</f>
        <v>0</v>
      </c>
      <c r="AC193">
        <f>IF(AND(vp.tbl[[#This Row],[CrudeType]]="Crude",vp.tbl[[#This Row],[Dens]]&gt;825,vp.tbl[[#This Row],[Dens]]&lt;=900,vp.tbl[[#This Row],[Sulf]]&lt;=0.5,vp.tbl[[#This Row],[Unknown]]=0),1,0)</f>
        <v>0</v>
      </c>
      <c r="AD193">
        <f>IF(AND(vp.tbl[[#This Row],[CrudeType]]="Crude",vp.tbl[[#This Row],[Dens]]&gt;870,vp.tbl[[#This Row],[Dens]]&lt;=900,vp.tbl[[#This Row],[Sulf]]&gt;0.5,vp.tbl[[#This Row],[Unknown]]=0),1,0)</f>
        <v>1</v>
      </c>
      <c r="AE193">
        <f>IF(AND(vp.tbl[[#This Row],[CrudeType]]="Crude",vp.tbl[[#This Row],[Dens]]&gt;900,vp.tbl[[#This Row],[Sulf]]&lt;=0.5,vp.tbl[[#This Row],[Unknown]]=0),1,0)</f>
        <v>0</v>
      </c>
      <c r="AF193">
        <f>IF(AND(vp.tbl[[#This Row],[CrudeType]]="Crude",vp.tbl[[#This Row],[Dens]]&gt;900,vp.tbl[[#This Row],[Sulf]]&lt;=0.5,vp.tbl[[#This Row],[Unknown]]=0),1,0)</f>
        <v>0</v>
      </c>
      <c r="AG193" t="str">
        <f>INDEX(vp.tbl[[#Headers],[Unknown]:[Heavy_SW]],MATCH(1,vp.tbl[[#This Row],[Unknown]:[Heavy_SW]],0))</f>
        <v>Midale</v>
      </c>
      <c r="AH193" t="e">
        <f>INDEX([1]!crudeBD.lkup[Number],MATCH(vp.tbl[[#This Row],[Crude_Breakdown]],[1]!crudeBD.lkup[Crude Breakdown],0))</f>
        <v>#REF!</v>
      </c>
      <c r="AI193">
        <f>MONTH(vp.tbl[[#This Row],[SDate]])</f>
        <v>5</v>
      </c>
      <c r="AJ193" s="5">
        <f>IFERROR(vp.tbl[[#This Row],[Sulf]]*vp.tbl[[#This Row],[Net Dens]],"")</f>
        <v>246277612.91164201</v>
      </c>
      <c r="AK193" s="5">
        <f>IFERROR(vp.tbl[[#This Row],[Dens]]*vp.tbl[[#This Row],[VolumeM3]],"")</f>
        <v>102189880.87620001</v>
      </c>
      <c r="AL193" s="5">
        <f>IFERROR(vp.tbl[[#This Row],[VP]]*vp.tbl[[#This Row],[VolumeM3]],"")</f>
        <v>7200751.1576000005</v>
      </c>
      <c r="AM193" s="4">
        <f>IFERROR((vp.tbl[[#This Row],[VP]]-INDEX(crudeBD.lkup.complete[Mean_VP],MATCH(vp.tbl[[#This Row],[Crude_Breakdown]],crudeBD.lkup.complete[Crude Breakdown],0)))^2,"")</f>
        <v>44.067772565209388</v>
      </c>
      <c r="AN193" s="4">
        <f>IFERROR((vp.tbl[[#This Row],[Dens]]-INDEX(crudeBD.lkup.complete[Mean_Dens],MATCH(vp.tbl[[#This Row],[Crude_Breakdown]],crudeBD.lkup.complete[Crude Breakdown],0)))^2,"")</f>
        <v>11.236271345465859</v>
      </c>
      <c r="AO193" s="4">
        <f>IFERROR((vp.tbl[[#This Row],[Sulf]]-INDEX(crudeBD.lkup.complete[Mean_Sulf],MATCH(vp.tbl[[#This Row],[Crude_Breakdown]],crudeBD.lkup.complete[Crude Breakdown],0)))^2,"")</f>
        <v>2.8517063032449047E-5</v>
      </c>
      <c r="AP193">
        <f>IF(AND(vp.tbl[[#This Row],[SDate]]&gt;=DATE(YEAR(vp.tbl[[#This Row],[SDate]]),5,1),vp.tbl[[#This Row],[SDate]]&lt;=DATE(YEAR(vp.tbl[[#This Row],[SDate]]),9,15)),1,0)</f>
        <v>1</v>
      </c>
      <c r="AQ193" s="15">
        <f>IF(vp.tbl[[#This Row],[SDate]]&lt;DATE(2016,12,1),0,1)</f>
        <v>0</v>
      </c>
    </row>
    <row r="194" spans="1:43" x14ac:dyDescent="0.25">
      <c r="A194">
        <v>193</v>
      </c>
      <c r="B194" t="s">
        <v>49</v>
      </c>
      <c r="C194" t="s">
        <v>49</v>
      </c>
      <c r="D194" t="s">
        <v>86</v>
      </c>
      <c r="F194" s="1">
        <v>42508</v>
      </c>
      <c r="G194" s="2">
        <v>117.5</v>
      </c>
      <c r="H194" s="2"/>
      <c r="I194" s="2">
        <v>2.8</v>
      </c>
      <c r="J194" s="2"/>
      <c r="K194" s="2"/>
      <c r="L194" s="2">
        <v>888.3</v>
      </c>
      <c r="M194" s="2">
        <v>888.3</v>
      </c>
      <c r="N194" s="2">
        <f ca="1">INDEX(INDIRECT(_xlfn.CONCAT("weather.tbl[",N$1,"]")),MATCH(vp.tbl[[#This Row],[SDate]],weather.tbl[Date],0))</f>
        <v>16.916666666666668</v>
      </c>
      <c r="O194" s="2">
        <f ca="1">INDEX(INDIRECT(_xlfn.CONCAT("weather.tbl[",O$1,"]")),MATCH(vp.tbl[[#This Row],[SDate]],weather.tbl[Date],0))</f>
        <v>9.8619047619047624</v>
      </c>
      <c r="P194" s="2">
        <f ca="1">INDEX(INDIRECT(_xlfn.CONCAT("weather.tbl[",P$1,"]")),MATCH(vp.tbl[[#This Row],[SDate]],weather.tbl[Date],0))</f>
        <v>17.7</v>
      </c>
      <c r="Q194" s="2">
        <f ca="1">INDEX(INDIRECT(_xlfn.CONCAT("weather.tbl[",Q$1,"]")),MATCH(vp.tbl[[#This Row],[SDate]],weather.tbl[Date],0))</f>
        <v>17.5</v>
      </c>
      <c r="R194" s="2">
        <f ca="1">INDEX(INDIRECT(_xlfn.CONCAT("weather.tbl[",R$1,"]")),MATCH(vp.tbl[[#This Row],[SDate]],weather.tbl[Date],0))</f>
        <v>15.5</v>
      </c>
      <c r="S194" s="2">
        <f ca="1">INDEX(INDIRECT(_xlfn.CONCAT("weather.tbl[",S$1,"]")),MATCH(vp.tbl[[#This Row],[SDate]],weather.tbl[Date],0))</f>
        <v>17.5</v>
      </c>
      <c r="T194" s="2">
        <f ca="1">INDEX(INDIRECT(_xlfn.CONCAT("weather.tbl[",T$1,"]")),MATCH(vp.tbl[[#This Row],[SDate]],weather.tbl[Date],0))</f>
        <v>16.3</v>
      </c>
      <c r="U194" s="2">
        <f ca="1">INDEX(INDIRECT(_xlfn.CONCAT("weather.tbl[",U$1,"]")),MATCH(vp.tbl[[#This Row],[SDate]],weather.tbl[Date],0))</f>
        <v>17</v>
      </c>
      <c r="V194" s="2">
        <v>4411.6440000000002</v>
      </c>
      <c r="W194" t="s">
        <v>48</v>
      </c>
      <c r="X194">
        <f>IF(OR(vp.tbl[[#This Row],[Sulf]]="",vp.tbl[[#This Row],[Dens]]=""),1,0)</f>
        <v>0</v>
      </c>
      <c r="Y194">
        <f>IF(vp.tbl[[#This Row],[CrudeType]]="C5+",1,0)</f>
        <v>0</v>
      </c>
      <c r="Z194">
        <f>IF(AND(vp.tbl[[#This Row],[CrudeType]]="Crude",vp.tbl[[#This Row],[Dens]]&lt;=825,vp.tbl[[#This Row],[Sulf]]&gt;0.5,vp.tbl[[#This Row],[Unknown]]=0),1,0)</f>
        <v>0</v>
      </c>
      <c r="AA194">
        <f>IF(AND(vp.tbl[[#This Row],[CrudeType]]="Crude",vp.tbl[[#This Row],[Dens]]&lt;=825,vp.tbl[[#This Row],[Sulf]]&lt;=0.5,vp.tbl[[#This Row],[Unknown]]=0),1,0)</f>
        <v>0</v>
      </c>
      <c r="AB194">
        <f>IF(AND(vp.tbl[[#This Row],[CrudeType]]="Crude",vp.tbl[[#This Row],[Dens]]&gt;825,vp.tbl[[#This Row],[Dens]]&lt;=870,vp.tbl[[#This Row],[Sulf]]&gt;0.5,vp.tbl[[#This Row],[Unknown]]=0),1,0)</f>
        <v>0</v>
      </c>
      <c r="AC194">
        <f>IF(AND(vp.tbl[[#This Row],[CrudeType]]="Crude",vp.tbl[[#This Row],[Dens]]&gt;825,vp.tbl[[#This Row],[Dens]]&lt;=900,vp.tbl[[#This Row],[Sulf]]&lt;=0.5,vp.tbl[[#This Row],[Unknown]]=0),1,0)</f>
        <v>0</v>
      </c>
      <c r="AD194">
        <f>IF(AND(vp.tbl[[#This Row],[CrudeType]]="Crude",vp.tbl[[#This Row],[Dens]]&gt;870,vp.tbl[[#This Row],[Dens]]&lt;=900,vp.tbl[[#This Row],[Sulf]]&gt;0.5,vp.tbl[[#This Row],[Unknown]]=0),1,0)</f>
        <v>1</v>
      </c>
      <c r="AE194">
        <f>IF(AND(vp.tbl[[#This Row],[CrudeType]]="Crude",vp.tbl[[#This Row],[Dens]]&gt;900,vp.tbl[[#This Row],[Sulf]]&lt;=0.5,vp.tbl[[#This Row],[Unknown]]=0),1,0)</f>
        <v>0</v>
      </c>
      <c r="AF194">
        <f>IF(AND(vp.tbl[[#This Row],[CrudeType]]="Crude",vp.tbl[[#This Row],[Dens]]&gt;900,vp.tbl[[#This Row],[Sulf]]&lt;=0.5,vp.tbl[[#This Row],[Unknown]]=0),1,0)</f>
        <v>0</v>
      </c>
      <c r="AG194" t="str">
        <f>INDEX(vp.tbl[[#Headers],[Unknown]:[Heavy_SW]],MATCH(1,vp.tbl[[#This Row],[Unknown]:[Heavy_SW]],0))</f>
        <v>Midale</v>
      </c>
      <c r="AH194" t="e">
        <f>INDEX([1]!crudeBD.lkup[Number],MATCH(vp.tbl[[#This Row],[Crude_Breakdown]],[1]!crudeBD.lkup[Crude Breakdown],0))</f>
        <v>#REF!</v>
      </c>
      <c r="AI194">
        <f>MONTH(vp.tbl[[#This Row],[SDate]])</f>
        <v>5</v>
      </c>
      <c r="AJ194" s="5">
        <f>IFERROR(vp.tbl[[#This Row],[Sulf]]*vp.tbl[[#This Row],[Net Dens]],"")</f>
        <v>10972817.422559999</v>
      </c>
      <c r="AK194" s="5">
        <f>IFERROR(vp.tbl[[#This Row],[Dens]]*vp.tbl[[#This Row],[VolumeM3]],"")</f>
        <v>3918863.3651999999</v>
      </c>
      <c r="AL194" s="5">
        <f>IFERROR(vp.tbl[[#This Row],[VP]]*vp.tbl[[#This Row],[VolumeM3]],"")</f>
        <v>518368.17000000004</v>
      </c>
      <c r="AM194" s="4">
        <f>IFERROR((vp.tbl[[#This Row],[VP]]-INDEX(crudeBD.lkup.complete[Mean_VP],MATCH(vp.tbl[[#This Row],[Crude_Breakdown]],crudeBD.lkup.complete[Crude Breakdown],0)))^2,"")</f>
        <v>2426.7095533871257</v>
      </c>
      <c r="AN194" s="4">
        <f>IFERROR((vp.tbl[[#This Row],[Dens]]-INDEX(crudeBD.lkup.complete[Mean_Dens],MATCH(vp.tbl[[#This Row],[Crude_Breakdown]],crudeBD.lkup.complete[Crude Breakdown],0)))^2,"")</f>
        <v>115.51832613999427</v>
      </c>
      <c r="AO194" s="4">
        <f>IFERROR((vp.tbl[[#This Row],[Sulf]]-INDEX(crudeBD.lkup.complete[Mean_Sulf],MATCH(vp.tbl[[#This Row],[Crude_Breakdown]],crudeBD.lkup.complete[Crude Breakdown],0)))^2,"")</f>
        <v>0.14796321021371822</v>
      </c>
      <c r="AP194">
        <f>IF(AND(vp.tbl[[#This Row],[SDate]]&gt;=DATE(YEAR(vp.tbl[[#This Row],[SDate]]),5,1),vp.tbl[[#This Row],[SDate]]&lt;=DATE(YEAR(vp.tbl[[#This Row],[SDate]]),9,15)),1,0)</f>
        <v>1</v>
      </c>
      <c r="AQ194" s="15">
        <f>IF(vp.tbl[[#This Row],[SDate]]&lt;DATE(2016,12,1),0,1)</f>
        <v>0</v>
      </c>
    </row>
    <row r="195" spans="1:43" x14ac:dyDescent="0.25">
      <c r="A195">
        <v>194</v>
      </c>
      <c r="B195" t="s">
        <v>51</v>
      </c>
      <c r="C195" t="s">
        <v>51</v>
      </c>
      <c r="D195" t="s">
        <v>71</v>
      </c>
      <c r="F195" s="1">
        <v>42509</v>
      </c>
      <c r="G195" s="2">
        <v>91.8</v>
      </c>
      <c r="H195" s="2"/>
      <c r="I195" s="2">
        <v>1.38</v>
      </c>
      <c r="J195" s="2"/>
      <c r="K195" s="2"/>
      <c r="L195" s="2">
        <v>823</v>
      </c>
      <c r="M195" s="2">
        <v>823</v>
      </c>
      <c r="N195" s="2">
        <f ca="1">INDEX(INDIRECT(_xlfn.CONCAT("weather.tbl[",N$1,"]")),MATCH(vp.tbl[[#This Row],[SDate]],weather.tbl[Date],0))</f>
        <v>18.149999999999999</v>
      </c>
      <c r="O195" s="2">
        <f ca="1">INDEX(INDIRECT(_xlfn.CONCAT("weather.tbl[",O$1,"]")),MATCH(vp.tbl[[#This Row],[SDate]],weather.tbl[Date],0))</f>
        <v>12</v>
      </c>
      <c r="P195" s="2">
        <f ca="1">INDEX(INDIRECT(_xlfn.CONCAT("weather.tbl[",P$1,"]")),MATCH(vp.tbl[[#This Row],[SDate]],weather.tbl[Date],0))</f>
        <v>17.2</v>
      </c>
      <c r="Q195" s="2">
        <f ca="1">INDEX(INDIRECT(_xlfn.CONCAT("weather.tbl[",Q$1,"]")),MATCH(vp.tbl[[#This Row],[SDate]],weather.tbl[Date],0))</f>
        <v>18.399999999999999</v>
      </c>
      <c r="R195" s="2">
        <f ca="1">INDEX(INDIRECT(_xlfn.CONCAT("weather.tbl[",R$1,"]")),MATCH(vp.tbl[[#This Row],[SDate]],weather.tbl[Date],0))</f>
        <v>16.5</v>
      </c>
      <c r="S195" s="2">
        <f ca="1">INDEX(INDIRECT(_xlfn.CONCAT("weather.tbl[",S$1,"]")),MATCH(vp.tbl[[#This Row],[SDate]],weather.tbl[Date],0))</f>
        <v>19.5</v>
      </c>
      <c r="T195" s="2">
        <f ca="1">INDEX(INDIRECT(_xlfn.CONCAT("weather.tbl[",T$1,"]")),MATCH(vp.tbl[[#This Row],[SDate]],weather.tbl[Date],0))</f>
        <v>19.5</v>
      </c>
      <c r="U195" s="2">
        <f ca="1">INDEX(INDIRECT(_xlfn.CONCAT("weather.tbl[",U$1,"]")),MATCH(vp.tbl[[#This Row],[SDate]],weather.tbl[Date],0))</f>
        <v>17.8</v>
      </c>
      <c r="V195" s="2">
        <v>5132.7520000000004</v>
      </c>
      <c r="W195" t="s">
        <v>48</v>
      </c>
      <c r="X195">
        <f>IF(OR(vp.tbl[[#This Row],[Sulf]]="",vp.tbl[[#This Row],[Dens]]=""),1,0)</f>
        <v>0</v>
      </c>
      <c r="Y195">
        <f>IF(vp.tbl[[#This Row],[CrudeType]]="C5+",1,0)</f>
        <v>0</v>
      </c>
      <c r="Z195">
        <f>IF(AND(vp.tbl[[#This Row],[CrudeType]]="Crude",vp.tbl[[#This Row],[Dens]]&lt;=825,vp.tbl[[#This Row],[Sulf]]&gt;0.5,vp.tbl[[#This Row],[Unknown]]=0),1,0)</f>
        <v>1</v>
      </c>
      <c r="AA195">
        <f>IF(AND(vp.tbl[[#This Row],[CrudeType]]="Crude",vp.tbl[[#This Row],[Dens]]&lt;=825,vp.tbl[[#This Row],[Sulf]]&lt;=0.5,vp.tbl[[#This Row],[Unknown]]=0),1,0)</f>
        <v>0</v>
      </c>
      <c r="AB195">
        <f>IF(AND(vp.tbl[[#This Row],[CrudeType]]="Crude",vp.tbl[[#This Row],[Dens]]&gt;825,vp.tbl[[#This Row],[Dens]]&lt;=870,vp.tbl[[#This Row],[Sulf]]&gt;0.5,vp.tbl[[#This Row],[Unknown]]=0),1,0)</f>
        <v>0</v>
      </c>
      <c r="AC195">
        <f>IF(AND(vp.tbl[[#This Row],[CrudeType]]="Crude",vp.tbl[[#This Row],[Dens]]&gt;825,vp.tbl[[#This Row],[Dens]]&lt;=900,vp.tbl[[#This Row],[Sulf]]&lt;=0.5,vp.tbl[[#This Row],[Unknown]]=0),1,0)</f>
        <v>0</v>
      </c>
      <c r="AD195">
        <f>IF(AND(vp.tbl[[#This Row],[CrudeType]]="Crude",vp.tbl[[#This Row],[Dens]]&gt;870,vp.tbl[[#This Row],[Dens]]&lt;=900,vp.tbl[[#This Row],[Sulf]]&gt;0.5,vp.tbl[[#This Row],[Unknown]]=0),1,0)</f>
        <v>0</v>
      </c>
      <c r="AE195">
        <f>IF(AND(vp.tbl[[#This Row],[CrudeType]]="Crude",vp.tbl[[#This Row],[Dens]]&gt;900,vp.tbl[[#This Row],[Sulf]]&lt;=0.5,vp.tbl[[#This Row],[Unknown]]=0),1,0)</f>
        <v>0</v>
      </c>
      <c r="AF195">
        <f>IF(AND(vp.tbl[[#This Row],[CrudeType]]="Crude",vp.tbl[[#This Row],[Dens]]&gt;900,vp.tbl[[#This Row],[Sulf]]&lt;=0.5,vp.tbl[[#This Row],[Unknown]]=0),1,0)</f>
        <v>0</v>
      </c>
      <c r="AG195" t="str">
        <f>INDEX(vp.tbl[[#Headers],[Unknown]:[Heavy_SW]],MATCH(1,vp.tbl[[#This Row],[Unknown]:[Heavy_SW]],0))</f>
        <v>Light_LSB</v>
      </c>
      <c r="AH195" t="e">
        <f>INDEX([1]!crudeBD.lkup[Number],MATCH(vp.tbl[[#This Row],[Crude_Breakdown]],[1]!crudeBD.lkup[Crude Breakdown],0))</f>
        <v>#REF!</v>
      </c>
      <c r="AI195">
        <f>MONTH(vp.tbl[[#This Row],[SDate]])</f>
        <v>5</v>
      </c>
      <c r="AJ195" s="5">
        <f>IFERROR(vp.tbl[[#This Row],[Sulf]]*vp.tbl[[#This Row],[Net Dens]],"")</f>
        <v>5829471.75648</v>
      </c>
      <c r="AK195" s="5">
        <f>IFERROR(vp.tbl[[#This Row],[Dens]]*vp.tbl[[#This Row],[VolumeM3]],"")</f>
        <v>4224254.8960000006</v>
      </c>
      <c r="AL195" s="5">
        <f>IFERROR(vp.tbl[[#This Row],[VP]]*vp.tbl[[#This Row],[VolumeM3]],"")</f>
        <v>471186.6336</v>
      </c>
      <c r="AM195" s="4">
        <f>IFERROR((vp.tbl[[#This Row],[VP]]-INDEX(crudeBD.lkup.complete[Mean_VP],MATCH(vp.tbl[[#This Row],[Crude_Breakdown]],crudeBD.lkup.complete[Crude Breakdown],0)))^2,"")</f>
        <v>6.4421766393860977E-2</v>
      </c>
      <c r="AN195" s="4">
        <f>IFERROR((vp.tbl[[#This Row],[Dens]]-INDEX(crudeBD.lkup.complete[Mean_Dens],MATCH(vp.tbl[[#This Row],[Crude_Breakdown]],crudeBD.lkup.complete[Crude Breakdown],0)))^2,"")</f>
        <v>20.099353389783285</v>
      </c>
      <c r="AO195" s="4">
        <f>IFERROR((vp.tbl[[#This Row],[Sulf]]-INDEX(crudeBD.lkup.complete[Mean_Sulf],MATCH(vp.tbl[[#This Row],[Crude_Breakdown]],crudeBD.lkup.complete[Crude Breakdown],0)))^2,"")</f>
        <v>0.20887535292748211</v>
      </c>
      <c r="AP195">
        <f>IF(AND(vp.tbl[[#This Row],[SDate]]&gt;=DATE(YEAR(vp.tbl[[#This Row],[SDate]]),5,1),vp.tbl[[#This Row],[SDate]]&lt;=DATE(YEAR(vp.tbl[[#This Row],[SDate]]),9,15)),1,0)</f>
        <v>1</v>
      </c>
      <c r="AQ195" s="15">
        <f>IF(vp.tbl[[#This Row],[SDate]]&lt;DATE(2016,12,1),0,1)</f>
        <v>0</v>
      </c>
    </row>
    <row r="196" spans="1:43" x14ac:dyDescent="0.25">
      <c r="A196">
        <v>195</v>
      </c>
      <c r="B196" t="s">
        <v>51</v>
      </c>
      <c r="C196" t="s">
        <v>51</v>
      </c>
      <c r="D196" t="s">
        <v>66</v>
      </c>
      <c r="F196" s="1">
        <v>42509</v>
      </c>
      <c r="G196" s="2">
        <v>99.9</v>
      </c>
      <c r="H196" s="2"/>
      <c r="I196" s="2">
        <v>0.9</v>
      </c>
      <c r="J196" s="2"/>
      <c r="K196" s="2"/>
      <c r="L196" s="2">
        <v>825.6</v>
      </c>
      <c r="M196" s="2">
        <v>825.6</v>
      </c>
      <c r="N196" s="2">
        <f ca="1">INDEX(INDIRECT(_xlfn.CONCAT("weather.tbl[",N$1,"]")),MATCH(vp.tbl[[#This Row],[SDate]],weather.tbl[Date],0))</f>
        <v>18.149999999999999</v>
      </c>
      <c r="O196" s="2">
        <f ca="1">INDEX(INDIRECT(_xlfn.CONCAT("weather.tbl[",O$1,"]")),MATCH(vp.tbl[[#This Row],[SDate]],weather.tbl[Date],0))</f>
        <v>12</v>
      </c>
      <c r="P196" s="2">
        <f ca="1">INDEX(INDIRECT(_xlfn.CONCAT("weather.tbl[",P$1,"]")),MATCH(vp.tbl[[#This Row],[SDate]],weather.tbl[Date],0))</f>
        <v>17.2</v>
      </c>
      <c r="Q196" s="2">
        <f ca="1">INDEX(INDIRECT(_xlfn.CONCAT("weather.tbl[",Q$1,"]")),MATCH(vp.tbl[[#This Row],[SDate]],weather.tbl[Date],0))</f>
        <v>18.399999999999999</v>
      </c>
      <c r="R196" s="2">
        <f ca="1">INDEX(INDIRECT(_xlfn.CONCAT("weather.tbl[",R$1,"]")),MATCH(vp.tbl[[#This Row],[SDate]],weather.tbl[Date],0))</f>
        <v>16.5</v>
      </c>
      <c r="S196" s="2">
        <f ca="1">INDEX(INDIRECT(_xlfn.CONCAT("weather.tbl[",S$1,"]")),MATCH(vp.tbl[[#This Row],[SDate]],weather.tbl[Date],0))</f>
        <v>19.5</v>
      </c>
      <c r="T196" s="2">
        <f ca="1">INDEX(INDIRECT(_xlfn.CONCAT("weather.tbl[",T$1,"]")),MATCH(vp.tbl[[#This Row],[SDate]],weather.tbl[Date],0))</f>
        <v>19.5</v>
      </c>
      <c r="U196" s="2">
        <f ca="1">INDEX(INDIRECT(_xlfn.CONCAT("weather.tbl[",U$1,"]")),MATCH(vp.tbl[[#This Row],[SDate]],weather.tbl[Date],0))</f>
        <v>17.8</v>
      </c>
      <c r="V196" s="2">
        <v>3966.6509999999998</v>
      </c>
      <c r="W196" t="s">
        <v>48</v>
      </c>
      <c r="X196">
        <f>IF(OR(vp.tbl[[#This Row],[Sulf]]="",vp.tbl[[#This Row],[Dens]]=""),1,0)</f>
        <v>0</v>
      </c>
      <c r="Y196">
        <f>IF(vp.tbl[[#This Row],[CrudeType]]="C5+",1,0)</f>
        <v>0</v>
      </c>
      <c r="Z196">
        <f>IF(AND(vp.tbl[[#This Row],[CrudeType]]="Crude",vp.tbl[[#This Row],[Dens]]&lt;=825,vp.tbl[[#This Row],[Sulf]]&gt;0.5,vp.tbl[[#This Row],[Unknown]]=0),1,0)</f>
        <v>0</v>
      </c>
      <c r="AA196">
        <f>IF(AND(vp.tbl[[#This Row],[CrudeType]]="Crude",vp.tbl[[#This Row],[Dens]]&lt;=825,vp.tbl[[#This Row],[Sulf]]&lt;=0.5,vp.tbl[[#This Row],[Unknown]]=0),1,0)</f>
        <v>0</v>
      </c>
      <c r="AB196">
        <f>IF(AND(vp.tbl[[#This Row],[CrudeType]]="Crude",vp.tbl[[#This Row],[Dens]]&gt;825,vp.tbl[[#This Row],[Dens]]&lt;=870,vp.tbl[[#This Row],[Sulf]]&gt;0.5,vp.tbl[[#This Row],[Unknown]]=0),1,0)</f>
        <v>1</v>
      </c>
      <c r="AC196">
        <f>IF(AND(vp.tbl[[#This Row],[CrudeType]]="Crude",vp.tbl[[#This Row],[Dens]]&gt;825,vp.tbl[[#This Row],[Dens]]&lt;=900,vp.tbl[[#This Row],[Sulf]]&lt;=0.5,vp.tbl[[#This Row],[Unknown]]=0),1,0)</f>
        <v>0</v>
      </c>
      <c r="AD196">
        <f>IF(AND(vp.tbl[[#This Row],[CrudeType]]="Crude",vp.tbl[[#This Row],[Dens]]&gt;870,vp.tbl[[#This Row],[Dens]]&lt;=900,vp.tbl[[#This Row],[Sulf]]&gt;0.5,vp.tbl[[#This Row],[Unknown]]=0),1,0)</f>
        <v>0</v>
      </c>
      <c r="AE196">
        <f>IF(AND(vp.tbl[[#This Row],[CrudeType]]="Crude",vp.tbl[[#This Row],[Dens]]&gt;900,vp.tbl[[#This Row],[Sulf]]&lt;=0.5,vp.tbl[[#This Row],[Unknown]]=0),1,0)</f>
        <v>0</v>
      </c>
      <c r="AF196">
        <f>IF(AND(vp.tbl[[#This Row],[CrudeType]]="Crude",vp.tbl[[#This Row],[Dens]]&gt;900,vp.tbl[[#This Row],[Sulf]]&lt;=0.5,vp.tbl[[#This Row],[Unknown]]=0),1,0)</f>
        <v>0</v>
      </c>
      <c r="AG196" t="str">
        <f>INDEX(vp.tbl[[#Headers],[Unknown]:[Heavy_SW]],MATCH(1,vp.tbl[[#This Row],[Unknown]:[Heavy_SW]],0))</f>
        <v>Medium_LSB</v>
      </c>
      <c r="AH196" t="e">
        <f>INDEX([1]!crudeBD.lkup[Number],MATCH(vp.tbl[[#This Row],[Crude_Breakdown]],[1]!crudeBD.lkup[Crude Breakdown],0))</f>
        <v>#REF!</v>
      </c>
      <c r="AI196">
        <f>MONTH(vp.tbl[[#This Row],[SDate]])</f>
        <v>5</v>
      </c>
      <c r="AJ196" s="5">
        <f>IFERROR(vp.tbl[[#This Row],[Sulf]]*vp.tbl[[#This Row],[Net Dens]],"")</f>
        <v>2947380.35904</v>
      </c>
      <c r="AK196" s="5">
        <f>IFERROR(vp.tbl[[#This Row],[Dens]]*vp.tbl[[#This Row],[VolumeM3]],"")</f>
        <v>3274867.0655999999</v>
      </c>
      <c r="AL196" s="5">
        <f>IFERROR(vp.tbl[[#This Row],[VP]]*vp.tbl[[#This Row],[VolumeM3]],"")</f>
        <v>396268.43489999999</v>
      </c>
      <c r="AM196" s="4">
        <f>IFERROR((vp.tbl[[#This Row],[VP]]-INDEX(crudeBD.lkup.complete[Mean_VP],MATCH(vp.tbl[[#This Row],[Crude_Breakdown]],crudeBD.lkup.complete[Crude Breakdown],0)))^2,"")</f>
        <v>389.13105672103995</v>
      </c>
      <c r="AN196" s="4">
        <f>IFERROR((vp.tbl[[#This Row],[Dens]]-INDEX(crudeBD.lkup.complete[Mean_Dens],MATCH(vp.tbl[[#This Row],[Crude_Breakdown]],crudeBD.lkup.complete[Crude Breakdown],0)))^2,"")</f>
        <v>387.76788458832755</v>
      </c>
      <c r="AO196" s="4">
        <f>IFERROR((vp.tbl[[#This Row],[Sulf]]-INDEX(crudeBD.lkup.complete[Mean_Sulf],MATCH(vp.tbl[[#This Row],[Crude_Breakdown]],crudeBD.lkup.complete[Crude Breakdown],0)))^2,"")</f>
        <v>0.30794715036255266</v>
      </c>
      <c r="AP196">
        <f>IF(AND(vp.tbl[[#This Row],[SDate]]&gt;=DATE(YEAR(vp.tbl[[#This Row],[SDate]]),5,1),vp.tbl[[#This Row],[SDate]]&lt;=DATE(YEAR(vp.tbl[[#This Row],[SDate]]),9,15)),1,0)</f>
        <v>1</v>
      </c>
      <c r="AQ196" s="15">
        <f>IF(vp.tbl[[#This Row],[SDate]]&lt;DATE(2016,12,1),0,1)</f>
        <v>0</v>
      </c>
    </row>
    <row r="197" spans="1:43" x14ac:dyDescent="0.25">
      <c r="A197">
        <v>196</v>
      </c>
      <c r="B197" t="s">
        <v>51</v>
      </c>
      <c r="C197" t="s">
        <v>51</v>
      </c>
      <c r="D197" t="s">
        <v>72</v>
      </c>
      <c r="F197" s="1">
        <v>42510</v>
      </c>
      <c r="G197" s="2">
        <v>107.7</v>
      </c>
      <c r="H197" s="2"/>
      <c r="I197" s="2">
        <v>1.08</v>
      </c>
      <c r="J197" s="2"/>
      <c r="K197" s="2"/>
      <c r="L197" s="2">
        <v>848.1</v>
      </c>
      <c r="M197" s="2">
        <v>848.1</v>
      </c>
      <c r="N197" s="2">
        <f ca="1">INDEX(INDIRECT(_xlfn.CONCAT("weather.tbl[",N$1,"]")),MATCH(vp.tbl[[#This Row],[SDate]],weather.tbl[Date],0))</f>
        <v>18.416666666666668</v>
      </c>
      <c r="O197" s="2">
        <f ca="1">INDEX(INDIRECT(_xlfn.CONCAT("weather.tbl[",O$1,"]")),MATCH(vp.tbl[[#This Row],[SDate]],weather.tbl[Date],0))</f>
        <v>13.947619047619048</v>
      </c>
      <c r="P197" s="2">
        <f ca="1">INDEX(INDIRECT(_xlfn.CONCAT("weather.tbl[",P$1,"]")),MATCH(vp.tbl[[#This Row],[SDate]],weather.tbl[Date],0))</f>
        <v>18.2</v>
      </c>
      <c r="Q197" s="2">
        <f ca="1">INDEX(INDIRECT(_xlfn.CONCAT("weather.tbl[",Q$1,"]")),MATCH(vp.tbl[[#This Row],[SDate]],weather.tbl[Date],0))</f>
        <v>18.899999999999999</v>
      </c>
      <c r="R197" s="2">
        <f ca="1">INDEX(INDIRECT(_xlfn.CONCAT("weather.tbl[",R$1,"]")),MATCH(vp.tbl[[#This Row],[SDate]],weather.tbl[Date],0))</f>
        <v>18.3</v>
      </c>
      <c r="S197" s="2">
        <f ca="1">INDEX(INDIRECT(_xlfn.CONCAT("weather.tbl[",S$1,"]")),MATCH(vp.tbl[[#This Row],[SDate]],weather.tbl[Date],0))</f>
        <v>18.5</v>
      </c>
      <c r="T197" s="2">
        <f ca="1">INDEX(INDIRECT(_xlfn.CONCAT("weather.tbl[",T$1,"]")),MATCH(vp.tbl[[#This Row],[SDate]],weather.tbl[Date],0))</f>
        <v>19.100000000000001</v>
      </c>
      <c r="U197" s="2">
        <f ca="1">INDEX(INDIRECT(_xlfn.CONCAT("weather.tbl[",U$1,"]")),MATCH(vp.tbl[[#This Row],[SDate]],weather.tbl[Date],0))</f>
        <v>17.5</v>
      </c>
      <c r="V197" s="2">
        <v>3736.6970000000001</v>
      </c>
      <c r="W197" t="s">
        <v>48</v>
      </c>
      <c r="X197">
        <f>IF(OR(vp.tbl[[#This Row],[Sulf]]="",vp.tbl[[#This Row],[Dens]]=""),1,0)</f>
        <v>0</v>
      </c>
      <c r="Y197">
        <f>IF(vp.tbl[[#This Row],[CrudeType]]="C5+",1,0)</f>
        <v>0</v>
      </c>
      <c r="Z197">
        <f>IF(AND(vp.tbl[[#This Row],[CrudeType]]="Crude",vp.tbl[[#This Row],[Dens]]&lt;=825,vp.tbl[[#This Row],[Sulf]]&gt;0.5,vp.tbl[[#This Row],[Unknown]]=0),1,0)</f>
        <v>0</v>
      </c>
      <c r="AA197">
        <f>IF(AND(vp.tbl[[#This Row],[CrudeType]]="Crude",vp.tbl[[#This Row],[Dens]]&lt;=825,vp.tbl[[#This Row],[Sulf]]&lt;=0.5,vp.tbl[[#This Row],[Unknown]]=0),1,0)</f>
        <v>0</v>
      </c>
      <c r="AB197">
        <f>IF(AND(vp.tbl[[#This Row],[CrudeType]]="Crude",vp.tbl[[#This Row],[Dens]]&gt;825,vp.tbl[[#This Row],[Dens]]&lt;=870,vp.tbl[[#This Row],[Sulf]]&gt;0.5,vp.tbl[[#This Row],[Unknown]]=0),1,0)</f>
        <v>1</v>
      </c>
      <c r="AC197">
        <f>IF(AND(vp.tbl[[#This Row],[CrudeType]]="Crude",vp.tbl[[#This Row],[Dens]]&gt;825,vp.tbl[[#This Row],[Dens]]&lt;=900,vp.tbl[[#This Row],[Sulf]]&lt;=0.5,vp.tbl[[#This Row],[Unknown]]=0),1,0)</f>
        <v>0</v>
      </c>
      <c r="AD197">
        <f>IF(AND(vp.tbl[[#This Row],[CrudeType]]="Crude",vp.tbl[[#This Row],[Dens]]&gt;870,vp.tbl[[#This Row],[Dens]]&lt;=900,vp.tbl[[#This Row],[Sulf]]&gt;0.5,vp.tbl[[#This Row],[Unknown]]=0),1,0)</f>
        <v>0</v>
      </c>
      <c r="AE197">
        <f>IF(AND(vp.tbl[[#This Row],[CrudeType]]="Crude",vp.tbl[[#This Row],[Dens]]&gt;900,vp.tbl[[#This Row],[Sulf]]&lt;=0.5,vp.tbl[[#This Row],[Unknown]]=0),1,0)</f>
        <v>0</v>
      </c>
      <c r="AF197">
        <f>IF(AND(vp.tbl[[#This Row],[CrudeType]]="Crude",vp.tbl[[#This Row],[Dens]]&gt;900,vp.tbl[[#This Row],[Sulf]]&lt;=0.5,vp.tbl[[#This Row],[Unknown]]=0),1,0)</f>
        <v>0</v>
      </c>
      <c r="AG197" t="str">
        <f>INDEX(vp.tbl[[#Headers],[Unknown]:[Heavy_SW]],MATCH(1,vp.tbl[[#This Row],[Unknown]:[Heavy_SW]],0))</f>
        <v>Medium_LSB</v>
      </c>
      <c r="AH197" t="e">
        <f>INDEX([1]!crudeBD.lkup[Number],MATCH(vp.tbl[[#This Row],[Crude_Breakdown]],[1]!crudeBD.lkup[Crude Breakdown],0))</f>
        <v>#REF!</v>
      </c>
      <c r="AI197">
        <f>MONTH(vp.tbl[[#This Row],[SDate]])</f>
        <v>5</v>
      </c>
      <c r="AJ197" s="5">
        <f>IFERROR(vp.tbl[[#This Row],[Sulf]]*vp.tbl[[#This Row],[Net Dens]],"")</f>
        <v>3422620.1437560003</v>
      </c>
      <c r="AK197" s="5">
        <f>IFERROR(vp.tbl[[#This Row],[Dens]]*vp.tbl[[#This Row],[VolumeM3]],"")</f>
        <v>3169092.7257000003</v>
      </c>
      <c r="AL197" s="5">
        <f>IFERROR(vp.tbl[[#This Row],[VP]]*vp.tbl[[#This Row],[VolumeM3]],"")</f>
        <v>402442.26690000005</v>
      </c>
      <c r="AM197" s="4">
        <f>IFERROR((vp.tbl[[#This Row],[VP]]-INDEX(crudeBD.lkup.complete[Mean_VP],MATCH(vp.tbl[[#This Row],[Crude_Breakdown]],crudeBD.lkup.complete[Crude Breakdown],0)))^2,"")</f>
        <v>757.70297570838227</v>
      </c>
      <c r="AN197" s="4">
        <f>IFERROR((vp.tbl[[#This Row],[Dens]]-INDEX(crudeBD.lkup.complete[Mean_Dens],MATCH(vp.tbl[[#This Row],[Crude_Breakdown]],crudeBD.lkup.complete[Crude Breakdown],0)))^2,"")</f>
        <v>7.8858592719172105</v>
      </c>
      <c r="AO197" s="4">
        <f>IFERROR((vp.tbl[[#This Row],[Sulf]]-INDEX(crudeBD.lkup.complete[Mean_Sulf],MATCH(vp.tbl[[#This Row],[Crude_Breakdown]],crudeBD.lkup.complete[Crude Breakdown],0)))^2,"")</f>
        <v>0.14057240048913436</v>
      </c>
      <c r="AP197">
        <f>IF(AND(vp.tbl[[#This Row],[SDate]]&gt;=DATE(YEAR(vp.tbl[[#This Row],[SDate]]),5,1),vp.tbl[[#This Row],[SDate]]&lt;=DATE(YEAR(vp.tbl[[#This Row],[SDate]]),9,15)),1,0)</f>
        <v>1</v>
      </c>
      <c r="AQ197" s="15">
        <f>IF(vp.tbl[[#This Row],[SDate]]&lt;DATE(2016,12,1),0,1)</f>
        <v>0</v>
      </c>
    </row>
    <row r="198" spans="1:43" x14ac:dyDescent="0.25">
      <c r="A198">
        <v>197</v>
      </c>
      <c r="B198" t="s">
        <v>49</v>
      </c>
      <c r="C198" t="s">
        <v>49</v>
      </c>
      <c r="D198" t="s">
        <v>59</v>
      </c>
      <c r="F198" s="1">
        <v>42510</v>
      </c>
      <c r="G198" s="2">
        <v>65.8</v>
      </c>
      <c r="H198" s="2"/>
      <c r="I198" s="2">
        <v>1.53</v>
      </c>
      <c r="J198" s="2"/>
      <c r="K198" s="2"/>
      <c r="L198" s="2">
        <v>849.2</v>
      </c>
      <c r="M198" s="2">
        <v>849.2</v>
      </c>
      <c r="N198" s="2">
        <f ca="1">INDEX(INDIRECT(_xlfn.CONCAT("weather.tbl[",N$1,"]")),MATCH(vp.tbl[[#This Row],[SDate]],weather.tbl[Date],0))</f>
        <v>18.416666666666668</v>
      </c>
      <c r="O198" s="2">
        <f ca="1">INDEX(INDIRECT(_xlfn.CONCAT("weather.tbl[",O$1,"]")),MATCH(vp.tbl[[#This Row],[SDate]],weather.tbl[Date],0))</f>
        <v>13.947619047619048</v>
      </c>
      <c r="P198" s="2">
        <f ca="1">INDEX(INDIRECT(_xlfn.CONCAT("weather.tbl[",P$1,"]")),MATCH(vp.tbl[[#This Row],[SDate]],weather.tbl[Date],0))</f>
        <v>18.2</v>
      </c>
      <c r="Q198" s="2">
        <f ca="1">INDEX(INDIRECT(_xlfn.CONCAT("weather.tbl[",Q$1,"]")),MATCH(vp.tbl[[#This Row],[SDate]],weather.tbl[Date],0))</f>
        <v>18.899999999999999</v>
      </c>
      <c r="R198" s="2">
        <f ca="1">INDEX(INDIRECT(_xlfn.CONCAT("weather.tbl[",R$1,"]")),MATCH(vp.tbl[[#This Row],[SDate]],weather.tbl[Date],0))</f>
        <v>18.3</v>
      </c>
      <c r="S198" s="2">
        <f ca="1">INDEX(INDIRECT(_xlfn.CONCAT("weather.tbl[",S$1,"]")),MATCH(vp.tbl[[#This Row],[SDate]],weather.tbl[Date],0))</f>
        <v>18.5</v>
      </c>
      <c r="T198" s="2">
        <f ca="1">INDEX(INDIRECT(_xlfn.CONCAT("weather.tbl[",T$1,"]")),MATCH(vp.tbl[[#This Row],[SDate]],weather.tbl[Date],0))</f>
        <v>19.100000000000001</v>
      </c>
      <c r="U198" s="2">
        <f ca="1">INDEX(INDIRECT(_xlfn.CONCAT("weather.tbl[",U$1,"]")),MATCH(vp.tbl[[#This Row],[SDate]],weather.tbl[Date],0))</f>
        <v>17.5</v>
      </c>
      <c r="V198" s="2">
        <v>1870.559</v>
      </c>
      <c r="W198" t="s">
        <v>48</v>
      </c>
      <c r="X198">
        <f>IF(OR(vp.tbl[[#This Row],[Sulf]]="",vp.tbl[[#This Row],[Dens]]=""),1,0)</f>
        <v>0</v>
      </c>
      <c r="Y198">
        <f>IF(vp.tbl[[#This Row],[CrudeType]]="C5+",1,0)</f>
        <v>0</v>
      </c>
      <c r="Z198">
        <f>IF(AND(vp.tbl[[#This Row],[CrudeType]]="Crude",vp.tbl[[#This Row],[Dens]]&lt;=825,vp.tbl[[#This Row],[Sulf]]&gt;0.5,vp.tbl[[#This Row],[Unknown]]=0),1,0)</f>
        <v>0</v>
      </c>
      <c r="AA198">
        <f>IF(AND(vp.tbl[[#This Row],[CrudeType]]="Crude",vp.tbl[[#This Row],[Dens]]&lt;=825,vp.tbl[[#This Row],[Sulf]]&lt;=0.5,vp.tbl[[#This Row],[Unknown]]=0),1,0)</f>
        <v>0</v>
      </c>
      <c r="AB198">
        <f>IF(AND(vp.tbl[[#This Row],[CrudeType]]="Crude",vp.tbl[[#This Row],[Dens]]&gt;825,vp.tbl[[#This Row],[Dens]]&lt;=870,vp.tbl[[#This Row],[Sulf]]&gt;0.5,vp.tbl[[#This Row],[Unknown]]=0),1,0)</f>
        <v>1</v>
      </c>
      <c r="AC198">
        <f>IF(AND(vp.tbl[[#This Row],[CrudeType]]="Crude",vp.tbl[[#This Row],[Dens]]&gt;825,vp.tbl[[#This Row],[Dens]]&lt;=900,vp.tbl[[#This Row],[Sulf]]&lt;=0.5,vp.tbl[[#This Row],[Unknown]]=0),1,0)</f>
        <v>0</v>
      </c>
      <c r="AD198">
        <f>IF(AND(vp.tbl[[#This Row],[CrudeType]]="Crude",vp.tbl[[#This Row],[Dens]]&gt;870,vp.tbl[[#This Row],[Dens]]&lt;=900,vp.tbl[[#This Row],[Sulf]]&gt;0.5,vp.tbl[[#This Row],[Unknown]]=0),1,0)</f>
        <v>0</v>
      </c>
      <c r="AE198">
        <f>IF(AND(vp.tbl[[#This Row],[CrudeType]]="Crude",vp.tbl[[#This Row],[Dens]]&gt;900,vp.tbl[[#This Row],[Sulf]]&lt;=0.5,vp.tbl[[#This Row],[Unknown]]=0),1,0)</f>
        <v>0</v>
      </c>
      <c r="AF198">
        <f>IF(AND(vp.tbl[[#This Row],[CrudeType]]="Crude",vp.tbl[[#This Row],[Dens]]&gt;900,vp.tbl[[#This Row],[Sulf]]&lt;=0.5,vp.tbl[[#This Row],[Unknown]]=0),1,0)</f>
        <v>0</v>
      </c>
      <c r="AG198" t="str">
        <f>INDEX(vp.tbl[[#Headers],[Unknown]:[Heavy_SW]],MATCH(1,vp.tbl[[#This Row],[Unknown]:[Heavy_SW]],0))</f>
        <v>Medium_LSB</v>
      </c>
      <c r="AH198" t="e">
        <f>INDEX([1]!crudeBD.lkup[Number],MATCH(vp.tbl[[#This Row],[Crude_Breakdown]],[1]!crudeBD.lkup[Crude Breakdown],0))</f>
        <v>#REF!</v>
      </c>
      <c r="AI198">
        <f>MONTH(vp.tbl[[#This Row],[SDate]])</f>
        <v>5</v>
      </c>
      <c r="AJ198" s="5">
        <f>IFERROR(vp.tbl[[#This Row],[Sulf]]*vp.tbl[[#This Row],[Net Dens]],"")</f>
        <v>2430372.4152840003</v>
      </c>
      <c r="AK198" s="5">
        <f>IFERROR(vp.tbl[[#This Row],[Dens]]*vp.tbl[[#This Row],[VolumeM3]],"")</f>
        <v>1588478.7028000001</v>
      </c>
      <c r="AL198" s="5">
        <f>IFERROR(vp.tbl[[#This Row],[VP]]*vp.tbl[[#This Row],[VolumeM3]],"")</f>
        <v>123082.78219999999</v>
      </c>
      <c r="AM198" s="4">
        <f>IFERROR((vp.tbl[[#This Row],[VP]]-INDEX(crudeBD.lkup.complete[Mean_VP],MATCH(vp.tbl[[#This Row],[Crude_Breakdown]],crudeBD.lkup.complete[Crude Breakdown],0)))^2,"")</f>
        <v>206.60023140458162</v>
      </c>
      <c r="AN198" s="4">
        <f>IFERROR((vp.tbl[[#This Row],[Dens]]-INDEX(crudeBD.lkup.complete[Mean_Dens],MATCH(vp.tbl[[#This Row],[Crude_Breakdown]],crudeBD.lkup.complete[Crude Breakdown],0)))^2,"")</f>
        <v>15.273849145337326</v>
      </c>
      <c r="AO198" s="4">
        <f>IFERROR((vp.tbl[[#This Row],[Sulf]]-INDEX(crudeBD.lkup.complete[Mean_Sulf],MATCH(vp.tbl[[#This Row],[Crude_Breakdown]],crudeBD.lkup.complete[Crude Breakdown],0)))^2,"")</f>
        <v>5.6355258055887899E-3</v>
      </c>
      <c r="AP198">
        <f>IF(AND(vp.tbl[[#This Row],[SDate]]&gt;=DATE(YEAR(vp.tbl[[#This Row],[SDate]]),5,1),vp.tbl[[#This Row],[SDate]]&lt;=DATE(YEAR(vp.tbl[[#This Row],[SDate]]),9,15)),1,0)</f>
        <v>1</v>
      </c>
      <c r="AQ198" s="15">
        <f>IF(vp.tbl[[#This Row],[SDate]]&lt;DATE(2016,12,1),0,1)</f>
        <v>0</v>
      </c>
    </row>
    <row r="199" spans="1:43" x14ac:dyDescent="0.25">
      <c r="A199">
        <v>198</v>
      </c>
      <c r="B199" t="s">
        <v>49</v>
      </c>
      <c r="C199" t="s">
        <v>49</v>
      </c>
      <c r="D199" t="s">
        <v>86</v>
      </c>
      <c r="F199" s="1">
        <v>42515</v>
      </c>
      <c r="G199" s="2">
        <v>80.3</v>
      </c>
      <c r="H199" s="2"/>
      <c r="I199" s="2">
        <v>2.8</v>
      </c>
      <c r="J199" s="2"/>
      <c r="K199" s="2"/>
      <c r="L199" s="2">
        <v>891</v>
      </c>
      <c r="M199" s="2">
        <v>891</v>
      </c>
      <c r="N199" s="2">
        <f ca="1">INDEX(INDIRECT(_xlfn.CONCAT("weather.tbl[",N$1,"]")),MATCH(vp.tbl[[#This Row],[SDate]],weather.tbl[Date],0))</f>
        <v>10.033333333333333</v>
      </c>
      <c r="O199" s="2">
        <f ca="1">INDEX(INDIRECT(_xlfn.CONCAT("weather.tbl[",O$1,"]")),MATCH(vp.tbl[[#This Row],[SDate]],weather.tbl[Date],0))</f>
        <v>15.647619047619047</v>
      </c>
      <c r="P199" s="2">
        <f ca="1">INDEX(INDIRECT(_xlfn.CONCAT("weather.tbl[",P$1,"]")),MATCH(vp.tbl[[#This Row],[SDate]],weather.tbl[Date],0))</f>
        <v>9.8000000000000007</v>
      </c>
      <c r="Q199" s="2">
        <f ca="1">INDEX(INDIRECT(_xlfn.CONCAT("weather.tbl[",Q$1,"]")),MATCH(vp.tbl[[#This Row],[SDate]],weather.tbl[Date],0))</f>
        <v>9</v>
      </c>
      <c r="R199" s="2">
        <f ca="1">INDEX(INDIRECT(_xlfn.CONCAT("weather.tbl[",R$1,"]")),MATCH(vp.tbl[[#This Row],[SDate]],weather.tbl[Date],0))</f>
        <v>9.5</v>
      </c>
      <c r="S199" s="2">
        <f ca="1">INDEX(INDIRECT(_xlfn.CONCAT("weather.tbl[",S$1,"]")),MATCH(vp.tbl[[#This Row],[SDate]],weather.tbl[Date],0))</f>
        <v>8</v>
      </c>
      <c r="T199" s="2">
        <f ca="1">INDEX(INDIRECT(_xlfn.CONCAT("weather.tbl[",T$1,"]")),MATCH(vp.tbl[[#This Row],[SDate]],weather.tbl[Date],0))</f>
        <v>10.9</v>
      </c>
      <c r="U199" s="2">
        <f ca="1">INDEX(INDIRECT(_xlfn.CONCAT("weather.tbl[",U$1,"]")),MATCH(vp.tbl[[#This Row],[SDate]],weather.tbl[Date],0))</f>
        <v>13</v>
      </c>
      <c r="V199" s="2">
        <v>4411.6440000000002</v>
      </c>
      <c r="W199" t="s">
        <v>48</v>
      </c>
      <c r="X199">
        <f>IF(OR(vp.tbl[[#This Row],[Sulf]]="",vp.tbl[[#This Row],[Dens]]=""),1,0)</f>
        <v>0</v>
      </c>
      <c r="Y199">
        <f>IF(vp.tbl[[#This Row],[CrudeType]]="C5+",1,0)</f>
        <v>0</v>
      </c>
      <c r="Z199">
        <f>IF(AND(vp.tbl[[#This Row],[CrudeType]]="Crude",vp.tbl[[#This Row],[Dens]]&lt;=825,vp.tbl[[#This Row],[Sulf]]&gt;0.5,vp.tbl[[#This Row],[Unknown]]=0),1,0)</f>
        <v>0</v>
      </c>
      <c r="AA199">
        <f>IF(AND(vp.tbl[[#This Row],[CrudeType]]="Crude",vp.tbl[[#This Row],[Dens]]&lt;=825,vp.tbl[[#This Row],[Sulf]]&lt;=0.5,vp.tbl[[#This Row],[Unknown]]=0),1,0)</f>
        <v>0</v>
      </c>
      <c r="AB199">
        <f>IF(AND(vp.tbl[[#This Row],[CrudeType]]="Crude",vp.tbl[[#This Row],[Dens]]&gt;825,vp.tbl[[#This Row],[Dens]]&lt;=870,vp.tbl[[#This Row],[Sulf]]&gt;0.5,vp.tbl[[#This Row],[Unknown]]=0),1,0)</f>
        <v>0</v>
      </c>
      <c r="AC199">
        <f>IF(AND(vp.tbl[[#This Row],[CrudeType]]="Crude",vp.tbl[[#This Row],[Dens]]&gt;825,vp.tbl[[#This Row],[Dens]]&lt;=900,vp.tbl[[#This Row],[Sulf]]&lt;=0.5,vp.tbl[[#This Row],[Unknown]]=0),1,0)</f>
        <v>0</v>
      </c>
      <c r="AD199">
        <f>IF(AND(vp.tbl[[#This Row],[CrudeType]]="Crude",vp.tbl[[#This Row],[Dens]]&gt;870,vp.tbl[[#This Row],[Dens]]&lt;=900,vp.tbl[[#This Row],[Sulf]]&gt;0.5,vp.tbl[[#This Row],[Unknown]]=0),1,0)</f>
        <v>1</v>
      </c>
      <c r="AE199">
        <f>IF(AND(vp.tbl[[#This Row],[CrudeType]]="Crude",vp.tbl[[#This Row],[Dens]]&gt;900,vp.tbl[[#This Row],[Sulf]]&lt;=0.5,vp.tbl[[#This Row],[Unknown]]=0),1,0)</f>
        <v>0</v>
      </c>
      <c r="AF199">
        <f>IF(AND(vp.tbl[[#This Row],[CrudeType]]="Crude",vp.tbl[[#This Row],[Dens]]&gt;900,vp.tbl[[#This Row],[Sulf]]&lt;=0.5,vp.tbl[[#This Row],[Unknown]]=0),1,0)</f>
        <v>0</v>
      </c>
      <c r="AG199" t="str">
        <f>INDEX(vp.tbl[[#Headers],[Unknown]:[Heavy_SW]],MATCH(1,vp.tbl[[#This Row],[Unknown]:[Heavy_SW]],0))</f>
        <v>Midale</v>
      </c>
      <c r="AH199" t="e">
        <f>INDEX([1]!crudeBD.lkup[Number],MATCH(vp.tbl[[#This Row],[Crude_Breakdown]],[1]!crudeBD.lkup[Crude Breakdown],0))</f>
        <v>#REF!</v>
      </c>
      <c r="AI199">
        <f>MONTH(vp.tbl[[#This Row],[SDate]])</f>
        <v>5</v>
      </c>
      <c r="AJ199" s="5">
        <f>IFERROR(vp.tbl[[#This Row],[Sulf]]*vp.tbl[[#This Row],[Net Dens]],"")</f>
        <v>11006169.451199999</v>
      </c>
      <c r="AK199" s="5">
        <f>IFERROR(vp.tbl[[#This Row],[Dens]]*vp.tbl[[#This Row],[VolumeM3]],"")</f>
        <v>3930774.804</v>
      </c>
      <c r="AL199" s="5">
        <f>IFERROR(vp.tbl[[#This Row],[VP]]*vp.tbl[[#This Row],[VolumeM3]],"")</f>
        <v>354255.01319999999</v>
      </c>
      <c r="AM199" s="4">
        <f>IFERROR((vp.tbl[[#This Row],[VP]]-INDEX(crudeBD.lkup.complete[Mean_VP],MATCH(vp.tbl[[#This Row],[Crude_Breakdown]],crudeBD.lkup.complete[Crude Breakdown],0)))^2,"")</f>
        <v>145.48325201726365</v>
      </c>
      <c r="AN199" s="4">
        <f>IFERROR((vp.tbl[[#This Row],[Dens]]-INDEX(crudeBD.lkup.complete[Mean_Dens],MATCH(vp.tbl[[#This Row],[Crude_Breakdown]],crudeBD.lkup.complete[Crude Breakdown],0)))^2,"")</f>
        <v>180.84723024958592</v>
      </c>
      <c r="AO199" s="4">
        <f>IFERROR((vp.tbl[[#This Row],[Sulf]]-INDEX(crudeBD.lkup.complete[Mean_Sulf],MATCH(vp.tbl[[#This Row],[Crude_Breakdown]],crudeBD.lkup.complete[Crude Breakdown],0)))^2,"")</f>
        <v>0.14796321021371822</v>
      </c>
      <c r="AP199">
        <f>IF(AND(vp.tbl[[#This Row],[SDate]]&gt;=DATE(YEAR(vp.tbl[[#This Row],[SDate]]),5,1),vp.tbl[[#This Row],[SDate]]&lt;=DATE(YEAR(vp.tbl[[#This Row],[SDate]]),9,15)),1,0)</f>
        <v>1</v>
      </c>
      <c r="AQ199" s="15">
        <f>IF(vp.tbl[[#This Row],[SDate]]&lt;DATE(2016,12,1),0,1)</f>
        <v>0</v>
      </c>
    </row>
    <row r="200" spans="1:43" x14ac:dyDescent="0.25">
      <c r="A200">
        <v>199</v>
      </c>
      <c r="B200" t="s">
        <v>49</v>
      </c>
      <c r="C200" t="s">
        <v>49</v>
      </c>
      <c r="D200" t="s">
        <v>86</v>
      </c>
      <c r="F200" s="1">
        <v>42520</v>
      </c>
      <c r="G200" s="2">
        <v>96.2</v>
      </c>
      <c r="H200" s="2"/>
      <c r="I200" s="2">
        <v>2.8</v>
      </c>
      <c r="J200" s="2"/>
      <c r="K200" s="2"/>
      <c r="L200" s="2">
        <v>896.7</v>
      </c>
      <c r="M200" s="2">
        <v>896.7</v>
      </c>
      <c r="N200" s="2">
        <f ca="1">INDEX(INDIRECT(_xlfn.CONCAT("weather.tbl[",N$1,"]")),MATCH(vp.tbl[[#This Row],[SDate]],weather.tbl[Date],0))</f>
        <v>14.816666666666668</v>
      </c>
      <c r="O200" s="2">
        <f ca="1">INDEX(INDIRECT(_xlfn.CONCAT("weather.tbl[",O$1,"]")),MATCH(vp.tbl[[#This Row],[SDate]],weather.tbl[Date],0))</f>
        <v>13.259523809523809</v>
      </c>
      <c r="P200" s="2">
        <f ca="1">INDEX(INDIRECT(_xlfn.CONCAT("weather.tbl[",P$1,"]")),MATCH(vp.tbl[[#This Row],[SDate]],weather.tbl[Date],0))</f>
        <v>14.2</v>
      </c>
      <c r="Q200" s="2">
        <f ca="1">INDEX(INDIRECT(_xlfn.CONCAT("weather.tbl[",Q$1,"]")),MATCH(vp.tbl[[#This Row],[SDate]],weather.tbl[Date],0))</f>
        <v>13.9</v>
      </c>
      <c r="R200" s="2">
        <f ca="1">INDEX(INDIRECT(_xlfn.CONCAT("weather.tbl[",R$1,"]")),MATCH(vp.tbl[[#This Row],[SDate]],weather.tbl[Date],0))</f>
        <v>14.3</v>
      </c>
      <c r="S200" s="2">
        <f ca="1">INDEX(INDIRECT(_xlfn.CONCAT("weather.tbl[",S$1,"]")),MATCH(vp.tbl[[#This Row],[SDate]],weather.tbl[Date],0))</f>
        <v>14.5</v>
      </c>
      <c r="T200" s="2">
        <f ca="1">INDEX(INDIRECT(_xlfn.CONCAT("weather.tbl[",T$1,"]")),MATCH(vp.tbl[[#This Row],[SDate]],weather.tbl[Date],0))</f>
        <v>16.7</v>
      </c>
      <c r="U200" s="2">
        <f ca="1">INDEX(INDIRECT(_xlfn.CONCAT("weather.tbl[",U$1,"]")),MATCH(vp.tbl[[#This Row],[SDate]],weather.tbl[Date],0))</f>
        <v>15.3</v>
      </c>
      <c r="V200" s="2">
        <v>4411.6440000000002</v>
      </c>
      <c r="W200" t="s">
        <v>48</v>
      </c>
      <c r="X200">
        <f>IF(OR(vp.tbl[[#This Row],[Sulf]]="",vp.tbl[[#This Row],[Dens]]=""),1,0)</f>
        <v>0</v>
      </c>
      <c r="Y200">
        <f>IF(vp.tbl[[#This Row],[CrudeType]]="C5+",1,0)</f>
        <v>0</v>
      </c>
      <c r="Z200">
        <f>IF(AND(vp.tbl[[#This Row],[CrudeType]]="Crude",vp.tbl[[#This Row],[Dens]]&lt;=825,vp.tbl[[#This Row],[Sulf]]&gt;0.5,vp.tbl[[#This Row],[Unknown]]=0),1,0)</f>
        <v>0</v>
      </c>
      <c r="AA200">
        <f>IF(AND(vp.tbl[[#This Row],[CrudeType]]="Crude",vp.tbl[[#This Row],[Dens]]&lt;=825,vp.tbl[[#This Row],[Sulf]]&lt;=0.5,vp.tbl[[#This Row],[Unknown]]=0),1,0)</f>
        <v>0</v>
      </c>
      <c r="AB200">
        <f>IF(AND(vp.tbl[[#This Row],[CrudeType]]="Crude",vp.tbl[[#This Row],[Dens]]&gt;825,vp.tbl[[#This Row],[Dens]]&lt;=870,vp.tbl[[#This Row],[Sulf]]&gt;0.5,vp.tbl[[#This Row],[Unknown]]=0),1,0)</f>
        <v>0</v>
      </c>
      <c r="AC200">
        <f>IF(AND(vp.tbl[[#This Row],[CrudeType]]="Crude",vp.tbl[[#This Row],[Dens]]&gt;825,vp.tbl[[#This Row],[Dens]]&lt;=900,vp.tbl[[#This Row],[Sulf]]&lt;=0.5,vp.tbl[[#This Row],[Unknown]]=0),1,0)</f>
        <v>0</v>
      </c>
      <c r="AD200">
        <f>IF(AND(vp.tbl[[#This Row],[CrudeType]]="Crude",vp.tbl[[#This Row],[Dens]]&gt;870,vp.tbl[[#This Row],[Dens]]&lt;=900,vp.tbl[[#This Row],[Sulf]]&gt;0.5,vp.tbl[[#This Row],[Unknown]]=0),1,0)</f>
        <v>1</v>
      </c>
      <c r="AE200">
        <f>IF(AND(vp.tbl[[#This Row],[CrudeType]]="Crude",vp.tbl[[#This Row],[Dens]]&gt;900,vp.tbl[[#This Row],[Sulf]]&lt;=0.5,vp.tbl[[#This Row],[Unknown]]=0),1,0)</f>
        <v>0</v>
      </c>
      <c r="AF200">
        <f>IF(AND(vp.tbl[[#This Row],[CrudeType]]="Crude",vp.tbl[[#This Row],[Dens]]&gt;900,vp.tbl[[#This Row],[Sulf]]&lt;=0.5,vp.tbl[[#This Row],[Unknown]]=0),1,0)</f>
        <v>0</v>
      </c>
      <c r="AG200" t="str">
        <f>INDEX(vp.tbl[[#Headers],[Unknown]:[Heavy_SW]],MATCH(1,vp.tbl[[#This Row],[Unknown]:[Heavy_SW]],0))</f>
        <v>Midale</v>
      </c>
      <c r="AH200" t="e">
        <f>INDEX([1]!crudeBD.lkup[Number],MATCH(vp.tbl[[#This Row],[Crude_Breakdown]],[1]!crudeBD.lkup[Crude Breakdown],0))</f>
        <v>#REF!</v>
      </c>
      <c r="AI200">
        <f>MONTH(vp.tbl[[#This Row],[SDate]])</f>
        <v>5</v>
      </c>
      <c r="AJ200" s="5">
        <f>IFERROR(vp.tbl[[#This Row],[Sulf]]*vp.tbl[[#This Row],[Net Dens]],"")</f>
        <v>11076579.28944</v>
      </c>
      <c r="AK200" s="5">
        <f>IFERROR(vp.tbl[[#This Row],[Dens]]*vp.tbl[[#This Row],[VolumeM3]],"")</f>
        <v>3955921.1748000006</v>
      </c>
      <c r="AL200" s="5">
        <f>IFERROR(vp.tbl[[#This Row],[VP]]*vp.tbl[[#This Row],[VolumeM3]],"")</f>
        <v>424400.15280000004</v>
      </c>
      <c r="AM200" s="4">
        <f>IFERROR((vp.tbl[[#This Row],[VP]]-INDEX(crudeBD.lkup.complete[Mean_VP],MATCH(vp.tbl[[#This Row],[Crude_Breakdown]],crudeBD.lkup.complete[Crude Breakdown],0)))^2,"")</f>
        <v>781.85352598986617</v>
      </c>
      <c r="AN200" s="4">
        <f>IFERROR((vp.tbl[[#This Row],[Dens]]-INDEX(crudeBD.lkup.complete[Mean_Dens],MATCH(vp.tbl[[#This Row],[Crude_Breakdown]],crudeBD.lkup.complete[Crude Breakdown],0)))^2,"")</f>
        <v>366.64380559205688</v>
      </c>
      <c r="AO200" s="4">
        <f>IFERROR((vp.tbl[[#This Row],[Sulf]]-INDEX(crudeBD.lkup.complete[Mean_Sulf],MATCH(vp.tbl[[#This Row],[Crude_Breakdown]],crudeBD.lkup.complete[Crude Breakdown],0)))^2,"")</f>
        <v>0.14796321021371822</v>
      </c>
      <c r="AP200">
        <f>IF(AND(vp.tbl[[#This Row],[SDate]]&gt;=DATE(YEAR(vp.tbl[[#This Row],[SDate]]),5,1),vp.tbl[[#This Row],[SDate]]&lt;=DATE(YEAR(vp.tbl[[#This Row],[SDate]]),9,15)),1,0)</f>
        <v>1</v>
      </c>
      <c r="AQ200" s="15">
        <f>IF(vp.tbl[[#This Row],[SDate]]&lt;DATE(2016,12,1),0,1)</f>
        <v>0</v>
      </c>
    </row>
    <row r="201" spans="1:43" x14ac:dyDescent="0.25">
      <c r="A201">
        <v>200</v>
      </c>
      <c r="B201" t="s">
        <v>51</v>
      </c>
      <c r="C201" t="s">
        <v>51</v>
      </c>
      <c r="D201" t="s">
        <v>66</v>
      </c>
      <c r="F201" s="1">
        <v>42521</v>
      </c>
      <c r="G201" s="2">
        <v>75.900000000000006</v>
      </c>
      <c r="H201" s="2"/>
      <c r="I201" s="2">
        <v>0.9</v>
      </c>
      <c r="J201" s="2"/>
      <c r="K201" s="2"/>
      <c r="L201" s="2">
        <v>825.3</v>
      </c>
      <c r="M201" s="2">
        <v>825.3</v>
      </c>
      <c r="N201" s="2">
        <f ca="1">INDEX(INDIRECT(_xlfn.CONCAT("weather.tbl[",N$1,"]")),MATCH(vp.tbl[[#This Row],[SDate]],weather.tbl[Date],0))</f>
        <v>10.450000000000001</v>
      </c>
      <c r="O201" s="2">
        <f ca="1">INDEX(INDIRECT(_xlfn.CONCAT("weather.tbl[",O$1,"]")),MATCH(vp.tbl[[#This Row],[SDate]],weather.tbl[Date],0))</f>
        <v>12.966666666666667</v>
      </c>
      <c r="P201" s="2">
        <f ca="1">INDEX(INDIRECT(_xlfn.CONCAT("weather.tbl[",P$1,"]")),MATCH(vp.tbl[[#This Row],[SDate]],weather.tbl[Date],0))</f>
        <v>9.8000000000000007</v>
      </c>
      <c r="Q201" s="2">
        <f ca="1">INDEX(INDIRECT(_xlfn.CONCAT("weather.tbl[",Q$1,"]")),MATCH(vp.tbl[[#This Row],[SDate]],weather.tbl[Date],0))</f>
        <v>9.1</v>
      </c>
      <c r="R201" s="2">
        <f ca="1">INDEX(INDIRECT(_xlfn.CONCAT("weather.tbl[",R$1,"]")),MATCH(vp.tbl[[#This Row],[SDate]],weather.tbl[Date],0))</f>
        <v>10.5</v>
      </c>
      <c r="S201" s="2">
        <f ca="1">INDEX(INDIRECT(_xlfn.CONCAT("weather.tbl[",S$1,"]")),MATCH(vp.tbl[[#This Row],[SDate]],weather.tbl[Date],0))</f>
        <v>12.3</v>
      </c>
      <c r="T201" s="2">
        <f ca="1">INDEX(INDIRECT(_xlfn.CONCAT("weather.tbl[",T$1,"]")),MATCH(vp.tbl[[#This Row],[SDate]],weather.tbl[Date],0))</f>
        <v>11.2</v>
      </c>
      <c r="U201" s="2">
        <f ca="1">INDEX(INDIRECT(_xlfn.CONCAT("weather.tbl[",U$1,"]")),MATCH(vp.tbl[[#This Row],[SDate]],weather.tbl[Date],0))</f>
        <v>9.8000000000000007</v>
      </c>
      <c r="V201" s="2">
        <v>3966.6509999999998</v>
      </c>
      <c r="W201" t="s">
        <v>48</v>
      </c>
      <c r="X201">
        <f>IF(OR(vp.tbl[[#This Row],[Sulf]]="",vp.tbl[[#This Row],[Dens]]=""),1,0)</f>
        <v>0</v>
      </c>
      <c r="Y201">
        <f>IF(vp.tbl[[#This Row],[CrudeType]]="C5+",1,0)</f>
        <v>0</v>
      </c>
      <c r="Z201">
        <f>IF(AND(vp.tbl[[#This Row],[CrudeType]]="Crude",vp.tbl[[#This Row],[Dens]]&lt;=825,vp.tbl[[#This Row],[Sulf]]&gt;0.5,vp.tbl[[#This Row],[Unknown]]=0),1,0)</f>
        <v>0</v>
      </c>
      <c r="AA201">
        <f>IF(AND(vp.tbl[[#This Row],[CrudeType]]="Crude",vp.tbl[[#This Row],[Dens]]&lt;=825,vp.tbl[[#This Row],[Sulf]]&lt;=0.5,vp.tbl[[#This Row],[Unknown]]=0),1,0)</f>
        <v>0</v>
      </c>
      <c r="AB201">
        <f>IF(AND(vp.tbl[[#This Row],[CrudeType]]="Crude",vp.tbl[[#This Row],[Dens]]&gt;825,vp.tbl[[#This Row],[Dens]]&lt;=870,vp.tbl[[#This Row],[Sulf]]&gt;0.5,vp.tbl[[#This Row],[Unknown]]=0),1,0)</f>
        <v>1</v>
      </c>
      <c r="AC201">
        <f>IF(AND(vp.tbl[[#This Row],[CrudeType]]="Crude",vp.tbl[[#This Row],[Dens]]&gt;825,vp.tbl[[#This Row],[Dens]]&lt;=900,vp.tbl[[#This Row],[Sulf]]&lt;=0.5,vp.tbl[[#This Row],[Unknown]]=0),1,0)</f>
        <v>0</v>
      </c>
      <c r="AD201">
        <f>IF(AND(vp.tbl[[#This Row],[CrudeType]]="Crude",vp.tbl[[#This Row],[Dens]]&gt;870,vp.tbl[[#This Row],[Dens]]&lt;=900,vp.tbl[[#This Row],[Sulf]]&gt;0.5,vp.tbl[[#This Row],[Unknown]]=0),1,0)</f>
        <v>0</v>
      </c>
      <c r="AE201">
        <f>IF(AND(vp.tbl[[#This Row],[CrudeType]]="Crude",vp.tbl[[#This Row],[Dens]]&gt;900,vp.tbl[[#This Row],[Sulf]]&lt;=0.5,vp.tbl[[#This Row],[Unknown]]=0),1,0)</f>
        <v>0</v>
      </c>
      <c r="AF201">
        <f>IF(AND(vp.tbl[[#This Row],[CrudeType]]="Crude",vp.tbl[[#This Row],[Dens]]&gt;900,vp.tbl[[#This Row],[Sulf]]&lt;=0.5,vp.tbl[[#This Row],[Unknown]]=0),1,0)</f>
        <v>0</v>
      </c>
      <c r="AG201" t="str">
        <f>INDEX(vp.tbl[[#Headers],[Unknown]:[Heavy_SW]],MATCH(1,vp.tbl[[#This Row],[Unknown]:[Heavy_SW]],0))</f>
        <v>Medium_LSB</v>
      </c>
      <c r="AH201" t="e">
        <f>INDEX([1]!crudeBD.lkup[Number],MATCH(vp.tbl[[#This Row],[Crude_Breakdown]],[1]!crudeBD.lkup[Crude Breakdown],0))</f>
        <v>#REF!</v>
      </c>
      <c r="AI201">
        <f>MONTH(vp.tbl[[#This Row],[SDate]])</f>
        <v>5</v>
      </c>
      <c r="AJ201" s="5">
        <f>IFERROR(vp.tbl[[#This Row],[Sulf]]*vp.tbl[[#This Row],[Net Dens]],"")</f>
        <v>2946309.3632700001</v>
      </c>
      <c r="AK201" s="5">
        <f>IFERROR(vp.tbl[[#This Row],[Dens]]*vp.tbl[[#This Row],[VolumeM3]],"")</f>
        <v>3273677.0702999998</v>
      </c>
      <c r="AL201" s="5">
        <f>IFERROR(vp.tbl[[#This Row],[VP]]*vp.tbl[[#This Row],[VolumeM3]],"")</f>
        <v>301068.81089999998</v>
      </c>
      <c r="AM201" s="4">
        <f>IFERROR((vp.tbl[[#This Row],[VP]]-INDEX(crudeBD.lkup.complete[Mean_VP],MATCH(vp.tbl[[#This Row],[Crude_Breakdown]],crudeBD.lkup.complete[Crude Breakdown],0)))^2,"")</f>
        <v>18.263613683063248</v>
      </c>
      <c r="AN201" s="4">
        <f>IFERROR((vp.tbl[[#This Row],[Dens]]-INDEX(crudeBD.lkup.complete[Mean_Dens],MATCH(vp.tbl[[#This Row],[Crude_Breakdown]],crudeBD.lkup.complete[Crude Breakdown],0)))^2,"")</f>
        <v>399.67297825921577</v>
      </c>
      <c r="AO201" s="4">
        <f>IFERROR((vp.tbl[[#This Row],[Sulf]]-INDEX(crudeBD.lkup.complete[Mean_Sulf],MATCH(vp.tbl[[#This Row],[Crude_Breakdown]],crudeBD.lkup.complete[Crude Breakdown],0)))^2,"")</f>
        <v>0.30794715036255266</v>
      </c>
      <c r="AP201">
        <f>IF(AND(vp.tbl[[#This Row],[SDate]]&gt;=DATE(YEAR(vp.tbl[[#This Row],[SDate]]),5,1),vp.tbl[[#This Row],[SDate]]&lt;=DATE(YEAR(vp.tbl[[#This Row],[SDate]]),9,15)),1,0)</f>
        <v>1</v>
      </c>
      <c r="AQ201" s="15">
        <f>IF(vp.tbl[[#This Row],[SDate]]&lt;DATE(2016,12,1),0,1)</f>
        <v>0</v>
      </c>
    </row>
    <row r="202" spans="1:43" x14ac:dyDescent="0.25">
      <c r="A202">
        <v>201</v>
      </c>
      <c r="B202" t="s">
        <v>60</v>
      </c>
      <c r="C202" t="s">
        <v>60</v>
      </c>
      <c r="D202" t="s">
        <v>61</v>
      </c>
      <c r="E202" t="s">
        <v>55</v>
      </c>
      <c r="F202" s="1">
        <v>42521</v>
      </c>
      <c r="G202" s="2">
        <v>90.8</v>
      </c>
      <c r="H202" s="2"/>
      <c r="I202" s="2">
        <v>1.1499999999999999</v>
      </c>
      <c r="J202" s="2"/>
      <c r="K202" s="2"/>
      <c r="L202" s="2">
        <v>827.2</v>
      </c>
      <c r="M202" s="2">
        <v>827.2</v>
      </c>
      <c r="N202" s="2">
        <f ca="1">INDEX(INDIRECT(_xlfn.CONCAT("weather.tbl[",N$1,"]")),MATCH(vp.tbl[[#This Row],[SDate]],weather.tbl[Date],0))</f>
        <v>10.450000000000001</v>
      </c>
      <c r="O202" s="2">
        <f ca="1">INDEX(INDIRECT(_xlfn.CONCAT("weather.tbl[",O$1,"]")),MATCH(vp.tbl[[#This Row],[SDate]],weather.tbl[Date],0))</f>
        <v>12.966666666666667</v>
      </c>
      <c r="P202" s="2">
        <f ca="1">INDEX(INDIRECT(_xlfn.CONCAT("weather.tbl[",P$1,"]")),MATCH(vp.tbl[[#This Row],[SDate]],weather.tbl[Date],0))</f>
        <v>9.8000000000000007</v>
      </c>
      <c r="Q202" s="2">
        <f ca="1">INDEX(INDIRECT(_xlfn.CONCAT("weather.tbl[",Q$1,"]")),MATCH(vp.tbl[[#This Row],[SDate]],weather.tbl[Date],0))</f>
        <v>9.1</v>
      </c>
      <c r="R202" s="2">
        <f ca="1">INDEX(INDIRECT(_xlfn.CONCAT("weather.tbl[",R$1,"]")),MATCH(vp.tbl[[#This Row],[SDate]],weather.tbl[Date],0))</f>
        <v>10.5</v>
      </c>
      <c r="S202" s="2">
        <f ca="1">INDEX(INDIRECT(_xlfn.CONCAT("weather.tbl[",S$1,"]")),MATCH(vp.tbl[[#This Row],[SDate]],weather.tbl[Date],0))</f>
        <v>12.3</v>
      </c>
      <c r="T202" s="2">
        <f ca="1">INDEX(INDIRECT(_xlfn.CONCAT("weather.tbl[",T$1,"]")),MATCH(vp.tbl[[#This Row],[SDate]],weather.tbl[Date],0))</f>
        <v>11.2</v>
      </c>
      <c r="U202" s="2">
        <f ca="1">INDEX(INDIRECT(_xlfn.CONCAT("weather.tbl[",U$1,"]")),MATCH(vp.tbl[[#This Row],[SDate]],weather.tbl[Date],0))</f>
        <v>9.8000000000000007</v>
      </c>
      <c r="V202" s="2">
        <v>107173.281</v>
      </c>
      <c r="W202" t="s">
        <v>48</v>
      </c>
      <c r="X202">
        <f>IF(OR(vp.tbl[[#This Row],[Sulf]]="",vp.tbl[[#This Row],[Dens]]=""),1,0)</f>
        <v>0</v>
      </c>
      <c r="Y202">
        <f>IF(vp.tbl[[#This Row],[CrudeType]]="C5+",1,0)</f>
        <v>0</v>
      </c>
      <c r="Z202">
        <f>IF(AND(vp.tbl[[#This Row],[CrudeType]]="Crude",vp.tbl[[#This Row],[Dens]]&lt;=825,vp.tbl[[#This Row],[Sulf]]&gt;0.5,vp.tbl[[#This Row],[Unknown]]=0),1,0)</f>
        <v>0</v>
      </c>
      <c r="AA202">
        <f>IF(AND(vp.tbl[[#This Row],[CrudeType]]="Crude",vp.tbl[[#This Row],[Dens]]&lt;=825,vp.tbl[[#This Row],[Sulf]]&lt;=0.5,vp.tbl[[#This Row],[Unknown]]=0),1,0)</f>
        <v>0</v>
      </c>
      <c r="AB202">
        <f>IF(AND(vp.tbl[[#This Row],[CrudeType]]="Crude",vp.tbl[[#This Row],[Dens]]&gt;825,vp.tbl[[#This Row],[Dens]]&lt;=870,vp.tbl[[#This Row],[Sulf]]&gt;0.5,vp.tbl[[#This Row],[Unknown]]=0),1,0)</f>
        <v>1</v>
      </c>
      <c r="AC202">
        <f>IF(AND(vp.tbl[[#This Row],[CrudeType]]="Crude",vp.tbl[[#This Row],[Dens]]&gt;825,vp.tbl[[#This Row],[Dens]]&lt;=900,vp.tbl[[#This Row],[Sulf]]&lt;=0.5,vp.tbl[[#This Row],[Unknown]]=0),1,0)</f>
        <v>0</v>
      </c>
      <c r="AD202">
        <f>IF(AND(vp.tbl[[#This Row],[CrudeType]]="Crude",vp.tbl[[#This Row],[Dens]]&gt;870,vp.tbl[[#This Row],[Dens]]&lt;=900,vp.tbl[[#This Row],[Sulf]]&gt;0.5,vp.tbl[[#This Row],[Unknown]]=0),1,0)</f>
        <v>0</v>
      </c>
      <c r="AE202">
        <f>IF(AND(vp.tbl[[#This Row],[CrudeType]]="Crude",vp.tbl[[#This Row],[Dens]]&gt;900,vp.tbl[[#This Row],[Sulf]]&lt;=0.5,vp.tbl[[#This Row],[Unknown]]=0),1,0)</f>
        <v>0</v>
      </c>
      <c r="AF202">
        <f>IF(AND(vp.tbl[[#This Row],[CrudeType]]="Crude",vp.tbl[[#This Row],[Dens]]&gt;900,vp.tbl[[#This Row],[Sulf]]&lt;=0.5,vp.tbl[[#This Row],[Unknown]]=0),1,0)</f>
        <v>0</v>
      </c>
      <c r="AG202" t="str">
        <f>INDEX(vp.tbl[[#Headers],[Unknown]:[Heavy_SW]],MATCH(1,vp.tbl[[#This Row],[Unknown]:[Heavy_SW]],0))</f>
        <v>Medium_LSB</v>
      </c>
      <c r="AH202" t="e">
        <f>INDEX([1]!crudeBD.lkup[Number],MATCH(vp.tbl[[#This Row],[Crude_Breakdown]],[1]!crudeBD.lkup[Crude Breakdown],0))</f>
        <v>#REF!</v>
      </c>
      <c r="AI202">
        <f>MONTH(vp.tbl[[#This Row],[SDate]])</f>
        <v>5</v>
      </c>
      <c r="AJ202" s="5">
        <f>IFERROR(vp.tbl[[#This Row],[Sulf]]*vp.tbl[[#This Row],[Net Dens]],"")</f>
        <v>101951798.74968</v>
      </c>
      <c r="AK202" s="5">
        <f>IFERROR(vp.tbl[[#This Row],[Dens]]*vp.tbl[[#This Row],[VolumeM3]],"")</f>
        <v>88653738.043200001</v>
      </c>
      <c r="AL202" s="5">
        <f>IFERROR(vp.tbl[[#This Row],[VP]]*vp.tbl[[#This Row],[VolumeM3]],"")</f>
        <v>9731333.9147999994</v>
      </c>
      <c r="AM202" s="4">
        <f>IFERROR((vp.tbl[[#This Row],[VP]]-INDEX(crudeBD.lkup.complete[Mean_VP],MATCH(vp.tbl[[#This Row],[Crude_Breakdown]],crudeBD.lkup.complete[Crude Breakdown],0)))^2,"")</f>
        <v>112.92048456914029</v>
      </c>
      <c r="AN202" s="4">
        <f>IFERROR((vp.tbl[[#This Row],[Dens]]-INDEX(crudeBD.lkup.complete[Mean_Dens],MATCH(vp.tbl[[#This Row],[Crude_Breakdown]],crudeBD.lkup.complete[Crude Breakdown],0)))^2,"")</f>
        <v>327.31405167693759</v>
      </c>
      <c r="AO202" s="4">
        <f>IFERROR((vp.tbl[[#This Row],[Sulf]]-INDEX(crudeBD.lkup.complete[Mean_Sulf],MATCH(vp.tbl[[#This Row],[Crude_Breakdown]],crudeBD.lkup.complete[Crude Breakdown],0)))^2,"")</f>
        <v>9.2982219982805162E-2</v>
      </c>
      <c r="AP202">
        <f>IF(AND(vp.tbl[[#This Row],[SDate]]&gt;=DATE(YEAR(vp.tbl[[#This Row],[SDate]]),5,1),vp.tbl[[#This Row],[SDate]]&lt;=DATE(YEAR(vp.tbl[[#This Row],[SDate]]),9,15)),1,0)</f>
        <v>1</v>
      </c>
      <c r="AQ202" s="15">
        <f>IF(vp.tbl[[#This Row],[SDate]]&lt;DATE(2016,12,1),0,1)</f>
        <v>0</v>
      </c>
    </row>
    <row r="203" spans="1:43" x14ac:dyDescent="0.25">
      <c r="A203">
        <v>202</v>
      </c>
      <c r="B203" t="s">
        <v>49</v>
      </c>
      <c r="C203" t="s">
        <v>49</v>
      </c>
      <c r="D203" t="s">
        <v>74</v>
      </c>
      <c r="F203" s="1">
        <v>42527</v>
      </c>
      <c r="G203" s="2">
        <v>116.3</v>
      </c>
      <c r="H203" s="2"/>
      <c r="I203" s="2">
        <v>0.14000000000000001</v>
      </c>
      <c r="J203" s="2"/>
      <c r="K203" s="2"/>
      <c r="L203" s="2">
        <v>802.5</v>
      </c>
      <c r="M203" s="2">
        <v>802.5</v>
      </c>
      <c r="N203" s="2">
        <f ca="1">INDEX(INDIRECT(_xlfn.CONCAT("weather.tbl[",N$1,"]")),MATCH(vp.tbl[[#This Row],[SDate]],weather.tbl[Date],0))</f>
        <v>14.283333333333333</v>
      </c>
      <c r="O203" s="2">
        <f ca="1">INDEX(INDIRECT(_xlfn.CONCAT("weather.tbl[",O$1,"]")),MATCH(vp.tbl[[#This Row],[SDate]],weather.tbl[Date],0))</f>
        <v>15.114285714285716</v>
      </c>
      <c r="P203" s="2">
        <f ca="1">INDEX(INDIRECT(_xlfn.CONCAT("weather.tbl[",P$1,"]")),MATCH(vp.tbl[[#This Row],[SDate]],weather.tbl[Date],0))</f>
        <v>13.5</v>
      </c>
      <c r="Q203" s="2">
        <f ca="1">INDEX(INDIRECT(_xlfn.CONCAT("weather.tbl[",Q$1,"]")),MATCH(vp.tbl[[#This Row],[SDate]],weather.tbl[Date],0))</f>
        <v>13.7</v>
      </c>
      <c r="R203" s="2">
        <f ca="1">INDEX(INDIRECT(_xlfn.CONCAT("weather.tbl[",R$1,"]")),MATCH(vp.tbl[[#This Row],[SDate]],weather.tbl[Date],0))</f>
        <v>14.3</v>
      </c>
      <c r="S203" s="2">
        <f ca="1">INDEX(INDIRECT(_xlfn.CONCAT("weather.tbl[",S$1,"]")),MATCH(vp.tbl[[#This Row],[SDate]],weather.tbl[Date],0))</f>
        <v>15.5</v>
      </c>
      <c r="T203" s="2">
        <f ca="1">INDEX(INDIRECT(_xlfn.CONCAT("weather.tbl[",T$1,"]")),MATCH(vp.tbl[[#This Row],[SDate]],weather.tbl[Date],0))</f>
        <v>14.9</v>
      </c>
      <c r="U203" s="2">
        <f ca="1">INDEX(INDIRECT(_xlfn.CONCAT("weather.tbl[",U$1,"]")),MATCH(vp.tbl[[#This Row],[SDate]],weather.tbl[Date],0))</f>
        <v>13.8</v>
      </c>
      <c r="V203" s="2">
        <v>41537.673000000003</v>
      </c>
      <c r="W203" t="s">
        <v>48</v>
      </c>
      <c r="X203">
        <f>IF(OR(vp.tbl[[#This Row],[Sulf]]="",vp.tbl[[#This Row],[Dens]]=""),1,0)</f>
        <v>0</v>
      </c>
      <c r="Y203">
        <f>IF(vp.tbl[[#This Row],[CrudeType]]="C5+",1,0)</f>
        <v>0</v>
      </c>
      <c r="Z203">
        <f>IF(AND(vp.tbl[[#This Row],[CrudeType]]="Crude",vp.tbl[[#This Row],[Dens]]&lt;=825,vp.tbl[[#This Row],[Sulf]]&gt;0.5,vp.tbl[[#This Row],[Unknown]]=0),1,0)</f>
        <v>0</v>
      </c>
      <c r="AA203">
        <f>IF(AND(vp.tbl[[#This Row],[CrudeType]]="Crude",vp.tbl[[#This Row],[Dens]]&lt;=825,vp.tbl[[#This Row],[Sulf]]&lt;=0.5,vp.tbl[[#This Row],[Unknown]]=0),1,0)</f>
        <v>1</v>
      </c>
      <c r="AB203">
        <f>IF(AND(vp.tbl[[#This Row],[CrudeType]]="Crude",vp.tbl[[#This Row],[Dens]]&gt;825,vp.tbl[[#This Row],[Dens]]&lt;=870,vp.tbl[[#This Row],[Sulf]]&gt;0.5,vp.tbl[[#This Row],[Unknown]]=0),1,0)</f>
        <v>0</v>
      </c>
      <c r="AC203">
        <f>IF(AND(vp.tbl[[#This Row],[CrudeType]]="Crude",vp.tbl[[#This Row],[Dens]]&gt;825,vp.tbl[[#This Row],[Dens]]&lt;=900,vp.tbl[[#This Row],[Sulf]]&lt;=0.5,vp.tbl[[#This Row],[Unknown]]=0),1,0)</f>
        <v>0</v>
      </c>
      <c r="AD203">
        <f>IF(AND(vp.tbl[[#This Row],[CrudeType]]="Crude",vp.tbl[[#This Row],[Dens]]&gt;870,vp.tbl[[#This Row],[Dens]]&lt;=900,vp.tbl[[#This Row],[Sulf]]&gt;0.5,vp.tbl[[#This Row],[Unknown]]=0),1,0)</f>
        <v>0</v>
      </c>
      <c r="AE203">
        <f>IF(AND(vp.tbl[[#This Row],[CrudeType]]="Crude",vp.tbl[[#This Row],[Dens]]&gt;900,vp.tbl[[#This Row],[Sulf]]&lt;=0.5,vp.tbl[[#This Row],[Unknown]]=0),1,0)</f>
        <v>0</v>
      </c>
      <c r="AF203">
        <f>IF(AND(vp.tbl[[#This Row],[CrudeType]]="Crude",vp.tbl[[#This Row],[Dens]]&gt;900,vp.tbl[[#This Row],[Sulf]]&lt;=0.5,vp.tbl[[#This Row],[Unknown]]=0),1,0)</f>
        <v>0</v>
      </c>
      <c r="AG203" t="str">
        <f>INDEX(vp.tbl[[#Headers],[Unknown]:[Heavy_SW]],MATCH(1,vp.tbl[[#This Row],[Unknown]:[Heavy_SW]],0))</f>
        <v>Light_SW</v>
      </c>
      <c r="AH203" t="e">
        <f>INDEX([1]!crudeBD.lkup[Number],MATCH(vp.tbl[[#This Row],[Crude_Breakdown]],[1]!crudeBD.lkup[Crude Breakdown],0))</f>
        <v>#REF!</v>
      </c>
      <c r="AI203">
        <f>MONTH(vp.tbl[[#This Row],[SDate]])</f>
        <v>6</v>
      </c>
      <c r="AJ203" s="5">
        <f>IFERROR(vp.tbl[[#This Row],[Sulf]]*vp.tbl[[#This Row],[Net Dens]],"")</f>
        <v>4666757.5615500007</v>
      </c>
      <c r="AK203" s="5">
        <f>IFERROR(vp.tbl[[#This Row],[Dens]]*vp.tbl[[#This Row],[VolumeM3]],"")</f>
        <v>33333982.582500003</v>
      </c>
      <c r="AL203" s="5">
        <f>IFERROR(vp.tbl[[#This Row],[VP]]*vp.tbl[[#This Row],[VolumeM3]],"")</f>
        <v>4830831.3699000003</v>
      </c>
      <c r="AM203" s="4">
        <f>IFERROR((vp.tbl[[#This Row],[VP]]-INDEX(crudeBD.lkup.complete[Mean_VP],MATCH(vp.tbl[[#This Row],[Crude_Breakdown]],crudeBD.lkup.complete[Crude Breakdown],0)))^2,"")</f>
        <v>564.04760462795593</v>
      </c>
      <c r="AN203" s="4">
        <f>IFERROR((vp.tbl[[#This Row],[Dens]]-INDEX(crudeBD.lkup.complete[Mean_Dens],MATCH(vp.tbl[[#This Row],[Crude_Breakdown]],crudeBD.lkup.complete[Crude Breakdown],0)))^2,"")</f>
        <v>33.773512000871577</v>
      </c>
      <c r="AO203" s="4">
        <f>IFERROR((vp.tbl[[#This Row],[Sulf]]-INDEX(crudeBD.lkup.complete[Mean_Sulf],MATCH(vp.tbl[[#This Row],[Crude_Breakdown]],crudeBD.lkup.complete[Crude Breakdown],0)))^2,"")</f>
        <v>9.2624863475336272E-3</v>
      </c>
      <c r="AP203">
        <f>IF(AND(vp.tbl[[#This Row],[SDate]]&gt;=DATE(YEAR(vp.tbl[[#This Row],[SDate]]),5,1),vp.tbl[[#This Row],[SDate]]&lt;=DATE(YEAR(vp.tbl[[#This Row],[SDate]]),9,15)),1,0)</f>
        <v>1</v>
      </c>
      <c r="AQ203" s="15">
        <f>IF(vp.tbl[[#This Row],[SDate]]&lt;DATE(2016,12,1),0,1)</f>
        <v>0</v>
      </c>
    </row>
    <row r="204" spans="1:43" x14ac:dyDescent="0.25">
      <c r="A204">
        <v>203</v>
      </c>
      <c r="B204" t="s">
        <v>49</v>
      </c>
      <c r="C204" t="s">
        <v>49</v>
      </c>
      <c r="D204" t="s">
        <v>67</v>
      </c>
      <c r="F204" s="1">
        <v>42527</v>
      </c>
      <c r="G204" s="2">
        <v>102.2</v>
      </c>
      <c r="H204" s="2"/>
      <c r="I204" s="2">
        <v>0.21</v>
      </c>
      <c r="J204" s="2"/>
      <c r="K204" s="2"/>
      <c r="L204" s="2">
        <v>803</v>
      </c>
      <c r="M204" s="2">
        <v>803</v>
      </c>
      <c r="N204" s="2">
        <f ca="1">INDEX(INDIRECT(_xlfn.CONCAT("weather.tbl[",N$1,"]")),MATCH(vp.tbl[[#This Row],[SDate]],weather.tbl[Date],0))</f>
        <v>14.283333333333333</v>
      </c>
      <c r="O204" s="2">
        <f ca="1">INDEX(INDIRECT(_xlfn.CONCAT("weather.tbl[",O$1,"]")),MATCH(vp.tbl[[#This Row],[SDate]],weather.tbl[Date],0))</f>
        <v>15.114285714285716</v>
      </c>
      <c r="P204" s="2">
        <f ca="1">INDEX(INDIRECT(_xlfn.CONCAT("weather.tbl[",P$1,"]")),MATCH(vp.tbl[[#This Row],[SDate]],weather.tbl[Date],0))</f>
        <v>13.5</v>
      </c>
      <c r="Q204" s="2">
        <f ca="1">INDEX(INDIRECT(_xlfn.CONCAT("weather.tbl[",Q$1,"]")),MATCH(vp.tbl[[#This Row],[SDate]],weather.tbl[Date],0))</f>
        <v>13.7</v>
      </c>
      <c r="R204" s="2">
        <f ca="1">INDEX(INDIRECT(_xlfn.CONCAT("weather.tbl[",R$1,"]")),MATCH(vp.tbl[[#This Row],[SDate]],weather.tbl[Date],0))</f>
        <v>14.3</v>
      </c>
      <c r="S204" s="2">
        <f ca="1">INDEX(INDIRECT(_xlfn.CONCAT("weather.tbl[",S$1,"]")),MATCH(vp.tbl[[#This Row],[SDate]],weather.tbl[Date],0))</f>
        <v>15.5</v>
      </c>
      <c r="T204" s="2">
        <f ca="1">INDEX(INDIRECT(_xlfn.CONCAT("weather.tbl[",T$1,"]")),MATCH(vp.tbl[[#This Row],[SDate]],weather.tbl[Date],0))</f>
        <v>14.9</v>
      </c>
      <c r="U204" s="2">
        <f ca="1">INDEX(INDIRECT(_xlfn.CONCAT("weather.tbl[",U$1,"]")),MATCH(vp.tbl[[#This Row],[SDate]],weather.tbl[Date],0))</f>
        <v>13.8</v>
      </c>
      <c r="V204" s="2">
        <v>50694.305999999997</v>
      </c>
      <c r="W204" t="s">
        <v>48</v>
      </c>
      <c r="X204">
        <f>IF(OR(vp.tbl[[#This Row],[Sulf]]="",vp.tbl[[#This Row],[Dens]]=""),1,0)</f>
        <v>0</v>
      </c>
      <c r="Y204">
        <f>IF(vp.tbl[[#This Row],[CrudeType]]="C5+",1,0)</f>
        <v>0</v>
      </c>
      <c r="Z204">
        <f>IF(AND(vp.tbl[[#This Row],[CrudeType]]="Crude",vp.tbl[[#This Row],[Dens]]&lt;=825,vp.tbl[[#This Row],[Sulf]]&gt;0.5,vp.tbl[[#This Row],[Unknown]]=0),1,0)</f>
        <v>0</v>
      </c>
      <c r="AA204">
        <f>IF(AND(vp.tbl[[#This Row],[CrudeType]]="Crude",vp.tbl[[#This Row],[Dens]]&lt;=825,vp.tbl[[#This Row],[Sulf]]&lt;=0.5,vp.tbl[[#This Row],[Unknown]]=0),1,0)</f>
        <v>1</v>
      </c>
      <c r="AB204">
        <f>IF(AND(vp.tbl[[#This Row],[CrudeType]]="Crude",vp.tbl[[#This Row],[Dens]]&gt;825,vp.tbl[[#This Row],[Dens]]&lt;=870,vp.tbl[[#This Row],[Sulf]]&gt;0.5,vp.tbl[[#This Row],[Unknown]]=0),1,0)</f>
        <v>0</v>
      </c>
      <c r="AC204">
        <f>IF(AND(vp.tbl[[#This Row],[CrudeType]]="Crude",vp.tbl[[#This Row],[Dens]]&gt;825,vp.tbl[[#This Row],[Dens]]&lt;=900,vp.tbl[[#This Row],[Sulf]]&lt;=0.5,vp.tbl[[#This Row],[Unknown]]=0),1,0)</f>
        <v>0</v>
      </c>
      <c r="AD204">
        <f>IF(AND(vp.tbl[[#This Row],[CrudeType]]="Crude",vp.tbl[[#This Row],[Dens]]&gt;870,vp.tbl[[#This Row],[Dens]]&lt;=900,vp.tbl[[#This Row],[Sulf]]&gt;0.5,vp.tbl[[#This Row],[Unknown]]=0),1,0)</f>
        <v>0</v>
      </c>
      <c r="AE204">
        <f>IF(AND(vp.tbl[[#This Row],[CrudeType]]="Crude",vp.tbl[[#This Row],[Dens]]&gt;900,vp.tbl[[#This Row],[Sulf]]&lt;=0.5,vp.tbl[[#This Row],[Unknown]]=0),1,0)</f>
        <v>0</v>
      </c>
      <c r="AF204">
        <f>IF(AND(vp.tbl[[#This Row],[CrudeType]]="Crude",vp.tbl[[#This Row],[Dens]]&gt;900,vp.tbl[[#This Row],[Sulf]]&lt;=0.5,vp.tbl[[#This Row],[Unknown]]=0),1,0)</f>
        <v>0</v>
      </c>
      <c r="AG204" t="str">
        <f>INDEX(vp.tbl[[#Headers],[Unknown]:[Heavy_SW]],MATCH(1,vp.tbl[[#This Row],[Unknown]:[Heavy_SW]],0))</f>
        <v>Light_SW</v>
      </c>
      <c r="AH204" t="e">
        <f>INDEX([1]!crudeBD.lkup[Number],MATCH(vp.tbl[[#This Row],[Crude_Breakdown]],[1]!crudeBD.lkup[Crude Breakdown],0))</f>
        <v>#REF!</v>
      </c>
      <c r="AI204">
        <f>MONTH(vp.tbl[[#This Row],[SDate]])</f>
        <v>6</v>
      </c>
      <c r="AJ204" s="5">
        <f>IFERROR(vp.tbl[[#This Row],[Sulf]]*vp.tbl[[#This Row],[Net Dens]],"")</f>
        <v>8548580.8207799979</v>
      </c>
      <c r="AK204" s="5">
        <f>IFERROR(vp.tbl[[#This Row],[Dens]]*vp.tbl[[#This Row],[VolumeM3]],"")</f>
        <v>40707527.717999995</v>
      </c>
      <c r="AL204" s="5">
        <f>IFERROR(vp.tbl[[#This Row],[VP]]*vp.tbl[[#This Row],[VolumeM3]],"")</f>
        <v>5180958.0731999995</v>
      </c>
      <c r="AM204" s="4">
        <f>IFERROR((vp.tbl[[#This Row],[VP]]-INDEX(crudeBD.lkup.complete[Mean_VP],MATCH(vp.tbl[[#This Row],[Crude_Breakdown]],crudeBD.lkup.complete[Crude Breakdown],0)))^2,"")</f>
        <v>93.116447833530231</v>
      </c>
      <c r="AN204" s="4">
        <f>IFERROR((vp.tbl[[#This Row],[Dens]]-INDEX(crudeBD.lkup.complete[Mean_Dens],MATCH(vp.tbl[[#This Row],[Crude_Breakdown]],crudeBD.lkup.complete[Crude Breakdown],0)))^2,"")</f>
        <v>28.212013743032074</v>
      </c>
      <c r="AO204" s="4">
        <f>IFERROR((vp.tbl[[#This Row],[Sulf]]-INDEX(crudeBD.lkup.complete[Mean_Sulf],MATCH(vp.tbl[[#This Row],[Crude_Breakdown]],crudeBD.lkup.complete[Crude Breakdown],0)))^2,"")</f>
        <v>6.8863268899706654E-4</v>
      </c>
      <c r="AP204">
        <f>IF(AND(vp.tbl[[#This Row],[SDate]]&gt;=DATE(YEAR(vp.tbl[[#This Row],[SDate]]),5,1),vp.tbl[[#This Row],[SDate]]&lt;=DATE(YEAR(vp.tbl[[#This Row],[SDate]]),9,15)),1,0)</f>
        <v>1</v>
      </c>
      <c r="AQ204" s="15">
        <f>IF(vp.tbl[[#This Row],[SDate]]&lt;DATE(2016,12,1),0,1)</f>
        <v>0</v>
      </c>
    </row>
    <row r="205" spans="1:43" x14ac:dyDescent="0.25">
      <c r="A205">
        <v>204</v>
      </c>
      <c r="B205" t="s">
        <v>62</v>
      </c>
      <c r="C205" t="s">
        <v>62</v>
      </c>
      <c r="D205" t="s">
        <v>83</v>
      </c>
      <c r="F205" s="1">
        <v>42527</v>
      </c>
      <c r="G205" s="2">
        <v>78.099999999999994</v>
      </c>
      <c r="H205" s="2"/>
      <c r="I205" s="2">
        <v>0.19</v>
      </c>
      <c r="J205" s="2"/>
      <c r="K205" s="2"/>
      <c r="L205" s="2">
        <v>813</v>
      </c>
      <c r="M205" s="2">
        <v>813</v>
      </c>
      <c r="N205" s="2">
        <f ca="1">INDEX(INDIRECT(_xlfn.CONCAT("weather.tbl[",N$1,"]")),MATCH(vp.tbl[[#This Row],[SDate]],weather.tbl[Date],0))</f>
        <v>14.283333333333333</v>
      </c>
      <c r="O205" s="2">
        <f ca="1">INDEX(INDIRECT(_xlfn.CONCAT("weather.tbl[",O$1,"]")),MATCH(vp.tbl[[#This Row],[SDate]],weather.tbl[Date],0))</f>
        <v>15.114285714285716</v>
      </c>
      <c r="P205" s="2">
        <f ca="1">INDEX(INDIRECT(_xlfn.CONCAT("weather.tbl[",P$1,"]")),MATCH(vp.tbl[[#This Row],[SDate]],weather.tbl[Date],0))</f>
        <v>13.5</v>
      </c>
      <c r="Q205" s="2">
        <f ca="1">INDEX(INDIRECT(_xlfn.CONCAT("weather.tbl[",Q$1,"]")),MATCH(vp.tbl[[#This Row],[SDate]],weather.tbl[Date],0))</f>
        <v>13.7</v>
      </c>
      <c r="R205" s="2">
        <f ca="1">INDEX(INDIRECT(_xlfn.CONCAT("weather.tbl[",R$1,"]")),MATCH(vp.tbl[[#This Row],[SDate]],weather.tbl[Date],0))</f>
        <v>14.3</v>
      </c>
      <c r="S205" s="2">
        <f ca="1">INDEX(INDIRECT(_xlfn.CONCAT("weather.tbl[",S$1,"]")),MATCH(vp.tbl[[#This Row],[SDate]],weather.tbl[Date],0))</f>
        <v>15.5</v>
      </c>
      <c r="T205" s="2">
        <f ca="1">INDEX(INDIRECT(_xlfn.CONCAT("weather.tbl[",T$1,"]")),MATCH(vp.tbl[[#This Row],[SDate]],weather.tbl[Date],0))</f>
        <v>14.9</v>
      </c>
      <c r="U205" s="2">
        <f ca="1">INDEX(INDIRECT(_xlfn.CONCAT("weather.tbl[",U$1,"]")),MATCH(vp.tbl[[#This Row],[SDate]],weather.tbl[Date],0))</f>
        <v>13.8</v>
      </c>
      <c r="V205" s="2">
        <v>9721.509</v>
      </c>
      <c r="W205" t="s">
        <v>48</v>
      </c>
      <c r="X205">
        <f>IF(OR(vp.tbl[[#This Row],[Sulf]]="",vp.tbl[[#This Row],[Dens]]=""),1,0)</f>
        <v>0</v>
      </c>
      <c r="Y205">
        <f>IF(vp.tbl[[#This Row],[CrudeType]]="C5+",1,0)</f>
        <v>0</v>
      </c>
      <c r="Z205">
        <f>IF(AND(vp.tbl[[#This Row],[CrudeType]]="Crude",vp.tbl[[#This Row],[Dens]]&lt;=825,vp.tbl[[#This Row],[Sulf]]&gt;0.5,vp.tbl[[#This Row],[Unknown]]=0),1,0)</f>
        <v>0</v>
      </c>
      <c r="AA205">
        <f>IF(AND(vp.tbl[[#This Row],[CrudeType]]="Crude",vp.tbl[[#This Row],[Dens]]&lt;=825,vp.tbl[[#This Row],[Sulf]]&lt;=0.5,vp.tbl[[#This Row],[Unknown]]=0),1,0)</f>
        <v>1</v>
      </c>
      <c r="AB205">
        <f>IF(AND(vp.tbl[[#This Row],[CrudeType]]="Crude",vp.tbl[[#This Row],[Dens]]&gt;825,vp.tbl[[#This Row],[Dens]]&lt;=870,vp.tbl[[#This Row],[Sulf]]&gt;0.5,vp.tbl[[#This Row],[Unknown]]=0),1,0)</f>
        <v>0</v>
      </c>
      <c r="AC205">
        <f>IF(AND(vp.tbl[[#This Row],[CrudeType]]="Crude",vp.tbl[[#This Row],[Dens]]&gt;825,vp.tbl[[#This Row],[Dens]]&lt;=900,vp.tbl[[#This Row],[Sulf]]&lt;=0.5,vp.tbl[[#This Row],[Unknown]]=0),1,0)</f>
        <v>0</v>
      </c>
      <c r="AD205">
        <f>IF(AND(vp.tbl[[#This Row],[CrudeType]]="Crude",vp.tbl[[#This Row],[Dens]]&gt;870,vp.tbl[[#This Row],[Dens]]&lt;=900,vp.tbl[[#This Row],[Sulf]]&gt;0.5,vp.tbl[[#This Row],[Unknown]]=0),1,0)</f>
        <v>0</v>
      </c>
      <c r="AE205">
        <f>IF(AND(vp.tbl[[#This Row],[CrudeType]]="Crude",vp.tbl[[#This Row],[Dens]]&gt;900,vp.tbl[[#This Row],[Sulf]]&lt;=0.5,vp.tbl[[#This Row],[Unknown]]=0),1,0)</f>
        <v>0</v>
      </c>
      <c r="AF205">
        <f>IF(AND(vp.tbl[[#This Row],[CrudeType]]="Crude",vp.tbl[[#This Row],[Dens]]&gt;900,vp.tbl[[#This Row],[Sulf]]&lt;=0.5,vp.tbl[[#This Row],[Unknown]]=0),1,0)</f>
        <v>0</v>
      </c>
      <c r="AG205" t="str">
        <f>INDEX(vp.tbl[[#Headers],[Unknown]:[Heavy_SW]],MATCH(1,vp.tbl[[#This Row],[Unknown]:[Heavy_SW]],0))</f>
        <v>Light_SW</v>
      </c>
      <c r="AH205" t="e">
        <f>INDEX([1]!crudeBD.lkup[Number],MATCH(vp.tbl[[#This Row],[Crude_Breakdown]],[1]!crudeBD.lkup[Crude Breakdown],0))</f>
        <v>#REF!</v>
      </c>
      <c r="AI205">
        <f>MONTH(vp.tbl[[#This Row],[SDate]])</f>
        <v>6</v>
      </c>
      <c r="AJ205" s="5">
        <f>IFERROR(vp.tbl[[#This Row],[Sulf]]*vp.tbl[[#This Row],[Net Dens]],"")</f>
        <v>1501681.49523</v>
      </c>
      <c r="AK205" s="5">
        <f>IFERROR(vp.tbl[[#This Row],[Dens]]*vp.tbl[[#This Row],[VolumeM3]],"")</f>
        <v>7903586.8169999998</v>
      </c>
      <c r="AL205" s="5">
        <f>IFERROR(vp.tbl[[#This Row],[VP]]*vp.tbl[[#This Row],[VolumeM3]],"")</f>
        <v>759249.85289999994</v>
      </c>
      <c r="AM205" s="4">
        <f>IFERROR((vp.tbl[[#This Row],[VP]]-INDEX(crudeBD.lkup.complete[Mean_VP],MATCH(vp.tbl[[#This Row],[Crude_Breakdown]],crudeBD.lkup.complete[Crude Breakdown],0)))^2,"")</f>
        <v>208.81156281610731</v>
      </c>
      <c r="AN205" s="4">
        <f>IFERROR((vp.tbl[[#This Row],[Dens]]-INDEX(crudeBD.lkup.complete[Mean_Dens],MATCH(vp.tbl[[#This Row],[Crude_Breakdown]],crudeBD.lkup.complete[Crude Breakdown],0)))^2,"")</f>
        <v>21.982048586242016</v>
      </c>
      <c r="AO205" s="4">
        <f>IFERROR((vp.tbl[[#This Row],[Sulf]]-INDEX(crudeBD.lkup.complete[Mean_Sulf],MATCH(vp.tbl[[#This Row],[Crude_Breakdown]],crudeBD.lkup.complete[Crude Breakdown],0)))^2,"")</f>
        <v>2.1383051628646554E-3</v>
      </c>
      <c r="AP205">
        <f>IF(AND(vp.tbl[[#This Row],[SDate]]&gt;=DATE(YEAR(vp.tbl[[#This Row],[SDate]]),5,1),vp.tbl[[#This Row],[SDate]]&lt;=DATE(YEAR(vp.tbl[[#This Row],[SDate]]),9,15)),1,0)</f>
        <v>1</v>
      </c>
      <c r="AQ205" s="15">
        <f>IF(vp.tbl[[#This Row],[SDate]]&lt;DATE(2016,12,1),0,1)</f>
        <v>0</v>
      </c>
    </row>
    <row r="206" spans="1:43" x14ac:dyDescent="0.25">
      <c r="A206">
        <v>205</v>
      </c>
      <c r="B206" t="s">
        <v>62</v>
      </c>
      <c r="C206" t="s">
        <v>62</v>
      </c>
      <c r="D206" t="s">
        <v>83</v>
      </c>
      <c r="F206" s="1">
        <v>42527</v>
      </c>
      <c r="G206" s="2">
        <v>78.599999999999994</v>
      </c>
      <c r="H206" s="2"/>
      <c r="I206" s="2">
        <v>0.19</v>
      </c>
      <c r="J206" s="2"/>
      <c r="K206" s="2"/>
      <c r="L206" s="2">
        <v>813</v>
      </c>
      <c r="M206" s="2">
        <v>813</v>
      </c>
      <c r="N206" s="2">
        <f ca="1">INDEX(INDIRECT(_xlfn.CONCAT("weather.tbl[",N$1,"]")),MATCH(vp.tbl[[#This Row],[SDate]],weather.tbl[Date],0))</f>
        <v>14.283333333333333</v>
      </c>
      <c r="O206" s="2">
        <f ca="1">INDEX(INDIRECT(_xlfn.CONCAT("weather.tbl[",O$1,"]")),MATCH(vp.tbl[[#This Row],[SDate]],weather.tbl[Date],0))</f>
        <v>15.114285714285716</v>
      </c>
      <c r="P206" s="2">
        <f ca="1">INDEX(INDIRECT(_xlfn.CONCAT("weather.tbl[",P$1,"]")),MATCH(vp.tbl[[#This Row],[SDate]],weather.tbl[Date],0))</f>
        <v>13.5</v>
      </c>
      <c r="Q206" s="2">
        <f ca="1">INDEX(INDIRECT(_xlfn.CONCAT("weather.tbl[",Q$1,"]")),MATCH(vp.tbl[[#This Row],[SDate]],weather.tbl[Date],0))</f>
        <v>13.7</v>
      </c>
      <c r="R206" s="2">
        <f ca="1">INDEX(INDIRECT(_xlfn.CONCAT("weather.tbl[",R$1,"]")),MATCH(vp.tbl[[#This Row],[SDate]],weather.tbl[Date],0))</f>
        <v>14.3</v>
      </c>
      <c r="S206" s="2">
        <f ca="1">INDEX(INDIRECT(_xlfn.CONCAT("weather.tbl[",S$1,"]")),MATCH(vp.tbl[[#This Row],[SDate]],weather.tbl[Date],0))</f>
        <v>15.5</v>
      </c>
      <c r="T206" s="2">
        <f ca="1">INDEX(INDIRECT(_xlfn.CONCAT("weather.tbl[",T$1,"]")),MATCH(vp.tbl[[#This Row],[SDate]],weather.tbl[Date],0))</f>
        <v>14.9</v>
      </c>
      <c r="U206" s="2">
        <f ca="1">INDEX(INDIRECT(_xlfn.CONCAT("weather.tbl[",U$1,"]")),MATCH(vp.tbl[[#This Row],[SDate]],weather.tbl[Date],0))</f>
        <v>13.8</v>
      </c>
      <c r="V206" s="2">
        <v>9721.509</v>
      </c>
      <c r="W206" t="s">
        <v>48</v>
      </c>
      <c r="X206">
        <f>IF(OR(vp.tbl[[#This Row],[Sulf]]="",vp.tbl[[#This Row],[Dens]]=""),1,0)</f>
        <v>0</v>
      </c>
      <c r="Y206">
        <f>IF(vp.tbl[[#This Row],[CrudeType]]="C5+",1,0)</f>
        <v>0</v>
      </c>
      <c r="Z206">
        <f>IF(AND(vp.tbl[[#This Row],[CrudeType]]="Crude",vp.tbl[[#This Row],[Dens]]&lt;=825,vp.tbl[[#This Row],[Sulf]]&gt;0.5,vp.tbl[[#This Row],[Unknown]]=0),1,0)</f>
        <v>0</v>
      </c>
      <c r="AA206">
        <f>IF(AND(vp.tbl[[#This Row],[CrudeType]]="Crude",vp.tbl[[#This Row],[Dens]]&lt;=825,vp.tbl[[#This Row],[Sulf]]&lt;=0.5,vp.tbl[[#This Row],[Unknown]]=0),1,0)</f>
        <v>1</v>
      </c>
      <c r="AB206">
        <f>IF(AND(vp.tbl[[#This Row],[CrudeType]]="Crude",vp.tbl[[#This Row],[Dens]]&gt;825,vp.tbl[[#This Row],[Dens]]&lt;=870,vp.tbl[[#This Row],[Sulf]]&gt;0.5,vp.tbl[[#This Row],[Unknown]]=0),1,0)</f>
        <v>0</v>
      </c>
      <c r="AC206">
        <f>IF(AND(vp.tbl[[#This Row],[CrudeType]]="Crude",vp.tbl[[#This Row],[Dens]]&gt;825,vp.tbl[[#This Row],[Dens]]&lt;=900,vp.tbl[[#This Row],[Sulf]]&lt;=0.5,vp.tbl[[#This Row],[Unknown]]=0),1,0)</f>
        <v>0</v>
      </c>
      <c r="AD206">
        <f>IF(AND(vp.tbl[[#This Row],[CrudeType]]="Crude",vp.tbl[[#This Row],[Dens]]&gt;870,vp.tbl[[#This Row],[Dens]]&lt;=900,vp.tbl[[#This Row],[Sulf]]&gt;0.5,vp.tbl[[#This Row],[Unknown]]=0),1,0)</f>
        <v>0</v>
      </c>
      <c r="AE206">
        <f>IF(AND(vp.tbl[[#This Row],[CrudeType]]="Crude",vp.tbl[[#This Row],[Dens]]&gt;900,vp.tbl[[#This Row],[Sulf]]&lt;=0.5,vp.tbl[[#This Row],[Unknown]]=0),1,0)</f>
        <v>0</v>
      </c>
      <c r="AF206">
        <f>IF(AND(vp.tbl[[#This Row],[CrudeType]]="Crude",vp.tbl[[#This Row],[Dens]]&gt;900,vp.tbl[[#This Row],[Sulf]]&lt;=0.5,vp.tbl[[#This Row],[Unknown]]=0),1,0)</f>
        <v>0</v>
      </c>
      <c r="AG206" t="str">
        <f>INDEX(vp.tbl[[#Headers],[Unknown]:[Heavy_SW]],MATCH(1,vp.tbl[[#This Row],[Unknown]:[Heavy_SW]],0))</f>
        <v>Light_SW</v>
      </c>
      <c r="AH206" t="e">
        <f>INDEX([1]!crudeBD.lkup[Number],MATCH(vp.tbl[[#This Row],[Crude_Breakdown]],[1]!crudeBD.lkup[Crude Breakdown],0))</f>
        <v>#REF!</v>
      </c>
      <c r="AI206">
        <f>MONTH(vp.tbl[[#This Row],[SDate]])</f>
        <v>6</v>
      </c>
      <c r="AJ206" s="5">
        <f>IFERROR(vp.tbl[[#This Row],[Sulf]]*vp.tbl[[#This Row],[Net Dens]],"")</f>
        <v>1501681.49523</v>
      </c>
      <c r="AK206" s="5">
        <f>IFERROR(vp.tbl[[#This Row],[Dens]]*vp.tbl[[#This Row],[VolumeM3]],"")</f>
        <v>7903586.8169999998</v>
      </c>
      <c r="AL206" s="5">
        <f>IFERROR(vp.tbl[[#This Row],[VP]]*vp.tbl[[#This Row],[VolumeM3]],"")</f>
        <v>764110.60739999998</v>
      </c>
      <c r="AM206" s="4">
        <f>IFERROR((vp.tbl[[#This Row],[VP]]-INDEX(crudeBD.lkup.complete[Mean_VP],MATCH(vp.tbl[[#This Row],[Crude_Breakdown]],crudeBD.lkup.complete[Crude Breakdown],0)))^2,"")</f>
        <v>194.61124922725716</v>
      </c>
      <c r="AN206" s="4">
        <f>IFERROR((vp.tbl[[#This Row],[Dens]]-INDEX(crudeBD.lkup.complete[Mean_Dens],MATCH(vp.tbl[[#This Row],[Crude_Breakdown]],crudeBD.lkup.complete[Crude Breakdown],0)))^2,"")</f>
        <v>21.982048586242016</v>
      </c>
      <c r="AO206" s="4">
        <f>IFERROR((vp.tbl[[#This Row],[Sulf]]-INDEX(crudeBD.lkup.complete[Mean_Sulf],MATCH(vp.tbl[[#This Row],[Crude_Breakdown]],crudeBD.lkup.complete[Crude Breakdown],0)))^2,"")</f>
        <v>2.1383051628646554E-3</v>
      </c>
      <c r="AP206">
        <f>IF(AND(vp.tbl[[#This Row],[SDate]]&gt;=DATE(YEAR(vp.tbl[[#This Row],[SDate]]),5,1),vp.tbl[[#This Row],[SDate]]&lt;=DATE(YEAR(vp.tbl[[#This Row],[SDate]]),9,15)),1,0)</f>
        <v>1</v>
      </c>
      <c r="AQ206" s="15">
        <f>IF(vp.tbl[[#This Row],[SDate]]&lt;DATE(2016,12,1),0,1)</f>
        <v>0</v>
      </c>
    </row>
    <row r="207" spans="1:43" x14ac:dyDescent="0.25">
      <c r="A207">
        <v>206</v>
      </c>
      <c r="B207" t="s">
        <v>62</v>
      </c>
      <c r="C207" t="s">
        <v>62</v>
      </c>
      <c r="D207" t="s">
        <v>87</v>
      </c>
      <c r="F207" s="1">
        <v>42527</v>
      </c>
      <c r="G207" s="2">
        <v>75.599999999999994</v>
      </c>
      <c r="H207" s="2"/>
      <c r="I207" s="2">
        <v>0.17</v>
      </c>
      <c r="J207" s="2"/>
      <c r="K207" s="2"/>
      <c r="L207" s="2">
        <v>814.6</v>
      </c>
      <c r="M207" s="2">
        <v>814.6</v>
      </c>
      <c r="N207" s="2">
        <f ca="1">INDEX(INDIRECT(_xlfn.CONCAT("weather.tbl[",N$1,"]")),MATCH(vp.tbl[[#This Row],[SDate]],weather.tbl[Date],0))</f>
        <v>14.283333333333333</v>
      </c>
      <c r="O207" s="2">
        <f ca="1">INDEX(INDIRECT(_xlfn.CONCAT("weather.tbl[",O$1,"]")),MATCH(vp.tbl[[#This Row],[SDate]],weather.tbl[Date],0))</f>
        <v>15.114285714285716</v>
      </c>
      <c r="P207" s="2">
        <f ca="1">INDEX(INDIRECT(_xlfn.CONCAT("weather.tbl[",P$1,"]")),MATCH(vp.tbl[[#This Row],[SDate]],weather.tbl[Date],0))</f>
        <v>13.5</v>
      </c>
      <c r="Q207" s="2">
        <f ca="1">INDEX(INDIRECT(_xlfn.CONCAT("weather.tbl[",Q$1,"]")),MATCH(vp.tbl[[#This Row],[SDate]],weather.tbl[Date],0))</f>
        <v>13.7</v>
      </c>
      <c r="R207" s="2">
        <f ca="1">INDEX(INDIRECT(_xlfn.CONCAT("weather.tbl[",R$1,"]")),MATCH(vp.tbl[[#This Row],[SDate]],weather.tbl[Date],0))</f>
        <v>14.3</v>
      </c>
      <c r="S207" s="2">
        <f ca="1">INDEX(INDIRECT(_xlfn.CONCAT("weather.tbl[",S$1,"]")),MATCH(vp.tbl[[#This Row],[SDate]],weather.tbl[Date],0))</f>
        <v>15.5</v>
      </c>
      <c r="T207" s="2">
        <f ca="1">INDEX(INDIRECT(_xlfn.CONCAT("weather.tbl[",T$1,"]")),MATCH(vp.tbl[[#This Row],[SDate]],weather.tbl[Date],0))</f>
        <v>14.9</v>
      </c>
      <c r="U207" s="2">
        <f ca="1">INDEX(INDIRECT(_xlfn.CONCAT("weather.tbl[",U$1,"]")),MATCH(vp.tbl[[#This Row],[SDate]],weather.tbl[Date],0))</f>
        <v>13.8</v>
      </c>
      <c r="V207" s="2">
        <v>8305.3240000000005</v>
      </c>
      <c r="W207" t="s">
        <v>48</v>
      </c>
      <c r="X207">
        <f>IF(OR(vp.tbl[[#This Row],[Sulf]]="",vp.tbl[[#This Row],[Dens]]=""),1,0)</f>
        <v>0</v>
      </c>
      <c r="Y207">
        <f>IF(vp.tbl[[#This Row],[CrudeType]]="C5+",1,0)</f>
        <v>0</v>
      </c>
      <c r="Z207">
        <f>IF(AND(vp.tbl[[#This Row],[CrudeType]]="Crude",vp.tbl[[#This Row],[Dens]]&lt;=825,vp.tbl[[#This Row],[Sulf]]&gt;0.5,vp.tbl[[#This Row],[Unknown]]=0),1,0)</f>
        <v>0</v>
      </c>
      <c r="AA207">
        <f>IF(AND(vp.tbl[[#This Row],[CrudeType]]="Crude",vp.tbl[[#This Row],[Dens]]&lt;=825,vp.tbl[[#This Row],[Sulf]]&lt;=0.5,vp.tbl[[#This Row],[Unknown]]=0),1,0)</f>
        <v>1</v>
      </c>
      <c r="AB207">
        <f>IF(AND(vp.tbl[[#This Row],[CrudeType]]="Crude",vp.tbl[[#This Row],[Dens]]&gt;825,vp.tbl[[#This Row],[Dens]]&lt;=870,vp.tbl[[#This Row],[Sulf]]&gt;0.5,vp.tbl[[#This Row],[Unknown]]=0),1,0)</f>
        <v>0</v>
      </c>
      <c r="AC207">
        <f>IF(AND(vp.tbl[[#This Row],[CrudeType]]="Crude",vp.tbl[[#This Row],[Dens]]&gt;825,vp.tbl[[#This Row],[Dens]]&lt;=900,vp.tbl[[#This Row],[Sulf]]&lt;=0.5,vp.tbl[[#This Row],[Unknown]]=0),1,0)</f>
        <v>0</v>
      </c>
      <c r="AD207">
        <f>IF(AND(vp.tbl[[#This Row],[CrudeType]]="Crude",vp.tbl[[#This Row],[Dens]]&gt;870,vp.tbl[[#This Row],[Dens]]&lt;=900,vp.tbl[[#This Row],[Sulf]]&gt;0.5,vp.tbl[[#This Row],[Unknown]]=0),1,0)</f>
        <v>0</v>
      </c>
      <c r="AE207">
        <f>IF(AND(vp.tbl[[#This Row],[CrudeType]]="Crude",vp.tbl[[#This Row],[Dens]]&gt;900,vp.tbl[[#This Row],[Sulf]]&lt;=0.5,vp.tbl[[#This Row],[Unknown]]=0),1,0)</f>
        <v>0</v>
      </c>
      <c r="AF207">
        <f>IF(AND(vp.tbl[[#This Row],[CrudeType]]="Crude",vp.tbl[[#This Row],[Dens]]&gt;900,vp.tbl[[#This Row],[Sulf]]&lt;=0.5,vp.tbl[[#This Row],[Unknown]]=0),1,0)</f>
        <v>0</v>
      </c>
      <c r="AG207" t="str">
        <f>INDEX(vp.tbl[[#Headers],[Unknown]:[Heavy_SW]],MATCH(1,vp.tbl[[#This Row],[Unknown]:[Heavy_SW]],0))</f>
        <v>Light_SW</v>
      </c>
      <c r="AH207" t="e">
        <f>INDEX([1]!crudeBD.lkup[Number],MATCH(vp.tbl[[#This Row],[Crude_Breakdown]],[1]!crudeBD.lkup[Crude Breakdown],0))</f>
        <v>#REF!</v>
      </c>
      <c r="AI207">
        <f>MONTH(vp.tbl[[#This Row],[SDate]])</f>
        <v>6</v>
      </c>
      <c r="AJ207" s="5">
        <f>IFERROR(vp.tbl[[#This Row],[Sulf]]*vp.tbl[[#This Row],[Net Dens]],"")</f>
        <v>1150137.8781680001</v>
      </c>
      <c r="AK207" s="5">
        <f>IFERROR(vp.tbl[[#This Row],[Dens]]*vp.tbl[[#This Row],[VolumeM3]],"")</f>
        <v>6765516.9304000009</v>
      </c>
      <c r="AL207" s="5">
        <f>IFERROR(vp.tbl[[#This Row],[VP]]*vp.tbl[[#This Row],[VolumeM3]],"")</f>
        <v>627882.49439999997</v>
      </c>
      <c r="AM207" s="4">
        <f>IFERROR((vp.tbl[[#This Row],[VP]]-INDEX(crudeBD.lkup.complete[Mean_VP],MATCH(vp.tbl[[#This Row],[Crude_Breakdown]],crudeBD.lkup.complete[Crude Breakdown],0)))^2,"")</f>
        <v>287.31313076035809</v>
      </c>
      <c r="AN207" s="4">
        <f>IFERROR((vp.tbl[[#This Row],[Dens]]-INDEX(crudeBD.lkup.complete[Mean_Dens],MATCH(vp.tbl[[#This Row],[Crude_Breakdown]],crudeBD.lkup.complete[Crude Breakdown],0)))^2,"")</f>
        <v>39.545254161155896</v>
      </c>
      <c r="AO207" s="4">
        <f>IFERROR((vp.tbl[[#This Row],[Sulf]]-INDEX(crudeBD.lkup.complete[Mean_Sulf],MATCH(vp.tbl[[#This Row],[Crude_Breakdown]],crudeBD.lkup.complete[Crude Breakdown],0)))^2,"")</f>
        <v>4.3879776367322437E-3</v>
      </c>
      <c r="AP207">
        <f>IF(AND(vp.tbl[[#This Row],[SDate]]&gt;=DATE(YEAR(vp.tbl[[#This Row],[SDate]]),5,1),vp.tbl[[#This Row],[SDate]]&lt;=DATE(YEAR(vp.tbl[[#This Row],[SDate]]),9,15)),1,0)</f>
        <v>1</v>
      </c>
      <c r="AQ207" s="15">
        <f>IF(vp.tbl[[#This Row],[SDate]]&lt;DATE(2016,12,1),0,1)</f>
        <v>0</v>
      </c>
    </row>
    <row r="208" spans="1:43" x14ac:dyDescent="0.25">
      <c r="A208">
        <v>207</v>
      </c>
      <c r="B208" t="s">
        <v>62</v>
      </c>
      <c r="C208" t="s">
        <v>62</v>
      </c>
      <c r="D208" t="s">
        <v>63</v>
      </c>
      <c r="F208" s="1">
        <v>42527</v>
      </c>
      <c r="G208" s="2">
        <v>88.9</v>
      </c>
      <c r="H208" s="2"/>
      <c r="I208" s="2">
        <v>1.26</v>
      </c>
      <c r="J208" s="2"/>
      <c r="K208" s="2"/>
      <c r="L208" s="2">
        <v>830.7</v>
      </c>
      <c r="M208" s="2">
        <v>830.7</v>
      </c>
      <c r="N208" s="2">
        <f ca="1">INDEX(INDIRECT(_xlfn.CONCAT("weather.tbl[",N$1,"]")),MATCH(vp.tbl[[#This Row],[SDate]],weather.tbl[Date],0))</f>
        <v>14.283333333333333</v>
      </c>
      <c r="O208" s="2">
        <f ca="1">INDEX(INDIRECT(_xlfn.CONCAT("weather.tbl[",O$1,"]")),MATCH(vp.tbl[[#This Row],[SDate]],weather.tbl[Date],0))</f>
        <v>15.114285714285716</v>
      </c>
      <c r="P208" s="2">
        <f ca="1">INDEX(INDIRECT(_xlfn.CONCAT("weather.tbl[",P$1,"]")),MATCH(vp.tbl[[#This Row],[SDate]],weather.tbl[Date],0))</f>
        <v>13.5</v>
      </c>
      <c r="Q208" s="2">
        <f ca="1">INDEX(INDIRECT(_xlfn.CONCAT("weather.tbl[",Q$1,"]")),MATCH(vp.tbl[[#This Row],[SDate]],weather.tbl[Date],0))</f>
        <v>13.7</v>
      </c>
      <c r="R208" s="2">
        <f ca="1">INDEX(INDIRECT(_xlfn.CONCAT("weather.tbl[",R$1,"]")),MATCH(vp.tbl[[#This Row],[SDate]],weather.tbl[Date],0))</f>
        <v>14.3</v>
      </c>
      <c r="S208" s="2">
        <f ca="1">INDEX(INDIRECT(_xlfn.CONCAT("weather.tbl[",S$1,"]")),MATCH(vp.tbl[[#This Row],[SDate]],weather.tbl[Date],0))</f>
        <v>15.5</v>
      </c>
      <c r="T208" s="2">
        <f ca="1">INDEX(INDIRECT(_xlfn.CONCAT("weather.tbl[",T$1,"]")),MATCH(vp.tbl[[#This Row],[SDate]],weather.tbl[Date],0))</f>
        <v>14.9</v>
      </c>
      <c r="U208" s="2">
        <f ca="1">INDEX(INDIRECT(_xlfn.CONCAT("weather.tbl[",U$1,"]")),MATCH(vp.tbl[[#This Row],[SDate]],weather.tbl[Date],0))</f>
        <v>13.8</v>
      </c>
      <c r="V208" s="2">
        <v>4896.7079999999996</v>
      </c>
      <c r="W208" t="s">
        <v>48</v>
      </c>
      <c r="X208">
        <f>IF(OR(vp.tbl[[#This Row],[Sulf]]="",vp.tbl[[#This Row],[Dens]]=""),1,0)</f>
        <v>0</v>
      </c>
      <c r="Y208">
        <f>IF(vp.tbl[[#This Row],[CrudeType]]="C5+",1,0)</f>
        <v>0</v>
      </c>
      <c r="Z208">
        <f>IF(AND(vp.tbl[[#This Row],[CrudeType]]="Crude",vp.tbl[[#This Row],[Dens]]&lt;=825,vp.tbl[[#This Row],[Sulf]]&gt;0.5,vp.tbl[[#This Row],[Unknown]]=0),1,0)</f>
        <v>0</v>
      </c>
      <c r="AA208">
        <f>IF(AND(vp.tbl[[#This Row],[CrudeType]]="Crude",vp.tbl[[#This Row],[Dens]]&lt;=825,vp.tbl[[#This Row],[Sulf]]&lt;=0.5,vp.tbl[[#This Row],[Unknown]]=0),1,0)</f>
        <v>0</v>
      </c>
      <c r="AB208">
        <f>IF(AND(vp.tbl[[#This Row],[CrudeType]]="Crude",vp.tbl[[#This Row],[Dens]]&gt;825,vp.tbl[[#This Row],[Dens]]&lt;=870,vp.tbl[[#This Row],[Sulf]]&gt;0.5,vp.tbl[[#This Row],[Unknown]]=0),1,0)</f>
        <v>1</v>
      </c>
      <c r="AC208">
        <f>IF(AND(vp.tbl[[#This Row],[CrudeType]]="Crude",vp.tbl[[#This Row],[Dens]]&gt;825,vp.tbl[[#This Row],[Dens]]&lt;=900,vp.tbl[[#This Row],[Sulf]]&lt;=0.5,vp.tbl[[#This Row],[Unknown]]=0),1,0)</f>
        <v>0</v>
      </c>
      <c r="AD208">
        <f>IF(AND(vp.tbl[[#This Row],[CrudeType]]="Crude",vp.tbl[[#This Row],[Dens]]&gt;870,vp.tbl[[#This Row],[Dens]]&lt;=900,vp.tbl[[#This Row],[Sulf]]&gt;0.5,vp.tbl[[#This Row],[Unknown]]=0),1,0)</f>
        <v>0</v>
      </c>
      <c r="AE208">
        <f>IF(AND(vp.tbl[[#This Row],[CrudeType]]="Crude",vp.tbl[[#This Row],[Dens]]&gt;900,vp.tbl[[#This Row],[Sulf]]&lt;=0.5,vp.tbl[[#This Row],[Unknown]]=0),1,0)</f>
        <v>0</v>
      </c>
      <c r="AF208">
        <f>IF(AND(vp.tbl[[#This Row],[CrudeType]]="Crude",vp.tbl[[#This Row],[Dens]]&gt;900,vp.tbl[[#This Row],[Sulf]]&lt;=0.5,vp.tbl[[#This Row],[Unknown]]=0),1,0)</f>
        <v>0</v>
      </c>
      <c r="AG208" t="str">
        <f>INDEX(vp.tbl[[#Headers],[Unknown]:[Heavy_SW]],MATCH(1,vp.tbl[[#This Row],[Unknown]:[Heavy_SW]],0))</f>
        <v>Medium_LSB</v>
      </c>
      <c r="AH208" t="e">
        <f>INDEX([1]!crudeBD.lkup[Number],MATCH(vp.tbl[[#This Row],[Crude_Breakdown]],[1]!crudeBD.lkup[Crude Breakdown],0))</f>
        <v>#REF!</v>
      </c>
      <c r="AI208">
        <f>MONTH(vp.tbl[[#This Row],[SDate]])</f>
        <v>6</v>
      </c>
      <c r="AJ208" s="5">
        <f>IFERROR(vp.tbl[[#This Row],[Sulf]]*vp.tbl[[#This Row],[Net Dens]],"")</f>
        <v>5125296.1228559995</v>
      </c>
      <c r="AK208" s="5">
        <f>IFERROR(vp.tbl[[#This Row],[Dens]]*vp.tbl[[#This Row],[VolumeM3]],"")</f>
        <v>4067695.3355999999</v>
      </c>
      <c r="AL208" s="5">
        <f>IFERROR(vp.tbl[[#This Row],[VP]]*vp.tbl[[#This Row],[VolumeM3]],"")</f>
        <v>435317.34119999997</v>
      </c>
      <c r="AM208" s="4">
        <f>IFERROR((vp.tbl[[#This Row],[VP]]-INDEX(crudeBD.lkup.complete[Mean_VP],MATCH(vp.tbl[[#This Row],[Crude_Breakdown]],crudeBD.lkup.complete[Crude Breakdown],0)))^2,"")</f>
        <v>76.150145328633968</v>
      </c>
      <c r="AN208" s="4">
        <f>IFERROR((vp.tbl[[#This Row],[Dens]]-INDEX(crudeBD.lkup.complete[Mean_Dens],MATCH(vp.tbl[[#This Row],[Crude_Breakdown]],crudeBD.lkup.complete[Crude Breakdown],0)))^2,"")</f>
        <v>212.92129218327389</v>
      </c>
      <c r="AO208" s="4">
        <f>IFERROR((vp.tbl[[#This Row],[Sulf]]-INDEX(crudeBD.lkup.complete[Mean_Sulf],MATCH(vp.tbl[[#This Row],[Crude_Breakdown]],crudeBD.lkup.complete[Crude Breakdown],0)))^2,"")</f>
        <v>3.7997650615716166E-2</v>
      </c>
      <c r="AP208">
        <f>IF(AND(vp.tbl[[#This Row],[SDate]]&gt;=DATE(YEAR(vp.tbl[[#This Row],[SDate]]),5,1),vp.tbl[[#This Row],[SDate]]&lt;=DATE(YEAR(vp.tbl[[#This Row],[SDate]]),9,15)),1,0)</f>
        <v>1</v>
      </c>
      <c r="AQ208" s="15">
        <f>IF(vp.tbl[[#This Row],[SDate]]&lt;DATE(2016,12,1),0,1)</f>
        <v>0</v>
      </c>
    </row>
    <row r="209" spans="1:43" x14ac:dyDescent="0.25">
      <c r="A209">
        <v>208</v>
      </c>
      <c r="B209" t="s">
        <v>62</v>
      </c>
      <c r="C209" t="s">
        <v>62</v>
      </c>
      <c r="D209" t="s">
        <v>63</v>
      </c>
      <c r="F209" s="1">
        <v>42527</v>
      </c>
      <c r="G209" s="2">
        <v>94.2</v>
      </c>
      <c r="H209" s="2"/>
      <c r="I209" s="2">
        <v>1.26</v>
      </c>
      <c r="J209" s="2"/>
      <c r="K209" s="2"/>
      <c r="L209" s="2">
        <v>830.7</v>
      </c>
      <c r="M209" s="2">
        <v>830.7</v>
      </c>
      <c r="N209" s="2">
        <f ca="1">INDEX(INDIRECT(_xlfn.CONCAT("weather.tbl[",N$1,"]")),MATCH(vp.tbl[[#This Row],[SDate]],weather.tbl[Date],0))</f>
        <v>14.283333333333333</v>
      </c>
      <c r="O209" s="2">
        <f ca="1">INDEX(INDIRECT(_xlfn.CONCAT("weather.tbl[",O$1,"]")),MATCH(vp.tbl[[#This Row],[SDate]],weather.tbl[Date],0))</f>
        <v>15.114285714285716</v>
      </c>
      <c r="P209" s="2">
        <f ca="1">INDEX(INDIRECT(_xlfn.CONCAT("weather.tbl[",P$1,"]")),MATCH(vp.tbl[[#This Row],[SDate]],weather.tbl[Date],0))</f>
        <v>13.5</v>
      </c>
      <c r="Q209" s="2">
        <f ca="1">INDEX(INDIRECT(_xlfn.CONCAT("weather.tbl[",Q$1,"]")),MATCH(vp.tbl[[#This Row],[SDate]],weather.tbl[Date],0))</f>
        <v>13.7</v>
      </c>
      <c r="R209" s="2">
        <f ca="1">INDEX(INDIRECT(_xlfn.CONCAT("weather.tbl[",R$1,"]")),MATCH(vp.tbl[[#This Row],[SDate]],weather.tbl[Date],0))</f>
        <v>14.3</v>
      </c>
      <c r="S209" s="2">
        <f ca="1">INDEX(INDIRECT(_xlfn.CONCAT("weather.tbl[",S$1,"]")),MATCH(vp.tbl[[#This Row],[SDate]],weather.tbl[Date],0))</f>
        <v>15.5</v>
      </c>
      <c r="T209" s="2">
        <f ca="1">INDEX(INDIRECT(_xlfn.CONCAT("weather.tbl[",T$1,"]")),MATCH(vp.tbl[[#This Row],[SDate]],weather.tbl[Date],0))</f>
        <v>14.9</v>
      </c>
      <c r="U209" s="2">
        <f ca="1">INDEX(INDIRECT(_xlfn.CONCAT("weather.tbl[",U$1,"]")),MATCH(vp.tbl[[#This Row],[SDate]],weather.tbl[Date],0))</f>
        <v>13.8</v>
      </c>
      <c r="V209" s="2">
        <v>4896.7079999999996</v>
      </c>
      <c r="W209" t="s">
        <v>48</v>
      </c>
      <c r="X209">
        <f>IF(OR(vp.tbl[[#This Row],[Sulf]]="",vp.tbl[[#This Row],[Dens]]=""),1,0)</f>
        <v>0</v>
      </c>
      <c r="Y209">
        <f>IF(vp.tbl[[#This Row],[CrudeType]]="C5+",1,0)</f>
        <v>0</v>
      </c>
      <c r="Z209">
        <f>IF(AND(vp.tbl[[#This Row],[CrudeType]]="Crude",vp.tbl[[#This Row],[Dens]]&lt;=825,vp.tbl[[#This Row],[Sulf]]&gt;0.5,vp.tbl[[#This Row],[Unknown]]=0),1,0)</f>
        <v>0</v>
      </c>
      <c r="AA209">
        <f>IF(AND(vp.tbl[[#This Row],[CrudeType]]="Crude",vp.tbl[[#This Row],[Dens]]&lt;=825,vp.tbl[[#This Row],[Sulf]]&lt;=0.5,vp.tbl[[#This Row],[Unknown]]=0),1,0)</f>
        <v>0</v>
      </c>
      <c r="AB209">
        <f>IF(AND(vp.tbl[[#This Row],[CrudeType]]="Crude",vp.tbl[[#This Row],[Dens]]&gt;825,vp.tbl[[#This Row],[Dens]]&lt;=870,vp.tbl[[#This Row],[Sulf]]&gt;0.5,vp.tbl[[#This Row],[Unknown]]=0),1,0)</f>
        <v>1</v>
      </c>
      <c r="AC209">
        <f>IF(AND(vp.tbl[[#This Row],[CrudeType]]="Crude",vp.tbl[[#This Row],[Dens]]&gt;825,vp.tbl[[#This Row],[Dens]]&lt;=900,vp.tbl[[#This Row],[Sulf]]&lt;=0.5,vp.tbl[[#This Row],[Unknown]]=0),1,0)</f>
        <v>0</v>
      </c>
      <c r="AD209">
        <f>IF(AND(vp.tbl[[#This Row],[CrudeType]]="Crude",vp.tbl[[#This Row],[Dens]]&gt;870,vp.tbl[[#This Row],[Dens]]&lt;=900,vp.tbl[[#This Row],[Sulf]]&gt;0.5,vp.tbl[[#This Row],[Unknown]]=0),1,0)</f>
        <v>0</v>
      </c>
      <c r="AE209">
        <f>IF(AND(vp.tbl[[#This Row],[CrudeType]]="Crude",vp.tbl[[#This Row],[Dens]]&gt;900,vp.tbl[[#This Row],[Sulf]]&lt;=0.5,vp.tbl[[#This Row],[Unknown]]=0),1,0)</f>
        <v>0</v>
      </c>
      <c r="AF209">
        <f>IF(AND(vp.tbl[[#This Row],[CrudeType]]="Crude",vp.tbl[[#This Row],[Dens]]&gt;900,vp.tbl[[#This Row],[Sulf]]&lt;=0.5,vp.tbl[[#This Row],[Unknown]]=0),1,0)</f>
        <v>0</v>
      </c>
      <c r="AG209" t="str">
        <f>INDEX(vp.tbl[[#Headers],[Unknown]:[Heavy_SW]],MATCH(1,vp.tbl[[#This Row],[Unknown]:[Heavy_SW]],0))</f>
        <v>Medium_LSB</v>
      </c>
      <c r="AH209" t="e">
        <f>INDEX([1]!crudeBD.lkup[Number],MATCH(vp.tbl[[#This Row],[Crude_Breakdown]],[1]!crudeBD.lkup[Crude Breakdown],0))</f>
        <v>#REF!</v>
      </c>
      <c r="AI209">
        <f>MONTH(vp.tbl[[#This Row],[SDate]])</f>
        <v>6</v>
      </c>
      <c r="AJ209" s="5">
        <f>IFERROR(vp.tbl[[#This Row],[Sulf]]*vp.tbl[[#This Row],[Net Dens]],"")</f>
        <v>5125296.1228559995</v>
      </c>
      <c r="AK209" s="5">
        <f>IFERROR(vp.tbl[[#This Row],[Dens]]*vp.tbl[[#This Row],[VolumeM3]],"")</f>
        <v>4067695.3355999999</v>
      </c>
      <c r="AL209" s="5">
        <f>IFERROR(vp.tbl[[#This Row],[VP]]*vp.tbl[[#This Row],[VolumeM3]],"")</f>
        <v>461269.89359999995</v>
      </c>
      <c r="AM209" s="4">
        <f>IFERROR((vp.tbl[[#This Row],[VP]]-INDEX(crudeBD.lkup.complete[Mean_VP],MATCH(vp.tbl[[#This Row],[Crude_Breakdown]],crudeBD.lkup.complete[Crude Breakdown],0)))^2,"")</f>
        <v>196.74003899952044</v>
      </c>
      <c r="AN209" s="4">
        <f>IFERROR((vp.tbl[[#This Row],[Dens]]-INDEX(crudeBD.lkup.complete[Mean_Dens],MATCH(vp.tbl[[#This Row],[Crude_Breakdown]],crudeBD.lkup.complete[Crude Breakdown],0)))^2,"")</f>
        <v>212.92129218327389</v>
      </c>
      <c r="AO209" s="4">
        <f>IFERROR((vp.tbl[[#This Row],[Sulf]]-INDEX(crudeBD.lkup.complete[Mean_Sulf],MATCH(vp.tbl[[#This Row],[Crude_Breakdown]],crudeBD.lkup.complete[Crude Breakdown],0)))^2,"")</f>
        <v>3.7997650615716166E-2</v>
      </c>
      <c r="AP209">
        <f>IF(AND(vp.tbl[[#This Row],[SDate]]&gt;=DATE(YEAR(vp.tbl[[#This Row],[SDate]]),5,1),vp.tbl[[#This Row],[SDate]]&lt;=DATE(YEAR(vp.tbl[[#This Row],[SDate]]),9,15)),1,0)</f>
        <v>1</v>
      </c>
      <c r="AQ209" s="15">
        <f>IF(vp.tbl[[#This Row],[SDate]]&lt;DATE(2016,12,1),0,1)</f>
        <v>0</v>
      </c>
    </row>
    <row r="210" spans="1:43" x14ac:dyDescent="0.25">
      <c r="A210">
        <v>209</v>
      </c>
      <c r="B210" t="s">
        <v>62</v>
      </c>
      <c r="C210" t="s">
        <v>62</v>
      </c>
      <c r="D210" t="s">
        <v>63</v>
      </c>
      <c r="F210" s="1">
        <v>42527</v>
      </c>
      <c r="G210" s="2">
        <v>94.7</v>
      </c>
      <c r="H210" s="2"/>
      <c r="I210" s="2">
        <v>1.26</v>
      </c>
      <c r="J210" s="2"/>
      <c r="K210" s="2"/>
      <c r="L210" s="2">
        <v>830.7</v>
      </c>
      <c r="M210" s="2">
        <v>830.7</v>
      </c>
      <c r="N210" s="2">
        <f ca="1">INDEX(INDIRECT(_xlfn.CONCAT("weather.tbl[",N$1,"]")),MATCH(vp.tbl[[#This Row],[SDate]],weather.tbl[Date],0))</f>
        <v>14.283333333333333</v>
      </c>
      <c r="O210" s="2">
        <f ca="1">INDEX(INDIRECT(_xlfn.CONCAT("weather.tbl[",O$1,"]")),MATCH(vp.tbl[[#This Row],[SDate]],weather.tbl[Date],0))</f>
        <v>15.114285714285716</v>
      </c>
      <c r="P210" s="2">
        <f ca="1">INDEX(INDIRECT(_xlfn.CONCAT("weather.tbl[",P$1,"]")),MATCH(vp.tbl[[#This Row],[SDate]],weather.tbl[Date],0))</f>
        <v>13.5</v>
      </c>
      <c r="Q210" s="2">
        <f ca="1">INDEX(INDIRECT(_xlfn.CONCAT("weather.tbl[",Q$1,"]")),MATCH(vp.tbl[[#This Row],[SDate]],weather.tbl[Date],0))</f>
        <v>13.7</v>
      </c>
      <c r="R210" s="2">
        <f ca="1">INDEX(INDIRECT(_xlfn.CONCAT("weather.tbl[",R$1,"]")),MATCH(vp.tbl[[#This Row],[SDate]],weather.tbl[Date],0))</f>
        <v>14.3</v>
      </c>
      <c r="S210" s="2">
        <f ca="1">INDEX(INDIRECT(_xlfn.CONCAT("weather.tbl[",S$1,"]")),MATCH(vp.tbl[[#This Row],[SDate]],weather.tbl[Date],0))</f>
        <v>15.5</v>
      </c>
      <c r="T210" s="2">
        <f ca="1">INDEX(INDIRECT(_xlfn.CONCAT("weather.tbl[",T$1,"]")),MATCH(vp.tbl[[#This Row],[SDate]],weather.tbl[Date],0))</f>
        <v>14.9</v>
      </c>
      <c r="U210" s="2">
        <f ca="1">INDEX(INDIRECT(_xlfn.CONCAT("weather.tbl[",U$1,"]")),MATCH(vp.tbl[[#This Row],[SDate]],weather.tbl[Date],0))</f>
        <v>13.8</v>
      </c>
      <c r="V210" s="2">
        <v>4896.7079999999996</v>
      </c>
      <c r="W210" t="s">
        <v>48</v>
      </c>
      <c r="X210">
        <f>IF(OR(vp.tbl[[#This Row],[Sulf]]="",vp.tbl[[#This Row],[Dens]]=""),1,0)</f>
        <v>0</v>
      </c>
      <c r="Y210">
        <f>IF(vp.tbl[[#This Row],[CrudeType]]="C5+",1,0)</f>
        <v>0</v>
      </c>
      <c r="Z210">
        <f>IF(AND(vp.tbl[[#This Row],[CrudeType]]="Crude",vp.tbl[[#This Row],[Dens]]&lt;=825,vp.tbl[[#This Row],[Sulf]]&gt;0.5,vp.tbl[[#This Row],[Unknown]]=0),1,0)</f>
        <v>0</v>
      </c>
      <c r="AA210">
        <f>IF(AND(vp.tbl[[#This Row],[CrudeType]]="Crude",vp.tbl[[#This Row],[Dens]]&lt;=825,vp.tbl[[#This Row],[Sulf]]&lt;=0.5,vp.tbl[[#This Row],[Unknown]]=0),1,0)</f>
        <v>0</v>
      </c>
      <c r="AB210">
        <f>IF(AND(vp.tbl[[#This Row],[CrudeType]]="Crude",vp.tbl[[#This Row],[Dens]]&gt;825,vp.tbl[[#This Row],[Dens]]&lt;=870,vp.tbl[[#This Row],[Sulf]]&gt;0.5,vp.tbl[[#This Row],[Unknown]]=0),1,0)</f>
        <v>1</v>
      </c>
      <c r="AC210">
        <f>IF(AND(vp.tbl[[#This Row],[CrudeType]]="Crude",vp.tbl[[#This Row],[Dens]]&gt;825,vp.tbl[[#This Row],[Dens]]&lt;=900,vp.tbl[[#This Row],[Sulf]]&lt;=0.5,vp.tbl[[#This Row],[Unknown]]=0),1,0)</f>
        <v>0</v>
      </c>
      <c r="AD210">
        <f>IF(AND(vp.tbl[[#This Row],[CrudeType]]="Crude",vp.tbl[[#This Row],[Dens]]&gt;870,vp.tbl[[#This Row],[Dens]]&lt;=900,vp.tbl[[#This Row],[Sulf]]&gt;0.5,vp.tbl[[#This Row],[Unknown]]=0),1,0)</f>
        <v>0</v>
      </c>
      <c r="AE210">
        <f>IF(AND(vp.tbl[[#This Row],[CrudeType]]="Crude",vp.tbl[[#This Row],[Dens]]&gt;900,vp.tbl[[#This Row],[Sulf]]&lt;=0.5,vp.tbl[[#This Row],[Unknown]]=0),1,0)</f>
        <v>0</v>
      </c>
      <c r="AF210">
        <f>IF(AND(vp.tbl[[#This Row],[CrudeType]]="Crude",vp.tbl[[#This Row],[Dens]]&gt;900,vp.tbl[[#This Row],[Sulf]]&lt;=0.5,vp.tbl[[#This Row],[Unknown]]=0),1,0)</f>
        <v>0</v>
      </c>
      <c r="AG210" t="str">
        <f>INDEX(vp.tbl[[#Headers],[Unknown]:[Heavy_SW]],MATCH(1,vp.tbl[[#This Row],[Unknown]:[Heavy_SW]],0))</f>
        <v>Medium_LSB</v>
      </c>
      <c r="AH210" t="e">
        <f>INDEX([1]!crudeBD.lkup[Number],MATCH(vp.tbl[[#This Row],[Crude_Breakdown]],[1]!crudeBD.lkup[Crude Breakdown],0))</f>
        <v>#REF!</v>
      </c>
      <c r="AI210">
        <f>MONTH(vp.tbl[[#This Row],[SDate]])</f>
        <v>6</v>
      </c>
      <c r="AJ210" s="5">
        <f>IFERROR(vp.tbl[[#This Row],[Sulf]]*vp.tbl[[#This Row],[Net Dens]],"")</f>
        <v>5125296.1228559995</v>
      </c>
      <c r="AK210" s="5">
        <f>IFERROR(vp.tbl[[#This Row],[Dens]]*vp.tbl[[#This Row],[VolumeM3]],"")</f>
        <v>4067695.3355999999</v>
      </c>
      <c r="AL210" s="5">
        <f>IFERROR(vp.tbl[[#This Row],[VP]]*vp.tbl[[#This Row],[VolumeM3]],"")</f>
        <v>463718.2476</v>
      </c>
      <c r="AM210" s="4">
        <f>IFERROR((vp.tbl[[#This Row],[VP]]-INDEX(crudeBD.lkup.complete[Mean_VP],MATCH(vp.tbl[[#This Row],[Crude_Breakdown]],crudeBD.lkup.complete[Crude Breakdown],0)))^2,"")</f>
        <v>211.01644406281162</v>
      </c>
      <c r="AN210" s="4">
        <f>IFERROR((vp.tbl[[#This Row],[Dens]]-INDEX(crudeBD.lkup.complete[Mean_Dens],MATCH(vp.tbl[[#This Row],[Crude_Breakdown]],crudeBD.lkup.complete[Crude Breakdown],0)))^2,"")</f>
        <v>212.92129218327389</v>
      </c>
      <c r="AO210" s="4">
        <f>IFERROR((vp.tbl[[#This Row],[Sulf]]-INDEX(crudeBD.lkup.complete[Mean_Sulf],MATCH(vp.tbl[[#This Row],[Crude_Breakdown]],crudeBD.lkup.complete[Crude Breakdown],0)))^2,"")</f>
        <v>3.7997650615716166E-2</v>
      </c>
      <c r="AP210">
        <f>IF(AND(vp.tbl[[#This Row],[SDate]]&gt;=DATE(YEAR(vp.tbl[[#This Row],[SDate]]),5,1),vp.tbl[[#This Row],[SDate]]&lt;=DATE(YEAR(vp.tbl[[#This Row],[SDate]]),9,15)),1,0)</f>
        <v>1</v>
      </c>
      <c r="AQ210" s="15">
        <f>IF(vp.tbl[[#This Row],[SDate]]&lt;DATE(2016,12,1),0,1)</f>
        <v>0</v>
      </c>
    </row>
    <row r="211" spans="1:43" x14ac:dyDescent="0.25">
      <c r="A211">
        <v>210</v>
      </c>
      <c r="B211" t="s">
        <v>51</v>
      </c>
      <c r="C211" t="s">
        <v>51</v>
      </c>
      <c r="D211" t="s">
        <v>72</v>
      </c>
      <c r="F211" s="1">
        <v>42527</v>
      </c>
      <c r="G211" s="2">
        <v>91.7</v>
      </c>
      <c r="H211" s="2"/>
      <c r="I211" s="2">
        <v>1.08</v>
      </c>
      <c r="J211" s="2"/>
      <c r="K211" s="2"/>
      <c r="L211" s="2">
        <v>842.1</v>
      </c>
      <c r="M211" s="2">
        <v>842.1</v>
      </c>
      <c r="N211" s="2">
        <f ca="1">INDEX(INDIRECT(_xlfn.CONCAT("weather.tbl[",N$1,"]")),MATCH(vp.tbl[[#This Row],[SDate]],weather.tbl[Date],0))</f>
        <v>14.283333333333333</v>
      </c>
      <c r="O211" s="2">
        <f ca="1">INDEX(INDIRECT(_xlfn.CONCAT("weather.tbl[",O$1,"]")),MATCH(vp.tbl[[#This Row],[SDate]],weather.tbl[Date],0))</f>
        <v>15.114285714285716</v>
      </c>
      <c r="P211" s="2">
        <f ca="1">INDEX(INDIRECT(_xlfn.CONCAT("weather.tbl[",P$1,"]")),MATCH(vp.tbl[[#This Row],[SDate]],weather.tbl[Date],0))</f>
        <v>13.5</v>
      </c>
      <c r="Q211" s="2">
        <f ca="1">INDEX(INDIRECT(_xlfn.CONCAT("weather.tbl[",Q$1,"]")),MATCH(vp.tbl[[#This Row],[SDate]],weather.tbl[Date],0))</f>
        <v>13.7</v>
      </c>
      <c r="R211" s="2">
        <f ca="1">INDEX(INDIRECT(_xlfn.CONCAT("weather.tbl[",R$1,"]")),MATCH(vp.tbl[[#This Row],[SDate]],weather.tbl[Date],0))</f>
        <v>14.3</v>
      </c>
      <c r="S211" s="2">
        <f ca="1">INDEX(INDIRECT(_xlfn.CONCAT("weather.tbl[",S$1,"]")),MATCH(vp.tbl[[#This Row],[SDate]],weather.tbl[Date],0))</f>
        <v>15.5</v>
      </c>
      <c r="T211" s="2">
        <f ca="1">INDEX(INDIRECT(_xlfn.CONCAT("weather.tbl[",T$1,"]")),MATCH(vp.tbl[[#This Row],[SDate]],weather.tbl[Date],0))</f>
        <v>14.9</v>
      </c>
      <c r="U211" s="2">
        <f ca="1">INDEX(INDIRECT(_xlfn.CONCAT("weather.tbl[",U$1,"]")),MATCH(vp.tbl[[#This Row],[SDate]],weather.tbl[Date],0))</f>
        <v>13.8</v>
      </c>
      <c r="V211" s="2">
        <v>3519.404</v>
      </c>
      <c r="W211" t="s">
        <v>48</v>
      </c>
      <c r="X211">
        <f>IF(OR(vp.tbl[[#This Row],[Sulf]]="",vp.tbl[[#This Row],[Dens]]=""),1,0)</f>
        <v>0</v>
      </c>
      <c r="Y211">
        <f>IF(vp.tbl[[#This Row],[CrudeType]]="C5+",1,0)</f>
        <v>0</v>
      </c>
      <c r="Z211">
        <f>IF(AND(vp.tbl[[#This Row],[CrudeType]]="Crude",vp.tbl[[#This Row],[Dens]]&lt;=825,vp.tbl[[#This Row],[Sulf]]&gt;0.5,vp.tbl[[#This Row],[Unknown]]=0),1,0)</f>
        <v>0</v>
      </c>
      <c r="AA211">
        <f>IF(AND(vp.tbl[[#This Row],[CrudeType]]="Crude",vp.tbl[[#This Row],[Dens]]&lt;=825,vp.tbl[[#This Row],[Sulf]]&lt;=0.5,vp.tbl[[#This Row],[Unknown]]=0),1,0)</f>
        <v>0</v>
      </c>
      <c r="AB211">
        <f>IF(AND(vp.tbl[[#This Row],[CrudeType]]="Crude",vp.tbl[[#This Row],[Dens]]&gt;825,vp.tbl[[#This Row],[Dens]]&lt;=870,vp.tbl[[#This Row],[Sulf]]&gt;0.5,vp.tbl[[#This Row],[Unknown]]=0),1,0)</f>
        <v>1</v>
      </c>
      <c r="AC211">
        <f>IF(AND(vp.tbl[[#This Row],[CrudeType]]="Crude",vp.tbl[[#This Row],[Dens]]&gt;825,vp.tbl[[#This Row],[Dens]]&lt;=900,vp.tbl[[#This Row],[Sulf]]&lt;=0.5,vp.tbl[[#This Row],[Unknown]]=0),1,0)</f>
        <v>0</v>
      </c>
      <c r="AD211">
        <f>IF(AND(vp.tbl[[#This Row],[CrudeType]]="Crude",vp.tbl[[#This Row],[Dens]]&gt;870,vp.tbl[[#This Row],[Dens]]&lt;=900,vp.tbl[[#This Row],[Sulf]]&gt;0.5,vp.tbl[[#This Row],[Unknown]]=0),1,0)</f>
        <v>0</v>
      </c>
      <c r="AE211">
        <f>IF(AND(vp.tbl[[#This Row],[CrudeType]]="Crude",vp.tbl[[#This Row],[Dens]]&gt;900,vp.tbl[[#This Row],[Sulf]]&lt;=0.5,vp.tbl[[#This Row],[Unknown]]=0),1,0)</f>
        <v>0</v>
      </c>
      <c r="AF211">
        <f>IF(AND(vp.tbl[[#This Row],[CrudeType]]="Crude",vp.tbl[[#This Row],[Dens]]&gt;900,vp.tbl[[#This Row],[Sulf]]&lt;=0.5,vp.tbl[[#This Row],[Unknown]]=0),1,0)</f>
        <v>0</v>
      </c>
      <c r="AG211" t="str">
        <f>INDEX(vp.tbl[[#Headers],[Unknown]:[Heavy_SW]],MATCH(1,vp.tbl[[#This Row],[Unknown]:[Heavy_SW]],0))</f>
        <v>Medium_LSB</v>
      </c>
      <c r="AH211" t="e">
        <f>INDEX([1]!crudeBD.lkup[Number],MATCH(vp.tbl[[#This Row],[Crude_Breakdown]],[1]!crudeBD.lkup[Crude Breakdown],0))</f>
        <v>#REF!</v>
      </c>
      <c r="AI211">
        <f>MONTH(vp.tbl[[#This Row],[SDate]])</f>
        <v>6</v>
      </c>
      <c r="AJ211" s="5">
        <f>IFERROR(vp.tbl[[#This Row],[Sulf]]*vp.tbl[[#This Row],[Net Dens]],"")</f>
        <v>3200785.3170720004</v>
      </c>
      <c r="AK211" s="5">
        <f>IFERROR(vp.tbl[[#This Row],[Dens]]*vp.tbl[[#This Row],[VolumeM3]],"")</f>
        <v>2963690.1084000003</v>
      </c>
      <c r="AL211" s="5">
        <f>IFERROR(vp.tbl[[#This Row],[VP]]*vp.tbl[[#This Row],[VolumeM3]],"")</f>
        <v>322729.3468</v>
      </c>
      <c r="AM211" s="4">
        <f>IFERROR((vp.tbl[[#This Row],[VP]]-INDEX(crudeBD.lkup.complete[Mean_VP],MATCH(vp.tbl[[#This Row],[Crude_Breakdown]],crudeBD.lkup.complete[Crude Breakdown],0)))^2,"")</f>
        <v>132.85801368306454</v>
      </c>
      <c r="AN211" s="4">
        <f>IFERROR((vp.tbl[[#This Row],[Dens]]-INDEX(crudeBD.lkup.complete[Mean_Dens],MATCH(vp.tbl[[#This Row],[Crude_Breakdown]],crudeBD.lkup.complete[Crude Breakdown],0)))^2,"")</f>
        <v>10.187732689626641</v>
      </c>
      <c r="AO211" s="4">
        <f>IFERROR((vp.tbl[[#This Row],[Sulf]]-INDEX(crudeBD.lkup.complete[Mean_Sulf],MATCH(vp.tbl[[#This Row],[Crude_Breakdown]],crudeBD.lkup.complete[Crude Breakdown],0)))^2,"")</f>
        <v>0.14057240048913436</v>
      </c>
      <c r="AP211">
        <f>IF(AND(vp.tbl[[#This Row],[SDate]]&gt;=DATE(YEAR(vp.tbl[[#This Row],[SDate]]),5,1),vp.tbl[[#This Row],[SDate]]&lt;=DATE(YEAR(vp.tbl[[#This Row],[SDate]]),9,15)),1,0)</f>
        <v>1</v>
      </c>
      <c r="AQ211" s="15">
        <f>IF(vp.tbl[[#This Row],[SDate]]&lt;DATE(2016,12,1),0,1)</f>
        <v>0</v>
      </c>
    </row>
    <row r="212" spans="1:43" x14ac:dyDescent="0.25">
      <c r="A212">
        <v>211</v>
      </c>
      <c r="B212" t="s">
        <v>46</v>
      </c>
      <c r="C212" t="s">
        <v>46</v>
      </c>
      <c r="D212" t="s">
        <v>47</v>
      </c>
      <c r="F212" s="1">
        <v>42527</v>
      </c>
      <c r="G212" s="2">
        <v>46.5</v>
      </c>
      <c r="H212" s="2"/>
      <c r="I212" s="2">
        <v>2.41</v>
      </c>
      <c r="J212" s="2"/>
      <c r="K212" s="2"/>
      <c r="L212" s="2">
        <v>873.3</v>
      </c>
      <c r="M212" s="2">
        <v>873.3</v>
      </c>
      <c r="N212" s="2">
        <f ca="1">INDEX(INDIRECT(_xlfn.CONCAT("weather.tbl[",N$1,"]")),MATCH(vp.tbl[[#This Row],[SDate]],weather.tbl[Date],0))</f>
        <v>14.283333333333333</v>
      </c>
      <c r="O212" s="2">
        <f ca="1">INDEX(INDIRECT(_xlfn.CONCAT("weather.tbl[",O$1,"]")),MATCH(vp.tbl[[#This Row],[SDate]],weather.tbl[Date],0))</f>
        <v>15.114285714285716</v>
      </c>
      <c r="P212" s="2">
        <f ca="1">INDEX(INDIRECT(_xlfn.CONCAT("weather.tbl[",P$1,"]")),MATCH(vp.tbl[[#This Row],[SDate]],weather.tbl[Date],0))</f>
        <v>13.5</v>
      </c>
      <c r="Q212" s="2">
        <f ca="1">INDEX(INDIRECT(_xlfn.CONCAT("weather.tbl[",Q$1,"]")),MATCH(vp.tbl[[#This Row],[SDate]],weather.tbl[Date],0))</f>
        <v>13.7</v>
      </c>
      <c r="R212" s="2">
        <f ca="1">INDEX(INDIRECT(_xlfn.CONCAT("weather.tbl[",R$1,"]")),MATCH(vp.tbl[[#This Row],[SDate]],weather.tbl[Date],0))</f>
        <v>14.3</v>
      </c>
      <c r="S212" s="2">
        <f ca="1">INDEX(INDIRECT(_xlfn.CONCAT("weather.tbl[",S$1,"]")),MATCH(vp.tbl[[#This Row],[SDate]],weather.tbl[Date],0))</f>
        <v>15.5</v>
      </c>
      <c r="T212" s="2">
        <f ca="1">INDEX(INDIRECT(_xlfn.CONCAT("weather.tbl[",T$1,"]")),MATCH(vp.tbl[[#This Row],[SDate]],weather.tbl[Date],0))</f>
        <v>14.9</v>
      </c>
      <c r="U212" s="2">
        <f ca="1">INDEX(INDIRECT(_xlfn.CONCAT("weather.tbl[",U$1,"]")),MATCH(vp.tbl[[#This Row],[SDate]],weather.tbl[Date],0))</f>
        <v>13.8</v>
      </c>
      <c r="V212" s="2">
        <v>109776.467</v>
      </c>
      <c r="W212" t="s">
        <v>48</v>
      </c>
      <c r="X212">
        <f>IF(OR(vp.tbl[[#This Row],[Sulf]]="",vp.tbl[[#This Row],[Dens]]=""),1,0)</f>
        <v>0</v>
      </c>
      <c r="Y212">
        <f>IF(vp.tbl[[#This Row],[CrudeType]]="C5+",1,0)</f>
        <v>0</v>
      </c>
      <c r="Z212">
        <f>IF(AND(vp.tbl[[#This Row],[CrudeType]]="Crude",vp.tbl[[#This Row],[Dens]]&lt;=825,vp.tbl[[#This Row],[Sulf]]&gt;0.5,vp.tbl[[#This Row],[Unknown]]=0),1,0)</f>
        <v>0</v>
      </c>
      <c r="AA212">
        <f>IF(AND(vp.tbl[[#This Row],[CrudeType]]="Crude",vp.tbl[[#This Row],[Dens]]&lt;=825,vp.tbl[[#This Row],[Sulf]]&lt;=0.5,vp.tbl[[#This Row],[Unknown]]=0),1,0)</f>
        <v>0</v>
      </c>
      <c r="AB212">
        <f>IF(AND(vp.tbl[[#This Row],[CrudeType]]="Crude",vp.tbl[[#This Row],[Dens]]&gt;825,vp.tbl[[#This Row],[Dens]]&lt;=870,vp.tbl[[#This Row],[Sulf]]&gt;0.5,vp.tbl[[#This Row],[Unknown]]=0),1,0)</f>
        <v>0</v>
      </c>
      <c r="AC212">
        <f>IF(AND(vp.tbl[[#This Row],[CrudeType]]="Crude",vp.tbl[[#This Row],[Dens]]&gt;825,vp.tbl[[#This Row],[Dens]]&lt;=900,vp.tbl[[#This Row],[Sulf]]&lt;=0.5,vp.tbl[[#This Row],[Unknown]]=0),1,0)</f>
        <v>0</v>
      </c>
      <c r="AD212">
        <f>IF(AND(vp.tbl[[#This Row],[CrudeType]]="Crude",vp.tbl[[#This Row],[Dens]]&gt;870,vp.tbl[[#This Row],[Dens]]&lt;=900,vp.tbl[[#This Row],[Sulf]]&gt;0.5,vp.tbl[[#This Row],[Unknown]]=0),1,0)</f>
        <v>1</v>
      </c>
      <c r="AE212">
        <f>IF(AND(vp.tbl[[#This Row],[CrudeType]]="Crude",vp.tbl[[#This Row],[Dens]]&gt;900,vp.tbl[[#This Row],[Sulf]]&lt;=0.5,vp.tbl[[#This Row],[Unknown]]=0),1,0)</f>
        <v>0</v>
      </c>
      <c r="AF212">
        <f>IF(AND(vp.tbl[[#This Row],[CrudeType]]="Crude",vp.tbl[[#This Row],[Dens]]&gt;900,vp.tbl[[#This Row],[Sulf]]&lt;=0.5,vp.tbl[[#This Row],[Unknown]]=0),1,0)</f>
        <v>0</v>
      </c>
      <c r="AG212" t="str">
        <f>INDEX(vp.tbl[[#Headers],[Unknown]:[Heavy_SW]],MATCH(1,vp.tbl[[#This Row],[Unknown]:[Heavy_SW]],0))</f>
        <v>Midale</v>
      </c>
      <c r="AH212" t="e">
        <f>INDEX([1]!crudeBD.lkup[Number],MATCH(vp.tbl[[#This Row],[Crude_Breakdown]],[1]!crudeBD.lkup[Crude Breakdown],0))</f>
        <v>#REF!</v>
      </c>
      <c r="AI212">
        <f>MONTH(vp.tbl[[#This Row],[SDate]])</f>
        <v>6</v>
      </c>
      <c r="AJ212" s="5">
        <f>IFERROR(vp.tbl[[#This Row],[Sulf]]*vp.tbl[[#This Row],[Net Dens]],"")</f>
        <v>231041370.60095102</v>
      </c>
      <c r="AK212" s="5">
        <f>IFERROR(vp.tbl[[#This Row],[Dens]]*vp.tbl[[#This Row],[VolumeM3]],"")</f>
        <v>95867788.631099999</v>
      </c>
      <c r="AL212" s="5">
        <f>IFERROR(vp.tbl[[#This Row],[VP]]*vp.tbl[[#This Row],[VolumeM3]],"")</f>
        <v>5104605.7154999999</v>
      </c>
      <c r="AM212" s="4">
        <f>IFERROR((vp.tbl[[#This Row],[VP]]-INDEX(crudeBD.lkup.complete[Mean_VP],MATCH(vp.tbl[[#This Row],[Crude_Breakdown]],crudeBD.lkup.complete[Crude Breakdown],0)))^2,"")</f>
        <v>472.55612872959335</v>
      </c>
      <c r="AN212" s="4">
        <f>IFERROR((vp.tbl[[#This Row],[Dens]]-INDEX(crudeBD.lkup.complete[Mean_Dens],MATCH(vp.tbl[[#This Row],[Crude_Breakdown]],crudeBD.lkup.complete[Crude Breakdown],0)))^2,"")</f>
        <v>18.079969975602992</v>
      </c>
      <c r="AO212" s="4">
        <f>IFERROR((vp.tbl[[#This Row],[Sulf]]-INDEX(crudeBD.lkup.complete[Mean_Sulf],MATCH(vp.tbl[[#This Row],[Crude_Breakdown]],crudeBD.lkup.complete[Crude Breakdown],0)))^2,"")</f>
        <v>2.8517063032449047E-5</v>
      </c>
      <c r="AP212">
        <f>IF(AND(vp.tbl[[#This Row],[SDate]]&gt;=DATE(YEAR(vp.tbl[[#This Row],[SDate]]),5,1),vp.tbl[[#This Row],[SDate]]&lt;=DATE(YEAR(vp.tbl[[#This Row],[SDate]]),9,15)),1,0)</f>
        <v>1</v>
      </c>
      <c r="AQ212" s="15">
        <f>IF(vp.tbl[[#This Row],[SDate]]&lt;DATE(2016,12,1),0,1)</f>
        <v>0</v>
      </c>
    </row>
    <row r="213" spans="1:43" x14ac:dyDescent="0.25">
      <c r="A213">
        <v>212</v>
      </c>
      <c r="B213" t="s">
        <v>46</v>
      </c>
      <c r="C213" t="s">
        <v>46</v>
      </c>
      <c r="D213" t="s">
        <v>47</v>
      </c>
      <c r="F213" s="1">
        <v>42527</v>
      </c>
      <c r="G213" s="2">
        <v>45.2</v>
      </c>
      <c r="H213" s="2"/>
      <c r="I213" s="2">
        <v>2.41</v>
      </c>
      <c r="J213" s="2"/>
      <c r="K213" s="2"/>
      <c r="L213" s="2">
        <v>873.3</v>
      </c>
      <c r="M213" s="2">
        <v>873.3</v>
      </c>
      <c r="N213" s="2">
        <f ca="1">INDEX(INDIRECT(_xlfn.CONCAT("weather.tbl[",N$1,"]")),MATCH(vp.tbl[[#This Row],[SDate]],weather.tbl[Date],0))</f>
        <v>14.283333333333333</v>
      </c>
      <c r="O213" s="2">
        <f ca="1">INDEX(INDIRECT(_xlfn.CONCAT("weather.tbl[",O$1,"]")),MATCH(vp.tbl[[#This Row],[SDate]],weather.tbl[Date],0))</f>
        <v>15.114285714285716</v>
      </c>
      <c r="P213" s="2">
        <f ca="1">INDEX(INDIRECT(_xlfn.CONCAT("weather.tbl[",P$1,"]")),MATCH(vp.tbl[[#This Row],[SDate]],weather.tbl[Date],0))</f>
        <v>13.5</v>
      </c>
      <c r="Q213" s="2">
        <f ca="1">INDEX(INDIRECT(_xlfn.CONCAT("weather.tbl[",Q$1,"]")),MATCH(vp.tbl[[#This Row],[SDate]],weather.tbl[Date],0))</f>
        <v>13.7</v>
      </c>
      <c r="R213" s="2">
        <f ca="1">INDEX(INDIRECT(_xlfn.CONCAT("weather.tbl[",R$1,"]")),MATCH(vp.tbl[[#This Row],[SDate]],weather.tbl[Date],0))</f>
        <v>14.3</v>
      </c>
      <c r="S213" s="2">
        <f ca="1">INDEX(INDIRECT(_xlfn.CONCAT("weather.tbl[",S$1,"]")),MATCH(vp.tbl[[#This Row],[SDate]],weather.tbl[Date],0))</f>
        <v>15.5</v>
      </c>
      <c r="T213" s="2">
        <f ca="1">INDEX(INDIRECT(_xlfn.CONCAT("weather.tbl[",T$1,"]")),MATCH(vp.tbl[[#This Row],[SDate]],weather.tbl[Date],0))</f>
        <v>14.9</v>
      </c>
      <c r="U213" s="2">
        <f ca="1">INDEX(INDIRECT(_xlfn.CONCAT("weather.tbl[",U$1,"]")),MATCH(vp.tbl[[#This Row],[SDate]],weather.tbl[Date],0))</f>
        <v>13.8</v>
      </c>
      <c r="V213" s="2">
        <v>109776.467</v>
      </c>
      <c r="W213" t="s">
        <v>48</v>
      </c>
      <c r="X213">
        <f>IF(OR(vp.tbl[[#This Row],[Sulf]]="",vp.tbl[[#This Row],[Dens]]=""),1,0)</f>
        <v>0</v>
      </c>
      <c r="Y213">
        <f>IF(vp.tbl[[#This Row],[CrudeType]]="C5+",1,0)</f>
        <v>0</v>
      </c>
      <c r="Z213">
        <f>IF(AND(vp.tbl[[#This Row],[CrudeType]]="Crude",vp.tbl[[#This Row],[Dens]]&lt;=825,vp.tbl[[#This Row],[Sulf]]&gt;0.5,vp.tbl[[#This Row],[Unknown]]=0),1,0)</f>
        <v>0</v>
      </c>
      <c r="AA213">
        <f>IF(AND(vp.tbl[[#This Row],[CrudeType]]="Crude",vp.tbl[[#This Row],[Dens]]&lt;=825,vp.tbl[[#This Row],[Sulf]]&lt;=0.5,vp.tbl[[#This Row],[Unknown]]=0),1,0)</f>
        <v>0</v>
      </c>
      <c r="AB213">
        <f>IF(AND(vp.tbl[[#This Row],[CrudeType]]="Crude",vp.tbl[[#This Row],[Dens]]&gt;825,vp.tbl[[#This Row],[Dens]]&lt;=870,vp.tbl[[#This Row],[Sulf]]&gt;0.5,vp.tbl[[#This Row],[Unknown]]=0),1,0)</f>
        <v>0</v>
      </c>
      <c r="AC213">
        <f>IF(AND(vp.tbl[[#This Row],[CrudeType]]="Crude",vp.tbl[[#This Row],[Dens]]&gt;825,vp.tbl[[#This Row],[Dens]]&lt;=900,vp.tbl[[#This Row],[Sulf]]&lt;=0.5,vp.tbl[[#This Row],[Unknown]]=0),1,0)</f>
        <v>0</v>
      </c>
      <c r="AD213">
        <f>IF(AND(vp.tbl[[#This Row],[CrudeType]]="Crude",vp.tbl[[#This Row],[Dens]]&gt;870,vp.tbl[[#This Row],[Dens]]&lt;=900,vp.tbl[[#This Row],[Sulf]]&gt;0.5,vp.tbl[[#This Row],[Unknown]]=0),1,0)</f>
        <v>1</v>
      </c>
      <c r="AE213">
        <f>IF(AND(vp.tbl[[#This Row],[CrudeType]]="Crude",vp.tbl[[#This Row],[Dens]]&gt;900,vp.tbl[[#This Row],[Sulf]]&lt;=0.5,vp.tbl[[#This Row],[Unknown]]=0),1,0)</f>
        <v>0</v>
      </c>
      <c r="AF213">
        <f>IF(AND(vp.tbl[[#This Row],[CrudeType]]="Crude",vp.tbl[[#This Row],[Dens]]&gt;900,vp.tbl[[#This Row],[Sulf]]&lt;=0.5,vp.tbl[[#This Row],[Unknown]]=0),1,0)</f>
        <v>0</v>
      </c>
      <c r="AG213" t="str">
        <f>INDEX(vp.tbl[[#Headers],[Unknown]:[Heavy_SW]],MATCH(1,vp.tbl[[#This Row],[Unknown]:[Heavy_SW]],0))</f>
        <v>Midale</v>
      </c>
      <c r="AH213" t="e">
        <f>INDEX([1]!crudeBD.lkup[Number],MATCH(vp.tbl[[#This Row],[Crude_Breakdown]],[1]!crudeBD.lkup[Crude Breakdown],0))</f>
        <v>#REF!</v>
      </c>
      <c r="AI213">
        <f>MONTH(vp.tbl[[#This Row],[SDate]])</f>
        <v>6</v>
      </c>
      <c r="AJ213" s="5">
        <f>IFERROR(vp.tbl[[#This Row],[Sulf]]*vp.tbl[[#This Row],[Net Dens]],"")</f>
        <v>231041370.60095102</v>
      </c>
      <c r="AK213" s="5">
        <f>IFERROR(vp.tbl[[#This Row],[Dens]]*vp.tbl[[#This Row],[VolumeM3]],"")</f>
        <v>95867788.631099999</v>
      </c>
      <c r="AL213" s="5">
        <f>IFERROR(vp.tbl[[#This Row],[VP]]*vp.tbl[[#This Row],[VolumeM3]],"")</f>
        <v>4961896.3084000004</v>
      </c>
      <c r="AM213" s="4">
        <f>IFERROR((vp.tbl[[#This Row],[VP]]-INDEX(crudeBD.lkup.complete[Mean_VP],MATCH(vp.tbl[[#This Row],[Crude_Breakdown]],crudeBD.lkup.complete[Crude Breakdown],0)))^2,"")</f>
        <v>530.76585475699051</v>
      </c>
      <c r="AN213" s="4">
        <f>IFERROR((vp.tbl[[#This Row],[Dens]]-INDEX(crudeBD.lkup.complete[Mean_Dens],MATCH(vp.tbl[[#This Row],[Crude_Breakdown]],crudeBD.lkup.complete[Crude Breakdown],0)))^2,"")</f>
        <v>18.079969975602992</v>
      </c>
      <c r="AO213" s="4">
        <f>IFERROR((vp.tbl[[#This Row],[Sulf]]-INDEX(crudeBD.lkup.complete[Mean_Sulf],MATCH(vp.tbl[[#This Row],[Crude_Breakdown]],crudeBD.lkup.complete[Crude Breakdown],0)))^2,"")</f>
        <v>2.8517063032449047E-5</v>
      </c>
      <c r="AP213">
        <f>IF(AND(vp.tbl[[#This Row],[SDate]]&gt;=DATE(YEAR(vp.tbl[[#This Row],[SDate]]),5,1),vp.tbl[[#This Row],[SDate]]&lt;=DATE(YEAR(vp.tbl[[#This Row],[SDate]]),9,15)),1,0)</f>
        <v>1</v>
      </c>
      <c r="AQ213" s="15">
        <f>IF(vp.tbl[[#This Row],[SDate]]&lt;DATE(2016,12,1),0,1)</f>
        <v>0</v>
      </c>
    </row>
    <row r="214" spans="1:43" x14ac:dyDescent="0.25">
      <c r="A214">
        <v>213</v>
      </c>
      <c r="B214" t="s">
        <v>49</v>
      </c>
      <c r="C214" t="s">
        <v>49</v>
      </c>
      <c r="D214" t="s">
        <v>86</v>
      </c>
      <c r="F214" s="1">
        <v>42527</v>
      </c>
      <c r="G214" s="2">
        <v>71.5</v>
      </c>
      <c r="H214" s="2"/>
      <c r="I214" s="2">
        <v>2.8</v>
      </c>
      <c r="J214" s="2"/>
      <c r="K214" s="2"/>
      <c r="L214" s="2">
        <v>883.8</v>
      </c>
      <c r="M214" s="2">
        <v>883.8</v>
      </c>
      <c r="N214" s="2">
        <f ca="1">INDEX(INDIRECT(_xlfn.CONCAT("weather.tbl[",N$1,"]")),MATCH(vp.tbl[[#This Row],[SDate]],weather.tbl[Date],0))</f>
        <v>14.283333333333333</v>
      </c>
      <c r="O214" s="2">
        <f ca="1">INDEX(INDIRECT(_xlfn.CONCAT("weather.tbl[",O$1,"]")),MATCH(vp.tbl[[#This Row],[SDate]],weather.tbl[Date],0))</f>
        <v>15.114285714285716</v>
      </c>
      <c r="P214" s="2">
        <f ca="1">INDEX(INDIRECT(_xlfn.CONCAT("weather.tbl[",P$1,"]")),MATCH(vp.tbl[[#This Row],[SDate]],weather.tbl[Date],0))</f>
        <v>13.5</v>
      </c>
      <c r="Q214" s="2">
        <f ca="1">INDEX(INDIRECT(_xlfn.CONCAT("weather.tbl[",Q$1,"]")),MATCH(vp.tbl[[#This Row],[SDate]],weather.tbl[Date],0))</f>
        <v>13.7</v>
      </c>
      <c r="R214" s="2">
        <f ca="1">INDEX(INDIRECT(_xlfn.CONCAT("weather.tbl[",R$1,"]")),MATCH(vp.tbl[[#This Row],[SDate]],weather.tbl[Date],0))</f>
        <v>14.3</v>
      </c>
      <c r="S214" s="2">
        <f ca="1">INDEX(INDIRECT(_xlfn.CONCAT("weather.tbl[",S$1,"]")),MATCH(vp.tbl[[#This Row],[SDate]],weather.tbl[Date],0))</f>
        <v>15.5</v>
      </c>
      <c r="T214" s="2">
        <f ca="1">INDEX(INDIRECT(_xlfn.CONCAT("weather.tbl[",T$1,"]")),MATCH(vp.tbl[[#This Row],[SDate]],weather.tbl[Date],0))</f>
        <v>14.9</v>
      </c>
      <c r="U214" s="2">
        <f ca="1">INDEX(INDIRECT(_xlfn.CONCAT("weather.tbl[",U$1,"]")),MATCH(vp.tbl[[#This Row],[SDate]],weather.tbl[Date],0))</f>
        <v>13.8</v>
      </c>
      <c r="V214" s="2">
        <v>4179.8819999999996</v>
      </c>
      <c r="W214" t="s">
        <v>48</v>
      </c>
      <c r="X214">
        <f>IF(OR(vp.tbl[[#This Row],[Sulf]]="",vp.tbl[[#This Row],[Dens]]=""),1,0)</f>
        <v>0</v>
      </c>
      <c r="Y214">
        <f>IF(vp.tbl[[#This Row],[CrudeType]]="C5+",1,0)</f>
        <v>0</v>
      </c>
      <c r="Z214">
        <f>IF(AND(vp.tbl[[#This Row],[CrudeType]]="Crude",vp.tbl[[#This Row],[Dens]]&lt;=825,vp.tbl[[#This Row],[Sulf]]&gt;0.5,vp.tbl[[#This Row],[Unknown]]=0),1,0)</f>
        <v>0</v>
      </c>
      <c r="AA214">
        <f>IF(AND(vp.tbl[[#This Row],[CrudeType]]="Crude",vp.tbl[[#This Row],[Dens]]&lt;=825,vp.tbl[[#This Row],[Sulf]]&lt;=0.5,vp.tbl[[#This Row],[Unknown]]=0),1,0)</f>
        <v>0</v>
      </c>
      <c r="AB214">
        <f>IF(AND(vp.tbl[[#This Row],[CrudeType]]="Crude",vp.tbl[[#This Row],[Dens]]&gt;825,vp.tbl[[#This Row],[Dens]]&lt;=870,vp.tbl[[#This Row],[Sulf]]&gt;0.5,vp.tbl[[#This Row],[Unknown]]=0),1,0)</f>
        <v>0</v>
      </c>
      <c r="AC214">
        <f>IF(AND(vp.tbl[[#This Row],[CrudeType]]="Crude",vp.tbl[[#This Row],[Dens]]&gt;825,vp.tbl[[#This Row],[Dens]]&lt;=900,vp.tbl[[#This Row],[Sulf]]&lt;=0.5,vp.tbl[[#This Row],[Unknown]]=0),1,0)</f>
        <v>0</v>
      </c>
      <c r="AD214">
        <f>IF(AND(vp.tbl[[#This Row],[CrudeType]]="Crude",vp.tbl[[#This Row],[Dens]]&gt;870,vp.tbl[[#This Row],[Dens]]&lt;=900,vp.tbl[[#This Row],[Sulf]]&gt;0.5,vp.tbl[[#This Row],[Unknown]]=0),1,0)</f>
        <v>1</v>
      </c>
      <c r="AE214">
        <f>IF(AND(vp.tbl[[#This Row],[CrudeType]]="Crude",vp.tbl[[#This Row],[Dens]]&gt;900,vp.tbl[[#This Row],[Sulf]]&lt;=0.5,vp.tbl[[#This Row],[Unknown]]=0),1,0)</f>
        <v>0</v>
      </c>
      <c r="AF214">
        <f>IF(AND(vp.tbl[[#This Row],[CrudeType]]="Crude",vp.tbl[[#This Row],[Dens]]&gt;900,vp.tbl[[#This Row],[Sulf]]&lt;=0.5,vp.tbl[[#This Row],[Unknown]]=0),1,0)</f>
        <v>0</v>
      </c>
      <c r="AG214" t="str">
        <f>INDEX(vp.tbl[[#Headers],[Unknown]:[Heavy_SW]],MATCH(1,vp.tbl[[#This Row],[Unknown]:[Heavy_SW]],0))</f>
        <v>Midale</v>
      </c>
      <c r="AH214" t="e">
        <f>INDEX([1]!crudeBD.lkup[Number],MATCH(vp.tbl[[#This Row],[Crude_Breakdown]],[1]!crudeBD.lkup[Crude Breakdown],0))</f>
        <v>#REF!</v>
      </c>
      <c r="AI214">
        <f>MONTH(vp.tbl[[#This Row],[SDate]])</f>
        <v>6</v>
      </c>
      <c r="AJ214" s="5">
        <f>IFERROR(vp.tbl[[#This Row],[Sulf]]*vp.tbl[[#This Row],[Net Dens]],"")</f>
        <v>10343703.192479998</v>
      </c>
      <c r="AK214" s="5">
        <f>IFERROR(vp.tbl[[#This Row],[Dens]]*vp.tbl[[#This Row],[VolumeM3]],"")</f>
        <v>3694179.7115999996</v>
      </c>
      <c r="AL214" s="5">
        <f>IFERROR(vp.tbl[[#This Row],[VP]]*vp.tbl[[#This Row],[VolumeM3]],"")</f>
        <v>298861.56299999997</v>
      </c>
      <c r="AM214" s="4">
        <f>IFERROR((vp.tbl[[#This Row],[VP]]-INDEX(crudeBD.lkup.complete[Mean_VP],MATCH(vp.tbl[[#This Row],[Crude_Breakdown]],crudeBD.lkup.complete[Crude Breakdown],0)))^2,"")</f>
        <v>10.638320510414626</v>
      </c>
      <c r="AN214" s="4">
        <f>IFERROR((vp.tbl[[#This Row],[Dens]]-INDEX(crudeBD.lkup.complete[Mean_Dens],MATCH(vp.tbl[[#This Row],[Crude_Breakdown]],crudeBD.lkup.complete[Crude Breakdown],0)))^2,"")</f>
        <v>39.036819290676888</v>
      </c>
      <c r="AO214" s="4">
        <f>IFERROR((vp.tbl[[#This Row],[Sulf]]-INDEX(crudeBD.lkup.complete[Mean_Sulf],MATCH(vp.tbl[[#This Row],[Crude_Breakdown]],crudeBD.lkup.complete[Crude Breakdown],0)))^2,"")</f>
        <v>0.14796321021371822</v>
      </c>
      <c r="AP214">
        <f>IF(AND(vp.tbl[[#This Row],[SDate]]&gt;=DATE(YEAR(vp.tbl[[#This Row],[SDate]]),5,1),vp.tbl[[#This Row],[SDate]]&lt;=DATE(YEAR(vp.tbl[[#This Row],[SDate]]),9,15)),1,0)</f>
        <v>1</v>
      </c>
      <c r="AQ214" s="15">
        <f>IF(vp.tbl[[#This Row],[SDate]]&lt;DATE(2016,12,1),0,1)</f>
        <v>0</v>
      </c>
    </row>
    <row r="215" spans="1:43" x14ac:dyDescent="0.25">
      <c r="A215">
        <v>214</v>
      </c>
      <c r="B215" t="s">
        <v>60</v>
      </c>
      <c r="C215" t="s">
        <v>60</v>
      </c>
      <c r="D215" t="s">
        <v>61</v>
      </c>
      <c r="E215" t="s">
        <v>55</v>
      </c>
      <c r="F215" s="1">
        <v>42527</v>
      </c>
      <c r="G215" s="2">
        <v>104</v>
      </c>
      <c r="H215" s="2"/>
      <c r="I215" s="2">
        <v>1.1499999999999999</v>
      </c>
      <c r="J215" s="2"/>
      <c r="K215" s="2"/>
      <c r="L215" s="2">
        <v>829.8</v>
      </c>
      <c r="M215" s="2">
        <v>829.8</v>
      </c>
      <c r="N215" s="2">
        <f ca="1">INDEX(INDIRECT(_xlfn.CONCAT("weather.tbl[",N$1,"]")),MATCH(vp.tbl[[#This Row],[SDate]],weather.tbl[Date],0))</f>
        <v>14.283333333333333</v>
      </c>
      <c r="O215" s="2">
        <f ca="1">INDEX(INDIRECT(_xlfn.CONCAT("weather.tbl[",O$1,"]")),MATCH(vp.tbl[[#This Row],[SDate]],weather.tbl[Date],0))</f>
        <v>15.114285714285716</v>
      </c>
      <c r="P215" s="2">
        <f ca="1">INDEX(INDIRECT(_xlfn.CONCAT("weather.tbl[",P$1,"]")),MATCH(vp.tbl[[#This Row],[SDate]],weather.tbl[Date],0))</f>
        <v>13.5</v>
      </c>
      <c r="Q215" s="2">
        <f ca="1">INDEX(INDIRECT(_xlfn.CONCAT("weather.tbl[",Q$1,"]")),MATCH(vp.tbl[[#This Row],[SDate]],weather.tbl[Date],0))</f>
        <v>13.7</v>
      </c>
      <c r="R215" s="2">
        <f ca="1">INDEX(INDIRECT(_xlfn.CONCAT("weather.tbl[",R$1,"]")),MATCH(vp.tbl[[#This Row],[SDate]],weather.tbl[Date],0))</f>
        <v>14.3</v>
      </c>
      <c r="S215" s="2">
        <f ca="1">INDEX(INDIRECT(_xlfn.CONCAT("weather.tbl[",S$1,"]")),MATCH(vp.tbl[[#This Row],[SDate]],weather.tbl[Date],0))</f>
        <v>15.5</v>
      </c>
      <c r="T215" s="2">
        <f ca="1">INDEX(INDIRECT(_xlfn.CONCAT("weather.tbl[",T$1,"]")),MATCH(vp.tbl[[#This Row],[SDate]],weather.tbl[Date],0))</f>
        <v>14.9</v>
      </c>
      <c r="U215" s="2">
        <f ca="1">INDEX(INDIRECT(_xlfn.CONCAT("weather.tbl[",U$1,"]")),MATCH(vp.tbl[[#This Row],[SDate]],weather.tbl[Date],0))</f>
        <v>13.8</v>
      </c>
      <c r="V215" s="2">
        <v>104067.856</v>
      </c>
      <c r="W215" t="s">
        <v>48</v>
      </c>
      <c r="X215">
        <f>IF(OR(vp.tbl[[#This Row],[Sulf]]="",vp.tbl[[#This Row],[Dens]]=""),1,0)</f>
        <v>0</v>
      </c>
      <c r="Y215">
        <f>IF(vp.tbl[[#This Row],[CrudeType]]="C5+",1,0)</f>
        <v>0</v>
      </c>
      <c r="Z215">
        <f>IF(AND(vp.tbl[[#This Row],[CrudeType]]="Crude",vp.tbl[[#This Row],[Dens]]&lt;=825,vp.tbl[[#This Row],[Sulf]]&gt;0.5,vp.tbl[[#This Row],[Unknown]]=0),1,0)</f>
        <v>0</v>
      </c>
      <c r="AA215">
        <f>IF(AND(vp.tbl[[#This Row],[CrudeType]]="Crude",vp.tbl[[#This Row],[Dens]]&lt;=825,vp.tbl[[#This Row],[Sulf]]&lt;=0.5,vp.tbl[[#This Row],[Unknown]]=0),1,0)</f>
        <v>0</v>
      </c>
      <c r="AB215">
        <f>IF(AND(vp.tbl[[#This Row],[CrudeType]]="Crude",vp.tbl[[#This Row],[Dens]]&gt;825,vp.tbl[[#This Row],[Dens]]&lt;=870,vp.tbl[[#This Row],[Sulf]]&gt;0.5,vp.tbl[[#This Row],[Unknown]]=0),1,0)</f>
        <v>1</v>
      </c>
      <c r="AC215">
        <f>IF(AND(vp.tbl[[#This Row],[CrudeType]]="Crude",vp.tbl[[#This Row],[Dens]]&gt;825,vp.tbl[[#This Row],[Dens]]&lt;=900,vp.tbl[[#This Row],[Sulf]]&lt;=0.5,vp.tbl[[#This Row],[Unknown]]=0),1,0)</f>
        <v>0</v>
      </c>
      <c r="AD215">
        <f>IF(AND(vp.tbl[[#This Row],[CrudeType]]="Crude",vp.tbl[[#This Row],[Dens]]&gt;870,vp.tbl[[#This Row],[Dens]]&lt;=900,vp.tbl[[#This Row],[Sulf]]&gt;0.5,vp.tbl[[#This Row],[Unknown]]=0),1,0)</f>
        <v>0</v>
      </c>
      <c r="AE215">
        <f>IF(AND(vp.tbl[[#This Row],[CrudeType]]="Crude",vp.tbl[[#This Row],[Dens]]&gt;900,vp.tbl[[#This Row],[Sulf]]&lt;=0.5,vp.tbl[[#This Row],[Unknown]]=0),1,0)</f>
        <v>0</v>
      </c>
      <c r="AF215">
        <f>IF(AND(vp.tbl[[#This Row],[CrudeType]]="Crude",vp.tbl[[#This Row],[Dens]]&gt;900,vp.tbl[[#This Row],[Sulf]]&lt;=0.5,vp.tbl[[#This Row],[Unknown]]=0),1,0)</f>
        <v>0</v>
      </c>
      <c r="AG215" t="str">
        <f>INDEX(vp.tbl[[#Headers],[Unknown]:[Heavy_SW]],MATCH(1,vp.tbl[[#This Row],[Unknown]:[Heavy_SW]],0))</f>
        <v>Medium_LSB</v>
      </c>
      <c r="AH215" t="e">
        <f>INDEX([1]!crudeBD.lkup[Number],MATCH(vp.tbl[[#This Row],[Crude_Breakdown]],[1]!crudeBD.lkup[Crude Breakdown],0))</f>
        <v>#REF!</v>
      </c>
      <c r="AI215">
        <f>MONTH(vp.tbl[[#This Row],[SDate]])</f>
        <v>6</v>
      </c>
      <c r="AJ215" s="5">
        <f>IFERROR(vp.tbl[[#This Row],[Sulf]]*vp.tbl[[#This Row],[Net Dens]],"")</f>
        <v>99308832.945119977</v>
      </c>
      <c r="AK215" s="5">
        <f>IFERROR(vp.tbl[[#This Row],[Dens]]*vp.tbl[[#This Row],[VolumeM3]],"")</f>
        <v>86355506.908799991</v>
      </c>
      <c r="AL215" s="5">
        <f>IFERROR(vp.tbl[[#This Row],[VP]]*vp.tbl[[#This Row],[VolumeM3]],"")</f>
        <v>10823057.024</v>
      </c>
      <c r="AM215" s="4">
        <f>IFERROR((vp.tbl[[#This Row],[VP]]-INDEX(crudeBD.lkup.complete[Mean_VP],MATCH(vp.tbl[[#This Row],[Crude_Breakdown]],crudeBD.lkup.complete[Crude Breakdown],0)))^2,"")</f>
        <v>567.69757824002738</v>
      </c>
      <c r="AN215" s="4">
        <f>IFERROR((vp.tbl[[#This Row],[Dens]]-INDEX(crudeBD.lkup.complete[Mean_Dens],MATCH(vp.tbl[[#This Row],[Crude_Breakdown]],crudeBD.lkup.complete[Crude Breakdown],0)))^2,"")</f>
        <v>239.99657319593308</v>
      </c>
      <c r="AO215" s="4">
        <f>IFERROR((vp.tbl[[#This Row],[Sulf]]-INDEX(crudeBD.lkup.complete[Mean_Sulf],MATCH(vp.tbl[[#This Row],[Crude_Breakdown]],crudeBD.lkup.complete[Crude Breakdown],0)))^2,"")</f>
        <v>9.2982219982805162E-2</v>
      </c>
      <c r="AP215">
        <f>IF(AND(vp.tbl[[#This Row],[SDate]]&gt;=DATE(YEAR(vp.tbl[[#This Row],[SDate]]),5,1),vp.tbl[[#This Row],[SDate]]&lt;=DATE(YEAR(vp.tbl[[#This Row],[SDate]]),9,15)),1,0)</f>
        <v>1</v>
      </c>
      <c r="AQ215" s="15">
        <f>IF(vp.tbl[[#This Row],[SDate]]&lt;DATE(2016,12,1),0,1)</f>
        <v>0</v>
      </c>
    </row>
    <row r="216" spans="1:43" x14ac:dyDescent="0.25">
      <c r="A216">
        <v>215</v>
      </c>
      <c r="B216" t="s">
        <v>60</v>
      </c>
      <c r="C216" t="s">
        <v>60</v>
      </c>
      <c r="D216" t="s">
        <v>61</v>
      </c>
      <c r="E216" t="s">
        <v>55</v>
      </c>
      <c r="F216" s="1">
        <v>42527</v>
      </c>
      <c r="G216" s="2">
        <v>104.1</v>
      </c>
      <c r="H216" s="2"/>
      <c r="I216" s="2">
        <v>1.1499999999999999</v>
      </c>
      <c r="J216" s="2"/>
      <c r="K216" s="2"/>
      <c r="L216" s="2">
        <v>829.8</v>
      </c>
      <c r="M216" s="2">
        <v>829.8</v>
      </c>
      <c r="N216" s="2">
        <f ca="1">INDEX(INDIRECT(_xlfn.CONCAT("weather.tbl[",N$1,"]")),MATCH(vp.tbl[[#This Row],[SDate]],weather.tbl[Date],0))</f>
        <v>14.283333333333333</v>
      </c>
      <c r="O216" s="2">
        <f ca="1">INDEX(INDIRECT(_xlfn.CONCAT("weather.tbl[",O$1,"]")),MATCH(vp.tbl[[#This Row],[SDate]],weather.tbl[Date],0))</f>
        <v>15.114285714285716</v>
      </c>
      <c r="P216" s="2">
        <f ca="1">INDEX(INDIRECT(_xlfn.CONCAT("weather.tbl[",P$1,"]")),MATCH(vp.tbl[[#This Row],[SDate]],weather.tbl[Date],0))</f>
        <v>13.5</v>
      </c>
      <c r="Q216" s="2">
        <f ca="1">INDEX(INDIRECT(_xlfn.CONCAT("weather.tbl[",Q$1,"]")),MATCH(vp.tbl[[#This Row],[SDate]],weather.tbl[Date],0))</f>
        <v>13.7</v>
      </c>
      <c r="R216" s="2">
        <f ca="1">INDEX(INDIRECT(_xlfn.CONCAT("weather.tbl[",R$1,"]")),MATCH(vp.tbl[[#This Row],[SDate]],weather.tbl[Date],0))</f>
        <v>14.3</v>
      </c>
      <c r="S216" s="2">
        <f ca="1">INDEX(INDIRECT(_xlfn.CONCAT("weather.tbl[",S$1,"]")),MATCH(vp.tbl[[#This Row],[SDate]],weather.tbl[Date],0))</f>
        <v>15.5</v>
      </c>
      <c r="T216" s="2">
        <f ca="1">INDEX(INDIRECT(_xlfn.CONCAT("weather.tbl[",T$1,"]")),MATCH(vp.tbl[[#This Row],[SDate]],weather.tbl[Date],0))</f>
        <v>14.9</v>
      </c>
      <c r="U216" s="2">
        <f ca="1">INDEX(INDIRECT(_xlfn.CONCAT("weather.tbl[",U$1,"]")),MATCH(vp.tbl[[#This Row],[SDate]],weather.tbl[Date],0))</f>
        <v>13.8</v>
      </c>
      <c r="V216" s="2">
        <v>104067.856</v>
      </c>
      <c r="W216" t="s">
        <v>48</v>
      </c>
      <c r="X216">
        <f>IF(OR(vp.tbl[[#This Row],[Sulf]]="",vp.tbl[[#This Row],[Dens]]=""),1,0)</f>
        <v>0</v>
      </c>
      <c r="Y216">
        <f>IF(vp.tbl[[#This Row],[CrudeType]]="C5+",1,0)</f>
        <v>0</v>
      </c>
      <c r="Z216">
        <f>IF(AND(vp.tbl[[#This Row],[CrudeType]]="Crude",vp.tbl[[#This Row],[Dens]]&lt;=825,vp.tbl[[#This Row],[Sulf]]&gt;0.5,vp.tbl[[#This Row],[Unknown]]=0),1,0)</f>
        <v>0</v>
      </c>
      <c r="AA216">
        <f>IF(AND(vp.tbl[[#This Row],[CrudeType]]="Crude",vp.tbl[[#This Row],[Dens]]&lt;=825,vp.tbl[[#This Row],[Sulf]]&lt;=0.5,vp.tbl[[#This Row],[Unknown]]=0),1,0)</f>
        <v>0</v>
      </c>
      <c r="AB216">
        <f>IF(AND(vp.tbl[[#This Row],[CrudeType]]="Crude",vp.tbl[[#This Row],[Dens]]&gt;825,vp.tbl[[#This Row],[Dens]]&lt;=870,vp.tbl[[#This Row],[Sulf]]&gt;0.5,vp.tbl[[#This Row],[Unknown]]=0),1,0)</f>
        <v>1</v>
      </c>
      <c r="AC216">
        <f>IF(AND(vp.tbl[[#This Row],[CrudeType]]="Crude",vp.tbl[[#This Row],[Dens]]&gt;825,vp.tbl[[#This Row],[Dens]]&lt;=900,vp.tbl[[#This Row],[Sulf]]&lt;=0.5,vp.tbl[[#This Row],[Unknown]]=0),1,0)</f>
        <v>0</v>
      </c>
      <c r="AD216">
        <f>IF(AND(vp.tbl[[#This Row],[CrudeType]]="Crude",vp.tbl[[#This Row],[Dens]]&gt;870,vp.tbl[[#This Row],[Dens]]&lt;=900,vp.tbl[[#This Row],[Sulf]]&gt;0.5,vp.tbl[[#This Row],[Unknown]]=0),1,0)</f>
        <v>0</v>
      </c>
      <c r="AE216">
        <f>IF(AND(vp.tbl[[#This Row],[CrudeType]]="Crude",vp.tbl[[#This Row],[Dens]]&gt;900,vp.tbl[[#This Row],[Sulf]]&lt;=0.5,vp.tbl[[#This Row],[Unknown]]=0),1,0)</f>
        <v>0</v>
      </c>
      <c r="AF216">
        <f>IF(AND(vp.tbl[[#This Row],[CrudeType]]="Crude",vp.tbl[[#This Row],[Dens]]&gt;900,vp.tbl[[#This Row],[Sulf]]&lt;=0.5,vp.tbl[[#This Row],[Unknown]]=0),1,0)</f>
        <v>0</v>
      </c>
      <c r="AG216" t="str">
        <f>INDEX(vp.tbl[[#Headers],[Unknown]:[Heavy_SW]],MATCH(1,vp.tbl[[#This Row],[Unknown]:[Heavy_SW]],0))</f>
        <v>Medium_LSB</v>
      </c>
      <c r="AH216" t="e">
        <f>INDEX([1]!crudeBD.lkup[Number],MATCH(vp.tbl[[#This Row],[Crude_Breakdown]],[1]!crudeBD.lkup[Crude Breakdown],0))</f>
        <v>#REF!</v>
      </c>
      <c r="AI216">
        <f>MONTH(vp.tbl[[#This Row],[SDate]])</f>
        <v>6</v>
      </c>
      <c r="AJ216" s="5">
        <f>IFERROR(vp.tbl[[#This Row],[Sulf]]*vp.tbl[[#This Row],[Net Dens]],"")</f>
        <v>99308832.945119977</v>
      </c>
      <c r="AK216" s="5">
        <f>IFERROR(vp.tbl[[#This Row],[Dens]]*vp.tbl[[#This Row],[VolumeM3]],"")</f>
        <v>86355506.908799991</v>
      </c>
      <c r="AL216" s="5">
        <f>IFERROR(vp.tbl[[#This Row],[VP]]*vp.tbl[[#This Row],[VolumeM3]],"")</f>
        <v>10833463.809599999</v>
      </c>
      <c r="AM216" s="4">
        <f>IFERROR((vp.tbl[[#This Row],[VP]]-INDEX(crudeBD.lkup.complete[Mean_VP],MATCH(vp.tbl[[#This Row],[Crude_Breakdown]],crudeBD.lkup.complete[Crude Breakdown],0)))^2,"")</f>
        <v>572.47285925268534</v>
      </c>
      <c r="AN216" s="4">
        <f>IFERROR((vp.tbl[[#This Row],[Dens]]-INDEX(crudeBD.lkup.complete[Mean_Dens],MATCH(vp.tbl[[#This Row],[Crude_Breakdown]],crudeBD.lkup.complete[Crude Breakdown],0)))^2,"")</f>
        <v>239.99657319593308</v>
      </c>
      <c r="AO216" s="4">
        <f>IFERROR((vp.tbl[[#This Row],[Sulf]]-INDEX(crudeBD.lkup.complete[Mean_Sulf],MATCH(vp.tbl[[#This Row],[Crude_Breakdown]],crudeBD.lkup.complete[Crude Breakdown],0)))^2,"")</f>
        <v>9.2982219982805162E-2</v>
      </c>
      <c r="AP216">
        <f>IF(AND(vp.tbl[[#This Row],[SDate]]&gt;=DATE(YEAR(vp.tbl[[#This Row],[SDate]]),5,1),vp.tbl[[#This Row],[SDate]]&lt;=DATE(YEAR(vp.tbl[[#This Row],[SDate]]),9,15)),1,0)</f>
        <v>1</v>
      </c>
      <c r="AQ216" s="15">
        <f>IF(vp.tbl[[#This Row],[SDate]]&lt;DATE(2016,12,1),0,1)</f>
        <v>0</v>
      </c>
    </row>
    <row r="217" spans="1:43" x14ac:dyDescent="0.25">
      <c r="A217">
        <v>216</v>
      </c>
      <c r="B217" t="s">
        <v>46</v>
      </c>
      <c r="C217" t="s">
        <v>46</v>
      </c>
      <c r="D217" t="s">
        <v>47</v>
      </c>
      <c r="F217" s="1">
        <v>42529</v>
      </c>
      <c r="G217" s="2">
        <v>84.2</v>
      </c>
      <c r="H217" s="2"/>
      <c r="I217" s="2">
        <v>2.41</v>
      </c>
      <c r="J217" s="2"/>
      <c r="K217" s="2"/>
      <c r="L217" s="2">
        <v>872.8</v>
      </c>
      <c r="M217" s="2">
        <v>872.8</v>
      </c>
      <c r="N217" s="2">
        <f ca="1">INDEX(INDIRECT(_xlfn.CONCAT("weather.tbl[",N$1,"]")),MATCH(vp.tbl[[#This Row],[SDate]],weather.tbl[Date],0))</f>
        <v>21.866666666666664</v>
      </c>
      <c r="O217" s="2">
        <f ca="1">INDEX(INDIRECT(_xlfn.CONCAT("weather.tbl[",O$1,"]")),MATCH(vp.tbl[[#This Row],[SDate]],weather.tbl[Date],0))</f>
        <v>17.330952380952379</v>
      </c>
      <c r="P217" s="2">
        <f ca="1">INDEX(INDIRECT(_xlfn.CONCAT("weather.tbl[",P$1,"]")),MATCH(vp.tbl[[#This Row],[SDate]],weather.tbl[Date],0))</f>
        <v>21.7</v>
      </c>
      <c r="Q217" s="2">
        <f ca="1">INDEX(INDIRECT(_xlfn.CONCAT("weather.tbl[",Q$1,"]")),MATCH(vp.tbl[[#This Row],[SDate]],weather.tbl[Date],0))</f>
        <v>23.4</v>
      </c>
      <c r="R217" s="2">
        <f ca="1">INDEX(INDIRECT(_xlfn.CONCAT("weather.tbl[",R$1,"]")),MATCH(vp.tbl[[#This Row],[SDate]],weather.tbl[Date],0))</f>
        <v>20</v>
      </c>
      <c r="S217" s="2">
        <f ca="1">INDEX(INDIRECT(_xlfn.CONCAT("weather.tbl[",S$1,"]")),MATCH(vp.tbl[[#This Row],[SDate]],weather.tbl[Date],0))</f>
        <v>23.5</v>
      </c>
      <c r="T217" s="2">
        <f ca="1">INDEX(INDIRECT(_xlfn.CONCAT("weather.tbl[",T$1,"]")),MATCH(vp.tbl[[#This Row],[SDate]],weather.tbl[Date],0))</f>
        <v>20.6</v>
      </c>
      <c r="U217" s="2">
        <f ca="1">INDEX(INDIRECT(_xlfn.CONCAT("weather.tbl[",U$1,"]")),MATCH(vp.tbl[[#This Row],[SDate]],weather.tbl[Date],0))</f>
        <v>22</v>
      </c>
      <c r="V217" s="2">
        <v>109776.467</v>
      </c>
      <c r="W217" t="s">
        <v>48</v>
      </c>
      <c r="X217">
        <f>IF(OR(vp.tbl[[#This Row],[Sulf]]="",vp.tbl[[#This Row],[Dens]]=""),1,0)</f>
        <v>0</v>
      </c>
      <c r="Y217">
        <f>IF(vp.tbl[[#This Row],[CrudeType]]="C5+",1,0)</f>
        <v>0</v>
      </c>
      <c r="Z217">
        <f>IF(AND(vp.tbl[[#This Row],[CrudeType]]="Crude",vp.tbl[[#This Row],[Dens]]&lt;=825,vp.tbl[[#This Row],[Sulf]]&gt;0.5,vp.tbl[[#This Row],[Unknown]]=0),1,0)</f>
        <v>0</v>
      </c>
      <c r="AA217">
        <f>IF(AND(vp.tbl[[#This Row],[CrudeType]]="Crude",vp.tbl[[#This Row],[Dens]]&lt;=825,vp.tbl[[#This Row],[Sulf]]&lt;=0.5,vp.tbl[[#This Row],[Unknown]]=0),1,0)</f>
        <v>0</v>
      </c>
      <c r="AB217">
        <f>IF(AND(vp.tbl[[#This Row],[CrudeType]]="Crude",vp.tbl[[#This Row],[Dens]]&gt;825,vp.tbl[[#This Row],[Dens]]&lt;=870,vp.tbl[[#This Row],[Sulf]]&gt;0.5,vp.tbl[[#This Row],[Unknown]]=0),1,0)</f>
        <v>0</v>
      </c>
      <c r="AC217">
        <f>IF(AND(vp.tbl[[#This Row],[CrudeType]]="Crude",vp.tbl[[#This Row],[Dens]]&gt;825,vp.tbl[[#This Row],[Dens]]&lt;=900,vp.tbl[[#This Row],[Sulf]]&lt;=0.5,vp.tbl[[#This Row],[Unknown]]=0),1,0)</f>
        <v>0</v>
      </c>
      <c r="AD217">
        <f>IF(AND(vp.tbl[[#This Row],[CrudeType]]="Crude",vp.tbl[[#This Row],[Dens]]&gt;870,vp.tbl[[#This Row],[Dens]]&lt;=900,vp.tbl[[#This Row],[Sulf]]&gt;0.5,vp.tbl[[#This Row],[Unknown]]=0),1,0)</f>
        <v>1</v>
      </c>
      <c r="AE217">
        <f>IF(AND(vp.tbl[[#This Row],[CrudeType]]="Crude",vp.tbl[[#This Row],[Dens]]&gt;900,vp.tbl[[#This Row],[Sulf]]&lt;=0.5,vp.tbl[[#This Row],[Unknown]]=0),1,0)</f>
        <v>0</v>
      </c>
      <c r="AF217">
        <f>IF(AND(vp.tbl[[#This Row],[CrudeType]]="Crude",vp.tbl[[#This Row],[Dens]]&gt;900,vp.tbl[[#This Row],[Sulf]]&lt;=0.5,vp.tbl[[#This Row],[Unknown]]=0),1,0)</f>
        <v>0</v>
      </c>
      <c r="AG217" t="str">
        <f>INDEX(vp.tbl[[#Headers],[Unknown]:[Heavy_SW]],MATCH(1,vp.tbl[[#This Row],[Unknown]:[Heavy_SW]],0))</f>
        <v>Midale</v>
      </c>
      <c r="AH217" t="e">
        <f>INDEX([1]!crudeBD.lkup[Number],MATCH(vp.tbl[[#This Row],[Crude_Breakdown]],[1]!crudeBD.lkup[Crude Breakdown],0))</f>
        <v>#REF!</v>
      </c>
      <c r="AI217">
        <f>MONTH(vp.tbl[[#This Row],[SDate]])</f>
        <v>6</v>
      </c>
      <c r="AJ217" s="5">
        <f>IFERROR(vp.tbl[[#This Row],[Sulf]]*vp.tbl[[#This Row],[Net Dens]],"")</f>
        <v>230909089.95821601</v>
      </c>
      <c r="AK217" s="5">
        <f>IFERROR(vp.tbl[[#This Row],[Dens]]*vp.tbl[[#This Row],[VolumeM3]],"")</f>
        <v>95812900.397599995</v>
      </c>
      <c r="AL217" s="5">
        <f>IFERROR(vp.tbl[[#This Row],[VP]]*vp.tbl[[#This Row],[VolumeM3]],"")</f>
        <v>9243178.5214000009</v>
      </c>
      <c r="AM217" s="4">
        <f>IFERROR((vp.tbl[[#This Row],[VP]]-INDEX(crudeBD.lkup.complete[Mean_VP],MATCH(vp.tbl[[#This Row],[Crude_Breakdown]],crudeBD.lkup.complete[Crude Breakdown],0)))^2,"")</f>
        <v>254.77407393507193</v>
      </c>
      <c r="AN217" s="4">
        <f>IFERROR((vp.tbl[[#This Row],[Dens]]-INDEX(crudeBD.lkup.complete[Mean_Dens],MATCH(vp.tbl[[#This Row],[Crude_Breakdown]],crudeBD.lkup.complete[Crude Breakdown],0)))^2,"")</f>
        <v>22.582024770123283</v>
      </c>
      <c r="AO217" s="4">
        <f>IFERROR((vp.tbl[[#This Row],[Sulf]]-INDEX(crudeBD.lkup.complete[Mean_Sulf],MATCH(vp.tbl[[#This Row],[Crude_Breakdown]],crudeBD.lkup.complete[Crude Breakdown],0)))^2,"")</f>
        <v>2.8517063032449047E-5</v>
      </c>
      <c r="AP217">
        <f>IF(AND(vp.tbl[[#This Row],[SDate]]&gt;=DATE(YEAR(vp.tbl[[#This Row],[SDate]]),5,1),vp.tbl[[#This Row],[SDate]]&lt;=DATE(YEAR(vp.tbl[[#This Row],[SDate]]),9,15)),1,0)</f>
        <v>1</v>
      </c>
      <c r="AQ217" s="15">
        <f>IF(vp.tbl[[#This Row],[SDate]]&lt;DATE(2016,12,1),0,1)</f>
        <v>0</v>
      </c>
    </row>
    <row r="218" spans="1:43" x14ac:dyDescent="0.25">
      <c r="A218">
        <v>217</v>
      </c>
      <c r="B218" t="s">
        <v>60</v>
      </c>
      <c r="C218" t="s">
        <v>60</v>
      </c>
      <c r="D218" t="s">
        <v>61</v>
      </c>
      <c r="E218" t="s">
        <v>55</v>
      </c>
      <c r="F218" s="1">
        <v>42529</v>
      </c>
      <c r="G218" s="2">
        <v>113.1</v>
      </c>
      <c r="H218" s="2"/>
      <c r="I218" s="2">
        <v>1.1499999999999999</v>
      </c>
      <c r="J218" s="2"/>
      <c r="K218" s="2"/>
      <c r="L218" s="2">
        <v>830</v>
      </c>
      <c r="M218" s="2">
        <v>830</v>
      </c>
      <c r="N218" s="2">
        <f ca="1">INDEX(INDIRECT(_xlfn.CONCAT("weather.tbl[",N$1,"]")),MATCH(vp.tbl[[#This Row],[SDate]],weather.tbl[Date],0))</f>
        <v>21.866666666666664</v>
      </c>
      <c r="O218" s="2">
        <f ca="1">INDEX(INDIRECT(_xlfn.CONCAT("weather.tbl[",O$1,"]")),MATCH(vp.tbl[[#This Row],[SDate]],weather.tbl[Date],0))</f>
        <v>17.330952380952379</v>
      </c>
      <c r="P218" s="2">
        <f ca="1">INDEX(INDIRECT(_xlfn.CONCAT("weather.tbl[",P$1,"]")),MATCH(vp.tbl[[#This Row],[SDate]],weather.tbl[Date],0))</f>
        <v>21.7</v>
      </c>
      <c r="Q218" s="2">
        <f ca="1">INDEX(INDIRECT(_xlfn.CONCAT("weather.tbl[",Q$1,"]")),MATCH(vp.tbl[[#This Row],[SDate]],weather.tbl[Date],0))</f>
        <v>23.4</v>
      </c>
      <c r="R218" s="2">
        <f ca="1">INDEX(INDIRECT(_xlfn.CONCAT("weather.tbl[",R$1,"]")),MATCH(vp.tbl[[#This Row],[SDate]],weather.tbl[Date],0))</f>
        <v>20</v>
      </c>
      <c r="S218" s="2">
        <f ca="1">INDEX(INDIRECT(_xlfn.CONCAT("weather.tbl[",S$1,"]")),MATCH(vp.tbl[[#This Row],[SDate]],weather.tbl[Date],0))</f>
        <v>23.5</v>
      </c>
      <c r="T218" s="2">
        <f ca="1">INDEX(INDIRECT(_xlfn.CONCAT("weather.tbl[",T$1,"]")),MATCH(vp.tbl[[#This Row],[SDate]],weather.tbl[Date],0))</f>
        <v>20.6</v>
      </c>
      <c r="U218" s="2">
        <f ca="1">INDEX(INDIRECT(_xlfn.CONCAT("weather.tbl[",U$1,"]")),MATCH(vp.tbl[[#This Row],[SDate]],weather.tbl[Date],0))</f>
        <v>22</v>
      </c>
      <c r="V218" s="2">
        <v>104067.856</v>
      </c>
      <c r="W218" t="s">
        <v>48</v>
      </c>
      <c r="X218">
        <f>IF(OR(vp.tbl[[#This Row],[Sulf]]="",vp.tbl[[#This Row],[Dens]]=""),1,0)</f>
        <v>0</v>
      </c>
      <c r="Y218">
        <f>IF(vp.tbl[[#This Row],[CrudeType]]="C5+",1,0)</f>
        <v>0</v>
      </c>
      <c r="Z218">
        <f>IF(AND(vp.tbl[[#This Row],[CrudeType]]="Crude",vp.tbl[[#This Row],[Dens]]&lt;=825,vp.tbl[[#This Row],[Sulf]]&gt;0.5,vp.tbl[[#This Row],[Unknown]]=0),1,0)</f>
        <v>0</v>
      </c>
      <c r="AA218">
        <f>IF(AND(vp.tbl[[#This Row],[CrudeType]]="Crude",vp.tbl[[#This Row],[Dens]]&lt;=825,vp.tbl[[#This Row],[Sulf]]&lt;=0.5,vp.tbl[[#This Row],[Unknown]]=0),1,0)</f>
        <v>0</v>
      </c>
      <c r="AB218">
        <f>IF(AND(vp.tbl[[#This Row],[CrudeType]]="Crude",vp.tbl[[#This Row],[Dens]]&gt;825,vp.tbl[[#This Row],[Dens]]&lt;=870,vp.tbl[[#This Row],[Sulf]]&gt;0.5,vp.tbl[[#This Row],[Unknown]]=0),1,0)</f>
        <v>1</v>
      </c>
      <c r="AC218">
        <f>IF(AND(vp.tbl[[#This Row],[CrudeType]]="Crude",vp.tbl[[#This Row],[Dens]]&gt;825,vp.tbl[[#This Row],[Dens]]&lt;=900,vp.tbl[[#This Row],[Sulf]]&lt;=0.5,vp.tbl[[#This Row],[Unknown]]=0),1,0)</f>
        <v>0</v>
      </c>
      <c r="AD218">
        <f>IF(AND(vp.tbl[[#This Row],[CrudeType]]="Crude",vp.tbl[[#This Row],[Dens]]&gt;870,vp.tbl[[#This Row],[Dens]]&lt;=900,vp.tbl[[#This Row],[Sulf]]&gt;0.5,vp.tbl[[#This Row],[Unknown]]=0),1,0)</f>
        <v>0</v>
      </c>
      <c r="AE218">
        <f>IF(AND(vp.tbl[[#This Row],[CrudeType]]="Crude",vp.tbl[[#This Row],[Dens]]&gt;900,vp.tbl[[#This Row],[Sulf]]&lt;=0.5,vp.tbl[[#This Row],[Unknown]]=0),1,0)</f>
        <v>0</v>
      </c>
      <c r="AF218">
        <f>IF(AND(vp.tbl[[#This Row],[CrudeType]]="Crude",vp.tbl[[#This Row],[Dens]]&gt;900,vp.tbl[[#This Row],[Sulf]]&lt;=0.5,vp.tbl[[#This Row],[Unknown]]=0),1,0)</f>
        <v>0</v>
      </c>
      <c r="AG218" t="str">
        <f>INDEX(vp.tbl[[#Headers],[Unknown]:[Heavy_SW]],MATCH(1,vp.tbl[[#This Row],[Unknown]:[Heavy_SW]],0))</f>
        <v>Medium_LSB</v>
      </c>
      <c r="AH218" t="e">
        <f>INDEX([1]!crudeBD.lkup[Number],MATCH(vp.tbl[[#This Row],[Crude_Breakdown]],[1]!crudeBD.lkup[Crude Breakdown],0))</f>
        <v>#REF!</v>
      </c>
      <c r="AI218">
        <f>MONTH(vp.tbl[[#This Row],[SDate]])</f>
        <v>6</v>
      </c>
      <c r="AJ218" s="5">
        <f>IFERROR(vp.tbl[[#This Row],[Sulf]]*vp.tbl[[#This Row],[Net Dens]],"")</f>
        <v>99332768.552000001</v>
      </c>
      <c r="AK218" s="5">
        <f>IFERROR(vp.tbl[[#This Row],[Dens]]*vp.tbl[[#This Row],[VolumeM3]],"")</f>
        <v>86376320.480000004</v>
      </c>
      <c r="AL218" s="5">
        <f>IFERROR(vp.tbl[[#This Row],[VP]]*vp.tbl[[#This Row],[VolumeM3]],"")</f>
        <v>11770074.513599999</v>
      </c>
      <c r="AM218" s="4">
        <f>IFERROR((vp.tbl[[#This Row],[VP]]-INDEX(crudeBD.lkup.complete[Mean_VP],MATCH(vp.tbl[[#This Row],[Crude_Breakdown]],crudeBD.lkup.complete[Crude Breakdown],0)))^2,"")</f>
        <v>1084.1481503919265</v>
      </c>
      <c r="AN218" s="4">
        <f>IFERROR((vp.tbl[[#This Row],[Dens]]-INDEX(crudeBD.lkup.complete[Mean_Dens],MATCH(vp.tbl[[#This Row],[Crude_Breakdown]],crudeBD.lkup.complete[Crude Breakdown],0)))^2,"")</f>
        <v>233.83984408200803</v>
      </c>
      <c r="AO218" s="4">
        <f>IFERROR((vp.tbl[[#This Row],[Sulf]]-INDEX(crudeBD.lkup.complete[Mean_Sulf],MATCH(vp.tbl[[#This Row],[Crude_Breakdown]],crudeBD.lkup.complete[Crude Breakdown],0)))^2,"")</f>
        <v>9.2982219982805162E-2</v>
      </c>
      <c r="AP218">
        <f>IF(AND(vp.tbl[[#This Row],[SDate]]&gt;=DATE(YEAR(vp.tbl[[#This Row],[SDate]]),5,1),vp.tbl[[#This Row],[SDate]]&lt;=DATE(YEAR(vp.tbl[[#This Row],[SDate]]),9,15)),1,0)</f>
        <v>1</v>
      </c>
      <c r="AQ218" s="15">
        <f>IF(vp.tbl[[#This Row],[SDate]]&lt;DATE(2016,12,1),0,1)</f>
        <v>0</v>
      </c>
    </row>
    <row r="219" spans="1:43" x14ac:dyDescent="0.25">
      <c r="A219">
        <v>218</v>
      </c>
      <c r="B219" t="s">
        <v>60</v>
      </c>
      <c r="C219" t="s">
        <v>60</v>
      </c>
      <c r="D219" t="s">
        <v>61</v>
      </c>
      <c r="E219" t="s">
        <v>55</v>
      </c>
      <c r="F219" s="1">
        <v>42529</v>
      </c>
      <c r="G219" s="2">
        <v>111.8</v>
      </c>
      <c r="H219" s="2"/>
      <c r="I219" s="2">
        <v>1.1499999999999999</v>
      </c>
      <c r="J219" s="2"/>
      <c r="K219" s="2"/>
      <c r="L219" s="2">
        <v>830</v>
      </c>
      <c r="M219" s="2">
        <v>830</v>
      </c>
      <c r="N219" s="2">
        <f ca="1">INDEX(INDIRECT(_xlfn.CONCAT("weather.tbl[",N$1,"]")),MATCH(vp.tbl[[#This Row],[SDate]],weather.tbl[Date],0))</f>
        <v>21.866666666666664</v>
      </c>
      <c r="O219" s="2">
        <f ca="1">INDEX(INDIRECT(_xlfn.CONCAT("weather.tbl[",O$1,"]")),MATCH(vp.tbl[[#This Row],[SDate]],weather.tbl[Date],0))</f>
        <v>17.330952380952379</v>
      </c>
      <c r="P219" s="2">
        <f ca="1">INDEX(INDIRECT(_xlfn.CONCAT("weather.tbl[",P$1,"]")),MATCH(vp.tbl[[#This Row],[SDate]],weather.tbl[Date],0))</f>
        <v>21.7</v>
      </c>
      <c r="Q219" s="2">
        <f ca="1">INDEX(INDIRECT(_xlfn.CONCAT("weather.tbl[",Q$1,"]")),MATCH(vp.tbl[[#This Row],[SDate]],weather.tbl[Date],0))</f>
        <v>23.4</v>
      </c>
      <c r="R219" s="2">
        <f ca="1">INDEX(INDIRECT(_xlfn.CONCAT("weather.tbl[",R$1,"]")),MATCH(vp.tbl[[#This Row],[SDate]],weather.tbl[Date],0))</f>
        <v>20</v>
      </c>
      <c r="S219" s="2">
        <f ca="1">INDEX(INDIRECT(_xlfn.CONCAT("weather.tbl[",S$1,"]")),MATCH(vp.tbl[[#This Row],[SDate]],weather.tbl[Date],0))</f>
        <v>23.5</v>
      </c>
      <c r="T219" s="2">
        <f ca="1">INDEX(INDIRECT(_xlfn.CONCAT("weather.tbl[",T$1,"]")),MATCH(vp.tbl[[#This Row],[SDate]],weather.tbl[Date],0))</f>
        <v>20.6</v>
      </c>
      <c r="U219" s="2">
        <f ca="1">INDEX(INDIRECT(_xlfn.CONCAT("weather.tbl[",U$1,"]")),MATCH(vp.tbl[[#This Row],[SDate]],weather.tbl[Date],0))</f>
        <v>22</v>
      </c>
      <c r="V219" s="2">
        <v>104067.856</v>
      </c>
      <c r="W219" t="s">
        <v>48</v>
      </c>
      <c r="X219">
        <f>IF(OR(vp.tbl[[#This Row],[Sulf]]="",vp.tbl[[#This Row],[Dens]]=""),1,0)</f>
        <v>0</v>
      </c>
      <c r="Y219">
        <f>IF(vp.tbl[[#This Row],[CrudeType]]="C5+",1,0)</f>
        <v>0</v>
      </c>
      <c r="Z219">
        <f>IF(AND(vp.tbl[[#This Row],[CrudeType]]="Crude",vp.tbl[[#This Row],[Dens]]&lt;=825,vp.tbl[[#This Row],[Sulf]]&gt;0.5,vp.tbl[[#This Row],[Unknown]]=0),1,0)</f>
        <v>0</v>
      </c>
      <c r="AA219">
        <f>IF(AND(vp.tbl[[#This Row],[CrudeType]]="Crude",vp.tbl[[#This Row],[Dens]]&lt;=825,vp.tbl[[#This Row],[Sulf]]&lt;=0.5,vp.tbl[[#This Row],[Unknown]]=0),1,0)</f>
        <v>0</v>
      </c>
      <c r="AB219">
        <f>IF(AND(vp.tbl[[#This Row],[CrudeType]]="Crude",vp.tbl[[#This Row],[Dens]]&gt;825,vp.tbl[[#This Row],[Dens]]&lt;=870,vp.tbl[[#This Row],[Sulf]]&gt;0.5,vp.tbl[[#This Row],[Unknown]]=0),1,0)</f>
        <v>1</v>
      </c>
      <c r="AC219">
        <f>IF(AND(vp.tbl[[#This Row],[CrudeType]]="Crude",vp.tbl[[#This Row],[Dens]]&gt;825,vp.tbl[[#This Row],[Dens]]&lt;=900,vp.tbl[[#This Row],[Sulf]]&lt;=0.5,vp.tbl[[#This Row],[Unknown]]=0),1,0)</f>
        <v>0</v>
      </c>
      <c r="AD219">
        <f>IF(AND(vp.tbl[[#This Row],[CrudeType]]="Crude",vp.tbl[[#This Row],[Dens]]&gt;870,vp.tbl[[#This Row],[Dens]]&lt;=900,vp.tbl[[#This Row],[Sulf]]&gt;0.5,vp.tbl[[#This Row],[Unknown]]=0),1,0)</f>
        <v>0</v>
      </c>
      <c r="AE219">
        <f>IF(AND(vp.tbl[[#This Row],[CrudeType]]="Crude",vp.tbl[[#This Row],[Dens]]&gt;900,vp.tbl[[#This Row],[Sulf]]&lt;=0.5,vp.tbl[[#This Row],[Unknown]]=0),1,0)</f>
        <v>0</v>
      </c>
      <c r="AF219">
        <f>IF(AND(vp.tbl[[#This Row],[CrudeType]]="Crude",vp.tbl[[#This Row],[Dens]]&gt;900,vp.tbl[[#This Row],[Sulf]]&lt;=0.5,vp.tbl[[#This Row],[Unknown]]=0),1,0)</f>
        <v>0</v>
      </c>
      <c r="AG219" t="str">
        <f>INDEX(vp.tbl[[#Headers],[Unknown]:[Heavy_SW]],MATCH(1,vp.tbl[[#This Row],[Unknown]:[Heavy_SW]],0))</f>
        <v>Medium_LSB</v>
      </c>
      <c r="AH219" t="e">
        <f>INDEX([1]!crudeBD.lkup[Number],MATCH(vp.tbl[[#This Row],[Crude_Breakdown]],[1]!crudeBD.lkup[Crude Breakdown],0))</f>
        <v>#REF!</v>
      </c>
      <c r="AI219">
        <f>MONTH(vp.tbl[[#This Row],[SDate]])</f>
        <v>6</v>
      </c>
      <c r="AJ219" s="5">
        <f>IFERROR(vp.tbl[[#This Row],[Sulf]]*vp.tbl[[#This Row],[Net Dens]],"")</f>
        <v>99332768.552000001</v>
      </c>
      <c r="AK219" s="5">
        <f>IFERROR(vp.tbl[[#This Row],[Dens]]*vp.tbl[[#This Row],[VolumeM3]],"")</f>
        <v>86376320.480000004</v>
      </c>
      <c r="AL219" s="5">
        <f>IFERROR(vp.tbl[[#This Row],[VP]]*vp.tbl[[#This Row],[VolumeM3]],"")</f>
        <v>11634786.300799999</v>
      </c>
      <c r="AM219" s="4">
        <f>IFERROR((vp.tbl[[#This Row],[VP]]-INDEX(crudeBD.lkup.complete[Mean_VP],MATCH(vp.tbl[[#This Row],[Crude_Breakdown]],crudeBD.lkup.complete[Crude Breakdown],0)))^2,"")</f>
        <v>1000.2294972273695</v>
      </c>
      <c r="AN219" s="4">
        <f>IFERROR((vp.tbl[[#This Row],[Dens]]-INDEX(crudeBD.lkup.complete[Mean_Dens],MATCH(vp.tbl[[#This Row],[Crude_Breakdown]],crudeBD.lkup.complete[Crude Breakdown],0)))^2,"")</f>
        <v>233.83984408200803</v>
      </c>
      <c r="AO219" s="4">
        <f>IFERROR((vp.tbl[[#This Row],[Sulf]]-INDEX(crudeBD.lkup.complete[Mean_Sulf],MATCH(vp.tbl[[#This Row],[Crude_Breakdown]],crudeBD.lkup.complete[Crude Breakdown],0)))^2,"")</f>
        <v>9.2982219982805162E-2</v>
      </c>
      <c r="AP219">
        <f>IF(AND(vp.tbl[[#This Row],[SDate]]&gt;=DATE(YEAR(vp.tbl[[#This Row],[SDate]]),5,1),vp.tbl[[#This Row],[SDate]]&lt;=DATE(YEAR(vp.tbl[[#This Row],[SDate]]),9,15)),1,0)</f>
        <v>1</v>
      </c>
      <c r="AQ219" s="15">
        <f>IF(vp.tbl[[#This Row],[SDate]]&lt;DATE(2016,12,1),0,1)</f>
        <v>0</v>
      </c>
    </row>
    <row r="220" spans="1:43" x14ac:dyDescent="0.25">
      <c r="A220">
        <v>219</v>
      </c>
      <c r="B220" t="s">
        <v>60</v>
      </c>
      <c r="C220" t="s">
        <v>60</v>
      </c>
      <c r="D220" t="s">
        <v>61</v>
      </c>
      <c r="E220" t="s">
        <v>55</v>
      </c>
      <c r="F220" s="1">
        <v>42529</v>
      </c>
      <c r="G220" s="2">
        <v>99.5</v>
      </c>
      <c r="H220" s="2"/>
      <c r="I220" s="2">
        <v>1.1499999999999999</v>
      </c>
      <c r="J220" s="2"/>
      <c r="K220" s="2"/>
      <c r="L220" s="2">
        <v>830</v>
      </c>
      <c r="M220" s="2">
        <v>830</v>
      </c>
      <c r="N220" s="2">
        <f ca="1">INDEX(INDIRECT(_xlfn.CONCAT("weather.tbl[",N$1,"]")),MATCH(vp.tbl[[#This Row],[SDate]],weather.tbl[Date],0))</f>
        <v>21.866666666666664</v>
      </c>
      <c r="O220" s="2">
        <f ca="1">INDEX(INDIRECT(_xlfn.CONCAT("weather.tbl[",O$1,"]")),MATCH(vp.tbl[[#This Row],[SDate]],weather.tbl[Date],0))</f>
        <v>17.330952380952379</v>
      </c>
      <c r="P220" s="2">
        <f ca="1">INDEX(INDIRECT(_xlfn.CONCAT("weather.tbl[",P$1,"]")),MATCH(vp.tbl[[#This Row],[SDate]],weather.tbl[Date],0))</f>
        <v>21.7</v>
      </c>
      <c r="Q220" s="2">
        <f ca="1">INDEX(INDIRECT(_xlfn.CONCAT("weather.tbl[",Q$1,"]")),MATCH(vp.tbl[[#This Row],[SDate]],weather.tbl[Date],0))</f>
        <v>23.4</v>
      </c>
      <c r="R220" s="2">
        <f ca="1">INDEX(INDIRECT(_xlfn.CONCAT("weather.tbl[",R$1,"]")),MATCH(vp.tbl[[#This Row],[SDate]],weather.tbl[Date],0))</f>
        <v>20</v>
      </c>
      <c r="S220" s="2">
        <f ca="1">INDEX(INDIRECT(_xlfn.CONCAT("weather.tbl[",S$1,"]")),MATCH(vp.tbl[[#This Row],[SDate]],weather.tbl[Date],0))</f>
        <v>23.5</v>
      </c>
      <c r="T220" s="2">
        <f ca="1">INDEX(INDIRECT(_xlfn.CONCAT("weather.tbl[",T$1,"]")),MATCH(vp.tbl[[#This Row],[SDate]],weather.tbl[Date],0))</f>
        <v>20.6</v>
      </c>
      <c r="U220" s="2">
        <f ca="1">INDEX(INDIRECT(_xlfn.CONCAT("weather.tbl[",U$1,"]")),MATCH(vp.tbl[[#This Row],[SDate]],weather.tbl[Date],0))</f>
        <v>22</v>
      </c>
      <c r="V220" s="2">
        <v>104067.856</v>
      </c>
      <c r="W220" t="s">
        <v>48</v>
      </c>
      <c r="X220">
        <f>IF(OR(vp.tbl[[#This Row],[Sulf]]="",vp.tbl[[#This Row],[Dens]]=""),1,0)</f>
        <v>0</v>
      </c>
      <c r="Y220">
        <f>IF(vp.tbl[[#This Row],[CrudeType]]="C5+",1,0)</f>
        <v>0</v>
      </c>
      <c r="Z220">
        <f>IF(AND(vp.tbl[[#This Row],[CrudeType]]="Crude",vp.tbl[[#This Row],[Dens]]&lt;=825,vp.tbl[[#This Row],[Sulf]]&gt;0.5,vp.tbl[[#This Row],[Unknown]]=0),1,0)</f>
        <v>0</v>
      </c>
      <c r="AA220">
        <f>IF(AND(vp.tbl[[#This Row],[CrudeType]]="Crude",vp.tbl[[#This Row],[Dens]]&lt;=825,vp.tbl[[#This Row],[Sulf]]&lt;=0.5,vp.tbl[[#This Row],[Unknown]]=0),1,0)</f>
        <v>0</v>
      </c>
      <c r="AB220">
        <f>IF(AND(vp.tbl[[#This Row],[CrudeType]]="Crude",vp.tbl[[#This Row],[Dens]]&gt;825,vp.tbl[[#This Row],[Dens]]&lt;=870,vp.tbl[[#This Row],[Sulf]]&gt;0.5,vp.tbl[[#This Row],[Unknown]]=0),1,0)</f>
        <v>1</v>
      </c>
      <c r="AC220">
        <f>IF(AND(vp.tbl[[#This Row],[CrudeType]]="Crude",vp.tbl[[#This Row],[Dens]]&gt;825,vp.tbl[[#This Row],[Dens]]&lt;=900,vp.tbl[[#This Row],[Sulf]]&lt;=0.5,vp.tbl[[#This Row],[Unknown]]=0),1,0)</f>
        <v>0</v>
      </c>
      <c r="AD220">
        <f>IF(AND(vp.tbl[[#This Row],[CrudeType]]="Crude",vp.tbl[[#This Row],[Dens]]&gt;870,vp.tbl[[#This Row],[Dens]]&lt;=900,vp.tbl[[#This Row],[Sulf]]&gt;0.5,vp.tbl[[#This Row],[Unknown]]=0),1,0)</f>
        <v>0</v>
      </c>
      <c r="AE220">
        <f>IF(AND(vp.tbl[[#This Row],[CrudeType]]="Crude",vp.tbl[[#This Row],[Dens]]&gt;900,vp.tbl[[#This Row],[Sulf]]&lt;=0.5,vp.tbl[[#This Row],[Unknown]]=0),1,0)</f>
        <v>0</v>
      </c>
      <c r="AF220">
        <f>IF(AND(vp.tbl[[#This Row],[CrudeType]]="Crude",vp.tbl[[#This Row],[Dens]]&gt;900,vp.tbl[[#This Row],[Sulf]]&lt;=0.5,vp.tbl[[#This Row],[Unknown]]=0),1,0)</f>
        <v>0</v>
      </c>
      <c r="AG220" t="str">
        <f>INDEX(vp.tbl[[#Headers],[Unknown]:[Heavy_SW]],MATCH(1,vp.tbl[[#This Row],[Unknown]:[Heavy_SW]],0))</f>
        <v>Medium_LSB</v>
      </c>
      <c r="AH220" t="e">
        <f>INDEX([1]!crudeBD.lkup[Number],MATCH(vp.tbl[[#This Row],[Crude_Breakdown]],[1]!crudeBD.lkup[Crude Breakdown],0))</f>
        <v>#REF!</v>
      </c>
      <c r="AI220">
        <f>MONTH(vp.tbl[[#This Row],[SDate]])</f>
        <v>6</v>
      </c>
      <c r="AJ220" s="5">
        <f>IFERROR(vp.tbl[[#This Row],[Sulf]]*vp.tbl[[#This Row],[Net Dens]],"")</f>
        <v>99332768.552000001</v>
      </c>
      <c r="AK220" s="5">
        <f>IFERROR(vp.tbl[[#This Row],[Dens]]*vp.tbl[[#This Row],[VolumeM3]],"")</f>
        <v>86376320.480000004</v>
      </c>
      <c r="AL220" s="5">
        <f>IFERROR(vp.tbl[[#This Row],[VP]]*vp.tbl[[#This Row],[VolumeM3]],"")</f>
        <v>10354751.672</v>
      </c>
      <c r="AM220" s="4">
        <f>IFERROR((vp.tbl[[#This Row],[VP]]-INDEX(crudeBD.lkup.complete[Mean_VP],MATCH(vp.tbl[[#This Row],[Crude_Breakdown]],crudeBD.lkup.complete[Crude Breakdown],0)))^2,"")</f>
        <v>373.50993267040678</v>
      </c>
      <c r="AN220" s="4">
        <f>IFERROR((vp.tbl[[#This Row],[Dens]]-INDEX(crudeBD.lkup.complete[Mean_Dens],MATCH(vp.tbl[[#This Row],[Crude_Breakdown]],crudeBD.lkup.complete[Crude Breakdown],0)))^2,"")</f>
        <v>233.83984408200803</v>
      </c>
      <c r="AO220" s="4">
        <f>IFERROR((vp.tbl[[#This Row],[Sulf]]-INDEX(crudeBD.lkup.complete[Mean_Sulf],MATCH(vp.tbl[[#This Row],[Crude_Breakdown]],crudeBD.lkup.complete[Crude Breakdown],0)))^2,"")</f>
        <v>9.2982219982805162E-2</v>
      </c>
      <c r="AP220">
        <f>IF(AND(vp.tbl[[#This Row],[SDate]]&gt;=DATE(YEAR(vp.tbl[[#This Row],[SDate]]),5,1),vp.tbl[[#This Row],[SDate]]&lt;=DATE(YEAR(vp.tbl[[#This Row],[SDate]]),9,15)),1,0)</f>
        <v>1</v>
      </c>
      <c r="AQ220" s="15">
        <f>IF(vp.tbl[[#This Row],[SDate]]&lt;DATE(2016,12,1),0,1)</f>
        <v>0</v>
      </c>
    </row>
    <row r="221" spans="1:43" x14ac:dyDescent="0.25">
      <c r="A221">
        <v>220</v>
      </c>
      <c r="B221" t="s">
        <v>62</v>
      </c>
      <c r="C221" t="s">
        <v>62</v>
      </c>
      <c r="D221" t="s">
        <v>83</v>
      </c>
      <c r="F221" s="1">
        <v>42535</v>
      </c>
      <c r="G221" s="2">
        <v>74</v>
      </c>
      <c r="H221" s="2"/>
      <c r="I221" s="2">
        <v>0.19</v>
      </c>
      <c r="J221" s="2"/>
      <c r="K221" s="2"/>
      <c r="L221" s="2">
        <v>812.5</v>
      </c>
      <c r="M221" s="2">
        <v>812.5</v>
      </c>
      <c r="N221" s="2">
        <f ca="1">INDEX(INDIRECT(_xlfn.CONCAT("weather.tbl[",N$1,"]")),MATCH(vp.tbl[[#This Row],[SDate]],weather.tbl[Date],0))</f>
        <v>18.45</v>
      </c>
      <c r="O221" s="2">
        <f ca="1">INDEX(INDIRECT(_xlfn.CONCAT("weather.tbl[",O$1,"]")),MATCH(vp.tbl[[#This Row],[SDate]],weather.tbl[Date],0))</f>
        <v>19.326190476190476</v>
      </c>
      <c r="P221" s="2">
        <f ca="1">INDEX(INDIRECT(_xlfn.CONCAT("weather.tbl[",P$1,"]")),MATCH(vp.tbl[[#This Row],[SDate]],weather.tbl[Date],0))</f>
        <v>18.899999999999999</v>
      </c>
      <c r="Q221" s="2">
        <f ca="1">INDEX(INDIRECT(_xlfn.CONCAT("weather.tbl[",Q$1,"]")),MATCH(vp.tbl[[#This Row],[SDate]],weather.tbl[Date],0))</f>
        <v>18.8</v>
      </c>
      <c r="R221" s="2">
        <f ca="1">INDEX(INDIRECT(_xlfn.CONCAT("weather.tbl[",R$1,"]")),MATCH(vp.tbl[[#This Row],[SDate]],weather.tbl[Date],0))</f>
        <v>18</v>
      </c>
      <c r="S221" s="2">
        <f ca="1">INDEX(INDIRECT(_xlfn.CONCAT("weather.tbl[",S$1,"]")),MATCH(vp.tbl[[#This Row],[SDate]],weather.tbl[Date],0))</f>
        <v>19.8</v>
      </c>
      <c r="T221" s="2">
        <f ca="1">INDEX(INDIRECT(_xlfn.CONCAT("weather.tbl[",T$1,"]")),MATCH(vp.tbl[[#This Row],[SDate]],weather.tbl[Date],0))</f>
        <v>16.7</v>
      </c>
      <c r="U221" s="2">
        <f ca="1">INDEX(INDIRECT(_xlfn.CONCAT("weather.tbl[",U$1,"]")),MATCH(vp.tbl[[#This Row],[SDate]],weather.tbl[Date],0))</f>
        <v>18.5</v>
      </c>
      <c r="V221" s="2">
        <v>9721.509</v>
      </c>
      <c r="W221" t="s">
        <v>48</v>
      </c>
      <c r="X221">
        <f>IF(OR(vp.tbl[[#This Row],[Sulf]]="",vp.tbl[[#This Row],[Dens]]=""),1,0)</f>
        <v>0</v>
      </c>
      <c r="Y221">
        <f>IF(vp.tbl[[#This Row],[CrudeType]]="C5+",1,0)</f>
        <v>0</v>
      </c>
      <c r="Z221">
        <f>IF(AND(vp.tbl[[#This Row],[CrudeType]]="Crude",vp.tbl[[#This Row],[Dens]]&lt;=825,vp.tbl[[#This Row],[Sulf]]&gt;0.5,vp.tbl[[#This Row],[Unknown]]=0),1,0)</f>
        <v>0</v>
      </c>
      <c r="AA221">
        <f>IF(AND(vp.tbl[[#This Row],[CrudeType]]="Crude",vp.tbl[[#This Row],[Dens]]&lt;=825,vp.tbl[[#This Row],[Sulf]]&lt;=0.5,vp.tbl[[#This Row],[Unknown]]=0),1,0)</f>
        <v>1</v>
      </c>
      <c r="AB221">
        <f>IF(AND(vp.tbl[[#This Row],[CrudeType]]="Crude",vp.tbl[[#This Row],[Dens]]&gt;825,vp.tbl[[#This Row],[Dens]]&lt;=870,vp.tbl[[#This Row],[Sulf]]&gt;0.5,vp.tbl[[#This Row],[Unknown]]=0),1,0)</f>
        <v>0</v>
      </c>
      <c r="AC221">
        <f>IF(AND(vp.tbl[[#This Row],[CrudeType]]="Crude",vp.tbl[[#This Row],[Dens]]&gt;825,vp.tbl[[#This Row],[Dens]]&lt;=900,vp.tbl[[#This Row],[Sulf]]&lt;=0.5,vp.tbl[[#This Row],[Unknown]]=0),1,0)</f>
        <v>0</v>
      </c>
      <c r="AD221">
        <f>IF(AND(vp.tbl[[#This Row],[CrudeType]]="Crude",vp.tbl[[#This Row],[Dens]]&gt;870,vp.tbl[[#This Row],[Dens]]&lt;=900,vp.tbl[[#This Row],[Sulf]]&gt;0.5,vp.tbl[[#This Row],[Unknown]]=0),1,0)</f>
        <v>0</v>
      </c>
      <c r="AE221">
        <f>IF(AND(vp.tbl[[#This Row],[CrudeType]]="Crude",vp.tbl[[#This Row],[Dens]]&gt;900,vp.tbl[[#This Row],[Sulf]]&lt;=0.5,vp.tbl[[#This Row],[Unknown]]=0),1,0)</f>
        <v>0</v>
      </c>
      <c r="AF221">
        <f>IF(AND(vp.tbl[[#This Row],[CrudeType]]="Crude",vp.tbl[[#This Row],[Dens]]&gt;900,vp.tbl[[#This Row],[Sulf]]&lt;=0.5,vp.tbl[[#This Row],[Unknown]]=0),1,0)</f>
        <v>0</v>
      </c>
      <c r="AG221" t="str">
        <f>INDEX(vp.tbl[[#Headers],[Unknown]:[Heavy_SW]],MATCH(1,vp.tbl[[#This Row],[Unknown]:[Heavy_SW]],0))</f>
        <v>Light_SW</v>
      </c>
      <c r="AH221" t="e">
        <f>INDEX([1]!crudeBD.lkup[Number],MATCH(vp.tbl[[#This Row],[Crude_Breakdown]],[1]!crudeBD.lkup[Crude Breakdown],0))</f>
        <v>#REF!</v>
      </c>
      <c r="AI221">
        <f>MONTH(vp.tbl[[#This Row],[SDate]])</f>
        <v>6</v>
      </c>
      <c r="AJ221" s="5">
        <f>IFERROR(vp.tbl[[#This Row],[Sulf]]*vp.tbl[[#This Row],[Net Dens]],"")</f>
        <v>1500757.951875</v>
      </c>
      <c r="AK221" s="5">
        <f>IFERROR(vp.tbl[[#This Row],[Dens]]*vp.tbl[[#This Row],[VolumeM3]],"")</f>
        <v>7898726.0625</v>
      </c>
      <c r="AL221" s="5">
        <f>IFERROR(vp.tbl[[#This Row],[VP]]*vp.tbl[[#This Row],[VolumeM3]],"")</f>
        <v>719391.66599999997</v>
      </c>
      <c r="AM221" s="4">
        <f>IFERROR((vp.tbl[[#This Row],[VP]]-INDEX(crudeBD.lkup.complete[Mean_VP],MATCH(vp.tbl[[#This Row],[Crude_Breakdown]],crudeBD.lkup.complete[Crude Breakdown],0)))^2,"")</f>
        <v>344.11413424467833</v>
      </c>
      <c r="AN221" s="4">
        <f>IFERROR((vp.tbl[[#This Row],[Dens]]-INDEX(crudeBD.lkup.complete[Mean_Dens],MATCH(vp.tbl[[#This Row],[Crude_Breakdown]],crudeBD.lkup.complete[Crude Breakdown],0)))^2,"")</f>
        <v>17.543546844081519</v>
      </c>
      <c r="AO221" s="4">
        <f>IFERROR((vp.tbl[[#This Row],[Sulf]]-INDEX(crudeBD.lkup.complete[Mean_Sulf],MATCH(vp.tbl[[#This Row],[Crude_Breakdown]],crudeBD.lkup.complete[Crude Breakdown],0)))^2,"")</f>
        <v>2.1383051628646554E-3</v>
      </c>
      <c r="AP221">
        <f>IF(AND(vp.tbl[[#This Row],[SDate]]&gt;=DATE(YEAR(vp.tbl[[#This Row],[SDate]]),5,1),vp.tbl[[#This Row],[SDate]]&lt;=DATE(YEAR(vp.tbl[[#This Row],[SDate]]),9,15)),1,0)</f>
        <v>1</v>
      </c>
      <c r="AQ221" s="15">
        <f>IF(vp.tbl[[#This Row],[SDate]]&lt;DATE(2016,12,1),0,1)</f>
        <v>0</v>
      </c>
    </row>
    <row r="222" spans="1:43" x14ac:dyDescent="0.25">
      <c r="A222">
        <v>221</v>
      </c>
      <c r="B222" t="s">
        <v>62</v>
      </c>
      <c r="C222" t="s">
        <v>62</v>
      </c>
      <c r="D222" t="s">
        <v>87</v>
      </c>
      <c r="F222" s="1">
        <v>42535</v>
      </c>
      <c r="G222" s="2">
        <v>69.8</v>
      </c>
      <c r="H222" s="2"/>
      <c r="I222" s="2">
        <v>0.17</v>
      </c>
      <c r="J222" s="2"/>
      <c r="K222" s="2"/>
      <c r="L222" s="2">
        <v>813.3</v>
      </c>
      <c r="M222" s="2">
        <v>813.3</v>
      </c>
      <c r="N222" s="2">
        <f ca="1">INDEX(INDIRECT(_xlfn.CONCAT("weather.tbl[",N$1,"]")),MATCH(vp.tbl[[#This Row],[SDate]],weather.tbl[Date],0))</f>
        <v>18.45</v>
      </c>
      <c r="O222" s="2">
        <f ca="1">INDEX(INDIRECT(_xlfn.CONCAT("weather.tbl[",O$1,"]")),MATCH(vp.tbl[[#This Row],[SDate]],weather.tbl[Date],0))</f>
        <v>19.326190476190476</v>
      </c>
      <c r="P222" s="2">
        <f ca="1">INDEX(INDIRECT(_xlfn.CONCAT("weather.tbl[",P$1,"]")),MATCH(vp.tbl[[#This Row],[SDate]],weather.tbl[Date],0))</f>
        <v>18.899999999999999</v>
      </c>
      <c r="Q222" s="2">
        <f ca="1">INDEX(INDIRECT(_xlfn.CONCAT("weather.tbl[",Q$1,"]")),MATCH(vp.tbl[[#This Row],[SDate]],weather.tbl[Date],0))</f>
        <v>18.8</v>
      </c>
      <c r="R222" s="2">
        <f ca="1">INDEX(INDIRECT(_xlfn.CONCAT("weather.tbl[",R$1,"]")),MATCH(vp.tbl[[#This Row],[SDate]],weather.tbl[Date],0))</f>
        <v>18</v>
      </c>
      <c r="S222" s="2">
        <f ca="1">INDEX(INDIRECT(_xlfn.CONCAT("weather.tbl[",S$1,"]")),MATCH(vp.tbl[[#This Row],[SDate]],weather.tbl[Date],0))</f>
        <v>19.8</v>
      </c>
      <c r="T222" s="2">
        <f ca="1">INDEX(INDIRECT(_xlfn.CONCAT("weather.tbl[",T$1,"]")),MATCH(vp.tbl[[#This Row],[SDate]],weather.tbl[Date],0))</f>
        <v>16.7</v>
      </c>
      <c r="U222" s="2">
        <f ca="1">INDEX(INDIRECT(_xlfn.CONCAT("weather.tbl[",U$1,"]")),MATCH(vp.tbl[[#This Row],[SDate]],weather.tbl[Date],0))</f>
        <v>18.5</v>
      </c>
      <c r="V222" s="2">
        <v>8305.3240000000005</v>
      </c>
      <c r="W222" t="s">
        <v>48</v>
      </c>
      <c r="X222">
        <f>IF(OR(vp.tbl[[#This Row],[Sulf]]="",vp.tbl[[#This Row],[Dens]]=""),1,0)</f>
        <v>0</v>
      </c>
      <c r="Y222">
        <f>IF(vp.tbl[[#This Row],[CrudeType]]="C5+",1,0)</f>
        <v>0</v>
      </c>
      <c r="Z222">
        <f>IF(AND(vp.tbl[[#This Row],[CrudeType]]="Crude",vp.tbl[[#This Row],[Dens]]&lt;=825,vp.tbl[[#This Row],[Sulf]]&gt;0.5,vp.tbl[[#This Row],[Unknown]]=0),1,0)</f>
        <v>0</v>
      </c>
      <c r="AA222">
        <f>IF(AND(vp.tbl[[#This Row],[CrudeType]]="Crude",vp.tbl[[#This Row],[Dens]]&lt;=825,vp.tbl[[#This Row],[Sulf]]&lt;=0.5,vp.tbl[[#This Row],[Unknown]]=0),1,0)</f>
        <v>1</v>
      </c>
      <c r="AB222">
        <f>IF(AND(vp.tbl[[#This Row],[CrudeType]]="Crude",vp.tbl[[#This Row],[Dens]]&gt;825,vp.tbl[[#This Row],[Dens]]&lt;=870,vp.tbl[[#This Row],[Sulf]]&gt;0.5,vp.tbl[[#This Row],[Unknown]]=0),1,0)</f>
        <v>0</v>
      </c>
      <c r="AC222">
        <f>IF(AND(vp.tbl[[#This Row],[CrudeType]]="Crude",vp.tbl[[#This Row],[Dens]]&gt;825,vp.tbl[[#This Row],[Dens]]&lt;=900,vp.tbl[[#This Row],[Sulf]]&lt;=0.5,vp.tbl[[#This Row],[Unknown]]=0),1,0)</f>
        <v>0</v>
      </c>
      <c r="AD222">
        <f>IF(AND(vp.tbl[[#This Row],[CrudeType]]="Crude",vp.tbl[[#This Row],[Dens]]&gt;870,vp.tbl[[#This Row],[Dens]]&lt;=900,vp.tbl[[#This Row],[Sulf]]&gt;0.5,vp.tbl[[#This Row],[Unknown]]=0),1,0)</f>
        <v>0</v>
      </c>
      <c r="AE222">
        <f>IF(AND(vp.tbl[[#This Row],[CrudeType]]="Crude",vp.tbl[[#This Row],[Dens]]&gt;900,vp.tbl[[#This Row],[Sulf]]&lt;=0.5,vp.tbl[[#This Row],[Unknown]]=0),1,0)</f>
        <v>0</v>
      </c>
      <c r="AF222">
        <f>IF(AND(vp.tbl[[#This Row],[CrudeType]]="Crude",vp.tbl[[#This Row],[Dens]]&gt;900,vp.tbl[[#This Row],[Sulf]]&lt;=0.5,vp.tbl[[#This Row],[Unknown]]=0),1,0)</f>
        <v>0</v>
      </c>
      <c r="AG222" t="str">
        <f>INDEX(vp.tbl[[#Headers],[Unknown]:[Heavy_SW]],MATCH(1,vp.tbl[[#This Row],[Unknown]:[Heavy_SW]],0))</f>
        <v>Light_SW</v>
      </c>
      <c r="AH222" t="e">
        <f>INDEX([1]!crudeBD.lkup[Number],MATCH(vp.tbl[[#This Row],[Crude_Breakdown]],[1]!crudeBD.lkup[Crude Breakdown],0))</f>
        <v>#REF!</v>
      </c>
      <c r="AI222">
        <f>MONTH(vp.tbl[[#This Row],[SDate]])</f>
        <v>6</v>
      </c>
      <c r="AJ222" s="5">
        <f>IFERROR(vp.tbl[[#This Row],[Sulf]]*vp.tbl[[#This Row],[Net Dens]],"")</f>
        <v>1148302.4015640002</v>
      </c>
      <c r="AK222" s="5">
        <f>IFERROR(vp.tbl[[#This Row],[Dens]]*vp.tbl[[#This Row],[VolumeM3]],"")</f>
        <v>6754720.0092000002</v>
      </c>
      <c r="AL222" s="5">
        <f>IFERROR(vp.tbl[[#This Row],[VP]]*vp.tbl[[#This Row],[VolumeM3]],"")</f>
        <v>579711.6152</v>
      </c>
      <c r="AM222" s="4">
        <f>IFERROR((vp.tbl[[#This Row],[VP]]-INDEX(crudeBD.lkup.complete[Mean_VP],MATCH(vp.tbl[[#This Row],[Crude_Breakdown]],crudeBD.lkup.complete[Crude Breakdown],0)))^2,"")</f>
        <v>517.57676839101964</v>
      </c>
      <c r="AN222" s="4">
        <f>IFERROR((vp.tbl[[#This Row],[Dens]]-INDEX(crudeBD.lkup.complete[Mean_Dens],MATCH(vp.tbl[[#This Row],[Crude_Breakdown]],crudeBD.lkup.complete[Crude Breakdown],0)))^2,"")</f>
        <v>24.88514963153786</v>
      </c>
      <c r="AO222" s="4">
        <f>IFERROR((vp.tbl[[#This Row],[Sulf]]-INDEX(crudeBD.lkup.complete[Mean_Sulf],MATCH(vp.tbl[[#This Row],[Crude_Breakdown]],crudeBD.lkup.complete[Crude Breakdown],0)))^2,"")</f>
        <v>4.3879776367322437E-3</v>
      </c>
      <c r="AP222">
        <f>IF(AND(vp.tbl[[#This Row],[SDate]]&gt;=DATE(YEAR(vp.tbl[[#This Row],[SDate]]),5,1),vp.tbl[[#This Row],[SDate]]&lt;=DATE(YEAR(vp.tbl[[#This Row],[SDate]]),9,15)),1,0)</f>
        <v>1</v>
      </c>
      <c r="AQ222" s="15">
        <f>IF(vp.tbl[[#This Row],[SDate]]&lt;DATE(2016,12,1),0,1)</f>
        <v>0</v>
      </c>
    </row>
    <row r="223" spans="1:43" x14ac:dyDescent="0.25">
      <c r="A223">
        <v>222</v>
      </c>
      <c r="B223" t="s">
        <v>62</v>
      </c>
      <c r="C223" t="s">
        <v>62</v>
      </c>
      <c r="D223" t="s">
        <v>79</v>
      </c>
      <c r="F223" s="1">
        <v>42535</v>
      </c>
      <c r="G223" s="2">
        <v>67.900000000000006</v>
      </c>
      <c r="H223" s="2"/>
      <c r="I223" s="2">
        <v>0.26</v>
      </c>
      <c r="J223" s="2"/>
      <c r="K223" s="2"/>
      <c r="L223" s="2">
        <v>815.1</v>
      </c>
      <c r="M223" s="2">
        <v>815.1</v>
      </c>
      <c r="N223" s="2">
        <f ca="1">INDEX(INDIRECT(_xlfn.CONCAT("weather.tbl[",N$1,"]")),MATCH(vp.tbl[[#This Row],[SDate]],weather.tbl[Date],0))</f>
        <v>18.45</v>
      </c>
      <c r="O223" s="2">
        <f ca="1">INDEX(INDIRECT(_xlfn.CONCAT("weather.tbl[",O$1,"]")),MATCH(vp.tbl[[#This Row],[SDate]],weather.tbl[Date],0))</f>
        <v>19.326190476190476</v>
      </c>
      <c r="P223" s="2">
        <f ca="1">INDEX(INDIRECT(_xlfn.CONCAT("weather.tbl[",P$1,"]")),MATCH(vp.tbl[[#This Row],[SDate]],weather.tbl[Date],0))</f>
        <v>18.899999999999999</v>
      </c>
      <c r="Q223" s="2">
        <f ca="1">INDEX(INDIRECT(_xlfn.CONCAT("weather.tbl[",Q$1,"]")),MATCH(vp.tbl[[#This Row],[SDate]],weather.tbl[Date],0))</f>
        <v>18.8</v>
      </c>
      <c r="R223" s="2">
        <f ca="1">INDEX(INDIRECT(_xlfn.CONCAT("weather.tbl[",R$1,"]")),MATCH(vp.tbl[[#This Row],[SDate]],weather.tbl[Date],0))</f>
        <v>18</v>
      </c>
      <c r="S223" s="2">
        <f ca="1">INDEX(INDIRECT(_xlfn.CONCAT("weather.tbl[",S$1,"]")),MATCH(vp.tbl[[#This Row],[SDate]],weather.tbl[Date],0))</f>
        <v>19.8</v>
      </c>
      <c r="T223" s="2">
        <f ca="1">INDEX(INDIRECT(_xlfn.CONCAT("weather.tbl[",T$1,"]")),MATCH(vp.tbl[[#This Row],[SDate]],weather.tbl[Date],0))</f>
        <v>16.7</v>
      </c>
      <c r="U223" s="2">
        <f ca="1">INDEX(INDIRECT(_xlfn.CONCAT("weather.tbl[",U$1,"]")),MATCH(vp.tbl[[#This Row],[SDate]],weather.tbl[Date],0))</f>
        <v>18.5</v>
      </c>
      <c r="V223" s="2">
        <v>13450.503000000001</v>
      </c>
      <c r="W223" t="s">
        <v>48</v>
      </c>
      <c r="X223">
        <f>IF(OR(vp.tbl[[#This Row],[Sulf]]="",vp.tbl[[#This Row],[Dens]]=""),1,0)</f>
        <v>0</v>
      </c>
      <c r="Y223">
        <f>IF(vp.tbl[[#This Row],[CrudeType]]="C5+",1,0)</f>
        <v>0</v>
      </c>
      <c r="Z223">
        <f>IF(AND(vp.tbl[[#This Row],[CrudeType]]="Crude",vp.tbl[[#This Row],[Dens]]&lt;=825,vp.tbl[[#This Row],[Sulf]]&gt;0.5,vp.tbl[[#This Row],[Unknown]]=0),1,0)</f>
        <v>0</v>
      </c>
      <c r="AA223">
        <f>IF(AND(vp.tbl[[#This Row],[CrudeType]]="Crude",vp.tbl[[#This Row],[Dens]]&lt;=825,vp.tbl[[#This Row],[Sulf]]&lt;=0.5,vp.tbl[[#This Row],[Unknown]]=0),1,0)</f>
        <v>1</v>
      </c>
      <c r="AB223">
        <f>IF(AND(vp.tbl[[#This Row],[CrudeType]]="Crude",vp.tbl[[#This Row],[Dens]]&gt;825,vp.tbl[[#This Row],[Dens]]&lt;=870,vp.tbl[[#This Row],[Sulf]]&gt;0.5,vp.tbl[[#This Row],[Unknown]]=0),1,0)</f>
        <v>0</v>
      </c>
      <c r="AC223">
        <f>IF(AND(vp.tbl[[#This Row],[CrudeType]]="Crude",vp.tbl[[#This Row],[Dens]]&gt;825,vp.tbl[[#This Row],[Dens]]&lt;=900,vp.tbl[[#This Row],[Sulf]]&lt;=0.5,vp.tbl[[#This Row],[Unknown]]=0),1,0)</f>
        <v>0</v>
      </c>
      <c r="AD223">
        <f>IF(AND(vp.tbl[[#This Row],[CrudeType]]="Crude",vp.tbl[[#This Row],[Dens]]&gt;870,vp.tbl[[#This Row],[Dens]]&lt;=900,vp.tbl[[#This Row],[Sulf]]&gt;0.5,vp.tbl[[#This Row],[Unknown]]=0),1,0)</f>
        <v>0</v>
      </c>
      <c r="AE223">
        <f>IF(AND(vp.tbl[[#This Row],[CrudeType]]="Crude",vp.tbl[[#This Row],[Dens]]&gt;900,vp.tbl[[#This Row],[Sulf]]&lt;=0.5,vp.tbl[[#This Row],[Unknown]]=0),1,0)</f>
        <v>0</v>
      </c>
      <c r="AF223">
        <f>IF(AND(vp.tbl[[#This Row],[CrudeType]]="Crude",vp.tbl[[#This Row],[Dens]]&gt;900,vp.tbl[[#This Row],[Sulf]]&lt;=0.5,vp.tbl[[#This Row],[Unknown]]=0),1,0)</f>
        <v>0</v>
      </c>
      <c r="AG223" t="str">
        <f>INDEX(vp.tbl[[#Headers],[Unknown]:[Heavy_SW]],MATCH(1,vp.tbl[[#This Row],[Unknown]:[Heavy_SW]],0))</f>
        <v>Light_SW</v>
      </c>
      <c r="AH223" t="e">
        <f>INDEX([1]!crudeBD.lkup[Number],MATCH(vp.tbl[[#This Row],[Crude_Breakdown]],[1]!crudeBD.lkup[Crude Breakdown],0))</f>
        <v>#REF!</v>
      </c>
      <c r="AI223">
        <f>MONTH(vp.tbl[[#This Row],[SDate]])</f>
        <v>6</v>
      </c>
      <c r="AJ223" s="5">
        <f>IFERROR(vp.tbl[[#This Row],[Sulf]]*vp.tbl[[#This Row],[Net Dens]],"")</f>
        <v>2850511.2987780003</v>
      </c>
      <c r="AK223" s="5">
        <f>IFERROR(vp.tbl[[#This Row],[Dens]]*vp.tbl[[#This Row],[VolumeM3]],"")</f>
        <v>10963504.995300001</v>
      </c>
      <c r="AL223" s="5">
        <f>IFERROR(vp.tbl[[#This Row],[VP]]*vp.tbl[[#This Row],[VolumeM3]],"")</f>
        <v>913289.15370000014</v>
      </c>
      <c r="AM223" s="4">
        <f>IFERROR((vp.tbl[[#This Row],[VP]]-INDEX(crudeBD.lkup.complete[Mean_VP],MATCH(vp.tbl[[#This Row],[Crude_Breakdown]],crudeBD.lkup.complete[Crude Breakdown],0)))^2,"")</f>
        <v>607.63796002864979</v>
      </c>
      <c r="AN223" s="4">
        <f>IFERROR((vp.tbl[[#This Row],[Dens]]-INDEX(crudeBD.lkup.complete[Mean_Dens],MATCH(vp.tbl[[#This Row],[Crude_Breakdown]],crudeBD.lkup.complete[Crude Breakdown],0)))^2,"")</f>
        <v>46.083755903316415</v>
      </c>
      <c r="AO223" s="4">
        <f>IFERROR((vp.tbl[[#This Row],[Sulf]]-INDEX(crudeBD.lkup.complete[Mean_Sulf],MATCH(vp.tbl[[#This Row],[Crude_Breakdown]],crudeBD.lkup.complete[Crude Breakdown],0)))^2,"")</f>
        <v>5.644515043280923E-4</v>
      </c>
      <c r="AP223">
        <f>IF(AND(vp.tbl[[#This Row],[SDate]]&gt;=DATE(YEAR(vp.tbl[[#This Row],[SDate]]),5,1),vp.tbl[[#This Row],[SDate]]&lt;=DATE(YEAR(vp.tbl[[#This Row],[SDate]]),9,15)),1,0)</f>
        <v>1</v>
      </c>
      <c r="AQ223" s="15">
        <f>IF(vp.tbl[[#This Row],[SDate]]&lt;DATE(2016,12,1),0,1)</f>
        <v>0</v>
      </c>
    </row>
    <row r="224" spans="1:43" x14ac:dyDescent="0.25">
      <c r="A224">
        <v>223</v>
      </c>
      <c r="B224" t="s">
        <v>49</v>
      </c>
      <c r="C224" t="s">
        <v>49</v>
      </c>
      <c r="D224" t="s">
        <v>90</v>
      </c>
      <c r="F224" s="1">
        <v>42535</v>
      </c>
      <c r="G224" s="2">
        <v>78.5</v>
      </c>
      <c r="H224" s="2"/>
      <c r="I224" s="2">
        <v>1.25</v>
      </c>
      <c r="J224" s="2"/>
      <c r="K224" s="2"/>
      <c r="L224" s="2">
        <v>842.2</v>
      </c>
      <c r="M224" s="2">
        <v>842.2</v>
      </c>
      <c r="N224" s="2">
        <f ca="1">INDEX(INDIRECT(_xlfn.CONCAT("weather.tbl[",N$1,"]")),MATCH(vp.tbl[[#This Row],[SDate]],weather.tbl[Date],0))</f>
        <v>18.45</v>
      </c>
      <c r="O224" s="2">
        <f ca="1">INDEX(INDIRECT(_xlfn.CONCAT("weather.tbl[",O$1,"]")),MATCH(vp.tbl[[#This Row],[SDate]],weather.tbl[Date],0))</f>
        <v>19.326190476190476</v>
      </c>
      <c r="P224" s="2">
        <f ca="1">INDEX(INDIRECT(_xlfn.CONCAT("weather.tbl[",P$1,"]")),MATCH(vp.tbl[[#This Row],[SDate]],weather.tbl[Date],0))</f>
        <v>18.899999999999999</v>
      </c>
      <c r="Q224" s="2">
        <f ca="1">INDEX(INDIRECT(_xlfn.CONCAT("weather.tbl[",Q$1,"]")),MATCH(vp.tbl[[#This Row],[SDate]],weather.tbl[Date],0))</f>
        <v>18.8</v>
      </c>
      <c r="R224" s="2">
        <f ca="1">INDEX(INDIRECT(_xlfn.CONCAT("weather.tbl[",R$1,"]")),MATCH(vp.tbl[[#This Row],[SDate]],weather.tbl[Date],0))</f>
        <v>18</v>
      </c>
      <c r="S224" s="2">
        <f ca="1">INDEX(INDIRECT(_xlfn.CONCAT("weather.tbl[",S$1,"]")),MATCH(vp.tbl[[#This Row],[SDate]],weather.tbl[Date],0))</f>
        <v>19.8</v>
      </c>
      <c r="T224" s="2">
        <f ca="1">INDEX(INDIRECT(_xlfn.CONCAT("weather.tbl[",T$1,"]")),MATCH(vp.tbl[[#This Row],[SDate]],weather.tbl[Date],0))</f>
        <v>16.7</v>
      </c>
      <c r="U224" s="2">
        <f ca="1">INDEX(INDIRECT(_xlfn.CONCAT("weather.tbl[",U$1,"]")),MATCH(vp.tbl[[#This Row],[SDate]],weather.tbl[Date],0))</f>
        <v>18.5</v>
      </c>
      <c r="V224" s="2">
        <v>4752.3130000000001</v>
      </c>
      <c r="W224" t="s">
        <v>48</v>
      </c>
      <c r="X224">
        <f>IF(OR(vp.tbl[[#This Row],[Sulf]]="",vp.tbl[[#This Row],[Dens]]=""),1,0)</f>
        <v>0</v>
      </c>
      <c r="Y224">
        <f>IF(vp.tbl[[#This Row],[CrudeType]]="C5+",1,0)</f>
        <v>0</v>
      </c>
      <c r="Z224">
        <f>IF(AND(vp.tbl[[#This Row],[CrudeType]]="Crude",vp.tbl[[#This Row],[Dens]]&lt;=825,vp.tbl[[#This Row],[Sulf]]&gt;0.5,vp.tbl[[#This Row],[Unknown]]=0),1,0)</f>
        <v>0</v>
      </c>
      <c r="AA224">
        <f>IF(AND(vp.tbl[[#This Row],[CrudeType]]="Crude",vp.tbl[[#This Row],[Dens]]&lt;=825,vp.tbl[[#This Row],[Sulf]]&lt;=0.5,vp.tbl[[#This Row],[Unknown]]=0),1,0)</f>
        <v>0</v>
      </c>
      <c r="AB224">
        <f>IF(AND(vp.tbl[[#This Row],[CrudeType]]="Crude",vp.tbl[[#This Row],[Dens]]&gt;825,vp.tbl[[#This Row],[Dens]]&lt;=870,vp.tbl[[#This Row],[Sulf]]&gt;0.5,vp.tbl[[#This Row],[Unknown]]=0),1,0)</f>
        <v>1</v>
      </c>
      <c r="AC224">
        <f>IF(AND(vp.tbl[[#This Row],[CrudeType]]="Crude",vp.tbl[[#This Row],[Dens]]&gt;825,vp.tbl[[#This Row],[Dens]]&lt;=900,vp.tbl[[#This Row],[Sulf]]&lt;=0.5,vp.tbl[[#This Row],[Unknown]]=0),1,0)</f>
        <v>0</v>
      </c>
      <c r="AD224">
        <f>IF(AND(vp.tbl[[#This Row],[CrudeType]]="Crude",vp.tbl[[#This Row],[Dens]]&gt;870,vp.tbl[[#This Row],[Dens]]&lt;=900,vp.tbl[[#This Row],[Sulf]]&gt;0.5,vp.tbl[[#This Row],[Unknown]]=0),1,0)</f>
        <v>0</v>
      </c>
      <c r="AE224">
        <f>IF(AND(vp.tbl[[#This Row],[CrudeType]]="Crude",vp.tbl[[#This Row],[Dens]]&gt;900,vp.tbl[[#This Row],[Sulf]]&lt;=0.5,vp.tbl[[#This Row],[Unknown]]=0),1,0)</f>
        <v>0</v>
      </c>
      <c r="AF224">
        <f>IF(AND(vp.tbl[[#This Row],[CrudeType]]="Crude",vp.tbl[[#This Row],[Dens]]&gt;900,vp.tbl[[#This Row],[Sulf]]&lt;=0.5,vp.tbl[[#This Row],[Unknown]]=0),1,0)</f>
        <v>0</v>
      </c>
      <c r="AG224" t="str">
        <f>INDEX(vp.tbl[[#Headers],[Unknown]:[Heavy_SW]],MATCH(1,vp.tbl[[#This Row],[Unknown]:[Heavy_SW]],0))</f>
        <v>Medium_LSB</v>
      </c>
      <c r="AH224" t="e">
        <f>INDEX([1]!crudeBD.lkup[Number],MATCH(vp.tbl[[#This Row],[Crude_Breakdown]],[1]!crudeBD.lkup[Crude Breakdown],0))</f>
        <v>#REF!</v>
      </c>
      <c r="AI224">
        <f>MONTH(vp.tbl[[#This Row],[SDate]])</f>
        <v>6</v>
      </c>
      <c r="AJ224" s="5">
        <f>IFERROR(vp.tbl[[#This Row],[Sulf]]*vp.tbl[[#This Row],[Net Dens]],"")</f>
        <v>5002997.5107500004</v>
      </c>
      <c r="AK224" s="5">
        <f>IFERROR(vp.tbl[[#This Row],[Dens]]*vp.tbl[[#This Row],[VolumeM3]],"")</f>
        <v>4002398.0086000003</v>
      </c>
      <c r="AL224" s="5">
        <f>IFERROR(vp.tbl[[#This Row],[VP]]*vp.tbl[[#This Row],[VolumeM3]],"")</f>
        <v>373056.57050000003</v>
      </c>
      <c r="AM224" s="4">
        <f>IFERROR((vp.tbl[[#This Row],[VP]]-INDEX(crudeBD.lkup.complete[Mean_VP],MATCH(vp.tbl[[#This Row],[Crude_Breakdown]],crudeBD.lkup.complete[Crude Breakdown],0)))^2,"")</f>
        <v>2.800920012177412</v>
      </c>
      <c r="AN224" s="4">
        <f>IFERROR((vp.tbl[[#This Row],[Dens]]-INDEX(crudeBD.lkup.complete[Mean_Dens],MATCH(vp.tbl[[#This Row],[Crude_Breakdown]],crudeBD.lkup.complete[Crude Breakdown],0)))^2,"")</f>
        <v>9.5593681326646767</v>
      </c>
      <c r="AO224" s="4">
        <f>IFERROR((vp.tbl[[#This Row],[Sulf]]-INDEX(crudeBD.lkup.complete[Mean_Sulf],MATCH(vp.tbl[[#This Row],[Crude_Breakdown]],crudeBD.lkup.complete[Crude Breakdown],0)))^2,"")</f>
        <v>4.1996247830906074E-2</v>
      </c>
      <c r="AP224">
        <f>IF(AND(vp.tbl[[#This Row],[SDate]]&gt;=DATE(YEAR(vp.tbl[[#This Row],[SDate]]),5,1),vp.tbl[[#This Row],[SDate]]&lt;=DATE(YEAR(vp.tbl[[#This Row],[SDate]]),9,15)),1,0)</f>
        <v>1</v>
      </c>
      <c r="AQ224" s="15">
        <f>IF(vp.tbl[[#This Row],[SDate]]&lt;DATE(2016,12,1),0,1)</f>
        <v>0</v>
      </c>
    </row>
    <row r="225" spans="1:43" x14ac:dyDescent="0.25">
      <c r="A225">
        <v>224</v>
      </c>
      <c r="B225" t="s">
        <v>49</v>
      </c>
      <c r="C225" t="s">
        <v>49</v>
      </c>
      <c r="D225" t="s">
        <v>59</v>
      </c>
      <c r="F225" s="1">
        <v>42535</v>
      </c>
      <c r="G225" s="2">
        <v>79.3</v>
      </c>
      <c r="H225" s="2"/>
      <c r="I225" s="2">
        <v>1.48</v>
      </c>
      <c r="J225" s="2"/>
      <c r="K225" s="2"/>
      <c r="L225" s="2">
        <v>847.7</v>
      </c>
      <c r="M225" s="2">
        <v>847.7</v>
      </c>
      <c r="N225" s="2">
        <f ca="1">INDEX(INDIRECT(_xlfn.CONCAT("weather.tbl[",N$1,"]")),MATCH(vp.tbl[[#This Row],[SDate]],weather.tbl[Date],0))</f>
        <v>18.45</v>
      </c>
      <c r="O225" s="2">
        <f ca="1">INDEX(INDIRECT(_xlfn.CONCAT("weather.tbl[",O$1,"]")),MATCH(vp.tbl[[#This Row],[SDate]],weather.tbl[Date],0))</f>
        <v>19.326190476190476</v>
      </c>
      <c r="P225" s="2">
        <f ca="1">INDEX(INDIRECT(_xlfn.CONCAT("weather.tbl[",P$1,"]")),MATCH(vp.tbl[[#This Row],[SDate]],weather.tbl[Date],0))</f>
        <v>18.899999999999999</v>
      </c>
      <c r="Q225" s="2">
        <f ca="1">INDEX(INDIRECT(_xlfn.CONCAT("weather.tbl[",Q$1,"]")),MATCH(vp.tbl[[#This Row],[SDate]],weather.tbl[Date],0))</f>
        <v>18.8</v>
      </c>
      <c r="R225" s="2">
        <f ca="1">INDEX(INDIRECT(_xlfn.CONCAT("weather.tbl[",R$1,"]")),MATCH(vp.tbl[[#This Row],[SDate]],weather.tbl[Date],0))</f>
        <v>18</v>
      </c>
      <c r="S225" s="2">
        <f ca="1">INDEX(INDIRECT(_xlfn.CONCAT("weather.tbl[",S$1,"]")),MATCH(vp.tbl[[#This Row],[SDate]],weather.tbl[Date],0))</f>
        <v>19.8</v>
      </c>
      <c r="T225" s="2">
        <f ca="1">INDEX(INDIRECT(_xlfn.CONCAT("weather.tbl[",T$1,"]")),MATCH(vp.tbl[[#This Row],[SDate]],weather.tbl[Date],0))</f>
        <v>16.7</v>
      </c>
      <c r="U225" s="2">
        <f ca="1">INDEX(INDIRECT(_xlfn.CONCAT("weather.tbl[",U$1,"]")),MATCH(vp.tbl[[#This Row],[SDate]],weather.tbl[Date],0))</f>
        <v>18.5</v>
      </c>
      <c r="V225" s="2">
        <v>1703.9690000000001</v>
      </c>
      <c r="W225" t="s">
        <v>48</v>
      </c>
      <c r="X225">
        <f>IF(OR(vp.tbl[[#This Row],[Sulf]]="",vp.tbl[[#This Row],[Dens]]=""),1,0)</f>
        <v>0</v>
      </c>
      <c r="Y225">
        <f>IF(vp.tbl[[#This Row],[CrudeType]]="C5+",1,0)</f>
        <v>0</v>
      </c>
      <c r="Z225">
        <f>IF(AND(vp.tbl[[#This Row],[CrudeType]]="Crude",vp.tbl[[#This Row],[Dens]]&lt;=825,vp.tbl[[#This Row],[Sulf]]&gt;0.5,vp.tbl[[#This Row],[Unknown]]=0),1,0)</f>
        <v>0</v>
      </c>
      <c r="AA225">
        <f>IF(AND(vp.tbl[[#This Row],[CrudeType]]="Crude",vp.tbl[[#This Row],[Dens]]&lt;=825,vp.tbl[[#This Row],[Sulf]]&lt;=0.5,vp.tbl[[#This Row],[Unknown]]=0),1,0)</f>
        <v>0</v>
      </c>
      <c r="AB225">
        <f>IF(AND(vp.tbl[[#This Row],[CrudeType]]="Crude",vp.tbl[[#This Row],[Dens]]&gt;825,vp.tbl[[#This Row],[Dens]]&lt;=870,vp.tbl[[#This Row],[Sulf]]&gt;0.5,vp.tbl[[#This Row],[Unknown]]=0),1,0)</f>
        <v>1</v>
      </c>
      <c r="AC225">
        <f>IF(AND(vp.tbl[[#This Row],[CrudeType]]="Crude",vp.tbl[[#This Row],[Dens]]&gt;825,vp.tbl[[#This Row],[Dens]]&lt;=900,vp.tbl[[#This Row],[Sulf]]&lt;=0.5,vp.tbl[[#This Row],[Unknown]]=0),1,0)</f>
        <v>0</v>
      </c>
      <c r="AD225">
        <f>IF(AND(vp.tbl[[#This Row],[CrudeType]]="Crude",vp.tbl[[#This Row],[Dens]]&gt;870,vp.tbl[[#This Row],[Dens]]&lt;=900,vp.tbl[[#This Row],[Sulf]]&gt;0.5,vp.tbl[[#This Row],[Unknown]]=0),1,0)</f>
        <v>0</v>
      </c>
      <c r="AE225">
        <f>IF(AND(vp.tbl[[#This Row],[CrudeType]]="Crude",vp.tbl[[#This Row],[Dens]]&gt;900,vp.tbl[[#This Row],[Sulf]]&lt;=0.5,vp.tbl[[#This Row],[Unknown]]=0),1,0)</f>
        <v>0</v>
      </c>
      <c r="AF225">
        <f>IF(AND(vp.tbl[[#This Row],[CrudeType]]="Crude",vp.tbl[[#This Row],[Dens]]&gt;900,vp.tbl[[#This Row],[Sulf]]&lt;=0.5,vp.tbl[[#This Row],[Unknown]]=0),1,0)</f>
        <v>0</v>
      </c>
      <c r="AG225" t="str">
        <f>INDEX(vp.tbl[[#Headers],[Unknown]:[Heavy_SW]],MATCH(1,vp.tbl[[#This Row],[Unknown]:[Heavy_SW]],0))</f>
        <v>Medium_LSB</v>
      </c>
      <c r="AH225" t="e">
        <f>INDEX([1]!crudeBD.lkup[Number],MATCH(vp.tbl[[#This Row],[Crude_Breakdown]],[1]!crudeBD.lkup[Crude Breakdown],0))</f>
        <v>#REF!</v>
      </c>
      <c r="AI225">
        <f>MONTH(vp.tbl[[#This Row],[SDate]])</f>
        <v>6</v>
      </c>
      <c r="AJ225" s="5">
        <f>IFERROR(vp.tbl[[#This Row],[Sulf]]*vp.tbl[[#This Row],[Net Dens]],"")</f>
        <v>2137792.6915240004</v>
      </c>
      <c r="AK225" s="5">
        <f>IFERROR(vp.tbl[[#This Row],[Dens]]*vp.tbl[[#This Row],[VolumeM3]],"")</f>
        <v>1444454.5213000001</v>
      </c>
      <c r="AL225" s="5">
        <f>IFERROR(vp.tbl[[#This Row],[VP]]*vp.tbl[[#This Row],[VolumeM3]],"")</f>
        <v>135124.74170000001</v>
      </c>
      <c r="AM225" s="4">
        <f>IFERROR((vp.tbl[[#This Row],[VP]]-INDEX(crudeBD.lkup.complete[Mean_VP],MATCH(vp.tbl[[#This Row],[Crude_Breakdown]],crudeBD.lkup.complete[Crude Breakdown],0)))^2,"")</f>
        <v>0.76316811344329893</v>
      </c>
      <c r="AN225" s="4">
        <f>IFERROR((vp.tbl[[#This Row],[Dens]]-INDEX(crudeBD.lkup.complete[Mean_Dens],MATCH(vp.tbl[[#This Row],[Crude_Breakdown]],crudeBD.lkup.complete[Crude Breakdown],0)))^2,"")</f>
        <v>5.7993174997646157</v>
      </c>
      <c r="AO225" s="4">
        <f>IFERROR((vp.tbl[[#This Row],[Sulf]]-INDEX(crudeBD.lkup.complete[Mean_Sulf],MATCH(vp.tbl[[#This Row],[Crude_Breakdown]],crudeBD.lkup.complete[Crude Breakdown],0)))^2,"")</f>
        <v>6.2851188153830004E-4</v>
      </c>
      <c r="AP225">
        <f>IF(AND(vp.tbl[[#This Row],[SDate]]&gt;=DATE(YEAR(vp.tbl[[#This Row],[SDate]]),5,1),vp.tbl[[#This Row],[SDate]]&lt;=DATE(YEAR(vp.tbl[[#This Row],[SDate]]),9,15)),1,0)</f>
        <v>1</v>
      </c>
      <c r="AQ225" s="15">
        <f>IF(vp.tbl[[#This Row],[SDate]]&lt;DATE(2016,12,1),0,1)</f>
        <v>0</v>
      </c>
    </row>
    <row r="226" spans="1:43" x14ac:dyDescent="0.25">
      <c r="A226">
        <v>225</v>
      </c>
      <c r="B226" t="s">
        <v>49</v>
      </c>
      <c r="C226" t="s">
        <v>49</v>
      </c>
      <c r="D226" t="s">
        <v>78</v>
      </c>
      <c r="F226" s="1">
        <v>42536</v>
      </c>
      <c r="G226" s="2">
        <v>72</v>
      </c>
      <c r="H226" s="2"/>
      <c r="I226" s="2">
        <v>0.14000000000000001</v>
      </c>
      <c r="J226" s="2"/>
      <c r="K226" s="2"/>
      <c r="L226" s="2">
        <v>804</v>
      </c>
      <c r="M226" s="2">
        <v>804</v>
      </c>
      <c r="N226" s="2">
        <f ca="1">INDEX(INDIRECT(_xlfn.CONCAT("weather.tbl[",N$1,"]")),MATCH(vp.tbl[[#This Row],[SDate]],weather.tbl[Date],0))</f>
        <v>17.083333333333332</v>
      </c>
      <c r="O226" s="2">
        <f ca="1">INDEX(INDIRECT(_xlfn.CONCAT("weather.tbl[",O$1,"]")),MATCH(vp.tbl[[#This Row],[SDate]],weather.tbl[Date],0))</f>
        <v>18.642857142857142</v>
      </c>
      <c r="P226" s="2">
        <f ca="1">INDEX(INDIRECT(_xlfn.CONCAT("weather.tbl[",P$1,"]")),MATCH(vp.tbl[[#This Row],[SDate]],weather.tbl[Date],0))</f>
        <v>17.5</v>
      </c>
      <c r="Q226" s="2">
        <f ca="1">INDEX(INDIRECT(_xlfn.CONCAT("weather.tbl[",Q$1,"]")),MATCH(vp.tbl[[#This Row],[SDate]],weather.tbl[Date],0))</f>
        <v>15.9</v>
      </c>
      <c r="R226" s="2">
        <f ca="1">INDEX(INDIRECT(_xlfn.CONCAT("weather.tbl[",R$1,"]")),MATCH(vp.tbl[[#This Row],[SDate]],weather.tbl[Date],0))</f>
        <v>18</v>
      </c>
      <c r="S226" s="2">
        <f ca="1">INDEX(INDIRECT(_xlfn.CONCAT("weather.tbl[",S$1,"]")),MATCH(vp.tbl[[#This Row],[SDate]],weather.tbl[Date],0))</f>
        <v>15.5</v>
      </c>
      <c r="T226" s="2">
        <f ca="1">INDEX(INDIRECT(_xlfn.CONCAT("weather.tbl[",T$1,"]")),MATCH(vp.tbl[[#This Row],[SDate]],weather.tbl[Date],0))</f>
        <v>18.600000000000001</v>
      </c>
      <c r="U226" s="2">
        <f ca="1">INDEX(INDIRECT(_xlfn.CONCAT("weather.tbl[",U$1,"]")),MATCH(vp.tbl[[#This Row],[SDate]],weather.tbl[Date],0))</f>
        <v>17</v>
      </c>
      <c r="V226" s="2">
        <v>33284.18</v>
      </c>
      <c r="W226" t="s">
        <v>48</v>
      </c>
      <c r="X226">
        <f>IF(OR(vp.tbl[[#This Row],[Sulf]]="",vp.tbl[[#This Row],[Dens]]=""),1,0)</f>
        <v>0</v>
      </c>
      <c r="Y226">
        <f>IF(vp.tbl[[#This Row],[CrudeType]]="C5+",1,0)</f>
        <v>0</v>
      </c>
      <c r="Z226">
        <f>IF(AND(vp.tbl[[#This Row],[CrudeType]]="Crude",vp.tbl[[#This Row],[Dens]]&lt;=825,vp.tbl[[#This Row],[Sulf]]&gt;0.5,vp.tbl[[#This Row],[Unknown]]=0),1,0)</f>
        <v>0</v>
      </c>
      <c r="AA226">
        <f>IF(AND(vp.tbl[[#This Row],[CrudeType]]="Crude",vp.tbl[[#This Row],[Dens]]&lt;=825,vp.tbl[[#This Row],[Sulf]]&lt;=0.5,vp.tbl[[#This Row],[Unknown]]=0),1,0)</f>
        <v>1</v>
      </c>
      <c r="AB226">
        <f>IF(AND(vp.tbl[[#This Row],[CrudeType]]="Crude",vp.tbl[[#This Row],[Dens]]&gt;825,vp.tbl[[#This Row],[Dens]]&lt;=870,vp.tbl[[#This Row],[Sulf]]&gt;0.5,vp.tbl[[#This Row],[Unknown]]=0),1,0)</f>
        <v>0</v>
      </c>
      <c r="AC226">
        <f>IF(AND(vp.tbl[[#This Row],[CrudeType]]="Crude",vp.tbl[[#This Row],[Dens]]&gt;825,vp.tbl[[#This Row],[Dens]]&lt;=900,vp.tbl[[#This Row],[Sulf]]&lt;=0.5,vp.tbl[[#This Row],[Unknown]]=0),1,0)</f>
        <v>0</v>
      </c>
      <c r="AD226">
        <f>IF(AND(vp.tbl[[#This Row],[CrudeType]]="Crude",vp.tbl[[#This Row],[Dens]]&gt;870,vp.tbl[[#This Row],[Dens]]&lt;=900,vp.tbl[[#This Row],[Sulf]]&gt;0.5,vp.tbl[[#This Row],[Unknown]]=0),1,0)</f>
        <v>0</v>
      </c>
      <c r="AE226">
        <f>IF(AND(vp.tbl[[#This Row],[CrudeType]]="Crude",vp.tbl[[#This Row],[Dens]]&gt;900,vp.tbl[[#This Row],[Sulf]]&lt;=0.5,vp.tbl[[#This Row],[Unknown]]=0),1,0)</f>
        <v>0</v>
      </c>
      <c r="AF226">
        <f>IF(AND(vp.tbl[[#This Row],[CrudeType]]="Crude",vp.tbl[[#This Row],[Dens]]&gt;900,vp.tbl[[#This Row],[Sulf]]&lt;=0.5,vp.tbl[[#This Row],[Unknown]]=0),1,0)</f>
        <v>0</v>
      </c>
      <c r="AG226" t="str">
        <f>INDEX(vp.tbl[[#Headers],[Unknown]:[Heavy_SW]],MATCH(1,vp.tbl[[#This Row],[Unknown]:[Heavy_SW]],0))</f>
        <v>Light_SW</v>
      </c>
      <c r="AH226" t="e">
        <f>INDEX([1]!crudeBD.lkup[Number],MATCH(vp.tbl[[#This Row],[Crude_Breakdown]],[1]!crudeBD.lkup[Crude Breakdown],0))</f>
        <v>#REF!</v>
      </c>
      <c r="AI226">
        <f>MONTH(vp.tbl[[#This Row],[SDate]])</f>
        <v>6</v>
      </c>
      <c r="AJ226" s="5">
        <f>IFERROR(vp.tbl[[#This Row],[Sulf]]*vp.tbl[[#This Row],[Net Dens]],"")</f>
        <v>3746467.3008000003</v>
      </c>
      <c r="AK226" s="5">
        <f>IFERROR(vp.tbl[[#This Row],[Dens]]*vp.tbl[[#This Row],[VolumeM3]],"")</f>
        <v>26760480.719999999</v>
      </c>
      <c r="AL226" s="5">
        <f>IFERROR(vp.tbl[[#This Row],[VP]]*vp.tbl[[#This Row],[VolumeM3]],"")</f>
        <v>2396460.96</v>
      </c>
      <c r="AM226" s="4">
        <f>IFERROR((vp.tbl[[#This Row],[VP]]-INDEX(crudeBD.lkup.complete[Mean_VP],MATCH(vp.tbl[[#This Row],[Crude_Breakdown]],crudeBD.lkup.complete[Crude Breakdown],0)))^2,"")</f>
        <v>422.3153886000789</v>
      </c>
      <c r="AN226" s="4">
        <f>IFERROR((vp.tbl[[#This Row],[Dens]]-INDEX(crudeBD.lkup.complete[Mean_Dens],MATCH(vp.tbl[[#This Row],[Crude_Breakdown]],crudeBD.lkup.complete[Crude Breakdown],0)))^2,"")</f>
        <v>18.589017227353068</v>
      </c>
      <c r="AO226" s="4">
        <f>IFERROR((vp.tbl[[#This Row],[Sulf]]-INDEX(crudeBD.lkup.complete[Mean_Sulf],MATCH(vp.tbl[[#This Row],[Crude_Breakdown]],crudeBD.lkup.complete[Crude Breakdown],0)))^2,"")</f>
        <v>9.2624863475336272E-3</v>
      </c>
      <c r="AP226">
        <f>IF(AND(vp.tbl[[#This Row],[SDate]]&gt;=DATE(YEAR(vp.tbl[[#This Row],[SDate]]),5,1),vp.tbl[[#This Row],[SDate]]&lt;=DATE(YEAR(vp.tbl[[#This Row],[SDate]]),9,15)),1,0)</f>
        <v>1</v>
      </c>
      <c r="AQ226" s="15">
        <f>IF(vp.tbl[[#This Row],[SDate]]&lt;DATE(2016,12,1),0,1)</f>
        <v>0</v>
      </c>
    </row>
    <row r="227" spans="1:43" x14ac:dyDescent="0.25">
      <c r="A227">
        <v>226</v>
      </c>
      <c r="B227" t="s">
        <v>49</v>
      </c>
      <c r="C227" t="s">
        <v>49</v>
      </c>
      <c r="D227" t="s">
        <v>67</v>
      </c>
      <c r="F227" s="1">
        <v>42536</v>
      </c>
      <c r="G227" s="2">
        <v>102.2</v>
      </c>
      <c r="H227" s="2"/>
      <c r="I227" s="2">
        <v>0.21</v>
      </c>
      <c r="J227" s="2"/>
      <c r="K227" s="2"/>
      <c r="L227" s="2">
        <v>804.2</v>
      </c>
      <c r="M227" s="2">
        <v>804.2</v>
      </c>
      <c r="N227" s="2">
        <f ca="1">INDEX(INDIRECT(_xlfn.CONCAT("weather.tbl[",N$1,"]")),MATCH(vp.tbl[[#This Row],[SDate]],weather.tbl[Date],0))</f>
        <v>17.083333333333332</v>
      </c>
      <c r="O227" s="2">
        <f ca="1">INDEX(INDIRECT(_xlfn.CONCAT("weather.tbl[",O$1,"]")),MATCH(vp.tbl[[#This Row],[SDate]],weather.tbl[Date],0))</f>
        <v>18.642857142857142</v>
      </c>
      <c r="P227" s="2">
        <f ca="1">INDEX(INDIRECT(_xlfn.CONCAT("weather.tbl[",P$1,"]")),MATCH(vp.tbl[[#This Row],[SDate]],weather.tbl[Date],0))</f>
        <v>17.5</v>
      </c>
      <c r="Q227" s="2">
        <f ca="1">INDEX(INDIRECT(_xlfn.CONCAT("weather.tbl[",Q$1,"]")),MATCH(vp.tbl[[#This Row],[SDate]],weather.tbl[Date],0))</f>
        <v>15.9</v>
      </c>
      <c r="R227" s="2">
        <f ca="1">INDEX(INDIRECT(_xlfn.CONCAT("weather.tbl[",R$1,"]")),MATCH(vp.tbl[[#This Row],[SDate]],weather.tbl[Date],0))</f>
        <v>18</v>
      </c>
      <c r="S227" s="2">
        <f ca="1">INDEX(INDIRECT(_xlfn.CONCAT("weather.tbl[",S$1,"]")),MATCH(vp.tbl[[#This Row],[SDate]],weather.tbl[Date],0))</f>
        <v>15.5</v>
      </c>
      <c r="T227" s="2">
        <f ca="1">INDEX(INDIRECT(_xlfn.CONCAT("weather.tbl[",T$1,"]")),MATCH(vp.tbl[[#This Row],[SDate]],weather.tbl[Date],0))</f>
        <v>18.600000000000001</v>
      </c>
      <c r="U227" s="2">
        <f ca="1">INDEX(INDIRECT(_xlfn.CONCAT("weather.tbl[",U$1,"]")),MATCH(vp.tbl[[#This Row],[SDate]],weather.tbl[Date],0))</f>
        <v>17</v>
      </c>
      <c r="V227" s="2">
        <v>50694.305999999997</v>
      </c>
      <c r="W227" t="s">
        <v>48</v>
      </c>
      <c r="X227">
        <f>IF(OR(vp.tbl[[#This Row],[Sulf]]="",vp.tbl[[#This Row],[Dens]]=""),1,0)</f>
        <v>0</v>
      </c>
      <c r="Y227">
        <f>IF(vp.tbl[[#This Row],[CrudeType]]="C5+",1,0)</f>
        <v>0</v>
      </c>
      <c r="Z227">
        <f>IF(AND(vp.tbl[[#This Row],[CrudeType]]="Crude",vp.tbl[[#This Row],[Dens]]&lt;=825,vp.tbl[[#This Row],[Sulf]]&gt;0.5,vp.tbl[[#This Row],[Unknown]]=0),1,0)</f>
        <v>0</v>
      </c>
      <c r="AA227">
        <f>IF(AND(vp.tbl[[#This Row],[CrudeType]]="Crude",vp.tbl[[#This Row],[Dens]]&lt;=825,vp.tbl[[#This Row],[Sulf]]&lt;=0.5,vp.tbl[[#This Row],[Unknown]]=0),1,0)</f>
        <v>1</v>
      </c>
      <c r="AB227">
        <f>IF(AND(vp.tbl[[#This Row],[CrudeType]]="Crude",vp.tbl[[#This Row],[Dens]]&gt;825,vp.tbl[[#This Row],[Dens]]&lt;=870,vp.tbl[[#This Row],[Sulf]]&gt;0.5,vp.tbl[[#This Row],[Unknown]]=0),1,0)</f>
        <v>0</v>
      </c>
      <c r="AC227">
        <f>IF(AND(vp.tbl[[#This Row],[CrudeType]]="Crude",vp.tbl[[#This Row],[Dens]]&gt;825,vp.tbl[[#This Row],[Dens]]&lt;=900,vp.tbl[[#This Row],[Sulf]]&lt;=0.5,vp.tbl[[#This Row],[Unknown]]=0),1,0)</f>
        <v>0</v>
      </c>
      <c r="AD227">
        <f>IF(AND(vp.tbl[[#This Row],[CrudeType]]="Crude",vp.tbl[[#This Row],[Dens]]&gt;870,vp.tbl[[#This Row],[Dens]]&lt;=900,vp.tbl[[#This Row],[Sulf]]&gt;0.5,vp.tbl[[#This Row],[Unknown]]=0),1,0)</f>
        <v>0</v>
      </c>
      <c r="AE227">
        <f>IF(AND(vp.tbl[[#This Row],[CrudeType]]="Crude",vp.tbl[[#This Row],[Dens]]&gt;900,vp.tbl[[#This Row],[Sulf]]&lt;=0.5,vp.tbl[[#This Row],[Unknown]]=0),1,0)</f>
        <v>0</v>
      </c>
      <c r="AF227">
        <f>IF(AND(vp.tbl[[#This Row],[CrudeType]]="Crude",vp.tbl[[#This Row],[Dens]]&gt;900,vp.tbl[[#This Row],[Sulf]]&lt;=0.5,vp.tbl[[#This Row],[Unknown]]=0),1,0)</f>
        <v>0</v>
      </c>
      <c r="AG227" t="str">
        <f>INDEX(vp.tbl[[#Headers],[Unknown]:[Heavy_SW]],MATCH(1,vp.tbl[[#This Row],[Unknown]:[Heavy_SW]],0))</f>
        <v>Light_SW</v>
      </c>
      <c r="AH227" t="e">
        <f>INDEX([1]!crudeBD.lkup[Number],MATCH(vp.tbl[[#This Row],[Crude_Breakdown]],[1]!crudeBD.lkup[Crude Breakdown],0))</f>
        <v>#REF!</v>
      </c>
      <c r="AI227">
        <f>MONTH(vp.tbl[[#This Row],[SDate]])</f>
        <v>6</v>
      </c>
      <c r="AJ227" s="5">
        <f>IFERROR(vp.tbl[[#This Row],[Sulf]]*vp.tbl[[#This Row],[Net Dens]],"")</f>
        <v>8561355.7858920004</v>
      </c>
      <c r="AK227" s="5">
        <f>IFERROR(vp.tbl[[#This Row],[Dens]]*vp.tbl[[#This Row],[VolumeM3]],"")</f>
        <v>40768360.885200001</v>
      </c>
      <c r="AL227" s="5">
        <f>IFERROR(vp.tbl[[#This Row],[VP]]*vp.tbl[[#This Row],[VolumeM3]],"")</f>
        <v>5180958.0731999995</v>
      </c>
      <c r="AM227" s="4">
        <f>IFERROR((vp.tbl[[#This Row],[VP]]-INDEX(crudeBD.lkup.complete[Mean_VP],MATCH(vp.tbl[[#This Row],[Crude_Breakdown]],crudeBD.lkup.complete[Crude Breakdown],0)))^2,"")</f>
        <v>93.116447833530231</v>
      </c>
      <c r="AN227" s="4">
        <f>IFERROR((vp.tbl[[#This Row],[Dens]]-INDEX(crudeBD.lkup.complete[Mean_Dens],MATCH(vp.tbl[[#This Row],[Crude_Breakdown]],crudeBD.lkup.complete[Crude Breakdown],0)))^2,"")</f>
        <v>16.904417924216894</v>
      </c>
      <c r="AO227" s="4">
        <f>IFERROR((vp.tbl[[#This Row],[Sulf]]-INDEX(crudeBD.lkup.complete[Mean_Sulf],MATCH(vp.tbl[[#This Row],[Crude_Breakdown]],crudeBD.lkup.complete[Crude Breakdown],0)))^2,"")</f>
        <v>6.8863268899706654E-4</v>
      </c>
      <c r="AP227">
        <f>IF(AND(vp.tbl[[#This Row],[SDate]]&gt;=DATE(YEAR(vp.tbl[[#This Row],[SDate]]),5,1),vp.tbl[[#This Row],[SDate]]&lt;=DATE(YEAR(vp.tbl[[#This Row],[SDate]]),9,15)),1,0)</f>
        <v>1</v>
      </c>
      <c r="AQ227" s="15">
        <f>IF(vp.tbl[[#This Row],[SDate]]&lt;DATE(2016,12,1),0,1)</f>
        <v>0</v>
      </c>
    </row>
    <row r="228" spans="1:43" x14ac:dyDescent="0.25">
      <c r="A228">
        <v>227</v>
      </c>
      <c r="B228" t="s">
        <v>51</v>
      </c>
      <c r="C228" t="s">
        <v>51</v>
      </c>
      <c r="D228" t="s">
        <v>58</v>
      </c>
      <c r="F228" s="1">
        <v>42537</v>
      </c>
      <c r="G228" s="2">
        <v>72.8</v>
      </c>
      <c r="H228" s="2"/>
      <c r="I228" s="2">
        <v>1.35</v>
      </c>
      <c r="J228" s="2"/>
      <c r="K228" s="2"/>
      <c r="L228" s="2">
        <v>826</v>
      </c>
      <c r="M228" s="2">
        <v>826</v>
      </c>
      <c r="N228" s="2">
        <f ca="1">INDEX(INDIRECT(_xlfn.CONCAT("weather.tbl[",N$1,"]")),MATCH(vp.tbl[[#This Row],[SDate]],weather.tbl[Date],0))</f>
        <v>20.166666666666668</v>
      </c>
      <c r="O228" s="2">
        <f ca="1">INDEX(INDIRECT(_xlfn.CONCAT("weather.tbl[",O$1,"]")),MATCH(vp.tbl[[#This Row],[SDate]],weather.tbl[Date],0))</f>
        <v>18.204761904761906</v>
      </c>
      <c r="P228" s="2">
        <f ca="1">INDEX(INDIRECT(_xlfn.CONCAT("weather.tbl[",P$1,"]")),MATCH(vp.tbl[[#This Row],[SDate]],weather.tbl[Date],0))</f>
        <v>20.8</v>
      </c>
      <c r="Q228" s="2">
        <f ca="1">INDEX(INDIRECT(_xlfn.CONCAT("weather.tbl[",Q$1,"]")),MATCH(vp.tbl[[#This Row],[SDate]],weather.tbl[Date],0))</f>
        <v>20.399999999999999</v>
      </c>
      <c r="R228" s="2">
        <f ca="1">INDEX(INDIRECT(_xlfn.CONCAT("weather.tbl[",R$1,"]")),MATCH(vp.tbl[[#This Row],[SDate]],weather.tbl[Date],0))</f>
        <v>20.5</v>
      </c>
      <c r="S228" s="2">
        <f ca="1">INDEX(INDIRECT(_xlfn.CONCAT("weather.tbl[",S$1,"]")),MATCH(vp.tbl[[#This Row],[SDate]],weather.tbl[Date],0))</f>
        <v>19.3</v>
      </c>
      <c r="T228" s="2">
        <f ca="1">INDEX(INDIRECT(_xlfn.CONCAT("weather.tbl[",T$1,"]")),MATCH(vp.tbl[[#This Row],[SDate]],weather.tbl[Date],0))</f>
        <v>22</v>
      </c>
      <c r="U228" s="2">
        <f ca="1">INDEX(INDIRECT(_xlfn.CONCAT("weather.tbl[",U$1,"]")),MATCH(vp.tbl[[#This Row],[SDate]],weather.tbl[Date],0))</f>
        <v>18</v>
      </c>
      <c r="V228" s="2">
        <v>5684.973</v>
      </c>
      <c r="W228" t="s">
        <v>48</v>
      </c>
      <c r="X228">
        <f>IF(OR(vp.tbl[[#This Row],[Sulf]]="",vp.tbl[[#This Row],[Dens]]=""),1,0)</f>
        <v>0</v>
      </c>
      <c r="Y228">
        <f>IF(vp.tbl[[#This Row],[CrudeType]]="C5+",1,0)</f>
        <v>0</v>
      </c>
      <c r="Z228">
        <f>IF(AND(vp.tbl[[#This Row],[CrudeType]]="Crude",vp.tbl[[#This Row],[Dens]]&lt;=825,vp.tbl[[#This Row],[Sulf]]&gt;0.5,vp.tbl[[#This Row],[Unknown]]=0),1,0)</f>
        <v>0</v>
      </c>
      <c r="AA228">
        <f>IF(AND(vp.tbl[[#This Row],[CrudeType]]="Crude",vp.tbl[[#This Row],[Dens]]&lt;=825,vp.tbl[[#This Row],[Sulf]]&lt;=0.5,vp.tbl[[#This Row],[Unknown]]=0),1,0)</f>
        <v>0</v>
      </c>
      <c r="AB228">
        <f>IF(AND(vp.tbl[[#This Row],[CrudeType]]="Crude",vp.tbl[[#This Row],[Dens]]&gt;825,vp.tbl[[#This Row],[Dens]]&lt;=870,vp.tbl[[#This Row],[Sulf]]&gt;0.5,vp.tbl[[#This Row],[Unknown]]=0),1,0)</f>
        <v>1</v>
      </c>
      <c r="AC228">
        <f>IF(AND(vp.tbl[[#This Row],[CrudeType]]="Crude",vp.tbl[[#This Row],[Dens]]&gt;825,vp.tbl[[#This Row],[Dens]]&lt;=900,vp.tbl[[#This Row],[Sulf]]&lt;=0.5,vp.tbl[[#This Row],[Unknown]]=0),1,0)</f>
        <v>0</v>
      </c>
      <c r="AD228">
        <f>IF(AND(vp.tbl[[#This Row],[CrudeType]]="Crude",vp.tbl[[#This Row],[Dens]]&gt;870,vp.tbl[[#This Row],[Dens]]&lt;=900,vp.tbl[[#This Row],[Sulf]]&gt;0.5,vp.tbl[[#This Row],[Unknown]]=0),1,0)</f>
        <v>0</v>
      </c>
      <c r="AE228">
        <f>IF(AND(vp.tbl[[#This Row],[CrudeType]]="Crude",vp.tbl[[#This Row],[Dens]]&gt;900,vp.tbl[[#This Row],[Sulf]]&lt;=0.5,vp.tbl[[#This Row],[Unknown]]=0),1,0)</f>
        <v>0</v>
      </c>
      <c r="AF228">
        <f>IF(AND(vp.tbl[[#This Row],[CrudeType]]="Crude",vp.tbl[[#This Row],[Dens]]&gt;900,vp.tbl[[#This Row],[Sulf]]&lt;=0.5,vp.tbl[[#This Row],[Unknown]]=0),1,0)</f>
        <v>0</v>
      </c>
      <c r="AG228" t="str">
        <f>INDEX(vp.tbl[[#Headers],[Unknown]:[Heavy_SW]],MATCH(1,vp.tbl[[#This Row],[Unknown]:[Heavy_SW]],0))</f>
        <v>Medium_LSB</v>
      </c>
      <c r="AH228" t="e">
        <f>INDEX([1]!crudeBD.lkup[Number],MATCH(vp.tbl[[#This Row],[Crude_Breakdown]],[1]!crudeBD.lkup[Crude Breakdown],0))</f>
        <v>#REF!</v>
      </c>
      <c r="AI228">
        <f>MONTH(vp.tbl[[#This Row],[SDate]])</f>
        <v>6</v>
      </c>
      <c r="AJ228" s="5">
        <f>IFERROR(vp.tbl[[#This Row],[Sulf]]*vp.tbl[[#This Row],[Net Dens]],"")</f>
        <v>6339313.3923000004</v>
      </c>
      <c r="AK228" s="5">
        <f>IFERROR(vp.tbl[[#This Row],[Dens]]*vp.tbl[[#This Row],[VolumeM3]],"")</f>
        <v>4695787.6979999999</v>
      </c>
      <c r="AL228" s="5">
        <f>IFERROR(vp.tbl[[#This Row],[VP]]*vp.tbl[[#This Row],[VolumeM3]],"")</f>
        <v>413866.0344</v>
      </c>
      <c r="AM228" s="4">
        <f>IFERROR((vp.tbl[[#This Row],[VP]]-INDEX(crudeBD.lkup.complete[Mean_VP],MATCH(vp.tbl[[#This Row],[Crude_Breakdown]],crudeBD.lkup.complete[Crude Breakdown],0)))^2,"")</f>
        <v>54.369902290658047</v>
      </c>
      <c r="AN228" s="4">
        <f>IFERROR((vp.tbl[[#This Row],[Dens]]-INDEX(crudeBD.lkup.complete[Mean_Dens],MATCH(vp.tbl[[#This Row],[Crude_Breakdown]],crudeBD.lkup.complete[Crude Breakdown],0)))^2,"")</f>
        <v>372.17442636048116</v>
      </c>
      <c r="AO228" s="4">
        <f>IFERROR((vp.tbl[[#This Row],[Sulf]]-INDEX(crudeBD.lkup.complete[Mean_Sulf],MATCH(vp.tbl[[#This Row],[Crude_Breakdown]],crudeBD.lkup.complete[Crude Breakdown],0)))^2,"")</f>
        <v>1.1010275679007022E-2</v>
      </c>
      <c r="AP228">
        <f>IF(AND(vp.tbl[[#This Row],[SDate]]&gt;=DATE(YEAR(vp.tbl[[#This Row],[SDate]]),5,1),vp.tbl[[#This Row],[SDate]]&lt;=DATE(YEAR(vp.tbl[[#This Row],[SDate]]),9,15)),1,0)</f>
        <v>1</v>
      </c>
      <c r="AQ228" s="15">
        <f>IF(vp.tbl[[#This Row],[SDate]]&lt;DATE(2016,12,1),0,1)</f>
        <v>0</v>
      </c>
    </row>
    <row r="229" spans="1:43" x14ac:dyDescent="0.25">
      <c r="A229">
        <v>228</v>
      </c>
      <c r="B229" t="s">
        <v>56</v>
      </c>
      <c r="C229" t="s">
        <v>56</v>
      </c>
      <c r="D229" t="s">
        <v>57</v>
      </c>
      <c r="F229" s="1">
        <v>42538</v>
      </c>
      <c r="G229" s="2">
        <v>88.1</v>
      </c>
      <c r="H229" s="2"/>
      <c r="I229" s="2">
        <v>1.63</v>
      </c>
      <c r="J229" s="2"/>
      <c r="K229" s="2"/>
      <c r="L229" s="2">
        <v>835</v>
      </c>
      <c r="M229" s="2">
        <v>835</v>
      </c>
      <c r="N229" s="2">
        <f ca="1">INDEX(INDIRECT(_xlfn.CONCAT("weather.tbl[",N$1,"]")),MATCH(vp.tbl[[#This Row],[SDate]],weather.tbl[Date],0))</f>
        <v>17.650000000000002</v>
      </c>
      <c r="O229" s="2">
        <f ca="1">INDEX(INDIRECT(_xlfn.CONCAT("weather.tbl[",O$1,"]")),MATCH(vp.tbl[[#This Row],[SDate]],weather.tbl[Date],0))</f>
        <v>17.733333333333334</v>
      </c>
      <c r="P229" s="2">
        <f ca="1">INDEX(INDIRECT(_xlfn.CONCAT("weather.tbl[",P$1,"]")),MATCH(vp.tbl[[#This Row],[SDate]],weather.tbl[Date],0))</f>
        <v>18.100000000000001</v>
      </c>
      <c r="Q229" s="2">
        <f ca="1">INDEX(INDIRECT(_xlfn.CONCAT("weather.tbl[",Q$1,"]")),MATCH(vp.tbl[[#This Row],[SDate]],weather.tbl[Date],0))</f>
        <v>16.600000000000001</v>
      </c>
      <c r="R229" s="2">
        <f ca="1">INDEX(INDIRECT(_xlfn.CONCAT("weather.tbl[",R$1,"]")),MATCH(vp.tbl[[#This Row],[SDate]],weather.tbl[Date],0))</f>
        <v>18.5</v>
      </c>
      <c r="S229" s="2">
        <f ca="1">INDEX(INDIRECT(_xlfn.CONCAT("weather.tbl[",S$1,"]")),MATCH(vp.tbl[[#This Row],[SDate]],weather.tbl[Date],0))</f>
        <v>17</v>
      </c>
      <c r="T229" s="2">
        <f ca="1">INDEX(INDIRECT(_xlfn.CONCAT("weather.tbl[",T$1,"]")),MATCH(vp.tbl[[#This Row],[SDate]],weather.tbl[Date],0))</f>
        <v>19.2</v>
      </c>
      <c r="U229" s="2">
        <f ca="1">INDEX(INDIRECT(_xlfn.CONCAT("weather.tbl[",U$1,"]")),MATCH(vp.tbl[[#This Row],[SDate]],weather.tbl[Date],0))</f>
        <v>16.5</v>
      </c>
      <c r="V229" s="2">
        <v>3243.116</v>
      </c>
      <c r="W229" t="s">
        <v>48</v>
      </c>
      <c r="X229">
        <f>IF(OR(vp.tbl[[#This Row],[Sulf]]="",vp.tbl[[#This Row],[Dens]]=""),1,0)</f>
        <v>0</v>
      </c>
      <c r="Y229">
        <f>IF(vp.tbl[[#This Row],[CrudeType]]="C5+",1,0)</f>
        <v>0</v>
      </c>
      <c r="Z229">
        <f>IF(AND(vp.tbl[[#This Row],[CrudeType]]="Crude",vp.tbl[[#This Row],[Dens]]&lt;=825,vp.tbl[[#This Row],[Sulf]]&gt;0.5,vp.tbl[[#This Row],[Unknown]]=0),1,0)</f>
        <v>0</v>
      </c>
      <c r="AA229">
        <f>IF(AND(vp.tbl[[#This Row],[CrudeType]]="Crude",vp.tbl[[#This Row],[Dens]]&lt;=825,vp.tbl[[#This Row],[Sulf]]&lt;=0.5,vp.tbl[[#This Row],[Unknown]]=0),1,0)</f>
        <v>0</v>
      </c>
      <c r="AB229">
        <f>IF(AND(vp.tbl[[#This Row],[CrudeType]]="Crude",vp.tbl[[#This Row],[Dens]]&gt;825,vp.tbl[[#This Row],[Dens]]&lt;=870,vp.tbl[[#This Row],[Sulf]]&gt;0.5,vp.tbl[[#This Row],[Unknown]]=0),1,0)</f>
        <v>1</v>
      </c>
      <c r="AC229">
        <f>IF(AND(vp.tbl[[#This Row],[CrudeType]]="Crude",vp.tbl[[#This Row],[Dens]]&gt;825,vp.tbl[[#This Row],[Dens]]&lt;=900,vp.tbl[[#This Row],[Sulf]]&lt;=0.5,vp.tbl[[#This Row],[Unknown]]=0),1,0)</f>
        <v>0</v>
      </c>
      <c r="AD229">
        <f>IF(AND(vp.tbl[[#This Row],[CrudeType]]="Crude",vp.tbl[[#This Row],[Dens]]&gt;870,vp.tbl[[#This Row],[Dens]]&lt;=900,vp.tbl[[#This Row],[Sulf]]&gt;0.5,vp.tbl[[#This Row],[Unknown]]=0),1,0)</f>
        <v>0</v>
      </c>
      <c r="AE229">
        <f>IF(AND(vp.tbl[[#This Row],[CrudeType]]="Crude",vp.tbl[[#This Row],[Dens]]&gt;900,vp.tbl[[#This Row],[Sulf]]&lt;=0.5,vp.tbl[[#This Row],[Unknown]]=0),1,0)</f>
        <v>0</v>
      </c>
      <c r="AF229">
        <f>IF(AND(vp.tbl[[#This Row],[CrudeType]]="Crude",vp.tbl[[#This Row],[Dens]]&gt;900,vp.tbl[[#This Row],[Sulf]]&lt;=0.5,vp.tbl[[#This Row],[Unknown]]=0),1,0)</f>
        <v>0</v>
      </c>
      <c r="AG229" t="str">
        <f>INDEX(vp.tbl[[#Headers],[Unknown]:[Heavy_SW]],MATCH(1,vp.tbl[[#This Row],[Unknown]:[Heavy_SW]],0))</f>
        <v>Medium_LSB</v>
      </c>
      <c r="AH229" t="e">
        <f>INDEX([1]!crudeBD.lkup[Number],MATCH(vp.tbl[[#This Row],[Crude_Breakdown]],[1]!crudeBD.lkup[Crude Breakdown],0))</f>
        <v>#REF!</v>
      </c>
      <c r="AI229">
        <f>MONTH(vp.tbl[[#This Row],[SDate]])</f>
        <v>6</v>
      </c>
      <c r="AJ229" s="5">
        <f>IFERROR(vp.tbl[[#This Row],[Sulf]]*vp.tbl[[#This Row],[Net Dens]],"")</f>
        <v>4414043.0317999991</v>
      </c>
      <c r="AK229" s="5">
        <f>IFERROR(vp.tbl[[#This Row],[Dens]]*vp.tbl[[#This Row],[VolumeM3]],"")</f>
        <v>2708001.86</v>
      </c>
      <c r="AL229" s="5">
        <f>IFERROR(vp.tbl[[#This Row],[VP]]*vp.tbl[[#This Row],[VolumeM3]],"")</f>
        <v>285718.5196</v>
      </c>
      <c r="AM229" s="4">
        <f>IFERROR((vp.tbl[[#This Row],[VP]]-INDEX(crudeBD.lkup.complete[Mean_VP],MATCH(vp.tbl[[#This Row],[Crude_Breakdown]],crudeBD.lkup.complete[Crude Breakdown],0)))^2,"")</f>
        <v>62.827897227367906</v>
      </c>
      <c r="AN229" s="4">
        <f>IFERROR((vp.tbl[[#This Row],[Dens]]-INDEX(crudeBD.lkup.complete[Mean_Dens],MATCH(vp.tbl[[#This Row],[Crude_Breakdown]],crudeBD.lkup.complete[Crude Breakdown],0)))^2,"")</f>
        <v>105.92161623391659</v>
      </c>
      <c r="AO229" s="4">
        <f>IFERROR((vp.tbl[[#This Row],[Sulf]]-INDEX(crudeBD.lkup.complete[Mean_Sulf],MATCH(vp.tbl[[#This Row],[Crude_Breakdown]],crudeBD.lkup.complete[Crude Breakdown],0)))^2,"")</f>
        <v>3.0649553653689716E-2</v>
      </c>
      <c r="AP229">
        <f>IF(AND(vp.tbl[[#This Row],[SDate]]&gt;=DATE(YEAR(vp.tbl[[#This Row],[SDate]]),5,1),vp.tbl[[#This Row],[SDate]]&lt;=DATE(YEAR(vp.tbl[[#This Row],[SDate]]),9,15)),1,0)</f>
        <v>1</v>
      </c>
      <c r="AQ229" s="15">
        <f>IF(vp.tbl[[#This Row],[SDate]]&lt;DATE(2016,12,1),0,1)</f>
        <v>0</v>
      </c>
    </row>
    <row r="230" spans="1:43" x14ac:dyDescent="0.25">
      <c r="A230">
        <v>229</v>
      </c>
      <c r="B230" t="s">
        <v>60</v>
      </c>
      <c r="C230" t="s">
        <v>60</v>
      </c>
      <c r="D230" t="s">
        <v>61</v>
      </c>
      <c r="E230" t="s">
        <v>73</v>
      </c>
      <c r="F230" s="1">
        <v>42544</v>
      </c>
      <c r="G230" s="2">
        <v>55.2</v>
      </c>
      <c r="H230" s="2"/>
      <c r="I230" s="2">
        <v>1.1499999999999999</v>
      </c>
      <c r="J230" s="2"/>
      <c r="K230" s="2"/>
      <c r="L230" s="2"/>
      <c r="M230" s="2">
        <v>823.8</v>
      </c>
      <c r="N230" s="2">
        <f ca="1">INDEX(INDIRECT(_xlfn.CONCAT("weather.tbl[",N$1,"]")),MATCH(vp.tbl[[#This Row],[SDate]],weather.tbl[Date],0))</f>
        <v>17.233333333333334</v>
      </c>
      <c r="O230" s="2">
        <f ca="1">INDEX(INDIRECT(_xlfn.CONCAT("weather.tbl[",O$1,"]")),MATCH(vp.tbl[[#This Row],[SDate]],weather.tbl[Date],0))</f>
        <v>17.114285714285714</v>
      </c>
      <c r="P230" s="2">
        <f ca="1">INDEX(INDIRECT(_xlfn.CONCAT("weather.tbl[",P$1,"]")),MATCH(vp.tbl[[#This Row],[SDate]],weather.tbl[Date],0))</f>
        <v>16.7</v>
      </c>
      <c r="Q230" s="2">
        <f ca="1">INDEX(INDIRECT(_xlfn.CONCAT("weather.tbl[",Q$1,"]")),MATCH(vp.tbl[[#This Row],[SDate]],weather.tbl[Date],0))</f>
        <v>17.3</v>
      </c>
      <c r="R230" s="2">
        <f ca="1">INDEX(INDIRECT(_xlfn.CONCAT("weather.tbl[",R$1,"]")),MATCH(vp.tbl[[#This Row],[SDate]],weather.tbl[Date],0))</f>
        <v>15.3</v>
      </c>
      <c r="S230" s="2">
        <f ca="1">INDEX(INDIRECT(_xlfn.CONCAT("weather.tbl[",S$1,"]")),MATCH(vp.tbl[[#This Row],[SDate]],weather.tbl[Date],0))</f>
        <v>21</v>
      </c>
      <c r="T230" s="2">
        <f ca="1">INDEX(INDIRECT(_xlfn.CONCAT("weather.tbl[",T$1,"]")),MATCH(vp.tbl[[#This Row],[SDate]],weather.tbl[Date],0))</f>
        <v>16.600000000000001</v>
      </c>
      <c r="U230" s="2">
        <f ca="1">INDEX(INDIRECT(_xlfn.CONCAT("weather.tbl[",U$1,"]")),MATCH(vp.tbl[[#This Row],[SDate]],weather.tbl[Date],0))</f>
        <v>16.5</v>
      </c>
      <c r="V230" s="2">
        <v>104067.856</v>
      </c>
      <c r="W230" t="s">
        <v>48</v>
      </c>
      <c r="X230">
        <f>IF(OR(vp.tbl[[#This Row],[Sulf]]="",vp.tbl[[#This Row],[Dens]]=""),1,0)</f>
        <v>0</v>
      </c>
      <c r="Y230">
        <f>IF(vp.tbl[[#This Row],[CrudeType]]="C5+",1,0)</f>
        <v>0</v>
      </c>
      <c r="Z230">
        <f>IF(AND(vp.tbl[[#This Row],[CrudeType]]="Crude",vp.tbl[[#This Row],[Dens]]&lt;=825,vp.tbl[[#This Row],[Sulf]]&gt;0.5,vp.tbl[[#This Row],[Unknown]]=0),1,0)</f>
        <v>1</v>
      </c>
      <c r="AA230">
        <f>IF(AND(vp.tbl[[#This Row],[CrudeType]]="Crude",vp.tbl[[#This Row],[Dens]]&lt;=825,vp.tbl[[#This Row],[Sulf]]&lt;=0.5,vp.tbl[[#This Row],[Unknown]]=0),1,0)</f>
        <v>0</v>
      </c>
      <c r="AB230">
        <f>IF(AND(vp.tbl[[#This Row],[CrudeType]]="Crude",vp.tbl[[#This Row],[Dens]]&gt;825,vp.tbl[[#This Row],[Dens]]&lt;=870,vp.tbl[[#This Row],[Sulf]]&gt;0.5,vp.tbl[[#This Row],[Unknown]]=0),1,0)</f>
        <v>0</v>
      </c>
      <c r="AC230">
        <f>IF(AND(vp.tbl[[#This Row],[CrudeType]]="Crude",vp.tbl[[#This Row],[Dens]]&gt;825,vp.tbl[[#This Row],[Dens]]&lt;=900,vp.tbl[[#This Row],[Sulf]]&lt;=0.5,vp.tbl[[#This Row],[Unknown]]=0),1,0)</f>
        <v>0</v>
      </c>
      <c r="AD230">
        <f>IF(AND(vp.tbl[[#This Row],[CrudeType]]="Crude",vp.tbl[[#This Row],[Dens]]&gt;870,vp.tbl[[#This Row],[Dens]]&lt;=900,vp.tbl[[#This Row],[Sulf]]&gt;0.5,vp.tbl[[#This Row],[Unknown]]=0),1,0)</f>
        <v>0</v>
      </c>
      <c r="AE230">
        <f>IF(AND(vp.tbl[[#This Row],[CrudeType]]="Crude",vp.tbl[[#This Row],[Dens]]&gt;900,vp.tbl[[#This Row],[Sulf]]&lt;=0.5,vp.tbl[[#This Row],[Unknown]]=0),1,0)</f>
        <v>0</v>
      </c>
      <c r="AF230">
        <f>IF(AND(vp.tbl[[#This Row],[CrudeType]]="Crude",vp.tbl[[#This Row],[Dens]]&gt;900,vp.tbl[[#This Row],[Sulf]]&lt;=0.5,vp.tbl[[#This Row],[Unknown]]=0),1,0)</f>
        <v>0</v>
      </c>
      <c r="AG230" t="str">
        <f>INDEX(vp.tbl[[#Headers],[Unknown]:[Heavy_SW]],MATCH(1,vp.tbl[[#This Row],[Unknown]:[Heavy_SW]],0))</f>
        <v>Light_LSB</v>
      </c>
      <c r="AH230" t="e">
        <f>INDEX([1]!crudeBD.lkup[Number],MATCH(vp.tbl[[#This Row],[Crude_Breakdown]],[1]!crudeBD.lkup[Crude Breakdown],0))</f>
        <v>#REF!</v>
      </c>
      <c r="AI230">
        <f>MONTH(vp.tbl[[#This Row],[SDate]])</f>
        <v>6</v>
      </c>
      <c r="AJ230" s="5">
        <f>IFERROR(vp.tbl[[#This Row],[Sulf]]*vp.tbl[[#This Row],[Net Dens]],"")</f>
        <v>98590764.738719985</v>
      </c>
      <c r="AK230" s="5">
        <f>IFERROR(vp.tbl[[#This Row],[Dens]]*vp.tbl[[#This Row],[VolumeM3]],"")</f>
        <v>85731099.772799999</v>
      </c>
      <c r="AL230" s="5">
        <f>IFERROR(vp.tbl[[#This Row],[VP]]*vp.tbl[[#This Row],[VolumeM3]],"")</f>
        <v>5744545.6512000002</v>
      </c>
      <c r="AM230" s="4">
        <f>IFERROR((vp.tbl[[#This Row],[VP]]-INDEX(crudeBD.lkup.complete[Mean_VP],MATCH(vp.tbl[[#This Row],[Crude_Breakdown]],crudeBD.lkup.complete[Crude Breakdown],0)))^2,"")</f>
        <v>1321.0452052715505</v>
      </c>
      <c r="AN230" s="4">
        <f>IFERROR((vp.tbl[[#This Row],[Dens]]-INDEX(crudeBD.lkup.complete[Mean_Dens],MATCH(vp.tbl[[#This Row],[Crude_Breakdown]],crudeBD.lkup.complete[Crude Breakdown],0)))^2,"")</f>
        <v>27.912521774663034</v>
      </c>
      <c r="AO230" s="4">
        <f>IFERROR((vp.tbl[[#This Row],[Sulf]]-INDEX(crudeBD.lkup.complete[Mean_Sulf],MATCH(vp.tbl[[#This Row],[Crude_Breakdown]],crudeBD.lkup.complete[Crude Breakdown],0)))^2,"")</f>
        <v>5.1542090384526708E-2</v>
      </c>
      <c r="AP230">
        <f>IF(AND(vp.tbl[[#This Row],[SDate]]&gt;=DATE(YEAR(vp.tbl[[#This Row],[SDate]]),5,1),vp.tbl[[#This Row],[SDate]]&lt;=DATE(YEAR(vp.tbl[[#This Row],[SDate]]),9,15)),1,0)</f>
        <v>1</v>
      </c>
      <c r="AQ230" s="15">
        <f>IF(vp.tbl[[#This Row],[SDate]]&lt;DATE(2016,12,1),0,1)</f>
        <v>0</v>
      </c>
    </row>
    <row r="231" spans="1:43" x14ac:dyDescent="0.25">
      <c r="A231">
        <v>230</v>
      </c>
      <c r="B231" t="s">
        <v>49</v>
      </c>
      <c r="C231" t="s">
        <v>49</v>
      </c>
      <c r="D231" t="s">
        <v>67</v>
      </c>
      <c r="F231" s="1">
        <v>42544</v>
      </c>
      <c r="G231" s="2">
        <v>99.5</v>
      </c>
      <c r="H231" s="2"/>
      <c r="I231" s="2">
        <v>0.21</v>
      </c>
      <c r="J231" s="2"/>
      <c r="K231" s="2"/>
      <c r="L231" s="2">
        <v>803.4</v>
      </c>
      <c r="M231" s="2">
        <v>803.4</v>
      </c>
      <c r="N231" s="2">
        <f ca="1">INDEX(INDIRECT(_xlfn.CONCAT("weather.tbl[",N$1,"]")),MATCH(vp.tbl[[#This Row],[SDate]],weather.tbl[Date],0))</f>
        <v>17.233333333333334</v>
      </c>
      <c r="O231" s="2">
        <f ca="1">INDEX(INDIRECT(_xlfn.CONCAT("weather.tbl[",O$1,"]")),MATCH(vp.tbl[[#This Row],[SDate]],weather.tbl[Date],0))</f>
        <v>17.114285714285714</v>
      </c>
      <c r="P231" s="2">
        <f ca="1">INDEX(INDIRECT(_xlfn.CONCAT("weather.tbl[",P$1,"]")),MATCH(vp.tbl[[#This Row],[SDate]],weather.tbl[Date],0))</f>
        <v>16.7</v>
      </c>
      <c r="Q231" s="2">
        <f ca="1">INDEX(INDIRECT(_xlfn.CONCAT("weather.tbl[",Q$1,"]")),MATCH(vp.tbl[[#This Row],[SDate]],weather.tbl[Date],0))</f>
        <v>17.3</v>
      </c>
      <c r="R231" s="2">
        <f ca="1">INDEX(INDIRECT(_xlfn.CONCAT("weather.tbl[",R$1,"]")),MATCH(vp.tbl[[#This Row],[SDate]],weather.tbl[Date],0))</f>
        <v>15.3</v>
      </c>
      <c r="S231" s="2">
        <f ca="1">INDEX(INDIRECT(_xlfn.CONCAT("weather.tbl[",S$1,"]")),MATCH(vp.tbl[[#This Row],[SDate]],weather.tbl[Date],0))</f>
        <v>21</v>
      </c>
      <c r="T231" s="2">
        <f ca="1">INDEX(INDIRECT(_xlfn.CONCAT("weather.tbl[",T$1,"]")),MATCH(vp.tbl[[#This Row],[SDate]],weather.tbl[Date],0))</f>
        <v>16.600000000000001</v>
      </c>
      <c r="U231" s="2">
        <f ca="1">INDEX(INDIRECT(_xlfn.CONCAT("weather.tbl[",U$1,"]")),MATCH(vp.tbl[[#This Row],[SDate]],weather.tbl[Date],0))</f>
        <v>16.5</v>
      </c>
      <c r="V231" s="2">
        <v>50694.305999999997</v>
      </c>
      <c r="W231" t="s">
        <v>48</v>
      </c>
      <c r="X231">
        <f>IF(OR(vp.tbl[[#This Row],[Sulf]]="",vp.tbl[[#This Row],[Dens]]=""),1,0)</f>
        <v>0</v>
      </c>
      <c r="Y231">
        <f>IF(vp.tbl[[#This Row],[CrudeType]]="C5+",1,0)</f>
        <v>0</v>
      </c>
      <c r="Z231">
        <f>IF(AND(vp.tbl[[#This Row],[CrudeType]]="Crude",vp.tbl[[#This Row],[Dens]]&lt;=825,vp.tbl[[#This Row],[Sulf]]&gt;0.5,vp.tbl[[#This Row],[Unknown]]=0),1,0)</f>
        <v>0</v>
      </c>
      <c r="AA231">
        <f>IF(AND(vp.tbl[[#This Row],[CrudeType]]="Crude",vp.tbl[[#This Row],[Dens]]&lt;=825,vp.tbl[[#This Row],[Sulf]]&lt;=0.5,vp.tbl[[#This Row],[Unknown]]=0),1,0)</f>
        <v>1</v>
      </c>
      <c r="AB231">
        <f>IF(AND(vp.tbl[[#This Row],[CrudeType]]="Crude",vp.tbl[[#This Row],[Dens]]&gt;825,vp.tbl[[#This Row],[Dens]]&lt;=870,vp.tbl[[#This Row],[Sulf]]&gt;0.5,vp.tbl[[#This Row],[Unknown]]=0),1,0)</f>
        <v>0</v>
      </c>
      <c r="AC231">
        <f>IF(AND(vp.tbl[[#This Row],[CrudeType]]="Crude",vp.tbl[[#This Row],[Dens]]&gt;825,vp.tbl[[#This Row],[Dens]]&lt;=900,vp.tbl[[#This Row],[Sulf]]&lt;=0.5,vp.tbl[[#This Row],[Unknown]]=0),1,0)</f>
        <v>0</v>
      </c>
      <c r="AD231">
        <f>IF(AND(vp.tbl[[#This Row],[CrudeType]]="Crude",vp.tbl[[#This Row],[Dens]]&gt;870,vp.tbl[[#This Row],[Dens]]&lt;=900,vp.tbl[[#This Row],[Sulf]]&gt;0.5,vp.tbl[[#This Row],[Unknown]]=0),1,0)</f>
        <v>0</v>
      </c>
      <c r="AE231">
        <f>IF(AND(vp.tbl[[#This Row],[CrudeType]]="Crude",vp.tbl[[#This Row],[Dens]]&gt;900,vp.tbl[[#This Row],[Sulf]]&lt;=0.5,vp.tbl[[#This Row],[Unknown]]=0),1,0)</f>
        <v>0</v>
      </c>
      <c r="AF231">
        <f>IF(AND(vp.tbl[[#This Row],[CrudeType]]="Crude",vp.tbl[[#This Row],[Dens]]&gt;900,vp.tbl[[#This Row],[Sulf]]&lt;=0.5,vp.tbl[[#This Row],[Unknown]]=0),1,0)</f>
        <v>0</v>
      </c>
      <c r="AG231" t="str">
        <f>INDEX(vp.tbl[[#Headers],[Unknown]:[Heavy_SW]],MATCH(1,vp.tbl[[#This Row],[Unknown]:[Heavy_SW]],0))</f>
        <v>Light_SW</v>
      </c>
      <c r="AH231" t="e">
        <f>INDEX([1]!crudeBD.lkup[Number],MATCH(vp.tbl[[#This Row],[Crude_Breakdown]],[1]!crudeBD.lkup[Crude Breakdown],0))</f>
        <v>#REF!</v>
      </c>
      <c r="AI231">
        <f>MONTH(vp.tbl[[#This Row],[SDate]])</f>
        <v>6</v>
      </c>
      <c r="AJ231" s="5">
        <f>IFERROR(vp.tbl[[#This Row],[Sulf]]*vp.tbl[[#This Row],[Net Dens]],"")</f>
        <v>8552839.142484</v>
      </c>
      <c r="AK231" s="5">
        <f>IFERROR(vp.tbl[[#This Row],[Dens]]*vp.tbl[[#This Row],[VolumeM3]],"")</f>
        <v>40727805.440399997</v>
      </c>
      <c r="AL231" s="5">
        <f>IFERROR(vp.tbl[[#This Row],[VP]]*vp.tbl[[#This Row],[VolumeM3]],"")</f>
        <v>5044083.4469999997</v>
      </c>
      <c r="AM231" s="4">
        <f>IFERROR((vp.tbl[[#This Row],[VP]]-INDEX(crudeBD.lkup.complete[Mean_VP],MATCH(vp.tbl[[#This Row],[Crude_Breakdown]],crudeBD.lkup.complete[Crude Breakdown],0)))^2,"")</f>
        <v>48.298141213320953</v>
      </c>
      <c r="AN231" s="4">
        <f>IFERROR((vp.tbl[[#This Row],[Dens]]-INDEX(crudeBD.lkup.complete[Mean_Dens],MATCH(vp.tbl[[#This Row],[Crude_Breakdown]],crudeBD.lkup.complete[Crude Breakdown],0)))^2,"")</f>
        <v>24.122815136760696</v>
      </c>
      <c r="AO231" s="4">
        <f>IFERROR((vp.tbl[[#This Row],[Sulf]]-INDEX(crudeBD.lkup.complete[Mean_Sulf],MATCH(vp.tbl[[#This Row],[Crude_Breakdown]],crudeBD.lkup.complete[Crude Breakdown],0)))^2,"")</f>
        <v>6.8863268899706654E-4</v>
      </c>
      <c r="AP231">
        <f>IF(AND(vp.tbl[[#This Row],[SDate]]&gt;=DATE(YEAR(vp.tbl[[#This Row],[SDate]]),5,1),vp.tbl[[#This Row],[SDate]]&lt;=DATE(YEAR(vp.tbl[[#This Row],[SDate]]),9,15)),1,0)</f>
        <v>1</v>
      </c>
      <c r="AQ231" s="15">
        <f>IF(vp.tbl[[#This Row],[SDate]]&lt;DATE(2016,12,1),0,1)</f>
        <v>0</v>
      </c>
    </row>
    <row r="232" spans="1:43" x14ac:dyDescent="0.25">
      <c r="A232">
        <v>231</v>
      </c>
      <c r="B232" t="s">
        <v>49</v>
      </c>
      <c r="C232" t="s">
        <v>49</v>
      </c>
      <c r="D232" t="s">
        <v>74</v>
      </c>
      <c r="F232" s="1">
        <v>42544</v>
      </c>
      <c r="G232" s="2">
        <v>101.3</v>
      </c>
      <c r="H232" s="2"/>
      <c r="I232" s="2">
        <v>0.14000000000000001</v>
      </c>
      <c r="J232" s="2"/>
      <c r="K232" s="2"/>
      <c r="L232" s="2">
        <v>805.9</v>
      </c>
      <c r="M232" s="2">
        <v>805.9</v>
      </c>
      <c r="N232" s="2">
        <f ca="1">INDEX(INDIRECT(_xlfn.CONCAT("weather.tbl[",N$1,"]")),MATCH(vp.tbl[[#This Row],[SDate]],weather.tbl[Date],0))</f>
        <v>17.233333333333334</v>
      </c>
      <c r="O232" s="2">
        <f ca="1">INDEX(INDIRECT(_xlfn.CONCAT("weather.tbl[",O$1,"]")),MATCH(vp.tbl[[#This Row],[SDate]],weather.tbl[Date],0))</f>
        <v>17.114285714285714</v>
      </c>
      <c r="P232" s="2">
        <f ca="1">INDEX(INDIRECT(_xlfn.CONCAT("weather.tbl[",P$1,"]")),MATCH(vp.tbl[[#This Row],[SDate]],weather.tbl[Date],0))</f>
        <v>16.7</v>
      </c>
      <c r="Q232" s="2">
        <f ca="1">INDEX(INDIRECT(_xlfn.CONCAT("weather.tbl[",Q$1,"]")),MATCH(vp.tbl[[#This Row],[SDate]],weather.tbl[Date],0))</f>
        <v>17.3</v>
      </c>
      <c r="R232" s="2">
        <f ca="1">INDEX(INDIRECT(_xlfn.CONCAT("weather.tbl[",R$1,"]")),MATCH(vp.tbl[[#This Row],[SDate]],weather.tbl[Date],0))</f>
        <v>15.3</v>
      </c>
      <c r="S232" s="2">
        <f ca="1">INDEX(INDIRECT(_xlfn.CONCAT("weather.tbl[",S$1,"]")),MATCH(vp.tbl[[#This Row],[SDate]],weather.tbl[Date],0))</f>
        <v>21</v>
      </c>
      <c r="T232" s="2">
        <f ca="1">INDEX(INDIRECT(_xlfn.CONCAT("weather.tbl[",T$1,"]")),MATCH(vp.tbl[[#This Row],[SDate]],weather.tbl[Date],0))</f>
        <v>16.600000000000001</v>
      </c>
      <c r="U232" s="2">
        <f ca="1">INDEX(INDIRECT(_xlfn.CONCAT("weather.tbl[",U$1,"]")),MATCH(vp.tbl[[#This Row],[SDate]],weather.tbl[Date],0))</f>
        <v>16.5</v>
      </c>
      <c r="V232" s="2">
        <v>41537.673000000003</v>
      </c>
      <c r="W232" t="s">
        <v>48</v>
      </c>
      <c r="X232">
        <f>IF(OR(vp.tbl[[#This Row],[Sulf]]="",vp.tbl[[#This Row],[Dens]]=""),1,0)</f>
        <v>0</v>
      </c>
      <c r="Y232">
        <f>IF(vp.tbl[[#This Row],[CrudeType]]="C5+",1,0)</f>
        <v>0</v>
      </c>
      <c r="Z232">
        <f>IF(AND(vp.tbl[[#This Row],[CrudeType]]="Crude",vp.tbl[[#This Row],[Dens]]&lt;=825,vp.tbl[[#This Row],[Sulf]]&gt;0.5,vp.tbl[[#This Row],[Unknown]]=0),1,0)</f>
        <v>0</v>
      </c>
      <c r="AA232">
        <f>IF(AND(vp.tbl[[#This Row],[CrudeType]]="Crude",vp.tbl[[#This Row],[Dens]]&lt;=825,vp.tbl[[#This Row],[Sulf]]&lt;=0.5,vp.tbl[[#This Row],[Unknown]]=0),1,0)</f>
        <v>1</v>
      </c>
      <c r="AB232">
        <f>IF(AND(vp.tbl[[#This Row],[CrudeType]]="Crude",vp.tbl[[#This Row],[Dens]]&gt;825,vp.tbl[[#This Row],[Dens]]&lt;=870,vp.tbl[[#This Row],[Sulf]]&gt;0.5,vp.tbl[[#This Row],[Unknown]]=0),1,0)</f>
        <v>0</v>
      </c>
      <c r="AC232">
        <f>IF(AND(vp.tbl[[#This Row],[CrudeType]]="Crude",vp.tbl[[#This Row],[Dens]]&gt;825,vp.tbl[[#This Row],[Dens]]&lt;=900,vp.tbl[[#This Row],[Sulf]]&lt;=0.5,vp.tbl[[#This Row],[Unknown]]=0),1,0)</f>
        <v>0</v>
      </c>
      <c r="AD232">
        <f>IF(AND(vp.tbl[[#This Row],[CrudeType]]="Crude",vp.tbl[[#This Row],[Dens]]&gt;870,vp.tbl[[#This Row],[Dens]]&lt;=900,vp.tbl[[#This Row],[Sulf]]&gt;0.5,vp.tbl[[#This Row],[Unknown]]=0),1,0)</f>
        <v>0</v>
      </c>
      <c r="AE232">
        <f>IF(AND(vp.tbl[[#This Row],[CrudeType]]="Crude",vp.tbl[[#This Row],[Dens]]&gt;900,vp.tbl[[#This Row],[Sulf]]&lt;=0.5,vp.tbl[[#This Row],[Unknown]]=0),1,0)</f>
        <v>0</v>
      </c>
      <c r="AF232">
        <f>IF(AND(vp.tbl[[#This Row],[CrudeType]]="Crude",vp.tbl[[#This Row],[Dens]]&gt;900,vp.tbl[[#This Row],[Sulf]]&lt;=0.5,vp.tbl[[#This Row],[Unknown]]=0),1,0)</f>
        <v>0</v>
      </c>
      <c r="AG232" t="str">
        <f>INDEX(vp.tbl[[#Headers],[Unknown]:[Heavy_SW]],MATCH(1,vp.tbl[[#This Row],[Unknown]:[Heavy_SW]],0))</f>
        <v>Light_SW</v>
      </c>
      <c r="AH232" t="e">
        <f>INDEX([1]!crudeBD.lkup[Number],MATCH(vp.tbl[[#This Row],[Crude_Breakdown]],[1]!crudeBD.lkup[Crude Breakdown],0))</f>
        <v>#REF!</v>
      </c>
      <c r="AI232">
        <f>MONTH(vp.tbl[[#This Row],[SDate]])</f>
        <v>6</v>
      </c>
      <c r="AJ232" s="5">
        <f>IFERROR(vp.tbl[[#This Row],[Sulf]]*vp.tbl[[#This Row],[Net Dens]],"")</f>
        <v>4686529.4938980006</v>
      </c>
      <c r="AK232" s="5">
        <f>IFERROR(vp.tbl[[#This Row],[Dens]]*vp.tbl[[#This Row],[VolumeM3]],"")</f>
        <v>33475210.670700002</v>
      </c>
      <c r="AL232" s="5">
        <f>IFERROR(vp.tbl[[#This Row],[VP]]*vp.tbl[[#This Row],[VolumeM3]],"")</f>
        <v>4207766.2749000005</v>
      </c>
      <c r="AM232" s="4">
        <f>IFERROR((vp.tbl[[#This Row],[VP]]-INDEX(crudeBD.lkup.complete[Mean_VP],MATCH(vp.tbl[[#This Row],[Crude_Breakdown]],crudeBD.lkup.complete[Crude Breakdown],0)))^2,"")</f>
        <v>76.557012293460389</v>
      </c>
      <c r="AN232" s="4">
        <f>IFERROR((vp.tbl[[#This Row],[Dens]]-INDEX(crudeBD.lkup.complete[Mean_Dens],MATCH(vp.tbl[[#This Row],[Crude_Breakdown]],crudeBD.lkup.complete[Crude Breakdown],0)))^2,"")</f>
        <v>5.8153238475630671</v>
      </c>
      <c r="AO232" s="4">
        <f>IFERROR((vp.tbl[[#This Row],[Sulf]]-INDEX(crudeBD.lkup.complete[Mean_Sulf],MATCH(vp.tbl[[#This Row],[Crude_Breakdown]],crudeBD.lkup.complete[Crude Breakdown],0)))^2,"")</f>
        <v>9.2624863475336272E-3</v>
      </c>
      <c r="AP232">
        <f>IF(AND(vp.tbl[[#This Row],[SDate]]&gt;=DATE(YEAR(vp.tbl[[#This Row],[SDate]]),5,1),vp.tbl[[#This Row],[SDate]]&lt;=DATE(YEAR(vp.tbl[[#This Row],[SDate]]),9,15)),1,0)</f>
        <v>1</v>
      </c>
      <c r="AQ232" s="15">
        <f>IF(vp.tbl[[#This Row],[SDate]]&lt;DATE(2016,12,1),0,1)</f>
        <v>0</v>
      </c>
    </row>
    <row r="233" spans="1:43" x14ac:dyDescent="0.25">
      <c r="A233">
        <v>232</v>
      </c>
      <c r="B233" t="s">
        <v>49</v>
      </c>
      <c r="C233" t="s">
        <v>49</v>
      </c>
      <c r="D233" t="s">
        <v>74</v>
      </c>
      <c r="F233" s="1">
        <v>42544</v>
      </c>
      <c r="G233" s="2">
        <v>114.1</v>
      </c>
      <c r="H233" s="2"/>
      <c r="I233" s="2">
        <v>0.14000000000000001</v>
      </c>
      <c r="J233" s="2"/>
      <c r="K233" s="2"/>
      <c r="L233" s="2">
        <v>805.9</v>
      </c>
      <c r="M233" s="2">
        <v>805.9</v>
      </c>
      <c r="N233" s="2">
        <f ca="1">INDEX(INDIRECT(_xlfn.CONCAT("weather.tbl[",N$1,"]")),MATCH(vp.tbl[[#This Row],[SDate]],weather.tbl[Date],0))</f>
        <v>17.233333333333334</v>
      </c>
      <c r="O233" s="2">
        <f ca="1">INDEX(INDIRECT(_xlfn.CONCAT("weather.tbl[",O$1,"]")),MATCH(vp.tbl[[#This Row],[SDate]],weather.tbl[Date],0))</f>
        <v>17.114285714285714</v>
      </c>
      <c r="P233" s="2">
        <f ca="1">INDEX(INDIRECT(_xlfn.CONCAT("weather.tbl[",P$1,"]")),MATCH(vp.tbl[[#This Row],[SDate]],weather.tbl[Date],0))</f>
        <v>16.7</v>
      </c>
      <c r="Q233" s="2">
        <f ca="1">INDEX(INDIRECT(_xlfn.CONCAT("weather.tbl[",Q$1,"]")),MATCH(vp.tbl[[#This Row],[SDate]],weather.tbl[Date],0))</f>
        <v>17.3</v>
      </c>
      <c r="R233" s="2">
        <f ca="1">INDEX(INDIRECT(_xlfn.CONCAT("weather.tbl[",R$1,"]")),MATCH(vp.tbl[[#This Row],[SDate]],weather.tbl[Date],0))</f>
        <v>15.3</v>
      </c>
      <c r="S233" s="2">
        <f ca="1">INDEX(INDIRECT(_xlfn.CONCAT("weather.tbl[",S$1,"]")),MATCH(vp.tbl[[#This Row],[SDate]],weather.tbl[Date],0))</f>
        <v>21</v>
      </c>
      <c r="T233" s="2">
        <f ca="1">INDEX(INDIRECT(_xlfn.CONCAT("weather.tbl[",T$1,"]")),MATCH(vp.tbl[[#This Row],[SDate]],weather.tbl[Date],0))</f>
        <v>16.600000000000001</v>
      </c>
      <c r="U233" s="2">
        <f ca="1">INDEX(INDIRECT(_xlfn.CONCAT("weather.tbl[",U$1,"]")),MATCH(vp.tbl[[#This Row],[SDate]],weather.tbl[Date],0))</f>
        <v>16.5</v>
      </c>
      <c r="V233" s="2">
        <v>41537.673000000003</v>
      </c>
      <c r="W233" t="s">
        <v>48</v>
      </c>
      <c r="X233">
        <f>IF(OR(vp.tbl[[#This Row],[Sulf]]="",vp.tbl[[#This Row],[Dens]]=""),1,0)</f>
        <v>0</v>
      </c>
      <c r="Y233">
        <f>IF(vp.tbl[[#This Row],[CrudeType]]="C5+",1,0)</f>
        <v>0</v>
      </c>
      <c r="Z233">
        <f>IF(AND(vp.tbl[[#This Row],[CrudeType]]="Crude",vp.tbl[[#This Row],[Dens]]&lt;=825,vp.tbl[[#This Row],[Sulf]]&gt;0.5,vp.tbl[[#This Row],[Unknown]]=0),1,0)</f>
        <v>0</v>
      </c>
      <c r="AA233">
        <f>IF(AND(vp.tbl[[#This Row],[CrudeType]]="Crude",vp.tbl[[#This Row],[Dens]]&lt;=825,vp.tbl[[#This Row],[Sulf]]&lt;=0.5,vp.tbl[[#This Row],[Unknown]]=0),1,0)</f>
        <v>1</v>
      </c>
      <c r="AB233">
        <f>IF(AND(vp.tbl[[#This Row],[CrudeType]]="Crude",vp.tbl[[#This Row],[Dens]]&gt;825,vp.tbl[[#This Row],[Dens]]&lt;=870,vp.tbl[[#This Row],[Sulf]]&gt;0.5,vp.tbl[[#This Row],[Unknown]]=0),1,0)</f>
        <v>0</v>
      </c>
      <c r="AC233">
        <f>IF(AND(vp.tbl[[#This Row],[CrudeType]]="Crude",vp.tbl[[#This Row],[Dens]]&gt;825,vp.tbl[[#This Row],[Dens]]&lt;=900,vp.tbl[[#This Row],[Sulf]]&lt;=0.5,vp.tbl[[#This Row],[Unknown]]=0),1,0)</f>
        <v>0</v>
      </c>
      <c r="AD233">
        <f>IF(AND(vp.tbl[[#This Row],[CrudeType]]="Crude",vp.tbl[[#This Row],[Dens]]&gt;870,vp.tbl[[#This Row],[Dens]]&lt;=900,vp.tbl[[#This Row],[Sulf]]&gt;0.5,vp.tbl[[#This Row],[Unknown]]=0),1,0)</f>
        <v>0</v>
      </c>
      <c r="AE233">
        <f>IF(AND(vp.tbl[[#This Row],[CrudeType]]="Crude",vp.tbl[[#This Row],[Dens]]&gt;900,vp.tbl[[#This Row],[Sulf]]&lt;=0.5,vp.tbl[[#This Row],[Unknown]]=0),1,0)</f>
        <v>0</v>
      </c>
      <c r="AF233">
        <f>IF(AND(vp.tbl[[#This Row],[CrudeType]]="Crude",vp.tbl[[#This Row],[Dens]]&gt;900,vp.tbl[[#This Row],[Sulf]]&lt;=0.5,vp.tbl[[#This Row],[Unknown]]=0),1,0)</f>
        <v>0</v>
      </c>
      <c r="AG233" t="str">
        <f>INDEX(vp.tbl[[#Headers],[Unknown]:[Heavy_SW]],MATCH(1,vp.tbl[[#This Row],[Unknown]:[Heavy_SW]],0))</f>
        <v>Light_SW</v>
      </c>
      <c r="AH233" t="e">
        <f>INDEX([1]!crudeBD.lkup[Number],MATCH(vp.tbl[[#This Row],[Crude_Breakdown]],[1]!crudeBD.lkup[Crude Breakdown],0))</f>
        <v>#REF!</v>
      </c>
      <c r="AI233">
        <f>MONTH(vp.tbl[[#This Row],[SDate]])</f>
        <v>6</v>
      </c>
      <c r="AJ233" s="5">
        <f>IFERROR(vp.tbl[[#This Row],[Sulf]]*vp.tbl[[#This Row],[Net Dens]],"")</f>
        <v>4686529.4938980006</v>
      </c>
      <c r="AK233" s="5">
        <f>IFERROR(vp.tbl[[#This Row],[Dens]]*vp.tbl[[#This Row],[VolumeM3]],"")</f>
        <v>33475210.670700002</v>
      </c>
      <c r="AL233" s="5">
        <f>IFERROR(vp.tbl[[#This Row],[VP]]*vp.tbl[[#This Row],[VolumeM3]],"")</f>
        <v>4739448.4893000005</v>
      </c>
      <c r="AM233" s="4">
        <f>IFERROR((vp.tbl[[#This Row],[VP]]-INDEX(crudeBD.lkup.complete[Mean_VP],MATCH(vp.tbl[[#This Row],[Crude_Breakdown]],crudeBD.lkup.complete[Crude Breakdown],0)))^2,"")</f>
        <v>464.38898441889648</v>
      </c>
      <c r="AN233" s="4">
        <f>IFERROR((vp.tbl[[#This Row],[Dens]]-INDEX(crudeBD.lkup.complete[Mean_Dens],MATCH(vp.tbl[[#This Row],[Crude_Breakdown]],crudeBD.lkup.complete[Crude Breakdown],0)))^2,"")</f>
        <v>5.8153238475630671</v>
      </c>
      <c r="AO233" s="4">
        <f>IFERROR((vp.tbl[[#This Row],[Sulf]]-INDEX(crudeBD.lkup.complete[Mean_Sulf],MATCH(vp.tbl[[#This Row],[Crude_Breakdown]],crudeBD.lkup.complete[Crude Breakdown],0)))^2,"")</f>
        <v>9.2624863475336272E-3</v>
      </c>
      <c r="AP233">
        <f>IF(AND(vp.tbl[[#This Row],[SDate]]&gt;=DATE(YEAR(vp.tbl[[#This Row],[SDate]]),5,1),vp.tbl[[#This Row],[SDate]]&lt;=DATE(YEAR(vp.tbl[[#This Row],[SDate]]),9,15)),1,0)</f>
        <v>1</v>
      </c>
      <c r="AQ233" s="15">
        <f>IF(vp.tbl[[#This Row],[SDate]]&lt;DATE(2016,12,1),0,1)</f>
        <v>0</v>
      </c>
    </row>
    <row r="234" spans="1:43" x14ac:dyDescent="0.25">
      <c r="A234">
        <v>233</v>
      </c>
      <c r="B234" t="s">
        <v>68</v>
      </c>
      <c r="C234" t="s">
        <v>68</v>
      </c>
      <c r="D234" t="s">
        <v>69</v>
      </c>
      <c r="F234" s="1">
        <v>42544</v>
      </c>
      <c r="G234" s="2">
        <v>90.7</v>
      </c>
      <c r="H234" s="2"/>
      <c r="I234" s="2">
        <v>1.74</v>
      </c>
      <c r="J234" s="2"/>
      <c r="K234" s="2"/>
      <c r="L234" s="2">
        <v>827.4</v>
      </c>
      <c r="M234" s="2">
        <v>827.4</v>
      </c>
      <c r="N234" s="2">
        <f ca="1">INDEX(INDIRECT(_xlfn.CONCAT("weather.tbl[",N$1,"]")),MATCH(vp.tbl[[#This Row],[SDate]],weather.tbl[Date],0))</f>
        <v>17.233333333333334</v>
      </c>
      <c r="O234" s="2">
        <f ca="1">INDEX(INDIRECT(_xlfn.CONCAT("weather.tbl[",O$1,"]")),MATCH(vp.tbl[[#This Row],[SDate]],weather.tbl[Date],0))</f>
        <v>17.114285714285714</v>
      </c>
      <c r="P234" s="2">
        <f ca="1">INDEX(INDIRECT(_xlfn.CONCAT("weather.tbl[",P$1,"]")),MATCH(vp.tbl[[#This Row],[SDate]],weather.tbl[Date],0))</f>
        <v>16.7</v>
      </c>
      <c r="Q234" s="2">
        <f ca="1">INDEX(INDIRECT(_xlfn.CONCAT("weather.tbl[",Q$1,"]")),MATCH(vp.tbl[[#This Row],[SDate]],weather.tbl[Date],0))</f>
        <v>17.3</v>
      </c>
      <c r="R234" s="2">
        <f ca="1">INDEX(INDIRECT(_xlfn.CONCAT("weather.tbl[",R$1,"]")),MATCH(vp.tbl[[#This Row],[SDate]],weather.tbl[Date],0))</f>
        <v>15.3</v>
      </c>
      <c r="S234" s="2">
        <f ca="1">INDEX(INDIRECT(_xlfn.CONCAT("weather.tbl[",S$1,"]")),MATCH(vp.tbl[[#This Row],[SDate]],weather.tbl[Date],0))</f>
        <v>21</v>
      </c>
      <c r="T234" s="2">
        <f ca="1">INDEX(INDIRECT(_xlfn.CONCAT("weather.tbl[",T$1,"]")),MATCH(vp.tbl[[#This Row],[SDate]],weather.tbl[Date],0))</f>
        <v>16.600000000000001</v>
      </c>
      <c r="U234" s="2">
        <f ca="1">INDEX(INDIRECT(_xlfn.CONCAT("weather.tbl[",U$1,"]")),MATCH(vp.tbl[[#This Row],[SDate]],weather.tbl[Date],0))</f>
        <v>16.5</v>
      </c>
      <c r="V234" s="2">
        <v>1441.7270000000001</v>
      </c>
      <c r="W234" t="s">
        <v>48</v>
      </c>
      <c r="X234">
        <f>IF(OR(vp.tbl[[#This Row],[Sulf]]="",vp.tbl[[#This Row],[Dens]]=""),1,0)</f>
        <v>0</v>
      </c>
      <c r="Y234">
        <f>IF(vp.tbl[[#This Row],[CrudeType]]="C5+",1,0)</f>
        <v>0</v>
      </c>
      <c r="Z234">
        <f>IF(AND(vp.tbl[[#This Row],[CrudeType]]="Crude",vp.tbl[[#This Row],[Dens]]&lt;=825,vp.tbl[[#This Row],[Sulf]]&gt;0.5,vp.tbl[[#This Row],[Unknown]]=0),1,0)</f>
        <v>0</v>
      </c>
      <c r="AA234">
        <f>IF(AND(vp.tbl[[#This Row],[CrudeType]]="Crude",vp.tbl[[#This Row],[Dens]]&lt;=825,vp.tbl[[#This Row],[Sulf]]&lt;=0.5,vp.tbl[[#This Row],[Unknown]]=0),1,0)</f>
        <v>0</v>
      </c>
      <c r="AB234">
        <f>IF(AND(vp.tbl[[#This Row],[CrudeType]]="Crude",vp.tbl[[#This Row],[Dens]]&gt;825,vp.tbl[[#This Row],[Dens]]&lt;=870,vp.tbl[[#This Row],[Sulf]]&gt;0.5,vp.tbl[[#This Row],[Unknown]]=0),1,0)</f>
        <v>1</v>
      </c>
      <c r="AC234">
        <f>IF(AND(vp.tbl[[#This Row],[CrudeType]]="Crude",vp.tbl[[#This Row],[Dens]]&gt;825,vp.tbl[[#This Row],[Dens]]&lt;=900,vp.tbl[[#This Row],[Sulf]]&lt;=0.5,vp.tbl[[#This Row],[Unknown]]=0),1,0)</f>
        <v>0</v>
      </c>
      <c r="AD234">
        <f>IF(AND(vp.tbl[[#This Row],[CrudeType]]="Crude",vp.tbl[[#This Row],[Dens]]&gt;870,vp.tbl[[#This Row],[Dens]]&lt;=900,vp.tbl[[#This Row],[Sulf]]&gt;0.5,vp.tbl[[#This Row],[Unknown]]=0),1,0)</f>
        <v>0</v>
      </c>
      <c r="AE234">
        <f>IF(AND(vp.tbl[[#This Row],[CrudeType]]="Crude",vp.tbl[[#This Row],[Dens]]&gt;900,vp.tbl[[#This Row],[Sulf]]&lt;=0.5,vp.tbl[[#This Row],[Unknown]]=0),1,0)</f>
        <v>0</v>
      </c>
      <c r="AF234">
        <f>IF(AND(vp.tbl[[#This Row],[CrudeType]]="Crude",vp.tbl[[#This Row],[Dens]]&gt;900,vp.tbl[[#This Row],[Sulf]]&lt;=0.5,vp.tbl[[#This Row],[Unknown]]=0),1,0)</f>
        <v>0</v>
      </c>
      <c r="AG234" t="str">
        <f>INDEX(vp.tbl[[#Headers],[Unknown]:[Heavy_SW]],MATCH(1,vp.tbl[[#This Row],[Unknown]:[Heavy_SW]],0))</f>
        <v>Medium_LSB</v>
      </c>
      <c r="AH234" t="e">
        <f>INDEX([1]!crudeBD.lkup[Number],MATCH(vp.tbl[[#This Row],[Crude_Breakdown]],[1]!crudeBD.lkup[Crude Breakdown],0))</f>
        <v>#REF!</v>
      </c>
      <c r="AI234">
        <f>MONTH(vp.tbl[[#This Row],[SDate]])</f>
        <v>6</v>
      </c>
      <c r="AJ234" s="5">
        <f>IFERROR(vp.tbl[[#This Row],[Sulf]]*vp.tbl[[#This Row],[Net Dens]],"")</f>
        <v>2075619.760452</v>
      </c>
      <c r="AK234" s="5">
        <f>IFERROR(vp.tbl[[#This Row],[Dens]]*vp.tbl[[#This Row],[VolumeM3]],"")</f>
        <v>1192884.9198</v>
      </c>
      <c r="AL234" s="5">
        <f>IFERROR(vp.tbl[[#This Row],[VP]]*vp.tbl[[#This Row],[VolumeM3]],"")</f>
        <v>130764.63890000001</v>
      </c>
      <c r="AM234" s="4">
        <f>IFERROR((vp.tbl[[#This Row],[VP]]-INDEX(crudeBD.lkup.complete[Mean_VP],MATCH(vp.tbl[[#This Row],[Crude_Breakdown]],crudeBD.lkup.complete[Crude Breakdown],0)))^2,"")</f>
        <v>110.80520355648217</v>
      </c>
      <c r="AN234" s="4">
        <f>IFERROR((vp.tbl[[#This Row],[Dens]]-INDEX(crudeBD.lkup.complete[Mean_Dens],MATCH(vp.tbl[[#This Row],[Crude_Breakdown]],crudeBD.lkup.complete[Crude Breakdown],0)))^2,"")</f>
        <v>320.11732256301639</v>
      </c>
      <c r="AO234" s="4">
        <f>IFERROR((vp.tbl[[#This Row],[Sulf]]-INDEX(crudeBD.lkup.complete[Mean_Sulf],MATCH(vp.tbl[[#This Row],[Crude_Breakdown]],crudeBD.lkup.complete[Crude Breakdown],0)))^2,"")</f>
        <v>8.1264984286600811E-2</v>
      </c>
      <c r="AP234">
        <f>IF(AND(vp.tbl[[#This Row],[SDate]]&gt;=DATE(YEAR(vp.tbl[[#This Row],[SDate]]),5,1),vp.tbl[[#This Row],[SDate]]&lt;=DATE(YEAR(vp.tbl[[#This Row],[SDate]]),9,15)),1,0)</f>
        <v>1</v>
      </c>
      <c r="AQ234" s="15">
        <f>IF(vp.tbl[[#This Row],[SDate]]&lt;DATE(2016,12,1),0,1)</f>
        <v>0</v>
      </c>
    </row>
    <row r="235" spans="1:43" x14ac:dyDescent="0.25">
      <c r="A235">
        <v>234</v>
      </c>
      <c r="B235" t="s">
        <v>51</v>
      </c>
      <c r="C235" t="s">
        <v>51</v>
      </c>
      <c r="D235" t="s">
        <v>71</v>
      </c>
      <c r="F235" s="1">
        <v>42544</v>
      </c>
      <c r="G235" s="2">
        <v>79.7</v>
      </c>
      <c r="H235" s="2"/>
      <c r="I235" s="2">
        <v>1.38</v>
      </c>
      <c r="J235" s="2"/>
      <c r="K235" s="2"/>
      <c r="L235" s="2">
        <v>835.4</v>
      </c>
      <c r="M235" s="2">
        <v>835.4</v>
      </c>
      <c r="N235" s="2">
        <f ca="1">INDEX(INDIRECT(_xlfn.CONCAT("weather.tbl[",N$1,"]")),MATCH(vp.tbl[[#This Row],[SDate]],weather.tbl[Date],0))</f>
        <v>17.233333333333334</v>
      </c>
      <c r="O235" s="2">
        <f ca="1">INDEX(INDIRECT(_xlfn.CONCAT("weather.tbl[",O$1,"]")),MATCH(vp.tbl[[#This Row],[SDate]],weather.tbl[Date],0))</f>
        <v>17.114285714285714</v>
      </c>
      <c r="P235" s="2">
        <f ca="1">INDEX(INDIRECT(_xlfn.CONCAT("weather.tbl[",P$1,"]")),MATCH(vp.tbl[[#This Row],[SDate]],weather.tbl[Date],0))</f>
        <v>16.7</v>
      </c>
      <c r="Q235" s="2">
        <f ca="1">INDEX(INDIRECT(_xlfn.CONCAT("weather.tbl[",Q$1,"]")),MATCH(vp.tbl[[#This Row],[SDate]],weather.tbl[Date],0))</f>
        <v>17.3</v>
      </c>
      <c r="R235" s="2">
        <f ca="1">INDEX(INDIRECT(_xlfn.CONCAT("weather.tbl[",R$1,"]")),MATCH(vp.tbl[[#This Row],[SDate]],weather.tbl[Date],0))</f>
        <v>15.3</v>
      </c>
      <c r="S235" s="2">
        <f ca="1">INDEX(INDIRECT(_xlfn.CONCAT("weather.tbl[",S$1,"]")),MATCH(vp.tbl[[#This Row],[SDate]],weather.tbl[Date],0))</f>
        <v>21</v>
      </c>
      <c r="T235" s="2">
        <f ca="1">INDEX(INDIRECT(_xlfn.CONCAT("weather.tbl[",T$1,"]")),MATCH(vp.tbl[[#This Row],[SDate]],weather.tbl[Date],0))</f>
        <v>16.600000000000001</v>
      </c>
      <c r="U235" s="2">
        <f ca="1">INDEX(INDIRECT(_xlfn.CONCAT("weather.tbl[",U$1,"]")),MATCH(vp.tbl[[#This Row],[SDate]],weather.tbl[Date],0))</f>
        <v>16.5</v>
      </c>
      <c r="V235" s="2">
        <v>5237.2070000000003</v>
      </c>
      <c r="W235" t="s">
        <v>48</v>
      </c>
      <c r="X235">
        <f>IF(OR(vp.tbl[[#This Row],[Sulf]]="",vp.tbl[[#This Row],[Dens]]=""),1,0)</f>
        <v>0</v>
      </c>
      <c r="Y235">
        <f>IF(vp.tbl[[#This Row],[CrudeType]]="C5+",1,0)</f>
        <v>0</v>
      </c>
      <c r="Z235">
        <f>IF(AND(vp.tbl[[#This Row],[CrudeType]]="Crude",vp.tbl[[#This Row],[Dens]]&lt;=825,vp.tbl[[#This Row],[Sulf]]&gt;0.5,vp.tbl[[#This Row],[Unknown]]=0),1,0)</f>
        <v>0</v>
      </c>
      <c r="AA235">
        <f>IF(AND(vp.tbl[[#This Row],[CrudeType]]="Crude",vp.tbl[[#This Row],[Dens]]&lt;=825,vp.tbl[[#This Row],[Sulf]]&lt;=0.5,vp.tbl[[#This Row],[Unknown]]=0),1,0)</f>
        <v>0</v>
      </c>
      <c r="AB235">
        <f>IF(AND(vp.tbl[[#This Row],[CrudeType]]="Crude",vp.tbl[[#This Row],[Dens]]&gt;825,vp.tbl[[#This Row],[Dens]]&lt;=870,vp.tbl[[#This Row],[Sulf]]&gt;0.5,vp.tbl[[#This Row],[Unknown]]=0),1,0)</f>
        <v>1</v>
      </c>
      <c r="AC235">
        <f>IF(AND(vp.tbl[[#This Row],[CrudeType]]="Crude",vp.tbl[[#This Row],[Dens]]&gt;825,vp.tbl[[#This Row],[Dens]]&lt;=900,vp.tbl[[#This Row],[Sulf]]&lt;=0.5,vp.tbl[[#This Row],[Unknown]]=0),1,0)</f>
        <v>0</v>
      </c>
      <c r="AD235">
        <f>IF(AND(vp.tbl[[#This Row],[CrudeType]]="Crude",vp.tbl[[#This Row],[Dens]]&gt;870,vp.tbl[[#This Row],[Dens]]&lt;=900,vp.tbl[[#This Row],[Sulf]]&gt;0.5,vp.tbl[[#This Row],[Unknown]]=0),1,0)</f>
        <v>0</v>
      </c>
      <c r="AE235">
        <f>IF(AND(vp.tbl[[#This Row],[CrudeType]]="Crude",vp.tbl[[#This Row],[Dens]]&gt;900,vp.tbl[[#This Row],[Sulf]]&lt;=0.5,vp.tbl[[#This Row],[Unknown]]=0),1,0)</f>
        <v>0</v>
      </c>
      <c r="AF235">
        <f>IF(AND(vp.tbl[[#This Row],[CrudeType]]="Crude",vp.tbl[[#This Row],[Dens]]&gt;900,vp.tbl[[#This Row],[Sulf]]&lt;=0.5,vp.tbl[[#This Row],[Unknown]]=0),1,0)</f>
        <v>0</v>
      </c>
      <c r="AG235" t="str">
        <f>INDEX(vp.tbl[[#Headers],[Unknown]:[Heavy_SW]],MATCH(1,vp.tbl[[#This Row],[Unknown]:[Heavy_SW]],0))</f>
        <v>Medium_LSB</v>
      </c>
      <c r="AH235" t="e">
        <f>INDEX([1]!crudeBD.lkup[Number],MATCH(vp.tbl[[#This Row],[Crude_Breakdown]],[1]!crudeBD.lkup[Crude Breakdown],0))</f>
        <v>#REF!</v>
      </c>
      <c r="AI235">
        <f>MONTH(vp.tbl[[#This Row],[SDate]])</f>
        <v>6</v>
      </c>
      <c r="AJ235" s="5">
        <f>IFERROR(vp.tbl[[#This Row],[Sulf]]*vp.tbl[[#This Row],[Net Dens]],"")</f>
        <v>6037724.5643640002</v>
      </c>
      <c r="AK235" s="5">
        <f>IFERROR(vp.tbl[[#This Row],[Dens]]*vp.tbl[[#This Row],[VolumeM3]],"")</f>
        <v>4375162.7278000005</v>
      </c>
      <c r="AL235" s="5">
        <f>IFERROR(vp.tbl[[#This Row],[VP]]*vp.tbl[[#This Row],[VolumeM3]],"")</f>
        <v>417405.39790000004</v>
      </c>
      <c r="AM235" s="4">
        <f>IFERROR((vp.tbl[[#This Row],[VP]]-INDEX(crudeBD.lkup.complete[Mean_VP],MATCH(vp.tbl[[#This Row],[Crude_Breakdown]],crudeBD.lkup.complete[Crude Breakdown],0)))^2,"")</f>
        <v>0.2242921640762322</v>
      </c>
      <c r="AN235" s="4">
        <f>IFERROR((vp.tbl[[#This Row],[Dens]]-INDEX(crudeBD.lkup.complete[Mean_Dens],MATCH(vp.tbl[[#This Row],[Crude_Breakdown]],crudeBD.lkup.complete[Crude Breakdown],0)))^2,"")</f>
        <v>97.848158006069738</v>
      </c>
      <c r="AO235" s="4">
        <f>IFERROR((vp.tbl[[#This Row],[Sulf]]-INDEX(crudeBD.lkup.complete[Mean_Sulf],MATCH(vp.tbl[[#This Row],[Crude_Breakdown]],crudeBD.lkup.complete[Crude Breakdown],0)))^2,"")</f>
        <v>5.6144840334373478E-3</v>
      </c>
      <c r="AP235">
        <f>IF(AND(vp.tbl[[#This Row],[SDate]]&gt;=DATE(YEAR(vp.tbl[[#This Row],[SDate]]),5,1),vp.tbl[[#This Row],[SDate]]&lt;=DATE(YEAR(vp.tbl[[#This Row],[SDate]]),9,15)),1,0)</f>
        <v>1</v>
      </c>
      <c r="AQ235" s="15">
        <f>IF(vp.tbl[[#This Row],[SDate]]&lt;DATE(2016,12,1),0,1)</f>
        <v>0</v>
      </c>
    </row>
    <row r="236" spans="1:43" x14ac:dyDescent="0.25">
      <c r="A236">
        <v>235</v>
      </c>
      <c r="B236" t="s">
        <v>51</v>
      </c>
      <c r="C236" t="s">
        <v>51</v>
      </c>
      <c r="D236" t="s">
        <v>72</v>
      </c>
      <c r="F236" s="1">
        <v>42544</v>
      </c>
      <c r="G236" s="2">
        <v>102.2</v>
      </c>
      <c r="H236" s="2"/>
      <c r="I236" s="2">
        <v>1.08</v>
      </c>
      <c r="J236" s="2"/>
      <c r="K236" s="2"/>
      <c r="L236" s="2">
        <v>847.4</v>
      </c>
      <c r="M236" s="2">
        <v>847.4</v>
      </c>
      <c r="N236" s="2">
        <f ca="1">INDEX(INDIRECT(_xlfn.CONCAT("weather.tbl[",N$1,"]")),MATCH(vp.tbl[[#This Row],[SDate]],weather.tbl[Date],0))</f>
        <v>17.233333333333334</v>
      </c>
      <c r="O236" s="2">
        <f ca="1">INDEX(INDIRECT(_xlfn.CONCAT("weather.tbl[",O$1,"]")),MATCH(vp.tbl[[#This Row],[SDate]],weather.tbl[Date],0))</f>
        <v>17.114285714285714</v>
      </c>
      <c r="P236" s="2">
        <f ca="1">INDEX(INDIRECT(_xlfn.CONCAT("weather.tbl[",P$1,"]")),MATCH(vp.tbl[[#This Row],[SDate]],weather.tbl[Date],0))</f>
        <v>16.7</v>
      </c>
      <c r="Q236" s="2">
        <f ca="1">INDEX(INDIRECT(_xlfn.CONCAT("weather.tbl[",Q$1,"]")),MATCH(vp.tbl[[#This Row],[SDate]],weather.tbl[Date],0))</f>
        <v>17.3</v>
      </c>
      <c r="R236" s="2">
        <f ca="1">INDEX(INDIRECT(_xlfn.CONCAT("weather.tbl[",R$1,"]")),MATCH(vp.tbl[[#This Row],[SDate]],weather.tbl[Date],0))</f>
        <v>15.3</v>
      </c>
      <c r="S236" s="2">
        <f ca="1">INDEX(INDIRECT(_xlfn.CONCAT("weather.tbl[",S$1,"]")),MATCH(vp.tbl[[#This Row],[SDate]],weather.tbl[Date],0))</f>
        <v>21</v>
      </c>
      <c r="T236" s="2">
        <f ca="1">INDEX(INDIRECT(_xlfn.CONCAT("weather.tbl[",T$1,"]")),MATCH(vp.tbl[[#This Row],[SDate]],weather.tbl[Date],0))</f>
        <v>16.600000000000001</v>
      </c>
      <c r="U236" s="2">
        <f ca="1">INDEX(INDIRECT(_xlfn.CONCAT("weather.tbl[",U$1,"]")),MATCH(vp.tbl[[#This Row],[SDate]],weather.tbl[Date],0))</f>
        <v>16.5</v>
      </c>
      <c r="V236" s="2">
        <v>3519.404</v>
      </c>
      <c r="W236" t="s">
        <v>48</v>
      </c>
      <c r="X236">
        <f>IF(OR(vp.tbl[[#This Row],[Sulf]]="",vp.tbl[[#This Row],[Dens]]=""),1,0)</f>
        <v>0</v>
      </c>
      <c r="Y236">
        <f>IF(vp.tbl[[#This Row],[CrudeType]]="C5+",1,0)</f>
        <v>0</v>
      </c>
      <c r="Z236">
        <f>IF(AND(vp.tbl[[#This Row],[CrudeType]]="Crude",vp.tbl[[#This Row],[Dens]]&lt;=825,vp.tbl[[#This Row],[Sulf]]&gt;0.5,vp.tbl[[#This Row],[Unknown]]=0),1,0)</f>
        <v>0</v>
      </c>
      <c r="AA236">
        <f>IF(AND(vp.tbl[[#This Row],[CrudeType]]="Crude",vp.tbl[[#This Row],[Dens]]&lt;=825,vp.tbl[[#This Row],[Sulf]]&lt;=0.5,vp.tbl[[#This Row],[Unknown]]=0),1,0)</f>
        <v>0</v>
      </c>
      <c r="AB236">
        <f>IF(AND(vp.tbl[[#This Row],[CrudeType]]="Crude",vp.tbl[[#This Row],[Dens]]&gt;825,vp.tbl[[#This Row],[Dens]]&lt;=870,vp.tbl[[#This Row],[Sulf]]&gt;0.5,vp.tbl[[#This Row],[Unknown]]=0),1,0)</f>
        <v>1</v>
      </c>
      <c r="AC236">
        <f>IF(AND(vp.tbl[[#This Row],[CrudeType]]="Crude",vp.tbl[[#This Row],[Dens]]&gt;825,vp.tbl[[#This Row],[Dens]]&lt;=900,vp.tbl[[#This Row],[Sulf]]&lt;=0.5,vp.tbl[[#This Row],[Unknown]]=0),1,0)</f>
        <v>0</v>
      </c>
      <c r="AD236">
        <f>IF(AND(vp.tbl[[#This Row],[CrudeType]]="Crude",vp.tbl[[#This Row],[Dens]]&gt;870,vp.tbl[[#This Row],[Dens]]&lt;=900,vp.tbl[[#This Row],[Sulf]]&gt;0.5,vp.tbl[[#This Row],[Unknown]]=0),1,0)</f>
        <v>0</v>
      </c>
      <c r="AE236">
        <f>IF(AND(vp.tbl[[#This Row],[CrudeType]]="Crude",vp.tbl[[#This Row],[Dens]]&gt;900,vp.tbl[[#This Row],[Sulf]]&lt;=0.5,vp.tbl[[#This Row],[Unknown]]=0),1,0)</f>
        <v>0</v>
      </c>
      <c r="AF236">
        <f>IF(AND(vp.tbl[[#This Row],[CrudeType]]="Crude",vp.tbl[[#This Row],[Dens]]&gt;900,vp.tbl[[#This Row],[Sulf]]&lt;=0.5,vp.tbl[[#This Row],[Unknown]]=0),1,0)</f>
        <v>0</v>
      </c>
      <c r="AG236" t="str">
        <f>INDEX(vp.tbl[[#Headers],[Unknown]:[Heavy_SW]],MATCH(1,vp.tbl[[#This Row],[Unknown]:[Heavy_SW]],0))</f>
        <v>Medium_LSB</v>
      </c>
      <c r="AH236" t="e">
        <f>INDEX([1]!crudeBD.lkup[Number],MATCH(vp.tbl[[#This Row],[Crude_Breakdown]],[1]!crudeBD.lkup[Crude Breakdown],0))</f>
        <v>#REF!</v>
      </c>
      <c r="AI236">
        <f>MONTH(vp.tbl[[#This Row],[SDate]])</f>
        <v>6</v>
      </c>
      <c r="AJ236" s="5">
        <f>IFERROR(vp.tbl[[#This Row],[Sulf]]*vp.tbl[[#This Row],[Net Dens]],"")</f>
        <v>3220930.3855679999</v>
      </c>
      <c r="AK236" s="5">
        <f>IFERROR(vp.tbl[[#This Row],[Dens]]*vp.tbl[[#This Row],[VolumeM3]],"")</f>
        <v>2982342.9495999999</v>
      </c>
      <c r="AL236" s="5">
        <f>IFERROR(vp.tbl[[#This Row],[VP]]*vp.tbl[[#This Row],[VolumeM3]],"")</f>
        <v>359683.08880000003</v>
      </c>
      <c r="AM236" s="4">
        <f>IFERROR((vp.tbl[[#This Row],[VP]]-INDEX(crudeBD.lkup.complete[Mean_VP],MATCH(vp.tbl[[#This Row],[Crude_Breakdown]],crudeBD.lkup.complete[Crude Breakdown],0)))^2,"")</f>
        <v>485.1625200121793</v>
      </c>
      <c r="AN236" s="4">
        <f>IFERROR((vp.tbl[[#This Row],[Dens]]-INDEX(crudeBD.lkup.complete[Mean_Dens],MATCH(vp.tbl[[#This Row],[Crude_Breakdown]],crudeBD.lkup.complete[Crude Breakdown],0)))^2,"")</f>
        <v>4.4444111706497855</v>
      </c>
      <c r="AO236" s="4">
        <f>IFERROR((vp.tbl[[#This Row],[Sulf]]-INDEX(crudeBD.lkup.complete[Mean_Sulf],MATCH(vp.tbl[[#This Row],[Crude_Breakdown]],crudeBD.lkup.complete[Crude Breakdown],0)))^2,"")</f>
        <v>0.14057240048913436</v>
      </c>
      <c r="AP236">
        <f>IF(AND(vp.tbl[[#This Row],[SDate]]&gt;=DATE(YEAR(vp.tbl[[#This Row],[SDate]]),5,1),vp.tbl[[#This Row],[SDate]]&lt;=DATE(YEAR(vp.tbl[[#This Row],[SDate]]),9,15)),1,0)</f>
        <v>1</v>
      </c>
      <c r="AQ236" s="15">
        <f>IF(vp.tbl[[#This Row],[SDate]]&lt;DATE(2016,12,1),0,1)</f>
        <v>0</v>
      </c>
    </row>
    <row r="237" spans="1:43" x14ac:dyDescent="0.25">
      <c r="A237">
        <v>236</v>
      </c>
      <c r="B237" t="s">
        <v>60</v>
      </c>
      <c r="C237" t="s">
        <v>60</v>
      </c>
      <c r="D237" t="s">
        <v>61</v>
      </c>
      <c r="E237" t="s">
        <v>55</v>
      </c>
      <c r="F237" s="1">
        <v>42544</v>
      </c>
      <c r="G237" s="2">
        <v>101.5</v>
      </c>
      <c r="H237" s="2"/>
      <c r="I237" s="2">
        <v>1.1499999999999999</v>
      </c>
      <c r="J237" s="2"/>
      <c r="K237" s="2"/>
      <c r="L237" s="2">
        <v>805.9</v>
      </c>
      <c r="M237" s="2">
        <v>805.9</v>
      </c>
      <c r="N237" s="2">
        <f ca="1">INDEX(INDIRECT(_xlfn.CONCAT("weather.tbl[",N$1,"]")),MATCH(vp.tbl[[#This Row],[SDate]],weather.tbl[Date],0))</f>
        <v>17.233333333333334</v>
      </c>
      <c r="O237" s="2">
        <f ca="1">INDEX(INDIRECT(_xlfn.CONCAT("weather.tbl[",O$1,"]")),MATCH(vp.tbl[[#This Row],[SDate]],weather.tbl[Date],0))</f>
        <v>17.114285714285714</v>
      </c>
      <c r="P237" s="2">
        <f ca="1">INDEX(INDIRECT(_xlfn.CONCAT("weather.tbl[",P$1,"]")),MATCH(vp.tbl[[#This Row],[SDate]],weather.tbl[Date],0))</f>
        <v>16.7</v>
      </c>
      <c r="Q237" s="2">
        <f ca="1">INDEX(INDIRECT(_xlfn.CONCAT("weather.tbl[",Q$1,"]")),MATCH(vp.tbl[[#This Row],[SDate]],weather.tbl[Date],0))</f>
        <v>17.3</v>
      </c>
      <c r="R237" s="2">
        <f ca="1">INDEX(INDIRECT(_xlfn.CONCAT("weather.tbl[",R$1,"]")),MATCH(vp.tbl[[#This Row],[SDate]],weather.tbl[Date],0))</f>
        <v>15.3</v>
      </c>
      <c r="S237" s="2">
        <f ca="1">INDEX(INDIRECT(_xlfn.CONCAT("weather.tbl[",S$1,"]")),MATCH(vp.tbl[[#This Row],[SDate]],weather.tbl[Date],0))</f>
        <v>21</v>
      </c>
      <c r="T237" s="2">
        <f ca="1">INDEX(INDIRECT(_xlfn.CONCAT("weather.tbl[",T$1,"]")),MATCH(vp.tbl[[#This Row],[SDate]],weather.tbl[Date],0))</f>
        <v>16.600000000000001</v>
      </c>
      <c r="U237" s="2">
        <f ca="1">INDEX(INDIRECT(_xlfn.CONCAT("weather.tbl[",U$1,"]")),MATCH(vp.tbl[[#This Row],[SDate]],weather.tbl[Date],0))</f>
        <v>16.5</v>
      </c>
      <c r="V237" s="2">
        <v>104067.856</v>
      </c>
      <c r="W237" t="s">
        <v>48</v>
      </c>
      <c r="X237">
        <f>IF(OR(vp.tbl[[#This Row],[Sulf]]="",vp.tbl[[#This Row],[Dens]]=""),1,0)</f>
        <v>0</v>
      </c>
      <c r="Y237">
        <f>IF(vp.tbl[[#This Row],[CrudeType]]="C5+",1,0)</f>
        <v>0</v>
      </c>
      <c r="Z237">
        <f>IF(AND(vp.tbl[[#This Row],[CrudeType]]="Crude",vp.tbl[[#This Row],[Dens]]&lt;=825,vp.tbl[[#This Row],[Sulf]]&gt;0.5,vp.tbl[[#This Row],[Unknown]]=0),1,0)</f>
        <v>1</v>
      </c>
      <c r="AA237">
        <f>IF(AND(vp.tbl[[#This Row],[CrudeType]]="Crude",vp.tbl[[#This Row],[Dens]]&lt;=825,vp.tbl[[#This Row],[Sulf]]&lt;=0.5,vp.tbl[[#This Row],[Unknown]]=0),1,0)</f>
        <v>0</v>
      </c>
      <c r="AB237">
        <f>IF(AND(vp.tbl[[#This Row],[CrudeType]]="Crude",vp.tbl[[#This Row],[Dens]]&gt;825,vp.tbl[[#This Row],[Dens]]&lt;=870,vp.tbl[[#This Row],[Sulf]]&gt;0.5,vp.tbl[[#This Row],[Unknown]]=0),1,0)</f>
        <v>0</v>
      </c>
      <c r="AC237">
        <f>IF(AND(vp.tbl[[#This Row],[CrudeType]]="Crude",vp.tbl[[#This Row],[Dens]]&gt;825,vp.tbl[[#This Row],[Dens]]&lt;=900,vp.tbl[[#This Row],[Sulf]]&lt;=0.5,vp.tbl[[#This Row],[Unknown]]=0),1,0)</f>
        <v>0</v>
      </c>
      <c r="AD237">
        <f>IF(AND(vp.tbl[[#This Row],[CrudeType]]="Crude",vp.tbl[[#This Row],[Dens]]&gt;870,vp.tbl[[#This Row],[Dens]]&lt;=900,vp.tbl[[#This Row],[Sulf]]&gt;0.5,vp.tbl[[#This Row],[Unknown]]=0),1,0)</f>
        <v>0</v>
      </c>
      <c r="AE237">
        <f>IF(AND(vp.tbl[[#This Row],[CrudeType]]="Crude",vp.tbl[[#This Row],[Dens]]&gt;900,vp.tbl[[#This Row],[Sulf]]&lt;=0.5,vp.tbl[[#This Row],[Unknown]]=0),1,0)</f>
        <v>0</v>
      </c>
      <c r="AF237">
        <f>IF(AND(vp.tbl[[#This Row],[CrudeType]]="Crude",vp.tbl[[#This Row],[Dens]]&gt;900,vp.tbl[[#This Row],[Sulf]]&lt;=0.5,vp.tbl[[#This Row],[Unknown]]=0),1,0)</f>
        <v>0</v>
      </c>
      <c r="AG237" t="str">
        <f>INDEX(vp.tbl[[#Headers],[Unknown]:[Heavy_SW]],MATCH(1,vp.tbl[[#This Row],[Unknown]:[Heavy_SW]],0))</f>
        <v>Light_LSB</v>
      </c>
      <c r="AH237" t="e">
        <f>INDEX([1]!crudeBD.lkup[Number],MATCH(vp.tbl[[#This Row],[Crude_Breakdown]],[1]!crudeBD.lkup[Crude Breakdown],0))</f>
        <v>#REF!</v>
      </c>
      <c r="AI237">
        <f>MONTH(vp.tbl[[#This Row],[SDate]])</f>
        <v>6</v>
      </c>
      <c r="AJ237" s="5">
        <f>IFERROR(vp.tbl[[#This Row],[Sulf]]*vp.tbl[[#This Row],[Net Dens]],"")</f>
        <v>96448527.922959983</v>
      </c>
      <c r="AK237" s="5">
        <f>IFERROR(vp.tbl[[#This Row],[Dens]]*vp.tbl[[#This Row],[VolumeM3]],"")</f>
        <v>83868285.150399998</v>
      </c>
      <c r="AL237" s="5">
        <f>IFERROR(vp.tbl[[#This Row],[VP]]*vp.tbl[[#This Row],[VolumeM3]],"")</f>
        <v>10562887.384</v>
      </c>
      <c r="AM237" s="4">
        <f>IFERROR((vp.tbl[[#This Row],[VP]]-INDEX(crudeBD.lkup.complete[Mean_VP],MATCH(vp.tbl[[#This Row],[Crude_Breakdown]],crudeBD.lkup.complete[Crude Breakdown],0)))^2,"")</f>
        <v>99.078421766393262</v>
      </c>
      <c r="AN237" s="4">
        <f>IFERROR((vp.tbl[[#This Row],[Dens]]-INDEX(crudeBD.lkup.complete[Mean_Dens],MATCH(vp.tbl[[#This Row],[Crude_Breakdown]],crudeBD.lkup.complete[Crude Breakdown],0)))^2,"")</f>
        <v>159.18287916296899</v>
      </c>
      <c r="AO237" s="4">
        <f>IFERROR((vp.tbl[[#This Row],[Sulf]]-INDEX(crudeBD.lkup.complete[Mean_Sulf],MATCH(vp.tbl[[#This Row],[Crude_Breakdown]],crudeBD.lkup.complete[Crude Breakdown],0)))^2,"")</f>
        <v>5.1542090384526708E-2</v>
      </c>
      <c r="AP237">
        <f>IF(AND(vp.tbl[[#This Row],[SDate]]&gt;=DATE(YEAR(vp.tbl[[#This Row],[SDate]]),5,1),vp.tbl[[#This Row],[SDate]]&lt;=DATE(YEAR(vp.tbl[[#This Row],[SDate]]),9,15)),1,0)</f>
        <v>1</v>
      </c>
      <c r="AQ237" s="15">
        <f>IF(vp.tbl[[#This Row],[SDate]]&lt;DATE(2016,12,1),0,1)</f>
        <v>0</v>
      </c>
    </row>
    <row r="238" spans="1:43" x14ac:dyDescent="0.25">
      <c r="A238">
        <v>237</v>
      </c>
      <c r="B238" t="s">
        <v>51</v>
      </c>
      <c r="C238" t="s">
        <v>51</v>
      </c>
      <c r="D238" t="s">
        <v>66</v>
      </c>
      <c r="F238" s="1">
        <v>42547</v>
      </c>
      <c r="G238" s="2">
        <v>85.9</v>
      </c>
      <c r="H238" s="2"/>
      <c r="I238" s="2">
        <v>0.88</v>
      </c>
      <c r="J238" s="2"/>
      <c r="K238" s="2"/>
      <c r="L238" s="2">
        <v>825.8</v>
      </c>
      <c r="M238" s="2">
        <v>825.8</v>
      </c>
      <c r="N238" s="2">
        <f ca="1">INDEX(INDIRECT(_xlfn.CONCAT("weather.tbl[",N$1,"]")),MATCH(vp.tbl[[#This Row],[SDate]],weather.tbl[Date],0))</f>
        <v>16.349999999999998</v>
      </c>
      <c r="O238" s="2">
        <f ca="1">INDEX(INDIRECT(_xlfn.CONCAT("weather.tbl[",O$1,"]")),MATCH(vp.tbl[[#This Row],[SDate]],weather.tbl[Date],0))</f>
        <v>17.007142857142856</v>
      </c>
      <c r="P238" s="2">
        <f ca="1">INDEX(INDIRECT(_xlfn.CONCAT("weather.tbl[",P$1,"]")),MATCH(vp.tbl[[#This Row],[SDate]],weather.tbl[Date],0))</f>
        <v>16.899999999999999</v>
      </c>
      <c r="Q238" s="2">
        <f ca="1">INDEX(INDIRECT(_xlfn.CONCAT("weather.tbl[",Q$1,"]")),MATCH(vp.tbl[[#This Row],[SDate]],weather.tbl[Date],0))</f>
        <v>16.8</v>
      </c>
      <c r="R238" s="2">
        <f ca="1">INDEX(INDIRECT(_xlfn.CONCAT("weather.tbl[",R$1,"]")),MATCH(vp.tbl[[#This Row],[SDate]],weather.tbl[Date],0))</f>
        <v>15.8</v>
      </c>
      <c r="S238" s="2">
        <f ca="1">INDEX(INDIRECT(_xlfn.CONCAT("weather.tbl[",S$1,"]")),MATCH(vp.tbl[[#This Row],[SDate]],weather.tbl[Date],0))</f>
        <v>17</v>
      </c>
      <c r="T238" s="2">
        <f ca="1">INDEX(INDIRECT(_xlfn.CONCAT("weather.tbl[",T$1,"]")),MATCH(vp.tbl[[#This Row],[SDate]],weather.tbl[Date],0))</f>
        <v>16.600000000000001</v>
      </c>
      <c r="U238" s="2">
        <f ca="1">INDEX(INDIRECT(_xlfn.CONCAT("weather.tbl[",U$1,"]")),MATCH(vp.tbl[[#This Row],[SDate]],weather.tbl[Date],0))</f>
        <v>15</v>
      </c>
      <c r="V238" s="2">
        <v>3596.9450000000002</v>
      </c>
      <c r="W238" t="s">
        <v>48</v>
      </c>
      <c r="X238">
        <f>IF(OR(vp.tbl[[#This Row],[Sulf]]="",vp.tbl[[#This Row],[Dens]]=""),1,0)</f>
        <v>0</v>
      </c>
      <c r="Y238">
        <f>IF(vp.tbl[[#This Row],[CrudeType]]="C5+",1,0)</f>
        <v>0</v>
      </c>
      <c r="Z238">
        <f>IF(AND(vp.tbl[[#This Row],[CrudeType]]="Crude",vp.tbl[[#This Row],[Dens]]&lt;=825,vp.tbl[[#This Row],[Sulf]]&gt;0.5,vp.tbl[[#This Row],[Unknown]]=0),1,0)</f>
        <v>0</v>
      </c>
      <c r="AA238">
        <f>IF(AND(vp.tbl[[#This Row],[CrudeType]]="Crude",vp.tbl[[#This Row],[Dens]]&lt;=825,vp.tbl[[#This Row],[Sulf]]&lt;=0.5,vp.tbl[[#This Row],[Unknown]]=0),1,0)</f>
        <v>0</v>
      </c>
      <c r="AB238">
        <f>IF(AND(vp.tbl[[#This Row],[CrudeType]]="Crude",vp.tbl[[#This Row],[Dens]]&gt;825,vp.tbl[[#This Row],[Dens]]&lt;=870,vp.tbl[[#This Row],[Sulf]]&gt;0.5,vp.tbl[[#This Row],[Unknown]]=0),1,0)</f>
        <v>1</v>
      </c>
      <c r="AC238">
        <f>IF(AND(vp.tbl[[#This Row],[CrudeType]]="Crude",vp.tbl[[#This Row],[Dens]]&gt;825,vp.tbl[[#This Row],[Dens]]&lt;=900,vp.tbl[[#This Row],[Sulf]]&lt;=0.5,vp.tbl[[#This Row],[Unknown]]=0),1,0)</f>
        <v>0</v>
      </c>
      <c r="AD238">
        <f>IF(AND(vp.tbl[[#This Row],[CrudeType]]="Crude",vp.tbl[[#This Row],[Dens]]&gt;870,vp.tbl[[#This Row],[Dens]]&lt;=900,vp.tbl[[#This Row],[Sulf]]&gt;0.5,vp.tbl[[#This Row],[Unknown]]=0),1,0)</f>
        <v>0</v>
      </c>
      <c r="AE238">
        <f>IF(AND(vp.tbl[[#This Row],[CrudeType]]="Crude",vp.tbl[[#This Row],[Dens]]&gt;900,vp.tbl[[#This Row],[Sulf]]&lt;=0.5,vp.tbl[[#This Row],[Unknown]]=0),1,0)</f>
        <v>0</v>
      </c>
      <c r="AF238">
        <f>IF(AND(vp.tbl[[#This Row],[CrudeType]]="Crude",vp.tbl[[#This Row],[Dens]]&gt;900,vp.tbl[[#This Row],[Sulf]]&lt;=0.5,vp.tbl[[#This Row],[Unknown]]=0),1,0)</f>
        <v>0</v>
      </c>
      <c r="AG238" t="str">
        <f>INDEX(vp.tbl[[#Headers],[Unknown]:[Heavy_SW]],MATCH(1,vp.tbl[[#This Row],[Unknown]:[Heavy_SW]],0))</f>
        <v>Medium_LSB</v>
      </c>
      <c r="AH238" t="e">
        <f>INDEX([1]!crudeBD.lkup[Number],MATCH(vp.tbl[[#This Row],[Crude_Breakdown]],[1]!crudeBD.lkup[Crude Breakdown],0))</f>
        <v>#REF!</v>
      </c>
      <c r="AI238">
        <f>MONTH(vp.tbl[[#This Row],[SDate]])</f>
        <v>6</v>
      </c>
      <c r="AJ238" s="5">
        <f>IFERROR(vp.tbl[[#This Row],[Sulf]]*vp.tbl[[#This Row],[Net Dens]],"")</f>
        <v>2613914.3192799999</v>
      </c>
      <c r="AK238" s="5">
        <f>IFERROR(vp.tbl[[#This Row],[Dens]]*vp.tbl[[#This Row],[VolumeM3]],"")</f>
        <v>2970357.1809999999</v>
      </c>
      <c r="AL238" s="5">
        <f>IFERROR(vp.tbl[[#This Row],[VP]]*vp.tbl[[#This Row],[VolumeM3]],"")</f>
        <v>308977.57550000004</v>
      </c>
      <c r="AM238" s="4">
        <f>IFERROR((vp.tbl[[#This Row],[VP]]-INDEX(crudeBD.lkup.complete[Mean_VP],MATCH(vp.tbl[[#This Row],[Crude_Breakdown]],crudeBD.lkup.complete[Crude Breakdown],0)))^2,"")</f>
        <v>32.791714948886884</v>
      </c>
      <c r="AN238" s="4">
        <f>IFERROR((vp.tbl[[#This Row],[Dens]]-INDEX(crudeBD.lkup.complete[Mean_Dens],MATCH(vp.tbl[[#This Row],[Crude_Breakdown]],crudeBD.lkup.complete[Crude Breakdown],0)))^2,"")</f>
        <v>379.93115547440658</v>
      </c>
      <c r="AO238" s="4">
        <f>IFERROR((vp.tbl[[#This Row],[Sulf]]-INDEX(crudeBD.lkup.complete[Mean_Sulf],MATCH(vp.tbl[[#This Row],[Crude_Breakdown]],crudeBD.lkup.complete[Crude Breakdown],0)))^2,"")</f>
        <v>0.33054434479293249</v>
      </c>
      <c r="AP238">
        <f>IF(AND(vp.tbl[[#This Row],[SDate]]&gt;=DATE(YEAR(vp.tbl[[#This Row],[SDate]]),5,1),vp.tbl[[#This Row],[SDate]]&lt;=DATE(YEAR(vp.tbl[[#This Row],[SDate]]),9,15)),1,0)</f>
        <v>1</v>
      </c>
      <c r="AQ238" s="15">
        <f>IF(vp.tbl[[#This Row],[SDate]]&lt;DATE(2016,12,1),0,1)</f>
        <v>0</v>
      </c>
    </row>
    <row r="239" spans="1:43" x14ac:dyDescent="0.25">
      <c r="A239">
        <v>238</v>
      </c>
      <c r="B239" t="s">
        <v>49</v>
      </c>
      <c r="C239" t="s">
        <v>49</v>
      </c>
      <c r="D239" t="s">
        <v>74</v>
      </c>
      <c r="F239" s="1">
        <v>42548</v>
      </c>
      <c r="G239" s="2">
        <v>97.9</v>
      </c>
      <c r="H239" s="2"/>
      <c r="I239" s="2">
        <v>0.14000000000000001</v>
      </c>
      <c r="J239" s="2"/>
      <c r="K239" s="2"/>
      <c r="L239" s="2">
        <v>807.5</v>
      </c>
      <c r="M239" s="2">
        <v>807.5</v>
      </c>
      <c r="N239" s="2">
        <f ca="1">INDEX(INDIRECT(_xlfn.CONCAT("weather.tbl[",N$1,"]")),MATCH(vp.tbl[[#This Row],[SDate]],weather.tbl[Date],0))</f>
        <v>16.333333333333332</v>
      </c>
      <c r="O239" s="2">
        <f ca="1">INDEX(INDIRECT(_xlfn.CONCAT("weather.tbl[",O$1,"]")),MATCH(vp.tbl[[#This Row],[SDate]],weather.tbl[Date],0))</f>
        <v>16.971428571428572</v>
      </c>
      <c r="P239" s="2">
        <f ca="1">INDEX(INDIRECT(_xlfn.CONCAT("weather.tbl[",P$1,"]")),MATCH(vp.tbl[[#This Row],[SDate]],weather.tbl[Date],0))</f>
        <v>16.100000000000001</v>
      </c>
      <c r="Q239" s="2">
        <f ca="1">INDEX(INDIRECT(_xlfn.CONCAT("weather.tbl[",Q$1,"]")),MATCH(vp.tbl[[#This Row],[SDate]],weather.tbl[Date],0))</f>
        <v>16.8</v>
      </c>
      <c r="R239" s="2">
        <f ca="1">INDEX(INDIRECT(_xlfn.CONCAT("weather.tbl[",R$1,"]")),MATCH(vp.tbl[[#This Row],[SDate]],weather.tbl[Date],0))</f>
        <v>15.5</v>
      </c>
      <c r="S239" s="2">
        <f ca="1">INDEX(INDIRECT(_xlfn.CONCAT("weather.tbl[",S$1,"]")),MATCH(vp.tbl[[#This Row],[SDate]],weather.tbl[Date],0))</f>
        <v>19</v>
      </c>
      <c r="T239" s="2">
        <f ca="1">INDEX(INDIRECT(_xlfn.CONCAT("weather.tbl[",T$1,"]")),MATCH(vp.tbl[[#This Row],[SDate]],weather.tbl[Date],0))</f>
        <v>16.100000000000001</v>
      </c>
      <c r="U239" s="2">
        <f ca="1">INDEX(INDIRECT(_xlfn.CONCAT("weather.tbl[",U$1,"]")),MATCH(vp.tbl[[#This Row],[SDate]],weather.tbl[Date],0))</f>
        <v>14.5</v>
      </c>
      <c r="V239" s="2">
        <v>41537.673000000003</v>
      </c>
      <c r="W239" t="s">
        <v>48</v>
      </c>
      <c r="X239">
        <f>IF(OR(vp.tbl[[#This Row],[Sulf]]="",vp.tbl[[#This Row],[Dens]]=""),1,0)</f>
        <v>0</v>
      </c>
      <c r="Y239">
        <f>IF(vp.tbl[[#This Row],[CrudeType]]="C5+",1,0)</f>
        <v>0</v>
      </c>
      <c r="Z239">
        <f>IF(AND(vp.tbl[[#This Row],[CrudeType]]="Crude",vp.tbl[[#This Row],[Dens]]&lt;=825,vp.tbl[[#This Row],[Sulf]]&gt;0.5,vp.tbl[[#This Row],[Unknown]]=0),1,0)</f>
        <v>0</v>
      </c>
      <c r="AA239">
        <f>IF(AND(vp.tbl[[#This Row],[CrudeType]]="Crude",vp.tbl[[#This Row],[Dens]]&lt;=825,vp.tbl[[#This Row],[Sulf]]&lt;=0.5,vp.tbl[[#This Row],[Unknown]]=0),1,0)</f>
        <v>1</v>
      </c>
      <c r="AB239">
        <f>IF(AND(vp.tbl[[#This Row],[CrudeType]]="Crude",vp.tbl[[#This Row],[Dens]]&gt;825,vp.tbl[[#This Row],[Dens]]&lt;=870,vp.tbl[[#This Row],[Sulf]]&gt;0.5,vp.tbl[[#This Row],[Unknown]]=0),1,0)</f>
        <v>0</v>
      </c>
      <c r="AC239">
        <f>IF(AND(vp.tbl[[#This Row],[CrudeType]]="Crude",vp.tbl[[#This Row],[Dens]]&gt;825,vp.tbl[[#This Row],[Dens]]&lt;=900,vp.tbl[[#This Row],[Sulf]]&lt;=0.5,vp.tbl[[#This Row],[Unknown]]=0),1,0)</f>
        <v>0</v>
      </c>
      <c r="AD239">
        <f>IF(AND(vp.tbl[[#This Row],[CrudeType]]="Crude",vp.tbl[[#This Row],[Dens]]&gt;870,vp.tbl[[#This Row],[Dens]]&lt;=900,vp.tbl[[#This Row],[Sulf]]&gt;0.5,vp.tbl[[#This Row],[Unknown]]=0),1,0)</f>
        <v>0</v>
      </c>
      <c r="AE239">
        <f>IF(AND(vp.tbl[[#This Row],[CrudeType]]="Crude",vp.tbl[[#This Row],[Dens]]&gt;900,vp.tbl[[#This Row],[Sulf]]&lt;=0.5,vp.tbl[[#This Row],[Unknown]]=0),1,0)</f>
        <v>0</v>
      </c>
      <c r="AF239">
        <f>IF(AND(vp.tbl[[#This Row],[CrudeType]]="Crude",vp.tbl[[#This Row],[Dens]]&gt;900,vp.tbl[[#This Row],[Sulf]]&lt;=0.5,vp.tbl[[#This Row],[Unknown]]=0),1,0)</f>
        <v>0</v>
      </c>
      <c r="AG239" t="str">
        <f>INDEX(vp.tbl[[#Headers],[Unknown]:[Heavy_SW]],MATCH(1,vp.tbl[[#This Row],[Unknown]:[Heavy_SW]],0))</f>
        <v>Light_SW</v>
      </c>
      <c r="AH239" t="e">
        <f>INDEX([1]!crudeBD.lkup[Number],MATCH(vp.tbl[[#This Row],[Crude_Breakdown]],[1]!crudeBD.lkup[Crude Breakdown],0))</f>
        <v>#REF!</v>
      </c>
      <c r="AI239">
        <f>MONTH(vp.tbl[[#This Row],[SDate]])</f>
        <v>6</v>
      </c>
      <c r="AJ239" s="5">
        <f>IFERROR(vp.tbl[[#This Row],[Sulf]]*vp.tbl[[#This Row],[Net Dens]],"")</f>
        <v>4695833.9326500008</v>
      </c>
      <c r="AK239" s="5">
        <f>IFERROR(vp.tbl[[#This Row],[Dens]]*vp.tbl[[#This Row],[VolumeM3]],"")</f>
        <v>33541670.947500002</v>
      </c>
      <c r="AL239" s="5">
        <f>IFERROR(vp.tbl[[#This Row],[VP]]*vp.tbl[[#This Row],[VolumeM3]],"")</f>
        <v>4066538.1867000004</v>
      </c>
      <c r="AM239" s="4">
        <f>IFERROR((vp.tbl[[#This Row],[VP]]-INDEX(crudeBD.lkup.complete[Mean_VP],MATCH(vp.tbl[[#This Row],[Crude_Breakdown]],crudeBD.lkup.complete[Crude Breakdown],0)))^2,"")</f>
        <v>28.619144697641481</v>
      </c>
      <c r="AN239" s="4">
        <f>IFERROR((vp.tbl[[#This Row],[Dens]]-INDEX(crudeBD.lkup.complete[Mean_Dens],MATCH(vp.tbl[[#This Row],[Crude_Breakdown]],crudeBD.lkup.complete[Crude Breakdown],0)))^2,"")</f>
        <v>0.65852942247654833</v>
      </c>
      <c r="AO239" s="4">
        <f>IFERROR((vp.tbl[[#This Row],[Sulf]]-INDEX(crudeBD.lkup.complete[Mean_Sulf],MATCH(vp.tbl[[#This Row],[Crude_Breakdown]],crudeBD.lkup.complete[Crude Breakdown],0)))^2,"")</f>
        <v>9.2624863475336272E-3</v>
      </c>
      <c r="AP239">
        <f>IF(AND(vp.tbl[[#This Row],[SDate]]&gt;=DATE(YEAR(vp.tbl[[#This Row],[SDate]]),5,1),vp.tbl[[#This Row],[SDate]]&lt;=DATE(YEAR(vp.tbl[[#This Row],[SDate]]),9,15)),1,0)</f>
        <v>1</v>
      </c>
      <c r="AQ239" s="15">
        <f>IF(vp.tbl[[#This Row],[SDate]]&lt;DATE(2016,12,1),0,1)</f>
        <v>0</v>
      </c>
    </row>
    <row r="240" spans="1:43" x14ac:dyDescent="0.25">
      <c r="A240">
        <v>239</v>
      </c>
      <c r="B240" t="s">
        <v>49</v>
      </c>
      <c r="C240" t="s">
        <v>49</v>
      </c>
      <c r="D240" t="s">
        <v>74</v>
      </c>
      <c r="F240" s="1">
        <v>42548</v>
      </c>
      <c r="G240" s="2">
        <v>96.9</v>
      </c>
      <c r="H240" s="2"/>
      <c r="I240" s="2">
        <v>0.14000000000000001</v>
      </c>
      <c r="J240" s="2"/>
      <c r="K240" s="2"/>
      <c r="L240" s="2">
        <v>807.5</v>
      </c>
      <c r="M240" s="2">
        <v>807.5</v>
      </c>
      <c r="N240" s="2">
        <f ca="1">INDEX(INDIRECT(_xlfn.CONCAT("weather.tbl[",N$1,"]")),MATCH(vp.tbl[[#This Row],[SDate]],weather.tbl[Date],0))</f>
        <v>16.333333333333332</v>
      </c>
      <c r="O240" s="2">
        <f ca="1">INDEX(INDIRECT(_xlfn.CONCAT("weather.tbl[",O$1,"]")),MATCH(vp.tbl[[#This Row],[SDate]],weather.tbl[Date],0))</f>
        <v>16.971428571428572</v>
      </c>
      <c r="P240" s="2">
        <f ca="1">INDEX(INDIRECT(_xlfn.CONCAT("weather.tbl[",P$1,"]")),MATCH(vp.tbl[[#This Row],[SDate]],weather.tbl[Date],0))</f>
        <v>16.100000000000001</v>
      </c>
      <c r="Q240" s="2">
        <f ca="1">INDEX(INDIRECT(_xlfn.CONCAT("weather.tbl[",Q$1,"]")),MATCH(vp.tbl[[#This Row],[SDate]],weather.tbl[Date],0))</f>
        <v>16.8</v>
      </c>
      <c r="R240" s="2">
        <f ca="1">INDEX(INDIRECT(_xlfn.CONCAT("weather.tbl[",R$1,"]")),MATCH(vp.tbl[[#This Row],[SDate]],weather.tbl[Date],0))</f>
        <v>15.5</v>
      </c>
      <c r="S240" s="2">
        <f ca="1">INDEX(INDIRECT(_xlfn.CONCAT("weather.tbl[",S$1,"]")),MATCH(vp.tbl[[#This Row],[SDate]],weather.tbl[Date],0))</f>
        <v>19</v>
      </c>
      <c r="T240" s="2">
        <f ca="1">INDEX(INDIRECT(_xlfn.CONCAT("weather.tbl[",T$1,"]")),MATCH(vp.tbl[[#This Row],[SDate]],weather.tbl[Date],0))</f>
        <v>16.100000000000001</v>
      </c>
      <c r="U240" s="2">
        <f ca="1">INDEX(INDIRECT(_xlfn.CONCAT("weather.tbl[",U$1,"]")),MATCH(vp.tbl[[#This Row],[SDate]],weather.tbl[Date],0))</f>
        <v>14.5</v>
      </c>
      <c r="V240" s="2">
        <v>41537.673000000003</v>
      </c>
      <c r="W240" t="s">
        <v>48</v>
      </c>
      <c r="X240">
        <f>IF(OR(vp.tbl[[#This Row],[Sulf]]="",vp.tbl[[#This Row],[Dens]]=""),1,0)</f>
        <v>0</v>
      </c>
      <c r="Y240">
        <f>IF(vp.tbl[[#This Row],[CrudeType]]="C5+",1,0)</f>
        <v>0</v>
      </c>
      <c r="Z240">
        <f>IF(AND(vp.tbl[[#This Row],[CrudeType]]="Crude",vp.tbl[[#This Row],[Dens]]&lt;=825,vp.tbl[[#This Row],[Sulf]]&gt;0.5,vp.tbl[[#This Row],[Unknown]]=0),1,0)</f>
        <v>0</v>
      </c>
      <c r="AA240">
        <f>IF(AND(vp.tbl[[#This Row],[CrudeType]]="Crude",vp.tbl[[#This Row],[Dens]]&lt;=825,vp.tbl[[#This Row],[Sulf]]&lt;=0.5,vp.tbl[[#This Row],[Unknown]]=0),1,0)</f>
        <v>1</v>
      </c>
      <c r="AB240">
        <f>IF(AND(vp.tbl[[#This Row],[CrudeType]]="Crude",vp.tbl[[#This Row],[Dens]]&gt;825,vp.tbl[[#This Row],[Dens]]&lt;=870,vp.tbl[[#This Row],[Sulf]]&gt;0.5,vp.tbl[[#This Row],[Unknown]]=0),1,0)</f>
        <v>0</v>
      </c>
      <c r="AC240">
        <f>IF(AND(vp.tbl[[#This Row],[CrudeType]]="Crude",vp.tbl[[#This Row],[Dens]]&gt;825,vp.tbl[[#This Row],[Dens]]&lt;=900,vp.tbl[[#This Row],[Sulf]]&lt;=0.5,vp.tbl[[#This Row],[Unknown]]=0),1,0)</f>
        <v>0</v>
      </c>
      <c r="AD240">
        <f>IF(AND(vp.tbl[[#This Row],[CrudeType]]="Crude",vp.tbl[[#This Row],[Dens]]&gt;870,vp.tbl[[#This Row],[Dens]]&lt;=900,vp.tbl[[#This Row],[Sulf]]&gt;0.5,vp.tbl[[#This Row],[Unknown]]=0),1,0)</f>
        <v>0</v>
      </c>
      <c r="AE240">
        <f>IF(AND(vp.tbl[[#This Row],[CrudeType]]="Crude",vp.tbl[[#This Row],[Dens]]&gt;900,vp.tbl[[#This Row],[Sulf]]&lt;=0.5,vp.tbl[[#This Row],[Unknown]]=0),1,0)</f>
        <v>0</v>
      </c>
      <c r="AF240">
        <f>IF(AND(vp.tbl[[#This Row],[CrudeType]]="Crude",vp.tbl[[#This Row],[Dens]]&gt;900,vp.tbl[[#This Row],[Sulf]]&lt;=0.5,vp.tbl[[#This Row],[Unknown]]=0),1,0)</f>
        <v>0</v>
      </c>
      <c r="AG240" t="str">
        <f>INDEX(vp.tbl[[#Headers],[Unknown]:[Heavy_SW]],MATCH(1,vp.tbl[[#This Row],[Unknown]:[Heavy_SW]],0))</f>
        <v>Light_SW</v>
      </c>
      <c r="AH240" t="e">
        <f>INDEX([1]!crudeBD.lkup[Number],MATCH(vp.tbl[[#This Row],[Crude_Breakdown]],[1]!crudeBD.lkup[Crude Breakdown],0))</f>
        <v>#REF!</v>
      </c>
      <c r="AI240">
        <f>MONTH(vp.tbl[[#This Row],[SDate]])</f>
        <v>6</v>
      </c>
      <c r="AJ240" s="5">
        <f>IFERROR(vp.tbl[[#This Row],[Sulf]]*vp.tbl[[#This Row],[Net Dens]],"")</f>
        <v>4695833.9326500008</v>
      </c>
      <c r="AK240" s="5">
        <f>IFERROR(vp.tbl[[#This Row],[Dens]]*vp.tbl[[#This Row],[VolumeM3]],"")</f>
        <v>33541670.947500002</v>
      </c>
      <c r="AL240" s="5">
        <f>IFERROR(vp.tbl[[#This Row],[VP]]*vp.tbl[[#This Row],[VolumeM3]],"")</f>
        <v>4025000.5137000005</v>
      </c>
      <c r="AM240" s="4">
        <f>IFERROR((vp.tbl[[#This Row],[VP]]-INDEX(crudeBD.lkup.complete[Mean_VP],MATCH(vp.tbl[[#This Row],[Crude_Breakdown]],crudeBD.lkup.complete[Crude Breakdown],0)))^2,"")</f>
        <v>18.919771875341759</v>
      </c>
      <c r="AN240" s="4">
        <f>IFERROR((vp.tbl[[#This Row],[Dens]]-INDEX(crudeBD.lkup.complete[Mean_Dens],MATCH(vp.tbl[[#This Row],[Crude_Breakdown]],crudeBD.lkup.complete[Crude Breakdown],0)))^2,"")</f>
        <v>0.65852942247654833</v>
      </c>
      <c r="AO240" s="4">
        <f>IFERROR((vp.tbl[[#This Row],[Sulf]]-INDEX(crudeBD.lkup.complete[Mean_Sulf],MATCH(vp.tbl[[#This Row],[Crude_Breakdown]],crudeBD.lkup.complete[Crude Breakdown],0)))^2,"")</f>
        <v>9.2624863475336272E-3</v>
      </c>
      <c r="AP240">
        <f>IF(AND(vp.tbl[[#This Row],[SDate]]&gt;=DATE(YEAR(vp.tbl[[#This Row],[SDate]]),5,1),vp.tbl[[#This Row],[SDate]]&lt;=DATE(YEAR(vp.tbl[[#This Row],[SDate]]),9,15)),1,0)</f>
        <v>1</v>
      </c>
      <c r="AQ240" s="15">
        <f>IF(vp.tbl[[#This Row],[SDate]]&lt;DATE(2016,12,1),0,1)</f>
        <v>0</v>
      </c>
    </row>
    <row r="241" spans="1:43" x14ac:dyDescent="0.25">
      <c r="A241">
        <v>240</v>
      </c>
      <c r="B241" t="s">
        <v>49</v>
      </c>
      <c r="C241" t="s">
        <v>49</v>
      </c>
      <c r="D241" t="s">
        <v>67</v>
      </c>
      <c r="F241" s="1">
        <v>42548</v>
      </c>
      <c r="G241" s="2">
        <v>99.1</v>
      </c>
      <c r="H241" s="2"/>
      <c r="I241" s="2">
        <v>0.21</v>
      </c>
      <c r="J241" s="2"/>
      <c r="K241" s="2"/>
      <c r="L241" s="2">
        <v>808.1</v>
      </c>
      <c r="M241" s="2">
        <v>808.1</v>
      </c>
      <c r="N241" s="2">
        <f ca="1">INDEX(INDIRECT(_xlfn.CONCAT("weather.tbl[",N$1,"]")),MATCH(vp.tbl[[#This Row],[SDate]],weather.tbl[Date],0))</f>
        <v>16.333333333333332</v>
      </c>
      <c r="O241" s="2">
        <f ca="1">INDEX(INDIRECT(_xlfn.CONCAT("weather.tbl[",O$1,"]")),MATCH(vp.tbl[[#This Row],[SDate]],weather.tbl[Date],0))</f>
        <v>16.971428571428572</v>
      </c>
      <c r="P241" s="2">
        <f ca="1">INDEX(INDIRECT(_xlfn.CONCAT("weather.tbl[",P$1,"]")),MATCH(vp.tbl[[#This Row],[SDate]],weather.tbl[Date],0))</f>
        <v>16.100000000000001</v>
      </c>
      <c r="Q241" s="2">
        <f ca="1">INDEX(INDIRECT(_xlfn.CONCAT("weather.tbl[",Q$1,"]")),MATCH(vp.tbl[[#This Row],[SDate]],weather.tbl[Date],0))</f>
        <v>16.8</v>
      </c>
      <c r="R241" s="2">
        <f ca="1">INDEX(INDIRECT(_xlfn.CONCAT("weather.tbl[",R$1,"]")),MATCH(vp.tbl[[#This Row],[SDate]],weather.tbl[Date],0))</f>
        <v>15.5</v>
      </c>
      <c r="S241" s="2">
        <f ca="1">INDEX(INDIRECT(_xlfn.CONCAT("weather.tbl[",S$1,"]")),MATCH(vp.tbl[[#This Row],[SDate]],weather.tbl[Date],0))</f>
        <v>19</v>
      </c>
      <c r="T241" s="2">
        <f ca="1">INDEX(INDIRECT(_xlfn.CONCAT("weather.tbl[",T$1,"]")),MATCH(vp.tbl[[#This Row],[SDate]],weather.tbl[Date],0))</f>
        <v>16.100000000000001</v>
      </c>
      <c r="U241" s="2">
        <f ca="1">INDEX(INDIRECT(_xlfn.CONCAT("weather.tbl[",U$1,"]")),MATCH(vp.tbl[[#This Row],[SDate]],weather.tbl[Date],0))</f>
        <v>14.5</v>
      </c>
      <c r="V241" s="2">
        <v>50694.305999999997</v>
      </c>
      <c r="W241" t="s">
        <v>48</v>
      </c>
      <c r="X241">
        <f>IF(OR(vp.tbl[[#This Row],[Sulf]]="",vp.tbl[[#This Row],[Dens]]=""),1,0)</f>
        <v>0</v>
      </c>
      <c r="Y241">
        <f>IF(vp.tbl[[#This Row],[CrudeType]]="C5+",1,0)</f>
        <v>0</v>
      </c>
      <c r="Z241">
        <f>IF(AND(vp.tbl[[#This Row],[CrudeType]]="Crude",vp.tbl[[#This Row],[Dens]]&lt;=825,vp.tbl[[#This Row],[Sulf]]&gt;0.5,vp.tbl[[#This Row],[Unknown]]=0),1,0)</f>
        <v>0</v>
      </c>
      <c r="AA241">
        <f>IF(AND(vp.tbl[[#This Row],[CrudeType]]="Crude",vp.tbl[[#This Row],[Dens]]&lt;=825,vp.tbl[[#This Row],[Sulf]]&lt;=0.5,vp.tbl[[#This Row],[Unknown]]=0),1,0)</f>
        <v>1</v>
      </c>
      <c r="AB241">
        <f>IF(AND(vp.tbl[[#This Row],[CrudeType]]="Crude",vp.tbl[[#This Row],[Dens]]&gt;825,vp.tbl[[#This Row],[Dens]]&lt;=870,vp.tbl[[#This Row],[Sulf]]&gt;0.5,vp.tbl[[#This Row],[Unknown]]=0),1,0)</f>
        <v>0</v>
      </c>
      <c r="AC241">
        <f>IF(AND(vp.tbl[[#This Row],[CrudeType]]="Crude",vp.tbl[[#This Row],[Dens]]&gt;825,vp.tbl[[#This Row],[Dens]]&lt;=900,vp.tbl[[#This Row],[Sulf]]&lt;=0.5,vp.tbl[[#This Row],[Unknown]]=0),1,0)</f>
        <v>0</v>
      </c>
      <c r="AD241">
        <f>IF(AND(vp.tbl[[#This Row],[CrudeType]]="Crude",vp.tbl[[#This Row],[Dens]]&gt;870,vp.tbl[[#This Row],[Dens]]&lt;=900,vp.tbl[[#This Row],[Sulf]]&gt;0.5,vp.tbl[[#This Row],[Unknown]]=0),1,0)</f>
        <v>0</v>
      </c>
      <c r="AE241">
        <f>IF(AND(vp.tbl[[#This Row],[CrudeType]]="Crude",vp.tbl[[#This Row],[Dens]]&gt;900,vp.tbl[[#This Row],[Sulf]]&lt;=0.5,vp.tbl[[#This Row],[Unknown]]=0),1,0)</f>
        <v>0</v>
      </c>
      <c r="AF241">
        <f>IF(AND(vp.tbl[[#This Row],[CrudeType]]="Crude",vp.tbl[[#This Row],[Dens]]&gt;900,vp.tbl[[#This Row],[Sulf]]&lt;=0.5,vp.tbl[[#This Row],[Unknown]]=0),1,0)</f>
        <v>0</v>
      </c>
      <c r="AG241" t="str">
        <f>INDEX(vp.tbl[[#Headers],[Unknown]:[Heavy_SW]],MATCH(1,vp.tbl[[#This Row],[Unknown]:[Heavy_SW]],0))</f>
        <v>Light_SW</v>
      </c>
      <c r="AH241" t="e">
        <f>INDEX([1]!crudeBD.lkup[Number],MATCH(vp.tbl[[#This Row],[Crude_Breakdown]],[1]!crudeBD.lkup[Crude Breakdown],0))</f>
        <v>#REF!</v>
      </c>
      <c r="AI241">
        <f>MONTH(vp.tbl[[#This Row],[SDate]])</f>
        <v>6</v>
      </c>
      <c r="AJ241" s="5">
        <f>IFERROR(vp.tbl[[#This Row],[Sulf]]*vp.tbl[[#This Row],[Net Dens]],"")</f>
        <v>8602874.422505999</v>
      </c>
      <c r="AK241" s="5">
        <f>IFERROR(vp.tbl[[#This Row],[Dens]]*vp.tbl[[#This Row],[VolumeM3]],"")</f>
        <v>40966068.678599998</v>
      </c>
      <c r="AL241" s="5">
        <f>IFERROR(vp.tbl[[#This Row],[VP]]*vp.tbl[[#This Row],[VolumeM3]],"")</f>
        <v>5023805.7245999994</v>
      </c>
      <c r="AM241" s="4">
        <f>IFERROR((vp.tbl[[#This Row],[VP]]-INDEX(crudeBD.lkup.complete[Mean_VP],MATCH(vp.tbl[[#This Row],[Crude_Breakdown]],crudeBD.lkup.complete[Crude Breakdown],0)))^2,"")</f>
        <v>42.898392084400996</v>
      </c>
      <c r="AN241" s="4">
        <f>IFERROR((vp.tbl[[#This Row],[Dens]]-INDEX(crudeBD.lkup.complete[Mean_Dens],MATCH(vp.tbl[[#This Row],[Crude_Breakdown]],crudeBD.lkup.complete[Crude Breakdown],0)))^2,"")</f>
        <v>4.473151306913524E-2</v>
      </c>
      <c r="AO241" s="4">
        <f>IFERROR((vp.tbl[[#This Row],[Sulf]]-INDEX(crudeBD.lkup.complete[Mean_Sulf],MATCH(vp.tbl[[#This Row],[Crude_Breakdown]],crudeBD.lkup.complete[Crude Breakdown],0)))^2,"")</f>
        <v>6.8863268899706654E-4</v>
      </c>
      <c r="AP241">
        <f>IF(AND(vp.tbl[[#This Row],[SDate]]&gt;=DATE(YEAR(vp.tbl[[#This Row],[SDate]]),5,1),vp.tbl[[#This Row],[SDate]]&lt;=DATE(YEAR(vp.tbl[[#This Row],[SDate]]),9,15)),1,0)</f>
        <v>1</v>
      </c>
      <c r="AQ241" s="15">
        <f>IF(vp.tbl[[#This Row],[SDate]]&lt;DATE(2016,12,1),0,1)</f>
        <v>0</v>
      </c>
    </row>
    <row r="242" spans="1:43" x14ac:dyDescent="0.25">
      <c r="A242">
        <v>241</v>
      </c>
      <c r="B242" t="s">
        <v>49</v>
      </c>
      <c r="C242" t="s">
        <v>49</v>
      </c>
      <c r="D242" t="s">
        <v>89</v>
      </c>
      <c r="F242" s="1">
        <v>42548</v>
      </c>
      <c r="G242" s="2">
        <v>82.6</v>
      </c>
      <c r="H242" s="2"/>
      <c r="I242" s="2">
        <v>0.21</v>
      </c>
      <c r="J242" s="2"/>
      <c r="K242" s="2"/>
      <c r="L242" s="2">
        <v>823.3</v>
      </c>
      <c r="M242" s="2">
        <v>823.3</v>
      </c>
      <c r="N242" s="2">
        <f ca="1">INDEX(INDIRECT(_xlfn.CONCAT("weather.tbl[",N$1,"]")),MATCH(vp.tbl[[#This Row],[SDate]],weather.tbl[Date],0))</f>
        <v>16.333333333333332</v>
      </c>
      <c r="O242" s="2">
        <f ca="1">INDEX(INDIRECT(_xlfn.CONCAT("weather.tbl[",O$1,"]")),MATCH(vp.tbl[[#This Row],[SDate]],weather.tbl[Date],0))</f>
        <v>16.971428571428572</v>
      </c>
      <c r="P242" s="2">
        <f ca="1">INDEX(INDIRECT(_xlfn.CONCAT("weather.tbl[",P$1,"]")),MATCH(vp.tbl[[#This Row],[SDate]],weather.tbl[Date],0))</f>
        <v>16.100000000000001</v>
      </c>
      <c r="Q242" s="2">
        <f ca="1">INDEX(INDIRECT(_xlfn.CONCAT("weather.tbl[",Q$1,"]")),MATCH(vp.tbl[[#This Row],[SDate]],weather.tbl[Date],0))</f>
        <v>16.8</v>
      </c>
      <c r="R242" s="2">
        <f ca="1">INDEX(INDIRECT(_xlfn.CONCAT("weather.tbl[",R$1,"]")),MATCH(vp.tbl[[#This Row],[SDate]],weather.tbl[Date],0))</f>
        <v>15.5</v>
      </c>
      <c r="S242" s="2">
        <f ca="1">INDEX(INDIRECT(_xlfn.CONCAT("weather.tbl[",S$1,"]")),MATCH(vp.tbl[[#This Row],[SDate]],weather.tbl[Date],0))</f>
        <v>19</v>
      </c>
      <c r="T242" s="2">
        <f ca="1">INDEX(INDIRECT(_xlfn.CONCAT("weather.tbl[",T$1,"]")),MATCH(vp.tbl[[#This Row],[SDate]],weather.tbl[Date],0))</f>
        <v>16.100000000000001</v>
      </c>
      <c r="U242" s="2">
        <f ca="1">INDEX(INDIRECT(_xlfn.CONCAT("weather.tbl[",U$1,"]")),MATCH(vp.tbl[[#This Row],[SDate]],weather.tbl[Date],0))</f>
        <v>14.5</v>
      </c>
      <c r="V242" s="2">
        <v>5921.0450000000001</v>
      </c>
      <c r="W242" t="s">
        <v>48</v>
      </c>
      <c r="X242">
        <f>IF(OR(vp.tbl[[#This Row],[Sulf]]="",vp.tbl[[#This Row],[Dens]]=""),1,0)</f>
        <v>0</v>
      </c>
      <c r="Y242">
        <f>IF(vp.tbl[[#This Row],[CrudeType]]="C5+",1,0)</f>
        <v>0</v>
      </c>
      <c r="Z242">
        <f>IF(AND(vp.tbl[[#This Row],[CrudeType]]="Crude",vp.tbl[[#This Row],[Dens]]&lt;=825,vp.tbl[[#This Row],[Sulf]]&gt;0.5,vp.tbl[[#This Row],[Unknown]]=0),1,0)</f>
        <v>0</v>
      </c>
      <c r="AA242">
        <f>IF(AND(vp.tbl[[#This Row],[CrudeType]]="Crude",vp.tbl[[#This Row],[Dens]]&lt;=825,vp.tbl[[#This Row],[Sulf]]&lt;=0.5,vp.tbl[[#This Row],[Unknown]]=0),1,0)</f>
        <v>1</v>
      </c>
      <c r="AB242">
        <f>IF(AND(vp.tbl[[#This Row],[CrudeType]]="Crude",vp.tbl[[#This Row],[Dens]]&gt;825,vp.tbl[[#This Row],[Dens]]&lt;=870,vp.tbl[[#This Row],[Sulf]]&gt;0.5,vp.tbl[[#This Row],[Unknown]]=0),1,0)</f>
        <v>0</v>
      </c>
      <c r="AC242">
        <f>IF(AND(vp.tbl[[#This Row],[CrudeType]]="Crude",vp.tbl[[#This Row],[Dens]]&gt;825,vp.tbl[[#This Row],[Dens]]&lt;=900,vp.tbl[[#This Row],[Sulf]]&lt;=0.5,vp.tbl[[#This Row],[Unknown]]=0),1,0)</f>
        <v>0</v>
      </c>
      <c r="AD242">
        <f>IF(AND(vp.tbl[[#This Row],[CrudeType]]="Crude",vp.tbl[[#This Row],[Dens]]&gt;870,vp.tbl[[#This Row],[Dens]]&lt;=900,vp.tbl[[#This Row],[Sulf]]&gt;0.5,vp.tbl[[#This Row],[Unknown]]=0),1,0)</f>
        <v>0</v>
      </c>
      <c r="AE242">
        <f>IF(AND(vp.tbl[[#This Row],[CrudeType]]="Crude",vp.tbl[[#This Row],[Dens]]&gt;900,vp.tbl[[#This Row],[Sulf]]&lt;=0.5,vp.tbl[[#This Row],[Unknown]]=0),1,0)</f>
        <v>0</v>
      </c>
      <c r="AF242">
        <f>IF(AND(vp.tbl[[#This Row],[CrudeType]]="Crude",vp.tbl[[#This Row],[Dens]]&gt;900,vp.tbl[[#This Row],[Sulf]]&lt;=0.5,vp.tbl[[#This Row],[Unknown]]=0),1,0)</f>
        <v>0</v>
      </c>
      <c r="AG242" t="str">
        <f>INDEX(vp.tbl[[#Headers],[Unknown]:[Heavy_SW]],MATCH(1,vp.tbl[[#This Row],[Unknown]:[Heavy_SW]],0))</f>
        <v>Light_SW</v>
      </c>
      <c r="AH242" t="e">
        <f>INDEX([1]!crudeBD.lkup[Number],MATCH(vp.tbl[[#This Row],[Crude_Breakdown]],[1]!crudeBD.lkup[Crude Breakdown],0))</f>
        <v>#REF!</v>
      </c>
      <c r="AI242">
        <f>MONTH(vp.tbl[[#This Row],[SDate]])</f>
        <v>6</v>
      </c>
      <c r="AJ242" s="5">
        <f>IFERROR(vp.tbl[[#This Row],[Sulf]]*vp.tbl[[#This Row],[Net Dens]],"")</f>
        <v>1023707.2331849998</v>
      </c>
      <c r="AK242" s="5">
        <f>IFERROR(vp.tbl[[#This Row],[Dens]]*vp.tbl[[#This Row],[VolumeM3]],"")</f>
        <v>4874796.3484999994</v>
      </c>
      <c r="AL242" s="5">
        <f>IFERROR(vp.tbl[[#This Row],[VP]]*vp.tbl[[#This Row],[VolumeM3]],"")</f>
        <v>489078.31699999998</v>
      </c>
      <c r="AM242" s="4">
        <f>IFERROR((vp.tbl[[#This Row],[VP]]-INDEX(crudeBD.lkup.complete[Mean_VP],MATCH(vp.tbl[[#This Row],[Crude_Breakdown]],crudeBD.lkup.complete[Crude Breakdown],0)))^2,"")</f>
        <v>99.008740516455958</v>
      </c>
      <c r="AN242" s="4">
        <f>IFERROR((vp.tbl[[#This Row],[Dens]]-INDEX(crudeBD.lkup.complete[Mean_Dens],MATCH(vp.tbl[[#This Row],[Crude_Breakdown]],crudeBD.lkup.complete[Crude Breakdown],0)))^2,"")</f>
        <v>224.6551844747469</v>
      </c>
      <c r="AO242" s="4">
        <f>IFERROR((vp.tbl[[#This Row],[Sulf]]-INDEX(crudeBD.lkup.complete[Mean_Sulf],MATCH(vp.tbl[[#This Row],[Crude_Breakdown]],crudeBD.lkup.complete[Crude Breakdown],0)))^2,"")</f>
        <v>6.8863268899706654E-4</v>
      </c>
      <c r="AP242">
        <f>IF(AND(vp.tbl[[#This Row],[SDate]]&gt;=DATE(YEAR(vp.tbl[[#This Row],[SDate]]),5,1),vp.tbl[[#This Row],[SDate]]&lt;=DATE(YEAR(vp.tbl[[#This Row],[SDate]]),9,15)),1,0)</f>
        <v>1</v>
      </c>
      <c r="AQ242" s="15">
        <f>IF(vp.tbl[[#This Row],[SDate]]&lt;DATE(2016,12,1),0,1)</f>
        <v>0</v>
      </c>
    </row>
    <row r="243" spans="1:43" x14ac:dyDescent="0.25">
      <c r="A243">
        <v>242</v>
      </c>
      <c r="B243" t="s">
        <v>49</v>
      </c>
      <c r="C243" t="s">
        <v>49</v>
      </c>
      <c r="D243" t="s">
        <v>75</v>
      </c>
      <c r="F243" s="1">
        <v>42549</v>
      </c>
      <c r="G243" s="2">
        <v>109.2</v>
      </c>
      <c r="H243" s="2"/>
      <c r="I243" s="2">
        <v>0.15</v>
      </c>
      <c r="J243" s="2"/>
      <c r="K243" s="2"/>
      <c r="L243" s="2">
        <v>800.2</v>
      </c>
      <c r="M243" s="2">
        <v>800.2</v>
      </c>
      <c r="N243" s="2">
        <f ca="1">INDEX(INDIRECT(_xlfn.CONCAT("weather.tbl[",N$1,"]")),MATCH(vp.tbl[[#This Row],[SDate]],weather.tbl[Date],0))</f>
        <v>17.483333333333331</v>
      </c>
      <c r="O243" s="2">
        <f ca="1">INDEX(INDIRECT(_xlfn.CONCAT("weather.tbl[",O$1,"]")),MATCH(vp.tbl[[#This Row],[SDate]],weather.tbl[Date],0))</f>
        <v>17.054761904761904</v>
      </c>
      <c r="P243" s="2">
        <f ca="1">INDEX(INDIRECT(_xlfn.CONCAT("weather.tbl[",P$1,"]")),MATCH(vp.tbl[[#This Row],[SDate]],weather.tbl[Date],0))</f>
        <v>17.899999999999999</v>
      </c>
      <c r="Q243" s="2">
        <f ca="1">INDEX(INDIRECT(_xlfn.CONCAT("weather.tbl[",Q$1,"]")),MATCH(vp.tbl[[#This Row],[SDate]],weather.tbl[Date],0))</f>
        <v>16.8</v>
      </c>
      <c r="R243" s="2">
        <f ca="1">INDEX(INDIRECT(_xlfn.CONCAT("weather.tbl[",R$1,"]")),MATCH(vp.tbl[[#This Row],[SDate]],weather.tbl[Date],0))</f>
        <v>16.5</v>
      </c>
      <c r="S243" s="2">
        <f ca="1">INDEX(INDIRECT(_xlfn.CONCAT("weather.tbl[",S$1,"]")),MATCH(vp.tbl[[#This Row],[SDate]],weather.tbl[Date],0))</f>
        <v>18.5</v>
      </c>
      <c r="T243" s="2">
        <f ca="1">INDEX(INDIRECT(_xlfn.CONCAT("weather.tbl[",T$1,"]")),MATCH(vp.tbl[[#This Row],[SDate]],weather.tbl[Date],0))</f>
        <v>17.399999999999999</v>
      </c>
      <c r="U243" s="2">
        <f ca="1">INDEX(INDIRECT(_xlfn.CONCAT("weather.tbl[",U$1,"]")),MATCH(vp.tbl[[#This Row],[SDate]],weather.tbl[Date],0))</f>
        <v>17.8</v>
      </c>
      <c r="V243" s="2">
        <v>20540.474999999999</v>
      </c>
      <c r="W243" t="s">
        <v>48</v>
      </c>
      <c r="X243">
        <f>IF(OR(vp.tbl[[#This Row],[Sulf]]="",vp.tbl[[#This Row],[Dens]]=""),1,0)</f>
        <v>0</v>
      </c>
      <c r="Y243">
        <f>IF(vp.tbl[[#This Row],[CrudeType]]="C5+",1,0)</f>
        <v>0</v>
      </c>
      <c r="Z243">
        <f>IF(AND(vp.tbl[[#This Row],[CrudeType]]="Crude",vp.tbl[[#This Row],[Dens]]&lt;=825,vp.tbl[[#This Row],[Sulf]]&gt;0.5,vp.tbl[[#This Row],[Unknown]]=0),1,0)</f>
        <v>0</v>
      </c>
      <c r="AA243">
        <f>IF(AND(vp.tbl[[#This Row],[CrudeType]]="Crude",vp.tbl[[#This Row],[Dens]]&lt;=825,vp.tbl[[#This Row],[Sulf]]&lt;=0.5,vp.tbl[[#This Row],[Unknown]]=0),1,0)</f>
        <v>1</v>
      </c>
      <c r="AB243">
        <f>IF(AND(vp.tbl[[#This Row],[CrudeType]]="Crude",vp.tbl[[#This Row],[Dens]]&gt;825,vp.tbl[[#This Row],[Dens]]&lt;=870,vp.tbl[[#This Row],[Sulf]]&gt;0.5,vp.tbl[[#This Row],[Unknown]]=0),1,0)</f>
        <v>0</v>
      </c>
      <c r="AC243">
        <f>IF(AND(vp.tbl[[#This Row],[CrudeType]]="Crude",vp.tbl[[#This Row],[Dens]]&gt;825,vp.tbl[[#This Row],[Dens]]&lt;=900,vp.tbl[[#This Row],[Sulf]]&lt;=0.5,vp.tbl[[#This Row],[Unknown]]=0),1,0)</f>
        <v>0</v>
      </c>
      <c r="AD243">
        <f>IF(AND(vp.tbl[[#This Row],[CrudeType]]="Crude",vp.tbl[[#This Row],[Dens]]&gt;870,vp.tbl[[#This Row],[Dens]]&lt;=900,vp.tbl[[#This Row],[Sulf]]&gt;0.5,vp.tbl[[#This Row],[Unknown]]=0),1,0)</f>
        <v>0</v>
      </c>
      <c r="AE243">
        <f>IF(AND(vp.tbl[[#This Row],[CrudeType]]="Crude",vp.tbl[[#This Row],[Dens]]&gt;900,vp.tbl[[#This Row],[Sulf]]&lt;=0.5,vp.tbl[[#This Row],[Unknown]]=0),1,0)</f>
        <v>0</v>
      </c>
      <c r="AF243">
        <f>IF(AND(vp.tbl[[#This Row],[CrudeType]]="Crude",vp.tbl[[#This Row],[Dens]]&gt;900,vp.tbl[[#This Row],[Sulf]]&lt;=0.5,vp.tbl[[#This Row],[Unknown]]=0),1,0)</f>
        <v>0</v>
      </c>
      <c r="AG243" t="str">
        <f>INDEX(vp.tbl[[#Headers],[Unknown]:[Heavy_SW]],MATCH(1,vp.tbl[[#This Row],[Unknown]:[Heavy_SW]],0))</f>
        <v>Light_SW</v>
      </c>
      <c r="AH243" t="e">
        <f>INDEX([1]!crudeBD.lkup[Number],MATCH(vp.tbl[[#This Row],[Crude_Breakdown]],[1]!crudeBD.lkup[Crude Breakdown],0))</f>
        <v>#REF!</v>
      </c>
      <c r="AI243">
        <f>MONTH(vp.tbl[[#This Row],[SDate]])</f>
        <v>6</v>
      </c>
      <c r="AJ243" s="5">
        <f>IFERROR(vp.tbl[[#This Row],[Sulf]]*vp.tbl[[#This Row],[Net Dens]],"")</f>
        <v>2465473.2142500002</v>
      </c>
      <c r="AK243" s="5">
        <f>IFERROR(vp.tbl[[#This Row],[Dens]]*vp.tbl[[#This Row],[VolumeM3]],"")</f>
        <v>16436488.095000001</v>
      </c>
      <c r="AL243" s="5">
        <f>IFERROR(vp.tbl[[#This Row],[VP]]*vp.tbl[[#This Row],[VolumeM3]],"")</f>
        <v>2243019.87</v>
      </c>
      <c r="AM243" s="4">
        <f>IFERROR((vp.tbl[[#This Row],[VP]]-INDEX(crudeBD.lkup.complete[Mean_VP],MATCH(vp.tbl[[#This Row],[Crude_Breakdown]],crudeBD.lkup.complete[Crude Breakdown],0)))^2,"")</f>
        <v>277.21205758962822</v>
      </c>
      <c r="AN243" s="4">
        <f>IFERROR((vp.tbl[[#This Row],[Dens]]-INDEX(crudeBD.lkup.complete[Mean_Dens],MATCH(vp.tbl[[#This Row],[Crude_Breakdown]],crudeBD.lkup.complete[Crude Breakdown],0)))^2,"")</f>
        <v>65.796403986932546</v>
      </c>
      <c r="AO243" s="4">
        <f>IFERROR((vp.tbl[[#This Row],[Sulf]]-INDEX(crudeBD.lkup.complete[Mean_Sulf],MATCH(vp.tbl[[#This Row],[Crude_Breakdown]],crudeBD.lkup.complete[Crude Breakdown],0)))^2,"")</f>
        <v>7.4376501105998362E-3</v>
      </c>
      <c r="AP243">
        <f>IF(AND(vp.tbl[[#This Row],[SDate]]&gt;=DATE(YEAR(vp.tbl[[#This Row],[SDate]]),5,1),vp.tbl[[#This Row],[SDate]]&lt;=DATE(YEAR(vp.tbl[[#This Row],[SDate]]),9,15)),1,0)</f>
        <v>1</v>
      </c>
      <c r="AQ243" s="15">
        <f>IF(vp.tbl[[#This Row],[SDate]]&lt;DATE(2016,12,1),0,1)</f>
        <v>0</v>
      </c>
    </row>
    <row r="244" spans="1:43" x14ac:dyDescent="0.25">
      <c r="A244">
        <v>243</v>
      </c>
      <c r="B244" t="s">
        <v>51</v>
      </c>
      <c r="C244" t="s">
        <v>51</v>
      </c>
      <c r="D244" t="s">
        <v>52</v>
      </c>
      <c r="F244" s="1">
        <v>42550</v>
      </c>
      <c r="G244" s="2">
        <v>75.2</v>
      </c>
      <c r="H244" s="2"/>
      <c r="I244" s="2">
        <v>2.2999999999999998</v>
      </c>
      <c r="J244" s="2"/>
      <c r="K244" s="2"/>
      <c r="L244" s="2">
        <v>870.1</v>
      </c>
      <c r="M244" s="2">
        <v>870.1</v>
      </c>
      <c r="N244" s="2">
        <f ca="1">INDEX(INDIRECT(_xlfn.CONCAT("weather.tbl[",N$1,"]")),MATCH(vp.tbl[[#This Row],[SDate]],weather.tbl[Date],0))</f>
        <v>19.816666666666666</v>
      </c>
      <c r="O244" s="2">
        <f ca="1">INDEX(INDIRECT(_xlfn.CONCAT("weather.tbl[",O$1,"]")),MATCH(vp.tbl[[#This Row],[SDate]],weather.tbl[Date],0))</f>
        <v>17.559523809523807</v>
      </c>
      <c r="P244" s="2">
        <f ca="1">INDEX(INDIRECT(_xlfn.CONCAT("weather.tbl[",P$1,"]")),MATCH(vp.tbl[[#This Row],[SDate]],weather.tbl[Date],0))</f>
        <v>20.2</v>
      </c>
      <c r="Q244" s="2">
        <f ca="1">INDEX(INDIRECT(_xlfn.CONCAT("weather.tbl[",Q$1,"]")),MATCH(vp.tbl[[#This Row],[SDate]],weather.tbl[Date],0))</f>
        <v>19.399999999999999</v>
      </c>
      <c r="R244" s="2">
        <f ca="1">INDEX(INDIRECT(_xlfn.CONCAT("weather.tbl[",R$1,"]")),MATCH(vp.tbl[[#This Row],[SDate]],weather.tbl[Date],0))</f>
        <v>19</v>
      </c>
      <c r="S244" s="2">
        <f ca="1">INDEX(INDIRECT(_xlfn.CONCAT("weather.tbl[",S$1,"]")),MATCH(vp.tbl[[#This Row],[SDate]],weather.tbl[Date],0))</f>
        <v>21.5</v>
      </c>
      <c r="T244" s="2">
        <f ca="1">INDEX(INDIRECT(_xlfn.CONCAT("weather.tbl[",T$1,"]")),MATCH(vp.tbl[[#This Row],[SDate]],weather.tbl[Date],0))</f>
        <v>19.5</v>
      </c>
      <c r="U244" s="2">
        <f ca="1">INDEX(INDIRECT(_xlfn.CONCAT("weather.tbl[",U$1,"]")),MATCH(vp.tbl[[#This Row],[SDate]],weather.tbl[Date],0))</f>
        <v>19.3</v>
      </c>
      <c r="V244" s="2">
        <v>7479.2</v>
      </c>
      <c r="W244" t="s">
        <v>48</v>
      </c>
      <c r="X244">
        <f>IF(OR(vp.tbl[[#This Row],[Sulf]]="",vp.tbl[[#This Row],[Dens]]=""),1,0)</f>
        <v>0</v>
      </c>
      <c r="Y244">
        <f>IF(vp.tbl[[#This Row],[CrudeType]]="C5+",1,0)</f>
        <v>0</v>
      </c>
      <c r="Z244">
        <f>IF(AND(vp.tbl[[#This Row],[CrudeType]]="Crude",vp.tbl[[#This Row],[Dens]]&lt;=825,vp.tbl[[#This Row],[Sulf]]&gt;0.5,vp.tbl[[#This Row],[Unknown]]=0),1,0)</f>
        <v>0</v>
      </c>
      <c r="AA244">
        <f>IF(AND(vp.tbl[[#This Row],[CrudeType]]="Crude",vp.tbl[[#This Row],[Dens]]&lt;=825,vp.tbl[[#This Row],[Sulf]]&lt;=0.5,vp.tbl[[#This Row],[Unknown]]=0),1,0)</f>
        <v>0</v>
      </c>
      <c r="AB244">
        <f>IF(AND(vp.tbl[[#This Row],[CrudeType]]="Crude",vp.tbl[[#This Row],[Dens]]&gt;825,vp.tbl[[#This Row],[Dens]]&lt;=870,vp.tbl[[#This Row],[Sulf]]&gt;0.5,vp.tbl[[#This Row],[Unknown]]=0),1,0)</f>
        <v>0</v>
      </c>
      <c r="AC244">
        <f>IF(AND(vp.tbl[[#This Row],[CrudeType]]="Crude",vp.tbl[[#This Row],[Dens]]&gt;825,vp.tbl[[#This Row],[Dens]]&lt;=900,vp.tbl[[#This Row],[Sulf]]&lt;=0.5,vp.tbl[[#This Row],[Unknown]]=0),1,0)</f>
        <v>0</v>
      </c>
      <c r="AD244">
        <f>IF(AND(vp.tbl[[#This Row],[CrudeType]]="Crude",vp.tbl[[#This Row],[Dens]]&gt;870,vp.tbl[[#This Row],[Dens]]&lt;=900,vp.tbl[[#This Row],[Sulf]]&gt;0.5,vp.tbl[[#This Row],[Unknown]]=0),1,0)</f>
        <v>1</v>
      </c>
      <c r="AE244">
        <f>IF(AND(vp.tbl[[#This Row],[CrudeType]]="Crude",vp.tbl[[#This Row],[Dens]]&gt;900,vp.tbl[[#This Row],[Sulf]]&lt;=0.5,vp.tbl[[#This Row],[Unknown]]=0),1,0)</f>
        <v>0</v>
      </c>
      <c r="AF244">
        <f>IF(AND(vp.tbl[[#This Row],[CrudeType]]="Crude",vp.tbl[[#This Row],[Dens]]&gt;900,vp.tbl[[#This Row],[Sulf]]&lt;=0.5,vp.tbl[[#This Row],[Unknown]]=0),1,0)</f>
        <v>0</v>
      </c>
      <c r="AG244" t="str">
        <f>INDEX(vp.tbl[[#Headers],[Unknown]:[Heavy_SW]],MATCH(1,vp.tbl[[#This Row],[Unknown]:[Heavy_SW]],0))</f>
        <v>Midale</v>
      </c>
      <c r="AH244" t="e">
        <f>INDEX([1]!crudeBD.lkup[Number],MATCH(vp.tbl[[#This Row],[Crude_Breakdown]],[1]!crudeBD.lkup[Crude Breakdown],0))</f>
        <v>#REF!</v>
      </c>
      <c r="AI244">
        <f>MONTH(vp.tbl[[#This Row],[SDate]])</f>
        <v>6</v>
      </c>
      <c r="AJ244" s="5">
        <f>IFERROR(vp.tbl[[#This Row],[Sulf]]*vp.tbl[[#This Row],[Net Dens]],"")</f>
        <v>14967599.415999999</v>
      </c>
      <c r="AK244" s="5">
        <f>IFERROR(vp.tbl[[#This Row],[Dens]]*vp.tbl[[#This Row],[VolumeM3]],"")</f>
        <v>6507651.9199999999</v>
      </c>
      <c r="AL244" s="5">
        <f>IFERROR(vp.tbl[[#This Row],[VP]]*vp.tbl[[#This Row],[VolumeM3]],"")</f>
        <v>562435.83999999997</v>
      </c>
      <c r="AM244" s="4">
        <f>IFERROR((vp.tbl[[#This Row],[VP]]-INDEX(crudeBD.lkup.complete[Mean_VP],MATCH(vp.tbl[[#This Row],[Crude_Breakdown]],crudeBD.lkup.complete[Crude Breakdown],0)))^2,"")</f>
        <v>48.464484893976213</v>
      </c>
      <c r="AN244" s="4">
        <f>IFERROR((vp.tbl[[#This Row],[Dens]]-INDEX(crudeBD.lkup.complete[Mean_Dens],MATCH(vp.tbl[[#This Row],[Crude_Breakdown]],crudeBD.lkup.complete[Crude Breakdown],0)))^2,"")</f>
        <v>55.533120660531836</v>
      </c>
      <c r="AO244" s="4">
        <f>IFERROR((vp.tbl[[#This Row],[Sulf]]-INDEX(crudeBD.lkup.complete[Mean_Sulf],MATCH(vp.tbl[[#This Row],[Crude_Breakdown]],crudeBD.lkup.complete[Crude Breakdown],0)))^2,"")</f>
        <v>1.3303347200018519E-2</v>
      </c>
      <c r="AP244">
        <f>IF(AND(vp.tbl[[#This Row],[SDate]]&gt;=DATE(YEAR(vp.tbl[[#This Row],[SDate]]),5,1),vp.tbl[[#This Row],[SDate]]&lt;=DATE(YEAR(vp.tbl[[#This Row],[SDate]]),9,15)),1,0)</f>
        <v>1</v>
      </c>
      <c r="AQ244" s="15">
        <f>IF(vp.tbl[[#This Row],[SDate]]&lt;DATE(2016,12,1),0,1)</f>
        <v>0</v>
      </c>
    </row>
    <row r="245" spans="1:43" x14ac:dyDescent="0.25">
      <c r="A245">
        <v>244</v>
      </c>
      <c r="B245" t="s">
        <v>46</v>
      </c>
      <c r="C245" t="s">
        <v>46</v>
      </c>
      <c r="D245" t="s">
        <v>47</v>
      </c>
      <c r="F245" s="1">
        <v>42550</v>
      </c>
      <c r="G245" s="2">
        <v>73.400000000000006</v>
      </c>
      <c r="H245" s="2"/>
      <c r="I245" s="2">
        <v>2.41</v>
      </c>
      <c r="J245" s="2"/>
      <c r="K245" s="2"/>
      <c r="L245" s="2">
        <v>873.4</v>
      </c>
      <c r="M245" s="2">
        <v>873.4</v>
      </c>
      <c r="N245" s="2">
        <f ca="1">INDEX(INDIRECT(_xlfn.CONCAT("weather.tbl[",N$1,"]")),MATCH(vp.tbl[[#This Row],[SDate]],weather.tbl[Date],0))</f>
        <v>19.816666666666666</v>
      </c>
      <c r="O245" s="2">
        <f ca="1">INDEX(INDIRECT(_xlfn.CONCAT("weather.tbl[",O$1,"]")),MATCH(vp.tbl[[#This Row],[SDate]],weather.tbl[Date],0))</f>
        <v>17.559523809523807</v>
      </c>
      <c r="P245" s="2">
        <f ca="1">INDEX(INDIRECT(_xlfn.CONCAT("weather.tbl[",P$1,"]")),MATCH(vp.tbl[[#This Row],[SDate]],weather.tbl[Date],0))</f>
        <v>20.2</v>
      </c>
      <c r="Q245" s="2">
        <f ca="1">INDEX(INDIRECT(_xlfn.CONCAT("weather.tbl[",Q$1,"]")),MATCH(vp.tbl[[#This Row],[SDate]],weather.tbl[Date],0))</f>
        <v>19.399999999999999</v>
      </c>
      <c r="R245" s="2">
        <f ca="1">INDEX(INDIRECT(_xlfn.CONCAT("weather.tbl[",R$1,"]")),MATCH(vp.tbl[[#This Row],[SDate]],weather.tbl[Date],0))</f>
        <v>19</v>
      </c>
      <c r="S245" s="2">
        <f ca="1">INDEX(INDIRECT(_xlfn.CONCAT("weather.tbl[",S$1,"]")),MATCH(vp.tbl[[#This Row],[SDate]],weather.tbl[Date],0))</f>
        <v>21.5</v>
      </c>
      <c r="T245" s="2">
        <f ca="1">INDEX(INDIRECT(_xlfn.CONCAT("weather.tbl[",T$1,"]")),MATCH(vp.tbl[[#This Row],[SDate]],weather.tbl[Date],0))</f>
        <v>19.5</v>
      </c>
      <c r="U245" s="2">
        <f ca="1">INDEX(INDIRECT(_xlfn.CONCAT("weather.tbl[",U$1,"]")),MATCH(vp.tbl[[#This Row],[SDate]],weather.tbl[Date],0))</f>
        <v>19.3</v>
      </c>
      <c r="V245" s="2">
        <v>109776.467</v>
      </c>
      <c r="W245" t="s">
        <v>48</v>
      </c>
      <c r="X245">
        <f>IF(OR(vp.tbl[[#This Row],[Sulf]]="",vp.tbl[[#This Row],[Dens]]=""),1,0)</f>
        <v>0</v>
      </c>
      <c r="Y245">
        <f>IF(vp.tbl[[#This Row],[CrudeType]]="C5+",1,0)</f>
        <v>0</v>
      </c>
      <c r="Z245">
        <f>IF(AND(vp.tbl[[#This Row],[CrudeType]]="Crude",vp.tbl[[#This Row],[Dens]]&lt;=825,vp.tbl[[#This Row],[Sulf]]&gt;0.5,vp.tbl[[#This Row],[Unknown]]=0),1,0)</f>
        <v>0</v>
      </c>
      <c r="AA245">
        <f>IF(AND(vp.tbl[[#This Row],[CrudeType]]="Crude",vp.tbl[[#This Row],[Dens]]&lt;=825,vp.tbl[[#This Row],[Sulf]]&lt;=0.5,vp.tbl[[#This Row],[Unknown]]=0),1,0)</f>
        <v>0</v>
      </c>
      <c r="AB245">
        <f>IF(AND(vp.tbl[[#This Row],[CrudeType]]="Crude",vp.tbl[[#This Row],[Dens]]&gt;825,vp.tbl[[#This Row],[Dens]]&lt;=870,vp.tbl[[#This Row],[Sulf]]&gt;0.5,vp.tbl[[#This Row],[Unknown]]=0),1,0)</f>
        <v>0</v>
      </c>
      <c r="AC245">
        <f>IF(AND(vp.tbl[[#This Row],[CrudeType]]="Crude",vp.tbl[[#This Row],[Dens]]&gt;825,vp.tbl[[#This Row],[Dens]]&lt;=900,vp.tbl[[#This Row],[Sulf]]&lt;=0.5,vp.tbl[[#This Row],[Unknown]]=0),1,0)</f>
        <v>0</v>
      </c>
      <c r="AD245">
        <f>IF(AND(vp.tbl[[#This Row],[CrudeType]]="Crude",vp.tbl[[#This Row],[Dens]]&gt;870,vp.tbl[[#This Row],[Dens]]&lt;=900,vp.tbl[[#This Row],[Sulf]]&gt;0.5,vp.tbl[[#This Row],[Unknown]]=0),1,0)</f>
        <v>1</v>
      </c>
      <c r="AE245">
        <f>IF(AND(vp.tbl[[#This Row],[CrudeType]]="Crude",vp.tbl[[#This Row],[Dens]]&gt;900,vp.tbl[[#This Row],[Sulf]]&lt;=0.5,vp.tbl[[#This Row],[Unknown]]=0),1,0)</f>
        <v>0</v>
      </c>
      <c r="AF245">
        <f>IF(AND(vp.tbl[[#This Row],[CrudeType]]="Crude",vp.tbl[[#This Row],[Dens]]&gt;900,vp.tbl[[#This Row],[Sulf]]&lt;=0.5,vp.tbl[[#This Row],[Unknown]]=0),1,0)</f>
        <v>0</v>
      </c>
      <c r="AG245" t="str">
        <f>INDEX(vp.tbl[[#Headers],[Unknown]:[Heavy_SW]],MATCH(1,vp.tbl[[#This Row],[Unknown]:[Heavy_SW]],0))</f>
        <v>Midale</v>
      </c>
      <c r="AH245" t="e">
        <f>INDEX([1]!crudeBD.lkup[Number],MATCH(vp.tbl[[#This Row],[Crude_Breakdown]],[1]!crudeBD.lkup[Crude Breakdown],0))</f>
        <v>#REF!</v>
      </c>
      <c r="AI245">
        <f>MONTH(vp.tbl[[#This Row],[SDate]])</f>
        <v>6</v>
      </c>
      <c r="AJ245" s="5">
        <f>IFERROR(vp.tbl[[#This Row],[Sulf]]*vp.tbl[[#This Row],[Net Dens]],"")</f>
        <v>231067826.729498</v>
      </c>
      <c r="AK245" s="5">
        <f>IFERROR(vp.tbl[[#This Row],[Dens]]*vp.tbl[[#This Row],[VolumeM3]],"")</f>
        <v>95878766.277799994</v>
      </c>
      <c r="AL245" s="5">
        <f>IFERROR(vp.tbl[[#This Row],[VP]]*vp.tbl[[#This Row],[VolumeM3]],"")</f>
        <v>8057592.6778000006</v>
      </c>
      <c r="AM245" s="4">
        <f>IFERROR((vp.tbl[[#This Row],[VP]]-INDEX(crudeBD.lkup.complete[Mean_VP],MATCH(vp.tbl[[#This Row],[Crude_Breakdown]],crudeBD.lkup.complete[Crude Breakdown],0)))^2,"")</f>
        <v>26.642567085757101</v>
      </c>
      <c r="AN245" s="4">
        <f>IFERROR((vp.tbl[[#This Row],[Dens]]-INDEX(crudeBD.lkup.complete[Mean_Dens],MATCH(vp.tbl[[#This Row],[Crude_Breakdown]],crudeBD.lkup.complete[Crude Breakdown],0)))^2,"")</f>
        <v>17.239559016698745</v>
      </c>
      <c r="AO245" s="4">
        <f>IFERROR((vp.tbl[[#This Row],[Sulf]]-INDEX(crudeBD.lkup.complete[Mean_Sulf],MATCH(vp.tbl[[#This Row],[Crude_Breakdown]],crudeBD.lkup.complete[Crude Breakdown],0)))^2,"")</f>
        <v>2.8517063032449047E-5</v>
      </c>
      <c r="AP245">
        <f>IF(AND(vp.tbl[[#This Row],[SDate]]&gt;=DATE(YEAR(vp.tbl[[#This Row],[SDate]]),5,1),vp.tbl[[#This Row],[SDate]]&lt;=DATE(YEAR(vp.tbl[[#This Row],[SDate]]),9,15)),1,0)</f>
        <v>1</v>
      </c>
      <c r="AQ245" s="15">
        <f>IF(vp.tbl[[#This Row],[SDate]]&lt;DATE(2016,12,1),0,1)</f>
        <v>0</v>
      </c>
    </row>
    <row r="246" spans="1:43" x14ac:dyDescent="0.25">
      <c r="A246">
        <v>245</v>
      </c>
      <c r="B246" t="s">
        <v>49</v>
      </c>
      <c r="C246" t="s">
        <v>49</v>
      </c>
      <c r="D246" t="s">
        <v>50</v>
      </c>
      <c r="F246" s="1">
        <v>42550</v>
      </c>
      <c r="G246" s="2">
        <v>53.4</v>
      </c>
      <c r="H246" s="2"/>
      <c r="I246" s="2">
        <v>2.59</v>
      </c>
      <c r="J246" s="2"/>
      <c r="K246" s="2"/>
      <c r="L246" s="2">
        <v>875.4</v>
      </c>
      <c r="M246" s="2">
        <v>875.4</v>
      </c>
      <c r="N246" s="2">
        <f ca="1">INDEX(INDIRECT(_xlfn.CONCAT("weather.tbl[",N$1,"]")),MATCH(vp.tbl[[#This Row],[SDate]],weather.tbl[Date],0))</f>
        <v>19.816666666666666</v>
      </c>
      <c r="O246" s="2">
        <f ca="1">INDEX(INDIRECT(_xlfn.CONCAT("weather.tbl[",O$1,"]")),MATCH(vp.tbl[[#This Row],[SDate]],weather.tbl[Date],0))</f>
        <v>17.559523809523807</v>
      </c>
      <c r="P246" s="2">
        <f ca="1">INDEX(INDIRECT(_xlfn.CONCAT("weather.tbl[",P$1,"]")),MATCH(vp.tbl[[#This Row],[SDate]],weather.tbl[Date],0))</f>
        <v>20.2</v>
      </c>
      <c r="Q246" s="2">
        <f ca="1">INDEX(INDIRECT(_xlfn.CONCAT("weather.tbl[",Q$1,"]")),MATCH(vp.tbl[[#This Row],[SDate]],weather.tbl[Date],0))</f>
        <v>19.399999999999999</v>
      </c>
      <c r="R246" s="2">
        <f ca="1">INDEX(INDIRECT(_xlfn.CONCAT("weather.tbl[",R$1,"]")),MATCH(vp.tbl[[#This Row],[SDate]],weather.tbl[Date],0))</f>
        <v>19</v>
      </c>
      <c r="S246" s="2">
        <f ca="1">INDEX(INDIRECT(_xlfn.CONCAT("weather.tbl[",S$1,"]")),MATCH(vp.tbl[[#This Row],[SDate]],weather.tbl[Date],0))</f>
        <v>21.5</v>
      </c>
      <c r="T246" s="2">
        <f ca="1">INDEX(INDIRECT(_xlfn.CONCAT("weather.tbl[",T$1,"]")),MATCH(vp.tbl[[#This Row],[SDate]],weather.tbl[Date],0))</f>
        <v>19.5</v>
      </c>
      <c r="U246" s="2">
        <f ca="1">INDEX(INDIRECT(_xlfn.CONCAT("weather.tbl[",U$1,"]")),MATCH(vp.tbl[[#This Row],[SDate]],weather.tbl[Date],0))</f>
        <v>19.3</v>
      </c>
      <c r="V246" s="2">
        <v>6772.5280000000002</v>
      </c>
      <c r="W246" t="s">
        <v>48</v>
      </c>
      <c r="X246">
        <f>IF(OR(vp.tbl[[#This Row],[Sulf]]="",vp.tbl[[#This Row],[Dens]]=""),1,0)</f>
        <v>0</v>
      </c>
      <c r="Y246">
        <f>IF(vp.tbl[[#This Row],[CrudeType]]="C5+",1,0)</f>
        <v>0</v>
      </c>
      <c r="Z246">
        <f>IF(AND(vp.tbl[[#This Row],[CrudeType]]="Crude",vp.tbl[[#This Row],[Dens]]&lt;=825,vp.tbl[[#This Row],[Sulf]]&gt;0.5,vp.tbl[[#This Row],[Unknown]]=0),1,0)</f>
        <v>0</v>
      </c>
      <c r="AA246">
        <f>IF(AND(vp.tbl[[#This Row],[CrudeType]]="Crude",vp.tbl[[#This Row],[Dens]]&lt;=825,vp.tbl[[#This Row],[Sulf]]&lt;=0.5,vp.tbl[[#This Row],[Unknown]]=0),1,0)</f>
        <v>0</v>
      </c>
      <c r="AB246">
        <f>IF(AND(vp.tbl[[#This Row],[CrudeType]]="Crude",vp.tbl[[#This Row],[Dens]]&gt;825,vp.tbl[[#This Row],[Dens]]&lt;=870,vp.tbl[[#This Row],[Sulf]]&gt;0.5,vp.tbl[[#This Row],[Unknown]]=0),1,0)</f>
        <v>0</v>
      </c>
      <c r="AC246">
        <f>IF(AND(vp.tbl[[#This Row],[CrudeType]]="Crude",vp.tbl[[#This Row],[Dens]]&gt;825,vp.tbl[[#This Row],[Dens]]&lt;=900,vp.tbl[[#This Row],[Sulf]]&lt;=0.5,vp.tbl[[#This Row],[Unknown]]=0),1,0)</f>
        <v>0</v>
      </c>
      <c r="AD246">
        <f>IF(AND(vp.tbl[[#This Row],[CrudeType]]="Crude",vp.tbl[[#This Row],[Dens]]&gt;870,vp.tbl[[#This Row],[Dens]]&lt;=900,vp.tbl[[#This Row],[Sulf]]&gt;0.5,vp.tbl[[#This Row],[Unknown]]=0),1,0)</f>
        <v>1</v>
      </c>
      <c r="AE246">
        <f>IF(AND(vp.tbl[[#This Row],[CrudeType]]="Crude",vp.tbl[[#This Row],[Dens]]&gt;900,vp.tbl[[#This Row],[Sulf]]&lt;=0.5,vp.tbl[[#This Row],[Unknown]]=0),1,0)</f>
        <v>0</v>
      </c>
      <c r="AF246">
        <f>IF(AND(vp.tbl[[#This Row],[CrudeType]]="Crude",vp.tbl[[#This Row],[Dens]]&gt;900,vp.tbl[[#This Row],[Sulf]]&lt;=0.5,vp.tbl[[#This Row],[Unknown]]=0),1,0)</f>
        <v>0</v>
      </c>
      <c r="AG246" t="str">
        <f>INDEX(vp.tbl[[#Headers],[Unknown]:[Heavy_SW]],MATCH(1,vp.tbl[[#This Row],[Unknown]:[Heavy_SW]],0))</f>
        <v>Midale</v>
      </c>
      <c r="AH246" t="e">
        <f>INDEX([1]!crudeBD.lkup[Number],MATCH(vp.tbl[[#This Row],[Crude_Breakdown]],[1]!crudeBD.lkup[Crude Breakdown],0))</f>
        <v>#REF!</v>
      </c>
      <c r="AI246">
        <f>MONTH(vp.tbl[[#This Row],[SDate]])</f>
        <v>6</v>
      </c>
      <c r="AJ246" s="5">
        <f>IFERROR(vp.tbl[[#This Row],[Sulf]]*vp.tbl[[#This Row],[Net Dens]],"")</f>
        <v>15355257.919007998</v>
      </c>
      <c r="AK246" s="5">
        <f>IFERROR(vp.tbl[[#This Row],[Dens]]*vp.tbl[[#This Row],[VolumeM3]],"")</f>
        <v>5928671.0111999996</v>
      </c>
      <c r="AL246" s="5">
        <f>IFERROR(vp.tbl[[#This Row],[VP]]*vp.tbl[[#This Row],[VolumeM3]],"")</f>
        <v>361652.9952</v>
      </c>
      <c r="AM246" s="4">
        <f>IFERROR((vp.tbl[[#This Row],[VP]]-INDEX(crudeBD.lkup.complete[Mean_VP],MATCH(vp.tbl[[#This Row],[Crude_Breakdown]],crudeBD.lkup.complete[Crude Breakdown],0)))^2,"")</f>
        <v>220.17681366110008</v>
      </c>
      <c r="AN246" s="4">
        <f>IFERROR((vp.tbl[[#This Row],[Dens]]-INDEX(crudeBD.lkup.complete[Mean_Dens],MATCH(vp.tbl[[#This Row],[Crude_Breakdown]],crudeBD.lkup.complete[Crude Breakdown],0)))^2,"")</f>
        <v>4.6313398386176727</v>
      </c>
      <c r="AO246" s="4">
        <f>IFERROR((vp.tbl[[#This Row],[Sulf]]-INDEX(crudeBD.lkup.complete[Mean_Sulf],MATCH(vp.tbl[[#This Row],[Crude_Breakdown]],crudeBD.lkup.complete[Crude Breakdown],0)))^2,"")</f>
        <v>3.0506067747964355E-2</v>
      </c>
      <c r="AP246">
        <f>IF(AND(vp.tbl[[#This Row],[SDate]]&gt;=DATE(YEAR(vp.tbl[[#This Row],[SDate]]),5,1),vp.tbl[[#This Row],[SDate]]&lt;=DATE(YEAR(vp.tbl[[#This Row],[SDate]]),9,15)),1,0)</f>
        <v>1</v>
      </c>
      <c r="AQ246" s="15">
        <f>IF(vp.tbl[[#This Row],[SDate]]&lt;DATE(2016,12,1),0,1)</f>
        <v>0</v>
      </c>
    </row>
    <row r="247" spans="1:43" x14ac:dyDescent="0.25">
      <c r="A247">
        <v>246</v>
      </c>
      <c r="B247" t="s">
        <v>49</v>
      </c>
      <c r="C247" t="s">
        <v>49</v>
      </c>
      <c r="D247" t="s">
        <v>86</v>
      </c>
      <c r="F247" s="1">
        <v>42550</v>
      </c>
      <c r="G247" s="2">
        <v>55.3</v>
      </c>
      <c r="H247" s="2"/>
      <c r="I247" s="2">
        <v>2.8</v>
      </c>
      <c r="J247" s="2"/>
      <c r="K247" s="2"/>
      <c r="L247" s="2">
        <v>888.9</v>
      </c>
      <c r="M247" s="2">
        <v>888.9</v>
      </c>
      <c r="N247" s="2">
        <f ca="1">INDEX(INDIRECT(_xlfn.CONCAT("weather.tbl[",N$1,"]")),MATCH(vp.tbl[[#This Row],[SDate]],weather.tbl[Date],0))</f>
        <v>19.816666666666666</v>
      </c>
      <c r="O247" s="2">
        <f ca="1">INDEX(INDIRECT(_xlfn.CONCAT("weather.tbl[",O$1,"]")),MATCH(vp.tbl[[#This Row],[SDate]],weather.tbl[Date],0))</f>
        <v>17.559523809523807</v>
      </c>
      <c r="P247" s="2">
        <f ca="1">INDEX(INDIRECT(_xlfn.CONCAT("weather.tbl[",P$1,"]")),MATCH(vp.tbl[[#This Row],[SDate]],weather.tbl[Date],0))</f>
        <v>20.2</v>
      </c>
      <c r="Q247" s="2">
        <f ca="1">INDEX(INDIRECT(_xlfn.CONCAT("weather.tbl[",Q$1,"]")),MATCH(vp.tbl[[#This Row],[SDate]],weather.tbl[Date],0))</f>
        <v>19.399999999999999</v>
      </c>
      <c r="R247" s="2">
        <f ca="1">INDEX(INDIRECT(_xlfn.CONCAT("weather.tbl[",R$1,"]")),MATCH(vp.tbl[[#This Row],[SDate]],weather.tbl[Date],0))</f>
        <v>19</v>
      </c>
      <c r="S247" s="2">
        <f ca="1">INDEX(INDIRECT(_xlfn.CONCAT("weather.tbl[",S$1,"]")),MATCH(vp.tbl[[#This Row],[SDate]],weather.tbl[Date],0))</f>
        <v>21.5</v>
      </c>
      <c r="T247" s="2">
        <f ca="1">INDEX(INDIRECT(_xlfn.CONCAT("weather.tbl[",T$1,"]")),MATCH(vp.tbl[[#This Row],[SDate]],weather.tbl[Date],0))</f>
        <v>19.5</v>
      </c>
      <c r="U247" s="2">
        <f ca="1">INDEX(INDIRECT(_xlfn.CONCAT("weather.tbl[",U$1,"]")),MATCH(vp.tbl[[#This Row],[SDate]],weather.tbl[Date],0))</f>
        <v>19.3</v>
      </c>
      <c r="V247" s="2">
        <v>4179.8819999999996</v>
      </c>
      <c r="W247" t="s">
        <v>48</v>
      </c>
      <c r="X247">
        <f>IF(OR(vp.tbl[[#This Row],[Sulf]]="",vp.tbl[[#This Row],[Dens]]=""),1,0)</f>
        <v>0</v>
      </c>
      <c r="Y247">
        <f>IF(vp.tbl[[#This Row],[CrudeType]]="C5+",1,0)</f>
        <v>0</v>
      </c>
      <c r="Z247">
        <f>IF(AND(vp.tbl[[#This Row],[CrudeType]]="Crude",vp.tbl[[#This Row],[Dens]]&lt;=825,vp.tbl[[#This Row],[Sulf]]&gt;0.5,vp.tbl[[#This Row],[Unknown]]=0),1,0)</f>
        <v>0</v>
      </c>
      <c r="AA247">
        <f>IF(AND(vp.tbl[[#This Row],[CrudeType]]="Crude",vp.tbl[[#This Row],[Dens]]&lt;=825,vp.tbl[[#This Row],[Sulf]]&lt;=0.5,vp.tbl[[#This Row],[Unknown]]=0),1,0)</f>
        <v>0</v>
      </c>
      <c r="AB247">
        <f>IF(AND(vp.tbl[[#This Row],[CrudeType]]="Crude",vp.tbl[[#This Row],[Dens]]&gt;825,vp.tbl[[#This Row],[Dens]]&lt;=870,vp.tbl[[#This Row],[Sulf]]&gt;0.5,vp.tbl[[#This Row],[Unknown]]=0),1,0)</f>
        <v>0</v>
      </c>
      <c r="AC247">
        <f>IF(AND(vp.tbl[[#This Row],[CrudeType]]="Crude",vp.tbl[[#This Row],[Dens]]&gt;825,vp.tbl[[#This Row],[Dens]]&lt;=900,vp.tbl[[#This Row],[Sulf]]&lt;=0.5,vp.tbl[[#This Row],[Unknown]]=0),1,0)</f>
        <v>0</v>
      </c>
      <c r="AD247">
        <f>IF(AND(vp.tbl[[#This Row],[CrudeType]]="Crude",vp.tbl[[#This Row],[Dens]]&gt;870,vp.tbl[[#This Row],[Dens]]&lt;=900,vp.tbl[[#This Row],[Sulf]]&gt;0.5,vp.tbl[[#This Row],[Unknown]]=0),1,0)</f>
        <v>1</v>
      </c>
      <c r="AE247">
        <f>IF(AND(vp.tbl[[#This Row],[CrudeType]]="Crude",vp.tbl[[#This Row],[Dens]]&gt;900,vp.tbl[[#This Row],[Sulf]]&lt;=0.5,vp.tbl[[#This Row],[Unknown]]=0),1,0)</f>
        <v>0</v>
      </c>
      <c r="AF247">
        <f>IF(AND(vp.tbl[[#This Row],[CrudeType]]="Crude",vp.tbl[[#This Row],[Dens]]&gt;900,vp.tbl[[#This Row],[Sulf]]&lt;=0.5,vp.tbl[[#This Row],[Unknown]]=0),1,0)</f>
        <v>0</v>
      </c>
      <c r="AG247" t="str">
        <f>INDEX(vp.tbl[[#Headers],[Unknown]:[Heavy_SW]],MATCH(1,vp.tbl[[#This Row],[Unknown]:[Heavy_SW]],0))</f>
        <v>Midale</v>
      </c>
      <c r="AH247" t="e">
        <f>INDEX([1]!crudeBD.lkup[Number],MATCH(vp.tbl[[#This Row],[Crude_Breakdown]],[1]!crudeBD.lkup[Crude Breakdown],0))</f>
        <v>#REF!</v>
      </c>
      <c r="AI247">
        <f>MONTH(vp.tbl[[#This Row],[SDate]])</f>
        <v>6</v>
      </c>
      <c r="AJ247" s="5">
        <f>IFERROR(vp.tbl[[#This Row],[Sulf]]*vp.tbl[[#This Row],[Net Dens]],"")</f>
        <v>10403391.907439999</v>
      </c>
      <c r="AK247" s="5">
        <f>IFERROR(vp.tbl[[#This Row],[Dens]]*vp.tbl[[#This Row],[VolumeM3]],"")</f>
        <v>3715497.1097999997</v>
      </c>
      <c r="AL247" s="5">
        <f>IFERROR(vp.tbl[[#This Row],[VP]]*vp.tbl[[#This Row],[VolumeM3]],"")</f>
        <v>231147.47459999996</v>
      </c>
      <c r="AM247" s="4">
        <f>IFERROR((vp.tbl[[#This Row],[VP]]-INDEX(crudeBD.lkup.complete[Mean_VP],MATCH(vp.tbl[[#This Row],[Crude_Breakdown]],crudeBD.lkup.complete[Crude Breakdown],0)))^2,"")</f>
        <v>167.40106023644253</v>
      </c>
      <c r="AN247" s="4">
        <f>IFERROR((vp.tbl[[#This Row],[Dens]]-INDEX(crudeBD.lkup.complete[Mean_Dens],MATCH(vp.tbl[[#This Row],[Crude_Breakdown]],crudeBD.lkup.complete[Crude Breakdown],0)))^2,"")</f>
        <v>128.77586038657043</v>
      </c>
      <c r="AO247" s="4">
        <f>IFERROR((vp.tbl[[#This Row],[Sulf]]-INDEX(crudeBD.lkup.complete[Mean_Sulf],MATCH(vp.tbl[[#This Row],[Crude_Breakdown]],crudeBD.lkup.complete[Crude Breakdown],0)))^2,"")</f>
        <v>0.14796321021371822</v>
      </c>
      <c r="AP247">
        <f>IF(AND(vp.tbl[[#This Row],[SDate]]&gt;=DATE(YEAR(vp.tbl[[#This Row],[SDate]]),5,1),vp.tbl[[#This Row],[SDate]]&lt;=DATE(YEAR(vp.tbl[[#This Row],[SDate]]),9,15)),1,0)</f>
        <v>1</v>
      </c>
      <c r="AQ247" s="15">
        <f>IF(vp.tbl[[#This Row],[SDate]]&lt;DATE(2016,12,1),0,1)</f>
        <v>0</v>
      </c>
    </row>
    <row r="248" spans="1:43" x14ac:dyDescent="0.25">
      <c r="A248">
        <v>247</v>
      </c>
      <c r="B248" t="s">
        <v>60</v>
      </c>
      <c r="C248" t="s">
        <v>60</v>
      </c>
      <c r="D248" t="s">
        <v>61</v>
      </c>
      <c r="E248" t="s">
        <v>55</v>
      </c>
      <c r="F248" s="1">
        <v>42550</v>
      </c>
      <c r="G248" s="2">
        <v>95.6</v>
      </c>
      <c r="H248" s="2"/>
      <c r="I248" s="2">
        <v>1.1499999999999999</v>
      </c>
      <c r="J248" s="2"/>
      <c r="K248" s="2"/>
      <c r="L248" s="2">
        <v>831</v>
      </c>
      <c r="M248" s="2">
        <v>831</v>
      </c>
      <c r="N248" s="2">
        <f ca="1">INDEX(INDIRECT(_xlfn.CONCAT("weather.tbl[",N$1,"]")),MATCH(vp.tbl[[#This Row],[SDate]],weather.tbl[Date],0))</f>
        <v>19.816666666666666</v>
      </c>
      <c r="O248" s="2">
        <f ca="1">INDEX(INDIRECT(_xlfn.CONCAT("weather.tbl[",O$1,"]")),MATCH(vp.tbl[[#This Row],[SDate]],weather.tbl[Date],0))</f>
        <v>17.559523809523807</v>
      </c>
      <c r="P248" s="2">
        <f ca="1">INDEX(INDIRECT(_xlfn.CONCAT("weather.tbl[",P$1,"]")),MATCH(vp.tbl[[#This Row],[SDate]],weather.tbl[Date],0))</f>
        <v>20.2</v>
      </c>
      <c r="Q248" s="2">
        <f ca="1">INDEX(INDIRECT(_xlfn.CONCAT("weather.tbl[",Q$1,"]")),MATCH(vp.tbl[[#This Row],[SDate]],weather.tbl[Date],0))</f>
        <v>19.399999999999999</v>
      </c>
      <c r="R248" s="2">
        <f ca="1">INDEX(INDIRECT(_xlfn.CONCAT("weather.tbl[",R$1,"]")),MATCH(vp.tbl[[#This Row],[SDate]],weather.tbl[Date],0))</f>
        <v>19</v>
      </c>
      <c r="S248" s="2">
        <f ca="1">INDEX(INDIRECT(_xlfn.CONCAT("weather.tbl[",S$1,"]")),MATCH(vp.tbl[[#This Row],[SDate]],weather.tbl[Date],0))</f>
        <v>21.5</v>
      </c>
      <c r="T248" s="2">
        <f ca="1">INDEX(INDIRECT(_xlfn.CONCAT("weather.tbl[",T$1,"]")),MATCH(vp.tbl[[#This Row],[SDate]],weather.tbl[Date],0))</f>
        <v>19.5</v>
      </c>
      <c r="U248" s="2">
        <f ca="1">INDEX(INDIRECT(_xlfn.CONCAT("weather.tbl[",U$1,"]")),MATCH(vp.tbl[[#This Row],[SDate]],weather.tbl[Date],0))</f>
        <v>19.3</v>
      </c>
      <c r="V248" s="2">
        <v>104067.856</v>
      </c>
      <c r="W248" t="s">
        <v>48</v>
      </c>
      <c r="X248">
        <f>IF(OR(vp.tbl[[#This Row],[Sulf]]="",vp.tbl[[#This Row],[Dens]]=""),1,0)</f>
        <v>0</v>
      </c>
      <c r="Y248">
        <f>IF(vp.tbl[[#This Row],[CrudeType]]="C5+",1,0)</f>
        <v>0</v>
      </c>
      <c r="Z248">
        <f>IF(AND(vp.tbl[[#This Row],[CrudeType]]="Crude",vp.tbl[[#This Row],[Dens]]&lt;=825,vp.tbl[[#This Row],[Sulf]]&gt;0.5,vp.tbl[[#This Row],[Unknown]]=0),1,0)</f>
        <v>0</v>
      </c>
      <c r="AA248">
        <f>IF(AND(vp.tbl[[#This Row],[CrudeType]]="Crude",vp.tbl[[#This Row],[Dens]]&lt;=825,vp.tbl[[#This Row],[Sulf]]&lt;=0.5,vp.tbl[[#This Row],[Unknown]]=0),1,0)</f>
        <v>0</v>
      </c>
      <c r="AB248">
        <f>IF(AND(vp.tbl[[#This Row],[CrudeType]]="Crude",vp.tbl[[#This Row],[Dens]]&gt;825,vp.tbl[[#This Row],[Dens]]&lt;=870,vp.tbl[[#This Row],[Sulf]]&gt;0.5,vp.tbl[[#This Row],[Unknown]]=0),1,0)</f>
        <v>1</v>
      </c>
      <c r="AC248">
        <f>IF(AND(vp.tbl[[#This Row],[CrudeType]]="Crude",vp.tbl[[#This Row],[Dens]]&gt;825,vp.tbl[[#This Row],[Dens]]&lt;=900,vp.tbl[[#This Row],[Sulf]]&lt;=0.5,vp.tbl[[#This Row],[Unknown]]=0),1,0)</f>
        <v>0</v>
      </c>
      <c r="AD248">
        <f>IF(AND(vp.tbl[[#This Row],[CrudeType]]="Crude",vp.tbl[[#This Row],[Dens]]&gt;870,vp.tbl[[#This Row],[Dens]]&lt;=900,vp.tbl[[#This Row],[Sulf]]&gt;0.5,vp.tbl[[#This Row],[Unknown]]=0),1,0)</f>
        <v>0</v>
      </c>
      <c r="AE248">
        <f>IF(AND(vp.tbl[[#This Row],[CrudeType]]="Crude",vp.tbl[[#This Row],[Dens]]&gt;900,vp.tbl[[#This Row],[Sulf]]&lt;=0.5,vp.tbl[[#This Row],[Unknown]]=0),1,0)</f>
        <v>0</v>
      </c>
      <c r="AF248">
        <f>IF(AND(vp.tbl[[#This Row],[CrudeType]]="Crude",vp.tbl[[#This Row],[Dens]]&gt;900,vp.tbl[[#This Row],[Sulf]]&lt;=0.5,vp.tbl[[#This Row],[Unknown]]=0),1,0)</f>
        <v>0</v>
      </c>
      <c r="AG248" t="str">
        <f>INDEX(vp.tbl[[#Headers],[Unknown]:[Heavy_SW]],MATCH(1,vp.tbl[[#This Row],[Unknown]:[Heavy_SW]],0))</f>
        <v>Medium_LSB</v>
      </c>
      <c r="AH248" t="e">
        <f>INDEX([1]!crudeBD.lkup[Number],MATCH(vp.tbl[[#This Row],[Crude_Breakdown]],[1]!crudeBD.lkup[Crude Breakdown],0))</f>
        <v>#REF!</v>
      </c>
      <c r="AI248">
        <f>MONTH(vp.tbl[[#This Row],[SDate]])</f>
        <v>6</v>
      </c>
      <c r="AJ248" s="5">
        <f>IFERROR(vp.tbl[[#This Row],[Sulf]]*vp.tbl[[#This Row],[Net Dens]],"")</f>
        <v>99452446.586399987</v>
      </c>
      <c r="AK248" s="5">
        <f>IFERROR(vp.tbl[[#This Row],[Dens]]*vp.tbl[[#This Row],[VolumeM3]],"")</f>
        <v>86480388.335999995</v>
      </c>
      <c r="AL248" s="5">
        <f>IFERROR(vp.tbl[[#This Row],[VP]]*vp.tbl[[#This Row],[VolumeM3]],"")</f>
        <v>9948887.0335999988</v>
      </c>
      <c r="AM248" s="4">
        <f>IFERROR((vp.tbl[[#This Row],[VP]]-INDEX(crudeBD.lkup.complete[Mean_VP],MATCH(vp.tbl[[#This Row],[Crude_Breakdown]],crudeBD.lkup.complete[Crude Breakdown],0)))^2,"")</f>
        <v>237.97397317673546</v>
      </c>
      <c r="AN248" s="4">
        <f>IFERROR((vp.tbl[[#This Row],[Dens]]-INDEX(crudeBD.lkup.complete[Mean_Dens],MATCH(vp.tbl[[#This Row],[Crude_Breakdown]],crudeBD.lkup.complete[Crude Breakdown],0)))^2,"")</f>
        <v>204.25619851238974</v>
      </c>
      <c r="AO248" s="4">
        <f>IFERROR((vp.tbl[[#This Row],[Sulf]]-INDEX(crudeBD.lkup.complete[Mean_Sulf],MATCH(vp.tbl[[#This Row],[Crude_Breakdown]],crudeBD.lkup.complete[Crude Breakdown],0)))^2,"")</f>
        <v>9.2982219982805162E-2</v>
      </c>
      <c r="AP248">
        <f>IF(AND(vp.tbl[[#This Row],[SDate]]&gt;=DATE(YEAR(vp.tbl[[#This Row],[SDate]]),5,1),vp.tbl[[#This Row],[SDate]]&lt;=DATE(YEAR(vp.tbl[[#This Row],[SDate]]),9,15)),1,0)</f>
        <v>1</v>
      </c>
      <c r="AQ248" s="15">
        <f>IF(vp.tbl[[#This Row],[SDate]]&lt;DATE(2016,12,1),0,1)</f>
        <v>0</v>
      </c>
    </row>
    <row r="249" spans="1:43" x14ac:dyDescent="0.25">
      <c r="A249">
        <v>248</v>
      </c>
      <c r="B249" t="s">
        <v>49</v>
      </c>
      <c r="C249" t="s">
        <v>49</v>
      </c>
      <c r="D249" t="s">
        <v>67</v>
      </c>
      <c r="F249" s="1">
        <v>42556</v>
      </c>
      <c r="G249" s="2">
        <v>96.4</v>
      </c>
      <c r="H249" s="2"/>
      <c r="I249" s="2">
        <v>0.21</v>
      </c>
      <c r="J249" s="2"/>
      <c r="K249" s="2"/>
      <c r="L249" s="2">
        <v>805.7</v>
      </c>
      <c r="M249" s="2">
        <v>805.7</v>
      </c>
      <c r="N249" s="2">
        <f ca="1">INDEX(INDIRECT(_xlfn.CONCAT("weather.tbl[",N$1,"]")),MATCH(vp.tbl[[#This Row],[SDate]],weather.tbl[Date],0))</f>
        <v>17.716666666666665</v>
      </c>
      <c r="O249" s="2">
        <f ca="1">INDEX(INDIRECT(_xlfn.CONCAT("weather.tbl[",O$1,"]")),MATCH(vp.tbl[[#This Row],[SDate]],weather.tbl[Date],0))</f>
        <v>18.185714285714287</v>
      </c>
      <c r="P249" s="2">
        <f ca="1">INDEX(INDIRECT(_xlfn.CONCAT("weather.tbl[",P$1,"]")),MATCH(vp.tbl[[#This Row],[SDate]],weather.tbl[Date],0))</f>
        <v>17.5</v>
      </c>
      <c r="Q249" s="2">
        <f ca="1">INDEX(INDIRECT(_xlfn.CONCAT("weather.tbl[",Q$1,"]")),MATCH(vp.tbl[[#This Row],[SDate]],weather.tbl[Date],0))</f>
        <v>16.899999999999999</v>
      </c>
      <c r="R249" s="2">
        <f ca="1">INDEX(INDIRECT(_xlfn.CONCAT("weather.tbl[",R$1,"]")),MATCH(vp.tbl[[#This Row],[SDate]],weather.tbl[Date],0))</f>
        <v>17.5</v>
      </c>
      <c r="S249" s="2">
        <f ca="1">INDEX(INDIRECT(_xlfn.CONCAT("weather.tbl[",S$1,"]")),MATCH(vp.tbl[[#This Row],[SDate]],weather.tbl[Date],0))</f>
        <v>18.5</v>
      </c>
      <c r="T249" s="2">
        <f ca="1">INDEX(INDIRECT(_xlfn.CONCAT("weather.tbl[",T$1,"]")),MATCH(vp.tbl[[#This Row],[SDate]],weather.tbl[Date],0))</f>
        <v>18.600000000000001</v>
      </c>
      <c r="U249" s="2">
        <f ca="1">INDEX(INDIRECT(_xlfn.CONCAT("weather.tbl[",U$1,"]")),MATCH(vp.tbl[[#This Row],[SDate]],weather.tbl[Date],0))</f>
        <v>17.3</v>
      </c>
      <c r="V249" s="2">
        <v>49148.319000000003</v>
      </c>
      <c r="W249" t="s">
        <v>48</v>
      </c>
      <c r="X249">
        <f>IF(OR(vp.tbl[[#This Row],[Sulf]]="",vp.tbl[[#This Row],[Dens]]=""),1,0)</f>
        <v>0</v>
      </c>
      <c r="Y249">
        <f>IF(vp.tbl[[#This Row],[CrudeType]]="C5+",1,0)</f>
        <v>0</v>
      </c>
      <c r="Z249">
        <f>IF(AND(vp.tbl[[#This Row],[CrudeType]]="Crude",vp.tbl[[#This Row],[Dens]]&lt;=825,vp.tbl[[#This Row],[Sulf]]&gt;0.5,vp.tbl[[#This Row],[Unknown]]=0),1,0)</f>
        <v>0</v>
      </c>
      <c r="AA249">
        <f>IF(AND(vp.tbl[[#This Row],[CrudeType]]="Crude",vp.tbl[[#This Row],[Dens]]&lt;=825,vp.tbl[[#This Row],[Sulf]]&lt;=0.5,vp.tbl[[#This Row],[Unknown]]=0),1,0)</f>
        <v>1</v>
      </c>
      <c r="AB249">
        <f>IF(AND(vp.tbl[[#This Row],[CrudeType]]="Crude",vp.tbl[[#This Row],[Dens]]&gt;825,vp.tbl[[#This Row],[Dens]]&lt;=870,vp.tbl[[#This Row],[Sulf]]&gt;0.5,vp.tbl[[#This Row],[Unknown]]=0),1,0)</f>
        <v>0</v>
      </c>
      <c r="AC249">
        <f>IF(AND(vp.tbl[[#This Row],[CrudeType]]="Crude",vp.tbl[[#This Row],[Dens]]&gt;825,vp.tbl[[#This Row],[Dens]]&lt;=900,vp.tbl[[#This Row],[Sulf]]&lt;=0.5,vp.tbl[[#This Row],[Unknown]]=0),1,0)</f>
        <v>0</v>
      </c>
      <c r="AD249">
        <f>IF(AND(vp.tbl[[#This Row],[CrudeType]]="Crude",vp.tbl[[#This Row],[Dens]]&gt;870,vp.tbl[[#This Row],[Dens]]&lt;=900,vp.tbl[[#This Row],[Sulf]]&gt;0.5,vp.tbl[[#This Row],[Unknown]]=0),1,0)</f>
        <v>0</v>
      </c>
      <c r="AE249">
        <f>IF(AND(vp.tbl[[#This Row],[CrudeType]]="Crude",vp.tbl[[#This Row],[Dens]]&gt;900,vp.tbl[[#This Row],[Sulf]]&lt;=0.5,vp.tbl[[#This Row],[Unknown]]=0),1,0)</f>
        <v>0</v>
      </c>
      <c r="AF249">
        <f>IF(AND(vp.tbl[[#This Row],[CrudeType]]="Crude",vp.tbl[[#This Row],[Dens]]&gt;900,vp.tbl[[#This Row],[Sulf]]&lt;=0.5,vp.tbl[[#This Row],[Unknown]]=0),1,0)</f>
        <v>0</v>
      </c>
      <c r="AG249" t="str">
        <f>INDEX(vp.tbl[[#Headers],[Unknown]:[Heavy_SW]],MATCH(1,vp.tbl[[#This Row],[Unknown]:[Heavy_SW]],0))</f>
        <v>Light_SW</v>
      </c>
      <c r="AH249" t="e">
        <f>INDEX([1]!crudeBD.lkup[Number],MATCH(vp.tbl[[#This Row],[Crude_Breakdown]],[1]!crudeBD.lkup[Crude Breakdown],0))</f>
        <v>#REF!</v>
      </c>
      <c r="AI249">
        <f>MONTH(vp.tbl[[#This Row],[SDate]])</f>
        <v>7</v>
      </c>
      <c r="AJ249" s="5">
        <f>IFERROR(vp.tbl[[#This Row],[Sulf]]*vp.tbl[[#This Row],[Net Dens]],"")</f>
        <v>8315748.1298430013</v>
      </c>
      <c r="AK249" s="5">
        <f>IFERROR(vp.tbl[[#This Row],[Dens]]*vp.tbl[[#This Row],[VolumeM3]],"")</f>
        <v>39598800.618300006</v>
      </c>
      <c r="AL249" s="5">
        <f>IFERROR(vp.tbl[[#This Row],[VP]]*vp.tbl[[#This Row],[VolumeM3]],"")</f>
        <v>4737897.9516000003</v>
      </c>
      <c r="AM249" s="4">
        <f>IFERROR((vp.tbl[[#This Row],[VP]]-INDEX(crudeBD.lkup.complete[Mean_VP],MATCH(vp.tbl[[#This Row],[Crude_Breakdown]],crudeBD.lkup.complete[Crude Breakdown],0)))^2,"")</f>
        <v>14.820085464191896</v>
      </c>
      <c r="AN249" s="4">
        <f>IFERROR((vp.tbl[[#This Row],[Dens]]-INDEX(crudeBD.lkup.complete[Mean_Dens],MATCH(vp.tbl[[#This Row],[Crude_Breakdown]],crudeBD.lkup.complete[Crude Breakdown],0)))^2,"")</f>
        <v>6.8199231506985214</v>
      </c>
      <c r="AO249" s="4">
        <f>IFERROR((vp.tbl[[#This Row],[Sulf]]-INDEX(crudeBD.lkup.complete[Mean_Sulf],MATCH(vp.tbl[[#This Row],[Crude_Breakdown]],crudeBD.lkup.complete[Crude Breakdown],0)))^2,"")</f>
        <v>6.8863268899706654E-4</v>
      </c>
      <c r="AP249">
        <f>IF(AND(vp.tbl[[#This Row],[SDate]]&gt;=DATE(YEAR(vp.tbl[[#This Row],[SDate]]),5,1),vp.tbl[[#This Row],[SDate]]&lt;=DATE(YEAR(vp.tbl[[#This Row],[SDate]]),9,15)),1,0)</f>
        <v>1</v>
      </c>
      <c r="AQ249" s="15">
        <f>IF(vp.tbl[[#This Row],[SDate]]&lt;DATE(2016,12,1),0,1)</f>
        <v>0</v>
      </c>
    </row>
    <row r="250" spans="1:43" x14ac:dyDescent="0.25">
      <c r="A250">
        <v>249</v>
      </c>
      <c r="B250" t="s">
        <v>49</v>
      </c>
      <c r="C250" t="s">
        <v>49</v>
      </c>
      <c r="D250" t="s">
        <v>88</v>
      </c>
      <c r="F250" s="1">
        <v>42556</v>
      </c>
      <c r="G250" s="2">
        <v>51.2</v>
      </c>
      <c r="H250" s="2"/>
      <c r="I250" s="2">
        <v>1.59</v>
      </c>
      <c r="J250" s="2"/>
      <c r="K250" s="2"/>
      <c r="L250" s="2">
        <v>822.5</v>
      </c>
      <c r="M250" s="2">
        <v>822.5</v>
      </c>
      <c r="N250" s="2">
        <f ca="1">INDEX(INDIRECT(_xlfn.CONCAT("weather.tbl[",N$1,"]")),MATCH(vp.tbl[[#This Row],[SDate]],weather.tbl[Date],0))</f>
        <v>17.716666666666665</v>
      </c>
      <c r="O250" s="2">
        <f ca="1">INDEX(INDIRECT(_xlfn.CONCAT("weather.tbl[",O$1,"]")),MATCH(vp.tbl[[#This Row],[SDate]],weather.tbl[Date],0))</f>
        <v>18.185714285714287</v>
      </c>
      <c r="P250" s="2">
        <f ca="1">INDEX(INDIRECT(_xlfn.CONCAT("weather.tbl[",P$1,"]")),MATCH(vp.tbl[[#This Row],[SDate]],weather.tbl[Date],0))</f>
        <v>17.5</v>
      </c>
      <c r="Q250" s="2">
        <f ca="1">INDEX(INDIRECT(_xlfn.CONCAT("weather.tbl[",Q$1,"]")),MATCH(vp.tbl[[#This Row],[SDate]],weather.tbl[Date],0))</f>
        <v>16.899999999999999</v>
      </c>
      <c r="R250" s="2">
        <f ca="1">INDEX(INDIRECT(_xlfn.CONCAT("weather.tbl[",R$1,"]")),MATCH(vp.tbl[[#This Row],[SDate]],weather.tbl[Date],0))</f>
        <v>17.5</v>
      </c>
      <c r="S250" s="2">
        <f ca="1">INDEX(INDIRECT(_xlfn.CONCAT("weather.tbl[",S$1,"]")),MATCH(vp.tbl[[#This Row],[SDate]],weather.tbl[Date],0))</f>
        <v>18.5</v>
      </c>
      <c r="T250" s="2">
        <f ca="1">INDEX(INDIRECT(_xlfn.CONCAT("weather.tbl[",T$1,"]")),MATCH(vp.tbl[[#This Row],[SDate]],weather.tbl[Date],0))</f>
        <v>18.600000000000001</v>
      </c>
      <c r="U250" s="2">
        <f ca="1">INDEX(INDIRECT(_xlfn.CONCAT("weather.tbl[",U$1,"]")),MATCH(vp.tbl[[#This Row],[SDate]],weather.tbl[Date],0))</f>
        <v>17.3</v>
      </c>
      <c r="V250" s="2">
        <v>4885.2190000000001</v>
      </c>
      <c r="W250" t="s">
        <v>48</v>
      </c>
      <c r="X250">
        <f>IF(OR(vp.tbl[[#This Row],[Sulf]]="",vp.tbl[[#This Row],[Dens]]=""),1,0)</f>
        <v>0</v>
      </c>
      <c r="Y250">
        <f>IF(vp.tbl[[#This Row],[CrudeType]]="C5+",1,0)</f>
        <v>0</v>
      </c>
      <c r="Z250">
        <f>IF(AND(vp.tbl[[#This Row],[CrudeType]]="Crude",vp.tbl[[#This Row],[Dens]]&lt;=825,vp.tbl[[#This Row],[Sulf]]&gt;0.5,vp.tbl[[#This Row],[Unknown]]=0),1,0)</f>
        <v>1</v>
      </c>
      <c r="AA250">
        <f>IF(AND(vp.tbl[[#This Row],[CrudeType]]="Crude",vp.tbl[[#This Row],[Dens]]&lt;=825,vp.tbl[[#This Row],[Sulf]]&lt;=0.5,vp.tbl[[#This Row],[Unknown]]=0),1,0)</f>
        <v>0</v>
      </c>
      <c r="AB250">
        <f>IF(AND(vp.tbl[[#This Row],[CrudeType]]="Crude",vp.tbl[[#This Row],[Dens]]&gt;825,vp.tbl[[#This Row],[Dens]]&lt;=870,vp.tbl[[#This Row],[Sulf]]&gt;0.5,vp.tbl[[#This Row],[Unknown]]=0),1,0)</f>
        <v>0</v>
      </c>
      <c r="AC250">
        <f>IF(AND(vp.tbl[[#This Row],[CrudeType]]="Crude",vp.tbl[[#This Row],[Dens]]&gt;825,vp.tbl[[#This Row],[Dens]]&lt;=900,vp.tbl[[#This Row],[Sulf]]&lt;=0.5,vp.tbl[[#This Row],[Unknown]]=0),1,0)</f>
        <v>0</v>
      </c>
      <c r="AD250">
        <f>IF(AND(vp.tbl[[#This Row],[CrudeType]]="Crude",vp.tbl[[#This Row],[Dens]]&gt;870,vp.tbl[[#This Row],[Dens]]&lt;=900,vp.tbl[[#This Row],[Sulf]]&gt;0.5,vp.tbl[[#This Row],[Unknown]]=0),1,0)</f>
        <v>0</v>
      </c>
      <c r="AE250">
        <f>IF(AND(vp.tbl[[#This Row],[CrudeType]]="Crude",vp.tbl[[#This Row],[Dens]]&gt;900,vp.tbl[[#This Row],[Sulf]]&lt;=0.5,vp.tbl[[#This Row],[Unknown]]=0),1,0)</f>
        <v>0</v>
      </c>
      <c r="AF250">
        <f>IF(AND(vp.tbl[[#This Row],[CrudeType]]="Crude",vp.tbl[[#This Row],[Dens]]&gt;900,vp.tbl[[#This Row],[Sulf]]&lt;=0.5,vp.tbl[[#This Row],[Unknown]]=0),1,0)</f>
        <v>0</v>
      </c>
      <c r="AG250" t="str">
        <f>INDEX(vp.tbl[[#Headers],[Unknown]:[Heavy_SW]],MATCH(1,vp.tbl[[#This Row],[Unknown]:[Heavy_SW]],0))</f>
        <v>Light_LSB</v>
      </c>
      <c r="AH250" t="e">
        <f>INDEX([1]!crudeBD.lkup[Number],MATCH(vp.tbl[[#This Row],[Crude_Breakdown]],[1]!crudeBD.lkup[Crude Breakdown],0))</f>
        <v>#REF!</v>
      </c>
      <c r="AI250">
        <f>MONTH(vp.tbl[[#This Row],[SDate]])</f>
        <v>7</v>
      </c>
      <c r="AJ250" s="5">
        <f>IFERROR(vp.tbl[[#This Row],[Sulf]]*vp.tbl[[#This Row],[Net Dens]],"")</f>
        <v>6388767.2777249999</v>
      </c>
      <c r="AK250" s="5">
        <f>IFERROR(vp.tbl[[#This Row],[Dens]]*vp.tbl[[#This Row],[VolumeM3]],"")</f>
        <v>4018092.6274999999</v>
      </c>
      <c r="AL250" s="5">
        <f>IFERROR(vp.tbl[[#This Row],[VP]]*vp.tbl[[#This Row],[VolumeM3]],"")</f>
        <v>250123.21280000001</v>
      </c>
      <c r="AM250" s="4">
        <f>IFERROR((vp.tbl[[#This Row],[VP]]-INDEX(crudeBD.lkup.complete[Mean_VP],MATCH(vp.tbl[[#This Row],[Crude_Breakdown]],crudeBD.lkup.complete[Crude Breakdown],0)))^2,"")</f>
        <v>1627.8146898076334</v>
      </c>
      <c r="AN250" s="4">
        <f>IFERROR((vp.tbl[[#This Row],[Dens]]-INDEX(crudeBD.lkup.complete[Mean_Dens],MATCH(vp.tbl[[#This Row],[Crude_Breakdown]],crudeBD.lkup.complete[Crude Breakdown],0)))^2,"")</f>
        <v>15.866123149233145</v>
      </c>
      <c r="AO250" s="4">
        <f>IFERROR((vp.tbl[[#This Row],[Sulf]]-INDEX(crudeBD.lkup.complete[Mean_Sulf],MATCH(vp.tbl[[#This Row],[Crude_Breakdown]],crudeBD.lkup.complete[Crude Breakdown],0)))^2,"")</f>
        <v>0.4449274622058329</v>
      </c>
      <c r="AP250">
        <f>IF(AND(vp.tbl[[#This Row],[SDate]]&gt;=DATE(YEAR(vp.tbl[[#This Row],[SDate]]),5,1),vp.tbl[[#This Row],[SDate]]&lt;=DATE(YEAR(vp.tbl[[#This Row],[SDate]]),9,15)),1,0)</f>
        <v>1</v>
      </c>
      <c r="AQ250" s="15">
        <f>IF(vp.tbl[[#This Row],[SDate]]&lt;DATE(2016,12,1),0,1)</f>
        <v>0</v>
      </c>
    </row>
    <row r="251" spans="1:43" x14ac:dyDescent="0.25">
      <c r="A251">
        <v>250</v>
      </c>
      <c r="B251" t="s">
        <v>49</v>
      </c>
      <c r="C251" t="s">
        <v>49</v>
      </c>
      <c r="D251" t="s">
        <v>88</v>
      </c>
      <c r="F251" s="1">
        <v>42556</v>
      </c>
      <c r="G251" s="2">
        <v>78.2</v>
      </c>
      <c r="H251" s="2"/>
      <c r="I251" s="2">
        <v>1.59</v>
      </c>
      <c r="J251" s="2"/>
      <c r="K251" s="2"/>
      <c r="L251" s="2">
        <v>829.2</v>
      </c>
      <c r="M251" s="2">
        <v>829.2</v>
      </c>
      <c r="N251" s="2">
        <f ca="1">INDEX(INDIRECT(_xlfn.CONCAT("weather.tbl[",N$1,"]")),MATCH(vp.tbl[[#This Row],[SDate]],weather.tbl[Date],0))</f>
        <v>17.716666666666665</v>
      </c>
      <c r="O251" s="2">
        <f ca="1">INDEX(INDIRECT(_xlfn.CONCAT("weather.tbl[",O$1,"]")),MATCH(vp.tbl[[#This Row],[SDate]],weather.tbl[Date],0))</f>
        <v>18.185714285714287</v>
      </c>
      <c r="P251" s="2">
        <f ca="1">INDEX(INDIRECT(_xlfn.CONCAT("weather.tbl[",P$1,"]")),MATCH(vp.tbl[[#This Row],[SDate]],weather.tbl[Date],0))</f>
        <v>17.5</v>
      </c>
      <c r="Q251" s="2">
        <f ca="1">INDEX(INDIRECT(_xlfn.CONCAT("weather.tbl[",Q$1,"]")),MATCH(vp.tbl[[#This Row],[SDate]],weather.tbl[Date],0))</f>
        <v>16.899999999999999</v>
      </c>
      <c r="R251" s="2">
        <f ca="1">INDEX(INDIRECT(_xlfn.CONCAT("weather.tbl[",R$1,"]")),MATCH(vp.tbl[[#This Row],[SDate]],weather.tbl[Date],0))</f>
        <v>17.5</v>
      </c>
      <c r="S251" s="2">
        <f ca="1">INDEX(INDIRECT(_xlfn.CONCAT("weather.tbl[",S$1,"]")),MATCH(vp.tbl[[#This Row],[SDate]],weather.tbl[Date],0))</f>
        <v>18.5</v>
      </c>
      <c r="T251" s="2">
        <f ca="1">INDEX(INDIRECT(_xlfn.CONCAT("weather.tbl[",T$1,"]")),MATCH(vp.tbl[[#This Row],[SDate]],weather.tbl[Date],0))</f>
        <v>18.600000000000001</v>
      </c>
      <c r="U251" s="2">
        <f ca="1">INDEX(INDIRECT(_xlfn.CONCAT("weather.tbl[",U$1,"]")),MATCH(vp.tbl[[#This Row],[SDate]],weather.tbl[Date],0))</f>
        <v>17.3</v>
      </c>
      <c r="V251" s="2">
        <v>4885.2190000000001</v>
      </c>
      <c r="W251" t="s">
        <v>48</v>
      </c>
      <c r="X251">
        <f>IF(OR(vp.tbl[[#This Row],[Sulf]]="",vp.tbl[[#This Row],[Dens]]=""),1,0)</f>
        <v>0</v>
      </c>
      <c r="Y251">
        <f>IF(vp.tbl[[#This Row],[CrudeType]]="C5+",1,0)</f>
        <v>0</v>
      </c>
      <c r="Z251">
        <f>IF(AND(vp.tbl[[#This Row],[CrudeType]]="Crude",vp.tbl[[#This Row],[Dens]]&lt;=825,vp.tbl[[#This Row],[Sulf]]&gt;0.5,vp.tbl[[#This Row],[Unknown]]=0),1,0)</f>
        <v>0</v>
      </c>
      <c r="AA251">
        <f>IF(AND(vp.tbl[[#This Row],[CrudeType]]="Crude",vp.tbl[[#This Row],[Dens]]&lt;=825,vp.tbl[[#This Row],[Sulf]]&lt;=0.5,vp.tbl[[#This Row],[Unknown]]=0),1,0)</f>
        <v>0</v>
      </c>
      <c r="AB251">
        <f>IF(AND(vp.tbl[[#This Row],[CrudeType]]="Crude",vp.tbl[[#This Row],[Dens]]&gt;825,vp.tbl[[#This Row],[Dens]]&lt;=870,vp.tbl[[#This Row],[Sulf]]&gt;0.5,vp.tbl[[#This Row],[Unknown]]=0),1,0)</f>
        <v>1</v>
      </c>
      <c r="AC251">
        <f>IF(AND(vp.tbl[[#This Row],[CrudeType]]="Crude",vp.tbl[[#This Row],[Dens]]&gt;825,vp.tbl[[#This Row],[Dens]]&lt;=900,vp.tbl[[#This Row],[Sulf]]&lt;=0.5,vp.tbl[[#This Row],[Unknown]]=0),1,0)</f>
        <v>0</v>
      </c>
      <c r="AD251">
        <f>IF(AND(vp.tbl[[#This Row],[CrudeType]]="Crude",vp.tbl[[#This Row],[Dens]]&gt;870,vp.tbl[[#This Row],[Dens]]&lt;=900,vp.tbl[[#This Row],[Sulf]]&gt;0.5,vp.tbl[[#This Row],[Unknown]]=0),1,0)</f>
        <v>0</v>
      </c>
      <c r="AE251">
        <f>IF(AND(vp.tbl[[#This Row],[CrudeType]]="Crude",vp.tbl[[#This Row],[Dens]]&gt;900,vp.tbl[[#This Row],[Sulf]]&lt;=0.5,vp.tbl[[#This Row],[Unknown]]=0),1,0)</f>
        <v>0</v>
      </c>
      <c r="AF251">
        <f>IF(AND(vp.tbl[[#This Row],[CrudeType]]="Crude",vp.tbl[[#This Row],[Dens]]&gt;900,vp.tbl[[#This Row],[Sulf]]&lt;=0.5,vp.tbl[[#This Row],[Unknown]]=0),1,0)</f>
        <v>0</v>
      </c>
      <c r="AG251" t="str">
        <f>INDEX(vp.tbl[[#Headers],[Unknown]:[Heavy_SW]],MATCH(1,vp.tbl[[#This Row],[Unknown]:[Heavy_SW]],0))</f>
        <v>Medium_LSB</v>
      </c>
      <c r="AH251" t="e">
        <f>INDEX([1]!crudeBD.lkup[Number],MATCH(vp.tbl[[#This Row],[Crude_Breakdown]],[1]!crudeBD.lkup[Crude Breakdown],0))</f>
        <v>#REF!</v>
      </c>
      <c r="AI251">
        <f>MONTH(vp.tbl[[#This Row],[SDate]])</f>
        <v>7</v>
      </c>
      <c r="AJ251" s="5">
        <f>IFERROR(vp.tbl[[#This Row],[Sulf]]*vp.tbl[[#This Row],[Net Dens]],"")</f>
        <v>6440809.5157320006</v>
      </c>
      <c r="AK251" s="5">
        <f>IFERROR(vp.tbl[[#This Row],[Dens]]*vp.tbl[[#This Row],[VolumeM3]],"")</f>
        <v>4050823.5948000001</v>
      </c>
      <c r="AL251" s="5">
        <f>IFERROR(vp.tbl[[#This Row],[VP]]*vp.tbl[[#This Row],[VolumeM3]],"")</f>
        <v>382024.12580000004</v>
      </c>
      <c r="AM251" s="4">
        <f>IFERROR((vp.tbl[[#This Row],[VP]]-INDEX(crudeBD.lkup.complete[Mean_VP],MATCH(vp.tbl[[#This Row],[Crude_Breakdown]],crudeBD.lkup.complete[Crude Breakdown],0)))^2,"")</f>
        <v>3.8950769742026954</v>
      </c>
      <c r="AN251" s="4">
        <f>IFERROR((vp.tbl[[#This Row],[Dens]]-INDEX(crudeBD.lkup.complete[Mean_Dens],MATCH(vp.tbl[[#This Row],[Crude_Breakdown]],crudeBD.lkup.complete[Crude Breakdown],0)))^2,"")</f>
        <v>258.94676053770121</v>
      </c>
      <c r="AO251" s="4">
        <f>IFERROR((vp.tbl[[#This Row],[Sulf]]-INDEX(crudeBD.lkup.complete[Mean_Sulf],MATCH(vp.tbl[[#This Row],[Crude_Breakdown]],crudeBD.lkup.complete[Crude Breakdown],0)))^2,"")</f>
        <v>1.8243942514449388E-2</v>
      </c>
      <c r="AP251">
        <f>IF(AND(vp.tbl[[#This Row],[SDate]]&gt;=DATE(YEAR(vp.tbl[[#This Row],[SDate]]),5,1),vp.tbl[[#This Row],[SDate]]&lt;=DATE(YEAR(vp.tbl[[#This Row],[SDate]]),9,15)),1,0)</f>
        <v>1</v>
      </c>
      <c r="AQ251" s="15">
        <f>IF(vp.tbl[[#This Row],[SDate]]&lt;DATE(2016,12,1),0,1)</f>
        <v>0</v>
      </c>
    </row>
    <row r="252" spans="1:43" x14ac:dyDescent="0.25">
      <c r="A252">
        <v>251</v>
      </c>
      <c r="B252" t="s">
        <v>49</v>
      </c>
      <c r="C252" t="s">
        <v>49</v>
      </c>
      <c r="D252" t="s">
        <v>75</v>
      </c>
      <c r="F252" s="1">
        <v>42558</v>
      </c>
      <c r="G252" s="2">
        <v>97.3</v>
      </c>
      <c r="H252" s="2"/>
      <c r="I252" s="2">
        <v>0.15</v>
      </c>
      <c r="J252" s="2"/>
      <c r="K252" s="2"/>
      <c r="L252" s="2">
        <v>804.4</v>
      </c>
      <c r="M252" s="2">
        <v>804.4</v>
      </c>
      <c r="N252" s="2">
        <f ca="1">INDEX(INDIRECT(_xlfn.CONCAT("weather.tbl[",N$1,"]")),MATCH(vp.tbl[[#This Row],[SDate]],weather.tbl[Date],0))</f>
        <v>16.783333333333335</v>
      </c>
      <c r="O252" s="2">
        <f ca="1">INDEX(INDIRECT(_xlfn.CONCAT("weather.tbl[",O$1,"]")),MATCH(vp.tbl[[#This Row],[SDate]],weather.tbl[Date],0))</f>
        <v>17.873809523809523</v>
      </c>
      <c r="P252" s="2">
        <f ca="1">INDEX(INDIRECT(_xlfn.CONCAT("weather.tbl[",P$1,"]")),MATCH(vp.tbl[[#This Row],[SDate]],weather.tbl[Date],0))</f>
        <v>16</v>
      </c>
      <c r="Q252" s="2">
        <f ca="1">INDEX(INDIRECT(_xlfn.CONCAT("weather.tbl[",Q$1,"]")),MATCH(vp.tbl[[#This Row],[SDate]],weather.tbl[Date],0))</f>
        <v>16.899999999999999</v>
      </c>
      <c r="R252" s="2">
        <f ca="1">INDEX(INDIRECT(_xlfn.CONCAT("weather.tbl[",R$1,"]")),MATCH(vp.tbl[[#This Row],[SDate]],weather.tbl[Date],0))</f>
        <v>15</v>
      </c>
      <c r="S252" s="2">
        <f ca="1">INDEX(INDIRECT(_xlfn.CONCAT("weather.tbl[",S$1,"]")),MATCH(vp.tbl[[#This Row],[SDate]],weather.tbl[Date],0))</f>
        <v>20.5</v>
      </c>
      <c r="T252" s="2">
        <f ca="1">INDEX(INDIRECT(_xlfn.CONCAT("weather.tbl[",T$1,"]")),MATCH(vp.tbl[[#This Row],[SDate]],weather.tbl[Date],0))</f>
        <v>16</v>
      </c>
      <c r="U252" s="2">
        <f ca="1">INDEX(INDIRECT(_xlfn.CONCAT("weather.tbl[",U$1,"]")),MATCH(vp.tbl[[#This Row],[SDate]],weather.tbl[Date],0))</f>
        <v>16.3</v>
      </c>
      <c r="V252" s="2">
        <v>21522.742999999999</v>
      </c>
      <c r="W252" t="s">
        <v>48</v>
      </c>
      <c r="X252">
        <f>IF(OR(vp.tbl[[#This Row],[Sulf]]="",vp.tbl[[#This Row],[Dens]]=""),1,0)</f>
        <v>0</v>
      </c>
      <c r="Y252">
        <f>IF(vp.tbl[[#This Row],[CrudeType]]="C5+",1,0)</f>
        <v>0</v>
      </c>
      <c r="Z252">
        <f>IF(AND(vp.tbl[[#This Row],[CrudeType]]="Crude",vp.tbl[[#This Row],[Dens]]&lt;=825,vp.tbl[[#This Row],[Sulf]]&gt;0.5,vp.tbl[[#This Row],[Unknown]]=0),1,0)</f>
        <v>0</v>
      </c>
      <c r="AA252">
        <f>IF(AND(vp.tbl[[#This Row],[CrudeType]]="Crude",vp.tbl[[#This Row],[Dens]]&lt;=825,vp.tbl[[#This Row],[Sulf]]&lt;=0.5,vp.tbl[[#This Row],[Unknown]]=0),1,0)</f>
        <v>1</v>
      </c>
      <c r="AB252">
        <f>IF(AND(vp.tbl[[#This Row],[CrudeType]]="Crude",vp.tbl[[#This Row],[Dens]]&gt;825,vp.tbl[[#This Row],[Dens]]&lt;=870,vp.tbl[[#This Row],[Sulf]]&gt;0.5,vp.tbl[[#This Row],[Unknown]]=0),1,0)</f>
        <v>0</v>
      </c>
      <c r="AC252">
        <f>IF(AND(vp.tbl[[#This Row],[CrudeType]]="Crude",vp.tbl[[#This Row],[Dens]]&gt;825,vp.tbl[[#This Row],[Dens]]&lt;=900,vp.tbl[[#This Row],[Sulf]]&lt;=0.5,vp.tbl[[#This Row],[Unknown]]=0),1,0)</f>
        <v>0</v>
      </c>
      <c r="AD252">
        <f>IF(AND(vp.tbl[[#This Row],[CrudeType]]="Crude",vp.tbl[[#This Row],[Dens]]&gt;870,vp.tbl[[#This Row],[Dens]]&lt;=900,vp.tbl[[#This Row],[Sulf]]&gt;0.5,vp.tbl[[#This Row],[Unknown]]=0),1,0)</f>
        <v>0</v>
      </c>
      <c r="AE252">
        <f>IF(AND(vp.tbl[[#This Row],[CrudeType]]="Crude",vp.tbl[[#This Row],[Dens]]&gt;900,vp.tbl[[#This Row],[Sulf]]&lt;=0.5,vp.tbl[[#This Row],[Unknown]]=0),1,0)</f>
        <v>0</v>
      </c>
      <c r="AF252">
        <f>IF(AND(vp.tbl[[#This Row],[CrudeType]]="Crude",vp.tbl[[#This Row],[Dens]]&gt;900,vp.tbl[[#This Row],[Sulf]]&lt;=0.5,vp.tbl[[#This Row],[Unknown]]=0),1,0)</f>
        <v>0</v>
      </c>
      <c r="AG252" t="str">
        <f>INDEX(vp.tbl[[#Headers],[Unknown]:[Heavy_SW]],MATCH(1,vp.tbl[[#This Row],[Unknown]:[Heavy_SW]],0))</f>
        <v>Light_SW</v>
      </c>
      <c r="AH252" t="e">
        <f>INDEX([1]!crudeBD.lkup[Number],MATCH(vp.tbl[[#This Row],[Crude_Breakdown]],[1]!crudeBD.lkup[Crude Breakdown],0))</f>
        <v>#REF!</v>
      </c>
      <c r="AI252">
        <f>MONTH(vp.tbl[[#This Row],[SDate]])</f>
        <v>7</v>
      </c>
      <c r="AJ252" s="5">
        <f>IFERROR(vp.tbl[[#This Row],[Sulf]]*vp.tbl[[#This Row],[Net Dens]],"")</f>
        <v>2596934.17038</v>
      </c>
      <c r="AK252" s="5">
        <f>IFERROR(vp.tbl[[#This Row],[Dens]]*vp.tbl[[#This Row],[VolumeM3]],"")</f>
        <v>17312894.4692</v>
      </c>
      <c r="AL252" s="5">
        <f>IFERROR(vp.tbl[[#This Row],[VP]]*vp.tbl[[#This Row],[VolumeM3]],"")</f>
        <v>2094162.8938999998</v>
      </c>
      <c r="AM252" s="4">
        <f>IFERROR((vp.tbl[[#This Row],[VP]]-INDEX(crudeBD.lkup.complete[Mean_VP],MATCH(vp.tbl[[#This Row],[Crude_Breakdown]],crudeBD.lkup.complete[Crude Breakdown],0)))^2,"")</f>
        <v>22.559521004261565</v>
      </c>
      <c r="AN252" s="4">
        <f>IFERROR((vp.tbl[[#This Row],[Dens]]-INDEX(crudeBD.lkup.complete[Mean_Dens],MATCH(vp.tbl[[#This Row],[Crude_Breakdown]],crudeBD.lkup.complete[Crude Breakdown],0)))^2,"")</f>
        <v>15.299818621081645</v>
      </c>
      <c r="AO252" s="4">
        <f>IFERROR((vp.tbl[[#This Row],[Sulf]]-INDEX(crudeBD.lkup.complete[Mean_Sulf],MATCH(vp.tbl[[#This Row],[Crude_Breakdown]],crudeBD.lkup.complete[Crude Breakdown],0)))^2,"")</f>
        <v>7.4376501105998362E-3</v>
      </c>
      <c r="AP252">
        <f>IF(AND(vp.tbl[[#This Row],[SDate]]&gt;=DATE(YEAR(vp.tbl[[#This Row],[SDate]]),5,1),vp.tbl[[#This Row],[SDate]]&lt;=DATE(YEAR(vp.tbl[[#This Row],[SDate]]),9,15)),1,0)</f>
        <v>1</v>
      </c>
      <c r="AQ252" s="15">
        <f>IF(vp.tbl[[#This Row],[SDate]]&lt;DATE(2016,12,1),0,1)</f>
        <v>0</v>
      </c>
    </row>
    <row r="253" spans="1:43" x14ac:dyDescent="0.25">
      <c r="A253">
        <v>252</v>
      </c>
      <c r="B253" t="s">
        <v>49</v>
      </c>
      <c r="C253" t="s">
        <v>49</v>
      </c>
      <c r="D253" t="s">
        <v>74</v>
      </c>
      <c r="F253" s="1">
        <v>42558</v>
      </c>
      <c r="G253" s="2">
        <v>95.4</v>
      </c>
      <c r="H253" s="2"/>
      <c r="I253" s="2">
        <v>0.14000000000000001</v>
      </c>
      <c r="J253" s="2"/>
      <c r="K253" s="2"/>
      <c r="L253" s="2">
        <v>807.4</v>
      </c>
      <c r="M253" s="2">
        <v>807.4</v>
      </c>
      <c r="N253" s="2">
        <f ca="1">INDEX(INDIRECT(_xlfn.CONCAT("weather.tbl[",N$1,"]")),MATCH(vp.tbl[[#This Row],[SDate]],weather.tbl[Date],0))</f>
        <v>16.783333333333335</v>
      </c>
      <c r="O253" s="2">
        <f ca="1">INDEX(INDIRECT(_xlfn.CONCAT("weather.tbl[",O$1,"]")),MATCH(vp.tbl[[#This Row],[SDate]],weather.tbl[Date],0))</f>
        <v>17.873809523809523</v>
      </c>
      <c r="P253" s="2">
        <f ca="1">INDEX(INDIRECT(_xlfn.CONCAT("weather.tbl[",P$1,"]")),MATCH(vp.tbl[[#This Row],[SDate]],weather.tbl[Date],0))</f>
        <v>16</v>
      </c>
      <c r="Q253" s="2">
        <f ca="1">INDEX(INDIRECT(_xlfn.CONCAT("weather.tbl[",Q$1,"]")),MATCH(vp.tbl[[#This Row],[SDate]],weather.tbl[Date],0))</f>
        <v>16.899999999999999</v>
      </c>
      <c r="R253" s="2">
        <f ca="1">INDEX(INDIRECT(_xlfn.CONCAT("weather.tbl[",R$1,"]")),MATCH(vp.tbl[[#This Row],[SDate]],weather.tbl[Date],0))</f>
        <v>15</v>
      </c>
      <c r="S253" s="2">
        <f ca="1">INDEX(INDIRECT(_xlfn.CONCAT("weather.tbl[",S$1,"]")),MATCH(vp.tbl[[#This Row],[SDate]],weather.tbl[Date],0))</f>
        <v>20.5</v>
      </c>
      <c r="T253" s="2">
        <f ca="1">INDEX(INDIRECT(_xlfn.CONCAT("weather.tbl[",T$1,"]")),MATCH(vp.tbl[[#This Row],[SDate]],weather.tbl[Date],0))</f>
        <v>16</v>
      </c>
      <c r="U253" s="2">
        <f ca="1">INDEX(INDIRECT(_xlfn.CONCAT("weather.tbl[",U$1,"]")),MATCH(vp.tbl[[#This Row],[SDate]],weather.tbl[Date],0))</f>
        <v>16.3</v>
      </c>
      <c r="V253" s="2">
        <v>40032.095000000001</v>
      </c>
      <c r="W253" t="s">
        <v>48</v>
      </c>
      <c r="X253">
        <f>IF(OR(vp.tbl[[#This Row],[Sulf]]="",vp.tbl[[#This Row],[Dens]]=""),1,0)</f>
        <v>0</v>
      </c>
      <c r="Y253">
        <f>IF(vp.tbl[[#This Row],[CrudeType]]="C5+",1,0)</f>
        <v>0</v>
      </c>
      <c r="Z253">
        <f>IF(AND(vp.tbl[[#This Row],[CrudeType]]="Crude",vp.tbl[[#This Row],[Dens]]&lt;=825,vp.tbl[[#This Row],[Sulf]]&gt;0.5,vp.tbl[[#This Row],[Unknown]]=0),1,0)</f>
        <v>0</v>
      </c>
      <c r="AA253">
        <f>IF(AND(vp.tbl[[#This Row],[CrudeType]]="Crude",vp.tbl[[#This Row],[Dens]]&lt;=825,vp.tbl[[#This Row],[Sulf]]&lt;=0.5,vp.tbl[[#This Row],[Unknown]]=0),1,0)</f>
        <v>1</v>
      </c>
      <c r="AB253">
        <f>IF(AND(vp.tbl[[#This Row],[CrudeType]]="Crude",vp.tbl[[#This Row],[Dens]]&gt;825,vp.tbl[[#This Row],[Dens]]&lt;=870,vp.tbl[[#This Row],[Sulf]]&gt;0.5,vp.tbl[[#This Row],[Unknown]]=0),1,0)</f>
        <v>0</v>
      </c>
      <c r="AC253">
        <f>IF(AND(vp.tbl[[#This Row],[CrudeType]]="Crude",vp.tbl[[#This Row],[Dens]]&gt;825,vp.tbl[[#This Row],[Dens]]&lt;=900,vp.tbl[[#This Row],[Sulf]]&lt;=0.5,vp.tbl[[#This Row],[Unknown]]=0),1,0)</f>
        <v>0</v>
      </c>
      <c r="AD253">
        <f>IF(AND(vp.tbl[[#This Row],[CrudeType]]="Crude",vp.tbl[[#This Row],[Dens]]&gt;870,vp.tbl[[#This Row],[Dens]]&lt;=900,vp.tbl[[#This Row],[Sulf]]&gt;0.5,vp.tbl[[#This Row],[Unknown]]=0),1,0)</f>
        <v>0</v>
      </c>
      <c r="AE253">
        <f>IF(AND(vp.tbl[[#This Row],[CrudeType]]="Crude",vp.tbl[[#This Row],[Dens]]&gt;900,vp.tbl[[#This Row],[Sulf]]&lt;=0.5,vp.tbl[[#This Row],[Unknown]]=0),1,0)</f>
        <v>0</v>
      </c>
      <c r="AF253">
        <f>IF(AND(vp.tbl[[#This Row],[CrudeType]]="Crude",vp.tbl[[#This Row],[Dens]]&gt;900,vp.tbl[[#This Row],[Sulf]]&lt;=0.5,vp.tbl[[#This Row],[Unknown]]=0),1,0)</f>
        <v>0</v>
      </c>
      <c r="AG253" t="str">
        <f>INDEX(vp.tbl[[#Headers],[Unknown]:[Heavy_SW]],MATCH(1,vp.tbl[[#This Row],[Unknown]:[Heavy_SW]],0))</f>
        <v>Light_SW</v>
      </c>
      <c r="AH253" t="e">
        <f>INDEX([1]!crudeBD.lkup[Number],MATCH(vp.tbl[[#This Row],[Crude_Breakdown]],[1]!crudeBD.lkup[Crude Breakdown],0))</f>
        <v>#REF!</v>
      </c>
      <c r="AI253">
        <f>MONTH(vp.tbl[[#This Row],[SDate]])</f>
        <v>7</v>
      </c>
      <c r="AJ253" s="5">
        <f>IFERROR(vp.tbl[[#This Row],[Sulf]]*vp.tbl[[#This Row],[Net Dens]],"")</f>
        <v>4525067.8904200001</v>
      </c>
      <c r="AK253" s="5">
        <f>IFERROR(vp.tbl[[#This Row],[Dens]]*vp.tbl[[#This Row],[VolumeM3]],"")</f>
        <v>32321913.502999999</v>
      </c>
      <c r="AL253" s="5">
        <f>IFERROR(vp.tbl[[#This Row],[VP]]*vp.tbl[[#This Row],[VolumeM3]],"")</f>
        <v>3819061.8630000004</v>
      </c>
      <c r="AM253" s="4">
        <f>IFERROR((vp.tbl[[#This Row],[VP]]-INDEX(crudeBD.lkup.complete[Mean_VP],MATCH(vp.tbl[[#This Row],[Crude_Breakdown]],crudeBD.lkup.complete[Crude Breakdown],0)))^2,"")</f>
        <v>8.1207126418921742</v>
      </c>
      <c r="AN253" s="4">
        <f>IFERROR((vp.tbl[[#This Row],[Dens]]-INDEX(crudeBD.lkup.complete[Mean_Dens],MATCH(vp.tbl[[#This Row],[Crude_Breakdown]],crudeBD.lkup.complete[Crude Breakdown],0)))^2,"")</f>
        <v>0.83082907404449036</v>
      </c>
      <c r="AO253" s="4">
        <f>IFERROR((vp.tbl[[#This Row],[Sulf]]-INDEX(crudeBD.lkup.complete[Mean_Sulf],MATCH(vp.tbl[[#This Row],[Crude_Breakdown]],crudeBD.lkup.complete[Crude Breakdown],0)))^2,"")</f>
        <v>9.2624863475336272E-3</v>
      </c>
      <c r="AP253">
        <f>IF(AND(vp.tbl[[#This Row],[SDate]]&gt;=DATE(YEAR(vp.tbl[[#This Row],[SDate]]),5,1),vp.tbl[[#This Row],[SDate]]&lt;=DATE(YEAR(vp.tbl[[#This Row],[SDate]]),9,15)),1,0)</f>
        <v>1</v>
      </c>
      <c r="AQ253" s="15">
        <f>IF(vp.tbl[[#This Row],[SDate]]&lt;DATE(2016,12,1),0,1)</f>
        <v>0</v>
      </c>
    </row>
    <row r="254" spans="1:43" x14ac:dyDescent="0.25">
      <c r="A254">
        <v>253</v>
      </c>
      <c r="B254" t="s">
        <v>51</v>
      </c>
      <c r="C254" t="s">
        <v>51</v>
      </c>
      <c r="D254" t="s">
        <v>72</v>
      </c>
      <c r="F254" s="1">
        <v>42564</v>
      </c>
      <c r="G254" s="2">
        <v>77.400000000000006</v>
      </c>
      <c r="H254" s="2"/>
      <c r="I254" s="2">
        <v>1.08</v>
      </c>
      <c r="J254" s="2"/>
      <c r="K254" s="2"/>
      <c r="L254" s="2">
        <v>847.6</v>
      </c>
      <c r="M254" s="2">
        <v>847.6</v>
      </c>
      <c r="N254" s="2">
        <f ca="1">INDEX(INDIRECT(_xlfn.CONCAT("weather.tbl[",N$1,"]")),MATCH(vp.tbl[[#This Row],[SDate]],weather.tbl[Date],0))</f>
        <v>17.483333333333334</v>
      </c>
      <c r="O254" s="2">
        <f ca="1">INDEX(INDIRECT(_xlfn.CONCAT("weather.tbl[",O$1,"]")),MATCH(vp.tbl[[#This Row],[SDate]],weather.tbl[Date],0))</f>
        <v>18.523809523809522</v>
      </c>
      <c r="P254" s="2">
        <f ca="1">INDEX(INDIRECT(_xlfn.CONCAT("weather.tbl[",P$1,"]")),MATCH(vp.tbl[[#This Row],[SDate]],weather.tbl[Date],0))</f>
        <v>16.899999999999999</v>
      </c>
      <c r="Q254" s="2">
        <f ca="1">INDEX(INDIRECT(_xlfn.CONCAT("weather.tbl[",Q$1,"]")),MATCH(vp.tbl[[#This Row],[SDate]],weather.tbl[Date],0))</f>
        <v>17.3</v>
      </c>
      <c r="R254" s="2">
        <f ca="1">INDEX(INDIRECT(_xlfn.CONCAT("weather.tbl[",R$1,"]")),MATCH(vp.tbl[[#This Row],[SDate]],weather.tbl[Date],0))</f>
        <v>18.3</v>
      </c>
      <c r="S254" s="2">
        <f ca="1">INDEX(INDIRECT(_xlfn.CONCAT("weather.tbl[",S$1,"]")),MATCH(vp.tbl[[#This Row],[SDate]],weather.tbl[Date],0))</f>
        <v>19</v>
      </c>
      <c r="T254" s="2">
        <f ca="1">INDEX(INDIRECT(_xlfn.CONCAT("weather.tbl[",T$1,"]")),MATCH(vp.tbl[[#This Row],[SDate]],weather.tbl[Date],0))</f>
        <v>16.899999999999999</v>
      </c>
      <c r="U254" s="2">
        <f ca="1">INDEX(INDIRECT(_xlfn.CONCAT("weather.tbl[",U$1,"]")),MATCH(vp.tbl[[#This Row],[SDate]],weather.tbl[Date],0))</f>
        <v>16.5</v>
      </c>
      <c r="V254" s="2">
        <v>5394.9089999999997</v>
      </c>
      <c r="W254" t="s">
        <v>48</v>
      </c>
      <c r="X254">
        <f>IF(OR(vp.tbl[[#This Row],[Sulf]]="",vp.tbl[[#This Row],[Dens]]=""),1,0)</f>
        <v>0</v>
      </c>
      <c r="Y254">
        <f>IF(vp.tbl[[#This Row],[CrudeType]]="C5+",1,0)</f>
        <v>0</v>
      </c>
      <c r="Z254">
        <f>IF(AND(vp.tbl[[#This Row],[CrudeType]]="Crude",vp.tbl[[#This Row],[Dens]]&lt;=825,vp.tbl[[#This Row],[Sulf]]&gt;0.5,vp.tbl[[#This Row],[Unknown]]=0),1,0)</f>
        <v>0</v>
      </c>
      <c r="AA254">
        <f>IF(AND(vp.tbl[[#This Row],[CrudeType]]="Crude",vp.tbl[[#This Row],[Dens]]&lt;=825,vp.tbl[[#This Row],[Sulf]]&lt;=0.5,vp.tbl[[#This Row],[Unknown]]=0),1,0)</f>
        <v>0</v>
      </c>
      <c r="AB254">
        <f>IF(AND(vp.tbl[[#This Row],[CrudeType]]="Crude",vp.tbl[[#This Row],[Dens]]&gt;825,vp.tbl[[#This Row],[Dens]]&lt;=870,vp.tbl[[#This Row],[Sulf]]&gt;0.5,vp.tbl[[#This Row],[Unknown]]=0),1,0)</f>
        <v>1</v>
      </c>
      <c r="AC254">
        <f>IF(AND(vp.tbl[[#This Row],[CrudeType]]="Crude",vp.tbl[[#This Row],[Dens]]&gt;825,vp.tbl[[#This Row],[Dens]]&lt;=900,vp.tbl[[#This Row],[Sulf]]&lt;=0.5,vp.tbl[[#This Row],[Unknown]]=0),1,0)</f>
        <v>0</v>
      </c>
      <c r="AD254">
        <f>IF(AND(vp.tbl[[#This Row],[CrudeType]]="Crude",vp.tbl[[#This Row],[Dens]]&gt;870,vp.tbl[[#This Row],[Dens]]&lt;=900,vp.tbl[[#This Row],[Sulf]]&gt;0.5,vp.tbl[[#This Row],[Unknown]]=0),1,0)</f>
        <v>0</v>
      </c>
      <c r="AE254">
        <f>IF(AND(vp.tbl[[#This Row],[CrudeType]]="Crude",vp.tbl[[#This Row],[Dens]]&gt;900,vp.tbl[[#This Row],[Sulf]]&lt;=0.5,vp.tbl[[#This Row],[Unknown]]=0),1,0)</f>
        <v>0</v>
      </c>
      <c r="AF254">
        <f>IF(AND(vp.tbl[[#This Row],[CrudeType]]="Crude",vp.tbl[[#This Row],[Dens]]&gt;900,vp.tbl[[#This Row],[Sulf]]&lt;=0.5,vp.tbl[[#This Row],[Unknown]]=0),1,0)</f>
        <v>0</v>
      </c>
      <c r="AG254" t="str">
        <f>INDEX(vp.tbl[[#Headers],[Unknown]:[Heavy_SW]],MATCH(1,vp.tbl[[#This Row],[Unknown]:[Heavy_SW]],0))</f>
        <v>Medium_LSB</v>
      </c>
      <c r="AH254" t="e">
        <f>INDEX([1]!crudeBD.lkup[Number],MATCH(vp.tbl[[#This Row],[Crude_Breakdown]],[1]!crudeBD.lkup[Crude Breakdown],0))</f>
        <v>#REF!</v>
      </c>
      <c r="AI254">
        <f>MONTH(vp.tbl[[#This Row],[SDate]])</f>
        <v>7</v>
      </c>
      <c r="AJ254" s="5">
        <f>IFERROR(vp.tbl[[#This Row],[Sulf]]*vp.tbl[[#This Row],[Net Dens]],"")</f>
        <v>4938542.857872</v>
      </c>
      <c r="AK254" s="5">
        <f>IFERROR(vp.tbl[[#This Row],[Dens]]*vp.tbl[[#This Row],[VolumeM3]],"")</f>
        <v>4572724.8684</v>
      </c>
      <c r="AL254" s="5">
        <f>IFERROR(vp.tbl[[#This Row],[VP]]*vp.tbl[[#This Row],[VolumeM3]],"")</f>
        <v>417565.95659999998</v>
      </c>
      <c r="AM254" s="4">
        <f>IFERROR((vp.tbl[[#This Row],[VP]]-INDEX(crudeBD.lkup.complete[Mean_VP],MATCH(vp.tbl[[#This Row],[Crude_Breakdown]],crudeBD.lkup.complete[Crude Breakdown],0)))^2,"")</f>
        <v>7.6928288729367935</v>
      </c>
      <c r="AN254" s="4">
        <f>IFERROR((vp.tbl[[#This Row],[Dens]]-INDEX(crudeBD.lkup.complete[Mean_Dens],MATCH(vp.tbl[[#This Row],[Crude_Breakdown]],crudeBD.lkup.complete[Crude Breakdown],0)))^2,"")</f>
        <v>5.3276820567263297</v>
      </c>
      <c r="AO254" s="4">
        <f>IFERROR((vp.tbl[[#This Row],[Sulf]]-INDEX(crudeBD.lkup.complete[Mean_Sulf],MATCH(vp.tbl[[#This Row],[Crude_Breakdown]],crudeBD.lkup.complete[Crude Breakdown],0)))^2,"")</f>
        <v>0.14057240048913436</v>
      </c>
      <c r="AP254">
        <f>IF(AND(vp.tbl[[#This Row],[SDate]]&gt;=DATE(YEAR(vp.tbl[[#This Row],[SDate]]),5,1),vp.tbl[[#This Row],[SDate]]&lt;=DATE(YEAR(vp.tbl[[#This Row],[SDate]]),9,15)),1,0)</f>
        <v>1</v>
      </c>
      <c r="AQ254" s="15">
        <f>IF(vp.tbl[[#This Row],[SDate]]&lt;DATE(2016,12,1),0,1)</f>
        <v>0</v>
      </c>
    </row>
    <row r="255" spans="1:43" x14ac:dyDescent="0.25">
      <c r="A255">
        <v>254</v>
      </c>
      <c r="B255" t="s">
        <v>51</v>
      </c>
      <c r="C255" t="s">
        <v>51</v>
      </c>
      <c r="D255" t="s">
        <v>66</v>
      </c>
      <c r="F255" s="1">
        <v>42565</v>
      </c>
      <c r="G255" s="2">
        <v>59</v>
      </c>
      <c r="H255" s="2"/>
      <c r="I255" s="2">
        <v>0.87</v>
      </c>
      <c r="J255" s="2"/>
      <c r="K255" s="2"/>
      <c r="L255" s="2">
        <v>827.6</v>
      </c>
      <c r="M255" s="2">
        <v>827.6</v>
      </c>
      <c r="N255" s="2">
        <f ca="1">INDEX(INDIRECT(_xlfn.CONCAT("weather.tbl[",N$1,"]")),MATCH(vp.tbl[[#This Row],[SDate]],weather.tbl[Date],0))</f>
        <v>16.633333333333333</v>
      </c>
      <c r="O255" s="2">
        <f ca="1">INDEX(INDIRECT(_xlfn.CONCAT("weather.tbl[",O$1,"]")),MATCH(vp.tbl[[#This Row],[SDate]],weather.tbl[Date],0))</f>
        <v>18.50238095238095</v>
      </c>
      <c r="P255" s="2">
        <f ca="1">INDEX(INDIRECT(_xlfn.CONCAT("weather.tbl[",P$1,"]")),MATCH(vp.tbl[[#This Row],[SDate]],weather.tbl[Date],0))</f>
        <v>16</v>
      </c>
      <c r="Q255" s="2">
        <f ca="1">INDEX(INDIRECT(_xlfn.CONCAT("weather.tbl[",Q$1,"]")),MATCH(vp.tbl[[#This Row],[SDate]],weather.tbl[Date],0))</f>
        <v>16</v>
      </c>
      <c r="R255" s="2">
        <f ca="1">INDEX(INDIRECT(_xlfn.CONCAT("weather.tbl[",R$1,"]")),MATCH(vp.tbl[[#This Row],[SDate]],weather.tbl[Date],0))</f>
        <v>16.8</v>
      </c>
      <c r="S255" s="2">
        <f ca="1">INDEX(INDIRECT(_xlfn.CONCAT("weather.tbl[",S$1,"]")),MATCH(vp.tbl[[#This Row],[SDate]],weather.tbl[Date],0))</f>
        <v>17.3</v>
      </c>
      <c r="T255" s="2">
        <f ca="1">INDEX(INDIRECT(_xlfn.CONCAT("weather.tbl[",T$1,"]")),MATCH(vp.tbl[[#This Row],[SDate]],weather.tbl[Date],0))</f>
        <v>18.2</v>
      </c>
      <c r="U255" s="2">
        <f ca="1">INDEX(INDIRECT(_xlfn.CONCAT("weather.tbl[",U$1,"]")),MATCH(vp.tbl[[#This Row],[SDate]],weather.tbl[Date],0))</f>
        <v>15.5</v>
      </c>
      <c r="V255" s="2">
        <v>2799.3</v>
      </c>
      <c r="W255" t="s">
        <v>48</v>
      </c>
      <c r="X255">
        <f>IF(OR(vp.tbl[[#This Row],[Sulf]]="",vp.tbl[[#This Row],[Dens]]=""),1,0)</f>
        <v>0</v>
      </c>
      <c r="Y255">
        <f>IF(vp.tbl[[#This Row],[CrudeType]]="C5+",1,0)</f>
        <v>0</v>
      </c>
      <c r="Z255">
        <f>IF(AND(vp.tbl[[#This Row],[CrudeType]]="Crude",vp.tbl[[#This Row],[Dens]]&lt;=825,vp.tbl[[#This Row],[Sulf]]&gt;0.5,vp.tbl[[#This Row],[Unknown]]=0),1,0)</f>
        <v>0</v>
      </c>
      <c r="AA255">
        <f>IF(AND(vp.tbl[[#This Row],[CrudeType]]="Crude",vp.tbl[[#This Row],[Dens]]&lt;=825,vp.tbl[[#This Row],[Sulf]]&lt;=0.5,vp.tbl[[#This Row],[Unknown]]=0),1,0)</f>
        <v>0</v>
      </c>
      <c r="AB255">
        <f>IF(AND(vp.tbl[[#This Row],[CrudeType]]="Crude",vp.tbl[[#This Row],[Dens]]&gt;825,vp.tbl[[#This Row],[Dens]]&lt;=870,vp.tbl[[#This Row],[Sulf]]&gt;0.5,vp.tbl[[#This Row],[Unknown]]=0),1,0)</f>
        <v>1</v>
      </c>
      <c r="AC255">
        <f>IF(AND(vp.tbl[[#This Row],[CrudeType]]="Crude",vp.tbl[[#This Row],[Dens]]&gt;825,vp.tbl[[#This Row],[Dens]]&lt;=900,vp.tbl[[#This Row],[Sulf]]&lt;=0.5,vp.tbl[[#This Row],[Unknown]]=0),1,0)</f>
        <v>0</v>
      </c>
      <c r="AD255">
        <f>IF(AND(vp.tbl[[#This Row],[CrudeType]]="Crude",vp.tbl[[#This Row],[Dens]]&gt;870,vp.tbl[[#This Row],[Dens]]&lt;=900,vp.tbl[[#This Row],[Sulf]]&gt;0.5,vp.tbl[[#This Row],[Unknown]]=0),1,0)</f>
        <v>0</v>
      </c>
      <c r="AE255">
        <f>IF(AND(vp.tbl[[#This Row],[CrudeType]]="Crude",vp.tbl[[#This Row],[Dens]]&gt;900,vp.tbl[[#This Row],[Sulf]]&lt;=0.5,vp.tbl[[#This Row],[Unknown]]=0),1,0)</f>
        <v>0</v>
      </c>
      <c r="AF255">
        <f>IF(AND(vp.tbl[[#This Row],[CrudeType]]="Crude",vp.tbl[[#This Row],[Dens]]&gt;900,vp.tbl[[#This Row],[Sulf]]&lt;=0.5,vp.tbl[[#This Row],[Unknown]]=0),1,0)</f>
        <v>0</v>
      </c>
      <c r="AG255" t="str">
        <f>INDEX(vp.tbl[[#Headers],[Unknown]:[Heavy_SW]],MATCH(1,vp.tbl[[#This Row],[Unknown]:[Heavy_SW]],0))</f>
        <v>Medium_LSB</v>
      </c>
      <c r="AH255" t="e">
        <f>INDEX([1]!crudeBD.lkup[Number],MATCH(vp.tbl[[#This Row],[Crude_Breakdown]],[1]!crudeBD.lkup[Crude Breakdown],0))</f>
        <v>#REF!</v>
      </c>
      <c r="AI255">
        <f>MONTH(vp.tbl[[#This Row],[SDate]])</f>
        <v>7</v>
      </c>
      <c r="AJ255" s="5">
        <f>IFERROR(vp.tbl[[#This Row],[Sulf]]*vp.tbl[[#This Row],[Net Dens]],"")</f>
        <v>2015529.5916000002</v>
      </c>
      <c r="AK255" s="5">
        <f>IFERROR(vp.tbl[[#This Row],[Dens]]*vp.tbl[[#This Row],[VolumeM3]],"")</f>
        <v>2316700.6800000002</v>
      </c>
      <c r="AL255" s="5">
        <f>IFERROR(vp.tbl[[#This Row],[VP]]*vp.tbl[[#This Row],[VolumeM3]],"")</f>
        <v>165158.70000000001</v>
      </c>
      <c r="AM255" s="4">
        <f>IFERROR((vp.tbl[[#This Row],[VP]]-INDEX(crudeBD.lkup.complete[Mean_VP],MATCH(vp.tbl[[#This Row],[Crude_Breakdown]],crudeBD.lkup.complete[Crude Breakdown],0)))^2,"")</f>
        <v>448.32112254382156</v>
      </c>
      <c r="AN255" s="4">
        <f>IFERROR((vp.tbl[[#This Row],[Dens]]-INDEX(crudeBD.lkup.complete[Mean_Dens],MATCH(vp.tbl[[#This Row],[Crude_Breakdown]],crudeBD.lkup.complete[Crude Breakdown],0)))^2,"")</f>
        <v>313.00059344909107</v>
      </c>
      <c r="AO255" s="4">
        <f>IFERROR((vp.tbl[[#This Row],[Sulf]]-INDEX(crudeBD.lkup.complete[Mean_Sulf],MATCH(vp.tbl[[#This Row],[Crude_Breakdown]],crudeBD.lkup.complete[Crude Breakdown],0)))^2,"")</f>
        <v>0.3421429420081224</v>
      </c>
      <c r="AP255">
        <f>IF(AND(vp.tbl[[#This Row],[SDate]]&gt;=DATE(YEAR(vp.tbl[[#This Row],[SDate]]),5,1),vp.tbl[[#This Row],[SDate]]&lt;=DATE(YEAR(vp.tbl[[#This Row],[SDate]]),9,15)),1,0)</f>
        <v>1</v>
      </c>
      <c r="AQ255" s="15">
        <f>IF(vp.tbl[[#This Row],[SDate]]&lt;DATE(2016,12,1),0,1)</f>
        <v>0</v>
      </c>
    </row>
    <row r="256" spans="1:43" x14ac:dyDescent="0.25">
      <c r="A256">
        <v>255</v>
      </c>
      <c r="B256" t="s">
        <v>49</v>
      </c>
      <c r="C256" t="s">
        <v>49</v>
      </c>
      <c r="D256" t="s">
        <v>67</v>
      </c>
      <c r="F256" s="1">
        <v>42566</v>
      </c>
      <c r="G256" s="2">
        <v>96.1</v>
      </c>
      <c r="H256" s="2"/>
      <c r="I256" s="2">
        <v>0.21</v>
      </c>
      <c r="J256" s="2"/>
      <c r="K256" s="2"/>
      <c r="L256" s="2">
        <v>804.3</v>
      </c>
      <c r="M256" s="2">
        <v>804.3</v>
      </c>
      <c r="N256" s="2">
        <f ca="1">INDEX(INDIRECT(_xlfn.CONCAT("weather.tbl[",N$1,"]")),MATCH(vp.tbl[[#This Row],[SDate]],weather.tbl[Date],0))</f>
        <v>16.716666666666665</v>
      </c>
      <c r="O256" s="2">
        <f ca="1">INDEX(INDIRECT(_xlfn.CONCAT("weather.tbl[",O$1,"]")),MATCH(vp.tbl[[#This Row],[SDate]],weather.tbl[Date],0))</f>
        <v>18.45</v>
      </c>
      <c r="P256" s="2">
        <f ca="1">INDEX(INDIRECT(_xlfn.CONCAT("weather.tbl[",P$1,"]")),MATCH(vp.tbl[[#This Row],[SDate]],weather.tbl[Date],0))</f>
        <v>16.899999999999999</v>
      </c>
      <c r="Q256" s="2">
        <f ca="1">INDEX(INDIRECT(_xlfn.CONCAT("weather.tbl[",Q$1,"]")),MATCH(vp.tbl[[#This Row],[SDate]],weather.tbl[Date],0))</f>
        <v>15.9</v>
      </c>
      <c r="R256" s="2">
        <f ca="1">INDEX(INDIRECT(_xlfn.CONCAT("weather.tbl[",R$1,"]")),MATCH(vp.tbl[[#This Row],[SDate]],weather.tbl[Date],0))</f>
        <v>16</v>
      </c>
      <c r="S256" s="2">
        <f ca="1">INDEX(INDIRECT(_xlfn.CONCAT("weather.tbl[",S$1,"]")),MATCH(vp.tbl[[#This Row],[SDate]],weather.tbl[Date],0))</f>
        <v>17</v>
      </c>
      <c r="T256" s="2">
        <f ca="1">INDEX(INDIRECT(_xlfn.CONCAT("weather.tbl[",T$1,"]")),MATCH(vp.tbl[[#This Row],[SDate]],weather.tbl[Date],0))</f>
        <v>17.7</v>
      </c>
      <c r="U256" s="2">
        <f ca="1">INDEX(INDIRECT(_xlfn.CONCAT("weather.tbl[",U$1,"]")),MATCH(vp.tbl[[#This Row],[SDate]],weather.tbl[Date],0))</f>
        <v>16.8</v>
      </c>
      <c r="V256" s="2">
        <v>49148.319000000003</v>
      </c>
      <c r="W256" t="s">
        <v>48</v>
      </c>
      <c r="X256">
        <f>IF(OR(vp.tbl[[#This Row],[Sulf]]="",vp.tbl[[#This Row],[Dens]]=""),1,0)</f>
        <v>0</v>
      </c>
      <c r="Y256">
        <f>IF(vp.tbl[[#This Row],[CrudeType]]="C5+",1,0)</f>
        <v>0</v>
      </c>
      <c r="Z256">
        <f>IF(AND(vp.tbl[[#This Row],[CrudeType]]="Crude",vp.tbl[[#This Row],[Dens]]&lt;=825,vp.tbl[[#This Row],[Sulf]]&gt;0.5,vp.tbl[[#This Row],[Unknown]]=0),1,0)</f>
        <v>0</v>
      </c>
      <c r="AA256">
        <f>IF(AND(vp.tbl[[#This Row],[CrudeType]]="Crude",vp.tbl[[#This Row],[Dens]]&lt;=825,vp.tbl[[#This Row],[Sulf]]&lt;=0.5,vp.tbl[[#This Row],[Unknown]]=0),1,0)</f>
        <v>1</v>
      </c>
      <c r="AB256">
        <f>IF(AND(vp.tbl[[#This Row],[CrudeType]]="Crude",vp.tbl[[#This Row],[Dens]]&gt;825,vp.tbl[[#This Row],[Dens]]&lt;=870,vp.tbl[[#This Row],[Sulf]]&gt;0.5,vp.tbl[[#This Row],[Unknown]]=0),1,0)</f>
        <v>0</v>
      </c>
      <c r="AC256">
        <f>IF(AND(vp.tbl[[#This Row],[CrudeType]]="Crude",vp.tbl[[#This Row],[Dens]]&gt;825,vp.tbl[[#This Row],[Dens]]&lt;=900,vp.tbl[[#This Row],[Sulf]]&lt;=0.5,vp.tbl[[#This Row],[Unknown]]=0),1,0)</f>
        <v>0</v>
      </c>
      <c r="AD256">
        <f>IF(AND(vp.tbl[[#This Row],[CrudeType]]="Crude",vp.tbl[[#This Row],[Dens]]&gt;870,vp.tbl[[#This Row],[Dens]]&lt;=900,vp.tbl[[#This Row],[Sulf]]&gt;0.5,vp.tbl[[#This Row],[Unknown]]=0),1,0)</f>
        <v>0</v>
      </c>
      <c r="AE256">
        <f>IF(AND(vp.tbl[[#This Row],[CrudeType]]="Crude",vp.tbl[[#This Row],[Dens]]&gt;900,vp.tbl[[#This Row],[Sulf]]&lt;=0.5,vp.tbl[[#This Row],[Unknown]]=0),1,0)</f>
        <v>0</v>
      </c>
      <c r="AF256">
        <f>IF(AND(vp.tbl[[#This Row],[CrudeType]]="Crude",vp.tbl[[#This Row],[Dens]]&gt;900,vp.tbl[[#This Row],[Sulf]]&lt;=0.5,vp.tbl[[#This Row],[Unknown]]=0),1,0)</f>
        <v>0</v>
      </c>
      <c r="AG256" t="str">
        <f>INDEX(vp.tbl[[#Headers],[Unknown]:[Heavy_SW]],MATCH(1,vp.tbl[[#This Row],[Unknown]:[Heavy_SW]],0))</f>
        <v>Light_SW</v>
      </c>
      <c r="AH256" t="e">
        <f>INDEX([1]!crudeBD.lkup[Number],MATCH(vp.tbl[[#This Row],[Crude_Breakdown]],[1]!crudeBD.lkup[Crude Breakdown],0))</f>
        <v>#REF!</v>
      </c>
      <c r="AI256">
        <f>MONTH(vp.tbl[[#This Row],[SDate]])</f>
        <v>7</v>
      </c>
      <c r="AJ256" s="5">
        <f>IFERROR(vp.tbl[[#This Row],[Sulf]]*vp.tbl[[#This Row],[Net Dens]],"")</f>
        <v>8301298.524056999</v>
      </c>
      <c r="AK256" s="5">
        <f>IFERROR(vp.tbl[[#This Row],[Dens]]*vp.tbl[[#This Row],[VolumeM3]],"")</f>
        <v>39529992.971699998</v>
      </c>
      <c r="AL256" s="5">
        <f>IFERROR(vp.tbl[[#This Row],[VP]]*vp.tbl[[#This Row],[VolumeM3]],"")</f>
        <v>4723153.4559000004</v>
      </c>
      <c r="AM256" s="4">
        <f>IFERROR((vp.tbl[[#This Row],[VP]]-INDEX(crudeBD.lkup.complete[Mean_VP],MATCH(vp.tbl[[#This Row],[Crude_Breakdown]],crudeBD.lkup.complete[Crude Breakdown],0)))^2,"")</f>
        <v>12.6002736175019</v>
      </c>
      <c r="AN256" s="4">
        <f>IFERROR((vp.tbl[[#This Row],[Dens]]-INDEX(crudeBD.lkup.complete[Mean_Dens],MATCH(vp.tbl[[#This Row],[Crude_Breakdown]],crudeBD.lkup.complete[Crude Breakdown],0)))^2,"")</f>
        <v>16.092118272649731</v>
      </c>
      <c r="AO256" s="4">
        <f>IFERROR((vp.tbl[[#This Row],[Sulf]]-INDEX(crudeBD.lkup.complete[Mean_Sulf],MATCH(vp.tbl[[#This Row],[Crude_Breakdown]],crudeBD.lkup.complete[Crude Breakdown],0)))^2,"")</f>
        <v>6.8863268899706654E-4</v>
      </c>
      <c r="AP256">
        <f>IF(AND(vp.tbl[[#This Row],[SDate]]&gt;=DATE(YEAR(vp.tbl[[#This Row],[SDate]]),5,1),vp.tbl[[#This Row],[SDate]]&lt;=DATE(YEAR(vp.tbl[[#This Row],[SDate]]),9,15)),1,0)</f>
        <v>1</v>
      </c>
      <c r="AQ256" s="15">
        <f>IF(vp.tbl[[#This Row],[SDate]]&lt;DATE(2016,12,1),0,1)</f>
        <v>0</v>
      </c>
    </row>
    <row r="257" spans="1:43" x14ac:dyDescent="0.25">
      <c r="A257">
        <v>256</v>
      </c>
      <c r="B257" t="s">
        <v>49</v>
      </c>
      <c r="C257" t="s">
        <v>49</v>
      </c>
      <c r="D257" t="s">
        <v>67</v>
      </c>
      <c r="F257" s="1">
        <v>42566</v>
      </c>
      <c r="G257" s="2">
        <v>93.5</v>
      </c>
      <c r="H257" s="2"/>
      <c r="I257" s="2">
        <v>0.21</v>
      </c>
      <c r="J257" s="2"/>
      <c r="K257" s="2"/>
      <c r="L257" s="2">
        <v>804.3</v>
      </c>
      <c r="M257" s="2">
        <v>804.3</v>
      </c>
      <c r="N257" s="2">
        <f ca="1">INDEX(INDIRECT(_xlfn.CONCAT("weather.tbl[",N$1,"]")),MATCH(vp.tbl[[#This Row],[SDate]],weather.tbl[Date],0))</f>
        <v>16.716666666666665</v>
      </c>
      <c r="O257" s="2">
        <f ca="1">INDEX(INDIRECT(_xlfn.CONCAT("weather.tbl[",O$1,"]")),MATCH(vp.tbl[[#This Row],[SDate]],weather.tbl[Date],0))</f>
        <v>18.45</v>
      </c>
      <c r="P257" s="2">
        <f ca="1">INDEX(INDIRECT(_xlfn.CONCAT("weather.tbl[",P$1,"]")),MATCH(vp.tbl[[#This Row],[SDate]],weather.tbl[Date],0))</f>
        <v>16.899999999999999</v>
      </c>
      <c r="Q257" s="2">
        <f ca="1">INDEX(INDIRECT(_xlfn.CONCAT("weather.tbl[",Q$1,"]")),MATCH(vp.tbl[[#This Row],[SDate]],weather.tbl[Date],0))</f>
        <v>15.9</v>
      </c>
      <c r="R257" s="2">
        <f ca="1">INDEX(INDIRECT(_xlfn.CONCAT("weather.tbl[",R$1,"]")),MATCH(vp.tbl[[#This Row],[SDate]],weather.tbl[Date],0))</f>
        <v>16</v>
      </c>
      <c r="S257" s="2">
        <f ca="1">INDEX(INDIRECT(_xlfn.CONCAT("weather.tbl[",S$1,"]")),MATCH(vp.tbl[[#This Row],[SDate]],weather.tbl[Date],0))</f>
        <v>17</v>
      </c>
      <c r="T257" s="2">
        <f ca="1">INDEX(INDIRECT(_xlfn.CONCAT("weather.tbl[",T$1,"]")),MATCH(vp.tbl[[#This Row],[SDate]],weather.tbl[Date],0))</f>
        <v>17.7</v>
      </c>
      <c r="U257" s="2">
        <f ca="1">INDEX(INDIRECT(_xlfn.CONCAT("weather.tbl[",U$1,"]")),MATCH(vp.tbl[[#This Row],[SDate]],weather.tbl[Date],0))</f>
        <v>16.8</v>
      </c>
      <c r="V257" s="2">
        <v>49148.319000000003</v>
      </c>
      <c r="W257" t="s">
        <v>48</v>
      </c>
      <c r="X257">
        <f>IF(OR(vp.tbl[[#This Row],[Sulf]]="",vp.tbl[[#This Row],[Dens]]=""),1,0)</f>
        <v>0</v>
      </c>
      <c r="Y257">
        <f>IF(vp.tbl[[#This Row],[CrudeType]]="C5+",1,0)</f>
        <v>0</v>
      </c>
      <c r="Z257">
        <f>IF(AND(vp.tbl[[#This Row],[CrudeType]]="Crude",vp.tbl[[#This Row],[Dens]]&lt;=825,vp.tbl[[#This Row],[Sulf]]&gt;0.5,vp.tbl[[#This Row],[Unknown]]=0),1,0)</f>
        <v>0</v>
      </c>
      <c r="AA257">
        <f>IF(AND(vp.tbl[[#This Row],[CrudeType]]="Crude",vp.tbl[[#This Row],[Dens]]&lt;=825,vp.tbl[[#This Row],[Sulf]]&lt;=0.5,vp.tbl[[#This Row],[Unknown]]=0),1,0)</f>
        <v>1</v>
      </c>
      <c r="AB257">
        <f>IF(AND(vp.tbl[[#This Row],[CrudeType]]="Crude",vp.tbl[[#This Row],[Dens]]&gt;825,vp.tbl[[#This Row],[Dens]]&lt;=870,vp.tbl[[#This Row],[Sulf]]&gt;0.5,vp.tbl[[#This Row],[Unknown]]=0),1,0)</f>
        <v>0</v>
      </c>
      <c r="AC257">
        <f>IF(AND(vp.tbl[[#This Row],[CrudeType]]="Crude",vp.tbl[[#This Row],[Dens]]&gt;825,vp.tbl[[#This Row],[Dens]]&lt;=900,vp.tbl[[#This Row],[Sulf]]&lt;=0.5,vp.tbl[[#This Row],[Unknown]]=0),1,0)</f>
        <v>0</v>
      </c>
      <c r="AD257">
        <f>IF(AND(vp.tbl[[#This Row],[CrudeType]]="Crude",vp.tbl[[#This Row],[Dens]]&gt;870,vp.tbl[[#This Row],[Dens]]&lt;=900,vp.tbl[[#This Row],[Sulf]]&gt;0.5,vp.tbl[[#This Row],[Unknown]]=0),1,0)</f>
        <v>0</v>
      </c>
      <c r="AE257">
        <f>IF(AND(vp.tbl[[#This Row],[CrudeType]]="Crude",vp.tbl[[#This Row],[Dens]]&gt;900,vp.tbl[[#This Row],[Sulf]]&lt;=0.5,vp.tbl[[#This Row],[Unknown]]=0),1,0)</f>
        <v>0</v>
      </c>
      <c r="AF257">
        <f>IF(AND(vp.tbl[[#This Row],[CrudeType]]="Crude",vp.tbl[[#This Row],[Dens]]&gt;900,vp.tbl[[#This Row],[Sulf]]&lt;=0.5,vp.tbl[[#This Row],[Unknown]]=0),1,0)</f>
        <v>0</v>
      </c>
      <c r="AG257" t="str">
        <f>INDEX(vp.tbl[[#Headers],[Unknown]:[Heavy_SW]],MATCH(1,vp.tbl[[#This Row],[Unknown]:[Heavy_SW]],0))</f>
        <v>Light_SW</v>
      </c>
      <c r="AH257" t="e">
        <f>INDEX([1]!crudeBD.lkup[Number],MATCH(vp.tbl[[#This Row],[Crude_Breakdown]],[1]!crudeBD.lkup[Crude Breakdown],0))</f>
        <v>#REF!</v>
      </c>
      <c r="AI257">
        <f>MONTH(vp.tbl[[#This Row],[SDate]])</f>
        <v>7</v>
      </c>
      <c r="AJ257" s="5">
        <f>IFERROR(vp.tbl[[#This Row],[Sulf]]*vp.tbl[[#This Row],[Net Dens]],"")</f>
        <v>8301298.524056999</v>
      </c>
      <c r="AK257" s="5">
        <f>IFERROR(vp.tbl[[#This Row],[Dens]]*vp.tbl[[#This Row],[VolumeM3]],"")</f>
        <v>39529992.971699998</v>
      </c>
      <c r="AL257" s="5">
        <f>IFERROR(vp.tbl[[#This Row],[VP]]*vp.tbl[[#This Row],[VolumeM3]],"")</f>
        <v>4595367.8265000004</v>
      </c>
      <c r="AM257" s="4">
        <f>IFERROR((vp.tbl[[#This Row],[VP]]-INDEX(crudeBD.lkup.complete[Mean_VP],MATCH(vp.tbl[[#This Row],[Crude_Breakdown]],crudeBD.lkup.complete[Crude Breakdown],0)))^2,"")</f>
        <v>0.90190427952269203</v>
      </c>
      <c r="AN257" s="4">
        <f>IFERROR((vp.tbl[[#This Row],[Dens]]-INDEX(crudeBD.lkup.complete[Mean_Dens],MATCH(vp.tbl[[#This Row],[Crude_Breakdown]],crudeBD.lkup.complete[Crude Breakdown],0)))^2,"")</f>
        <v>16.092118272649731</v>
      </c>
      <c r="AO257" s="4">
        <f>IFERROR((vp.tbl[[#This Row],[Sulf]]-INDEX(crudeBD.lkup.complete[Mean_Sulf],MATCH(vp.tbl[[#This Row],[Crude_Breakdown]],crudeBD.lkup.complete[Crude Breakdown],0)))^2,"")</f>
        <v>6.8863268899706654E-4</v>
      </c>
      <c r="AP257">
        <f>IF(AND(vp.tbl[[#This Row],[SDate]]&gt;=DATE(YEAR(vp.tbl[[#This Row],[SDate]]),5,1),vp.tbl[[#This Row],[SDate]]&lt;=DATE(YEAR(vp.tbl[[#This Row],[SDate]]),9,15)),1,0)</f>
        <v>1</v>
      </c>
      <c r="AQ257" s="15">
        <f>IF(vp.tbl[[#This Row],[SDate]]&lt;DATE(2016,12,1),0,1)</f>
        <v>0</v>
      </c>
    </row>
    <row r="258" spans="1:43" x14ac:dyDescent="0.25">
      <c r="A258">
        <v>257</v>
      </c>
      <c r="B258" t="s">
        <v>51</v>
      </c>
      <c r="C258" t="s">
        <v>51</v>
      </c>
      <c r="D258" t="s">
        <v>58</v>
      </c>
      <c r="F258" s="1">
        <v>42566</v>
      </c>
      <c r="G258" s="2">
        <v>76.099999999999994</v>
      </c>
      <c r="H258" s="2"/>
      <c r="I258" s="2">
        <v>1.23</v>
      </c>
      <c r="J258" s="2"/>
      <c r="K258" s="2"/>
      <c r="L258" s="2">
        <v>820</v>
      </c>
      <c r="M258" s="2">
        <v>820</v>
      </c>
      <c r="N258" s="2">
        <f ca="1">INDEX(INDIRECT(_xlfn.CONCAT("weather.tbl[",N$1,"]")),MATCH(vp.tbl[[#This Row],[SDate]],weather.tbl[Date],0))</f>
        <v>16.716666666666665</v>
      </c>
      <c r="O258" s="2">
        <f ca="1">INDEX(INDIRECT(_xlfn.CONCAT("weather.tbl[",O$1,"]")),MATCH(vp.tbl[[#This Row],[SDate]],weather.tbl[Date],0))</f>
        <v>18.45</v>
      </c>
      <c r="P258" s="2">
        <f ca="1">INDEX(INDIRECT(_xlfn.CONCAT("weather.tbl[",P$1,"]")),MATCH(vp.tbl[[#This Row],[SDate]],weather.tbl[Date],0))</f>
        <v>16.899999999999999</v>
      </c>
      <c r="Q258" s="2">
        <f ca="1">INDEX(INDIRECT(_xlfn.CONCAT("weather.tbl[",Q$1,"]")),MATCH(vp.tbl[[#This Row],[SDate]],weather.tbl[Date],0))</f>
        <v>15.9</v>
      </c>
      <c r="R258" s="2">
        <f ca="1">INDEX(INDIRECT(_xlfn.CONCAT("weather.tbl[",R$1,"]")),MATCH(vp.tbl[[#This Row],[SDate]],weather.tbl[Date],0))</f>
        <v>16</v>
      </c>
      <c r="S258" s="2">
        <f ca="1">INDEX(INDIRECT(_xlfn.CONCAT("weather.tbl[",S$1,"]")),MATCH(vp.tbl[[#This Row],[SDate]],weather.tbl[Date],0))</f>
        <v>17</v>
      </c>
      <c r="T258" s="2">
        <f ca="1">INDEX(INDIRECT(_xlfn.CONCAT("weather.tbl[",T$1,"]")),MATCH(vp.tbl[[#This Row],[SDate]],weather.tbl[Date],0))</f>
        <v>17.7</v>
      </c>
      <c r="U258" s="2">
        <f ca="1">INDEX(INDIRECT(_xlfn.CONCAT("weather.tbl[",U$1,"]")),MATCH(vp.tbl[[#This Row],[SDate]],weather.tbl[Date],0))</f>
        <v>16.8</v>
      </c>
      <c r="V258" s="2">
        <v>6996.402</v>
      </c>
      <c r="W258" t="s">
        <v>48</v>
      </c>
      <c r="X258">
        <f>IF(OR(vp.tbl[[#This Row],[Sulf]]="",vp.tbl[[#This Row],[Dens]]=""),1,0)</f>
        <v>0</v>
      </c>
      <c r="Y258">
        <f>IF(vp.tbl[[#This Row],[CrudeType]]="C5+",1,0)</f>
        <v>0</v>
      </c>
      <c r="Z258">
        <f>IF(AND(vp.tbl[[#This Row],[CrudeType]]="Crude",vp.tbl[[#This Row],[Dens]]&lt;=825,vp.tbl[[#This Row],[Sulf]]&gt;0.5,vp.tbl[[#This Row],[Unknown]]=0),1,0)</f>
        <v>1</v>
      </c>
      <c r="AA258">
        <f>IF(AND(vp.tbl[[#This Row],[CrudeType]]="Crude",vp.tbl[[#This Row],[Dens]]&lt;=825,vp.tbl[[#This Row],[Sulf]]&lt;=0.5,vp.tbl[[#This Row],[Unknown]]=0),1,0)</f>
        <v>0</v>
      </c>
      <c r="AB258">
        <f>IF(AND(vp.tbl[[#This Row],[CrudeType]]="Crude",vp.tbl[[#This Row],[Dens]]&gt;825,vp.tbl[[#This Row],[Dens]]&lt;=870,vp.tbl[[#This Row],[Sulf]]&gt;0.5,vp.tbl[[#This Row],[Unknown]]=0),1,0)</f>
        <v>0</v>
      </c>
      <c r="AC258">
        <f>IF(AND(vp.tbl[[#This Row],[CrudeType]]="Crude",vp.tbl[[#This Row],[Dens]]&gt;825,vp.tbl[[#This Row],[Dens]]&lt;=900,vp.tbl[[#This Row],[Sulf]]&lt;=0.5,vp.tbl[[#This Row],[Unknown]]=0),1,0)</f>
        <v>0</v>
      </c>
      <c r="AD258">
        <f>IF(AND(vp.tbl[[#This Row],[CrudeType]]="Crude",vp.tbl[[#This Row],[Dens]]&gt;870,vp.tbl[[#This Row],[Dens]]&lt;=900,vp.tbl[[#This Row],[Sulf]]&gt;0.5,vp.tbl[[#This Row],[Unknown]]=0),1,0)</f>
        <v>0</v>
      </c>
      <c r="AE258">
        <f>IF(AND(vp.tbl[[#This Row],[CrudeType]]="Crude",vp.tbl[[#This Row],[Dens]]&gt;900,vp.tbl[[#This Row],[Sulf]]&lt;=0.5,vp.tbl[[#This Row],[Unknown]]=0),1,0)</f>
        <v>0</v>
      </c>
      <c r="AF258">
        <f>IF(AND(vp.tbl[[#This Row],[CrudeType]]="Crude",vp.tbl[[#This Row],[Dens]]&gt;900,vp.tbl[[#This Row],[Sulf]]&lt;=0.5,vp.tbl[[#This Row],[Unknown]]=0),1,0)</f>
        <v>0</v>
      </c>
      <c r="AG258" t="str">
        <f>INDEX(vp.tbl[[#Headers],[Unknown]:[Heavy_SW]],MATCH(1,vp.tbl[[#This Row],[Unknown]:[Heavy_SW]],0))</f>
        <v>Light_LSB</v>
      </c>
      <c r="AH258" t="e">
        <f>INDEX([1]!crudeBD.lkup[Number],MATCH(vp.tbl[[#This Row],[Crude_Breakdown]],[1]!crudeBD.lkup[Crude Breakdown],0))</f>
        <v>#REF!</v>
      </c>
      <c r="AI258">
        <f>MONTH(vp.tbl[[#This Row],[SDate]])</f>
        <v>7</v>
      </c>
      <c r="AJ258" s="5">
        <f>IFERROR(vp.tbl[[#This Row],[Sulf]]*vp.tbl[[#This Row],[Net Dens]],"")</f>
        <v>7056571.0571999997</v>
      </c>
      <c r="AK258" s="5">
        <f>IFERROR(vp.tbl[[#This Row],[Dens]]*vp.tbl[[#This Row],[VolumeM3]],"")</f>
        <v>5737049.6399999997</v>
      </c>
      <c r="AL258" s="5">
        <f>IFERROR(vp.tbl[[#This Row],[VP]]*vp.tbl[[#This Row],[VolumeM3]],"")</f>
        <v>532426.19219999993</v>
      </c>
      <c r="AM258" s="4">
        <f>IFERROR((vp.tbl[[#This Row],[VP]]-INDEX(crudeBD.lkup.complete[Mean_VP],MATCH(vp.tbl[[#This Row],[Crude_Breakdown]],crudeBD.lkup.complete[Crude Breakdown],0)))^2,"")</f>
        <v>238.58464857051874</v>
      </c>
      <c r="AN258" s="4">
        <f>IFERROR((vp.tbl[[#This Row],[Dens]]-INDEX(crudeBD.lkup.complete[Mean_Dens],MATCH(vp.tbl[[#This Row],[Crude_Breakdown]],crudeBD.lkup.complete[Crude Breakdown],0)))^2,"")</f>
        <v>2.199971946482433</v>
      </c>
      <c r="AO258" s="4">
        <f>IFERROR((vp.tbl[[#This Row],[Sulf]]-INDEX(crudeBD.lkup.complete[Mean_Sulf],MATCH(vp.tbl[[#This Row],[Crude_Breakdown]],crudeBD.lkup.complete[Crude Breakdown],0)))^2,"")</f>
        <v>9.426670344294602E-2</v>
      </c>
      <c r="AP258">
        <f>IF(AND(vp.tbl[[#This Row],[SDate]]&gt;=DATE(YEAR(vp.tbl[[#This Row],[SDate]]),5,1),vp.tbl[[#This Row],[SDate]]&lt;=DATE(YEAR(vp.tbl[[#This Row],[SDate]]),9,15)),1,0)</f>
        <v>1</v>
      </c>
      <c r="AQ258" s="15">
        <f>IF(vp.tbl[[#This Row],[SDate]]&lt;DATE(2016,12,1),0,1)</f>
        <v>0</v>
      </c>
    </row>
    <row r="259" spans="1:43" x14ac:dyDescent="0.25">
      <c r="A259">
        <v>258</v>
      </c>
      <c r="B259" t="s">
        <v>51</v>
      </c>
      <c r="C259" t="s">
        <v>51</v>
      </c>
      <c r="D259" t="s">
        <v>71</v>
      </c>
      <c r="F259" s="1">
        <v>42566</v>
      </c>
      <c r="G259" s="2">
        <v>86.7</v>
      </c>
      <c r="H259" s="2"/>
      <c r="I259" s="2">
        <v>1.47</v>
      </c>
      <c r="J259" s="2"/>
      <c r="K259" s="2"/>
      <c r="L259" s="2">
        <v>834.5</v>
      </c>
      <c r="M259" s="2">
        <v>834.5</v>
      </c>
      <c r="N259" s="2">
        <f ca="1">INDEX(INDIRECT(_xlfn.CONCAT("weather.tbl[",N$1,"]")),MATCH(vp.tbl[[#This Row],[SDate]],weather.tbl[Date],0))</f>
        <v>16.716666666666665</v>
      </c>
      <c r="O259" s="2">
        <f ca="1">INDEX(INDIRECT(_xlfn.CONCAT("weather.tbl[",O$1,"]")),MATCH(vp.tbl[[#This Row],[SDate]],weather.tbl[Date],0))</f>
        <v>18.45</v>
      </c>
      <c r="P259" s="2">
        <f ca="1">INDEX(INDIRECT(_xlfn.CONCAT("weather.tbl[",P$1,"]")),MATCH(vp.tbl[[#This Row],[SDate]],weather.tbl[Date],0))</f>
        <v>16.899999999999999</v>
      </c>
      <c r="Q259" s="2">
        <f ca="1">INDEX(INDIRECT(_xlfn.CONCAT("weather.tbl[",Q$1,"]")),MATCH(vp.tbl[[#This Row],[SDate]],weather.tbl[Date],0))</f>
        <v>15.9</v>
      </c>
      <c r="R259" s="2">
        <f ca="1">INDEX(INDIRECT(_xlfn.CONCAT("weather.tbl[",R$1,"]")),MATCH(vp.tbl[[#This Row],[SDate]],weather.tbl[Date],0))</f>
        <v>16</v>
      </c>
      <c r="S259" s="2">
        <f ca="1">INDEX(INDIRECT(_xlfn.CONCAT("weather.tbl[",S$1,"]")),MATCH(vp.tbl[[#This Row],[SDate]],weather.tbl[Date],0))</f>
        <v>17</v>
      </c>
      <c r="T259" s="2">
        <f ca="1">INDEX(INDIRECT(_xlfn.CONCAT("weather.tbl[",T$1,"]")),MATCH(vp.tbl[[#This Row],[SDate]],weather.tbl[Date],0))</f>
        <v>17.7</v>
      </c>
      <c r="U259" s="2">
        <f ca="1">INDEX(INDIRECT(_xlfn.CONCAT("weather.tbl[",U$1,"]")),MATCH(vp.tbl[[#This Row],[SDate]],weather.tbl[Date],0))</f>
        <v>16.8</v>
      </c>
      <c r="V259" s="2">
        <v>4722.0820000000003</v>
      </c>
      <c r="W259" t="s">
        <v>48</v>
      </c>
      <c r="X259">
        <f>IF(OR(vp.tbl[[#This Row],[Sulf]]="",vp.tbl[[#This Row],[Dens]]=""),1,0)</f>
        <v>0</v>
      </c>
      <c r="Y259">
        <f>IF(vp.tbl[[#This Row],[CrudeType]]="C5+",1,0)</f>
        <v>0</v>
      </c>
      <c r="Z259">
        <f>IF(AND(vp.tbl[[#This Row],[CrudeType]]="Crude",vp.tbl[[#This Row],[Dens]]&lt;=825,vp.tbl[[#This Row],[Sulf]]&gt;0.5,vp.tbl[[#This Row],[Unknown]]=0),1,0)</f>
        <v>0</v>
      </c>
      <c r="AA259">
        <f>IF(AND(vp.tbl[[#This Row],[CrudeType]]="Crude",vp.tbl[[#This Row],[Dens]]&lt;=825,vp.tbl[[#This Row],[Sulf]]&lt;=0.5,vp.tbl[[#This Row],[Unknown]]=0),1,0)</f>
        <v>0</v>
      </c>
      <c r="AB259">
        <f>IF(AND(vp.tbl[[#This Row],[CrudeType]]="Crude",vp.tbl[[#This Row],[Dens]]&gt;825,vp.tbl[[#This Row],[Dens]]&lt;=870,vp.tbl[[#This Row],[Sulf]]&gt;0.5,vp.tbl[[#This Row],[Unknown]]=0),1,0)</f>
        <v>1</v>
      </c>
      <c r="AC259">
        <f>IF(AND(vp.tbl[[#This Row],[CrudeType]]="Crude",vp.tbl[[#This Row],[Dens]]&gt;825,vp.tbl[[#This Row],[Dens]]&lt;=900,vp.tbl[[#This Row],[Sulf]]&lt;=0.5,vp.tbl[[#This Row],[Unknown]]=0),1,0)</f>
        <v>0</v>
      </c>
      <c r="AD259">
        <f>IF(AND(vp.tbl[[#This Row],[CrudeType]]="Crude",vp.tbl[[#This Row],[Dens]]&gt;870,vp.tbl[[#This Row],[Dens]]&lt;=900,vp.tbl[[#This Row],[Sulf]]&gt;0.5,vp.tbl[[#This Row],[Unknown]]=0),1,0)</f>
        <v>0</v>
      </c>
      <c r="AE259">
        <f>IF(AND(vp.tbl[[#This Row],[CrudeType]]="Crude",vp.tbl[[#This Row],[Dens]]&gt;900,vp.tbl[[#This Row],[Sulf]]&lt;=0.5,vp.tbl[[#This Row],[Unknown]]=0),1,0)</f>
        <v>0</v>
      </c>
      <c r="AF259">
        <f>IF(AND(vp.tbl[[#This Row],[CrudeType]]="Crude",vp.tbl[[#This Row],[Dens]]&gt;900,vp.tbl[[#This Row],[Sulf]]&lt;=0.5,vp.tbl[[#This Row],[Unknown]]=0),1,0)</f>
        <v>0</v>
      </c>
      <c r="AG259" t="str">
        <f>INDEX(vp.tbl[[#Headers],[Unknown]:[Heavy_SW]],MATCH(1,vp.tbl[[#This Row],[Unknown]:[Heavy_SW]],0))</f>
        <v>Medium_LSB</v>
      </c>
      <c r="AH259" t="e">
        <f>INDEX([1]!crudeBD.lkup[Number],MATCH(vp.tbl[[#This Row],[Crude_Breakdown]],[1]!crudeBD.lkup[Crude Breakdown],0))</f>
        <v>#REF!</v>
      </c>
      <c r="AI259">
        <f>MONTH(vp.tbl[[#This Row],[SDate]])</f>
        <v>7</v>
      </c>
      <c r="AJ259" s="5">
        <f>IFERROR(vp.tbl[[#This Row],[Sulf]]*vp.tbl[[#This Row],[Net Dens]],"")</f>
        <v>5792648.8206300009</v>
      </c>
      <c r="AK259" s="5">
        <f>IFERROR(vp.tbl[[#This Row],[Dens]]*vp.tbl[[#This Row],[VolumeM3]],"")</f>
        <v>3940577.4290000005</v>
      </c>
      <c r="AL259" s="5">
        <f>IFERROR(vp.tbl[[#This Row],[VP]]*vp.tbl[[#This Row],[VolumeM3]],"")</f>
        <v>409404.50940000004</v>
      </c>
      <c r="AM259" s="4">
        <f>IFERROR((vp.tbl[[#This Row],[VP]]-INDEX(crudeBD.lkup.complete[Mean_VP],MATCH(vp.tbl[[#This Row],[Crude_Breakdown]],crudeBD.lkup.complete[Crude Breakdown],0)))^2,"")</f>
        <v>42.593963050152738</v>
      </c>
      <c r="AN259" s="4">
        <f>IFERROR((vp.tbl[[#This Row],[Dens]]-INDEX(crudeBD.lkup.complete[Mean_Dens],MATCH(vp.tbl[[#This Row],[Crude_Breakdown]],crudeBD.lkup.complete[Crude Breakdown],0)))^2,"")</f>
        <v>116.46343901872574</v>
      </c>
      <c r="AO259" s="4">
        <f>IFERROR((vp.tbl[[#This Row],[Sulf]]-INDEX(crudeBD.lkup.complete[Mean_Sulf],MATCH(vp.tbl[[#This Row],[Crude_Breakdown]],crudeBD.lkup.complete[Crude Breakdown],0)))^2,"")</f>
        <v>2.2710909672820322E-4</v>
      </c>
      <c r="AP259">
        <f>IF(AND(vp.tbl[[#This Row],[SDate]]&gt;=DATE(YEAR(vp.tbl[[#This Row],[SDate]]),5,1),vp.tbl[[#This Row],[SDate]]&lt;=DATE(YEAR(vp.tbl[[#This Row],[SDate]]),9,15)),1,0)</f>
        <v>1</v>
      </c>
      <c r="AQ259" s="15">
        <f>IF(vp.tbl[[#This Row],[SDate]]&lt;DATE(2016,12,1),0,1)</f>
        <v>0</v>
      </c>
    </row>
    <row r="260" spans="1:43" x14ac:dyDescent="0.25">
      <c r="A260">
        <v>259</v>
      </c>
      <c r="B260" t="s">
        <v>56</v>
      </c>
      <c r="C260" t="s">
        <v>56</v>
      </c>
      <c r="D260" t="s">
        <v>57</v>
      </c>
      <c r="F260" s="1">
        <v>42566</v>
      </c>
      <c r="G260" s="2">
        <v>79.599999999999994</v>
      </c>
      <c r="H260" s="2"/>
      <c r="I260" s="2">
        <v>1.63</v>
      </c>
      <c r="J260" s="2"/>
      <c r="K260" s="2"/>
      <c r="L260" s="2">
        <v>836.9</v>
      </c>
      <c r="M260" s="2">
        <v>836.9</v>
      </c>
      <c r="N260" s="2">
        <f ca="1">INDEX(INDIRECT(_xlfn.CONCAT("weather.tbl[",N$1,"]")),MATCH(vp.tbl[[#This Row],[SDate]],weather.tbl[Date],0))</f>
        <v>16.716666666666665</v>
      </c>
      <c r="O260" s="2">
        <f ca="1">INDEX(INDIRECT(_xlfn.CONCAT("weather.tbl[",O$1,"]")),MATCH(vp.tbl[[#This Row],[SDate]],weather.tbl[Date],0))</f>
        <v>18.45</v>
      </c>
      <c r="P260" s="2">
        <f ca="1">INDEX(INDIRECT(_xlfn.CONCAT("weather.tbl[",P$1,"]")),MATCH(vp.tbl[[#This Row],[SDate]],weather.tbl[Date],0))</f>
        <v>16.899999999999999</v>
      </c>
      <c r="Q260" s="2">
        <f ca="1">INDEX(INDIRECT(_xlfn.CONCAT("weather.tbl[",Q$1,"]")),MATCH(vp.tbl[[#This Row],[SDate]],weather.tbl[Date],0))</f>
        <v>15.9</v>
      </c>
      <c r="R260" s="2">
        <f ca="1">INDEX(INDIRECT(_xlfn.CONCAT("weather.tbl[",R$1,"]")),MATCH(vp.tbl[[#This Row],[SDate]],weather.tbl[Date],0))</f>
        <v>16</v>
      </c>
      <c r="S260" s="2">
        <f ca="1">INDEX(INDIRECT(_xlfn.CONCAT("weather.tbl[",S$1,"]")),MATCH(vp.tbl[[#This Row],[SDate]],weather.tbl[Date],0))</f>
        <v>17</v>
      </c>
      <c r="T260" s="2">
        <f ca="1">INDEX(INDIRECT(_xlfn.CONCAT("weather.tbl[",T$1,"]")),MATCH(vp.tbl[[#This Row],[SDate]],weather.tbl[Date],0))</f>
        <v>17.7</v>
      </c>
      <c r="U260" s="2">
        <f ca="1">INDEX(INDIRECT(_xlfn.CONCAT("weather.tbl[",U$1,"]")),MATCH(vp.tbl[[#This Row],[SDate]],weather.tbl[Date],0))</f>
        <v>16.8</v>
      </c>
      <c r="V260" s="2">
        <v>3319.0610000000001</v>
      </c>
      <c r="W260" t="s">
        <v>48</v>
      </c>
      <c r="X260">
        <f>IF(OR(vp.tbl[[#This Row],[Sulf]]="",vp.tbl[[#This Row],[Dens]]=""),1,0)</f>
        <v>0</v>
      </c>
      <c r="Y260">
        <f>IF(vp.tbl[[#This Row],[CrudeType]]="C5+",1,0)</f>
        <v>0</v>
      </c>
      <c r="Z260">
        <f>IF(AND(vp.tbl[[#This Row],[CrudeType]]="Crude",vp.tbl[[#This Row],[Dens]]&lt;=825,vp.tbl[[#This Row],[Sulf]]&gt;0.5,vp.tbl[[#This Row],[Unknown]]=0),1,0)</f>
        <v>0</v>
      </c>
      <c r="AA260">
        <f>IF(AND(vp.tbl[[#This Row],[CrudeType]]="Crude",vp.tbl[[#This Row],[Dens]]&lt;=825,vp.tbl[[#This Row],[Sulf]]&lt;=0.5,vp.tbl[[#This Row],[Unknown]]=0),1,0)</f>
        <v>0</v>
      </c>
      <c r="AB260">
        <f>IF(AND(vp.tbl[[#This Row],[CrudeType]]="Crude",vp.tbl[[#This Row],[Dens]]&gt;825,vp.tbl[[#This Row],[Dens]]&lt;=870,vp.tbl[[#This Row],[Sulf]]&gt;0.5,vp.tbl[[#This Row],[Unknown]]=0),1,0)</f>
        <v>1</v>
      </c>
      <c r="AC260">
        <f>IF(AND(vp.tbl[[#This Row],[CrudeType]]="Crude",vp.tbl[[#This Row],[Dens]]&gt;825,vp.tbl[[#This Row],[Dens]]&lt;=900,vp.tbl[[#This Row],[Sulf]]&lt;=0.5,vp.tbl[[#This Row],[Unknown]]=0),1,0)</f>
        <v>0</v>
      </c>
      <c r="AD260">
        <f>IF(AND(vp.tbl[[#This Row],[CrudeType]]="Crude",vp.tbl[[#This Row],[Dens]]&gt;870,vp.tbl[[#This Row],[Dens]]&lt;=900,vp.tbl[[#This Row],[Sulf]]&gt;0.5,vp.tbl[[#This Row],[Unknown]]=0),1,0)</f>
        <v>0</v>
      </c>
      <c r="AE260">
        <f>IF(AND(vp.tbl[[#This Row],[CrudeType]]="Crude",vp.tbl[[#This Row],[Dens]]&gt;900,vp.tbl[[#This Row],[Sulf]]&lt;=0.5,vp.tbl[[#This Row],[Unknown]]=0),1,0)</f>
        <v>0</v>
      </c>
      <c r="AF260">
        <f>IF(AND(vp.tbl[[#This Row],[CrudeType]]="Crude",vp.tbl[[#This Row],[Dens]]&gt;900,vp.tbl[[#This Row],[Sulf]]&lt;=0.5,vp.tbl[[#This Row],[Unknown]]=0),1,0)</f>
        <v>0</v>
      </c>
      <c r="AG260" t="str">
        <f>INDEX(vp.tbl[[#Headers],[Unknown]:[Heavy_SW]],MATCH(1,vp.tbl[[#This Row],[Unknown]:[Heavy_SW]],0))</f>
        <v>Medium_LSB</v>
      </c>
      <c r="AH260" t="e">
        <f>INDEX([1]!crudeBD.lkup[Number],MATCH(vp.tbl[[#This Row],[Crude_Breakdown]],[1]!crudeBD.lkup[Crude Breakdown],0))</f>
        <v>#REF!</v>
      </c>
      <c r="AI260">
        <f>MONTH(vp.tbl[[#This Row],[SDate]])</f>
        <v>7</v>
      </c>
      <c r="AJ260" s="5">
        <f>IFERROR(vp.tbl[[#This Row],[Sulf]]*vp.tbl[[#This Row],[Net Dens]],"")</f>
        <v>4527687.1059670001</v>
      </c>
      <c r="AK260" s="5">
        <f>IFERROR(vp.tbl[[#This Row],[Dens]]*vp.tbl[[#This Row],[VolumeM3]],"")</f>
        <v>2777722.1509000002</v>
      </c>
      <c r="AL260" s="5">
        <f>IFERROR(vp.tbl[[#This Row],[VP]]*vp.tbl[[#This Row],[VolumeM3]],"")</f>
        <v>264197.25559999997</v>
      </c>
      <c r="AM260" s="4">
        <f>IFERROR((vp.tbl[[#This Row],[VP]]-INDEX(crudeBD.lkup.complete[Mean_VP],MATCH(vp.tbl[[#This Row],[Crude_Breakdown]],crudeBD.lkup.complete[Crude Breakdown],0)))^2,"")</f>
        <v>0.32901115141800619</v>
      </c>
      <c r="AN260" s="4">
        <f>IFERROR((vp.tbl[[#This Row],[Dens]]-INDEX(crudeBD.lkup.complete[Mean_Dens],MATCH(vp.tbl[[#This Row],[Crude_Breakdown]],crudeBD.lkup.complete[Crude Breakdown],0)))^2,"")</f>
        <v>70.422689651642244</v>
      </c>
      <c r="AO260" s="4">
        <f>IFERROR((vp.tbl[[#This Row],[Sulf]]-INDEX(crudeBD.lkup.complete[Mean_Sulf],MATCH(vp.tbl[[#This Row],[Crude_Breakdown]],crudeBD.lkup.complete[Crude Breakdown],0)))^2,"")</f>
        <v>3.0649553653689716E-2</v>
      </c>
      <c r="AP260">
        <f>IF(AND(vp.tbl[[#This Row],[SDate]]&gt;=DATE(YEAR(vp.tbl[[#This Row],[SDate]]),5,1),vp.tbl[[#This Row],[SDate]]&lt;=DATE(YEAR(vp.tbl[[#This Row],[SDate]]),9,15)),1,0)</f>
        <v>1</v>
      </c>
      <c r="AQ260" s="15">
        <f>IF(vp.tbl[[#This Row],[SDate]]&lt;DATE(2016,12,1),0,1)</f>
        <v>0</v>
      </c>
    </row>
    <row r="261" spans="1:43" x14ac:dyDescent="0.25">
      <c r="A261">
        <v>260</v>
      </c>
      <c r="B261" t="s">
        <v>49</v>
      </c>
      <c r="C261" t="s">
        <v>49</v>
      </c>
      <c r="D261" t="s">
        <v>50</v>
      </c>
      <c r="F261" s="1">
        <v>42568</v>
      </c>
      <c r="G261" s="2">
        <v>80.400000000000006</v>
      </c>
      <c r="H261" s="2"/>
      <c r="I261" s="2">
        <v>2.59</v>
      </c>
      <c r="J261" s="2"/>
      <c r="K261" s="2"/>
      <c r="L261" s="2"/>
      <c r="M261" s="2">
        <v>869.2</v>
      </c>
      <c r="N261" s="2">
        <f ca="1">INDEX(INDIRECT(_xlfn.CONCAT("weather.tbl[",N$1,"]")),MATCH(vp.tbl[[#This Row],[SDate]],weather.tbl[Date],0))</f>
        <v>19.05</v>
      </c>
      <c r="O261" s="2">
        <f ca="1">INDEX(INDIRECT(_xlfn.CONCAT("weather.tbl[",O$1,"]")),MATCH(vp.tbl[[#This Row],[SDate]],weather.tbl[Date],0))</f>
        <v>17.730952380952381</v>
      </c>
      <c r="P261" s="2">
        <f ca="1">INDEX(INDIRECT(_xlfn.CONCAT("weather.tbl[",P$1,"]")),MATCH(vp.tbl[[#This Row],[SDate]],weather.tbl[Date],0))</f>
        <v>19.3</v>
      </c>
      <c r="Q261" s="2">
        <f ca="1">INDEX(INDIRECT(_xlfn.CONCAT("weather.tbl[",Q$1,"]")),MATCH(vp.tbl[[#This Row],[SDate]],weather.tbl[Date],0))</f>
        <v>18.399999999999999</v>
      </c>
      <c r="R261" s="2">
        <f ca="1">INDEX(INDIRECT(_xlfn.CONCAT("weather.tbl[",R$1,"]")),MATCH(vp.tbl[[#This Row],[SDate]],weather.tbl[Date],0))</f>
        <v>19.3</v>
      </c>
      <c r="S261" s="2">
        <f ca="1">INDEX(INDIRECT(_xlfn.CONCAT("weather.tbl[",S$1,"]")),MATCH(vp.tbl[[#This Row],[SDate]],weather.tbl[Date],0))</f>
        <v>20</v>
      </c>
      <c r="T261" s="2">
        <f ca="1">INDEX(INDIRECT(_xlfn.CONCAT("weather.tbl[",T$1,"]")),MATCH(vp.tbl[[#This Row],[SDate]],weather.tbl[Date],0))</f>
        <v>18.8</v>
      </c>
      <c r="U261" s="2">
        <f ca="1">INDEX(INDIRECT(_xlfn.CONCAT("weather.tbl[",U$1,"]")),MATCH(vp.tbl[[#This Row],[SDate]],weather.tbl[Date],0))</f>
        <v>18.5</v>
      </c>
      <c r="V261" s="2">
        <v>5700.3140000000003</v>
      </c>
      <c r="W261" t="s">
        <v>48</v>
      </c>
      <c r="X261">
        <f>IF(OR(vp.tbl[[#This Row],[Sulf]]="",vp.tbl[[#This Row],[Dens]]=""),1,0)</f>
        <v>0</v>
      </c>
      <c r="Y261">
        <f>IF(vp.tbl[[#This Row],[CrudeType]]="C5+",1,0)</f>
        <v>0</v>
      </c>
      <c r="Z261">
        <f>IF(AND(vp.tbl[[#This Row],[CrudeType]]="Crude",vp.tbl[[#This Row],[Dens]]&lt;=825,vp.tbl[[#This Row],[Sulf]]&gt;0.5,vp.tbl[[#This Row],[Unknown]]=0),1,0)</f>
        <v>0</v>
      </c>
      <c r="AA261">
        <f>IF(AND(vp.tbl[[#This Row],[CrudeType]]="Crude",vp.tbl[[#This Row],[Dens]]&lt;=825,vp.tbl[[#This Row],[Sulf]]&lt;=0.5,vp.tbl[[#This Row],[Unknown]]=0),1,0)</f>
        <v>0</v>
      </c>
      <c r="AB261">
        <f>IF(AND(vp.tbl[[#This Row],[CrudeType]]="Crude",vp.tbl[[#This Row],[Dens]]&gt;825,vp.tbl[[#This Row],[Dens]]&lt;=870,vp.tbl[[#This Row],[Sulf]]&gt;0.5,vp.tbl[[#This Row],[Unknown]]=0),1,0)</f>
        <v>1</v>
      </c>
      <c r="AC261">
        <f>IF(AND(vp.tbl[[#This Row],[CrudeType]]="Crude",vp.tbl[[#This Row],[Dens]]&gt;825,vp.tbl[[#This Row],[Dens]]&lt;=900,vp.tbl[[#This Row],[Sulf]]&lt;=0.5,vp.tbl[[#This Row],[Unknown]]=0),1,0)</f>
        <v>0</v>
      </c>
      <c r="AD261">
        <f>IF(AND(vp.tbl[[#This Row],[CrudeType]]="Crude",vp.tbl[[#This Row],[Dens]]&gt;870,vp.tbl[[#This Row],[Dens]]&lt;=900,vp.tbl[[#This Row],[Sulf]]&gt;0.5,vp.tbl[[#This Row],[Unknown]]=0),1,0)</f>
        <v>0</v>
      </c>
      <c r="AE261">
        <f>IF(AND(vp.tbl[[#This Row],[CrudeType]]="Crude",vp.tbl[[#This Row],[Dens]]&gt;900,vp.tbl[[#This Row],[Sulf]]&lt;=0.5,vp.tbl[[#This Row],[Unknown]]=0),1,0)</f>
        <v>0</v>
      </c>
      <c r="AF261">
        <f>IF(AND(vp.tbl[[#This Row],[CrudeType]]="Crude",vp.tbl[[#This Row],[Dens]]&gt;900,vp.tbl[[#This Row],[Sulf]]&lt;=0.5,vp.tbl[[#This Row],[Unknown]]=0),1,0)</f>
        <v>0</v>
      </c>
      <c r="AG261" t="str">
        <f>INDEX(vp.tbl[[#Headers],[Unknown]:[Heavy_SW]],MATCH(1,vp.tbl[[#This Row],[Unknown]:[Heavy_SW]],0))</f>
        <v>Medium_LSB</v>
      </c>
      <c r="AH261" t="e">
        <f>INDEX([1]!crudeBD.lkup[Number],MATCH(vp.tbl[[#This Row],[Crude_Breakdown]],[1]!crudeBD.lkup[Crude Breakdown],0))</f>
        <v>#REF!</v>
      </c>
      <c r="AI261">
        <f>MONTH(vp.tbl[[#This Row],[SDate]])</f>
        <v>7</v>
      </c>
      <c r="AJ261" s="5">
        <f>IFERROR(vp.tbl[[#This Row],[Sulf]]*vp.tbl[[#This Row],[Net Dens]],"")</f>
        <v>12832706.485592002</v>
      </c>
      <c r="AK261" s="5">
        <f>IFERROR(vp.tbl[[#This Row],[Dens]]*vp.tbl[[#This Row],[VolumeM3]],"")</f>
        <v>4954712.9288000008</v>
      </c>
      <c r="AL261" s="5">
        <f>IFERROR(vp.tbl[[#This Row],[VP]]*vp.tbl[[#This Row],[VolumeM3]],"")</f>
        <v>458305.24560000008</v>
      </c>
      <c r="AM261" s="4">
        <f>IFERROR((vp.tbl[[#This Row],[VP]]-INDEX(crudeBD.lkup.complete[Mean_VP],MATCH(vp.tbl[[#This Row],[Crude_Breakdown]],crudeBD.lkup.complete[Crude Breakdown],0)))^2,"")</f>
        <v>5.1259252683884045E-2</v>
      </c>
      <c r="AN261" s="4">
        <f>IFERROR((vp.tbl[[#This Row],[Dens]]-INDEX(crudeBD.lkup.complete[Mean_Dens],MATCH(vp.tbl[[#This Row],[Crude_Breakdown]],crudeBD.lkup.complete[Crude Breakdown],0)))^2,"")</f>
        <v>571.60093775297344</v>
      </c>
      <c r="AO261" s="4">
        <f>IFERROR((vp.tbl[[#This Row],[Sulf]]-INDEX(crudeBD.lkup.complete[Mean_Sulf],MATCH(vp.tbl[[#This Row],[Crude_Breakdown]],crudeBD.lkup.complete[Crude Breakdown],0)))^2,"")</f>
        <v>1.2883842209954588</v>
      </c>
      <c r="AP261">
        <f>IF(AND(vp.tbl[[#This Row],[SDate]]&gt;=DATE(YEAR(vp.tbl[[#This Row],[SDate]]),5,1),vp.tbl[[#This Row],[SDate]]&lt;=DATE(YEAR(vp.tbl[[#This Row],[SDate]]),9,15)),1,0)</f>
        <v>1</v>
      </c>
      <c r="AQ261" s="15">
        <f>IF(vp.tbl[[#This Row],[SDate]]&lt;DATE(2016,12,1),0,1)</f>
        <v>0</v>
      </c>
    </row>
    <row r="262" spans="1:43" x14ac:dyDescent="0.25">
      <c r="A262">
        <v>261</v>
      </c>
      <c r="B262" t="s">
        <v>60</v>
      </c>
      <c r="C262" t="s">
        <v>60</v>
      </c>
      <c r="D262" t="s">
        <v>61</v>
      </c>
      <c r="E262" t="s">
        <v>73</v>
      </c>
      <c r="F262" s="1">
        <v>42569</v>
      </c>
      <c r="G262" s="2">
        <v>84.7</v>
      </c>
      <c r="H262" s="2"/>
      <c r="I262" s="2">
        <v>0.96</v>
      </c>
      <c r="J262" s="2"/>
      <c r="K262" s="2"/>
      <c r="L262" s="2"/>
      <c r="M262" s="2">
        <v>817.9</v>
      </c>
      <c r="N262" s="2">
        <f ca="1">INDEX(INDIRECT(_xlfn.CONCAT("weather.tbl[",N$1,"]")),MATCH(vp.tbl[[#This Row],[SDate]],weather.tbl[Date],0))</f>
        <v>19.633333333333333</v>
      </c>
      <c r="O262" s="2">
        <f ca="1">INDEX(INDIRECT(_xlfn.CONCAT("weather.tbl[",O$1,"]")),MATCH(vp.tbl[[#This Row],[SDate]],weather.tbl[Date],0))</f>
        <v>17.730952380952377</v>
      </c>
      <c r="P262" s="2">
        <f ca="1">INDEX(INDIRECT(_xlfn.CONCAT("weather.tbl[",P$1,"]")),MATCH(vp.tbl[[#This Row],[SDate]],weather.tbl[Date],0))</f>
        <v>20.6</v>
      </c>
      <c r="Q262" s="2">
        <f ca="1">INDEX(INDIRECT(_xlfn.CONCAT("weather.tbl[",Q$1,"]")),MATCH(vp.tbl[[#This Row],[SDate]],weather.tbl[Date],0))</f>
        <v>19.600000000000001</v>
      </c>
      <c r="R262" s="2">
        <f ca="1">INDEX(INDIRECT(_xlfn.CONCAT("weather.tbl[",R$1,"]")),MATCH(vp.tbl[[#This Row],[SDate]],weather.tbl[Date],0))</f>
        <v>18.3</v>
      </c>
      <c r="S262" s="2">
        <f ca="1">INDEX(INDIRECT(_xlfn.CONCAT("weather.tbl[",S$1,"]")),MATCH(vp.tbl[[#This Row],[SDate]],weather.tbl[Date],0))</f>
        <v>20.8</v>
      </c>
      <c r="T262" s="2">
        <f ca="1">INDEX(INDIRECT(_xlfn.CONCAT("weather.tbl[",T$1,"]")),MATCH(vp.tbl[[#This Row],[SDate]],weather.tbl[Date],0))</f>
        <v>19</v>
      </c>
      <c r="U262" s="2">
        <f ca="1">INDEX(INDIRECT(_xlfn.CONCAT("weather.tbl[",U$1,"]")),MATCH(vp.tbl[[#This Row],[SDate]],weather.tbl[Date],0))</f>
        <v>19.5</v>
      </c>
      <c r="V262" s="2">
        <v>102591.85</v>
      </c>
      <c r="W262" t="s">
        <v>48</v>
      </c>
      <c r="X262">
        <f>IF(OR(vp.tbl[[#This Row],[Sulf]]="",vp.tbl[[#This Row],[Dens]]=""),1,0)</f>
        <v>0</v>
      </c>
      <c r="Y262">
        <f>IF(vp.tbl[[#This Row],[CrudeType]]="C5+",1,0)</f>
        <v>0</v>
      </c>
      <c r="Z262">
        <f>IF(AND(vp.tbl[[#This Row],[CrudeType]]="Crude",vp.tbl[[#This Row],[Dens]]&lt;=825,vp.tbl[[#This Row],[Sulf]]&gt;0.5,vp.tbl[[#This Row],[Unknown]]=0),1,0)</f>
        <v>1</v>
      </c>
      <c r="AA262">
        <f>IF(AND(vp.tbl[[#This Row],[CrudeType]]="Crude",vp.tbl[[#This Row],[Dens]]&lt;=825,vp.tbl[[#This Row],[Sulf]]&lt;=0.5,vp.tbl[[#This Row],[Unknown]]=0),1,0)</f>
        <v>0</v>
      </c>
      <c r="AB262">
        <f>IF(AND(vp.tbl[[#This Row],[CrudeType]]="Crude",vp.tbl[[#This Row],[Dens]]&gt;825,vp.tbl[[#This Row],[Dens]]&lt;=870,vp.tbl[[#This Row],[Sulf]]&gt;0.5,vp.tbl[[#This Row],[Unknown]]=0),1,0)</f>
        <v>0</v>
      </c>
      <c r="AC262">
        <f>IF(AND(vp.tbl[[#This Row],[CrudeType]]="Crude",vp.tbl[[#This Row],[Dens]]&gt;825,vp.tbl[[#This Row],[Dens]]&lt;=900,vp.tbl[[#This Row],[Sulf]]&lt;=0.5,vp.tbl[[#This Row],[Unknown]]=0),1,0)</f>
        <v>0</v>
      </c>
      <c r="AD262">
        <f>IF(AND(vp.tbl[[#This Row],[CrudeType]]="Crude",vp.tbl[[#This Row],[Dens]]&gt;870,vp.tbl[[#This Row],[Dens]]&lt;=900,vp.tbl[[#This Row],[Sulf]]&gt;0.5,vp.tbl[[#This Row],[Unknown]]=0),1,0)</f>
        <v>0</v>
      </c>
      <c r="AE262">
        <f>IF(AND(vp.tbl[[#This Row],[CrudeType]]="Crude",vp.tbl[[#This Row],[Dens]]&gt;900,vp.tbl[[#This Row],[Sulf]]&lt;=0.5,vp.tbl[[#This Row],[Unknown]]=0),1,0)</f>
        <v>0</v>
      </c>
      <c r="AF262">
        <f>IF(AND(vp.tbl[[#This Row],[CrudeType]]="Crude",vp.tbl[[#This Row],[Dens]]&gt;900,vp.tbl[[#This Row],[Sulf]]&lt;=0.5,vp.tbl[[#This Row],[Unknown]]=0),1,0)</f>
        <v>0</v>
      </c>
      <c r="AG262" t="str">
        <f>INDEX(vp.tbl[[#Headers],[Unknown]:[Heavy_SW]],MATCH(1,vp.tbl[[#This Row],[Unknown]:[Heavy_SW]],0))</f>
        <v>Light_LSB</v>
      </c>
      <c r="AH262" t="e">
        <f>INDEX([1]!crudeBD.lkup[Number],MATCH(vp.tbl[[#This Row],[Crude_Breakdown]],[1]!crudeBD.lkup[Crude Breakdown],0))</f>
        <v>#REF!</v>
      </c>
      <c r="AI262">
        <f>MONTH(vp.tbl[[#This Row],[SDate]])</f>
        <v>7</v>
      </c>
      <c r="AJ262" s="5">
        <f>IFERROR(vp.tbl[[#This Row],[Sulf]]*vp.tbl[[#This Row],[Net Dens]],"")</f>
        <v>80553479.150400013</v>
      </c>
      <c r="AK262" s="5">
        <f>IFERROR(vp.tbl[[#This Row],[Dens]]*vp.tbl[[#This Row],[VolumeM3]],"")</f>
        <v>83909874.11500001</v>
      </c>
      <c r="AL262" s="5">
        <f>IFERROR(vp.tbl[[#This Row],[VP]]*vp.tbl[[#This Row],[VolumeM3]],"")</f>
        <v>8689529.6950000003</v>
      </c>
      <c r="AM262" s="4">
        <f>IFERROR((vp.tbl[[#This Row],[VP]]-INDEX(crudeBD.lkup.complete[Mean_VP],MATCH(vp.tbl[[#This Row],[Crude_Breakdown]],crudeBD.lkup.complete[Crude Breakdown],0)))^2,"")</f>
        <v>46.870256817940657</v>
      </c>
      <c r="AN262" s="4">
        <f>IFERROR((vp.tbl[[#This Row],[Dens]]-INDEX(crudeBD.lkup.complete[Mean_Dens],MATCH(vp.tbl[[#This Row],[Crude_Breakdown]],crudeBD.lkup.complete[Crude Breakdown],0)))^2,"")</f>
        <v>0.38040493617186338</v>
      </c>
      <c r="AO262" s="4">
        <f>IFERROR((vp.tbl[[#This Row],[Sulf]]-INDEX(crudeBD.lkup.complete[Mean_Sulf],MATCH(vp.tbl[[#This Row],[Crude_Breakdown]],crudeBD.lkup.complete[Crude Breakdown],0)))^2,"")</f>
        <v>1.3711343707809469E-3</v>
      </c>
      <c r="AP262">
        <f>IF(AND(vp.tbl[[#This Row],[SDate]]&gt;=DATE(YEAR(vp.tbl[[#This Row],[SDate]]),5,1),vp.tbl[[#This Row],[SDate]]&lt;=DATE(YEAR(vp.tbl[[#This Row],[SDate]]),9,15)),1,0)</f>
        <v>1</v>
      </c>
      <c r="AQ262" s="15">
        <f>IF(vp.tbl[[#This Row],[SDate]]&lt;DATE(2016,12,1),0,1)</f>
        <v>0</v>
      </c>
    </row>
    <row r="263" spans="1:43" x14ac:dyDescent="0.25">
      <c r="A263">
        <v>262</v>
      </c>
      <c r="B263" t="s">
        <v>68</v>
      </c>
      <c r="C263" t="s">
        <v>68</v>
      </c>
      <c r="D263" t="s">
        <v>69</v>
      </c>
      <c r="F263" s="1">
        <v>42569</v>
      </c>
      <c r="G263" s="2">
        <v>59</v>
      </c>
      <c r="H263" s="2"/>
      <c r="I263" s="2">
        <v>1.74</v>
      </c>
      <c r="J263" s="2"/>
      <c r="K263" s="2"/>
      <c r="L263" s="2">
        <v>827.5</v>
      </c>
      <c r="M263" s="2">
        <v>827.5</v>
      </c>
      <c r="N263" s="2">
        <f ca="1">INDEX(INDIRECT(_xlfn.CONCAT("weather.tbl[",N$1,"]")),MATCH(vp.tbl[[#This Row],[SDate]],weather.tbl[Date],0))</f>
        <v>19.633333333333333</v>
      </c>
      <c r="O263" s="2">
        <f ca="1">INDEX(INDIRECT(_xlfn.CONCAT("weather.tbl[",O$1,"]")),MATCH(vp.tbl[[#This Row],[SDate]],weather.tbl[Date],0))</f>
        <v>17.730952380952377</v>
      </c>
      <c r="P263" s="2">
        <f ca="1">INDEX(INDIRECT(_xlfn.CONCAT("weather.tbl[",P$1,"]")),MATCH(vp.tbl[[#This Row],[SDate]],weather.tbl[Date],0))</f>
        <v>20.6</v>
      </c>
      <c r="Q263" s="2">
        <f ca="1">INDEX(INDIRECT(_xlfn.CONCAT("weather.tbl[",Q$1,"]")),MATCH(vp.tbl[[#This Row],[SDate]],weather.tbl[Date],0))</f>
        <v>19.600000000000001</v>
      </c>
      <c r="R263" s="2">
        <f ca="1">INDEX(INDIRECT(_xlfn.CONCAT("weather.tbl[",R$1,"]")),MATCH(vp.tbl[[#This Row],[SDate]],weather.tbl[Date],0))</f>
        <v>18.3</v>
      </c>
      <c r="S263" s="2">
        <f ca="1">INDEX(INDIRECT(_xlfn.CONCAT("weather.tbl[",S$1,"]")),MATCH(vp.tbl[[#This Row],[SDate]],weather.tbl[Date],0))</f>
        <v>20.8</v>
      </c>
      <c r="T263" s="2">
        <f ca="1">INDEX(INDIRECT(_xlfn.CONCAT("weather.tbl[",T$1,"]")),MATCH(vp.tbl[[#This Row],[SDate]],weather.tbl[Date],0))</f>
        <v>19</v>
      </c>
      <c r="U263" s="2">
        <f ca="1">INDEX(INDIRECT(_xlfn.CONCAT("weather.tbl[",U$1,"]")),MATCH(vp.tbl[[#This Row],[SDate]],weather.tbl[Date],0))</f>
        <v>19.5</v>
      </c>
      <c r="V263" s="2">
        <v>1420.3409999999999</v>
      </c>
      <c r="W263" t="s">
        <v>48</v>
      </c>
      <c r="X263">
        <f>IF(OR(vp.tbl[[#This Row],[Sulf]]="",vp.tbl[[#This Row],[Dens]]=""),1,0)</f>
        <v>0</v>
      </c>
      <c r="Y263">
        <f>IF(vp.tbl[[#This Row],[CrudeType]]="C5+",1,0)</f>
        <v>0</v>
      </c>
      <c r="Z263">
        <f>IF(AND(vp.tbl[[#This Row],[CrudeType]]="Crude",vp.tbl[[#This Row],[Dens]]&lt;=825,vp.tbl[[#This Row],[Sulf]]&gt;0.5,vp.tbl[[#This Row],[Unknown]]=0),1,0)</f>
        <v>0</v>
      </c>
      <c r="AA263">
        <f>IF(AND(vp.tbl[[#This Row],[CrudeType]]="Crude",vp.tbl[[#This Row],[Dens]]&lt;=825,vp.tbl[[#This Row],[Sulf]]&lt;=0.5,vp.tbl[[#This Row],[Unknown]]=0),1,0)</f>
        <v>0</v>
      </c>
      <c r="AB263">
        <f>IF(AND(vp.tbl[[#This Row],[CrudeType]]="Crude",vp.tbl[[#This Row],[Dens]]&gt;825,vp.tbl[[#This Row],[Dens]]&lt;=870,vp.tbl[[#This Row],[Sulf]]&gt;0.5,vp.tbl[[#This Row],[Unknown]]=0),1,0)</f>
        <v>1</v>
      </c>
      <c r="AC263">
        <f>IF(AND(vp.tbl[[#This Row],[CrudeType]]="Crude",vp.tbl[[#This Row],[Dens]]&gt;825,vp.tbl[[#This Row],[Dens]]&lt;=900,vp.tbl[[#This Row],[Sulf]]&lt;=0.5,vp.tbl[[#This Row],[Unknown]]=0),1,0)</f>
        <v>0</v>
      </c>
      <c r="AD263">
        <f>IF(AND(vp.tbl[[#This Row],[CrudeType]]="Crude",vp.tbl[[#This Row],[Dens]]&gt;870,vp.tbl[[#This Row],[Dens]]&lt;=900,vp.tbl[[#This Row],[Sulf]]&gt;0.5,vp.tbl[[#This Row],[Unknown]]=0),1,0)</f>
        <v>0</v>
      </c>
      <c r="AE263">
        <f>IF(AND(vp.tbl[[#This Row],[CrudeType]]="Crude",vp.tbl[[#This Row],[Dens]]&gt;900,vp.tbl[[#This Row],[Sulf]]&lt;=0.5,vp.tbl[[#This Row],[Unknown]]=0),1,0)</f>
        <v>0</v>
      </c>
      <c r="AF263">
        <f>IF(AND(vp.tbl[[#This Row],[CrudeType]]="Crude",vp.tbl[[#This Row],[Dens]]&gt;900,vp.tbl[[#This Row],[Sulf]]&lt;=0.5,vp.tbl[[#This Row],[Unknown]]=0),1,0)</f>
        <v>0</v>
      </c>
      <c r="AG263" t="str">
        <f>INDEX(vp.tbl[[#Headers],[Unknown]:[Heavy_SW]],MATCH(1,vp.tbl[[#This Row],[Unknown]:[Heavy_SW]],0))</f>
        <v>Medium_LSB</v>
      </c>
      <c r="AH263" t="e">
        <f>INDEX([1]!crudeBD.lkup[Number],MATCH(vp.tbl[[#This Row],[Crude_Breakdown]],[1]!crudeBD.lkup[Crude Breakdown],0))</f>
        <v>#REF!</v>
      </c>
      <c r="AI263">
        <f>MONTH(vp.tbl[[#This Row],[SDate]])</f>
        <v>7</v>
      </c>
      <c r="AJ263" s="5">
        <f>IFERROR(vp.tbl[[#This Row],[Sulf]]*vp.tbl[[#This Row],[Net Dens]],"")</f>
        <v>2045077.9888500001</v>
      </c>
      <c r="AK263" s="5">
        <f>IFERROR(vp.tbl[[#This Row],[Dens]]*vp.tbl[[#This Row],[VolumeM3]],"")</f>
        <v>1175332.1775</v>
      </c>
      <c r="AL263" s="5">
        <f>IFERROR(vp.tbl[[#This Row],[VP]]*vp.tbl[[#This Row],[VolumeM3]],"")</f>
        <v>83800.118999999992</v>
      </c>
      <c r="AM263" s="4">
        <f>IFERROR((vp.tbl[[#This Row],[VP]]-INDEX(crudeBD.lkup.complete[Mean_VP],MATCH(vp.tbl[[#This Row],[Crude_Breakdown]],crudeBD.lkup.complete[Crude Breakdown],0)))^2,"")</f>
        <v>448.32112254382156</v>
      </c>
      <c r="AN263" s="4">
        <f>IFERROR((vp.tbl[[#This Row],[Dens]]-INDEX(crudeBD.lkup.complete[Mean_Dens],MATCH(vp.tbl[[#This Row],[Crude_Breakdown]],crudeBD.lkup.complete[Crude Breakdown],0)))^2,"")</f>
        <v>316.54895800605374</v>
      </c>
      <c r="AO263" s="4">
        <f>IFERROR((vp.tbl[[#This Row],[Sulf]]-INDEX(crudeBD.lkup.complete[Mean_Sulf],MATCH(vp.tbl[[#This Row],[Crude_Breakdown]],crudeBD.lkup.complete[Crude Breakdown],0)))^2,"")</f>
        <v>8.1264984286600811E-2</v>
      </c>
      <c r="AP263">
        <f>IF(AND(vp.tbl[[#This Row],[SDate]]&gt;=DATE(YEAR(vp.tbl[[#This Row],[SDate]]),5,1),vp.tbl[[#This Row],[SDate]]&lt;=DATE(YEAR(vp.tbl[[#This Row],[SDate]]),9,15)),1,0)</f>
        <v>1</v>
      </c>
      <c r="AQ263" s="15">
        <f>IF(vp.tbl[[#This Row],[SDate]]&lt;DATE(2016,12,1),0,1)</f>
        <v>0</v>
      </c>
    </row>
    <row r="264" spans="1:43" x14ac:dyDescent="0.25">
      <c r="A264">
        <v>263</v>
      </c>
      <c r="B264" t="s">
        <v>49</v>
      </c>
      <c r="C264" t="s">
        <v>49</v>
      </c>
      <c r="D264" t="s">
        <v>59</v>
      </c>
      <c r="F264" s="1">
        <v>42569</v>
      </c>
      <c r="G264" s="2">
        <v>70.599999999999994</v>
      </c>
      <c r="H264" s="2"/>
      <c r="I264" s="2">
        <v>1.48</v>
      </c>
      <c r="J264" s="2"/>
      <c r="K264" s="2"/>
      <c r="L264" s="2">
        <v>848.9</v>
      </c>
      <c r="M264" s="2">
        <v>848.9</v>
      </c>
      <c r="N264" s="2">
        <f ca="1">INDEX(INDIRECT(_xlfn.CONCAT("weather.tbl[",N$1,"]")),MATCH(vp.tbl[[#This Row],[SDate]],weather.tbl[Date],0))</f>
        <v>19.633333333333333</v>
      </c>
      <c r="O264" s="2">
        <f ca="1">INDEX(INDIRECT(_xlfn.CONCAT("weather.tbl[",O$1,"]")),MATCH(vp.tbl[[#This Row],[SDate]],weather.tbl[Date],0))</f>
        <v>17.730952380952377</v>
      </c>
      <c r="P264" s="2">
        <f ca="1">INDEX(INDIRECT(_xlfn.CONCAT("weather.tbl[",P$1,"]")),MATCH(vp.tbl[[#This Row],[SDate]],weather.tbl[Date],0))</f>
        <v>20.6</v>
      </c>
      <c r="Q264" s="2">
        <f ca="1">INDEX(INDIRECT(_xlfn.CONCAT("weather.tbl[",Q$1,"]")),MATCH(vp.tbl[[#This Row],[SDate]],weather.tbl[Date],0))</f>
        <v>19.600000000000001</v>
      </c>
      <c r="R264" s="2">
        <f ca="1">INDEX(INDIRECT(_xlfn.CONCAT("weather.tbl[",R$1,"]")),MATCH(vp.tbl[[#This Row],[SDate]],weather.tbl[Date],0))</f>
        <v>18.3</v>
      </c>
      <c r="S264" s="2">
        <f ca="1">INDEX(INDIRECT(_xlfn.CONCAT("weather.tbl[",S$1,"]")),MATCH(vp.tbl[[#This Row],[SDate]],weather.tbl[Date],0))</f>
        <v>20.8</v>
      </c>
      <c r="T264" s="2">
        <f ca="1">INDEX(INDIRECT(_xlfn.CONCAT("weather.tbl[",T$1,"]")),MATCH(vp.tbl[[#This Row],[SDate]],weather.tbl[Date],0))</f>
        <v>19</v>
      </c>
      <c r="U264" s="2">
        <f ca="1">INDEX(INDIRECT(_xlfn.CONCAT("weather.tbl[",U$1,"]")),MATCH(vp.tbl[[#This Row],[SDate]],weather.tbl[Date],0))</f>
        <v>19.5</v>
      </c>
      <c r="V264" s="2">
        <v>1728.9770000000001</v>
      </c>
      <c r="W264" t="s">
        <v>48</v>
      </c>
      <c r="X264">
        <f>IF(OR(vp.tbl[[#This Row],[Sulf]]="",vp.tbl[[#This Row],[Dens]]=""),1,0)</f>
        <v>0</v>
      </c>
      <c r="Y264">
        <f>IF(vp.tbl[[#This Row],[CrudeType]]="C5+",1,0)</f>
        <v>0</v>
      </c>
      <c r="Z264">
        <f>IF(AND(vp.tbl[[#This Row],[CrudeType]]="Crude",vp.tbl[[#This Row],[Dens]]&lt;=825,vp.tbl[[#This Row],[Sulf]]&gt;0.5,vp.tbl[[#This Row],[Unknown]]=0),1,0)</f>
        <v>0</v>
      </c>
      <c r="AA264">
        <f>IF(AND(vp.tbl[[#This Row],[CrudeType]]="Crude",vp.tbl[[#This Row],[Dens]]&lt;=825,vp.tbl[[#This Row],[Sulf]]&lt;=0.5,vp.tbl[[#This Row],[Unknown]]=0),1,0)</f>
        <v>0</v>
      </c>
      <c r="AB264">
        <f>IF(AND(vp.tbl[[#This Row],[CrudeType]]="Crude",vp.tbl[[#This Row],[Dens]]&gt;825,vp.tbl[[#This Row],[Dens]]&lt;=870,vp.tbl[[#This Row],[Sulf]]&gt;0.5,vp.tbl[[#This Row],[Unknown]]=0),1,0)</f>
        <v>1</v>
      </c>
      <c r="AC264">
        <f>IF(AND(vp.tbl[[#This Row],[CrudeType]]="Crude",vp.tbl[[#This Row],[Dens]]&gt;825,vp.tbl[[#This Row],[Dens]]&lt;=900,vp.tbl[[#This Row],[Sulf]]&lt;=0.5,vp.tbl[[#This Row],[Unknown]]=0),1,0)</f>
        <v>0</v>
      </c>
      <c r="AD264">
        <f>IF(AND(vp.tbl[[#This Row],[CrudeType]]="Crude",vp.tbl[[#This Row],[Dens]]&gt;870,vp.tbl[[#This Row],[Dens]]&lt;=900,vp.tbl[[#This Row],[Sulf]]&gt;0.5,vp.tbl[[#This Row],[Unknown]]=0),1,0)</f>
        <v>0</v>
      </c>
      <c r="AE264">
        <f>IF(AND(vp.tbl[[#This Row],[CrudeType]]="Crude",vp.tbl[[#This Row],[Dens]]&gt;900,vp.tbl[[#This Row],[Sulf]]&lt;=0.5,vp.tbl[[#This Row],[Unknown]]=0),1,0)</f>
        <v>0</v>
      </c>
      <c r="AF264">
        <f>IF(AND(vp.tbl[[#This Row],[CrudeType]]="Crude",vp.tbl[[#This Row],[Dens]]&gt;900,vp.tbl[[#This Row],[Sulf]]&lt;=0.5,vp.tbl[[#This Row],[Unknown]]=0),1,0)</f>
        <v>0</v>
      </c>
      <c r="AG264" t="str">
        <f>INDEX(vp.tbl[[#Headers],[Unknown]:[Heavy_SW]],MATCH(1,vp.tbl[[#This Row],[Unknown]:[Heavy_SW]],0))</f>
        <v>Medium_LSB</v>
      </c>
      <c r="AH264" t="e">
        <f>INDEX([1]!crudeBD.lkup[Number],MATCH(vp.tbl[[#This Row],[Crude_Breakdown]],[1]!crudeBD.lkup[Crude Breakdown],0))</f>
        <v>#REF!</v>
      </c>
      <c r="AI264">
        <f>MONTH(vp.tbl[[#This Row],[SDate]])</f>
        <v>7</v>
      </c>
      <c r="AJ264" s="5">
        <f>IFERROR(vp.tbl[[#This Row],[Sulf]]*vp.tbl[[#This Row],[Net Dens]],"")</f>
        <v>2172238.2914440003</v>
      </c>
      <c r="AK264" s="5">
        <f>IFERROR(vp.tbl[[#This Row],[Dens]]*vp.tbl[[#This Row],[VolumeM3]],"")</f>
        <v>1467728.5753000001</v>
      </c>
      <c r="AL264" s="5">
        <f>IFERROR(vp.tbl[[#This Row],[VP]]*vp.tbl[[#This Row],[VolumeM3]],"")</f>
        <v>122065.77619999999</v>
      </c>
      <c r="AM264" s="4">
        <f>IFERROR((vp.tbl[[#This Row],[VP]]-INDEX(crudeBD.lkup.complete[Mean_VP],MATCH(vp.tbl[[#This Row],[Crude_Breakdown]],crudeBD.lkup.complete[Crude Breakdown],0)))^2,"")</f>
        <v>91.653720012176933</v>
      </c>
      <c r="AN264" s="4">
        <f>IFERROR((vp.tbl[[#This Row],[Dens]]-INDEX(crudeBD.lkup.complete[Mean_Dens],MATCH(vp.tbl[[#This Row],[Crude_Breakdown]],crudeBD.lkup.complete[Crude Breakdown],0)))^2,"")</f>
        <v>13.018942816222292</v>
      </c>
      <c r="AO264" s="4">
        <f>IFERROR((vp.tbl[[#This Row],[Sulf]]-INDEX(crudeBD.lkup.complete[Mean_Sulf],MATCH(vp.tbl[[#This Row],[Crude_Breakdown]],crudeBD.lkup.complete[Crude Breakdown],0)))^2,"")</f>
        <v>6.2851188153830004E-4</v>
      </c>
      <c r="AP264">
        <f>IF(AND(vp.tbl[[#This Row],[SDate]]&gt;=DATE(YEAR(vp.tbl[[#This Row],[SDate]]),5,1),vp.tbl[[#This Row],[SDate]]&lt;=DATE(YEAR(vp.tbl[[#This Row],[SDate]]),9,15)),1,0)</f>
        <v>1</v>
      </c>
      <c r="AQ264" s="15">
        <f>IF(vp.tbl[[#This Row],[SDate]]&lt;DATE(2016,12,1),0,1)</f>
        <v>0</v>
      </c>
    </row>
    <row r="265" spans="1:43" x14ac:dyDescent="0.25">
      <c r="A265">
        <v>264</v>
      </c>
      <c r="B265" t="s">
        <v>49</v>
      </c>
      <c r="C265" t="s">
        <v>49</v>
      </c>
      <c r="D265" t="s">
        <v>59</v>
      </c>
      <c r="F265" s="1">
        <v>42569</v>
      </c>
      <c r="G265" s="2">
        <v>70.400000000000006</v>
      </c>
      <c r="H265" s="2"/>
      <c r="I265" s="2">
        <v>1.48</v>
      </c>
      <c r="J265" s="2"/>
      <c r="K265" s="2"/>
      <c r="L265" s="2">
        <v>848.9</v>
      </c>
      <c r="M265" s="2">
        <v>848.9</v>
      </c>
      <c r="N265" s="2">
        <f ca="1">INDEX(INDIRECT(_xlfn.CONCAT("weather.tbl[",N$1,"]")),MATCH(vp.tbl[[#This Row],[SDate]],weather.tbl[Date],0))</f>
        <v>19.633333333333333</v>
      </c>
      <c r="O265" s="2">
        <f ca="1">INDEX(INDIRECT(_xlfn.CONCAT("weather.tbl[",O$1,"]")),MATCH(vp.tbl[[#This Row],[SDate]],weather.tbl[Date],0))</f>
        <v>17.730952380952377</v>
      </c>
      <c r="P265" s="2">
        <f ca="1">INDEX(INDIRECT(_xlfn.CONCAT("weather.tbl[",P$1,"]")),MATCH(vp.tbl[[#This Row],[SDate]],weather.tbl[Date],0))</f>
        <v>20.6</v>
      </c>
      <c r="Q265" s="2">
        <f ca="1">INDEX(INDIRECT(_xlfn.CONCAT("weather.tbl[",Q$1,"]")),MATCH(vp.tbl[[#This Row],[SDate]],weather.tbl[Date],0))</f>
        <v>19.600000000000001</v>
      </c>
      <c r="R265" s="2">
        <f ca="1">INDEX(INDIRECT(_xlfn.CONCAT("weather.tbl[",R$1,"]")),MATCH(vp.tbl[[#This Row],[SDate]],weather.tbl[Date],0))</f>
        <v>18.3</v>
      </c>
      <c r="S265" s="2">
        <f ca="1">INDEX(INDIRECT(_xlfn.CONCAT("weather.tbl[",S$1,"]")),MATCH(vp.tbl[[#This Row],[SDate]],weather.tbl[Date],0))</f>
        <v>20.8</v>
      </c>
      <c r="T265" s="2">
        <f ca="1">INDEX(INDIRECT(_xlfn.CONCAT("weather.tbl[",T$1,"]")),MATCH(vp.tbl[[#This Row],[SDate]],weather.tbl[Date],0))</f>
        <v>19</v>
      </c>
      <c r="U265" s="2">
        <f ca="1">INDEX(INDIRECT(_xlfn.CONCAT("weather.tbl[",U$1,"]")),MATCH(vp.tbl[[#This Row],[SDate]],weather.tbl[Date],0))</f>
        <v>19.5</v>
      </c>
      <c r="V265" s="2">
        <v>1728.9770000000001</v>
      </c>
      <c r="W265" t="s">
        <v>48</v>
      </c>
      <c r="X265">
        <f>IF(OR(vp.tbl[[#This Row],[Sulf]]="",vp.tbl[[#This Row],[Dens]]=""),1,0)</f>
        <v>0</v>
      </c>
      <c r="Y265">
        <f>IF(vp.tbl[[#This Row],[CrudeType]]="C5+",1,0)</f>
        <v>0</v>
      </c>
      <c r="Z265">
        <f>IF(AND(vp.tbl[[#This Row],[CrudeType]]="Crude",vp.tbl[[#This Row],[Dens]]&lt;=825,vp.tbl[[#This Row],[Sulf]]&gt;0.5,vp.tbl[[#This Row],[Unknown]]=0),1,0)</f>
        <v>0</v>
      </c>
      <c r="AA265">
        <f>IF(AND(vp.tbl[[#This Row],[CrudeType]]="Crude",vp.tbl[[#This Row],[Dens]]&lt;=825,vp.tbl[[#This Row],[Sulf]]&lt;=0.5,vp.tbl[[#This Row],[Unknown]]=0),1,0)</f>
        <v>0</v>
      </c>
      <c r="AB265">
        <f>IF(AND(vp.tbl[[#This Row],[CrudeType]]="Crude",vp.tbl[[#This Row],[Dens]]&gt;825,vp.tbl[[#This Row],[Dens]]&lt;=870,vp.tbl[[#This Row],[Sulf]]&gt;0.5,vp.tbl[[#This Row],[Unknown]]=0),1,0)</f>
        <v>1</v>
      </c>
      <c r="AC265">
        <f>IF(AND(vp.tbl[[#This Row],[CrudeType]]="Crude",vp.tbl[[#This Row],[Dens]]&gt;825,vp.tbl[[#This Row],[Dens]]&lt;=900,vp.tbl[[#This Row],[Sulf]]&lt;=0.5,vp.tbl[[#This Row],[Unknown]]=0),1,0)</f>
        <v>0</v>
      </c>
      <c r="AD265">
        <f>IF(AND(vp.tbl[[#This Row],[CrudeType]]="Crude",vp.tbl[[#This Row],[Dens]]&gt;870,vp.tbl[[#This Row],[Dens]]&lt;=900,vp.tbl[[#This Row],[Sulf]]&gt;0.5,vp.tbl[[#This Row],[Unknown]]=0),1,0)</f>
        <v>0</v>
      </c>
      <c r="AE265">
        <f>IF(AND(vp.tbl[[#This Row],[CrudeType]]="Crude",vp.tbl[[#This Row],[Dens]]&gt;900,vp.tbl[[#This Row],[Sulf]]&lt;=0.5,vp.tbl[[#This Row],[Unknown]]=0),1,0)</f>
        <v>0</v>
      </c>
      <c r="AF265">
        <f>IF(AND(vp.tbl[[#This Row],[CrudeType]]="Crude",vp.tbl[[#This Row],[Dens]]&gt;900,vp.tbl[[#This Row],[Sulf]]&lt;=0.5,vp.tbl[[#This Row],[Unknown]]=0),1,0)</f>
        <v>0</v>
      </c>
      <c r="AG265" t="str">
        <f>INDEX(vp.tbl[[#Headers],[Unknown]:[Heavy_SW]],MATCH(1,vp.tbl[[#This Row],[Unknown]:[Heavy_SW]],0))</f>
        <v>Medium_LSB</v>
      </c>
      <c r="AH265" t="e">
        <f>INDEX([1]!crudeBD.lkup[Number],MATCH(vp.tbl[[#This Row],[Crude_Breakdown]],[1]!crudeBD.lkup[Crude Breakdown],0))</f>
        <v>#REF!</v>
      </c>
      <c r="AI265">
        <f>MONTH(vp.tbl[[#This Row],[SDate]])</f>
        <v>7</v>
      </c>
      <c r="AJ265" s="5">
        <f>IFERROR(vp.tbl[[#This Row],[Sulf]]*vp.tbl[[#This Row],[Net Dens]],"")</f>
        <v>2172238.2914440003</v>
      </c>
      <c r="AK265" s="5">
        <f>IFERROR(vp.tbl[[#This Row],[Dens]]*vp.tbl[[#This Row],[VolumeM3]],"")</f>
        <v>1467728.5753000001</v>
      </c>
      <c r="AL265" s="5">
        <f>IFERROR(vp.tbl[[#This Row],[VP]]*vp.tbl[[#This Row],[VolumeM3]],"")</f>
        <v>121719.98080000002</v>
      </c>
      <c r="AM265" s="4">
        <f>IFERROR((vp.tbl[[#This Row],[VP]]-INDEX(crudeBD.lkup.complete[Mean_VP],MATCH(vp.tbl[[#This Row],[Crude_Breakdown]],crudeBD.lkup.complete[Crude Breakdown],0)))^2,"")</f>
        <v>95.523157986860241</v>
      </c>
      <c r="AN265" s="4">
        <f>IFERROR((vp.tbl[[#This Row],[Dens]]-INDEX(crudeBD.lkup.complete[Mean_Dens],MATCH(vp.tbl[[#This Row],[Crude_Breakdown]],crudeBD.lkup.complete[Crude Breakdown],0)))^2,"")</f>
        <v>13.018942816222292</v>
      </c>
      <c r="AO265" s="4">
        <f>IFERROR((vp.tbl[[#This Row],[Sulf]]-INDEX(crudeBD.lkup.complete[Mean_Sulf],MATCH(vp.tbl[[#This Row],[Crude_Breakdown]],crudeBD.lkup.complete[Crude Breakdown],0)))^2,"")</f>
        <v>6.2851188153830004E-4</v>
      </c>
      <c r="AP265">
        <f>IF(AND(vp.tbl[[#This Row],[SDate]]&gt;=DATE(YEAR(vp.tbl[[#This Row],[SDate]]),5,1),vp.tbl[[#This Row],[SDate]]&lt;=DATE(YEAR(vp.tbl[[#This Row],[SDate]]),9,15)),1,0)</f>
        <v>1</v>
      </c>
      <c r="AQ265" s="15">
        <f>IF(vp.tbl[[#This Row],[SDate]]&lt;DATE(2016,12,1),0,1)</f>
        <v>0</v>
      </c>
    </row>
    <row r="266" spans="1:43" x14ac:dyDescent="0.25">
      <c r="A266">
        <v>265</v>
      </c>
      <c r="B266" t="s">
        <v>60</v>
      </c>
      <c r="C266" t="s">
        <v>60</v>
      </c>
      <c r="D266" t="s">
        <v>61</v>
      </c>
      <c r="E266" t="s">
        <v>55</v>
      </c>
      <c r="F266" s="1">
        <v>42569</v>
      </c>
      <c r="G266" s="2">
        <v>86.4</v>
      </c>
      <c r="H266" s="2"/>
      <c r="I266" s="2">
        <v>0.96</v>
      </c>
      <c r="J266" s="2"/>
      <c r="K266" s="2"/>
      <c r="L266" s="2">
        <v>831.6</v>
      </c>
      <c r="M266" s="2">
        <v>831.6</v>
      </c>
      <c r="N266" s="2">
        <f ca="1">INDEX(INDIRECT(_xlfn.CONCAT("weather.tbl[",N$1,"]")),MATCH(vp.tbl[[#This Row],[SDate]],weather.tbl[Date],0))</f>
        <v>19.633333333333333</v>
      </c>
      <c r="O266" s="2">
        <f ca="1">INDEX(INDIRECT(_xlfn.CONCAT("weather.tbl[",O$1,"]")),MATCH(vp.tbl[[#This Row],[SDate]],weather.tbl[Date],0))</f>
        <v>17.730952380952377</v>
      </c>
      <c r="P266" s="2">
        <f ca="1">INDEX(INDIRECT(_xlfn.CONCAT("weather.tbl[",P$1,"]")),MATCH(vp.tbl[[#This Row],[SDate]],weather.tbl[Date],0))</f>
        <v>20.6</v>
      </c>
      <c r="Q266" s="2">
        <f ca="1">INDEX(INDIRECT(_xlfn.CONCAT("weather.tbl[",Q$1,"]")),MATCH(vp.tbl[[#This Row],[SDate]],weather.tbl[Date],0))</f>
        <v>19.600000000000001</v>
      </c>
      <c r="R266" s="2">
        <f ca="1">INDEX(INDIRECT(_xlfn.CONCAT("weather.tbl[",R$1,"]")),MATCH(vp.tbl[[#This Row],[SDate]],weather.tbl[Date],0))</f>
        <v>18.3</v>
      </c>
      <c r="S266" s="2">
        <f ca="1">INDEX(INDIRECT(_xlfn.CONCAT("weather.tbl[",S$1,"]")),MATCH(vp.tbl[[#This Row],[SDate]],weather.tbl[Date],0))</f>
        <v>20.8</v>
      </c>
      <c r="T266" s="2">
        <f ca="1">INDEX(INDIRECT(_xlfn.CONCAT("weather.tbl[",T$1,"]")),MATCH(vp.tbl[[#This Row],[SDate]],weather.tbl[Date],0))</f>
        <v>19</v>
      </c>
      <c r="U266" s="2">
        <f ca="1">INDEX(INDIRECT(_xlfn.CONCAT("weather.tbl[",U$1,"]")),MATCH(vp.tbl[[#This Row],[SDate]],weather.tbl[Date],0))</f>
        <v>19.5</v>
      </c>
      <c r="V266" s="2">
        <v>102591.85</v>
      </c>
      <c r="W266" t="s">
        <v>48</v>
      </c>
      <c r="X266">
        <f>IF(OR(vp.tbl[[#This Row],[Sulf]]="",vp.tbl[[#This Row],[Dens]]=""),1,0)</f>
        <v>0</v>
      </c>
      <c r="Y266">
        <f>IF(vp.tbl[[#This Row],[CrudeType]]="C5+",1,0)</f>
        <v>0</v>
      </c>
      <c r="Z266">
        <f>IF(AND(vp.tbl[[#This Row],[CrudeType]]="Crude",vp.tbl[[#This Row],[Dens]]&lt;=825,vp.tbl[[#This Row],[Sulf]]&gt;0.5,vp.tbl[[#This Row],[Unknown]]=0),1,0)</f>
        <v>0</v>
      </c>
      <c r="AA266">
        <f>IF(AND(vp.tbl[[#This Row],[CrudeType]]="Crude",vp.tbl[[#This Row],[Dens]]&lt;=825,vp.tbl[[#This Row],[Sulf]]&lt;=0.5,vp.tbl[[#This Row],[Unknown]]=0),1,0)</f>
        <v>0</v>
      </c>
      <c r="AB266">
        <f>IF(AND(vp.tbl[[#This Row],[CrudeType]]="Crude",vp.tbl[[#This Row],[Dens]]&gt;825,vp.tbl[[#This Row],[Dens]]&lt;=870,vp.tbl[[#This Row],[Sulf]]&gt;0.5,vp.tbl[[#This Row],[Unknown]]=0),1,0)</f>
        <v>1</v>
      </c>
      <c r="AC266">
        <f>IF(AND(vp.tbl[[#This Row],[CrudeType]]="Crude",vp.tbl[[#This Row],[Dens]]&gt;825,vp.tbl[[#This Row],[Dens]]&lt;=900,vp.tbl[[#This Row],[Sulf]]&lt;=0.5,vp.tbl[[#This Row],[Unknown]]=0),1,0)</f>
        <v>0</v>
      </c>
      <c r="AD266">
        <f>IF(AND(vp.tbl[[#This Row],[CrudeType]]="Crude",vp.tbl[[#This Row],[Dens]]&gt;870,vp.tbl[[#This Row],[Dens]]&lt;=900,vp.tbl[[#This Row],[Sulf]]&gt;0.5,vp.tbl[[#This Row],[Unknown]]=0),1,0)</f>
        <v>0</v>
      </c>
      <c r="AE266">
        <f>IF(AND(vp.tbl[[#This Row],[CrudeType]]="Crude",vp.tbl[[#This Row],[Dens]]&gt;900,vp.tbl[[#This Row],[Sulf]]&lt;=0.5,vp.tbl[[#This Row],[Unknown]]=0),1,0)</f>
        <v>0</v>
      </c>
      <c r="AF266">
        <f>IF(AND(vp.tbl[[#This Row],[CrudeType]]="Crude",vp.tbl[[#This Row],[Dens]]&gt;900,vp.tbl[[#This Row],[Sulf]]&lt;=0.5,vp.tbl[[#This Row],[Unknown]]=0),1,0)</f>
        <v>0</v>
      </c>
      <c r="AG266" t="str">
        <f>INDEX(vp.tbl[[#Headers],[Unknown]:[Heavy_SW]],MATCH(1,vp.tbl[[#This Row],[Unknown]:[Heavy_SW]],0))</f>
        <v>Medium_LSB</v>
      </c>
      <c r="AH266" t="e">
        <f>INDEX([1]!crudeBD.lkup[Number],MATCH(vp.tbl[[#This Row],[Crude_Breakdown]],[1]!crudeBD.lkup[Crude Breakdown],0))</f>
        <v>#REF!</v>
      </c>
      <c r="AI266">
        <f>MONTH(vp.tbl[[#This Row],[SDate]])</f>
        <v>7</v>
      </c>
      <c r="AJ266" s="5">
        <f>IFERROR(vp.tbl[[#This Row],[Sulf]]*vp.tbl[[#This Row],[Net Dens]],"")</f>
        <v>81902767.161600009</v>
      </c>
      <c r="AK266" s="5">
        <f>IFERROR(vp.tbl[[#This Row],[Dens]]*vp.tbl[[#This Row],[VolumeM3]],"")</f>
        <v>85315382.460000008</v>
      </c>
      <c r="AL266" s="5">
        <f>IFERROR(vp.tbl[[#This Row],[VP]]*vp.tbl[[#This Row],[VolumeM3]],"")</f>
        <v>8863935.8400000017</v>
      </c>
      <c r="AM266" s="4">
        <f>IFERROR((vp.tbl[[#This Row],[VP]]-INDEX(crudeBD.lkup.complete[Mean_VP],MATCH(vp.tbl[[#This Row],[Crude_Breakdown]],crudeBD.lkup.complete[Crude Breakdown],0)))^2,"")</f>
        <v>38.768120012178066</v>
      </c>
      <c r="AN266" s="4">
        <f>IFERROR((vp.tbl[[#This Row],[Dens]]-INDEX(crudeBD.lkup.complete[Mean_Dens],MATCH(vp.tbl[[#This Row],[Crude_Breakdown]],crudeBD.lkup.complete[Crude Breakdown],0)))^2,"")</f>
        <v>187.46601117061815</v>
      </c>
      <c r="AO266" s="4">
        <f>IFERROR((vp.tbl[[#This Row],[Sulf]]-INDEX(crudeBD.lkup.complete[Mean_Sulf],MATCH(vp.tbl[[#This Row],[Crude_Breakdown]],crudeBD.lkup.complete[Crude Breakdown],0)))^2,"")</f>
        <v>0.2449555670714133</v>
      </c>
      <c r="AP266">
        <f>IF(AND(vp.tbl[[#This Row],[SDate]]&gt;=DATE(YEAR(vp.tbl[[#This Row],[SDate]]),5,1),vp.tbl[[#This Row],[SDate]]&lt;=DATE(YEAR(vp.tbl[[#This Row],[SDate]]),9,15)),1,0)</f>
        <v>1</v>
      </c>
      <c r="AQ266" s="15">
        <f>IF(vp.tbl[[#This Row],[SDate]]&lt;DATE(2016,12,1),0,1)</f>
        <v>0</v>
      </c>
    </row>
    <row r="267" spans="1:43" x14ac:dyDescent="0.25">
      <c r="A267">
        <v>266</v>
      </c>
      <c r="B267" t="s">
        <v>62</v>
      </c>
      <c r="C267" t="s">
        <v>62</v>
      </c>
      <c r="D267" t="s">
        <v>83</v>
      </c>
      <c r="F267" s="1">
        <v>42571</v>
      </c>
      <c r="G267" s="2">
        <v>78.5</v>
      </c>
      <c r="H267" s="2"/>
      <c r="I267" s="2">
        <v>0.19</v>
      </c>
      <c r="J267" s="2"/>
      <c r="K267" s="2"/>
      <c r="L267" s="2">
        <v>811.1</v>
      </c>
      <c r="M267" s="2">
        <v>811.1</v>
      </c>
      <c r="N267" s="2">
        <f ca="1">INDEX(INDIRECT(_xlfn.CONCAT("weather.tbl[",N$1,"]")),MATCH(vp.tbl[[#This Row],[SDate]],weather.tbl[Date],0))</f>
        <v>24.166666666666668</v>
      </c>
      <c r="O267" s="2">
        <f ca="1">INDEX(INDIRECT(_xlfn.CONCAT("weather.tbl[",O$1,"]")),MATCH(vp.tbl[[#This Row],[SDate]],weather.tbl[Date],0))</f>
        <v>19.62380952380952</v>
      </c>
      <c r="P267" s="2">
        <f ca="1">INDEX(INDIRECT(_xlfn.CONCAT("weather.tbl[",P$1,"]")),MATCH(vp.tbl[[#This Row],[SDate]],weather.tbl[Date],0))</f>
        <v>24.3</v>
      </c>
      <c r="Q267" s="2">
        <f ca="1">INDEX(INDIRECT(_xlfn.CONCAT("weather.tbl[",Q$1,"]")),MATCH(vp.tbl[[#This Row],[SDate]],weather.tbl[Date],0))</f>
        <v>23</v>
      </c>
      <c r="R267" s="2">
        <f ca="1">INDEX(INDIRECT(_xlfn.CONCAT("weather.tbl[",R$1,"]")),MATCH(vp.tbl[[#This Row],[SDate]],weather.tbl[Date],0))</f>
        <v>26</v>
      </c>
      <c r="S267" s="2">
        <f ca="1">INDEX(INDIRECT(_xlfn.CONCAT("weather.tbl[",S$1,"]")),MATCH(vp.tbl[[#This Row],[SDate]],weather.tbl[Date],0))</f>
        <v>23.3</v>
      </c>
      <c r="T267" s="2">
        <f ca="1">INDEX(INDIRECT(_xlfn.CONCAT("weather.tbl[",T$1,"]")),MATCH(vp.tbl[[#This Row],[SDate]],weather.tbl[Date],0))</f>
        <v>25.1</v>
      </c>
      <c r="U267" s="2">
        <f ca="1">INDEX(INDIRECT(_xlfn.CONCAT("weather.tbl[",U$1,"]")),MATCH(vp.tbl[[#This Row],[SDate]],weather.tbl[Date],0))</f>
        <v>23.3</v>
      </c>
      <c r="V267" s="2">
        <v>9659.9439999999995</v>
      </c>
      <c r="W267" t="s">
        <v>48</v>
      </c>
      <c r="X267">
        <f>IF(OR(vp.tbl[[#This Row],[Sulf]]="",vp.tbl[[#This Row],[Dens]]=""),1,0)</f>
        <v>0</v>
      </c>
      <c r="Y267">
        <f>IF(vp.tbl[[#This Row],[CrudeType]]="C5+",1,0)</f>
        <v>0</v>
      </c>
      <c r="Z267">
        <f>IF(AND(vp.tbl[[#This Row],[CrudeType]]="Crude",vp.tbl[[#This Row],[Dens]]&lt;=825,vp.tbl[[#This Row],[Sulf]]&gt;0.5,vp.tbl[[#This Row],[Unknown]]=0),1,0)</f>
        <v>0</v>
      </c>
      <c r="AA267">
        <f>IF(AND(vp.tbl[[#This Row],[CrudeType]]="Crude",vp.tbl[[#This Row],[Dens]]&lt;=825,vp.tbl[[#This Row],[Sulf]]&lt;=0.5,vp.tbl[[#This Row],[Unknown]]=0),1,0)</f>
        <v>1</v>
      </c>
      <c r="AB267">
        <f>IF(AND(vp.tbl[[#This Row],[CrudeType]]="Crude",vp.tbl[[#This Row],[Dens]]&gt;825,vp.tbl[[#This Row],[Dens]]&lt;=870,vp.tbl[[#This Row],[Sulf]]&gt;0.5,vp.tbl[[#This Row],[Unknown]]=0),1,0)</f>
        <v>0</v>
      </c>
      <c r="AC267">
        <f>IF(AND(vp.tbl[[#This Row],[CrudeType]]="Crude",vp.tbl[[#This Row],[Dens]]&gt;825,vp.tbl[[#This Row],[Dens]]&lt;=900,vp.tbl[[#This Row],[Sulf]]&lt;=0.5,vp.tbl[[#This Row],[Unknown]]=0),1,0)</f>
        <v>0</v>
      </c>
      <c r="AD267">
        <f>IF(AND(vp.tbl[[#This Row],[CrudeType]]="Crude",vp.tbl[[#This Row],[Dens]]&gt;870,vp.tbl[[#This Row],[Dens]]&lt;=900,vp.tbl[[#This Row],[Sulf]]&gt;0.5,vp.tbl[[#This Row],[Unknown]]=0),1,0)</f>
        <v>0</v>
      </c>
      <c r="AE267">
        <f>IF(AND(vp.tbl[[#This Row],[CrudeType]]="Crude",vp.tbl[[#This Row],[Dens]]&gt;900,vp.tbl[[#This Row],[Sulf]]&lt;=0.5,vp.tbl[[#This Row],[Unknown]]=0),1,0)</f>
        <v>0</v>
      </c>
      <c r="AF267">
        <f>IF(AND(vp.tbl[[#This Row],[CrudeType]]="Crude",vp.tbl[[#This Row],[Dens]]&gt;900,vp.tbl[[#This Row],[Sulf]]&lt;=0.5,vp.tbl[[#This Row],[Unknown]]=0),1,0)</f>
        <v>0</v>
      </c>
      <c r="AG267" t="str">
        <f>INDEX(vp.tbl[[#Headers],[Unknown]:[Heavy_SW]],MATCH(1,vp.tbl[[#This Row],[Unknown]:[Heavy_SW]],0))</f>
        <v>Light_SW</v>
      </c>
      <c r="AH267" t="e">
        <f>INDEX([1]!crudeBD.lkup[Number],MATCH(vp.tbl[[#This Row],[Crude_Breakdown]],[1]!crudeBD.lkup[Crude Breakdown],0))</f>
        <v>#REF!</v>
      </c>
      <c r="AI267">
        <f>MONTH(vp.tbl[[#This Row],[SDate]])</f>
        <v>7</v>
      </c>
      <c r="AJ267" s="5">
        <f>IFERROR(vp.tbl[[#This Row],[Sulf]]*vp.tbl[[#This Row],[Net Dens]],"")</f>
        <v>1488684.309896</v>
      </c>
      <c r="AK267" s="5">
        <f>IFERROR(vp.tbl[[#This Row],[Dens]]*vp.tbl[[#This Row],[VolumeM3]],"")</f>
        <v>7835180.5784</v>
      </c>
      <c r="AL267" s="5">
        <f>IFERROR(vp.tbl[[#This Row],[VP]]*vp.tbl[[#This Row],[VolumeM3]],"")</f>
        <v>758305.60399999993</v>
      </c>
      <c r="AM267" s="4">
        <f>IFERROR((vp.tbl[[#This Row],[VP]]-INDEX(crudeBD.lkup.complete[Mean_VP],MATCH(vp.tbl[[#This Row],[Crude_Breakdown]],crudeBD.lkup.complete[Crude Breakdown],0)))^2,"")</f>
        <v>197.41131194502702</v>
      </c>
      <c r="AN267" s="4">
        <f>IFERROR((vp.tbl[[#This Row],[Dens]]-INDEX(crudeBD.lkup.complete[Mean_Dens],MATCH(vp.tbl[[#This Row],[Crude_Breakdown]],crudeBD.lkup.complete[Crude Breakdown],0)))^2,"")</f>
        <v>7.7757419660322542</v>
      </c>
      <c r="AO267" s="4">
        <f>IFERROR((vp.tbl[[#This Row],[Sulf]]-INDEX(crudeBD.lkup.complete[Mean_Sulf],MATCH(vp.tbl[[#This Row],[Crude_Breakdown]],crudeBD.lkup.complete[Crude Breakdown],0)))^2,"")</f>
        <v>2.1383051628646554E-3</v>
      </c>
      <c r="AP267">
        <f>IF(AND(vp.tbl[[#This Row],[SDate]]&gt;=DATE(YEAR(vp.tbl[[#This Row],[SDate]]),5,1),vp.tbl[[#This Row],[SDate]]&lt;=DATE(YEAR(vp.tbl[[#This Row],[SDate]]),9,15)),1,0)</f>
        <v>1</v>
      </c>
      <c r="AQ267" s="15">
        <f>IF(vp.tbl[[#This Row],[SDate]]&lt;DATE(2016,12,1),0,1)</f>
        <v>0</v>
      </c>
    </row>
    <row r="268" spans="1:43" x14ac:dyDescent="0.25">
      <c r="A268">
        <v>267</v>
      </c>
      <c r="B268" t="s">
        <v>49</v>
      </c>
      <c r="C268" t="s">
        <v>49</v>
      </c>
      <c r="D268" t="s">
        <v>91</v>
      </c>
      <c r="F268" s="1">
        <v>42572</v>
      </c>
      <c r="G268" s="2">
        <v>60.4</v>
      </c>
      <c r="H268" s="2"/>
      <c r="I268" s="2">
        <v>1.81</v>
      </c>
      <c r="J268" s="2"/>
      <c r="K268" s="2"/>
      <c r="L268" s="2">
        <v>850.3</v>
      </c>
      <c r="M268" s="2">
        <v>850.3</v>
      </c>
      <c r="N268" s="2">
        <f ca="1">INDEX(INDIRECT(_xlfn.CONCAT("weather.tbl[",N$1,"]")),MATCH(vp.tbl[[#This Row],[SDate]],weather.tbl[Date],0))</f>
        <v>21.766666666666666</v>
      </c>
      <c r="O268" s="2">
        <f ca="1">INDEX(INDIRECT(_xlfn.CONCAT("weather.tbl[",O$1,"]")),MATCH(vp.tbl[[#This Row],[SDate]],weather.tbl[Date],0))</f>
        <v>20.357142857142858</v>
      </c>
      <c r="P268" s="2">
        <f ca="1">INDEX(INDIRECT(_xlfn.CONCAT("weather.tbl[",P$1,"]")),MATCH(vp.tbl[[#This Row],[SDate]],weather.tbl[Date],0))</f>
        <v>22.3</v>
      </c>
      <c r="Q268" s="2">
        <f ca="1">INDEX(INDIRECT(_xlfn.CONCAT("weather.tbl[",Q$1,"]")),MATCH(vp.tbl[[#This Row],[SDate]],weather.tbl[Date],0))</f>
        <v>20.8</v>
      </c>
      <c r="R268" s="2">
        <f ca="1">INDEX(INDIRECT(_xlfn.CONCAT("weather.tbl[",R$1,"]")),MATCH(vp.tbl[[#This Row],[SDate]],weather.tbl[Date],0))</f>
        <v>22</v>
      </c>
      <c r="S268" s="2">
        <f ca="1">INDEX(INDIRECT(_xlfn.CONCAT("weather.tbl[",S$1,"]")),MATCH(vp.tbl[[#This Row],[SDate]],weather.tbl[Date],0))</f>
        <v>21.5</v>
      </c>
      <c r="T268" s="2">
        <f ca="1">INDEX(INDIRECT(_xlfn.CONCAT("weather.tbl[",T$1,"]")),MATCH(vp.tbl[[#This Row],[SDate]],weather.tbl[Date],0))</f>
        <v>23.2</v>
      </c>
      <c r="U268" s="2">
        <f ca="1">INDEX(INDIRECT(_xlfn.CONCAT("weather.tbl[",U$1,"]")),MATCH(vp.tbl[[#This Row],[SDate]],weather.tbl[Date],0))</f>
        <v>20.8</v>
      </c>
      <c r="V268" s="2">
        <v>1396.835</v>
      </c>
      <c r="W268" t="s">
        <v>48</v>
      </c>
      <c r="X268">
        <f>IF(OR(vp.tbl[[#This Row],[Sulf]]="",vp.tbl[[#This Row],[Dens]]=""),1,0)</f>
        <v>0</v>
      </c>
      <c r="Y268">
        <f>IF(vp.tbl[[#This Row],[CrudeType]]="C5+",1,0)</f>
        <v>0</v>
      </c>
      <c r="Z268">
        <f>IF(AND(vp.tbl[[#This Row],[CrudeType]]="Crude",vp.tbl[[#This Row],[Dens]]&lt;=825,vp.tbl[[#This Row],[Sulf]]&gt;0.5,vp.tbl[[#This Row],[Unknown]]=0),1,0)</f>
        <v>0</v>
      </c>
      <c r="AA268">
        <f>IF(AND(vp.tbl[[#This Row],[CrudeType]]="Crude",vp.tbl[[#This Row],[Dens]]&lt;=825,vp.tbl[[#This Row],[Sulf]]&lt;=0.5,vp.tbl[[#This Row],[Unknown]]=0),1,0)</f>
        <v>0</v>
      </c>
      <c r="AB268">
        <f>IF(AND(vp.tbl[[#This Row],[CrudeType]]="Crude",vp.tbl[[#This Row],[Dens]]&gt;825,vp.tbl[[#This Row],[Dens]]&lt;=870,vp.tbl[[#This Row],[Sulf]]&gt;0.5,vp.tbl[[#This Row],[Unknown]]=0),1,0)</f>
        <v>1</v>
      </c>
      <c r="AC268">
        <f>IF(AND(vp.tbl[[#This Row],[CrudeType]]="Crude",vp.tbl[[#This Row],[Dens]]&gt;825,vp.tbl[[#This Row],[Dens]]&lt;=900,vp.tbl[[#This Row],[Sulf]]&lt;=0.5,vp.tbl[[#This Row],[Unknown]]=0),1,0)</f>
        <v>0</v>
      </c>
      <c r="AD268">
        <f>IF(AND(vp.tbl[[#This Row],[CrudeType]]="Crude",vp.tbl[[#This Row],[Dens]]&gt;870,vp.tbl[[#This Row],[Dens]]&lt;=900,vp.tbl[[#This Row],[Sulf]]&gt;0.5,vp.tbl[[#This Row],[Unknown]]=0),1,0)</f>
        <v>0</v>
      </c>
      <c r="AE268">
        <f>IF(AND(vp.tbl[[#This Row],[CrudeType]]="Crude",vp.tbl[[#This Row],[Dens]]&gt;900,vp.tbl[[#This Row],[Sulf]]&lt;=0.5,vp.tbl[[#This Row],[Unknown]]=0),1,0)</f>
        <v>0</v>
      </c>
      <c r="AF268">
        <f>IF(AND(vp.tbl[[#This Row],[CrudeType]]="Crude",vp.tbl[[#This Row],[Dens]]&gt;900,vp.tbl[[#This Row],[Sulf]]&lt;=0.5,vp.tbl[[#This Row],[Unknown]]=0),1,0)</f>
        <v>0</v>
      </c>
      <c r="AG268" t="str">
        <f>INDEX(vp.tbl[[#Headers],[Unknown]:[Heavy_SW]],MATCH(1,vp.tbl[[#This Row],[Unknown]:[Heavy_SW]],0))</f>
        <v>Medium_LSB</v>
      </c>
      <c r="AH268" t="e">
        <f>INDEX([1]!crudeBD.lkup[Number],MATCH(vp.tbl[[#This Row],[Crude_Breakdown]],[1]!crudeBD.lkup[Crude Breakdown],0))</f>
        <v>#REF!</v>
      </c>
      <c r="AI268">
        <f>MONTH(vp.tbl[[#This Row],[SDate]])</f>
        <v>7</v>
      </c>
      <c r="AJ268" s="5">
        <f>IFERROR(vp.tbl[[#This Row],[Sulf]]*vp.tbl[[#This Row],[Net Dens]],"")</f>
        <v>2149789.1289049997</v>
      </c>
      <c r="AK268" s="5">
        <f>IFERROR(vp.tbl[[#This Row],[Dens]]*vp.tbl[[#This Row],[VolumeM3]],"")</f>
        <v>1187728.8004999999</v>
      </c>
      <c r="AL268" s="5">
        <f>IFERROR(vp.tbl[[#This Row],[VP]]*vp.tbl[[#This Row],[VolumeM3]],"")</f>
        <v>84368.834000000003</v>
      </c>
      <c r="AM268" s="4">
        <f>IFERROR((vp.tbl[[#This Row],[VP]]-INDEX(crudeBD.lkup.complete[Mean_VP],MATCH(vp.tbl[[#This Row],[Crude_Breakdown]],crudeBD.lkup.complete[Crude Breakdown],0)))^2,"")</f>
        <v>390.99505672103692</v>
      </c>
      <c r="AN268" s="4">
        <f>IFERROR((vp.tbl[[#This Row],[Dens]]-INDEX(crudeBD.lkup.complete[Mean_Dens],MATCH(vp.tbl[[#This Row],[Crude_Breakdown]],crudeBD.lkup.complete[Crude Breakdown],0)))^2,"")</f>
        <v>25.081839018756401</v>
      </c>
      <c r="AO268" s="4">
        <f>IFERROR((vp.tbl[[#This Row],[Sulf]]-INDEX(crudeBD.lkup.complete[Mean_Sulf],MATCH(vp.tbl[[#This Row],[Crude_Breakdown]],crudeBD.lkup.complete[Crude Breakdown],0)))^2,"")</f>
        <v>0.12607480378027153</v>
      </c>
      <c r="AP268">
        <f>IF(AND(vp.tbl[[#This Row],[SDate]]&gt;=DATE(YEAR(vp.tbl[[#This Row],[SDate]]),5,1),vp.tbl[[#This Row],[SDate]]&lt;=DATE(YEAR(vp.tbl[[#This Row],[SDate]]),9,15)),1,0)</f>
        <v>1</v>
      </c>
      <c r="AQ268" s="15">
        <f>IF(vp.tbl[[#This Row],[SDate]]&lt;DATE(2016,12,1),0,1)</f>
        <v>0</v>
      </c>
    </row>
    <row r="269" spans="1:43" x14ac:dyDescent="0.25">
      <c r="A269">
        <v>268</v>
      </c>
      <c r="B269" t="s">
        <v>46</v>
      </c>
      <c r="C269" t="s">
        <v>46</v>
      </c>
      <c r="D269" t="s">
        <v>47</v>
      </c>
      <c r="F269" s="1">
        <v>42572</v>
      </c>
      <c r="G269" s="2">
        <v>67.400000000000006</v>
      </c>
      <c r="H269" s="2"/>
      <c r="I269" s="2">
        <v>2.41</v>
      </c>
      <c r="J269" s="2"/>
      <c r="K269" s="2"/>
      <c r="L269" s="2">
        <v>874.1</v>
      </c>
      <c r="M269" s="2">
        <v>874.1</v>
      </c>
      <c r="N269" s="2">
        <f ca="1">INDEX(INDIRECT(_xlfn.CONCAT("weather.tbl[",N$1,"]")),MATCH(vp.tbl[[#This Row],[SDate]],weather.tbl[Date],0))</f>
        <v>21.766666666666666</v>
      </c>
      <c r="O269" s="2">
        <f ca="1">INDEX(INDIRECT(_xlfn.CONCAT("weather.tbl[",O$1,"]")),MATCH(vp.tbl[[#This Row],[SDate]],weather.tbl[Date],0))</f>
        <v>20.357142857142858</v>
      </c>
      <c r="P269" s="2">
        <f ca="1">INDEX(INDIRECT(_xlfn.CONCAT("weather.tbl[",P$1,"]")),MATCH(vp.tbl[[#This Row],[SDate]],weather.tbl[Date],0))</f>
        <v>22.3</v>
      </c>
      <c r="Q269" s="2">
        <f ca="1">INDEX(INDIRECT(_xlfn.CONCAT("weather.tbl[",Q$1,"]")),MATCH(vp.tbl[[#This Row],[SDate]],weather.tbl[Date],0))</f>
        <v>20.8</v>
      </c>
      <c r="R269" s="2">
        <f ca="1">INDEX(INDIRECT(_xlfn.CONCAT("weather.tbl[",R$1,"]")),MATCH(vp.tbl[[#This Row],[SDate]],weather.tbl[Date],0))</f>
        <v>22</v>
      </c>
      <c r="S269" s="2">
        <f ca="1">INDEX(INDIRECT(_xlfn.CONCAT("weather.tbl[",S$1,"]")),MATCH(vp.tbl[[#This Row],[SDate]],weather.tbl[Date],0))</f>
        <v>21.5</v>
      </c>
      <c r="T269" s="2">
        <f ca="1">INDEX(INDIRECT(_xlfn.CONCAT("weather.tbl[",T$1,"]")),MATCH(vp.tbl[[#This Row],[SDate]],weather.tbl[Date],0))</f>
        <v>23.2</v>
      </c>
      <c r="U269" s="2">
        <f ca="1">INDEX(INDIRECT(_xlfn.CONCAT("weather.tbl[",U$1,"]")),MATCH(vp.tbl[[#This Row],[SDate]],weather.tbl[Date],0))</f>
        <v>20.8</v>
      </c>
      <c r="V269" s="2">
        <v>114134.67200000001</v>
      </c>
      <c r="W269" t="s">
        <v>48</v>
      </c>
      <c r="X269">
        <f>IF(OR(vp.tbl[[#This Row],[Sulf]]="",vp.tbl[[#This Row],[Dens]]=""),1,0)</f>
        <v>0</v>
      </c>
      <c r="Y269">
        <f>IF(vp.tbl[[#This Row],[CrudeType]]="C5+",1,0)</f>
        <v>0</v>
      </c>
      <c r="Z269">
        <f>IF(AND(vp.tbl[[#This Row],[CrudeType]]="Crude",vp.tbl[[#This Row],[Dens]]&lt;=825,vp.tbl[[#This Row],[Sulf]]&gt;0.5,vp.tbl[[#This Row],[Unknown]]=0),1,0)</f>
        <v>0</v>
      </c>
      <c r="AA269">
        <f>IF(AND(vp.tbl[[#This Row],[CrudeType]]="Crude",vp.tbl[[#This Row],[Dens]]&lt;=825,vp.tbl[[#This Row],[Sulf]]&lt;=0.5,vp.tbl[[#This Row],[Unknown]]=0),1,0)</f>
        <v>0</v>
      </c>
      <c r="AB269">
        <f>IF(AND(vp.tbl[[#This Row],[CrudeType]]="Crude",vp.tbl[[#This Row],[Dens]]&gt;825,vp.tbl[[#This Row],[Dens]]&lt;=870,vp.tbl[[#This Row],[Sulf]]&gt;0.5,vp.tbl[[#This Row],[Unknown]]=0),1,0)</f>
        <v>0</v>
      </c>
      <c r="AC269">
        <f>IF(AND(vp.tbl[[#This Row],[CrudeType]]="Crude",vp.tbl[[#This Row],[Dens]]&gt;825,vp.tbl[[#This Row],[Dens]]&lt;=900,vp.tbl[[#This Row],[Sulf]]&lt;=0.5,vp.tbl[[#This Row],[Unknown]]=0),1,0)</f>
        <v>0</v>
      </c>
      <c r="AD269">
        <f>IF(AND(vp.tbl[[#This Row],[CrudeType]]="Crude",vp.tbl[[#This Row],[Dens]]&gt;870,vp.tbl[[#This Row],[Dens]]&lt;=900,vp.tbl[[#This Row],[Sulf]]&gt;0.5,vp.tbl[[#This Row],[Unknown]]=0),1,0)</f>
        <v>1</v>
      </c>
      <c r="AE269">
        <f>IF(AND(vp.tbl[[#This Row],[CrudeType]]="Crude",vp.tbl[[#This Row],[Dens]]&gt;900,vp.tbl[[#This Row],[Sulf]]&lt;=0.5,vp.tbl[[#This Row],[Unknown]]=0),1,0)</f>
        <v>0</v>
      </c>
      <c r="AF269">
        <f>IF(AND(vp.tbl[[#This Row],[CrudeType]]="Crude",vp.tbl[[#This Row],[Dens]]&gt;900,vp.tbl[[#This Row],[Sulf]]&lt;=0.5,vp.tbl[[#This Row],[Unknown]]=0),1,0)</f>
        <v>0</v>
      </c>
      <c r="AG269" t="str">
        <f>INDEX(vp.tbl[[#Headers],[Unknown]:[Heavy_SW]],MATCH(1,vp.tbl[[#This Row],[Unknown]:[Heavy_SW]],0))</f>
        <v>Midale</v>
      </c>
      <c r="AH269" t="e">
        <f>INDEX([1]!crudeBD.lkup[Number],MATCH(vp.tbl[[#This Row],[Crude_Breakdown]],[1]!crudeBD.lkup[Crude Breakdown],0))</f>
        <v>#REF!</v>
      </c>
      <c r="AI269">
        <f>MONTH(vp.tbl[[#This Row],[SDate]])</f>
        <v>7</v>
      </c>
      <c r="AJ269" s="5">
        <f>IFERROR(vp.tbl[[#This Row],[Sulf]]*vp.tbl[[#This Row],[Net Dens]],"")</f>
        <v>240433931.47643203</v>
      </c>
      <c r="AK269" s="5">
        <f>IFERROR(vp.tbl[[#This Row],[Dens]]*vp.tbl[[#This Row],[VolumeM3]],"")</f>
        <v>99765116.795200005</v>
      </c>
      <c r="AL269" s="5">
        <f>IFERROR(vp.tbl[[#This Row],[VP]]*vp.tbl[[#This Row],[VolumeM3]],"")</f>
        <v>7692676.8928000014</v>
      </c>
      <c r="AM269" s="4">
        <f>IFERROR((vp.tbl[[#This Row],[VP]]-INDEX(crudeBD.lkup.complete[Mean_VP],MATCH(vp.tbl[[#This Row],[Crude_Breakdown]],crudeBD.lkup.complete[Crude Breakdown],0)))^2,"")</f>
        <v>0.70284105835992994</v>
      </c>
      <c r="AN269" s="4">
        <f>IFERROR((vp.tbl[[#This Row],[Dens]]-INDEX(crudeBD.lkup.complete[Mean_Dens],MATCH(vp.tbl[[#This Row],[Crude_Breakdown]],crudeBD.lkup.complete[Crude Breakdown],0)))^2,"")</f>
        <v>11.916682304370056</v>
      </c>
      <c r="AO269" s="4">
        <f>IFERROR((vp.tbl[[#This Row],[Sulf]]-INDEX(crudeBD.lkup.complete[Mean_Sulf],MATCH(vp.tbl[[#This Row],[Crude_Breakdown]],crudeBD.lkup.complete[Crude Breakdown],0)))^2,"")</f>
        <v>2.8517063032449047E-5</v>
      </c>
      <c r="AP269">
        <f>IF(AND(vp.tbl[[#This Row],[SDate]]&gt;=DATE(YEAR(vp.tbl[[#This Row],[SDate]]),5,1),vp.tbl[[#This Row],[SDate]]&lt;=DATE(YEAR(vp.tbl[[#This Row],[SDate]]),9,15)),1,0)</f>
        <v>1</v>
      </c>
      <c r="AQ269" s="15">
        <f>IF(vp.tbl[[#This Row],[SDate]]&lt;DATE(2016,12,1),0,1)</f>
        <v>0</v>
      </c>
    </row>
    <row r="270" spans="1:43" x14ac:dyDescent="0.25">
      <c r="A270">
        <v>269</v>
      </c>
      <c r="B270" t="s">
        <v>49</v>
      </c>
      <c r="C270" t="s">
        <v>49</v>
      </c>
      <c r="D270" t="s">
        <v>50</v>
      </c>
      <c r="F270" s="1">
        <v>42572</v>
      </c>
      <c r="G270" s="2">
        <v>53.1</v>
      </c>
      <c r="H270" s="2"/>
      <c r="I270" s="2">
        <v>2.59</v>
      </c>
      <c r="J270" s="2"/>
      <c r="K270" s="2"/>
      <c r="L270" s="2">
        <v>879.5</v>
      </c>
      <c r="M270" s="2">
        <v>879.5</v>
      </c>
      <c r="N270" s="2">
        <f ca="1">INDEX(INDIRECT(_xlfn.CONCAT("weather.tbl[",N$1,"]")),MATCH(vp.tbl[[#This Row],[SDate]],weather.tbl[Date],0))</f>
        <v>21.766666666666666</v>
      </c>
      <c r="O270" s="2">
        <f ca="1">INDEX(INDIRECT(_xlfn.CONCAT("weather.tbl[",O$1,"]")),MATCH(vp.tbl[[#This Row],[SDate]],weather.tbl[Date],0))</f>
        <v>20.357142857142858</v>
      </c>
      <c r="P270" s="2">
        <f ca="1">INDEX(INDIRECT(_xlfn.CONCAT("weather.tbl[",P$1,"]")),MATCH(vp.tbl[[#This Row],[SDate]],weather.tbl[Date],0))</f>
        <v>22.3</v>
      </c>
      <c r="Q270" s="2">
        <f ca="1">INDEX(INDIRECT(_xlfn.CONCAT("weather.tbl[",Q$1,"]")),MATCH(vp.tbl[[#This Row],[SDate]],weather.tbl[Date],0))</f>
        <v>20.8</v>
      </c>
      <c r="R270" s="2">
        <f ca="1">INDEX(INDIRECT(_xlfn.CONCAT("weather.tbl[",R$1,"]")),MATCH(vp.tbl[[#This Row],[SDate]],weather.tbl[Date],0))</f>
        <v>22</v>
      </c>
      <c r="S270" s="2">
        <f ca="1">INDEX(INDIRECT(_xlfn.CONCAT("weather.tbl[",S$1,"]")),MATCH(vp.tbl[[#This Row],[SDate]],weather.tbl[Date],0))</f>
        <v>21.5</v>
      </c>
      <c r="T270" s="2">
        <f ca="1">INDEX(INDIRECT(_xlfn.CONCAT("weather.tbl[",T$1,"]")),MATCH(vp.tbl[[#This Row],[SDate]],weather.tbl[Date],0))</f>
        <v>23.2</v>
      </c>
      <c r="U270" s="2">
        <f ca="1">INDEX(INDIRECT(_xlfn.CONCAT("weather.tbl[",U$1,"]")),MATCH(vp.tbl[[#This Row],[SDate]],weather.tbl[Date],0))</f>
        <v>20.8</v>
      </c>
      <c r="V270" s="2">
        <v>5700.3140000000003</v>
      </c>
      <c r="W270" t="s">
        <v>48</v>
      </c>
      <c r="X270">
        <f>IF(OR(vp.tbl[[#This Row],[Sulf]]="",vp.tbl[[#This Row],[Dens]]=""),1,0)</f>
        <v>0</v>
      </c>
      <c r="Y270">
        <f>IF(vp.tbl[[#This Row],[CrudeType]]="C5+",1,0)</f>
        <v>0</v>
      </c>
      <c r="Z270">
        <f>IF(AND(vp.tbl[[#This Row],[CrudeType]]="Crude",vp.tbl[[#This Row],[Dens]]&lt;=825,vp.tbl[[#This Row],[Sulf]]&gt;0.5,vp.tbl[[#This Row],[Unknown]]=0),1,0)</f>
        <v>0</v>
      </c>
      <c r="AA270">
        <f>IF(AND(vp.tbl[[#This Row],[CrudeType]]="Crude",vp.tbl[[#This Row],[Dens]]&lt;=825,vp.tbl[[#This Row],[Sulf]]&lt;=0.5,vp.tbl[[#This Row],[Unknown]]=0),1,0)</f>
        <v>0</v>
      </c>
      <c r="AB270">
        <f>IF(AND(vp.tbl[[#This Row],[CrudeType]]="Crude",vp.tbl[[#This Row],[Dens]]&gt;825,vp.tbl[[#This Row],[Dens]]&lt;=870,vp.tbl[[#This Row],[Sulf]]&gt;0.5,vp.tbl[[#This Row],[Unknown]]=0),1,0)</f>
        <v>0</v>
      </c>
      <c r="AC270">
        <f>IF(AND(vp.tbl[[#This Row],[CrudeType]]="Crude",vp.tbl[[#This Row],[Dens]]&gt;825,vp.tbl[[#This Row],[Dens]]&lt;=900,vp.tbl[[#This Row],[Sulf]]&lt;=0.5,vp.tbl[[#This Row],[Unknown]]=0),1,0)</f>
        <v>0</v>
      </c>
      <c r="AD270">
        <f>IF(AND(vp.tbl[[#This Row],[CrudeType]]="Crude",vp.tbl[[#This Row],[Dens]]&gt;870,vp.tbl[[#This Row],[Dens]]&lt;=900,vp.tbl[[#This Row],[Sulf]]&gt;0.5,vp.tbl[[#This Row],[Unknown]]=0),1,0)</f>
        <v>1</v>
      </c>
      <c r="AE270">
        <f>IF(AND(vp.tbl[[#This Row],[CrudeType]]="Crude",vp.tbl[[#This Row],[Dens]]&gt;900,vp.tbl[[#This Row],[Sulf]]&lt;=0.5,vp.tbl[[#This Row],[Unknown]]=0),1,0)</f>
        <v>0</v>
      </c>
      <c r="AF270">
        <f>IF(AND(vp.tbl[[#This Row],[CrudeType]]="Crude",vp.tbl[[#This Row],[Dens]]&gt;900,vp.tbl[[#This Row],[Sulf]]&lt;=0.5,vp.tbl[[#This Row],[Unknown]]=0),1,0)</f>
        <v>0</v>
      </c>
      <c r="AG270" t="str">
        <f>INDEX(vp.tbl[[#Headers],[Unknown]:[Heavy_SW]],MATCH(1,vp.tbl[[#This Row],[Unknown]:[Heavy_SW]],0))</f>
        <v>Midale</v>
      </c>
      <c r="AH270" t="e">
        <f>INDEX([1]!crudeBD.lkup[Number],MATCH(vp.tbl[[#This Row],[Crude_Breakdown]],[1]!crudeBD.lkup[Crude Breakdown],0))</f>
        <v>#REF!</v>
      </c>
      <c r="AI270">
        <f>MONTH(vp.tbl[[#This Row],[SDate]])</f>
        <v>7</v>
      </c>
      <c r="AJ270" s="5">
        <f>IFERROR(vp.tbl[[#This Row],[Sulf]]*vp.tbl[[#This Row],[Net Dens]],"")</f>
        <v>12984773.762170002</v>
      </c>
      <c r="AK270" s="5">
        <f>IFERROR(vp.tbl[[#This Row],[Dens]]*vp.tbl[[#This Row],[VolumeM3]],"")</f>
        <v>5013426.1630000006</v>
      </c>
      <c r="AL270" s="5">
        <f>IFERROR(vp.tbl[[#This Row],[VP]]*vp.tbl[[#This Row],[VolumeM3]],"")</f>
        <v>302686.67340000003</v>
      </c>
      <c r="AM270" s="4">
        <f>IFERROR((vp.tbl[[#This Row],[VP]]-INDEX(crudeBD.lkup.complete[Mean_VP],MATCH(vp.tbl[[#This Row],[Crude_Breakdown]],crudeBD.lkup.complete[Crude Breakdown],0)))^2,"")</f>
        <v>229.16982735973014</v>
      </c>
      <c r="AN270" s="4">
        <f>IFERROR((vp.tbl[[#This Row],[Dens]]-INDEX(crudeBD.lkup.complete[Mean_Dens],MATCH(vp.tbl[[#This Row],[Crude_Breakdown]],crudeBD.lkup.complete[Crude Breakdown],0)))^2,"")</f>
        <v>3.794490523551564</v>
      </c>
      <c r="AO270" s="4">
        <f>IFERROR((vp.tbl[[#This Row],[Sulf]]-INDEX(crudeBD.lkup.complete[Mean_Sulf],MATCH(vp.tbl[[#This Row],[Crude_Breakdown]],crudeBD.lkup.complete[Crude Breakdown],0)))^2,"")</f>
        <v>3.0506067747964355E-2</v>
      </c>
      <c r="AP270">
        <f>IF(AND(vp.tbl[[#This Row],[SDate]]&gt;=DATE(YEAR(vp.tbl[[#This Row],[SDate]]),5,1),vp.tbl[[#This Row],[SDate]]&lt;=DATE(YEAR(vp.tbl[[#This Row],[SDate]]),9,15)),1,0)</f>
        <v>1</v>
      </c>
      <c r="AQ270" s="15">
        <f>IF(vp.tbl[[#This Row],[SDate]]&lt;DATE(2016,12,1),0,1)</f>
        <v>0</v>
      </c>
    </row>
    <row r="271" spans="1:43" x14ac:dyDescent="0.25">
      <c r="A271">
        <v>270</v>
      </c>
      <c r="B271" t="s">
        <v>49</v>
      </c>
      <c r="C271" t="s">
        <v>49</v>
      </c>
      <c r="D271" t="s">
        <v>67</v>
      </c>
      <c r="F271" s="1">
        <v>42576</v>
      </c>
      <c r="G271" s="2">
        <v>94.5</v>
      </c>
      <c r="H271" s="2"/>
      <c r="I271" s="2">
        <v>0.21</v>
      </c>
      <c r="J271" s="2"/>
      <c r="K271" s="2"/>
      <c r="L271" s="2">
        <v>806.8</v>
      </c>
      <c r="M271" s="2">
        <v>806.8</v>
      </c>
      <c r="N271" s="2">
        <f ca="1">INDEX(INDIRECT(_xlfn.CONCAT("weather.tbl[",N$1,"]")),MATCH(vp.tbl[[#This Row],[SDate]],weather.tbl[Date],0))</f>
        <v>20.916666666666664</v>
      </c>
      <c r="O271" s="2">
        <f ca="1">INDEX(INDIRECT(_xlfn.CONCAT("weather.tbl[",O$1,"]")),MATCH(vp.tbl[[#This Row],[SDate]],weather.tbl[Date],0))</f>
        <v>21.647619047619042</v>
      </c>
      <c r="P271" s="2">
        <f ca="1">INDEX(INDIRECT(_xlfn.CONCAT("weather.tbl[",P$1,"]")),MATCH(vp.tbl[[#This Row],[SDate]],weather.tbl[Date],0))</f>
        <v>21.9</v>
      </c>
      <c r="Q271" s="2">
        <f ca="1">INDEX(INDIRECT(_xlfn.CONCAT("weather.tbl[",Q$1,"]")),MATCH(vp.tbl[[#This Row],[SDate]],weather.tbl[Date],0))</f>
        <v>21.6</v>
      </c>
      <c r="R271" s="2">
        <f ca="1">INDEX(INDIRECT(_xlfn.CONCAT("weather.tbl[",R$1,"]")),MATCH(vp.tbl[[#This Row],[SDate]],weather.tbl[Date],0))</f>
        <v>20</v>
      </c>
      <c r="S271" s="2">
        <f ca="1">INDEX(INDIRECT(_xlfn.CONCAT("weather.tbl[",S$1,"]")),MATCH(vp.tbl[[#This Row],[SDate]],weather.tbl[Date],0))</f>
        <v>21.8</v>
      </c>
      <c r="T271" s="2">
        <f ca="1">INDEX(INDIRECT(_xlfn.CONCAT("weather.tbl[",T$1,"]")),MATCH(vp.tbl[[#This Row],[SDate]],weather.tbl[Date],0))</f>
        <v>20.399999999999999</v>
      </c>
      <c r="U271" s="2">
        <f ca="1">INDEX(INDIRECT(_xlfn.CONCAT("weather.tbl[",U$1,"]")),MATCH(vp.tbl[[#This Row],[SDate]],weather.tbl[Date],0))</f>
        <v>19.8</v>
      </c>
      <c r="V271" s="2">
        <v>49148.319000000003</v>
      </c>
      <c r="W271" t="s">
        <v>48</v>
      </c>
      <c r="X271">
        <f>IF(OR(vp.tbl[[#This Row],[Sulf]]="",vp.tbl[[#This Row],[Dens]]=""),1,0)</f>
        <v>0</v>
      </c>
      <c r="Y271">
        <f>IF(vp.tbl[[#This Row],[CrudeType]]="C5+",1,0)</f>
        <v>0</v>
      </c>
      <c r="Z271">
        <f>IF(AND(vp.tbl[[#This Row],[CrudeType]]="Crude",vp.tbl[[#This Row],[Dens]]&lt;=825,vp.tbl[[#This Row],[Sulf]]&gt;0.5,vp.tbl[[#This Row],[Unknown]]=0),1,0)</f>
        <v>0</v>
      </c>
      <c r="AA271">
        <f>IF(AND(vp.tbl[[#This Row],[CrudeType]]="Crude",vp.tbl[[#This Row],[Dens]]&lt;=825,vp.tbl[[#This Row],[Sulf]]&lt;=0.5,vp.tbl[[#This Row],[Unknown]]=0),1,0)</f>
        <v>1</v>
      </c>
      <c r="AB271">
        <f>IF(AND(vp.tbl[[#This Row],[CrudeType]]="Crude",vp.tbl[[#This Row],[Dens]]&gt;825,vp.tbl[[#This Row],[Dens]]&lt;=870,vp.tbl[[#This Row],[Sulf]]&gt;0.5,vp.tbl[[#This Row],[Unknown]]=0),1,0)</f>
        <v>0</v>
      </c>
      <c r="AC271">
        <f>IF(AND(vp.tbl[[#This Row],[CrudeType]]="Crude",vp.tbl[[#This Row],[Dens]]&gt;825,vp.tbl[[#This Row],[Dens]]&lt;=900,vp.tbl[[#This Row],[Sulf]]&lt;=0.5,vp.tbl[[#This Row],[Unknown]]=0),1,0)</f>
        <v>0</v>
      </c>
      <c r="AD271">
        <f>IF(AND(vp.tbl[[#This Row],[CrudeType]]="Crude",vp.tbl[[#This Row],[Dens]]&gt;870,vp.tbl[[#This Row],[Dens]]&lt;=900,vp.tbl[[#This Row],[Sulf]]&gt;0.5,vp.tbl[[#This Row],[Unknown]]=0),1,0)</f>
        <v>0</v>
      </c>
      <c r="AE271">
        <f>IF(AND(vp.tbl[[#This Row],[CrudeType]]="Crude",vp.tbl[[#This Row],[Dens]]&gt;900,vp.tbl[[#This Row],[Sulf]]&lt;=0.5,vp.tbl[[#This Row],[Unknown]]=0),1,0)</f>
        <v>0</v>
      </c>
      <c r="AF271">
        <f>IF(AND(vp.tbl[[#This Row],[CrudeType]]="Crude",vp.tbl[[#This Row],[Dens]]&gt;900,vp.tbl[[#This Row],[Sulf]]&lt;=0.5,vp.tbl[[#This Row],[Unknown]]=0),1,0)</f>
        <v>0</v>
      </c>
      <c r="AG271" t="str">
        <f>INDEX(vp.tbl[[#Headers],[Unknown]:[Heavy_SW]],MATCH(1,vp.tbl[[#This Row],[Unknown]:[Heavy_SW]],0))</f>
        <v>Light_SW</v>
      </c>
      <c r="AH271" t="e">
        <f>INDEX([1]!crudeBD.lkup[Number],MATCH(vp.tbl[[#This Row],[Crude_Breakdown]],[1]!crudeBD.lkup[Crude Breakdown],0))</f>
        <v>#REF!</v>
      </c>
      <c r="AI271">
        <f>MONTH(vp.tbl[[#This Row],[SDate]])</f>
        <v>7</v>
      </c>
      <c r="AJ271" s="5">
        <f>IFERROR(vp.tbl[[#This Row],[Sulf]]*vp.tbl[[#This Row],[Net Dens]],"")</f>
        <v>8327101.3915319992</v>
      </c>
      <c r="AK271" s="5">
        <f>IFERROR(vp.tbl[[#This Row],[Dens]]*vp.tbl[[#This Row],[VolumeM3]],"")</f>
        <v>39652863.769199997</v>
      </c>
      <c r="AL271" s="5">
        <f>IFERROR(vp.tbl[[#This Row],[VP]]*vp.tbl[[#This Row],[VolumeM3]],"")</f>
        <v>4644516.1455000006</v>
      </c>
      <c r="AM271" s="4">
        <f>IFERROR((vp.tbl[[#This Row],[VP]]-INDEX(crudeBD.lkup.complete[Mean_VP],MATCH(vp.tbl[[#This Row],[Crude_Breakdown]],crudeBD.lkup.complete[Crude Breakdown],0)))^2,"")</f>
        <v>3.8012771018224027</v>
      </c>
      <c r="AN271" s="4">
        <f>IFERROR((vp.tbl[[#This Row],[Dens]]-INDEX(crudeBD.lkup.complete[Mean_Dens],MATCH(vp.tbl[[#This Row],[Crude_Breakdown]],crudeBD.lkup.complete[Crude Breakdown],0)))^2,"")</f>
        <v>2.2846269834519899</v>
      </c>
      <c r="AO271" s="4">
        <f>IFERROR((vp.tbl[[#This Row],[Sulf]]-INDEX(crudeBD.lkup.complete[Mean_Sulf],MATCH(vp.tbl[[#This Row],[Crude_Breakdown]],crudeBD.lkup.complete[Crude Breakdown],0)))^2,"")</f>
        <v>6.8863268899706654E-4</v>
      </c>
      <c r="AP271">
        <f>IF(AND(vp.tbl[[#This Row],[SDate]]&gt;=DATE(YEAR(vp.tbl[[#This Row],[SDate]]),5,1),vp.tbl[[#This Row],[SDate]]&lt;=DATE(YEAR(vp.tbl[[#This Row],[SDate]]),9,15)),1,0)</f>
        <v>1</v>
      </c>
      <c r="AQ271" s="15">
        <f>IF(vp.tbl[[#This Row],[SDate]]&lt;DATE(2016,12,1),0,1)</f>
        <v>0</v>
      </c>
    </row>
    <row r="272" spans="1:43" x14ac:dyDescent="0.25">
      <c r="A272">
        <v>271</v>
      </c>
      <c r="B272" t="s">
        <v>49</v>
      </c>
      <c r="C272" t="s">
        <v>49</v>
      </c>
      <c r="D272" t="s">
        <v>74</v>
      </c>
      <c r="F272" s="1">
        <v>42577</v>
      </c>
      <c r="G272" s="2">
        <v>94.7</v>
      </c>
      <c r="H272" s="2"/>
      <c r="I272" s="2">
        <v>0.14000000000000001</v>
      </c>
      <c r="J272" s="2"/>
      <c r="K272" s="2"/>
      <c r="L272" s="2">
        <v>806.2</v>
      </c>
      <c r="M272" s="2">
        <v>806.2</v>
      </c>
      <c r="N272" s="2">
        <f ca="1">INDEX(INDIRECT(_xlfn.CONCAT("weather.tbl[",N$1,"]")),MATCH(vp.tbl[[#This Row],[SDate]],weather.tbl[Date],0))</f>
        <v>19.666666666666668</v>
      </c>
      <c r="O272" s="2">
        <f ca="1">INDEX(INDIRECT(_xlfn.CONCAT("weather.tbl[",O$1,"]")),MATCH(vp.tbl[[#This Row],[SDate]],weather.tbl[Date],0))</f>
        <v>21.038095238095234</v>
      </c>
      <c r="P272" s="2">
        <f ca="1">INDEX(INDIRECT(_xlfn.CONCAT("weather.tbl[",P$1,"]")),MATCH(vp.tbl[[#This Row],[SDate]],weather.tbl[Date],0))</f>
        <v>20.399999999999999</v>
      </c>
      <c r="Q272" s="2">
        <f ca="1">INDEX(INDIRECT(_xlfn.CONCAT("weather.tbl[",Q$1,"]")),MATCH(vp.tbl[[#This Row],[SDate]],weather.tbl[Date],0))</f>
        <v>19.3</v>
      </c>
      <c r="R272" s="2">
        <f ca="1">INDEX(INDIRECT(_xlfn.CONCAT("weather.tbl[",R$1,"]")),MATCH(vp.tbl[[#This Row],[SDate]],weather.tbl[Date],0))</f>
        <v>20</v>
      </c>
      <c r="S272" s="2">
        <f ca="1">INDEX(INDIRECT(_xlfn.CONCAT("weather.tbl[",S$1,"]")),MATCH(vp.tbl[[#This Row],[SDate]],weather.tbl[Date],0))</f>
        <v>19</v>
      </c>
      <c r="T272" s="2">
        <f ca="1">INDEX(INDIRECT(_xlfn.CONCAT("weather.tbl[",T$1,"]")),MATCH(vp.tbl[[#This Row],[SDate]],weather.tbl[Date],0))</f>
        <v>20.8</v>
      </c>
      <c r="U272" s="2">
        <f ca="1">INDEX(INDIRECT(_xlfn.CONCAT("weather.tbl[",U$1,"]")),MATCH(vp.tbl[[#This Row],[SDate]],weather.tbl[Date],0))</f>
        <v>18.5</v>
      </c>
      <c r="V272" s="2">
        <v>40032.095000000001</v>
      </c>
      <c r="W272" t="s">
        <v>48</v>
      </c>
      <c r="X272">
        <f>IF(OR(vp.tbl[[#This Row],[Sulf]]="",vp.tbl[[#This Row],[Dens]]=""),1,0)</f>
        <v>0</v>
      </c>
      <c r="Y272">
        <f>IF(vp.tbl[[#This Row],[CrudeType]]="C5+",1,0)</f>
        <v>0</v>
      </c>
      <c r="Z272">
        <f>IF(AND(vp.tbl[[#This Row],[CrudeType]]="Crude",vp.tbl[[#This Row],[Dens]]&lt;=825,vp.tbl[[#This Row],[Sulf]]&gt;0.5,vp.tbl[[#This Row],[Unknown]]=0),1,0)</f>
        <v>0</v>
      </c>
      <c r="AA272">
        <f>IF(AND(vp.tbl[[#This Row],[CrudeType]]="Crude",vp.tbl[[#This Row],[Dens]]&lt;=825,vp.tbl[[#This Row],[Sulf]]&lt;=0.5,vp.tbl[[#This Row],[Unknown]]=0),1,0)</f>
        <v>1</v>
      </c>
      <c r="AB272">
        <f>IF(AND(vp.tbl[[#This Row],[CrudeType]]="Crude",vp.tbl[[#This Row],[Dens]]&gt;825,vp.tbl[[#This Row],[Dens]]&lt;=870,vp.tbl[[#This Row],[Sulf]]&gt;0.5,vp.tbl[[#This Row],[Unknown]]=0),1,0)</f>
        <v>0</v>
      </c>
      <c r="AC272">
        <f>IF(AND(vp.tbl[[#This Row],[CrudeType]]="Crude",vp.tbl[[#This Row],[Dens]]&gt;825,vp.tbl[[#This Row],[Dens]]&lt;=900,vp.tbl[[#This Row],[Sulf]]&lt;=0.5,vp.tbl[[#This Row],[Unknown]]=0),1,0)</f>
        <v>0</v>
      </c>
      <c r="AD272">
        <f>IF(AND(vp.tbl[[#This Row],[CrudeType]]="Crude",vp.tbl[[#This Row],[Dens]]&gt;870,vp.tbl[[#This Row],[Dens]]&lt;=900,vp.tbl[[#This Row],[Sulf]]&gt;0.5,vp.tbl[[#This Row],[Unknown]]=0),1,0)</f>
        <v>0</v>
      </c>
      <c r="AE272">
        <f>IF(AND(vp.tbl[[#This Row],[CrudeType]]="Crude",vp.tbl[[#This Row],[Dens]]&gt;900,vp.tbl[[#This Row],[Sulf]]&lt;=0.5,vp.tbl[[#This Row],[Unknown]]=0),1,0)</f>
        <v>0</v>
      </c>
      <c r="AF272">
        <f>IF(AND(vp.tbl[[#This Row],[CrudeType]]="Crude",vp.tbl[[#This Row],[Dens]]&gt;900,vp.tbl[[#This Row],[Sulf]]&lt;=0.5,vp.tbl[[#This Row],[Unknown]]=0),1,0)</f>
        <v>0</v>
      </c>
      <c r="AG272" t="str">
        <f>INDEX(vp.tbl[[#Headers],[Unknown]:[Heavy_SW]],MATCH(1,vp.tbl[[#This Row],[Unknown]:[Heavy_SW]],0))</f>
        <v>Light_SW</v>
      </c>
      <c r="AH272" t="e">
        <f>INDEX([1]!crudeBD.lkup[Number],MATCH(vp.tbl[[#This Row],[Crude_Breakdown]],[1]!crudeBD.lkup[Crude Breakdown],0))</f>
        <v>#REF!</v>
      </c>
      <c r="AI272">
        <f>MONTH(vp.tbl[[#This Row],[SDate]])</f>
        <v>7</v>
      </c>
      <c r="AJ272" s="5">
        <f>IFERROR(vp.tbl[[#This Row],[Sulf]]*vp.tbl[[#This Row],[Net Dens]],"")</f>
        <v>4518342.4984600013</v>
      </c>
      <c r="AK272" s="5">
        <f>IFERROR(vp.tbl[[#This Row],[Dens]]*vp.tbl[[#This Row],[VolumeM3]],"")</f>
        <v>32273874.989000004</v>
      </c>
      <c r="AL272" s="5">
        <f>IFERROR(vp.tbl[[#This Row],[VP]]*vp.tbl[[#This Row],[VolumeM3]],"")</f>
        <v>3791039.3965000003</v>
      </c>
      <c r="AM272" s="4">
        <f>IFERROR((vp.tbl[[#This Row],[VP]]-INDEX(crudeBD.lkup.complete[Mean_VP],MATCH(vp.tbl[[#This Row],[Crude_Breakdown]],crudeBD.lkup.complete[Crude Breakdown],0)))^2,"")</f>
        <v>4.6211516662823566</v>
      </c>
      <c r="AN272" s="4">
        <f>IFERROR((vp.tbl[[#This Row],[Dens]]-INDEX(crudeBD.lkup.complete[Mean_Dens],MATCH(vp.tbl[[#This Row],[Crude_Breakdown]],crudeBD.lkup.complete[Crude Breakdown],0)))^2,"")</f>
        <v>4.458424892859064</v>
      </c>
      <c r="AO272" s="4">
        <f>IFERROR((vp.tbl[[#This Row],[Sulf]]-INDEX(crudeBD.lkup.complete[Mean_Sulf],MATCH(vp.tbl[[#This Row],[Crude_Breakdown]],crudeBD.lkup.complete[Crude Breakdown],0)))^2,"")</f>
        <v>9.2624863475336272E-3</v>
      </c>
      <c r="AP272">
        <f>IF(AND(vp.tbl[[#This Row],[SDate]]&gt;=DATE(YEAR(vp.tbl[[#This Row],[SDate]]),5,1),vp.tbl[[#This Row],[SDate]]&lt;=DATE(YEAR(vp.tbl[[#This Row],[SDate]]),9,15)),1,0)</f>
        <v>1</v>
      </c>
      <c r="AQ272" s="15">
        <f>IF(vp.tbl[[#This Row],[SDate]]&lt;DATE(2016,12,1),0,1)</f>
        <v>0</v>
      </c>
    </row>
    <row r="273" spans="1:43" x14ac:dyDescent="0.25">
      <c r="A273">
        <v>272</v>
      </c>
      <c r="B273" t="s">
        <v>49</v>
      </c>
      <c r="C273" t="s">
        <v>49</v>
      </c>
      <c r="D273" t="s">
        <v>74</v>
      </c>
      <c r="F273" s="1">
        <v>42577</v>
      </c>
      <c r="G273" s="2">
        <v>103.3</v>
      </c>
      <c r="H273" s="2"/>
      <c r="I273" s="2">
        <v>0.14000000000000001</v>
      </c>
      <c r="J273" s="2"/>
      <c r="K273" s="2"/>
      <c r="L273" s="2">
        <v>806.2</v>
      </c>
      <c r="M273" s="2">
        <v>806.2</v>
      </c>
      <c r="N273" s="2">
        <f ca="1">INDEX(INDIRECT(_xlfn.CONCAT("weather.tbl[",N$1,"]")),MATCH(vp.tbl[[#This Row],[SDate]],weather.tbl[Date],0))</f>
        <v>19.666666666666668</v>
      </c>
      <c r="O273" s="2">
        <f ca="1">INDEX(INDIRECT(_xlfn.CONCAT("weather.tbl[",O$1,"]")),MATCH(vp.tbl[[#This Row],[SDate]],weather.tbl[Date],0))</f>
        <v>21.038095238095234</v>
      </c>
      <c r="P273" s="2">
        <f ca="1">INDEX(INDIRECT(_xlfn.CONCAT("weather.tbl[",P$1,"]")),MATCH(vp.tbl[[#This Row],[SDate]],weather.tbl[Date],0))</f>
        <v>20.399999999999999</v>
      </c>
      <c r="Q273" s="2">
        <f ca="1">INDEX(INDIRECT(_xlfn.CONCAT("weather.tbl[",Q$1,"]")),MATCH(vp.tbl[[#This Row],[SDate]],weather.tbl[Date],0))</f>
        <v>19.3</v>
      </c>
      <c r="R273" s="2">
        <f ca="1">INDEX(INDIRECT(_xlfn.CONCAT("weather.tbl[",R$1,"]")),MATCH(vp.tbl[[#This Row],[SDate]],weather.tbl[Date],0))</f>
        <v>20</v>
      </c>
      <c r="S273" s="2">
        <f ca="1">INDEX(INDIRECT(_xlfn.CONCAT("weather.tbl[",S$1,"]")),MATCH(vp.tbl[[#This Row],[SDate]],weather.tbl[Date],0))</f>
        <v>19</v>
      </c>
      <c r="T273" s="2">
        <f ca="1">INDEX(INDIRECT(_xlfn.CONCAT("weather.tbl[",T$1,"]")),MATCH(vp.tbl[[#This Row],[SDate]],weather.tbl[Date],0))</f>
        <v>20.8</v>
      </c>
      <c r="U273" s="2">
        <f ca="1">INDEX(INDIRECT(_xlfn.CONCAT("weather.tbl[",U$1,"]")),MATCH(vp.tbl[[#This Row],[SDate]],weather.tbl[Date],0))</f>
        <v>18.5</v>
      </c>
      <c r="V273" s="2">
        <v>40032.095000000001</v>
      </c>
      <c r="W273" t="s">
        <v>48</v>
      </c>
      <c r="X273">
        <f>IF(OR(vp.tbl[[#This Row],[Sulf]]="",vp.tbl[[#This Row],[Dens]]=""),1,0)</f>
        <v>0</v>
      </c>
      <c r="Y273">
        <f>IF(vp.tbl[[#This Row],[CrudeType]]="C5+",1,0)</f>
        <v>0</v>
      </c>
      <c r="Z273">
        <f>IF(AND(vp.tbl[[#This Row],[CrudeType]]="Crude",vp.tbl[[#This Row],[Dens]]&lt;=825,vp.tbl[[#This Row],[Sulf]]&gt;0.5,vp.tbl[[#This Row],[Unknown]]=0),1,0)</f>
        <v>0</v>
      </c>
      <c r="AA273">
        <f>IF(AND(vp.tbl[[#This Row],[CrudeType]]="Crude",vp.tbl[[#This Row],[Dens]]&lt;=825,vp.tbl[[#This Row],[Sulf]]&lt;=0.5,vp.tbl[[#This Row],[Unknown]]=0),1,0)</f>
        <v>1</v>
      </c>
      <c r="AB273">
        <f>IF(AND(vp.tbl[[#This Row],[CrudeType]]="Crude",vp.tbl[[#This Row],[Dens]]&gt;825,vp.tbl[[#This Row],[Dens]]&lt;=870,vp.tbl[[#This Row],[Sulf]]&gt;0.5,vp.tbl[[#This Row],[Unknown]]=0),1,0)</f>
        <v>0</v>
      </c>
      <c r="AC273">
        <f>IF(AND(vp.tbl[[#This Row],[CrudeType]]="Crude",vp.tbl[[#This Row],[Dens]]&gt;825,vp.tbl[[#This Row],[Dens]]&lt;=900,vp.tbl[[#This Row],[Sulf]]&lt;=0.5,vp.tbl[[#This Row],[Unknown]]=0),1,0)</f>
        <v>0</v>
      </c>
      <c r="AD273">
        <f>IF(AND(vp.tbl[[#This Row],[CrudeType]]="Crude",vp.tbl[[#This Row],[Dens]]&gt;870,vp.tbl[[#This Row],[Dens]]&lt;=900,vp.tbl[[#This Row],[Sulf]]&gt;0.5,vp.tbl[[#This Row],[Unknown]]=0),1,0)</f>
        <v>0</v>
      </c>
      <c r="AE273">
        <f>IF(AND(vp.tbl[[#This Row],[CrudeType]]="Crude",vp.tbl[[#This Row],[Dens]]&gt;900,vp.tbl[[#This Row],[Sulf]]&lt;=0.5,vp.tbl[[#This Row],[Unknown]]=0),1,0)</f>
        <v>0</v>
      </c>
      <c r="AF273">
        <f>IF(AND(vp.tbl[[#This Row],[CrudeType]]="Crude",vp.tbl[[#This Row],[Dens]]&gt;900,vp.tbl[[#This Row],[Sulf]]&lt;=0.5,vp.tbl[[#This Row],[Unknown]]=0),1,0)</f>
        <v>0</v>
      </c>
      <c r="AG273" t="str">
        <f>INDEX(vp.tbl[[#Headers],[Unknown]:[Heavy_SW]],MATCH(1,vp.tbl[[#This Row],[Unknown]:[Heavy_SW]],0))</f>
        <v>Light_SW</v>
      </c>
      <c r="AH273" t="e">
        <f>INDEX([1]!crudeBD.lkup[Number],MATCH(vp.tbl[[#This Row],[Crude_Breakdown]],[1]!crudeBD.lkup[Crude Breakdown],0))</f>
        <v>#REF!</v>
      </c>
      <c r="AI273">
        <f>MONTH(vp.tbl[[#This Row],[SDate]])</f>
        <v>7</v>
      </c>
      <c r="AJ273" s="5">
        <f>IFERROR(vp.tbl[[#This Row],[Sulf]]*vp.tbl[[#This Row],[Net Dens]],"")</f>
        <v>4518342.4984600013</v>
      </c>
      <c r="AK273" s="5">
        <f>IFERROR(vp.tbl[[#This Row],[Dens]]*vp.tbl[[#This Row],[VolumeM3]],"")</f>
        <v>32273874.989000004</v>
      </c>
      <c r="AL273" s="5">
        <f>IFERROR(vp.tbl[[#This Row],[VP]]*vp.tbl[[#This Row],[VolumeM3]],"")</f>
        <v>4135315.4134999998</v>
      </c>
      <c r="AM273" s="4">
        <f>IFERROR((vp.tbl[[#This Row],[VP]]-INDEX(crudeBD.lkup.complete[Mean_VP],MATCH(vp.tbl[[#This Row],[Crude_Breakdown]],crudeBD.lkup.complete[Crude Breakdown],0)))^2,"")</f>
        <v>115.5557579380598</v>
      </c>
      <c r="AN273" s="4">
        <f>IFERROR((vp.tbl[[#This Row],[Dens]]-INDEX(crudeBD.lkup.complete[Mean_Dens],MATCH(vp.tbl[[#This Row],[Crude_Breakdown]],crudeBD.lkup.complete[Crude Breakdown],0)))^2,"")</f>
        <v>4.458424892859064</v>
      </c>
      <c r="AO273" s="4">
        <f>IFERROR((vp.tbl[[#This Row],[Sulf]]-INDEX(crudeBD.lkup.complete[Mean_Sulf],MATCH(vp.tbl[[#This Row],[Crude_Breakdown]],crudeBD.lkup.complete[Crude Breakdown],0)))^2,"")</f>
        <v>9.2624863475336272E-3</v>
      </c>
      <c r="AP273">
        <f>IF(AND(vp.tbl[[#This Row],[SDate]]&gt;=DATE(YEAR(vp.tbl[[#This Row],[SDate]]),5,1),vp.tbl[[#This Row],[SDate]]&lt;=DATE(YEAR(vp.tbl[[#This Row],[SDate]]),9,15)),1,0)</f>
        <v>1</v>
      </c>
      <c r="AQ273" s="15">
        <f>IF(vp.tbl[[#This Row],[SDate]]&lt;DATE(2016,12,1),0,1)</f>
        <v>0</v>
      </c>
    </row>
    <row r="274" spans="1:43" x14ac:dyDescent="0.25">
      <c r="A274">
        <v>273</v>
      </c>
      <c r="B274" t="s">
        <v>60</v>
      </c>
      <c r="C274" t="s">
        <v>60</v>
      </c>
      <c r="D274" t="s">
        <v>61</v>
      </c>
      <c r="E274" t="s">
        <v>73</v>
      </c>
      <c r="F274" s="1">
        <v>42578</v>
      </c>
      <c r="G274" s="2">
        <v>92.6</v>
      </c>
      <c r="H274" s="2"/>
      <c r="I274" s="2">
        <v>0.96</v>
      </c>
      <c r="J274" s="2"/>
      <c r="K274" s="2"/>
      <c r="L274" s="2"/>
      <c r="M274" s="2">
        <v>817.9</v>
      </c>
      <c r="N274" s="2">
        <f ca="1">INDEX(INDIRECT(_xlfn.CONCAT("weather.tbl[",N$1,"]")),MATCH(vp.tbl[[#This Row],[SDate]],weather.tbl[Date],0))</f>
        <v>18.083333333333332</v>
      </c>
      <c r="O274" s="2">
        <f ca="1">INDEX(INDIRECT(_xlfn.CONCAT("weather.tbl[",O$1,"]")),MATCH(vp.tbl[[#This Row],[SDate]],weather.tbl[Date],0))</f>
        <v>20.169047619047614</v>
      </c>
      <c r="P274" s="2">
        <f ca="1">INDEX(INDIRECT(_xlfn.CONCAT("weather.tbl[",P$1,"]")),MATCH(vp.tbl[[#This Row],[SDate]],weather.tbl[Date],0))</f>
        <v>18.399999999999999</v>
      </c>
      <c r="Q274" s="2">
        <f ca="1">INDEX(INDIRECT(_xlfn.CONCAT("weather.tbl[",Q$1,"]")),MATCH(vp.tbl[[#This Row],[SDate]],weather.tbl[Date],0))</f>
        <v>18.399999999999999</v>
      </c>
      <c r="R274" s="2">
        <f ca="1">INDEX(INDIRECT(_xlfn.CONCAT("weather.tbl[",R$1,"]")),MATCH(vp.tbl[[#This Row],[SDate]],weather.tbl[Date],0))</f>
        <v>17.5</v>
      </c>
      <c r="S274" s="2">
        <f ca="1">INDEX(INDIRECT(_xlfn.CONCAT("weather.tbl[",S$1,"]")),MATCH(vp.tbl[[#This Row],[SDate]],weather.tbl[Date],0))</f>
        <v>18.3</v>
      </c>
      <c r="T274" s="2">
        <f ca="1">INDEX(INDIRECT(_xlfn.CONCAT("weather.tbl[",T$1,"]")),MATCH(vp.tbl[[#This Row],[SDate]],weather.tbl[Date],0))</f>
        <v>18.600000000000001</v>
      </c>
      <c r="U274" s="2">
        <f ca="1">INDEX(INDIRECT(_xlfn.CONCAT("weather.tbl[",U$1,"]")),MATCH(vp.tbl[[#This Row],[SDate]],weather.tbl[Date],0))</f>
        <v>17.3</v>
      </c>
      <c r="V274" s="2">
        <v>102591.85</v>
      </c>
      <c r="W274" t="s">
        <v>48</v>
      </c>
      <c r="X274">
        <f>IF(OR(vp.tbl[[#This Row],[Sulf]]="",vp.tbl[[#This Row],[Dens]]=""),1,0)</f>
        <v>0</v>
      </c>
      <c r="Y274">
        <f>IF(vp.tbl[[#This Row],[CrudeType]]="C5+",1,0)</f>
        <v>0</v>
      </c>
      <c r="Z274">
        <f>IF(AND(vp.tbl[[#This Row],[CrudeType]]="Crude",vp.tbl[[#This Row],[Dens]]&lt;=825,vp.tbl[[#This Row],[Sulf]]&gt;0.5,vp.tbl[[#This Row],[Unknown]]=0),1,0)</f>
        <v>1</v>
      </c>
      <c r="AA274">
        <f>IF(AND(vp.tbl[[#This Row],[CrudeType]]="Crude",vp.tbl[[#This Row],[Dens]]&lt;=825,vp.tbl[[#This Row],[Sulf]]&lt;=0.5,vp.tbl[[#This Row],[Unknown]]=0),1,0)</f>
        <v>0</v>
      </c>
      <c r="AB274">
        <f>IF(AND(vp.tbl[[#This Row],[CrudeType]]="Crude",vp.tbl[[#This Row],[Dens]]&gt;825,vp.tbl[[#This Row],[Dens]]&lt;=870,vp.tbl[[#This Row],[Sulf]]&gt;0.5,vp.tbl[[#This Row],[Unknown]]=0),1,0)</f>
        <v>0</v>
      </c>
      <c r="AC274">
        <f>IF(AND(vp.tbl[[#This Row],[CrudeType]]="Crude",vp.tbl[[#This Row],[Dens]]&gt;825,vp.tbl[[#This Row],[Dens]]&lt;=900,vp.tbl[[#This Row],[Sulf]]&lt;=0.5,vp.tbl[[#This Row],[Unknown]]=0),1,0)</f>
        <v>0</v>
      </c>
      <c r="AD274">
        <f>IF(AND(vp.tbl[[#This Row],[CrudeType]]="Crude",vp.tbl[[#This Row],[Dens]]&gt;870,vp.tbl[[#This Row],[Dens]]&lt;=900,vp.tbl[[#This Row],[Sulf]]&gt;0.5,vp.tbl[[#This Row],[Unknown]]=0),1,0)</f>
        <v>0</v>
      </c>
      <c r="AE274">
        <f>IF(AND(vp.tbl[[#This Row],[CrudeType]]="Crude",vp.tbl[[#This Row],[Dens]]&gt;900,vp.tbl[[#This Row],[Sulf]]&lt;=0.5,vp.tbl[[#This Row],[Unknown]]=0),1,0)</f>
        <v>0</v>
      </c>
      <c r="AF274">
        <f>IF(AND(vp.tbl[[#This Row],[CrudeType]]="Crude",vp.tbl[[#This Row],[Dens]]&gt;900,vp.tbl[[#This Row],[Sulf]]&lt;=0.5,vp.tbl[[#This Row],[Unknown]]=0),1,0)</f>
        <v>0</v>
      </c>
      <c r="AG274" t="str">
        <f>INDEX(vp.tbl[[#Headers],[Unknown]:[Heavy_SW]],MATCH(1,vp.tbl[[#This Row],[Unknown]:[Heavy_SW]],0))</f>
        <v>Light_LSB</v>
      </c>
      <c r="AH274" t="e">
        <f>INDEX([1]!crudeBD.lkup[Number],MATCH(vp.tbl[[#This Row],[Crude_Breakdown]],[1]!crudeBD.lkup[Crude Breakdown],0))</f>
        <v>#REF!</v>
      </c>
      <c r="AI274">
        <f>MONTH(vp.tbl[[#This Row],[SDate]])</f>
        <v>7</v>
      </c>
      <c r="AJ274" s="5">
        <f>IFERROR(vp.tbl[[#This Row],[Sulf]]*vp.tbl[[#This Row],[Net Dens]],"")</f>
        <v>80553479.150400013</v>
      </c>
      <c r="AK274" s="5">
        <f>IFERROR(vp.tbl[[#This Row],[Dens]]*vp.tbl[[#This Row],[VolumeM3]],"")</f>
        <v>83909874.11500001</v>
      </c>
      <c r="AL274" s="5">
        <f>IFERROR(vp.tbl[[#This Row],[VP]]*vp.tbl[[#This Row],[VolumeM3]],"")</f>
        <v>9500005.3100000005</v>
      </c>
      <c r="AM274" s="4">
        <f>IFERROR((vp.tbl[[#This Row],[VP]]-INDEX(crudeBD.lkup.complete[Mean_VP],MATCH(vp.tbl[[#This Row],[Crude_Breakdown]],crudeBD.lkup.complete[Crude Breakdown],0)))^2,"")</f>
        <v>1.1105248591773058</v>
      </c>
      <c r="AN274" s="4">
        <f>IFERROR((vp.tbl[[#This Row],[Dens]]-INDEX(crudeBD.lkup.complete[Mean_Dens],MATCH(vp.tbl[[#This Row],[Crude_Breakdown]],crudeBD.lkup.complete[Crude Breakdown],0)))^2,"")</f>
        <v>0.38040493617186338</v>
      </c>
      <c r="AO274" s="4">
        <f>IFERROR((vp.tbl[[#This Row],[Sulf]]-INDEX(crudeBD.lkup.complete[Mean_Sulf],MATCH(vp.tbl[[#This Row],[Crude_Breakdown]],crudeBD.lkup.complete[Crude Breakdown],0)))^2,"")</f>
        <v>1.3711343707809469E-3</v>
      </c>
      <c r="AP274">
        <f>IF(AND(vp.tbl[[#This Row],[SDate]]&gt;=DATE(YEAR(vp.tbl[[#This Row],[SDate]]),5,1),vp.tbl[[#This Row],[SDate]]&lt;=DATE(YEAR(vp.tbl[[#This Row],[SDate]]),9,15)),1,0)</f>
        <v>1</v>
      </c>
      <c r="AQ274" s="15">
        <f>IF(vp.tbl[[#This Row],[SDate]]&lt;DATE(2016,12,1),0,1)</f>
        <v>0</v>
      </c>
    </row>
    <row r="275" spans="1:43" x14ac:dyDescent="0.25">
      <c r="A275">
        <v>274</v>
      </c>
      <c r="B275" t="s">
        <v>49</v>
      </c>
      <c r="C275" t="s">
        <v>49</v>
      </c>
      <c r="D275" t="s">
        <v>75</v>
      </c>
      <c r="F275" s="1">
        <v>42578</v>
      </c>
      <c r="G275" s="2">
        <v>103.3</v>
      </c>
      <c r="H275" s="2"/>
      <c r="I275" s="2">
        <v>0.15</v>
      </c>
      <c r="J275" s="2"/>
      <c r="K275" s="2"/>
      <c r="L275" s="2">
        <v>805.4</v>
      </c>
      <c r="M275" s="2">
        <v>805.4</v>
      </c>
      <c r="N275" s="2">
        <f ca="1">INDEX(INDIRECT(_xlfn.CONCAT("weather.tbl[",N$1,"]")),MATCH(vp.tbl[[#This Row],[SDate]],weather.tbl[Date],0))</f>
        <v>18.083333333333332</v>
      </c>
      <c r="O275" s="2">
        <f ca="1">INDEX(INDIRECT(_xlfn.CONCAT("weather.tbl[",O$1,"]")),MATCH(vp.tbl[[#This Row],[SDate]],weather.tbl[Date],0))</f>
        <v>20.169047619047614</v>
      </c>
      <c r="P275" s="2">
        <f ca="1">INDEX(INDIRECT(_xlfn.CONCAT("weather.tbl[",P$1,"]")),MATCH(vp.tbl[[#This Row],[SDate]],weather.tbl[Date],0))</f>
        <v>18.399999999999999</v>
      </c>
      <c r="Q275" s="2">
        <f ca="1">INDEX(INDIRECT(_xlfn.CONCAT("weather.tbl[",Q$1,"]")),MATCH(vp.tbl[[#This Row],[SDate]],weather.tbl[Date],0))</f>
        <v>18.399999999999999</v>
      </c>
      <c r="R275" s="2">
        <f ca="1">INDEX(INDIRECT(_xlfn.CONCAT("weather.tbl[",R$1,"]")),MATCH(vp.tbl[[#This Row],[SDate]],weather.tbl[Date],0))</f>
        <v>17.5</v>
      </c>
      <c r="S275" s="2">
        <f ca="1">INDEX(INDIRECT(_xlfn.CONCAT("weather.tbl[",S$1,"]")),MATCH(vp.tbl[[#This Row],[SDate]],weather.tbl[Date],0))</f>
        <v>18.3</v>
      </c>
      <c r="T275" s="2">
        <f ca="1">INDEX(INDIRECT(_xlfn.CONCAT("weather.tbl[",T$1,"]")),MATCH(vp.tbl[[#This Row],[SDate]],weather.tbl[Date],0))</f>
        <v>18.600000000000001</v>
      </c>
      <c r="U275" s="2">
        <f ca="1">INDEX(INDIRECT(_xlfn.CONCAT("weather.tbl[",U$1,"]")),MATCH(vp.tbl[[#This Row],[SDate]],weather.tbl[Date],0))</f>
        <v>17.3</v>
      </c>
      <c r="V275" s="2">
        <v>21522.742999999999</v>
      </c>
      <c r="W275" t="s">
        <v>48</v>
      </c>
      <c r="X275">
        <f>IF(OR(vp.tbl[[#This Row],[Sulf]]="",vp.tbl[[#This Row],[Dens]]=""),1,0)</f>
        <v>0</v>
      </c>
      <c r="Y275">
        <f>IF(vp.tbl[[#This Row],[CrudeType]]="C5+",1,0)</f>
        <v>0</v>
      </c>
      <c r="Z275">
        <f>IF(AND(vp.tbl[[#This Row],[CrudeType]]="Crude",vp.tbl[[#This Row],[Dens]]&lt;=825,vp.tbl[[#This Row],[Sulf]]&gt;0.5,vp.tbl[[#This Row],[Unknown]]=0),1,0)</f>
        <v>0</v>
      </c>
      <c r="AA275">
        <f>IF(AND(vp.tbl[[#This Row],[CrudeType]]="Crude",vp.tbl[[#This Row],[Dens]]&lt;=825,vp.tbl[[#This Row],[Sulf]]&lt;=0.5,vp.tbl[[#This Row],[Unknown]]=0),1,0)</f>
        <v>1</v>
      </c>
      <c r="AB275">
        <f>IF(AND(vp.tbl[[#This Row],[CrudeType]]="Crude",vp.tbl[[#This Row],[Dens]]&gt;825,vp.tbl[[#This Row],[Dens]]&lt;=870,vp.tbl[[#This Row],[Sulf]]&gt;0.5,vp.tbl[[#This Row],[Unknown]]=0),1,0)</f>
        <v>0</v>
      </c>
      <c r="AC275">
        <f>IF(AND(vp.tbl[[#This Row],[CrudeType]]="Crude",vp.tbl[[#This Row],[Dens]]&gt;825,vp.tbl[[#This Row],[Dens]]&lt;=900,vp.tbl[[#This Row],[Sulf]]&lt;=0.5,vp.tbl[[#This Row],[Unknown]]=0),1,0)</f>
        <v>0</v>
      </c>
      <c r="AD275">
        <f>IF(AND(vp.tbl[[#This Row],[CrudeType]]="Crude",vp.tbl[[#This Row],[Dens]]&gt;870,vp.tbl[[#This Row],[Dens]]&lt;=900,vp.tbl[[#This Row],[Sulf]]&gt;0.5,vp.tbl[[#This Row],[Unknown]]=0),1,0)</f>
        <v>0</v>
      </c>
      <c r="AE275">
        <f>IF(AND(vp.tbl[[#This Row],[CrudeType]]="Crude",vp.tbl[[#This Row],[Dens]]&gt;900,vp.tbl[[#This Row],[Sulf]]&lt;=0.5,vp.tbl[[#This Row],[Unknown]]=0),1,0)</f>
        <v>0</v>
      </c>
      <c r="AF275">
        <f>IF(AND(vp.tbl[[#This Row],[CrudeType]]="Crude",vp.tbl[[#This Row],[Dens]]&gt;900,vp.tbl[[#This Row],[Sulf]]&lt;=0.5,vp.tbl[[#This Row],[Unknown]]=0),1,0)</f>
        <v>0</v>
      </c>
      <c r="AG275" t="str">
        <f>INDEX(vp.tbl[[#Headers],[Unknown]:[Heavy_SW]],MATCH(1,vp.tbl[[#This Row],[Unknown]:[Heavy_SW]],0))</f>
        <v>Light_SW</v>
      </c>
      <c r="AH275" t="e">
        <f>INDEX([1]!crudeBD.lkup[Number],MATCH(vp.tbl[[#This Row],[Crude_Breakdown]],[1]!crudeBD.lkup[Crude Breakdown],0))</f>
        <v>#REF!</v>
      </c>
      <c r="AI275">
        <f>MONTH(vp.tbl[[#This Row],[SDate]])</f>
        <v>7</v>
      </c>
      <c r="AJ275" s="5">
        <f>IFERROR(vp.tbl[[#This Row],[Sulf]]*vp.tbl[[#This Row],[Net Dens]],"")</f>
        <v>2600162.5818299996</v>
      </c>
      <c r="AK275" s="5">
        <f>IFERROR(vp.tbl[[#This Row],[Dens]]*vp.tbl[[#This Row],[VolumeM3]],"")</f>
        <v>17334417.212199997</v>
      </c>
      <c r="AL275" s="5">
        <f>IFERROR(vp.tbl[[#This Row],[VP]]*vp.tbl[[#This Row],[VolumeM3]],"")</f>
        <v>2223299.3518999997</v>
      </c>
      <c r="AM275" s="4">
        <f>IFERROR((vp.tbl[[#This Row],[VP]]-INDEX(crudeBD.lkup.complete[Mean_VP],MATCH(vp.tbl[[#This Row],[Crude_Breakdown]],crudeBD.lkup.complete[Crude Breakdown],0)))^2,"")</f>
        <v>115.5557579380598</v>
      </c>
      <c r="AN275" s="4">
        <f>IFERROR((vp.tbl[[#This Row],[Dens]]-INDEX(crudeBD.lkup.complete[Mean_Dens],MATCH(vp.tbl[[#This Row],[Crude_Breakdown]],crudeBD.lkup.complete[Crude Breakdown],0)))^2,"")</f>
        <v>8.4768221054025936</v>
      </c>
      <c r="AO275" s="4">
        <f>IFERROR((vp.tbl[[#This Row],[Sulf]]-INDEX(crudeBD.lkup.complete[Mean_Sulf],MATCH(vp.tbl[[#This Row],[Crude_Breakdown]],crudeBD.lkup.complete[Crude Breakdown],0)))^2,"")</f>
        <v>7.4376501105998362E-3</v>
      </c>
      <c r="AP275">
        <f>IF(AND(vp.tbl[[#This Row],[SDate]]&gt;=DATE(YEAR(vp.tbl[[#This Row],[SDate]]),5,1),vp.tbl[[#This Row],[SDate]]&lt;=DATE(YEAR(vp.tbl[[#This Row],[SDate]]),9,15)),1,0)</f>
        <v>1</v>
      </c>
      <c r="AQ275" s="15">
        <f>IF(vp.tbl[[#This Row],[SDate]]&lt;DATE(2016,12,1),0,1)</f>
        <v>0</v>
      </c>
    </row>
    <row r="276" spans="1:43" x14ac:dyDescent="0.25">
      <c r="A276">
        <v>275</v>
      </c>
      <c r="B276" t="s">
        <v>49</v>
      </c>
      <c r="C276" t="s">
        <v>49</v>
      </c>
      <c r="D276" t="s">
        <v>75</v>
      </c>
      <c r="F276" s="1">
        <v>42578</v>
      </c>
      <c r="G276" s="2">
        <v>101.3</v>
      </c>
      <c r="H276" s="2"/>
      <c r="I276" s="2">
        <v>0.15</v>
      </c>
      <c r="J276" s="2"/>
      <c r="K276" s="2"/>
      <c r="L276" s="2">
        <v>805.4</v>
      </c>
      <c r="M276" s="2">
        <v>805.4</v>
      </c>
      <c r="N276" s="2">
        <f ca="1">INDEX(INDIRECT(_xlfn.CONCAT("weather.tbl[",N$1,"]")),MATCH(vp.tbl[[#This Row],[SDate]],weather.tbl[Date],0))</f>
        <v>18.083333333333332</v>
      </c>
      <c r="O276" s="2">
        <f ca="1">INDEX(INDIRECT(_xlfn.CONCAT("weather.tbl[",O$1,"]")),MATCH(vp.tbl[[#This Row],[SDate]],weather.tbl[Date],0))</f>
        <v>20.169047619047614</v>
      </c>
      <c r="P276" s="2">
        <f ca="1">INDEX(INDIRECT(_xlfn.CONCAT("weather.tbl[",P$1,"]")),MATCH(vp.tbl[[#This Row],[SDate]],weather.tbl[Date],0))</f>
        <v>18.399999999999999</v>
      </c>
      <c r="Q276" s="2">
        <f ca="1">INDEX(INDIRECT(_xlfn.CONCAT("weather.tbl[",Q$1,"]")),MATCH(vp.tbl[[#This Row],[SDate]],weather.tbl[Date],0))</f>
        <v>18.399999999999999</v>
      </c>
      <c r="R276" s="2">
        <f ca="1">INDEX(INDIRECT(_xlfn.CONCAT("weather.tbl[",R$1,"]")),MATCH(vp.tbl[[#This Row],[SDate]],weather.tbl[Date],0))</f>
        <v>17.5</v>
      </c>
      <c r="S276" s="2">
        <f ca="1">INDEX(INDIRECT(_xlfn.CONCAT("weather.tbl[",S$1,"]")),MATCH(vp.tbl[[#This Row],[SDate]],weather.tbl[Date],0))</f>
        <v>18.3</v>
      </c>
      <c r="T276" s="2">
        <f ca="1">INDEX(INDIRECT(_xlfn.CONCAT("weather.tbl[",T$1,"]")),MATCH(vp.tbl[[#This Row],[SDate]],weather.tbl[Date],0))</f>
        <v>18.600000000000001</v>
      </c>
      <c r="U276" s="2">
        <f ca="1">INDEX(INDIRECT(_xlfn.CONCAT("weather.tbl[",U$1,"]")),MATCH(vp.tbl[[#This Row],[SDate]],weather.tbl[Date],0))</f>
        <v>17.3</v>
      </c>
      <c r="V276" s="2">
        <v>21522.742999999999</v>
      </c>
      <c r="W276" t="s">
        <v>48</v>
      </c>
      <c r="X276">
        <f>IF(OR(vp.tbl[[#This Row],[Sulf]]="",vp.tbl[[#This Row],[Dens]]=""),1,0)</f>
        <v>0</v>
      </c>
      <c r="Y276">
        <f>IF(vp.tbl[[#This Row],[CrudeType]]="C5+",1,0)</f>
        <v>0</v>
      </c>
      <c r="Z276">
        <f>IF(AND(vp.tbl[[#This Row],[CrudeType]]="Crude",vp.tbl[[#This Row],[Dens]]&lt;=825,vp.tbl[[#This Row],[Sulf]]&gt;0.5,vp.tbl[[#This Row],[Unknown]]=0),1,0)</f>
        <v>0</v>
      </c>
      <c r="AA276">
        <f>IF(AND(vp.tbl[[#This Row],[CrudeType]]="Crude",vp.tbl[[#This Row],[Dens]]&lt;=825,vp.tbl[[#This Row],[Sulf]]&lt;=0.5,vp.tbl[[#This Row],[Unknown]]=0),1,0)</f>
        <v>1</v>
      </c>
      <c r="AB276">
        <f>IF(AND(vp.tbl[[#This Row],[CrudeType]]="Crude",vp.tbl[[#This Row],[Dens]]&gt;825,vp.tbl[[#This Row],[Dens]]&lt;=870,vp.tbl[[#This Row],[Sulf]]&gt;0.5,vp.tbl[[#This Row],[Unknown]]=0),1,0)</f>
        <v>0</v>
      </c>
      <c r="AC276">
        <f>IF(AND(vp.tbl[[#This Row],[CrudeType]]="Crude",vp.tbl[[#This Row],[Dens]]&gt;825,vp.tbl[[#This Row],[Dens]]&lt;=900,vp.tbl[[#This Row],[Sulf]]&lt;=0.5,vp.tbl[[#This Row],[Unknown]]=0),1,0)</f>
        <v>0</v>
      </c>
      <c r="AD276">
        <f>IF(AND(vp.tbl[[#This Row],[CrudeType]]="Crude",vp.tbl[[#This Row],[Dens]]&gt;870,vp.tbl[[#This Row],[Dens]]&lt;=900,vp.tbl[[#This Row],[Sulf]]&gt;0.5,vp.tbl[[#This Row],[Unknown]]=0),1,0)</f>
        <v>0</v>
      </c>
      <c r="AE276">
        <f>IF(AND(vp.tbl[[#This Row],[CrudeType]]="Crude",vp.tbl[[#This Row],[Dens]]&gt;900,vp.tbl[[#This Row],[Sulf]]&lt;=0.5,vp.tbl[[#This Row],[Unknown]]=0),1,0)</f>
        <v>0</v>
      </c>
      <c r="AF276">
        <f>IF(AND(vp.tbl[[#This Row],[CrudeType]]="Crude",vp.tbl[[#This Row],[Dens]]&gt;900,vp.tbl[[#This Row],[Sulf]]&lt;=0.5,vp.tbl[[#This Row],[Unknown]]=0),1,0)</f>
        <v>0</v>
      </c>
      <c r="AG276" t="str">
        <f>INDEX(vp.tbl[[#Headers],[Unknown]:[Heavy_SW]],MATCH(1,vp.tbl[[#This Row],[Unknown]:[Heavy_SW]],0))</f>
        <v>Light_SW</v>
      </c>
      <c r="AH276" t="e">
        <f>INDEX([1]!crudeBD.lkup[Number],MATCH(vp.tbl[[#This Row],[Crude_Breakdown]],[1]!crudeBD.lkup[Crude Breakdown],0))</f>
        <v>#REF!</v>
      </c>
      <c r="AI276">
        <f>MONTH(vp.tbl[[#This Row],[SDate]])</f>
        <v>7</v>
      </c>
      <c r="AJ276" s="5">
        <f>IFERROR(vp.tbl[[#This Row],[Sulf]]*vp.tbl[[#This Row],[Net Dens]],"")</f>
        <v>2600162.5818299996</v>
      </c>
      <c r="AK276" s="5">
        <f>IFERROR(vp.tbl[[#This Row],[Dens]]*vp.tbl[[#This Row],[VolumeM3]],"")</f>
        <v>17334417.212199997</v>
      </c>
      <c r="AL276" s="5">
        <f>IFERROR(vp.tbl[[#This Row],[VP]]*vp.tbl[[#This Row],[VolumeM3]],"")</f>
        <v>2180253.8658999996</v>
      </c>
      <c r="AM276" s="4">
        <f>IFERROR((vp.tbl[[#This Row],[VP]]-INDEX(crudeBD.lkup.complete[Mean_VP],MATCH(vp.tbl[[#This Row],[Crude_Breakdown]],crudeBD.lkup.complete[Crude Breakdown],0)))^2,"")</f>
        <v>76.557012293460389</v>
      </c>
      <c r="AN276" s="4">
        <f>IFERROR((vp.tbl[[#This Row],[Dens]]-INDEX(crudeBD.lkup.complete[Mean_Dens],MATCH(vp.tbl[[#This Row],[Crude_Breakdown]],crudeBD.lkup.complete[Crude Breakdown],0)))^2,"")</f>
        <v>8.4768221054025936</v>
      </c>
      <c r="AO276" s="4">
        <f>IFERROR((vp.tbl[[#This Row],[Sulf]]-INDEX(crudeBD.lkup.complete[Mean_Sulf],MATCH(vp.tbl[[#This Row],[Crude_Breakdown]],crudeBD.lkup.complete[Crude Breakdown],0)))^2,"")</f>
        <v>7.4376501105998362E-3</v>
      </c>
      <c r="AP276">
        <f>IF(AND(vp.tbl[[#This Row],[SDate]]&gt;=DATE(YEAR(vp.tbl[[#This Row],[SDate]]),5,1),vp.tbl[[#This Row],[SDate]]&lt;=DATE(YEAR(vp.tbl[[#This Row],[SDate]]),9,15)),1,0)</f>
        <v>1</v>
      </c>
      <c r="AQ276" s="15">
        <f>IF(vp.tbl[[#This Row],[SDate]]&lt;DATE(2016,12,1),0,1)</f>
        <v>0</v>
      </c>
    </row>
    <row r="277" spans="1:43" x14ac:dyDescent="0.25">
      <c r="A277">
        <v>276</v>
      </c>
      <c r="B277" t="s">
        <v>60</v>
      </c>
      <c r="C277" t="s">
        <v>60</v>
      </c>
      <c r="D277" t="s">
        <v>61</v>
      </c>
      <c r="E277" t="s">
        <v>55</v>
      </c>
      <c r="F277" s="1">
        <v>42578</v>
      </c>
      <c r="G277" s="2">
        <v>96</v>
      </c>
      <c r="H277" s="2"/>
      <c r="I277" s="2">
        <v>0.96</v>
      </c>
      <c r="J277" s="2"/>
      <c r="K277" s="2"/>
      <c r="L277" s="2">
        <v>835</v>
      </c>
      <c r="M277" s="2">
        <v>835</v>
      </c>
      <c r="N277" s="2">
        <f ca="1">INDEX(INDIRECT(_xlfn.CONCAT("weather.tbl[",N$1,"]")),MATCH(vp.tbl[[#This Row],[SDate]],weather.tbl[Date],0))</f>
        <v>18.083333333333332</v>
      </c>
      <c r="O277" s="2">
        <f ca="1">INDEX(INDIRECT(_xlfn.CONCAT("weather.tbl[",O$1,"]")),MATCH(vp.tbl[[#This Row],[SDate]],weather.tbl[Date],0))</f>
        <v>20.169047619047614</v>
      </c>
      <c r="P277" s="2">
        <f ca="1">INDEX(INDIRECT(_xlfn.CONCAT("weather.tbl[",P$1,"]")),MATCH(vp.tbl[[#This Row],[SDate]],weather.tbl[Date],0))</f>
        <v>18.399999999999999</v>
      </c>
      <c r="Q277" s="2">
        <f ca="1">INDEX(INDIRECT(_xlfn.CONCAT("weather.tbl[",Q$1,"]")),MATCH(vp.tbl[[#This Row],[SDate]],weather.tbl[Date],0))</f>
        <v>18.399999999999999</v>
      </c>
      <c r="R277" s="2">
        <f ca="1">INDEX(INDIRECT(_xlfn.CONCAT("weather.tbl[",R$1,"]")),MATCH(vp.tbl[[#This Row],[SDate]],weather.tbl[Date],0))</f>
        <v>17.5</v>
      </c>
      <c r="S277" s="2">
        <f ca="1">INDEX(INDIRECT(_xlfn.CONCAT("weather.tbl[",S$1,"]")),MATCH(vp.tbl[[#This Row],[SDate]],weather.tbl[Date],0))</f>
        <v>18.3</v>
      </c>
      <c r="T277" s="2">
        <f ca="1">INDEX(INDIRECT(_xlfn.CONCAT("weather.tbl[",T$1,"]")),MATCH(vp.tbl[[#This Row],[SDate]],weather.tbl[Date],0))</f>
        <v>18.600000000000001</v>
      </c>
      <c r="U277" s="2">
        <f ca="1">INDEX(INDIRECT(_xlfn.CONCAT("weather.tbl[",U$1,"]")),MATCH(vp.tbl[[#This Row],[SDate]],weather.tbl[Date],0))</f>
        <v>17.3</v>
      </c>
      <c r="V277" s="2">
        <v>102591.85</v>
      </c>
      <c r="W277" t="s">
        <v>48</v>
      </c>
      <c r="X277">
        <f>IF(OR(vp.tbl[[#This Row],[Sulf]]="",vp.tbl[[#This Row],[Dens]]=""),1,0)</f>
        <v>0</v>
      </c>
      <c r="Y277">
        <f>IF(vp.tbl[[#This Row],[CrudeType]]="C5+",1,0)</f>
        <v>0</v>
      </c>
      <c r="Z277">
        <f>IF(AND(vp.tbl[[#This Row],[CrudeType]]="Crude",vp.tbl[[#This Row],[Dens]]&lt;=825,vp.tbl[[#This Row],[Sulf]]&gt;0.5,vp.tbl[[#This Row],[Unknown]]=0),1,0)</f>
        <v>0</v>
      </c>
      <c r="AA277">
        <f>IF(AND(vp.tbl[[#This Row],[CrudeType]]="Crude",vp.tbl[[#This Row],[Dens]]&lt;=825,vp.tbl[[#This Row],[Sulf]]&lt;=0.5,vp.tbl[[#This Row],[Unknown]]=0),1,0)</f>
        <v>0</v>
      </c>
      <c r="AB277">
        <f>IF(AND(vp.tbl[[#This Row],[CrudeType]]="Crude",vp.tbl[[#This Row],[Dens]]&gt;825,vp.tbl[[#This Row],[Dens]]&lt;=870,vp.tbl[[#This Row],[Sulf]]&gt;0.5,vp.tbl[[#This Row],[Unknown]]=0),1,0)</f>
        <v>1</v>
      </c>
      <c r="AC277">
        <f>IF(AND(vp.tbl[[#This Row],[CrudeType]]="Crude",vp.tbl[[#This Row],[Dens]]&gt;825,vp.tbl[[#This Row],[Dens]]&lt;=900,vp.tbl[[#This Row],[Sulf]]&lt;=0.5,vp.tbl[[#This Row],[Unknown]]=0),1,0)</f>
        <v>0</v>
      </c>
      <c r="AD277">
        <f>IF(AND(vp.tbl[[#This Row],[CrudeType]]="Crude",vp.tbl[[#This Row],[Dens]]&gt;870,vp.tbl[[#This Row],[Dens]]&lt;=900,vp.tbl[[#This Row],[Sulf]]&gt;0.5,vp.tbl[[#This Row],[Unknown]]=0),1,0)</f>
        <v>0</v>
      </c>
      <c r="AE277">
        <f>IF(AND(vp.tbl[[#This Row],[CrudeType]]="Crude",vp.tbl[[#This Row],[Dens]]&gt;900,vp.tbl[[#This Row],[Sulf]]&lt;=0.5,vp.tbl[[#This Row],[Unknown]]=0),1,0)</f>
        <v>0</v>
      </c>
      <c r="AF277">
        <f>IF(AND(vp.tbl[[#This Row],[CrudeType]]="Crude",vp.tbl[[#This Row],[Dens]]&gt;900,vp.tbl[[#This Row],[Sulf]]&lt;=0.5,vp.tbl[[#This Row],[Unknown]]=0),1,0)</f>
        <v>0</v>
      </c>
      <c r="AG277" t="str">
        <f>INDEX(vp.tbl[[#Headers],[Unknown]:[Heavy_SW]],MATCH(1,vp.tbl[[#This Row],[Unknown]:[Heavy_SW]],0))</f>
        <v>Medium_LSB</v>
      </c>
      <c r="AH277" t="e">
        <f>INDEX([1]!crudeBD.lkup[Number],MATCH(vp.tbl[[#This Row],[Crude_Breakdown]],[1]!crudeBD.lkup[Crude Breakdown],0))</f>
        <v>#REF!</v>
      </c>
      <c r="AI277">
        <f>MONTH(vp.tbl[[#This Row],[SDate]])</f>
        <v>7</v>
      </c>
      <c r="AJ277" s="5">
        <f>IFERROR(vp.tbl[[#This Row],[Sulf]]*vp.tbl[[#This Row],[Net Dens]],"")</f>
        <v>82237626.959999993</v>
      </c>
      <c r="AK277" s="5">
        <f>IFERROR(vp.tbl[[#This Row],[Dens]]*vp.tbl[[#This Row],[VolumeM3]],"")</f>
        <v>85664194.75</v>
      </c>
      <c r="AL277" s="5">
        <f>IFERROR(vp.tbl[[#This Row],[VP]]*vp.tbl[[#This Row],[VolumeM3]],"")</f>
        <v>9848817.6000000015</v>
      </c>
      <c r="AM277" s="4">
        <f>IFERROR((vp.tbl[[#This Row],[VP]]-INDEX(crudeBD.lkup.complete[Mean_VP],MATCH(vp.tbl[[#This Row],[Crude_Breakdown]],crudeBD.lkup.complete[Crude Breakdown],0)))^2,"")</f>
        <v>250.47509722736856</v>
      </c>
      <c r="AN277" s="4">
        <f>IFERROR((vp.tbl[[#This Row],[Dens]]-INDEX(crudeBD.lkup.complete[Mean_Dens],MATCH(vp.tbl[[#This Row],[Crude_Breakdown]],crudeBD.lkup.complete[Crude Breakdown],0)))^2,"")</f>
        <v>105.92161623391659</v>
      </c>
      <c r="AO277" s="4">
        <f>IFERROR((vp.tbl[[#This Row],[Sulf]]-INDEX(crudeBD.lkup.complete[Mean_Sulf],MATCH(vp.tbl[[#This Row],[Crude_Breakdown]],crudeBD.lkup.complete[Crude Breakdown],0)))^2,"")</f>
        <v>0.2449555670714133</v>
      </c>
      <c r="AP277">
        <f>IF(AND(vp.tbl[[#This Row],[SDate]]&gt;=DATE(YEAR(vp.tbl[[#This Row],[SDate]]),5,1),vp.tbl[[#This Row],[SDate]]&lt;=DATE(YEAR(vp.tbl[[#This Row],[SDate]]),9,15)),1,0)</f>
        <v>1</v>
      </c>
      <c r="AQ277" s="15">
        <f>IF(vp.tbl[[#This Row],[SDate]]&lt;DATE(2016,12,1),0,1)</f>
        <v>0</v>
      </c>
    </row>
    <row r="278" spans="1:43" x14ac:dyDescent="0.25">
      <c r="A278">
        <v>277</v>
      </c>
      <c r="B278" t="s">
        <v>46</v>
      </c>
      <c r="C278" t="s">
        <v>46</v>
      </c>
      <c r="D278" t="s">
        <v>47</v>
      </c>
      <c r="F278" s="1">
        <v>42579</v>
      </c>
      <c r="G278" s="2">
        <v>54.5</v>
      </c>
      <c r="H278" s="2"/>
      <c r="I278" s="2">
        <v>2.41</v>
      </c>
      <c r="J278" s="2"/>
      <c r="K278" s="2"/>
      <c r="L278" s="2">
        <v>869.7</v>
      </c>
      <c r="M278" s="2">
        <v>869.7</v>
      </c>
      <c r="N278" s="2">
        <f ca="1">INDEX(INDIRECT(_xlfn.CONCAT("weather.tbl[",N$1,"]")),MATCH(vp.tbl[[#This Row],[SDate]],weather.tbl[Date],0))</f>
        <v>17.399999999999999</v>
      </c>
      <c r="O278" s="2">
        <f ca="1">INDEX(INDIRECT(_xlfn.CONCAT("weather.tbl[",O$1,"]")),MATCH(vp.tbl[[#This Row],[SDate]],weather.tbl[Date],0))</f>
        <v>19.545238095238094</v>
      </c>
      <c r="P278" s="2">
        <f ca="1">INDEX(INDIRECT(_xlfn.CONCAT("weather.tbl[",P$1,"]")),MATCH(vp.tbl[[#This Row],[SDate]],weather.tbl[Date],0))</f>
        <v>17.8</v>
      </c>
      <c r="Q278" s="2">
        <f ca="1">INDEX(INDIRECT(_xlfn.CONCAT("weather.tbl[",Q$1,"]")),MATCH(vp.tbl[[#This Row],[SDate]],weather.tbl[Date],0))</f>
        <v>18.3</v>
      </c>
      <c r="R278" s="2">
        <f ca="1">INDEX(INDIRECT(_xlfn.CONCAT("weather.tbl[",R$1,"]")),MATCH(vp.tbl[[#This Row],[SDate]],weather.tbl[Date],0))</f>
        <v>16.5</v>
      </c>
      <c r="S278" s="2">
        <f ca="1">INDEX(INDIRECT(_xlfn.CONCAT("weather.tbl[",S$1,"]")),MATCH(vp.tbl[[#This Row],[SDate]],weather.tbl[Date],0))</f>
        <v>19</v>
      </c>
      <c r="T278" s="2">
        <f ca="1">INDEX(INDIRECT(_xlfn.CONCAT("weather.tbl[",T$1,"]")),MATCH(vp.tbl[[#This Row],[SDate]],weather.tbl[Date],0))</f>
        <v>15.8</v>
      </c>
      <c r="U278" s="2">
        <f ca="1">INDEX(INDIRECT(_xlfn.CONCAT("weather.tbl[",U$1,"]")),MATCH(vp.tbl[[#This Row],[SDate]],weather.tbl[Date],0))</f>
        <v>17</v>
      </c>
      <c r="V278" s="2">
        <v>114134.67200000001</v>
      </c>
      <c r="W278" t="s">
        <v>48</v>
      </c>
      <c r="X278">
        <f>IF(OR(vp.tbl[[#This Row],[Sulf]]="",vp.tbl[[#This Row],[Dens]]=""),1,0)</f>
        <v>0</v>
      </c>
      <c r="Y278">
        <f>IF(vp.tbl[[#This Row],[CrudeType]]="C5+",1,0)</f>
        <v>0</v>
      </c>
      <c r="Z278">
        <f>IF(AND(vp.tbl[[#This Row],[CrudeType]]="Crude",vp.tbl[[#This Row],[Dens]]&lt;=825,vp.tbl[[#This Row],[Sulf]]&gt;0.5,vp.tbl[[#This Row],[Unknown]]=0),1,0)</f>
        <v>0</v>
      </c>
      <c r="AA278">
        <f>IF(AND(vp.tbl[[#This Row],[CrudeType]]="Crude",vp.tbl[[#This Row],[Dens]]&lt;=825,vp.tbl[[#This Row],[Sulf]]&lt;=0.5,vp.tbl[[#This Row],[Unknown]]=0),1,0)</f>
        <v>0</v>
      </c>
      <c r="AB278">
        <f>IF(AND(vp.tbl[[#This Row],[CrudeType]]="Crude",vp.tbl[[#This Row],[Dens]]&gt;825,vp.tbl[[#This Row],[Dens]]&lt;=870,vp.tbl[[#This Row],[Sulf]]&gt;0.5,vp.tbl[[#This Row],[Unknown]]=0),1,0)</f>
        <v>1</v>
      </c>
      <c r="AC278">
        <f>IF(AND(vp.tbl[[#This Row],[CrudeType]]="Crude",vp.tbl[[#This Row],[Dens]]&gt;825,vp.tbl[[#This Row],[Dens]]&lt;=900,vp.tbl[[#This Row],[Sulf]]&lt;=0.5,vp.tbl[[#This Row],[Unknown]]=0),1,0)</f>
        <v>0</v>
      </c>
      <c r="AD278">
        <f>IF(AND(vp.tbl[[#This Row],[CrudeType]]="Crude",vp.tbl[[#This Row],[Dens]]&gt;870,vp.tbl[[#This Row],[Dens]]&lt;=900,vp.tbl[[#This Row],[Sulf]]&gt;0.5,vp.tbl[[#This Row],[Unknown]]=0),1,0)</f>
        <v>0</v>
      </c>
      <c r="AE278">
        <f>IF(AND(vp.tbl[[#This Row],[CrudeType]]="Crude",vp.tbl[[#This Row],[Dens]]&gt;900,vp.tbl[[#This Row],[Sulf]]&lt;=0.5,vp.tbl[[#This Row],[Unknown]]=0),1,0)</f>
        <v>0</v>
      </c>
      <c r="AF278">
        <f>IF(AND(vp.tbl[[#This Row],[CrudeType]]="Crude",vp.tbl[[#This Row],[Dens]]&gt;900,vp.tbl[[#This Row],[Sulf]]&lt;=0.5,vp.tbl[[#This Row],[Unknown]]=0),1,0)</f>
        <v>0</v>
      </c>
      <c r="AG278" t="str">
        <f>INDEX(vp.tbl[[#Headers],[Unknown]:[Heavy_SW]],MATCH(1,vp.tbl[[#This Row],[Unknown]:[Heavy_SW]],0))</f>
        <v>Medium_LSB</v>
      </c>
      <c r="AH278" t="e">
        <f>INDEX([1]!crudeBD.lkup[Number],MATCH(vp.tbl[[#This Row],[Crude_Breakdown]],[1]!crudeBD.lkup[Crude Breakdown],0))</f>
        <v>#REF!</v>
      </c>
      <c r="AI278">
        <f>MONTH(vp.tbl[[#This Row],[SDate]])</f>
        <v>7</v>
      </c>
      <c r="AJ278" s="5">
        <f>IFERROR(vp.tbl[[#This Row],[Sulf]]*vp.tbl[[#This Row],[Net Dens]],"")</f>
        <v>239223647.41454405</v>
      </c>
      <c r="AK278" s="5">
        <f>IFERROR(vp.tbl[[#This Row],[Dens]]*vp.tbl[[#This Row],[VolumeM3]],"")</f>
        <v>99262924.238400012</v>
      </c>
      <c r="AL278" s="5">
        <f>IFERROR(vp.tbl[[#This Row],[VP]]*vp.tbl[[#This Row],[VolumeM3]],"")</f>
        <v>6220339.6240000008</v>
      </c>
      <c r="AM278" s="4">
        <f>IFERROR((vp.tbl[[#This Row],[VP]]-INDEX(crudeBD.lkup.complete[Mean_VP],MATCH(vp.tbl[[#This Row],[Crude_Breakdown]],crudeBD.lkup.complete[Crude Breakdown],0)))^2,"")</f>
        <v>659.1334769742009</v>
      </c>
      <c r="AN278" s="4">
        <f>IFERROR((vp.tbl[[#This Row],[Dens]]-INDEX(crudeBD.lkup.complete[Mean_Dens],MATCH(vp.tbl[[#This Row],[Crude_Breakdown]],crudeBD.lkup.complete[Crude Breakdown],0)))^2,"")</f>
        <v>595.75911496816434</v>
      </c>
      <c r="AO278" s="4">
        <f>IFERROR((vp.tbl[[#This Row],[Sulf]]-INDEX(crudeBD.lkup.complete[Mean_Sulf],MATCH(vp.tbl[[#This Row],[Crude_Breakdown]],crudeBD.lkup.complete[Crude Breakdown],0)))^2,"")</f>
        <v>0.91215897086887754</v>
      </c>
      <c r="AP278">
        <f>IF(AND(vp.tbl[[#This Row],[SDate]]&gt;=DATE(YEAR(vp.tbl[[#This Row],[SDate]]),5,1),vp.tbl[[#This Row],[SDate]]&lt;=DATE(YEAR(vp.tbl[[#This Row],[SDate]]),9,15)),1,0)</f>
        <v>1</v>
      </c>
      <c r="AQ278" s="15">
        <f>IF(vp.tbl[[#This Row],[SDate]]&lt;DATE(2016,12,1),0,1)</f>
        <v>0</v>
      </c>
    </row>
    <row r="279" spans="1:43" x14ac:dyDescent="0.25">
      <c r="A279">
        <v>278</v>
      </c>
      <c r="B279" t="s">
        <v>62</v>
      </c>
      <c r="C279" t="s">
        <v>62</v>
      </c>
      <c r="D279" t="s">
        <v>63</v>
      </c>
      <c r="F279" s="1">
        <v>42580</v>
      </c>
      <c r="G279" s="2">
        <v>84.4</v>
      </c>
      <c r="H279" s="2"/>
      <c r="I279" s="2">
        <v>1.26</v>
      </c>
      <c r="J279" s="2"/>
      <c r="K279" s="2"/>
      <c r="L279" s="2">
        <v>833.7</v>
      </c>
      <c r="M279" s="2">
        <v>833.7</v>
      </c>
      <c r="N279" s="2">
        <f ca="1">INDEX(INDIRECT(_xlfn.CONCAT("weather.tbl[",N$1,"]")),MATCH(vp.tbl[[#This Row],[SDate]],weather.tbl[Date],0))</f>
        <v>17.899999999999999</v>
      </c>
      <c r="O279" s="2">
        <f ca="1">INDEX(INDIRECT(_xlfn.CONCAT("weather.tbl[",O$1,"]")),MATCH(vp.tbl[[#This Row],[SDate]],weather.tbl[Date],0))</f>
        <v>19.159523809523808</v>
      </c>
      <c r="P279" s="2">
        <f ca="1">INDEX(INDIRECT(_xlfn.CONCAT("weather.tbl[",P$1,"]")),MATCH(vp.tbl[[#This Row],[SDate]],weather.tbl[Date],0))</f>
        <v>18.100000000000001</v>
      </c>
      <c r="Q279" s="2">
        <f ca="1">INDEX(INDIRECT(_xlfn.CONCAT("weather.tbl[",Q$1,"]")),MATCH(vp.tbl[[#This Row],[SDate]],weather.tbl[Date],0))</f>
        <v>18.600000000000001</v>
      </c>
      <c r="R279" s="2">
        <f ca="1">INDEX(INDIRECT(_xlfn.CONCAT("weather.tbl[",R$1,"]")),MATCH(vp.tbl[[#This Row],[SDate]],weather.tbl[Date],0))</f>
        <v>16.5</v>
      </c>
      <c r="S279" s="2">
        <f ca="1">INDEX(INDIRECT(_xlfn.CONCAT("weather.tbl[",S$1,"]")),MATCH(vp.tbl[[#This Row],[SDate]],weather.tbl[Date],0))</f>
        <v>18.5</v>
      </c>
      <c r="T279" s="2">
        <f ca="1">INDEX(INDIRECT(_xlfn.CONCAT("weather.tbl[",T$1,"]")),MATCH(vp.tbl[[#This Row],[SDate]],weather.tbl[Date],0))</f>
        <v>17.899999999999999</v>
      </c>
      <c r="U279" s="2">
        <f ca="1">INDEX(INDIRECT(_xlfn.CONCAT("weather.tbl[",U$1,"]")),MATCH(vp.tbl[[#This Row],[SDate]],weather.tbl[Date],0))</f>
        <v>17.8</v>
      </c>
      <c r="V279" s="2">
        <v>5457.835</v>
      </c>
      <c r="W279" t="s">
        <v>48</v>
      </c>
      <c r="X279">
        <f>IF(OR(vp.tbl[[#This Row],[Sulf]]="",vp.tbl[[#This Row],[Dens]]=""),1,0)</f>
        <v>0</v>
      </c>
      <c r="Y279">
        <f>IF(vp.tbl[[#This Row],[CrudeType]]="C5+",1,0)</f>
        <v>0</v>
      </c>
      <c r="Z279">
        <f>IF(AND(vp.tbl[[#This Row],[CrudeType]]="Crude",vp.tbl[[#This Row],[Dens]]&lt;=825,vp.tbl[[#This Row],[Sulf]]&gt;0.5,vp.tbl[[#This Row],[Unknown]]=0),1,0)</f>
        <v>0</v>
      </c>
      <c r="AA279">
        <f>IF(AND(vp.tbl[[#This Row],[CrudeType]]="Crude",vp.tbl[[#This Row],[Dens]]&lt;=825,vp.tbl[[#This Row],[Sulf]]&lt;=0.5,vp.tbl[[#This Row],[Unknown]]=0),1,0)</f>
        <v>0</v>
      </c>
      <c r="AB279">
        <f>IF(AND(vp.tbl[[#This Row],[CrudeType]]="Crude",vp.tbl[[#This Row],[Dens]]&gt;825,vp.tbl[[#This Row],[Dens]]&lt;=870,vp.tbl[[#This Row],[Sulf]]&gt;0.5,vp.tbl[[#This Row],[Unknown]]=0),1,0)</f>
        <v>1</v>
      </c>
      <c r="AC279">
        <f>IF(AND(vp.tbl[[#This Row],[CrudeType]]="Crude",vp.tbl[[#This Row],[Dens]]&gt;825,vp.tbl[[#This Row],[Dens]]&lt;=900,vp.tbl[[#This Row],[Sulf]]&lt;=0.5,vp.tbl[[#This Row],[Unknown]]=0),1,0)</f>
        <v>0</v>
      </c>
      <c r="AD279">
        <f>IF(AND(vp.tbl[[#This Row],[CrudeType]]="Crude",vp.tbl[[#This Row],[Dens]]&gt;870,vp.tbl[[#This Row],[Dens]]&lt;=900,vp.tbl[[#This Row],[Sulf]]&gt;0.5,vp.tbl[[#This Row],[Unknown]]=0),1,0)</f>
        <v>0</v>
      </c>
      <c r="AE279">
        <f>IF(AND(vp.tbl[[#This Row],[CrudeType]]="Crude",vp.tbl[[#This Row],[Dens]]&gt;900,vp.tbl[[#This Row],[Sulf]]&lt;=0.5,vp.tbl[[#This Row],[Unknown]]=0),1,0)</f>
        <v>0</v>
      </c>
      <c r="AF279">
        <f>IF(AND(vp.tbl[[#This Row],[CrudeType]]="Crude",vp.tbl[[#This Row],[Dens]]&gt;900,vp.tbl[[#This Row],[Sulf]]&lt;=0.5,vp.tbl[[#This Row],[Unknown]]=0),1,0)</f>
        <v>0</v>
      </c>
      <c r="AG279" t="str">
        <f>INDEX(vp.tbl[[#Headers],[Unknown]:[Heavy_SW]],MATCH(1,vp.tbl[[#This Row],[Unknown]:[Heavy_SW]],0))</f>
        <v>Medium_LSB</v>
      </c>
      <c r="AH279" t="e">
        <f>INDEX([1]!crudeBD.lkup[Number],MATCH(vp.tbl[[#This Row],[Crude_Breakdown]],[1]!crudeBD.lkup[Crude Breakdown],0))</f>
        <v>#REF!</v>
      </c>
      <c r="AI279">
        <f>MONTH(vp.tbl[[#This Row],[SDate]])</f>
        <v>7</v>
      </c>
      <c r="AJ279" s="5">
        <f>IFERROR(vp.tbl[[#This Row],[Sulf]]*vp.tbl[[#This Row],[Net Dens]],"")</f>
        <v>5733248.2697700001</v>
      </c>
      <c r="AK279" s="5">
        <f>IFERROR(vp.tbl[[#This Row],[Dens]]*vp.tbl[[#This Row],[VolumeM3]],"")</f>
        <v>4550197.0395</v>
      </c>
      <c r="AL279" s="5">
        <f>IFERROR(vp.tbl[[#This Row],[VP]]*vp.tbl[[#This Row],[VolumeM3]],"")</f>
        <v>460641.27400000003</v>
      </c>
      <c r="AM279" s="4">
        <f>IFERROR((vp.tbl[[#This Row],[VP]]-INDEX(crudeBD.lkup.complete[Mean_VP],MATCH(vp.tbl[[#This Row],[Crude_Breakdown]],crudeBD.lkup.complete[Crude Breakdown],0)))^2,"")</f>
        <v>17.862499759013339</v>
      </c>
      <c r="AN279" s="4">
        <f>IFERROR((vp.tbl[[#This Row],[Dens]]-INDEX(crudeBD.lkup.complete[Mean_Dens],MATCH(vp.tbl[[#This Row],[Crude_Breakdown]],crudeBD.lkup.complete[Crude Breakdown],0)))^2,"")</f>
        <v>134.37035547441931</v>
      </c>
      <c r="AO279" s="4">
        <f>IFERROR((vp.tbl[[#This Row],[Sulf]]-INDEX(crudeBD.lkup.complete[Mean_Sulf],MATCH(vp.tbl[[#This Row],[Crude_Breakdown]],crudeBD.lkup.complete[Crude Breakdown],0)))^2,"")</f>
        <v>3.7997650615716166E-2</v>
      </c>
      <c r="AP279">
        <f>IF(AND(vp.tbl[[#This Row],[SDate]]&gt;=DATE(YEAR(vp.tbl[[#This Row],[SDate]]),5,1),vp.tbl[[#This Row],[SDate]]&lt;=DATE(YEAR(vp.tbl[[#This Row],[SDate]]),9,15)),1,0)</f>
        <v>1</v>
      </c>
      <c r="AQ279" s="15">
        <f>IF(vp.tbl[[#This Row],[SDate]]&lt;DATE(2016,12,1),0,1)</f>
        <v>0</v>
      </c>
    </row>
    <row r="280" spans="1:43" x14ac:dyDescent="0.25">
      <c r="A280">
        <v>279</v>
      </c>
      <c r="B280" t="s">
        <v>62</v>
      </c>
      <c r="C280" t="s">
        <v>62</v>
      </c>
      <c r="D280" t="s">
        <v>63</v>
      </c>
      <c r="F280" s="1">
        <v>42580</v>
      </c>
      <c r="G280" s="2">
        <v>70.900000000000006</v>
      </c>
      <c r="H280" s="2"/>
      <c r="I280" s="2">
        <v>1.26</v>
      </c>
      <c r="J280" s="2"/>
      <c r="K280" s="2"/>
      <c r="L280" s="2">
        <v>833.7</v>
      </c>
      <c r="M280" s="2">
        <v>833.7</v>
      </c>
      <c r="N280" s="2">
        <f ca="1">INDEX(INDIRECT(_xlfn.CONCAT("weather.tbl[",N$1,"]")),MATCH(vp.tbl[[#This Row],[SDate]],weather.tbl[Date],0))</f>
        <v>17.899999999999999</v>
      </c>
      <c r="O280" s="2">
        <f ca="1">INDEX(INDIRECT(_xlfn.CONCAT("weather.tbl[",O$1,"]")),MATCH(vp.tbl[[#This Row],[SDate]],weather.tbl[Date],0))</f>
        <v>19.159523809523808</v>
      </c>
      <c r="P280" s="2">
        <f ca="1">INDEX(INDIRECT(_xlfn.CONCAT("weather.tbl[",P$1,"]")),MATCH(vp.tbl[[#This Row],[SDate]],weather.tbl[Date],0))</f>
        <v>18.100000000000001</v>
      </c>
      <c r="Q280" s="2">
        <f ca="1">INDEX(INDIRECT(_xlfn.CONCAT("weather.tbl[",Q$1,"]")),MATCH(vp.tbl[[#This Row],[SDate]],weather.tbl[Date],0))</f>
        <v>18.600000000000001</v>
      </c>
      <c r="R280" s="2">
        <f ca="1">INDEX(INDIRECT(_xlfn.CONCAT("weather.tbl[",R$1,"]")),MATCH(vp.tbl[[#This Row],[SDate]],weather.tbl[Date],0))</f>
        <v>16.5</v>
      </c>
      <c r="S280" s="2">
        <f ca="1">INDEX(INDIRECT(_xlfn.CONCAT("weather.tbl[",S$1,"]")),MATCH(vp.tbl[[#This Row],[SDate]],weather.tbl[Date],0))</f>
        <v>18.5</v>
      </c>
      <c r="T280" s="2">
        <f ca="1">INDEX(INDIRECT(_xlfn.CONCAT("weather.tbl[",T$1,"]")),MATCH(vp.tbl[[#This Row],[SDate]],weather.tbl[Date],0))</f>
        <v>17.899999999999999</v>
      </c>
      <c r="U280" s="2">
        <f ca="1">INDEX(INDIRECT(_xlfn.CONCAT("weather.tbl[",U$1,"]")),MATCH(vp.tbl[[#This Row],[SDate]],weather.tbl[Date],0))</f>
        <v>17.8</v>
      </c>
      <c r="V280" s="2">
        <v>5457.835</v>
      </c>
      <c r="W280" t="s">
        <v>48</v>
      </c>
      <c r="X280">
        <f>IF(OR(vp.tbl[[#This Row],[Sulf]]="",vp.tbl[[#This Row],[Dens]]=""),1,0)</f>
        <v>0</v>
      </c>
      <c r="Y280">
        <f>IF(vp.tbl[[#This Row],[CrudeType]]="C5+",1,0)</f>
        <v>0</v>
      </c>
      <c r="Z280">
        <f>IF(AND(vp.tbl[[#This Row],[CrudeType]]="Crude",vp.tbl[[#This Row],[Dens]]&lt;=825,vp.tbl[[#This Row],[Sulf]]&gt;0.5,vp.tbl[[#This Row],[Unknown]]=0),1,0)</f>
        <v>0</v>
      </c>
      <c r="AA280">
        <f>IF(AND(vp.tbl[[#This Row],[CrudeType]]="Crude",vp.tbl[[#This Row],[Dens]]&lt;=825,vp.tbl[[#This Row],[Sulf]]&lt;=0.5,vp.tbl[[#This Row],[Unknown]]=0),1,0)</f>
        <v>0</v>
      </c>
      <c r="AB280">
        <f>IF(AND(vp.tbl[[#This Row],[CrudeType]]="Crude",vp.tbl[[#This Row],[Dens]]&gt;825,vp.tbl[[#This Row],[Dens]]&lt;=870,vp.tbl[[#This Row],[Sulf]]&gt;0.5,vp.tbl[[#This Row],[Unknown]]=0),1,0)</f>
        <v>1</v>
      </c>
      <c r="AC280">
        <f>IF(AND(vp.tbl[[#This Row],[CrudeType]]="Crude",vp.tbl[[#This Row],[Dens]]&gt;825,vp.tbl[[#This Row],[Dens]]&lt;=900,vp.tbl[[#This Row],[Sulf]]&lt;=0.5,vp.tbl[[#This Row],[Unknown]]=0),1,0)</f>
        <v>0</v>
      </c>
      <c r="AD280">
        <f>IF(AND(vp.tbl[[#This Row],[CrudeType]]="Crude",vp.tbl[[#This Row],[Dens]]&gt;870,vp.tbl[[#This Row],[Dens]]&lt;=900,vp.tbl[[#This Row],[Sulf]]&gt;0.5,vp.tbl[[#This Row],[Unknown]]=0),1,0)</f>
        <v>0</v>
      </c>
      <c r="AE280">
        <f>IF(AND(vp.tbl[[#This Row],[CrudeType]]="Crude",vp.tbl[[#This Row],[Dens]]&gt;900,vp.tbl[[#This Row],[Sulf]]&lt;=0.5,vp.tbl[[#This Row],[Unknown]]=0),1,0)</f>
        <v>0</v>
      </c>
      <c r="AF280">
        <f>IF(AND(vp.tbl[[#This Row],[CrudeType]]="Crude",vp.tbl[[#This Row],[Dens]]&gt;900,vp.tbl[[#This Row],[Sulf]]&lt;=0.5,vp.tbl[[#This Row],[Unknown]]=0),1,0)</f>
        <v>0</v>
      </c>
      <c r="AG280" t="str">
        <f>INDEX(vp.tbl[[#Headers],[Unknown]:[Heavy_SW]],MATCH(1,vp.tbl[[#This Row],[Unknown]:[Heavy_SW]],0))</f>
        <v>Medium_LSB</v>
      </c>
      <c r="AH280" t="e">
        <f>INDEX([1]!crudeBD.lkup[Number],MATCH(vp.tbl[[#This Row],[Crude_Breakdown]],[1]!crudeBD.lkup[Crude Breakdown],0))</f>
        <v>#REF!</v>
      </c>
      <c r="AI280">
        <f>MONTH(vp.tbl[[#This Row],[SDate]])</f>
        <v>7</v>
      </c>
      <c r="AJ280" s="5">
        <f>IFERROR(vp.tbl[[#This Row],[Sulf]]*vp.tbl[[#This Row],[Net Dens]],"")</f>
        <v>5733248.2697700001</v>
      </c>
      <c r="AK280" s="5">
        <f>IFERROR(vp.tbl[[#This Row],[Dens]]*vp.tbl[[#This Row],[VolumeM3]],"")</f>
        <v>4550197.0395</v>
      </c>
      <c r="AL280" s="5">
        <f>IFERROR(vp.tbl[[#This Row],[VP]]*vp.tbl[[#This Row],[VolumeM3]],"")</f>
        <v>386960.50150000001</v>
      </c>
      <c r="AM280" s="4">
        <f>IFERROR((vp.tbl[[#This Row],[VP]]-INDEX(crudeBD.lkup.complete[Mean_VP],MATCH(vp.tbl[[#This Row],[Crude_Breakdown]],crudeBD.lkup.complete[Crude Breakdown],0)))^2,"")</f>
        <v>85.999563050151423</v>
      </c>
      <c r="AN280" s="4">
        <f>IFERROR((vp.tbl[[#This Row],[Dens]]-INDEX(crudeBD.lkup.complete[Mean_Dens],MATCH(vp.tbl[[#This Row],[Crude_Breakdown]],crudeBD.lkup.complete[Crude Breakdown],0)))^2,"")</f>
        <v>134.37035547441931</v>
      </c>
      <c r="AO280" s="4">
        <f>IFERROR((vp.tbl[[#This Row],[Sulf]]-INDEX(crudeBD.lkup.complete[Mean_Sulf],MATCH(vp.tbl[[#This Row],[Crude_Breakdown]],crudeBD.lkup.complete[Crude Breakdown],0)))^2,"")</f>
        <v>3.7997650615716166E-2</v>
      </c>
      <c r="AP280">
        <f>IF(AND(vp.tbl[[#This Row],[SDate]]&gt;=DATE(YEAR(vp.tbl[[#This Row],[SDate]]),5,1),vp.tbl[[#This Row],[SDate]]&lt;=DATE(YEAR(vp.tbl[[#This Row],[SDate]]),9,15)),1,0)</f>
        <v>1</v>
      </c>
      <c r="AQ280" s="15">
        <f>IF(vp.tbl[[#This Row],[SDate]]&lt;DATE(2016,12,1),0,1)</f>
        <v>0</v>
      </c>
    </row>
    <row r="281" spans="1:43" x14ac:dyDescent="0.25">
      <c r="A281">
        <v>280</v>
      </c>
      <c r="B281" t="s">
        <v>49</v>
      </c>
      <c r="C281" t="s">
        <v>49</v>
      </c>
      <c r="D281" t="s">
        <v>67</v>
      </c>
      <c r="F281" s="1">
        <v>42585</v>
      </c>
      <c r="G281" s="2">
        <v>85.5</v>
      </c>
      <c r="H281" s="2"/>
      <c r="I281" s="2">
        <v>0.21</v>
      </c>
      <c r="J281" s="2"/>
      <c r="K281" s="2"/>
      <c r="L281" s="2">
        <v>805.9</v>
      </c>
      <c r="M281" s="2">
        <v>805.9</v>
      </c>
      <c r="N281" s="2">
        <f ca="1">INDEX(INDIRECT(_xlfn.CONCAT("weather.tbl[",N$1,"]")),MATCH(vp.tbl[[#This Row],[SDate]],weather.tbl[Date],0))</f>
        <v>22.383333333333336</v>
      </c>
      <c r="O281" s="2">
        <f ca="1">INDEX(INDIRECT(_xlfn.CONCAT("weather.tbl[",O$1,"]")),MATCH(vp.tbl[[#This Row],[SDate]],weather.tbl[Date],0))</f>
        <v>20.178571428571427</v>
      </c>
      <c r="P281" s="2">
        <f ca="1">INDEX(INDIRECT(_xlfn.CONCAT("weather.tbl[",P$1,"]")),MATCH(vp.tbl[[#This Row],[SDate]],weather.tbl[Date],0))</f>
        <v>22.9</v>
      </c>
      <c r="Q281" s="2">
        <f ca="1">INDEX(INDIRECT(_xlfn.CONCAT("weather.tbl[",Q$1,"]")),MATCH(vp.tbl[[#This Row],[SDate]],weather.tbl[Date],0))</f>
        <v>22.1</v>
      </c>
      <c r="R281" s="2">
        <f ca="1">INDEX(INDIRECT(_xlfn.CONCAT("weather.tbl[",R$1,"]")),MATCH(vp.tbl[[#This Row],[SDate]],weather.tbl[Date],0))</f>
        <v>23.3</v>
      </c>
      <c r="S281" s="2">
        <f ca="1">INDEX(INDIRECT(_xlfn.CONCAT("weather.tbl[",S$1,"]")),MATCH(vp.tbl[[#This Row],[SDate]],weather.tbl[Date],0))</f>
        <v>22</v>
      </c>
      <c r="T281" s="2">
        <f ca="1">INDEX(INDIRECT(_xlfn.CONCAT("weather.tbl[",T$1,"]")),MATCH(vp.tbl[[#This Row],[SDate]],weather.tbl[Date],0))</f>
        <v>22.5</v>
      </c>
      <c r="U281" s="2">
        <f ca="1">INDEX(INDIRECT(_xlfn.CONCAT("weather.tbl[",U$1,"]")),MATCH(vp.tbl[[#This Row],[SDate]],weather.tbl[Date],0))</f>
        <v>21.5</v>
      </c>
      <c r="V281" s="2">
        <v>49446.014999999999</v>
      </c>
      <c r="W281" t="s">
        <v>48</v>
      </c>
      <c r="X281">
        <f>IF(OR(vp.tbl[[#This Row],[Sulf]]="",vp.tbl[[#This Row],[Dens]]=""),1,0)</f>
        <v>0</v>
      </c>
      <c r="Y281">
        <f>IF(vp.tbl[[#This Row],[CrudeType]]="C5+",1,0)</f>
        <v>0</v>
      </c>
      <c r="Z281">
        <f>IF(AND(vp.tbl[[#This Row],[CrudeType]]="Crude",vp.tbl[[#This Row],[Dens]]&lt;=825,vp.tbl[[#This Row],[Sulf]]&gt;0.5,vp.tbl[[#This Row],[Unknown]]=0),1,0)</f>
        <v>0</v>
      </c>
      <c r="AA281">
        <f>IF(AND(vp.tbl[[#This Row],[CrudeType]]="Crude",vp.tbl[[#This Row],[Dens]]&lt;=825,vp.tbl[[#This Row],[Sulf]]&lt;=0.5,vp.tbl[[#This Row],[Unknown]]=0),1,0)</f>
        <v>1</v>
      </c>
      <c r="AB281">
        <f>IF(AND(vp.tbl[[#This Row],[CrudeType]]="Crude",vp.tbl[[#This Row],[Dens]]&gt;825,vp.tbl[[#This Row],[Dens]]&lt;=870,vp.tbl[[#This Row],[Sulf]]&gt;0.5,vp.tbl[[#This Row],[Unknown]]=0),1,0)</f>
        <v>0</v>
      </c>
      <c r="AC281">
        <f>IF(AND(vp.tbl[[#This Row],[CrudeType]]="Crude",vp.tbl[[#This Row],[Dens]]&gt;825,vp.tbl[[#This Row],[Dens]]&lt;=900,vp.tbl[[#This Row],[Sulf]]&lt;=0.5,vp.tbl[[#This Row],[Unknown]]=0),1,0)</f>
        <v>0</v>
      </c>
      <c r="AD281">
        <f>IF(AND(vp.tbl[[#This Row],[CrudeType]]="Crude",vp.tbl[[#This Row],[Dens]]&gt;870,vp.tbl[[#This Row],[Dens]]&lt;=900,vp.tbl[[#This Row],[Sulf]]&gt;0.5,vp.tbl[[#This Row],[Unknown]]=0),1,0)</f>
        <v>0</v>
      </c>
      <c r="AE281">
        <f>IF(AND(vp.tbl[[#This Row],[CrudeType]]="Crude",vp.tbl[[#This Row],[Dens]]&gt;900,vp.tbl[[#This Row],[Sulf]]&lt;=0.5,vp.tbl[[#This Row],[Unknown]]=0),1,0)</f>
        <v>0</v>
      </c>
      <c r="AF281">
        <f>IF(AND(vp.tbl[[#This Row],[CrudeType]]="Crude",vp.tbl[[#This Row],[Dens]]&gt;900,vp.tbl[[#This Row],[Sulf]]&lt;=0.5,vp.tbl[[#This Row],[Unknown]]=0),1,0)</f>
        <v>0</v>
      </c>
      <c r="AG281" t="str">
        <f>INDEX(vp.tbl[[#Headers],[Unknown]:[Heavy_SW]],MATCH(1,vp.tbl[[#This Row],[Unknown]:[Heavy_SW]],0))</f>
        <v>Light_SW</v>
      </c>
      <c r="AH281" t="e">
        <f>INDEX([1]!crudeBD.lkup[Number],MATCH(vp.tbl[[#This Row],[Crude_Breakdown]],[1]!crudeBD.lkup[Crude Breakdown],0))</f>
        <v>#REF!</v>
      </c>
      <c r="AI281">
        <f>MONTH(vp.tbl[[#This Row],[SDate]])</f>
        <v>8</v>
      </c>
      <c r="AJ281" s="5">
        <f>IFERROR(vp.tbl[[#This Row],[Sulf]]*vp.tbl[[#This Row],[Net Dens]],"")</f>
        <v>8368194.1325849993</v>
      </c>
      <c r="AK281" s="5">
        <f>IFERROR(vp.tbl[[#This Row],[Dens]]*vp.tbl[[#This Row],[VolumeM3]],"")</f>
        <v>39848543.488499999</v>
      </c>
      <c r="AL281" s="5">
        <f>IFERROR(vp.tbl[[#This Row],[VP]]*vp.tbl[[#This Row],[VolumeM3]],"")</f>
        <v>4227634.2824999997</v>
      </c>
      <c r="AM281" s="4">
        <f>IFERROR((vp.tbl[[#This Row],[VP]]-INDEX(crudeBD.lkup.complete[Mean_VP],MATCH(vp.tbl[[#This Row],[Crude_Breakdown]],crudeBD.lkup.complete[Crude Breakdown],0)))^2,"")</f>
        <v>49.706921701125005</v>
      </c>
      <c r="AN281" s="4">
        <f>IFERROR((vp.tbl[[#This Row],[Dens]]-INDEX(crudeBD.lkup.complete[Mean_Dens],MATCH(vp.tbl[[#This Row],[Crude_Breakdown]],crudeBD.lkup.complete[Crude Breakdown],0)))^2,"")</f>
        <v>5.8153238475630671</v>
      </c>
      <c r="AO281" s="4">
        <f>IFERROR((vp.tbl[[#This Row],[Sulf]]-INDEX(crudeBD.lkup.complete[Mean_Sulf],MATCH(vp.tbl[[#This Row],[Crude_Breakdown]],crudeBD.lkup.complete[Crude Breakdown],0)))^2,"")</f>
        <v>6.8863268899706654E-4</v>
      </c>
      <c r="AP281">
        <f>IF(AND(vp.tbl[[#This Row],[SDate]]&gt;=DATE(YEAR(vp.tbl[[#This Row],[SDate]]),5,1),vp.tbl[[#This Row],[SDate]]&lt;=DATE(YEAR(vp.tbl[[#This Row],[SDate]]),9,15)),1,0)</f>
        <v>1</v>
      </c>
      <c r="AQ281" s="15">
        <f>IF(vp.tbl[[#This Row],[SDate]]&lt;DATE(2016,12,1),0,1)</f>
        <v>0</v>
      </c>
    </row>
    <row r="282" spans="1:43" x14ac:dyDescent="0.25">
      <c r="A282">
        <v>281</v>
      </c>
      <c r="B282" t="s">
        <v>49</v>
      </c>
      <c r="C282" t="s">
        <v>49</v>
      </c>
      <c r="D282" t="s">
        <v>67</v>
      </c>
      <c r="F282" s="1">
        <v>42585</v>
      </c>
      <c r="G282" s="2">
        <v>91.1</v>
      </c>
      <c r="H282" s="2"/>
      <c r="I282" s="2">
        <v>0.21</v>
      </c>
      <c r="J282" s="2"/>
      <c r="K282" s="2"/>
      <c r="L282" s="2">
        <v>805.9</v>
      </c>
      <c r="M282" s="2">
        <v>805.9</v>
      </c>
      <c r="N282" s="2">
        <f ca="1">INDEX(INDIRECT(_xlfn.CONCAT("weather.tbl[",N$1,"]")),MATCH(vp.tbl[[#This Row],[SDate]],weather.tbl[Date],0))</f>
        <v>22.383333333333336</v>
      </c>
      <c r="O282" s="2">
        <f ca="1">INDEX(INDIRECT(_xlfn.CONCAT("weather.tbl[",O$1,"]")),MATCH(vp.tbl[[#This Row],[SDate]],weather.tbl[Date],0))</f>
        <v>20.178571428571427</v>
      </c>
      <c r="P282" s="2">
        <f ca="1">INDEX(INDIRECT(_xlfn.CONCAT("weather.tbl[",P$1,"]")),MATCH(vp.tbl[[#This Row],[SDate]],weather.tbl[Date],0))</f>
        <v>22.9</v>
      </c>
      <c r="Q282" s="2">
        <f ca="1">INDEX(INDIRECT(_xlfn.CONCAT("weather.tbl[",Q$1,"]")),MATCH(vp.tbl[[#This Row],[SDate]],weather.tbl[Date],0))</f>
        <v>22.1</v>
      </c>
      <c r="R282" s="2">
        <f ca="1">INDEX(INDIRECT(_xlfn.CONCAT("weather.tbl[",R$1,"]")),MATCH(vp.tbl[[#This Row],[SDate]],weather.tbl[Date],0))</f>
        <v>23.3</v>
      </c>
      <c r="S282" s="2">
        <f ca="1">INDEX(INDIRECT(_xlfn.CONCAT("weather.tbl[",S$1,"]")),MATCH(vp.tbl[[#This Row],[SDate]],weather.tbl[Date],0))</f>
        <v>22</v>
      </c>
      <c r="T282" s="2">
        <f ca="1">INDEX(INDIRECT(_xlfn.CONCAT("weather.tbl[",T$1,"]")),MATCH(vp.tbl[[#This Row],[SDate]],weather.tbl[Date],0))</f>
        <v>22.5</v>
      </c>
      <c r="U282" s="2">
        <f ca="1">INDEX(INDIRECT(_xlfn.CONCAT("weather.tbl[",U$1,"]")),MATCH(vp.tbl[[#This Row],[SDate]],weather.tbl[Date],0))</f>
        <v>21.5</v>
      </c>
      <c r="V282" s="2">
        <v>49446.014999999999</v>
      </c>
      <c r="W282" t="s">
        <v>48</v>
      </c>
      <c r="X282">
        <f>IF(OR(vp.tbl[[#This Row],[Sulf]]="",vp.tbl[[#This Row],[Dens]]=""),1,0)</f>
        <v>0</v>
      </c>
      <c r="Y282">
        <f>IF(vp.tbl[[#This Row],[CrudeType]]="C5+",1,0)</f>
        <v>0</v>
      </c>
      <c r="Z282">
        <f>IF(AND(vp.tbl[[#This Row],[CrudeType]]="Crude",vp.tbl[[#This Row],[Dens]]&lt;=825,vp.tbl[[#This Row],[Sulf]]&gt;0.5,vp.tbl[[#This Row],[Unknown]]=0),1,0)</f>
        <v>0</v>
      </c>
      <c r="AA282">
        <f>IF(AND(vp.tbl[[#This Row],[CrudeType]]="Crude",vp.tbl[[#This Row],[Dens]]&lt;=825,vp.tbl[[#This Row],[Sulf]]&lt;=0.5,vp.tbl[[#This Row],[Unknown]]=0),1,0)</f>
        <v>1</v>
      </c>
      <c r="AB282">
        <f>IF(AND(vp.tbl[[#This Row],[CrudeType]]="Crude",vp.tbl[[#This Row],[Dens]]&gt;825,vp.tbl[[#This Row],[Dens]]&lt;=870,vp.tbl[[#This Row],[Sulf]]&gt;0.5,vp.tbl[[#This Row],[Unknown]]=0),1,0)</f>
        <v>0</v>
      </c>
      <c r="AC282">
        <f>IF(AND(vp.tbl[[#This Row],[CrudeType]]="Crude",vp.tbl[[#This Row],[Dens]]&gt;825,vp.tbl[[#This Row],[Dens]]&lt;=900,vp.tbl[[#This Row],[Sulf]]&lt;=0.5,vp.tbl[[#This Row],[Unknown]]=0),1,0)</f>
        <v>0</v>
      </c>
      <c r="AD282">
        <f>IF(AND(vp.tbl[[#This Row],[CrudeType]]="Crude",vp.tbl[[#This Row],[Dens]]&gt;870,vp.tbl[[#This Row],[Dens]]&lt;=900,vp.tbl[[#This Row],[Sulf]]&gt;0.5,vp.tbl[[#This Row],[Unknown]]=0),1,0)</f>
        <v>0</v>
      </c>
      <c r="AE282">
        <f>IF(AND(vp.tbl[[#This Row],[CrudeType]]="Crude",vp.tbl[[#This Row],[Dens]]&gt;900,vp.tbl[[#This Row],[Sulf]]&lt;=0.5,vp.tbl[[#This Row],[Unknown]]=0),1,0)</f>
        <v>0</v>
      </c>
      <c r="AF282">
        <f>IF(AND(vp.tbl[[#This Row],[CrudeType]]="Crude",vp.tbl[[#This Row],[Dens]]&gt;900,vp.tbl[[#This Row],[Sulf]]&lt;=0.5,vp.tbl[[#This Row],[Unknown]]=0),1,0)</f>
        <v>0</v>
      </c>
      <c r="AG282" t="str">
        <f>INDEX(vp.tbl[[#Headers],[Unknown]:[Heavy_SW]],MATCH(1,vp.tbl[[#This Row],[Unknown]:[Heavy_SW]],0))</f>
        <v>Light_SW</v>
      </c>
      <c r="AH282" t="e">
        <f>INDEX([1]!crudeBD.lkup[Number],MATCH(vp.tbl[[#This Row],[Crude_Breakdown]],[1]!crudeBD.lkup[Crude Breakdown],0))</f>
        <v>#REF!</v>
      </c>
      <c r="AI282">
        <f>MONTH(vp.tbl[[#This Row],[SDate]])</f>
        <v>8</v>
      </c>
      <c r="AJ282" s="5">
        <f>IFERROR(vp.tbl[[#This Row],[Sulf]]*vp.tbl[[#This Row],[Net Dens]],"")</f>
        <v>8368194.1325849993</v>
      </c>
      <c r="AK282" s="5">
        <f>IFERROR(vp.tbl[[#This Row],[Dens]]*vp.tbl[[#This Row],[VolumeM3]],"")</f>
        <v>39848543.488499999</v>
      </c>
      <c r="AL282" s="5">
        <f>IFERROR(vp.tbl[[#This Row],[VP]]*vp.tbl[[#This Row],[VolumeM3]],"")</f>
        <v>4504531.9665000001</v>
      </c>
      <c r="AM282" s="4">
        <f>IFERROR((vp.tbl[[#This Row],[VP]]-INDEX(crudeBD.lkup.complete[Mean_VP],MATCH(vp.tbl[[#This Row],[Crude_Breakdown]],crudeBD.lkup.complete[Crude Breakdown],0)))^2,"")</f>
        <v>2.1034095060034033</v>
      </c>
      <c r="AN282" s="4">
        <f>IFERROR((vp.tbl[[#This Row],[Dens]]-INDEX(crudeBD.lkup.complete[Mean_Dens],MATCH(vp.tbl[[#This Row],[Crude_Breakdown]],crudeBD.lkup.complete[Crude Breakdown],0)))^2,"")</f>
        <v>5.8153238475630671</v>
      </c>
      <c r="AO282" s="4">
        <f>IFERROR((vp.tbl[[#This Row],[Sulf]]-INDEX(crudeBD.lkup.complete[Mean_Sulf],MATCH(vp.tbl[[#This Row],[Crude_Breakdown]],crudeBD.lkup.complete[Crude Breakdown],0)))^2,"")</f>
        <v>6.8863268899706654E-4</v>
      </c>
      <c r="AP282">
        <f>IF(AND(vp.tbl[[#This Row],[SDate]]&gt;=DATE(YEAR(vp.tbl[[#This Row],[SDate]]),5,1),vp.tbl[[#This Row],[SDate]]&lt;=DATE(YEAR(vp.tbl[[#This Row],[SDate]]),9,15)),1,0)</f>
        <v>1</v>
      </c>
      <c r="AQ282" s="15">
        <f>IF(vp.tbl[[#This Row],[SDate]]&lt;DATE(2016,12,1),0,1)</f>
        <v>0</v>
      </c>
    </row>
    <row r="283" spans="1:43" x14ac:dyDescent="0.25">
      <c r="A283">
        <v>282</v>
      </c>
      <c r="B283" t="s">
        <v>49</v>
      </c>
      <c r="C283" t="s">
        <v>49</v>
      </c>
      <c r="D283" t="s">
        <v>89</v>
      </c>
      <c r="F283" s="1">
        <v>42585</v>
      </c>
      <c r="G283" s="2">
        <v>80</v>
      </c>
      <c r="H283" s="2"/>
      <c r="I283" s="2">
        <v>0.21</v>
      </c>
      <c r="J283" s="2"/>
      <c r="K283" s="2"/>
      <c r="L283" s="2">
        <v>824.2</v>
      </c>
      <c r="M283" s="2">
        <v>824.2</v>
      </c>
      <c r="N283" s="2">
        <f ca="1">INDEX(INDIRECT(_xlfn.CONCAT("weather.tbl[",N$1,"]")),MATCH(vp.tbl[[#This Row],[SDate]],weather.tbl[Date],0))</f>
        <v>22.383333333333336</v>
      </c>
      <c r="O283" s="2">
        <f ca="1">INDEX(INDIRECT(_xlfn.CONCAT("weather.tbl[",O$1,"]")),MATCH(vp.tbl[[#This Row],[SDate]],weather.tbl[Date],0))</f>
        <v>20.178571428571427</v>
      </c>
      <c r="P283" s="2">
        <f ca="1">INDEX(INDIRECT(_xlfn.CONCAT("weather.tbl[",P$1,"]")),MATCH(vp.tbl[[#This Row],[SDate]],weather.tbl[Date],0))</f>
        <v>22.9</v>
      </c>
      <c r="Q283" s="2">
        <f ca="1">INDEX(INDIRECT(_xlfn.CONCAT("weather.tbl[",Q$1,"]")),MATCH(vp.tbl[[#This Row],[SDate]],weather.tbl[Date],0))</f>
        <v>22.1</v>
      </c>
      <c r="R283" s="2">
        <f ca="1">INDEX(INDIRECT(_xlfn.CONCAT("weather.tbl[",R$1,"]")),MATCH(vp.tbl[[#This Row],[SDate]],weather.tbl[Date],0))</f>
        <v>23.3</v>
      </c>
      <c r="S283" s="2">
        <f ca="1">INDEX(INDIRECT(_xlfn.CONCAT("weather.tbl[",S$1,"]")),MATCH(vp.tbl[[#This Row],[SDate]],weather.tbl[Date],0))</f>
        <v>22</v>
      </c>
      <c r="T283" s="2">
        <f ca="1">INDEX(INDIRECT(_xlfn.CONCAT("weather.tbl[",T$1,"]")),MATCH(vp.tbl[[#This Row],[SDate]],weather.tbl[Date],0))</f>
        <v>22.5</v>
      </c>
      <c r="U283" s="2">
        <f ca="1">INDEX(INDIRECT(_xlfn.CONCAT("weather.tbl[",U$1,"]")),MATCH(vp.tbl[[#This Row],[SDate]],weather.tbl[Date],0))</f>
        <v>21.5</v>
      </c>
      <c r="V283" s="2">
        <v>6690.3270000000002</v>
      </c>
      <c r="W283" t="s">
        <v>48</v>
      </c>
      <c r="X283">
        <f>IF(OR(vp.tbl[[#This Row],[Sulf]]="",vp.tbl[[#This Row],[Dens]]=""),1,0)</f>
        <v>0</v>
      </c>
      <c r="Y283">
        <f>IF(vp.tbl[[#This Row],[CrudeType]]="C5+",1,0)</f>
        <v>0</v>
      </c>
      <c r="Z283">
        <f>IF(AND(vp.tbl[[#This Row],[CrudeType]]="Crude",vp.tbl[[#This Row],[Dens]]&lt;=825,vp.tbl[[#This Row],[Sulf]]&gt;0.5,vp.tbl[[#This Row],[Unknown]]=0),1,0)</f>
        <v>0</v>
      </c>
      <c r="AA283">
        <f>IF(AND(vp.tbl[[#This Row],[CrudeType]]="Crude",vp.tbl[[#This Row],[Dens]]&lt;=825,vp.tbl[[#This Row],[Sulf]]&lt;=0.5,vp.tbl[[#This Row],[Unknown]]=0),1,0)</f>
        <v>1</v>
      </c>
      <c r="AB283">
        <f>IF(AND(vp.tbl[[#This Row],[CrudeType]]="Crude",vp.tbl[[#This Row],[Dens]]&gt;825,vp.tbl[[#This Row],[Dens]]&lt;=870,vp.tbl[[#This Row],[Sulf]]&gt;0.5,vp.tbl[[#This Row],[Unknown]]=0),1,0)</f>
        <v>0</v>
      </c>
      <c r="AC283">
        <f>IF(AND(vp.tbl[[#This Row],[CrudeType]]="Crude",vp.tbl[[#This Row],[Dens]]&gt;825,vp.tbl[[#This Row],[Dens]]&lt;=900,vp.tbl[[#This Row],[Sulf]]&lt;=0.5,vp.tbl[[#This Row],[Unknown]]=0),1,0)</f>
        <v>0</v>
      </c>
      <c r="AD283">
        <f>IF(AND(vp.tbl[[#This Row],[CrudeType]]="Crude",vp.tbl[[#This Row],[Dens]]&gt;870,vp.tbl[[#This Row],[Dens]]&lt;=900,vp.tbl[[#This Row],[Sulf]]&gt;0.5,vp.tbl[[#This Row],[Unknown]]=0),1,0)</f>
        <v>0</v>
      </c>
      <c r="AE283">
        <f>IF(AND(vp.tbl[[#This Row],[CrudeType]]="Crude",vp.tbl[[#This Row],[Dens]]&gt;900,vp.tbl[[#This Row],[Sulf]]&lt;=0.5,vp.tbl[[#This Row],[Unknown]]=0),1,0)</f>
        <v>0</v>
      </c>
      <c r="AF283">
        <f>IF(AND(vp.tbl[[#This Row],[CrudeType]]="Crude",vp.tbl[[#This Row],[Dens]]&gt;900,vp.tbl[[#This Row],[Sulf]]&lt;=0.5,vp.tbl[[#This Row],[Unknown]]=0),1,0)</f>
        <v>0</v>
      </c>
      <c r="AG283" t="str">
        <f>INDEX(vp.tbl[[#Headers],[Unknown]:[Heavy_SW]],MATCH(1,vp.tbl[[#This Row],[Unknown]:[Heavy_SW]],0))</f>
        <v>Light_SW</v>
      </c>
      <c r="AH283" t="e">
        <f>INDEX([1]!crudeBD.lkup[Number],MATCH(vp.tbl[[#This Row],[Crude_Breakdown]],[1]!crudeBD.lkup[Crude Breakdown],0))</f>
        <v>#REF!</v>
      </c>
      <c r="AI283">
        <f>MONTH(vp.tbl[[#This Row],[SDate]])</f>
        <v>8</v>
      </c>
      <c r="AJ283" s="5">
        <f>IFERROR(vp.tbl[[#This Row],[Sulf]]*vp.tbl[[#This Row],[Net Dens]],"")</f>
        <v>1157975.1778140001</v>
      </c>
      <c r="AK283" s="5">
        <f>IFERROR(vp.tbl[[#This Row],[Dens]]*vp.tbl[[#This Row],[VolumeM3]],"")</f>
        <v>5514167.5134000005</v>
      </c>
      <c r="AL283" s="5">
        <f>IFERROR(vp.tbl[[#This Row],[VP]]*vp.tbl[[#This Row],[VolumeM3]],"")</f>
        <v>535226.16</v>
      </c>
      <c r="AM283" s="4">
        <f>IFERROR((vp.tbl[[#This Row],[VP]]-INDEX(crudeBD.lkup.complete[Mean_VP],MATCH(vp.tbl[[#This Row],[Crude_Breakdown]],crudeBD.lkup.complete[Crude Breakdown],0)))^2,"")</f>
        <v>157.51037117847659</v>
      </c>
      <c r="AN283" s="4">
        <f>IFERROR((vp.tbl[[#This Row],[Dens]]-INDEX(crudeBD.lkup.complete[Mean_Dens],MATCH(vp.tbl[[#This Row],[Crude_Breakdown]],crudeBD.lkup.complete[Crude Breakdown],0)))^2,"")</f>
        <v>252.44448761063859</v>
      </c>
      <c r="AO283" s="4">
        <f>IFERROR((vp.tbl[[#This Row],[Sulf]]-INDEX(crudeBD.lkup.complete[Mean_Sulf],MATCH(vp.tbl[[#This Row],[Crude_Breakdown]],crudeBD.lkup.complete[Crude Breakdown],0)))^2,"")</f>
        <v>6.8863268899706654E-4</v>
      </c>
      <c r="AP283">
        <f>IF(AND(vp.tbl[[#This Row],[SDate]]&gt;=DATE(YEAR(vp.tbl[[#This Row],[SDate]]),5,1),vp.tbl[[#This Row],[SDate]]&lt;=DATE(YEAR(vp.tbl[[#This Row],[SDate]]),9,15)),1,0)</f>
        <v>1</v>
      </c>
      <c r="AQ283" s="15">
        <f>IF(vp.tbl[[#This Row],[SDate]]&lt;DATE(2016,12,1),0,1)</f>
        <v>0</v>
      </c>
    </row>
    <row r="284" spans="1:43" x14ac:dyDescent="0.25">
      <c r="A284">
        <v>283</v>
      </c>
      <c r="B284" t="s">
        <v>49</v>
      </c>
      <c r="C284" t="s">
        <v>49</v>
      </c>
      <c r="D284" t="s">
        <v>75</v>
      </c>
      <c r="F284" s="1">
        <v>42586</v>
      </c>
      <c r="G284" s="2">
        <v>91.4</v>
      </c>
      <c r="H284" s="2"/>
      <c r="I284" s="2">
        <v>0.13</v>
      </c>
      <c r="J284" s="2"/>
      <c r="K284" s="2"/>
      <c r="L284" s="2">
        <v>802.1</v>
      </c>
      <c r="M284" s="2">
        <v>802.1</v>
      </c>
      <c r="N284" s="2">
        <f ca="1">INDEX(INDIRECT(_xlfn.CONCAT("weather.tbl[",N$1,"]")),MATCH(vp.tbl[[#This Row],[SDate]],weather.tbl[Date],0))</f>
        <v>17.8</v>
      </c>
      <c r="O284" s="2">
        <f ca="1">INDEX(INDIRECT(_xlfn.CONCAT("weather.tbl[",O$1,"]")),MATCH(vp.tbl[[#This Row],[SDate]],weather.tbl[Date],0))</f>
        <v>20.235714285714288</v>
      </c>
      <c r="P284" s="2">
        <f ca="1">INDEX(INDIRECT(_xlfn.CONCAT("weather.tbl[",P$1,"]")),MATCH(vp.tbl[[#This Row],[SDate]],weather.tbl[Date],0))</f>
        <v>17.899999999999999</v>
      </c>
      <c r="Q284" s="2">
        <f ca="1">INDEX(INDIRECT(_xlfn.CONCAT("weather.tbl[",Q$1,"]")),MATCH(vp.tbl[[#This Row],[SDate]],weather.tbl[Date],0))</f>
        <v>17.899999999999999</v>
      </c>
      <c r="R284" s="2">
        <f ca="1">INDEX(INDIRECT(_xlfn.CONCAT("weather.tbl[",R$1,"]")),MATCH(vp.tbl[[#This Row],[SDate]],weather.tbl[Date],0))</f>
        <v>17.8</v>
      </c>
      <c r="S284" s="2">
        <f ca="1">INDEX(INDIRECT(_xlfn.CONCAT("weather.tbl[",S$1,"]")),MATCH(vp.tbl[[#This Row],[SDate]],weather.tbl[Date],0))</f>
        <v>19</v>
      </c>
      <c r="T284" s="2">
        <f ca="1">INDEX(INDIRECT(_xlfn.CONCAT("weather.tbl[",T$1,"]")),MATCH(vp.tbl[[#This Row],[SDate]],weather.tbl[Date],0))</f>
        <v>17.899999999999999</v>
      </c>
      <c r="U284" s="2">
        <f ca="1">INDEX(INDIRECT(_xlfn.CONCAT("weather.tbl[",U$1,"]")),MATCH(vp.tbl[[#This Row],[SDate]],weather.tbl[Date],0))</f>
        <v>16.3</v>
      </c>
      <c r="V284" s="2">
        <v>21867.932000000001</v>
      </c>
      <c r="W284" t="s">
        <v>48</v>
      </c>
      <c r="X284">
        <f>IF(OR(vp.tbl[[#This Row],[Sulf]]="",vp.tbl[[#This Row],[Dens]]=""),1,0)</f>
        <v>0</v>
      </c>
      <c r="Y284">
        <f>IF(vp.tbl[[#This Row],[CrudeType]]="C5+",1,0)</f>
        <v>0</v>
      </c>
      <c r="Z284">
        <f>IF(AND(vp.tbl[[#This Row],[CrudeType]]="Crude",vp.tbl[[#This Row],[Dens]]&lt;=825,vp.tbl[[#This Row],[Sulf]]&gt;0.5,vp.tbl[[#This Row],[Unknown]]=0),1,0)</f>
        <v>0</v>
      </c>
      <c r="AA284">
        <f>IF(AND(vp.tbl[[#This Row],[CrudeType]]="Crude",vp.tbl[[#This Row],[Dens]]&lt;=825,vp.tbl[[#This Row],[Sulf]]&lt;=0.5,vp.tbl[[#This Row],[Unknown]]=0),1,0)</f>
        <v>1</v>
      </c>
      <c r="AB284">
        <f>IF(AND(vp.tbl[[#This Row],[CrudeType]]="Crude",vp.tbl[[#This Row],[Dens]]&gt;825,vp.tbl[[#This Row],[Dens]]&lt;=870,vp.tbl[[#This Row],[Sulf]]&gt;0.5,vp.tbl[[#This Row],[Unknown]]=0),1,0)</f>
        <v>0</v>
      </c>
      <c r="AC284">
        <f>IF(AND(vp.tbl[[#This Row],[CrudeType]]="Crude",vp.tbl[[#This Row],[Dens]]&gt;825,vp.tbl[[#This Row],[Dens]]&lt;=900,vp.tbl[[#This Row],[Sulf]]&lt;=0.5,vp.tbl[[#This Row],[Unknown]]=0),1,0)</f>
        <v>0</v>
      </c>
      <c r="AD284">
        <f>IF(AND(vp.tbl[[#This Row],[CrudeType]]="Crude",vp.tbl[[#This Row],[Dens]]&gt;870,vp.tbl[[#This Row],[Dens]]&lt;=900,vp.tbl[[#This Row],[Sulf]]&gt;0.5,vp.tbl[[#This Row],[Unknown]]=0),1,0)</f>
        <v>0</v>
      </c>
      <c r="AE284">
        <f>IF(AND(vp.tbl[[#This Row],[CrudeType]]="Crude",vp.tbl[[#This Row],[Dens]]&gt;900,vp.tbl[[#This Row],[Sulf]]&lt;=0.5,vp.tbl[[#This Row],[Unknown]]=0),1,0)</f>
        <v>0</v>
      </c>
      <c r="AF284">
        <f>IF(AND(vp.tbl[[#This Row],[CrudeType]]="Crude",vp.tbl[[#This Row],[Dens]]&gt;900,vp.tbl[[#This Row],[Sulf]]&lt;=0.5,vp.tbl[[#This Row],[Unknown]]=0),1,0)</f>
        <v>0</v>
      </c>
      <c r="AG284" t="str">
        <f>INDEX(vp.tbl[[#Headers],[Unknown]:[Heavy_SW]],MATCH(1,vp.tbl[[#This Row],[Unknown]:[Heavy_SW]],0))</f>
        <v>Light_SW</v>
      </c>
      <c r="AH284" t="e">
        <f>INDEX([1]!crudeBD.lkup[Number],MATCH(vp.tbl[[#This Row],[Crude_Breakdown]],[1]!crudeBD.lkup[Crude Breakdown],0))</f>
        <v>#REF!</v>
      </c>
      <c r="AI284">
        <f>MONTH(vp.tbl[[#This Row],[SDate]])</f>
        <v>8</v>
      </c>
      <c r="AJ284" s="5">
        <f>IFERROR(vp.tbl[[#This Row],[Sulf]]*vp.tbl[[#This Row],[Net Dens]],"")</f>
        <v>2280234.8734360002</v>
      </c>
      <c r="AK284" s="5">
        <f>IFERROR(vp.tbl[[#This Row],[Dens]]*vp.tbl[[#This Row],[VolumeM3]],"")</f>
        <v>17540268.257200003</v>
      </c>
      <c r="AL284" s="5">
        <f>IFERROR(vp.tbl[[#This Row],[VP]]*vp.tbl[[#This Row],[VolumeM3]],"")</f>
        <v>1998728.9848000002</v>
      </c>
      <c r="AM284" s="4">
        <f>IFERROR((vp.tbl[[#This Row],[VP]]-INDEX(crudeBD.lkup.complete[Mean_VP],MATCH(vp.tbl[[#This Row],[Crude_Breakdown]],crudeBD.lkup.complete[Crude Breakdown],0)))^2,"")</f>
        <v>1.3232213526932866</v>
      </c>
      <c r="AN284" s="4">
        <f>IFERROR((vp.tbl[[#This Row],[Dens]]-INDEX(crudeBD.lkup.complete[Mean_Dens],MATCH(vp.tbl[[#This Row],[Crude_Breakdown]],crudeBD.lkup.complete[Crude Breakdown],0)))^2,"")</f>
        <v>38.5827106071429</v>
      </c>
      <c r="AO284" s="4">
        <f>IFERROR((vp.tbl[[#This Row],[Sulf]]-INDEX(crudeBD.lkup.complete[Mean_Sulf],MATCH(vp.tbl[[#This Row],[Crude_Breakdown]],crudeBD.lkup.complete[Crude Breakdown],0)))^2,"")</f>
        <v>1.1287322584467423E-2</v>
      </c>
      <c r="AP284">
        <f>IF(AND(vp.tbl[[#This Row],[SDate]]&gt;=DATE(YEAR(vp.tbl[[#This Row],[SDate]]),5,1),vp.tbl[[#This Row],[SDate]]&lt;=DATE(YEAR(vp.tbl[[#This Row],[SDate]]),9,15)),1,0)</f>
        <v>1</v>
      </c>
      <c r="AQ284" s="15">
        <f>IF(vp.tbl[[#This Row],[SDate]]&lt;DATE(2016,12,1),0,1)</f>
        <v>0</v>
      </c>
    </row>
    <row r="285" spans="1:43" x14ac:dyDescent="0.25">
      <c r="A285">
        <v>284</v>
      </c>
      <c r="B285" t="s">
        <v>60</v>
      </c>
      <c r="C285" t="s">
        <v>60</v>
      </c>
      <c r="D285" t="s">
        <v>61</v>
      </c>
      <c r="E285" t="s">
        <v>55</v>
      </c>
      <c r="F285" s="1">
        <v>42586</v>
      </c>
      <c r="G285" s="2">
        <v>101.8</v>
      </c>
      <c r="H285" s="2"/>
      <c r="I285" s="2">
        <v>0.95</v>
      </c>
      <c r="J285" s="2"/>
      <c r="K285" s="2"/>
      <c r="L285" s="2">
        <v>833</v>
      </c>
      <c r="M285" s="2">
        <v>833</v>
      </c>
      <c r="N285" s="2">
        <f ca="1">INDEX(INDIRECT(_xlfn.CONCAT("weather.tbl[",N$1,"]")),MATCH(vp.tbl[[#This Row],[SDate]],weather.tbl[Date],0))</f>
        <v>17.8</v>
      </c>
      <c r="O285" s="2">
        <f ca="1">INDEX(INDIRECT(_xlfn.CONCAT("weather.tbl[",O$1,"]")),MATCH(vp.tbl[[#This Row],[SDate]],weather.tbl[Date],0))</f>
        <v>20.235714285714288</v>
      </c>
      <c r="P285" s="2">
        <f ca="1">INDEX(INDIRECT(_xlfn.CONCAT("weather.tbl[",P$1,"]")),MATCH(vp.tbl[[#This Row],[SDate]],weather.tbl[Date],0))</f>
        <v>17.899999999999999</v>
      </c>
      <c r="Q285" s="2">
        <f ca="1">INDEX(INDIRECT(_xlfn.CONCAT("weather.tbl[",Q$1,"]")),MATCH(vp.tbl[[#This Row],[SDate]],weather.tbl[Date],0))</f>
        <v>17.899999999999999</v>
      </c>
      <c r="R285" s="2">
        <f ca="1">INDEX(INDIRECT(_xlfn.CONCAT("weather.tbl[",R$1,"]")),MATCH(vp.tbl[[#This Row],[SDate]],weather.tbl[Date],0))</f>
        <v>17.8</v>
      </c>
      <c r="S285" s="2">
        <f ca="1">INDEX(INDIRECT(_xlfn.CONCAT("weather.tbl[",S$1,"]")),MATCH(vp.tbl[[#This Row],[SDate]],weather.tbl[Date],0))</f>
        <v>19</v>
      </c>
      <c r="T285" s="2">
        <f ca="1">INDEX(INDIRECT(_xlfn.CONCAT("weather.tbl[",T$1,"]")),MATCH(vp.tbl[[#This Row],[SDate]],weather.tbl[Date],0))</f>
        <v>17.899999999999999</v>
      </c>
      <c r="U285" s="2">
        <f ca="1">INDEX(INDIRECT(_xlfn.CONCAT("weather.tbl[",U$1,"]")),MATCH(vp.tbl[[#This Row],[SDate]],weather.tbl[Date],0))</f>
        <v>16.3</v>
      </c>
      <c r="V285" s="2">
        <v>106350.372</v>
      </c>
      <c r="W285" t="s">
        <v>48</v>
      </c>
      <c r="X285">
        <f>IF(OR(vp.tbl[[#This Row],[Sulf]]="",vp.tbl[[#This Row],[Dens]]=""),1,0)</f>
        <v>0</v>
      </c>
      <c r="Y285">
        <f>IF(vp.tbl[[#This Row],[CrudeType]]="C5+",1,0)</f>
        <v>0</v>
      </c>
      <c r="Z285">
        <f>IF(AND(vp.tbl[[#This Row],[CrudeType]]="Crude",vp.tbl[[#This Row],[Dens]]&lt;=825,vp.tbl[[#This Row],[Sulf]]&gt;0.5,vp.tbl[[#This Row],[Unknown]]=0),1,0)</f>
        <v>0</v>
      </c>
      <c r="AA285">
        <f>IF(AND(vp.tbl[[#This Row],[CrudeType]]="Crude",vp.tbl[[#This Row],[Dens]]&lt;=825,vp.tbl[[#This Row],[Sulf]]&lt;=0.5,vp.tbl[[#This Row],[Unknown]]=0),1,0)</f>
        <v>0</v>
      </c>
      <c r="AB285">
        <f>IF(AND(vp.tbl[[#This Row],[CrudeType]]="Crude",vp.tbl[[#This Row],[Dens]]&gt;825,vp.tbl[[#This Row],[Dens]]&lt;=870,vp.tbl[[#This Row],[Sulf]]&gt;0.5,vp.tbl[[#This Row],[Unknown]]=0),1,0)</f>
        <v>1</v>
      </c>
      <c r="AC285">
        <f>IF(AND(vp.tbl[[#This Row],[CrudeType]]="Crude",vp.tbl[[#This Row],[Dens]]&gt;825,vp.tbl[[#This Row],[Dens]]&lt;=900,vp.tbl[[#This Row],[Sulf]]&lt;=0.5,vp.tbl[[#This Row],[Unknown]]=0),1,0)</f>
        <v>0</v>
      </c>
      <c r="AD285">
        <f>IF(AND(vp.tbl[[#This Row],[CrudeType]]="Crude",vp.tbl[[#This Row],[Dens]]&gt;870,vp.tbl[[#This Row],[Dens]]&lt;=900,vp.tbl[[#This Row],[Sulf]]&gt;0.5,vp.tbl[[#This Row],[Unknown]]=0),1,0)</f>
        <v>0</v>
      </c>
      <c r="AE285">
        <f>IF(AND(vp.tbl[[#This Row],[CrudeType]]="Crude",vp.tbl[[#This Row],[Dens]]&gt;900,vp.tbl[[#This Row],[Sulf]]&lt;=0.5,vp.tbl[[#This Row],[Unknown]]=0),1,0)</f>
        <v>0</v>
      </c>
      <c r="AF285">
        <f>IF(AND(vp.tbl[[#This Row],[CrudeType]]="Crude",vp.tbl[[#This Row],[Dens]]&gt;900,vp.tbl[[#This Row],[Sulf]]&lt;=0.5,vp.tbl[[#This Row],[Unknown]]=0),1,0)</f>
        <v>0</v>
      </c>
      <c r="AG285" t="str">
        <f>INDEX(vp.tbl[[#Headers],[Unknown]:[Heavy_SW]],MATCH(1,vp.tbl[[#This Row],[Unknown]:[Heavy_SW]],0))</f>
        <v>Medium_LSB</v>
      </c>
      <c r="AH285" t="e">
        <f>INDEX([1]!crudeBD.lkup[Number],MATCH(vp.tbl[[#This Row],[Crude_Breakdown]],[1]!crudeBD.lkup[Crude Breakdown],0))</f>
        <v>#REF!</v>
      </c>
      <c r="AI285">
        <f>MONTH(vp.tbl[[#This Row],[SDate]])</f>
        <v>8</v>
      </c>
      <c r="AJ285" s="5">
        <f>IFERROR(vp.tbl[[#This Row],[Sulf]]*vp.tbl[[#This Row],[Net Dens]],"")</f>
        <v>84160366.882200003</v>
      </c>
      <c r="AK285" s="5">
        <f>IFERROR(vp.tbl[[#This Row],[Dens]]*vp.tbl[[#This Row],[VolumeM3]],"")</f>
        <v>88589859.876000002</v>
      </c>
      <c r="AL285" s="5">
        <f>IFERROR(vp.tbl[[#This Row],[VP]]*vp.tbl[[#This Row],[VolumeM3]],"")</f>
        <v>10826467.8696</v>
      </c>
      <c r="AM285" s="4">
        <f>IFERROR((vp.tbl[[#This Row],[VP]]-INDEX(crudeBD.lkup.complete[Mean_VP],MATCH(vp.tbl[[#This Row],[Crude_Breakdown]],crudeBD.lkup.complete[Crude Breakdown],0)))^2,"")</f>
        <v>467.7013959615461</v>
      </c>
      <c r="AN285" s="4">
        <f>IFERROR((vp.tbl[[#This Row],[Dens]]-INDEX(crudeBD.lkup.complete[Mean_Dens],MATCH(vp.tbl[[#This Row],[Crude_Breakdown]],crudeBD.lkup.complete[Crude Breakdown],0)))^2,"")</f>
        <v>151.08890737315318</v>
      </c>
      <c r="AO285" s="4">
        <f>IFERROR((vp.tbl[[#This Row],[Sulf]]-INDEX(crudeBD.lkup.complete[Mean_Sulf],MATCH(vp.tbl[[#This Row],[Crude_Breakdown]],crudeBD.lkup.complete[Crude Breakdown],0)))^2,"")</f>
        <v>0.25495416428660322</v>
      </c>
      <c r="AP285">
        <f>IF(AND(vp.tbl[[#This Row],[SDate]]&gt;=DATE(YEAR(vp.tbl[[#This Row],[SDate]]),5,1),vp.tbl[[#This Row],[SDate]]&lt;=DATE(YEAR(vp.tbl[[#This Row],[SDate]]),9,15)),1,0)</f>
        <v>1</v>
      </c>
      <c r="AQ285" s="15">
        <f>IF(vp.tbl[[#This Row],[SDate]]&lt;DATE(2016,12,1),0,1)</f>
        <v>0</v>
      </c>
    </row>
    <row r="286" spans="1:43" x14ac:dyDescent="0.25">
      <c r="A286">
        <v>285</v>
      </c>
      <c r="B286" t="s">
        <v>60</v>
      </c>
      <c r="C286" t="s">
        <v>60</v>
      </c>
      <c r="D286" t="s">
        <v>61</v>
      </c>
      <c r="E286" t="s">
        <v>73</v>
      </c>
      <c r="F286" s="1">
        <v>42592</v>
      </c>
      <c r="G286" s="2">
        <v>68.400000000000006</v>
      </c>
      <c r="H286" s="2"/>
      <c r="I286" s="2">
        <v>0.95</v>
      </c>
      <c r="J286" s="2"/>
      <c r="K286" s="2"/>
      <c r="L286" s="2"/>
      <c r="M286" s="2">
        <v>817.9</v>
      </c>
      <c r="N286" s="2">
        <f ca="1">INDEX(INDIRECT(_xlfn.CONCAT("weather.tbl[",N$1,"]")),MATCH(vp.tbl[[#This Row],[SDate]],weather.tbl[Date],0))</f>
        <v>17.733333333333334</v>
      </c>
      <c r="O286" s="2">
        <f ca="1">INDEX(INDIRECT(_xlfn.CONCAT("weather.tbl[",O$1,"]")),MATCH(vp.tbl[[#This Row],[SDate]],weather.tbl[Date],0))</f>
        <v>19.483333333333331</v>
      </c>
      <c r="P286" s="2">
        <f ca="1">INDEX(INDIRECT(_xlfn.CONCAT("weather.tbl[",P$1,"]")),MATCH(vp.tbl[[#This Row],[SDate]],weather.tbl[Date],0))</f>
        <v>19</v>
      </c>
      <c r="Q286" s="2">
        <f ca="1">INDEX(INDIRECT(_xlfn.CONCAT("weather.tbl[",Q$1,"]")),MATCH(vp.tbl[[#This Row],[SDate]],weather.tbl[Date],0))</f>
        <v>18</v>
      </c>
      <c r="R286" s="2">
        <f ca="1">INDEX(INDIRECT(_xlfn.CONCAT("weather.tbl[",R$1,"]")),MATCH(vp.tbl[[#This Row],[SDate]],weather.tbl[Date],0))</f>
        <v>18.3</v>
      </c>
      <c r="S286" s="2">
        <f ca="1">INDEX(INDIRECT(_xlfn.CONCAT("weather.tbl[",S$1,"]")),MATCH(vp.tbl[[#This Row],[SDate]],weather.tbl[Date],0))</f>
        <v>16.5</v>
      </c>
      <c r="T286" s="2">
        <f ca="1">INDEX(INDIRECT(_xlfn.CONCAT("weather.tbl[",T$1,"]")),MATCH(vp.tbl[[#This Row],[SDate]],weather.tbl[Date],0))</f>
        <v>19.600000000000001</v>
      </c>
      <c r="U286" s="2">
        <f ca="1">INDEX(INDIRECT(_xlfn.CONCAT("weather.tbl[",U$1,"]")),MATCH(vp.tbl[[#This Row],[SDate]],weather.tbl[Date],0))</f>
        <v>15</v>
      </c>
      <c r="V286" s="2">
        <v>106350.372</v>
      </c>
      <c r="W286" t="s">
        <v>48</v>
      </c>
      <c r="X286">
        <f>IF(OR(vp.tbl[[#This Row],[Sulf]]="",vp.tbl[[#This Row],[Dens]]=""),1,0)</f>
        <v>0</v>
      </c>
      <c r="Y286">
        <f>IF(vp.tbl[[#This Row],[CrudeType]]="C5+",1,0)</f>
        <v>0</v>
      </c>
      <c r="Z286">
        <f>IF(AND(vp.tbl[[#This Row],[CrudeType]]="Crude",vp.tbl[[#This Row],[Dens]]&lt;=825,vp.tbl[[#This Row],[Sulf]]&gt;0.5,vp.tbl[[#This Row],[Unknown]]=0),1,0)</f>
        <v>1</v>
      </c>
      <c r="AA286">
        <f>IF(AND(vp.tbl[[#This Row],[CrudeType]]="Crude",vp.tbl[[#This Row],[Dens]]&lt;=825,vp.tbl[[#This Row],[Sulf]]&lt;=0.5,vp.tbl[[#This Row],[Unknown]]=0),1,0)</f>
        <v>0</v>
      </c>
      <c r="AB286">
        <f>IF(AND(vp.tbl[[#This Row],[CrudeType]]="Crude",vp.tbl[[#This Row],[Dens]]&gt;825,vp.tbl[[#This Row],[Dens]]&lt;=870,vp.tbl[[#This Row],[Sulf]]&gt;0.5,vp.tbl[[#This Row],[Unknown]]=0),1,0)</f>
        <v>0</v>
      </c>
      <c r="AC286">
        <f>IF(AND(vp.tbl[[#This Row],[CrudeType]]="Crude",vp.tbl[[#This Row],[Dens]]&gt;825,vp.tbl[[#This Row],[Dens]]&lt;=900,vp.tbl[[#This Row],[Sulf]]&lt;=0.5,vp.tbl[[#This Row],[Unknown]]=0),1,0)</f>
        <v>0</v>
      </c>
      <c r="AD286">
        <f>IF(AND(vp.tbl[[#This Row],[CrudeType]]="Crude",vp.tbl[[#This Row],[Dens]]&gt;870,vp.tbl[[#This Row],[Dens]]&lt;=900,vp.tbl[[#This Row],[Sulf]]&gt;0.5,vp.tbl[[#This Row],[Unknown]]=0),1,0)</f>
        <v>0</v>
      </c>
      <c r="AE286">
        <f>IF(AND(vp.tbl[[#This Row],[CrudeType]]="Crude",vp.tbl[[#This Row],[Dens]]&gt;900,vp.tbl[[#This Row],[Sulf]]&lt;=0.5,vp.tbl[[#This Row],[Unknown]]=0),1,0)</f>
        <v>0</v>
      </c>
      <c r="AF286">
        <f>IF(AND(vp.tbl[[#This Row],[CrudeType]]="Crude",vp.tbl[[#This Row],[Dens]]&gt;900,vp.tbl[[#This Row],[Sulf]]&lt;=0.5,vp.tbl[[#This Row],[Unknown]]=0),1,0)</f>
        <v>0</v>
      </c>
      <c r="AG286" t="str">
        <f>INDEX(vp.tbl[[#Headers],[Unknown]:[Heavy_SW]],MATCH(1,vp.tbl[[#This Row],[Unknown]:[Heavy_SW]],0))</f>
        <v>Light_LSB</v>
      </c>
      <c r="AH286" t="e">
        <f>INDEX([1]!crudeBD.lkup[Number],MATCH(vp.tbl[[#This Row],[Crude_Breakdown]],[1]!crudeBD.lkup[Crude Breakdown],0))</f>
        <v>#REF!</v>
      </c>
      <c r="AI286">
        <f>MONTH(vp.tbl[[#This Row],[SDate]])</f>
        <v>8</v>
      </c>
      <c r="AJ286" s="5">
        <f>IFERROR(vp.tbl[[#This Row],[Sulf]]*vp.tbl[[#This Row],[Net Dens]],"")</f>
        <v>82634770.795859993</v>
      </c>
      <c r="AK286" s="5">
        <f>IFERROR(vp.tbl[[#This Row],[Dens]]*vp.tbl[[#This Row],[VolumeM3]],"")</f>
        <v>86983969.2588</v>
      </c>
      <c r="AL286" s="5">
        <f>IFERROR(vp.tbl[[#This Row],[VP]]*vp.tbl[[#This Row],[VolumeM3]],"")</f>
        <v>7274365.4448000006</v>
      </c>
      <c r="AM286" s="4">
        <f>IFERROR((vp.tbl[[#This Row],[VP]]-INDEX(crudeBD.lkup.complete[Mean_VP],MATCH(vp.tbl[[#This Row],[Crude_Breakdown]],crudeBD.lkup.complete[Crude Breakdown],0)))^2,"")</f>
        <v>535.74590630247758</v>
      </c>
      <c r="AN286" s="4">
        <f>IFERROR((vp.tbl[[#This Row],[Dens]]-INDEX(crudeBD.lkup.complete[Mean_Dens],MATCH(vp.tbl[[#This Row],[Crude_Breakdown]],crudeBD.lkup.complete[Crude Breakdown],0)))^2,"")</f>
        <v>0.38040493617186338</v>
      </c>
      <c r="AO286" s="4">
        <f>IFERROR((vp.tbl[[#This Row],[Sulf]]-INDEX(crudeBD.lkup.complete[Mean_Sulf],MATCH(vp.tbl[[#This Row],[Crude_Breakdown]],crudeBD.lkup.complete[Crude Breakdown],0)))^2,"")</f>
        <v>7.3055773847853663E-4</v>
      </c>
      <c r="AP286">
        <f>IF(AND(vp.tbl[[#This Row],[SDate]]&gt;=DATE(YEAR(vp.tbl[[#This Row],[SDate]]),5,1),vp.tbl[[#This Row],[SDate]]&lt;=DATE(YEAR(vp.tbl[[#This Row],[SDate]]),9,15)),1,0)</f>
        <v>1</v>
      </c>
      <c r="AQ286" s="15">
        <f>IF(vp.tbl[[#This Row],[SDate]]&lt;DATE(2016,12,1),0,1)</f>
        <v>0</v>
      </c>
    </row>
    <row r="287" spans="1:43" x14ac:dyDescent="0.25">
      <c r="A287">
        <v>286</v>
      </c>
      <c r="B287" t="s">
        <v>60</v>
      </c>
      <c r="C287" t="s">
        <v>60</v>
      </c>
      <c r="D287" t="s">
        <v>61</v>
      </c>
      <c r="E287" t="s">
        <v>73</v>
      </c>
      <c r="F287" s="1">
        <v>42592</v>
      </c>
      <c r="G287" s="2">
        <v>66.900000000000006</v>
      </c>
      <c r="H287" s="2"/>
      <c r="I287" s="2">
        <v>0.95</v>
      </c>
      <c r="J287" s="2"/>
      <c r="K287" s="2"/>
      <c r="L287" s="2"/>
      <c r="M287" s="2">
        <v>817.9</v>
      </c>
      <c r="N287" s="2">
        <f ca="1">INDEX(INDIRECT(_xlfn.CONCAT("weather.tbl[",N$1,"]")),MATCH(vp.tbl[[#This Row],[SDate]],weather.tbl[Date],0))</f>
        <v>17.733333333333334</v>
      </c>
      <c r="O287" s="2">
        <f ca="1">INDEX(INDIRECT(_xlfn.CONCAT("weather.tbl[",O$1,"]")),MATCH(vp.tbl[[#This Row],[SDate]],weather.tbl[Date],0))</f>
        <v>19.483333333333331</v>
      </c>
      <c r="P287" s="2">
        <f ca="1">INDEX(INDIRECT(_xlfn.CONCAT("weather.tbl[",P$1,"]")),MATCH(vp.tbl[[#This Row],[SDate]],weather.tbl[Date],0))</f>
        <v>19</v>
      </c>
      <c r="Q287" s="2">
        <f ca="1">INDEX(INDIRECT(_xlfn.CONCAT("weather.tbl[",Q$1,"]")),MATCH(vp.tbl[[#This Row],[SDate]],weather.tbl[Date],0))</f>
        <v>18</v>
      </c>
      <c r="R287" s="2">
        <f ca="1">INDEX(INDIRECT(_xlfn.CONCAT("weather.tbl[",R$1,"]")),MATCH(vp.tbl[[#This Row],[SDate]],weather.tbl[Date],0))</f>
        <v>18.3</v>
      </c>
      <c r="S287" s="2">
        <f ca="1">INDEX(INDIRECT(_xlfn.CONCAT("weather.tbl[",S$1,"]")),MATCH(vp.tbl[[#This Row],[SDate]],weather.tbl[Date],0))</f>
        <v>16.5</v>
      </c>
      <c r="T287" s="2">
        <f ca="1">INDEX(INDIRECT(_xlfn.CONCAT("weather.tbl[",T$1,"]")),MATCH(vp.tbl[[#This Row],[SDate]],weather.tbl[Date],0))</f>
        <v>19.600000000000001</v>
      </c>
      <c r="U287" s="2">
        <f ca="1">INDEX(INDIRECT(_xlfn.CONCAT("weather.tbl[",U$1,"]")),MATCH(vp.tbl[[#This Row],[SDate]],weather.tbl[Date],0))</f>
        <v>15</v>
      </c>
      <c r="V287" s="2">
        <v>106350.372</v>
      </c>
      <c r="W287" t="s">
        <v>48</v>
      </c>
      <c r="X287">
        <f>IF(OR(vp.tbl[[#This Row],[Sulf]]="",vp.tbl[[#This Row],[Dens]]=""),1,0)</f>
        <v>0</v>
      </c>
      <c r="Y287">
        <f>IF(vp.tbl[[#This Row],[CrudeType]]="C5+",1,0)</f>
        <v>0</v>
      </c>
      <c r="Z287">
        <f>IF(AND(vp.tbl[[#This Row],[CrudeType]]="Crude",vp.tbl[[#This Row],[Dens]]&lt;=825,vp.tbl[[#This Row],[Sulf]]&gt;0.5,vp.tbl[[#This Row],[Unknown]]=0),1,0)</f>
        <v>1</v>
      </c>
      <c r="AA287">
        <f>IF(AND(vp.tbl[[#This Row],[CrudeType]]="Crude",vp.tbl[[#This Row],[Dens]]&lt;=825,vp.tbl[[#This Row],[Sulf]]&lt;=0.5,vp.tbl[[#This Row],[Unknown]]=0),1,0)</f>
        <v>0</v>
      </c>
      <c r="AB287">
        <f>IF(AND(vp.tbl[[#This Row],[CrudeType]]="Crude",vp.tbl[[#This Row],[Dens]]&gt;825,vp.tbl[[#This Row],[Dens]]&lt;=870,vp.tbl[[#This Row],[Sulf]]&gt;0.5,vp.tbl[[#This Row],[Unknown]]=0),1,0)</f>
        <v>0</v>
      </c>
      <c r="AC287">
        <f>IF(AND(vp.tbl[[#This Row],[CrudeType]]="Crude",vp.tbl[[#This Row],[Dens]]&gt;825,vp.tbl[[#This Row],[Dens]]&lt;=900,vp.tbl[[#This Row],[Sulf]]&lt;=0.5,vp.tbl[[#This Row],[Unknown]]=0),1,0)</f>
        <v>0</v>
      </c>
      <c r="AD287">
        <f>IF(AND(vp.tbl[[#This Row],[CrudeType]]="Crude",vp.tbl[[#This Row],[Dens]]&gt;870,vp.tbl[[#This Row],[Dens]]&lt;=900,vp.tbl[[#This Row],[Sulf]]&gt;0.5,vp.tbl[[#This Row],[Unknown]]=0),1,0)</f>
        <v>0</v>
      </c>
      <c r="AE287">
        <f>IF(AND(vp.tbl[[#This Row],[CrudeType]]="Crude",vp.tbl[[#This Row],[Dens]]&gt;900,vp.tbl[[#This Row],[Sulf]]&lt;=0.5,vp.tbl[[#This Row],[Unknown]]=0),1,0)</f>
        <v>0</v>
      </c>
      <c r="AF287">
        <f>IF(AND(vp.tbl[[#This Row],[CrudeType]]="Crude",vp.tbl[[#This Row],[Dens]]&gt;900,vp.tbl[[#This Row],[Sulf]]&lt;=0.5,vp.tbl[[#This Row],[Unknown]]=0),1,0)</f>
        <v>0</v>
      </c>
      <c r="AG287" t="str">
        <f>INDEX(vp.tbl[[#Headers],[Unknown]:[Heavy_SW]],MATCH(1,vp.tbl[[#This Row],[Unknown]:[Heavy_SW]],0))</f>
        <v>Light_LSB</v>
      </c>
      <c r="AH287" t="e">
        <f>INDEX([1]!crudeBD.lkup[Number],MATCH(vp.tbl[[#This Row],[Crude_Breakdown]],[1]!crudeBD.lkup[Crude Breakdown],0))</f>
        <v>#REF!</v>
      </c>
      <c r="AI287">
        <f>MONTH(vp.tbl[[#This Row],[SDate]])</f>
        <v>8</v>
      </c>
      <c r="AJ287" s="5">
        <f>IFERROR(vp.tbl[[#This Row],[Sulf]]*vp.tbl[[#This Row],[Net Dens]],"")</f>
        <v>82634770.795859993</v>
      </c>
      <c r="AK287" s="5">
        <f>IFERROR(vp.tbl[[#This Row],[Dens]]*vp.tbl[[#This Row],[VolumeM3]],"")</f>
        <v>86983969.2588</v>
      </c>
      <c r="AL287" s="5">
        <f>IFERROR(vp.tbl[[#This Row],[VP]]*vp.tbl[[#This Row],[VolumeM3]],"")</f>
        <v>7114839.8868000004</v>
      </c>
      <c r="AM287" s="4">
        <f>IFERROR((vp.tbl[[#This Row],[VP]]-INDEX(crudeBD.lkup.complete[Mean_VP],MATCH(vp.tbl[[#This Row],[Crude_Breakdown]],crudeBD.lkup.complete[Crude Breakdown],0)))^2,"")</f>
        <v>607.43446300350854</v>
      </c>
      <c r="AN287" s="4">
        <f>IFERROR((vp.tbl[[#This Row],[Dens]]-INDEX(crudeBD.lkup.complete[Mean_Dens],MATCH(vp.tbl[[#This Row],[Crude_Breakdown]],crudeBD.lkup.complete[Crude Breakdown],0)))^2,"")</f>
        <v>0.38040493617186338</v>
      </c>
      <c r="AO287" s="4">
        <f>IFERROR((vp.tbl[[#This Row],[Sulf]]-INDEX(crudeBD.lkup.complete[Mean_Sulf],MATCH(vp.tbl[[#This Row],[Crude_Breakdown]],crudeBD.lkup.complete[Crude Breakdown],0)))^2,"")</f>
        <v>7.3055773847853663E-4</v>
      </c>
      <c r="AP287">
        <f>IF(AND(vp.tbl[[#This Row],[SDate]]&gt;=DATE(YEAR(vp.tbl[[#This Row],[SDate]]),5,1),vp.tbl[[#This Row],[SDate]]&lt;=DATE(YEAR(vp.tbl[[#This Row],[SDate]]),9,15)),1,0)</f>
        <v>1</v>
      </c>
      <c r="AQ287" s="15">
        <f>IF(vp.tbl[[#This Row],[SDate]]&lt;DATE(2016,12,1),0,1)</f>
        <v>0</v>
      </c>
    </row>
    <row r="288" spans="1:43" x14ac:dyDescent="0.25">
      <c r="A288">
        <v>287</v>
      </c>
      <c r="B288" t="s">
        <v>49</v>
      </c>
      <c r="C288" t="s">
        <v>49</v>
      </c>
      <c r="D288" t="s">
        <v>67</v>
      </c>
      <c r="F288" s="1">
        <v>42592</v>
      </c>
      <c r="G288" s="2">
        <v>90.7</v>
      </c>
      <c r="H288" s="2"/>
      <c r="I288" s="2">
        <v>0.21</v>
      </c>
      <c r="J288" s="2"/>
      <c r="K288" s="2"/>
      <c r="L288" s="2">
        <v>810</v>
      </c>
      <c r="M288" s="2">
        <v>810</v>
      </c>
      <c r="N288" s="2">
        <f ca="1">INDEX(INDIRECT(_xlfn.CONCAT("weather.tbl[",N$1,"]")),MATCH(vp.tbl[[#This Row],[SDate]],weather.tbl[Date],0))</f>
        <v>17.733333333333334</v>
      </c>
      <c r="O288" s="2">
        <f ca="1">INDEX(INDIRECT(_xlfn.CONCAT("weather.tbl[",O$1,"]")),MATCH(vp.tbl[[#This Row],[SDate]],weather.tbl[Date],0))</f>
        <v>19.483333333333331</v>
      </c>
      <c r="P288" s="2">
        <f ca="1">INDEX(INDIRECT(_xlfn.CONCAT("weather.tbl[",P$1,"]")),MATCH(vp.tbl[[#This Row],[SDate]],weather.tbl[Date],0))</f>
        <v>19</v>
      </c>
      <c r="Q288" s="2">
        <f ca="1">INDEX(INDIRECT(_xlfn.CONCAT("weather.tbl[",Q$1,"]")),MATCH(vp.tbl[[#This Row],[SDate]],weather.tbl[Date],0))</f>
        <v>18</v>
      </c>
      <c r="R288" s="2">
        <f ca="1">INDEX(INDIRECT(_xlfn.CONCAT("weather.tbl[",R$1,"]")),MATCH(vp.tbl[[#This Row],[SDate]],weather.tbl[Date],0))</f>
        <v>18.3</v>
      </c>
      <c r="S288" s="2">
        <f ca="1">INDEX(INDIRECT(_xlfn.CONCAT("weather.tbl[",S$1,"]")),MATCH(vp.tbl[[#This Row],[SDate]],weather.tbl[Date],0))</f>
        <v>16.5</v>
      </c>
      <c r="T288" s="2">
        <f ca="1">INDEX(INDIRECT(_xlfn.CONCAT("weather.tbl[",T$1,"]")),MATCH(vp.tbl[[#This Row],[SDate]],weather.tbl[Date],0))</f>
        <v>19.600000000000001</v>
      </c>
      <c r="U288" s="2">
        <f ca="1">INDEX(INDIRECT(_xlfn.CONCAT("weather.tbl[",U$1,"]")),MATCH(vp.tbl[[#This Row],[SDate]],weather.tbl[Date],0))</f>
        <v>15</v>
      </c>
      <c r="V288" s="2">
        <v>49446.014999999999</v>
      </c>
      <c r="W288" t="s">
        <v>48</v>
      </c>
      <c r="X288">
        <f>IF(OR(vp.tbl[[#This Row],[Sulf]]="",vp.tbl[[#This Row],[Dens]]=""),1,0)</f>
        <v>0</v>
      </c>
      <c r="Y288">
        <f>IF(vp.tbl[[#This Row],[CrudeType]]="C5+",1,0)</f>
        <v>0</v>
      </c>
      <c r="Z288">
        <f>IF(AND(vp.tbl[[#This Row],[CrudeType]]="Crude",vp.tbl[[#This Row],[Dens]]&lt;=825,vp.tbl[[#This Row],[Sulf]]&gt;0.5,vp.tbl[[#This Row],[Unknown]]=0),1,0)</f>
        <v>0</v>
      </c>
      <c r="AA288">
        <f>IF(AND(vp.tbl[[#This Row],[CrudeType]]="Crude",vp.tbl[[#This Row],[Dens]]&lt;=825,vp.tbl[[#This Row],[Sulf]]&lt;=0.5,vp.tbl[[#This Row],[Unknown]]=0),1,0)</f>
        <v>1</v>
      </c>
      <c r="AB288">
        <f>IF(AND(vp.tbl[[#This Row],[CrudeType]]="Crude",vp.tbl[[#This Row],[Dens]]&gt;825,vp.tbl[[#This Row],[Dens]]&lt;=870,vp.tbl[[#This Row],[Sulf]]&gt;0.5,vp.tbl[[#This Row],[Unknown]]=0),1,0)</f>
        <v>0</v>
      </c>
      <c r="AC288">
        <f>IF(AND(vp.tbl[[#This Row],[CrudeType]]="Crude",vp.tbl[[#This Row],[Dens]]&gt;825,vp.tbl[[#This Row],[Dens]]&lt;=900,vp.tbl[[#This Row],[Sulf]]&lt;=0.5,vp.tbl[[#This Row],[Unknown]]=0),1,0)</f>
        <v>0</v>
      </c>
      <c r="AD288">
        <f>IF(AND(vp.tbl[[#This Row],[CrudeType]]="Crude",vp.tbl[[#This Row],[Dens]]&gt;870,vp.tbl[[#This Row],[Dens]]&lt;=900,vp.tbl[[#This Row],[Sulf]]&gt;0.5,vp.tbl[[#This Row],[Unknown]]=0),1,0)</f>
        <v>0</v>
      </c>
      <c r="AE288">
        <f>IF(AND(vp.tbl[[#This Row],[CrudeType]]="Crude",vp.tbl[[#This Row],[Dens]]&gt;900,vp.tbl[[#This Row],[Sulf]]&lt;=0.5,vp.tbl[[#This Row],[Unknown]]=0),1,0)</f>
        <v>0</v>
      </c>
      <c r="AF288">
        <f>IF(AND(vp.tbl[[#This Row],[CrudeType]]="Crude",vp.tbl[[#This Row],[Dens]]&gt;900,vp.tbl[[#This Row],[Sulf]]&lt;=0.5,vp.tbl[[#This Row],[Unknown]]=0),1,0)</f>
        <v>0</v>
      </c>
      <c r="AG288" t="str">
        <f>INDEX(vp.tbl[[#Headers],[Unknown]:[Heavy_SW]],MATCH(1,vp.tbl[[#This Row],[Unknown]:[Heavy_SW]],0))</f>
        <v>Light_SW</v>
      </c>
      <c r="AH288" t="e">
        <f>INDEX([1]!crudeBD.lkup[Number],MATCH(vp.tbl[[#This Row],[Crude_Breakdown]],[1]!crudeBD.lkup[Crude Breakdown],0))</f>
        <v>#REF!</v>
      </c>
      <c r="AI288">
        <f>MONTH(vp.tbl[[#This Row],[SDate]])</f>
        <v>8</v>
      </c>
      <c r="AJ288" s="5">
        <f>IFERROR(vp.tbl[[#This Row],[Sulf]]*vp.tbl[[#This Row],[Net Dens]],"")</f>
        <v>8410767.1514999997</v>
      </c>
      <c r="AK288" s="5">
        <f>IFERROR(vp.tbl[[#This Row],[Dens]]*vp.tbl[[#This Row],[VolumeM3]],"")</f>
        <v>40051272.149999999</v>
      </c>
      <c r="AL288" s="5">
        <f>IFERROR(vp.tbl[[#This Row],[VP]]*vp.tbl[[#This Row],[VolumeM3]],"")</f>
        <v>4484753.5604999997</v>
      </c>
      <c r="AM288" s="4">
        <f>IFERROR((vp.tbl[[#This Row],[VP]]-INDEX(crudeBD.lkup.complete[Mean_VP],MATCH(vp.tbl[[#This Row],[Crude_Breakdown]],crudeBD.lkup.complete[Crude Breakdown],0)))^2,"")</f>
        <v>3.4236603770834919</v>
      </c>
      <c r="AN288" s="4">
        <f>IFERROR((vp.tbl[[#This Row],[Dens]]-INDEX(crudeBD.lkup.complete[Mean_Dens],MATCH(vp.tbl[[#This Row],[Crude_Breakdown]],crudeBD.lkup.complete[Crude Breakdown],0)))^2,"")</f>
        <v>2.851038133279034</v>
      </c>
      <c r="AO288" s="4">
        <f>IFERROR((vp.tbl[[#This Row],[Sulf]]-INDEX(crudeBD.lkup.complete[Mean_Sulf],MATCH(vp.tbl[[#This Row],[Crude_Breakdown]],crudeBD.lkup.complete[Crude Breakdown],0)))^2,"")</f>
        <v>6.8863268899706654E-4</v>
      </c>
      <c r="AP288">
        <f>IF(AND(vp.tbl[[#This Row],[SDate]]&gt;=DATE(YEAR(vp.tbl[[#This Row],[SDate]]),5,1),vp.tbl[[#This Row],[SDate]]&lt;=DATE(YEAR(vp.tbl[[#This Row],[SDate]]),9,15)),1,0)</f>
        <v>1</v>
      </c>
      <c r="AQ288" s="15">
        <f>IF(vp.tbl[[#This Row],[SDate]]&lt;DATE(2016,12,1),0,1)</f>
        <v>0</v>
      </c>
    </row>
    <row r="289" spans="1:43" x14ac:dyDescent="0.25">
      <c r="A289">
        <v>288</v>
      </c>
      <c r="B289" t="s">
        <v>49</v>
      </c>
      <c r="C289" t="s">
        <v>49</v>
      </c>
      <c r="D289" t="s">
        <v>67</v>
      </c>
      <c r="F289" s="1">
        <v>42592</v>
      </c>
      <c r="G289" s="2">
        <v>89.9</v>
      </c>
      <c r="H289" s="2"/>
      <c r="I289" s="2">
        <v>0.21</v>
      </c>
      <c r="J289" s="2"/>
      <c r="K289" s="2"/>
      <c r="L289" s="2">
        <v>810</v>
      </c>
      <c r="M289" s="2">
        <v>810</v>
      </c>
      <c r="N289" s="2">
        <f ca="1">INDEX(INDIRECT(_xlfn.CONCAT("weather.tbl[",N$1,"]")),MATCH(vp.tbl[[#This Row],[SDate]],weather.tbl[Date],0))</f>
        <v>17.733333333333334</v>
      </c>
      <c r="O289" s="2">
        <f ca="1">INDEX(INDIRECT(_xlfn.CONCAT("weather.tbl[",O$1,"]")),MATCH(vp.tbl[[#This Row],[SDate]],weather.tbl[Date],0))</f>
        <v>19.483333333333331</v>
      </c>
      <c r="P289" s="2">
        <f ca="1">INDEX(INDIRECT(_xlfn.CONCAT("weather.tbl[",P$1,"]")),MATCH(vp.tbl[[#This Row],[SDate]],weather.tbl[Date],0))</f>
        <v>19</v>
      </c>
      <c r="Q289" s="2">
        <f ca="1">INDEX(INDIRECT(_xlfn.CONCAT("weather.tbl[",Q$1,"]")),MATCH(vp.tbl[[#This Row],[SDate]],weather.tbl[Date],0))</f>
        <v>18</v>
      </c>
      <c r="R289" s="2">
        <f ca="1">INDEX(INDIRECT(_xlfn.CONCAT("weather.tbl[",R$1,"]")),MATCH(vp.tbl[[#This Row],[SDate]],weather.tbl[Date],0))</f>
        <v>18.3</v>
      </c>
      <c r="S289" s="2">
        <f ca="1">INDEX(INDIRECT(_xlfn.CONCAT("weather.tbl[",S$1,"]")),MATCH(vp.tbl[[#This Row],[SDate]],weather.tbl[Date],0))</f>
        <v>16.5</v>
      </c>
      <c r="T289" s="2">
        <f ca="1">INDEX(INDIRECT(_xlfn.CONCAT("weather.tbl[",T$1,"]")),MATCH(vp.tbl[[#This Row],[SDate]],weather.tbl[Date],0))</f>
        <v>19.600000000000001</v>
      </c>
      <c r="U289" s="2">
        <f ca="1">INDEX(INDIRECT(_xlfn.CONCAT("weather.tbl[",U$1,"]")),MATCH(vp.tbl[[#This Row],[SDate]],weather.tbl[Date],0))</f>
        <v>15</v>
      </c>
      <c r="V289" s="2">
        <v>49446.014999999999</v>
      </c>
      <c r="W289" t="s">
        <v>48</v>
      </c>
      <c r="X289">
        <f>IF(OR(vp.tbl[[#This Row],[Sulf]]="",vp.tbl[[#This Row],[Dens]]=""),1,0)</f>
        <v>0</v>
      </c>
      <c r="Y289">
        <f>IF(vp.tbl[[#This Row],[CrudeType]]="C5+",1,0)</f>
        <v>0</v>
      </c>
      <c r="Z289">
        <f>IF(AND(vp.tbl[[#This Row],[CrudeType]]="Crude",vp.tbl[[#This Row],[Dens]]&lt;=825,vp.tbl[[#This Row],[Sulf]]&gt;0.5,vp.tbl[[#This Row],[Unknown]]=0),1,0)</f>
        <v>0</v>
      </c>
      <c r="AA289">
        <f>IF(AND(vp.tbl[[#This Row],[CrudeType]]="Crude",vp.tbl[[#This Row],[Dens]]&lt;=825,vp.tbl[[#This Row],[Sulf]]&lt;=0.5,vp.tbl[[#This Row],[Unknown]]=0),1,0)</f>
        <v>1</v>
      </c>
      <c r="AB289">
        <f>IF(AND(vp.tbl[[#This Row],[CrudeType]]="Crude",vp.tbl[[#This Row],[Dens]]&gt;825,vp.tbl[[#This Row],[Dens]]&lt;=870,vp.tbl[[#This Row],[Sulf]]&gt;0.5,vp.tbl[[#This Row],[Unknown]]=0),1,0)</f>
        <v>0</v>
      </c>
      <c r="AC289">
        <f>IF(AND(vp.tbl[[#This Row],[CrudeType]]="Crude",vp.tbl[[#This Row],[Dens]]&gt;825,vp.tbl[[#This Row],[Dens]]&lt;=900,vp.tbl[[#This Row],[Sulf]]&lt;=0.5,vp.tbl[[#This Row],[Unknown]]=0),1,0)</f>
        <v>0</v>
      </c>
      <c r="AD289">
        <f>IF(AND(vp.tbl[[#This Row],[CrudeType]]="Crude",vp.tbl[[#This Row],[Dens]]&gt;870,vp.tbl[[#This Row],[Dens]]&lt;=900,vp.tbl[[#This Row],[Sulf]]&gt;0.5,vp.tbl[[#This Row],[Unknown]]=0),1,0)</f>
        <v>0</v>
      </c>
      <c r="AE289">
        <f>IF(AND(vp.tbl[[#This Row],[CrudeType]]="Crude",vp.tbl[[#This Row],[Dens]]&gt;900,vp.tbl[[#This Row],[Sulf]]&lt;=0.5,vp.tbl[[#This Row],[Unknown]]=0),1,0)</f>
        <v>0</v>
      </c>
      <c r="AF289">
        <f>IF(AND(vp.tbl[[#This Row],[CrudeType]]="Crude",vp.tbl[[#This Row],[Dens]]&gt;900,vp.tbl[[#This Row],[Sulf]]&lt;=0.5,vp.tbl[[#This Row],[Unknown]]=0),1,0)</f>
        <v>0</v>
      </c>
      <c r="AG289" t="str">
        <f>INDEX(vp.tbl[[#Headers],[Unknown]:[Heavy_SW]],MATCH(1,vp.tbl[[#This Row],[Unknown]:[Heavy_SW]],0))</f>
        <v>Light_SW</v>
      </c>
      <c r="AH289" t="e">
        <f>INDEX([1]!crudeBD.lkup[Number],MATCH(vp.tbl[[#This Row],[Crude_Breakdown]],[1]!crudeBD.lkup[Crude Breakdown],0))</f>
        <v>#REF!</v>
      </c>
      <c r="AI289">
        <f>MONTH(vp.tbl[[#This Row],[SDate]])</f>
        <v>8</v>
      </c>
      <c r="AJ289" s="5">
        <f>IFERROR(vp.tbl[[#This Row],[Sulf]]*vp.tbl[[#This Row],[Net Dens]],"")</f>
        <v>8410767.1514999997</v>
      </c>
      <c r="AK289" s="5">
        <f>IFERROR(vp.tbl[[#This Row],[Dens]]*vp.tbl[[#This Row],[VolumeM3]],"")</f>
        <v>40051272.149999999</v>
      </c>
      <c r="AL289" s="5">
        <f>IFERROR(vp.tbl[[#This Row],[VP]]*vp.tbl[[#This Row],[VolumeM3]],"")</f>
        <v>4445196.7485000007</v>
      </c>
      <c r="AM289" s="4">
        <f>IFERROR((vp.tbl[[#This Row],[VP]]-INDEX(crudeBD.lkup.complete[Mean_VP],MATCH(vp.tbl[[#This Row],[Crude_Breakdown]],crudeBD.lkup.complete[Crude Breakdown],0)))^2,"")</f>
        <v>7.0241621192437034</v>
      </c>
      <c r="AN289" s="4">
        <f>IFERROR((vp.tbl[[#This Row],[Dens]]-INDEX(crudeBD.lkup.complete[Mean_Dens],MATCH(vp.tbl[[#This Row],[Crude_Breakdown]],crudeBD.lkup.complete[Crude Breakdown],0)))^2,"")</f>
        <v>2.851038133279034</v>
      </c>
      <c r="AO289" s="4">
        <f>IFERROR((vp.tbl[[#This Row],[Sulf]]-INDEX(crudeBD.lkup.complete[Mean_Sulf],MATCH(vp.tbl[[#This Row],[Crude_Breakdown]],crudeBD.lkup.complete[Crude Breakdown],0)))^2,"")</f>
        <v>6.8863268899706654E-4</v>
      </c>
      <c r="AP289">
        <f>IF(AND(vp.tbl[[#This Row],[SDate]]&gt;=DATE(YEAR(vp.tbl[[#This Row],[SDate]]),5,1),vp.tbl[[#This Row],[SDate]]&lt;=DATE(YEAR(vp.tbl[[#This Row],[SDate]]),9,15)),1,0)</f>
        <v>1</v>
      </c>
      <c r="AQ289" s="15">
        <f>IF(vp.tbl[[#This Row],[SDate]]&lt;DATE(2016,12,1),0,1)</f>
        <v>0</v>
      </c>
    </row>
    <row r="290" spans="1:43" x14ac:dyDescent="0.25">
      <c r="A290">
        <v>289</v>
      </c>
      <c r="B290" t="s">
        <v>46</v>
      </c>
      <c r="C290" t="s">
        <v>46</v>
      </c>
      <c r="D290" t="s">
        <v>47</v>
      </c>
      <c r="F290" s="1">
        <v>42592</v>
      </c>
      <c r="G290" s="2">
        <v>53.1</v>
      </c>
      <c r="H290" s="2"/>
      <c r="I290" s="2">
        <v>2.31</v>
      </c>
      <c r="J290" s="2"/>
      <c r="K290" s="2"/>
      <c r="L290" s="2">
        <v>870</v>
      </c>
      <c r="M290" s="2">
        <v>870</v>
      </c>
      <c r="N290" s="2">
        <f ca="1">INDEX(INDIRECT(_xlfn.CONCAT("weather.tbl[",N$1,"]")),MATCH(vp.tbl[[#This Row],[SDate]],weather.tbl[Date],0))</f>
        <v>17.733333333333334</v>
      </c>
      <c r="O290" s="2">
        <f ca="1">INDEX(INDIRECT(_xlfn.CONCAT("weather.tbl[",O$1,"]")),MATCH(vp.tbl[[#This Row],[SDate]],weather.tbl[Date],0))</f>
        <v>19.483333333333331</v>
      </c>
      <c r="P290" s="2">
        <f ca="1">INDEX(INDIRECT(_xlfn.CONCAT("weather.tbl[",P$1,"]")),MATCH(vp.tbl[[#This Row],[SDate]],weather.tbl[Date],0))</f>
        <v>19</v>
      </c>
      <c r="Q290" s="2">
        <f ca="1">INDEX(INDIRECT(_xlfn.CONCAT("weather.tbl[",Q$1,"]")),MATCH(vp.tbl[[#This Row],[SDate]],weather.tbl[Date],0))</f>
        <v>18</v>
      </c>
      <c r="R290" s="2">
        <f ca="1">INDEX(INDIRECT(_xlfn.CONCAT("weather.tbl[",R$1,"]")),MATCH(vp.tbl[[#This Row],[SDate]],weather.tbl[Date],0))</f>
        <v>18.3</v>
      </c>
      <c r="S290" s="2">
        <f ca="1">INDEX(INDIRECT(_xlfn.CONCAT("weather.tbl[",S$1,"]")),MATCH(vp.tbl[[#This Row],[SDate]],weather.tbl[Date],0))</f>
        <v>16.5</v>
      </c>
      <c r="T290" s="2">
        <f ca="1">INDEX(INDIRECT(_xlfn.CONCAT("weather.tbl[",T$1,"]")),MATCH(vp.tbl[[#This Row],[SDate]],weather.tbl[Date],0))</f>
        <v>19.600000000000001</v>
      </c>
      <c r="U290" s="2">
        <f ca="1">INDEX(INDIRECT(_xlfn.CONCAT("weather.tbl[",U$1,"]")),MATCH(vp.tbl[[#This Row],[SDate]],weather.tbl[Date],0))</f>
        <v>15</v>
      </c>
      <c r="V290" s="2">
        <v>117553.995</v>
      </c>
      <c r="W290" t="s">
        <v>48</v>
      </c>
      <c r="X290">
        <f>IF(OR(vp.tbl[[#This Row],[Sulf]]="",vp.tbl[[#This Row],[Dens]]=""),1,0)</f>
        <v>0</v>
      </c>
      <c r="Y290">
        <f>IF(vp.tbl[[#This Row],[CrudeType]]="C5+",1,0)</f>
        <v>0</v>
      </c>
      <c r="Z290">
        <f>IF(AND(vp.tbl[[#This Row],[CrudeType]]="Crude",vp.tbl[[#This Row],[Dens]]&lt;=825,vp.tbl[[#This Row],[Sulf]]&gt;0.5,vp.tbl[[#This Row],[Unknown]]=0),1,0)</f>
        <v>0</v>
      </c>
      <c r="AA290">
        <f>IF(AND(vp.tbl[[#This Row],[CrudeType]]="Crude",vp.tbl[[#This Row],[Dens]]&lt;=825,vp.tbl[[#This Row],[Sulf]]&lt;=0.5,vp.tbl[[#This Row],[Unknown]]=0),1,0)</f>
        <v>0</v>
      </c>
      <c r="AB290">
        <f>IF(AND(vp.tbl[[#This Row],[CrudeType]]="Crude",vp.tbl[[#This Row],[Dens]]&gt;825,vp.tbl[[#This Row],[Dens]]&lt;=870,vp.tbl[[#This Row],[Sulf]]&gt;0.5,vp.tbl[[#This Row],[Unknown]]=0),1,0)</f>
        <v>1</v>
      </c>
      <c r="AC290">
        <f>IF(AND(vp.tbl[[#This Row],[CrudeType]]="Crude",vp.tbl[[#This Row],[Dens]]&gt;825,vp.tbl[[#This Row],[Dens]]&lt;=900,vp.tbl[[#This Row],[Sulf]]&lt;=0.5,vp.tbl[[#This Row],[Unknown]]=0),1,0)</f>
        <v>0</v>
      </c>
      <c r="AD290">
        <f>IF(AND(vp.tbl[[#This Row],[CrudeType]]="Crude",vp.tbl[[#This Row],[Dens]]&gt;870,vp.tbl[[#This Row],[Dens]]&lt;=900,vp.tbl[[#This Row],[Sulf]]&gt;0.5,vp.tbl[[#This Row],[Unknown]]=0),1,0)</f>
        <v>0</v>
      </c>
      <c r="AE290">
        <f>IF(AND(vp.tbl[[#This Row],[CrudeType]]="Crude",vp.tbl[[#This Row],[Dens]]&gt;900,vp.tbl[[#This Row],[Sulf]]&lt;=0.5,vp.tbl[[#This Row],[Unknown]]=0),1,0)</f>
        <v>0</v>
      </c>
      <c r="AF290">
        <f>IF(AND(vp.tbl[[#This Row],[CrudeType]]="Crude",vp.tbl[[#This Row],[Dens]]&gt;900,vp.tbl[[#This Row],[Sulf]]&lt;=0.5,vp.tbl[[#This Row],[Unknown]]=0),1,0)</f>
        <v>0</v>
      </c>
      <c r="AG290" t="str">
        <f>INDEX(vp.tbl[[#Headers],[Unknown]:[Heavy_SW]],MATCH(1,vp.tbl[[#This Row],[Unknown]:[Heavy_SW]],0))</f>
        <v>Medium_LSB</v>
      </c>
      <c r="AH290" t="e">
        <f>INDEX([1]!crudeBD.lkup[Number],MATCH(vp.tbl[[#This Row],[Crude_Breakdown]],[1]!crudeBD.lkup[Crude Breakdown],0))</f>
        <v>#REF!</v>
      </c>
      <c r="AI290">
        <f>MONTH(vp.tbl[[#This Row],[SDate]])</f>
        <v>8</v>
      </c>
      <c r="AJ290" s="5">
        <f>IFERROR(vp.tbl[[#This Row],[Sulf]]*vp.tbl[[#This Row],[Net Dens]],"")</f>
        <v>236248263.75149998</v>
      </c>
      <c r="AK290" s="5">
        <f>IFERROR(vp.tbl[[#This Row],[Dens]]*vp.tbl[[#This Row],[VolumeM3]],"")</f>
        <v>102271975.64999999</v>
      </c>
      <c r="AL290" s="5">
        <f>IFERROR(vp.tbl[[#This Row],[VP]]*vp.tbl[[#This Row],[VolumeM3]],"")</f>
        <v>6242117.1344999997</v>
      </c>
      <c r="AM290" s="4">
        <f>IFERROR((vp.tbl[[#This Row],[VP]]-INDEX(crudeBD.lkup.complete[Mean_VP],MATCH(vp.tbl[[#This Row],[Crude_Breakdown]],crudeBD.lkup.complete[Crude Breakdown],0)))^2,"")</f>
        <v>732.97954279698558</v>
      </c>
      <c r="AN290" s="4">
        <f>IFERROR((vp.tbl[[#This Row],[Dens]]-INDEX(crudeBD.lkup.complete[Mean_Dens],MATCH(vp.tbl[[#This Row],[Crude_Breakdown]],crudeBD.lkup.complete[Crude Breakdown],0)))^2,"")</f>
        <v>610.49402129727662</v>
      </c>
      <c r="AO290" s="4">
        <f>IFERROR((vp.tbl[[#This Row],[Sulf]]-INDEX(crudeBD.lkup.complete[Mean_Sulf],MATCH(vp.tbl[[#This Row],[Crude_Breakdown]],crudeBD.lkup.complete[Crude Breakdown],0)))^2,"")</f>
        <v>0.73114494302077648</v>
      </c>
      <c r="AP290">
        <f>IF(AND(vp.tbl[[#This Row],[SDate]]&gt;=DATE(YEAR(vp.tbl[[#This Row],[SDate]]),5,1),vp.tbl[[#This Row],[SDate]]&lt;=DATE(YEAR(vp.tbl[[#This Row],[SDate]]),9,15)),1,0)</f>
        <v>1</v>
      </c>
      <c r="AQ290" s="15">
        <f>IF(vp.tbl[[#This Row],[SDate]]&lt;DATE(2016,12,1),0,1)</f>
        <v>0</v>
      </c>
    </row>
    <row r="291" spans="1:43" x14ac:dyDescent="0.25">
      <c r="A291">
        <v>290</v>
      </c>
      <c r="B291" t="s">
        <v>46</v>
      </c>
      <c r="C291" t="s">
        <v>46</v>
      </c>
      <c r="D291" t="s">
        <v>47</v>
      </c>
      <c r="F291" s="1">
        <v>42592</v>
      </c>
      <c r="G291" s="2">
        <v>51.4</v>
      </c>
      <c r="H291" s="2"/>
      <c r="I291" s="2">
        <v>2.31</v>
      </c>
      <c r="J291" s="2"/>
      <c r="K291" s="2"/>
      <c r="L291" s="2">
        <v>870</v>
      </c>
      <c r="M291" s="2">
        <v>870</v>
      </c>
      <c r="N291" s="2">
        <f ca="1">INDEX(INDIRECT(_xlfn.CONCAT("weather.tbl[",N$1,"]")),MATCH(vp.tbl[[#This Row],[SDate]],weather.tbl[Date],0))</f>
        <v>17.733333333333334</v>
      </c>
      <c r="O291" s="2">
        <f ca="1">INDEX(INDIRECT(_xlfn.CONCAT("weather.tbl[",O$1,"]")),MATCH(vp.tbl[[#This Row],[SDate]],weather.tbl[Date],0))</f>
        <v>19.483333333333331</v>
      </c>
      <c r="P291" s="2">
        <f ca="1">INDEX(INDIRECT(_xlfn.CONCAT("weather.tbl[",P$1,"]")),MATCH(vp.tbl[[#This Row],[SDate]],weather.tbl[Date],0))</f>
        <v>19</v>
      </c>
      <c r="Q291" s="2">
        <f ca="1">INDEX(INDIRECT(_xlfn.CONCAT("weather.tbl[",Q$1,"]")),MATCH(vp.tbl[[#This Row],[SDate]],weather.tbl[Date],0))</f>
        <v>18</v>
      </c>
      <c r="R291" s="2">
        <f ca="1">INDEX(INDIRECT(_xlfn.CONCAT("weather.tbl[",R$1,"]")),MATCH(vp.tbl[[#This Row],[SDate]],weather.tbl[Date],0))</f>
        <v>18.3</v>
      </c>
      <c r="S291" s="2">
        <f ca="1">INDEX(INDIRECT(_xlfn.CONCAT("weather.tbl[",S$1,"]")),MATCH(vp.tbl[[#This Row],[SDate]],weather.tbl[Date],0))</f>
        <v>16.5</v>
      </c>
      <c r="T291" s="2">
        <f ca="1">INDEX(INDIRECT(_xlfn.CONCAT("weather.tbl[",T$1,"]")),MATCH(vp.tbl[[#This Row],[SDate]],weather.tbl[Date],0))</f>
        <v>19.600000000000001</v>
      </c>
      <c r="U291" s="2">
        <f ca="1">INDEX(INDIRECT(_xlfn.CONCAT("weather.tbl[",U$1,"]")),MATCH(vp.tbl[[#This Row],[SDate]],weather.tbl[Date],0))</f>
        <v>15</v>
      </c>
      <c r="V291" s="2">
        <v>117553.995</v>
      </c>
      <c r="W291" t="s">
        <v>48</v>
      </c>
      <c r="X291">
        <f>IF(OR(vp.tbl[[#This Row],[Sulf]]="",vp.tbl[[#This Row],[Dens]]=""),1,0)</f>
        <v>0</v>
      </c>
      <c r="Y291">
        <f>IF(vp.tbl[[#This Row],[CrudeType]]="C5+",1,0)</f>
        <v>0</v>
      </c>
      <c r="Z291">
        <f>IF(AND(vp.tbl[[#This Row],[CrudeType]]="Crude",vp.tbl[[#This Row],[Dens]]&lt;=825,vp.tbl[[#This Row],[Sulf]]&gt;0.5,vp.tbl[[#This Row],[Unknown]]=0),1,0)</f>
        <v>0</v>
      </c>
      <c r="AA291">
        <f>IF(AND(vp.tbl[[#This Row],[CrudeType]]="Crude",vp.tbl[[#This Row],[Dens]]&lt;=825,vp.tbl[[#This Row],[Sulf]]&lt;=0.5,vp.tbl[[#This Row],[Unknown]]=0),1,0)</f>
        <v>0</v>
      </c>
      <c r="AB291">
        <f>IF(AND(vp.tbl[[#This Row],[CrudeType]]="Crude",vp.tbl[[#This Row],[Dens]]&gt;825,vp.tbl[[#This Row],[Dens]]&lt;=870,vp.tbl[[#This Row],[Sulf]]&gt;0.5,vp.tbl[[#This Row],[Unknown]]=0),1,0)</f>
        <v>1</v>
      </c>
      <c r="AC291">
        <f>IF(AND(vp.tbl[[#This Row],[CrudeType]]="Crude",vp.tbl[[#This Row],[Dens]]&gt;825,vp.tbl[[#This Row],[Dens]]&lt;=900,vp.tbl[[#This Row],[Sulf]]&lt;=0.5,vp.tbl[[#This Row],[Unknown]]=0),1,0)</f>
        <v>0</v>
      </c>
      <c r="AD291">
        <f>IF(AND(vp.tbl[[#This Row],[CrudeType]]="Crude",vp.tbl[[#This Row],[Dens]]&gt;870,vp.tbl[[#This Row],[Dens]]&lt;=900,vp.tbl[[#This Row],[Sulf]]&gt;0.5,vp.tbl[[#This Row],[Unknown]]=0),1,0)</f>
        <v>0</v>
      </c>
      <c r="AE291">
        <f>IF(AND(vp.tbl[[#This Row],[CrudeType]]="Crude",vp.tbl[[#This Row],[Dens]]&gt;900,vp.tbl[[#This Row],[Sulf]]&lt;=0.5,vp.tbl[[#This Row],[Unknown]]=0),1,0)</f>
        <v>0</v>
      </c>
      <c r="AF291">
        <f>IF(AND(vp.tbl[[#This Row],[CrudeType]]="Crude",vp.tbl[[#This Row],[Dens]]&gt;900,vp.tbl[[#This Row],[Sulf]]&lt;=0.5,vp.tbl[[#This Row],[Unknown]]=0),1,0)</f>
        <v>0</v>
      </c>
      <c r="AG291" t="str">
        <f>INDEX(vp.tbl[[#Headers],[Unknown]:[Heavy_SW]],MATCH(1,vp.tbl[[#This Row],[Unknown]:[Heavy_SW]],0))</f>
        <v>Medium_LSB</v>
      </c>
      <c r="AH291" t="e">
        <f>INDEX([1]!crudeBD.lkup[Number],MATCH(vp.tbl[[#This Row],[Crude_Breakdown]],[1]!crudeBD.lkup[Crude Breakdown],0))</f>
        <v>#REF!</v>
      </c>
      <c r="AI291">
        <f>MONTH(vp.tbl[[#This Row],[SDate]])</f>
        <v>8</v>
      </c>
      <c r="AJ291" s="5">
        <f>IFERROR(vp.tbl[[#This Row],[Sulf]]*vp.tbl[[#This Row],[Net Dens]],"")</f>
        <v>236248263.75149998</v>
      </c>
      <c r="AK291" s="5">
        <f>IFERROR(vp.tbl[[#This Row],[Dens]]*vp.tbl[[#This Row],[VolumeM3]],"")</f>
        <v>102271975.64999999</v>
      </c>
      <c r="AL291" s="5">
        <f>IFERROR(vp.tbl[[#This Row],[VP]]*vp.tbl[[#This Row],[VolumeM3]],"")</f>
        <v>6042275.3429999994</v>
      </c>
      <c r="AM291" s="4">
        <f>IFERROR((vp.tbl[[#This Row],[VP]]-INDEX(crudeBD.lkup.complete[Mean_VP],MATCH(vp.tbl[[#This Row],[Crude_Breakdown]],crudeBD.lkup.complete[Crude Breakdown],0)))^2,"")</f>
        <v>827.91976558179579</v>
      </c>
      <c r="AN291" s="4">
        <f>IFERROR((vp.tbl[[#This Row],[Dens]]-INDEX(crudeBD.lkup.complete[Mean_Dens],MATCH(vp.tbl[[#This Row],[Crude_Breakdown]],crudeBD.lkup.complete[Crude Breakdown],0)))^2,"")</f>
        <v>610.49402129727662</v>
      </c>
      <c r="AO291" s="4">
        <f>IFERROR((vp.tbl[[#This Row],[Sulf]]-INDEX(crudeBD.lkup.complete[Mean_Sulf],MATCH(vp.tbl[[#This Row],[Crude_Breakdown]],crudeBD.lkup.complete[Crude Breakdown],0)))^2,"")</f>
        <v>0.73114494302077648</v>
      </c>
      <c r="AP291">
        <f>IF(AND(vp.tbl[[#This Row],[SDate]]&gt;=DATE(YEAR(vp.tbl[[#This Row],[SDate]]),5,1),vp.tbl[[#This Row],[SDate]]&lt;=DATE(YEAR(vp.tbl[[#This Row],[SDate]]),9,15)),1,0)</f>
        <v>1</v>
      </c>
      <c r="AQ291" s="15">
        <f>IF(vp.tbl[[#This Row],[SDate]]&lt;DATE(2016,12,1),0,1)</f>
        <v>0</v>
      </c>
    </row>
    <row r="292" spans="1:43" x14ac:dyDescent="0.25">
      <c r="A292">
        <v>291</v>
      </c>
      <c r="B292" t="s">
        <v>60</v>
      </c>
      <c r="C292" t="s">
        <v>60</v>
      </c>
      <c r="D292" t="s">
        <v>61</v>
      </c>
      <c r="E292" t="s">
        <v>55</v>
      </c>
      <c r="F292" s="1">
        <v>42592</v>
      </c>
      <c r="G292" s="2">
        <v>100.6</v>
      </c>
      <c r="H292" s="2"/>
      <c r="I292" s="2">
        <v>0.95</v>
      </c>
      <c r="J292" s="2"/>
      <c r="K292" s="2"/>
      <c r="L292" s="2">
        <v>838</v>
      </c>
      <c r="M292" s="2">
        <v>838</v>
      </c>
      <c r="N292" s="2">
        <f ca="1">INDEX(INDIRECT(_xlfn.CONCAT("weather.tbl[",N$1,"]")),MATCH(vp.tbl[[#This Row],[SDate]],weather.tbl[Date],0))</f>
        <v>17.733333333333334</v>
      </c>
      <c r="O292" s="2">
        <f ca="1">INDEX(INDIRECT(_xlfn.CONCAT("weather.tbl[",O$1,"]")),MATCH(vp.tbl[[#This Row],[SDate]],weather.tbl[Date],0))</f>
        <v>19.483333333333331</v>
      </c>
      <c r="P292" s="2">
        <f ca="1">INDEX(INDIRECT(_xlfn.CONCAT("weather.tbl[",P$1,"]")),MATCH(vp.tbl[[#This Row],[SDate]],weather.tbl[Date],0))</f>
        <v>19</v>
      </c>
      <c r="Q292" s="2">
        <f ca="1">INDEX(INDIRECT(_xlfn.CONCAT("weather.tbl[",Q$1,"]")),MATCH(vp.tbl[[#This Row],[SDate]],weather.tbl[Date],0))</f>
        <v>18</v>
      </c>
      <c r="R292" s="2">
        <f ca="1">INDEX(INDIRECT(_xlfn.CONCAT("weather.tbl[",R$1,"]")),MATCH(vp.tbl[[#This Row],[SDate]],weather.tbl[Date],0))</f>
        <v>18.3</v>
      </c>
      <c r="S292" s="2">
        <f ca="1">INDEX(INDIRECT(_xlfn.CONCAT("weather.tbl[",S$1,"]")),MATCH(vp.tbl[[#This Row],[SDate]],weather.tbl[Date],0))</f>
        <v>16.5</v>
      </c>
      <c r="T292" s="2">
        <f ca="1">INDEX(INDIRECT(_xlfn.CONCAT("weather.tbl[",T$1,"]")),MATCH(vp.tbl[[#This Row],[SDate]],weather.tbl[Date],0))</f>
        <v>19.600000000000001</v>
      </c>
      <c r="U292" s="2">
        <f ca="1">INDEX(INDIRECT(_xlfn.CONCAT("weather.tbl[",U$1,"]")),MATCH(vp.tbl[[#This Row],[SDate]],weather.tbl[Date],0))</f>
        <v>15</v>
      </c>
      <c r="V292" s="2">
        <v>106350.372</v>
      </c>
      <c r="W292" t="s">
        <v>48</v>
      </c>
      <c r="X292">
        <f>IF(OR(vp.tbl[[#This Row],[Sulf]]="",vp.tbl[[#This Row],[Dens]]=""),1,0)</f>
        <v>0</v>
      </c>
      <c r="Y292">
        <f>IF(vp.tbl[[#This Row],[CrudeType]]="C5+",1,0)</f>
        <v>0</v>
      </c>
      <c r="Z292">
        <f>IF(AND(vp.tbl[[#This Row],[CrudeType]]="Crude",vp.tbl[[#This Row],[Dens]]&lt;=825,vp.tbl[[#This Row],[Sulf]]&gt;0.5,vp.tbl[[#This Row],[Unknown]]=0),1,0)</f>
        <v>0</v>
      </c>
      <c r="AA292">
        <f>IF(AND(vp.tbl[[#This Row],[CrudeType]]="Crude",vp.tbl[[#This Row],[Dens]]&lt;=825,vp.tbl[[#This Row],[Sulf]]&lt;=0.5,vp.tbl[[#This Row],[Unknown]]=0),1,0)</f>
        <v>0</v>
      </c>
      <c r="AB292">
        <f>IF(AND(vp.tbl[[#This Row],[CrudeType]]="Crude",vp.tbl[[#This Row],[Dens]]&gt;825,vp.tbl[[#This Row],[Dens]]&lt;=870,vp.tbl[[#This Row],[Sulf]]&gt;0.5,vp.tbl[[#This Row],[Unknown]]=0),1,0)</f>
        <v>1</v>
      </c>
      <c r="AC292">
        <f>IF(AND(vp.tbl[[#This Row],[CrudeType]]="Crude",vp.tbl[[#This Row],[Dens]]&gt;825,vp.tbl[[#This Row],[Dens]]&lt;=900,vp.tbl[[#This Row],[Sulf]]&lt;=0.5,vp.tbl[[#This Row],[Unknown]]=0),1,0)</f>
        <v>0</v>
      </c>
      <c r="AD292">
        <f>IF(AND(vp.tbl[[#This Row],[CrudeType]]="Crude",vp.tbl[[#This Row],[Dens]]&gt;870,vp.tbl[[#This Row],[Dens]]&lt;=900,vp.tbl[[#This Row],[Sulf]]&gt;0.5,vp.tbl[[#This Row],[Unknown]]=0),1,0)</f>
        <v>0</v>
      </c>
      <c r="AE292">
        <f>IF(AND(vp.tbl[[#This Row],[CrudeType]]="Crude",vp.tbl[[#This Row],[Dens]]&gt;900,vp.tbl[[#This Row],[Sulf]]&lt;=0.5,vp.tbl[[#This Row],[Unknown]]=0),1,0)</f>
        <v>0</v>
      </c>
      <c r="AF292">
        <f>IF(AND(vp.tbl[[#This Row],[CrudeType]]="Crude",vp.tbl[[#This Row],[Dens]]&gt;900,vp.tbl[[#This Row],[Sulf]]&lt;=0.5,vp.tbl[[#This Row],[Unknown]]=0),1,0)</f>
        <v>0</v>
      </c>
      <c r="AG292" t="str">
        <f>INDEX(vp.tbl[[#Headers],[Unknown]:[Heavy_SW]],MATCH(1,vp.tbl[[#This Row],[Unknown]:[Heavy_SW]],0))</f>
        <v>Medium_LSB</v>
      </c>
      <c r="AH292" t="e">
        <f>INDEX([1]!crudeBD.lkup[Number],MATCH(vp.tbl[[#This Row],[Crude_Breakdown]],[1]!crudeBD.lkup[Crude Breakdown],0))</f>
        <v>#REF!</v>
      </c>
      <c r="AI292">
        <f>MONTH(vp.tbl[[#This Row],[SDate]])</f>
        <v>8</v>
      </c>
      <c r="AJ292" s="5">
        <f>IFERROR(vp.tbl[[#This Row],[Sulf]]*vp.tbl[[#This Row],[Net Dens]],"")</f>
        <v>84665531.149199992</v>
      </c>
      <c r="AK292" s="5">
        <f>IFERROR(vp.tbl[[#This Row],[Dens]]*vp.tbl[[#This Row],[VolumeM3]],"")</f>
        <v>89121611.736000001</v>
      </c>
      <c r="AL292" s="5">
        <f>IFERROR(vp.tbl[[#This Row],[VP]]*vp.tbl[[#This Row],[VolumeM3]],"")</f>
        <v>10698847.4232</v>
      </c>
      <c r="AM292" s="4">
        <f>IFERROR((vp.tbl[[#This Row],[VP]]-INDEX(crudeBD.lkup.complete[Mean_VP],MATCH(vp.tbl[[#This Row],[Crude_Breakdown]],crudeBD.lkup.complete[Crude Breakdown],0)))^2,"")</f>
        <v>417.23802380964719</v>
      </c>
      <c r="AN292" s="4">
        <f>IFERROR((vp.tbl[[#This Row],[Dens]]-INDEX(crudeBD.lkup.complete[Mean_Dens],MATCH(vp.tbl[[#This Row],[Crude_Breakdown]],crudeBD.lkup.complete[Crude Breakdown],0)))^2,"")</f>
        <v>53.17067952506175</v>
      </c>
      <c r="AO292" s="4">
        <f>IFERROR((vp.tbl[[#This Row],[Sulf]]-INDEX(crudeBD.lkup.complete[Mean_Sulf],MATCH(vp.tbl[[#This Row],[Crude_Breakdown]],crudeBD.lkup.complete[Crude Breakdown],0)))^2,"")</f>
        <v>0.25495416428660322</v>
      </c>
      <c r="AP292">
        <f>IF(AND(vp.tbl[[#This Row],[SDate]]&gt;=DATE(YEAR(vp.tbl[[#This Row],[SDate]]),5,1),vp.tbl[[#This Row],[SDate]]&lt;=DATE(YEAR(vp.tbl[[#This Row],[SDate]]),9,15)),1,0)</f>
        <v>1</v>
      </c>
      <c r="AQ292" s="15">
        <f>IF(vp.tbl[[#This Row],[SDate]]&lt;DATE(2016,12,1),0,1)</f>
        <v>0</v>
      </c>
    </row>
    <row r="293" spans="1:43" x14ac:dyDescent="0.25">
      <c r="A293">
        <v>292</v>
      </c>
      <c r="B293" t="s">
        <v>49</v>
      </c>
      <c r="C293" t="s">
        <v>49</v>
      </c>
      <c r="D293" t="s">
        <v>88</v>
      </c>
      <c r="F293" s="1">
        <v>42594</v>
      </c>
      <c r="G293" s="2">
        <v>78.599999999999994</v>
      </c>
      <c r="H293" s="2"/>
      <c r="I293" s="2">
        <v>1.59</v>
      </c>
      <c r="J293" s="2"/>
      <c r="K293" s="2"/>
      <c r="L293" s="2">
        <v>840.6</v>
      </c>
      <c r="M293" s="2">
        <v>840.6</v>
      </c>
      <c r="N293" s="2">
        <f ca="1">INDEX(INDIRECT(_xlfn.CONCAT("weather.tbl[",N$1,"]")),MATCH(vp.tbl[[#This Row],[SDate]],weather.tbl[Date],0))</f>
        <v>17.899999999999999</v>
      </c>
      <c r="O293" s="2">
        <f ca="1">INDEX(INDIRECT(_xlfn.CONCAT("weather.tbl[",O$1,"]")),MATCH(vp.tbl[[#This Row],[SDate]],weather.tbl[Date],0))</f>
        <v>19.545238095238094</v>
      </c>
      <c r="P293" s="2">
        <f ca="1">INDEX(INDIRECT(_xlfn.CONCAT("weather.tbl[",P$1,"]")),MATCH(vp.tbl[[#This Row],[SDate]],weather.tbl[Date],0))</f>
        <v>18.2</v>
      </c>
      <c r="Q293" s="2">
        <f ca="1">INDEX(INDIRECT(_xlfn.CONCAT("weather.tbl[",Q$1,"]")),MATCH(vp.tbl[[#This Row],[SDate]],weather.tbl[Date],0))</f>
        <v>18.3</v>
      </c>
      <c r="R293" s="2">
        <f ca="1">INDEX(INDIRECT(_xlfn.CONCAT("weather.tbl[",R$1,"]")),MATCH(vp.tbl[[#This Row],[SDate]],weather.tbl[Date],0))</f>
        <v>17.3</v>
      </c>
      <c r="S293" s="2">
        <f ca="1">INDEX(INDIRECT(_xlfn.CONCAT("weather.tbl[",S$1,"]")),MATCH(vp.tbl[[#This Row],[SDate]],weather.tbl[Date],0))</f>
        <v>18.3</v>
      </c>
      <c r="T293" s="2">
        <f ca="1">INDEX(INDIRECT(_xlfn.CONCAT("weather.tbl[",T$1,"]")),MATCH(vp.tbl[[#This Row],[SDate]],weather.tbl[Date],0))</f>
        <v>18.3</v>
      </c>
      <c r="U293" s="2">
        <f ca="1">INDEX(INDIRECT(_xlfn.CONCAT("weather.tbl[",U$1,"]")),MATCH(vp.tbl[[#This Row],[SDate]],weather.tbl[Date],0))</f>
        <v>17</v>
      </c>
      <c r="V293" s="2">
        <v>4670.3879999999999</v>
      </c>
      <c r="W293" t="s">
        <v>48</v>
      </c>
      <c r="X293">
        <f>IF(OR(vp.tbl[[#This Row],[Sulf]]="",vp.tbl[[#This Row],[Dens]]=""),1,0)</f>
        <v>0</v>
      </c>
      <c r="Y293">
        <f>IF(vp.tbl[[#This Row],[CrudeType]]="C5+",1,0)</f>
        <v>0</v>
      </c>
      <c r="Z293">
        <f>IF(AND(vp.tbl[[#This Row],[CrudeType]]="Crude",vp.tbl[[#This Row],[Dens]]&lt;=825,vp.tbl[[#This Row],[Sulf]]&gt;0.5,vp.tbl[[#This Row],[Unknown]]=0),1,0)</f>
        <v>0</v>
      </c>
      <c r="AA293">
        <f>IF(AND(vp.tbl[[#This Row],[CrudeType]]="Crude",vp.tbl[[#This Row],[Dens]]&lt;=825,vp.tbl[[#This Row],[Sulf]]&lt;=0.5,vp.tbl[[#This Row],[Unknown]]=0),1,0)</f>
        <v>0</v>
      </c>
      <c r="AB293">
        <f>IF(AND(vp.tbl[[#This Row],[CrudeType]]="Crude",vp.tbl[[#This Row],[Dens]]&gt;825,vp.tbl[[#This Row],[Dens]]&lt;=870,vp.tbl[[#This Row],[Sulf]]&gt;0.5,vp.tbl[[#This Row],[Unknown]]=0),1,0)</f>
        <v>1</v>
      </c>
      <c r="AC293">
        <f>IF(AND(vp.tbl[[#This Row],[CrudeType]]="Crude",vp.tbl[[#This Row],[Dens]]&gt;825,vp.tbl[[#This Row],[Dens]]&lt;=900,vp.tbl[[#This Row],[Sulf]]&lt;=0.5,vp.tbl[[#This Row],[Unknown]]=0),1,0)</f>
        <v>0</v>
      </c>
      <c r="AD293">
        <f>IF(AND(vp.tbl[[#This Row],[CrudeType]]="Crude",vp.tbl[[#This Row],[Dens]]&gt;870,vp.tbl[[#This Row],[Dens]]&lt;=900,vp.tbl[[#This Row],[Sulf]]&gt;0.5,vp.tbl[[#This Row],[Unknown]]=0),1,0)</f>
        <v>0</v>
      </c>
      <c r="AE293">
        <f>IF(AND(vp.tbl[[#This Row],[CrudeType]]="Crude",vp.tbl[[#This Row],[Dens]]&gt;900,vp.tbl[[#This Row],[Sulf]]&lt;=0.5,vp.tbl[[#This Row],[Unknown]]=0),1,0)</f>
        <v>0</v>
      </c>
      <c r="AF293">
        <f>IF(AND(vp.tbl[[#This Row],[CrudeType]]="Crude",vp.tbl[[#This Row],[Dens]]&gt;900,vp.tbl[[#This Row],[Sulf]]&lt;=0.5,vp.tbl[[#This Row],[Unknown]]=0),1,0)</f>
        <v>0</v>
      </c>
      <c r="AG293" t="str">
        <f>INDEX(vp.tbl[[#Headers],[Unknown]:[Heavy_SW]],MATCH(1,vp.tbl[[#This Row],[Unknown]:[Heavy_SW]],0))</f>
        <v>Medium_LSB</v>
      </c>
      <c r="AH293" t="e">
        <f>INDEX([1]!crudeBD.lkup[Number],MATCH(vp.tbl[[#This Row],[Crude_Breakdown]],[1]!crudeBD.lkup[Crude Breakdown],0))</f>
        <v>#REF!</v>
      </c>
      <c r="AI293">
        <f>MONTH(vp.tbl[[#This Row],[SDate]])</f>
        <v>8</v>
      </c>
      <c r="AJ293" s="5">
        <f>IFERROR(vp.tbl[[#This Row],[Sulf]]*vp.tbl[[#This Row],[Net Dens]],"")</f>
        <v>6242225.7629519999</v>
      </c>
      <c r="AK293" s="5">
        <f>IFERROR(vp.tbl[[#This Row],[Dens]]*vp.tbl[[#This Row],[VolumeM3]],"")</f>
        <v>3925928.1527999998</v>
      </c>
      <c r="AL293" s="5">
        <f>IFERROR(vp.tbl[[#This Row],[VP]]*vp.tbl[[#This Row],[VolumeM3]],"")</f>
        <v>367092.49679999996</v>
      </c>
      <c r="AM293" s="4">
        <f>IFERROR((vp.tbl[[#This Row],[VP]]-INDEX(crudeBD.lkup.complete[Mean_VP],MATCH(vp.tbl[[#This Row],[Crude_Breakdown]],crudeBD.lkup.complete[Crude Breakdown],0)))^2,"")</f>
        <v>2.4762010248356652</v>
      </c>
      <c r="AN293" s="4">
        <f>IFERROR((vp.tbl[[#This Row],[Dens]]-INDEX(crudeBD.lkup.complete[Mean_Dens],MATCH(vp.tbl[[#This Row],[Crude_Breakdown]],crudeBD.lkup.complete[Crude Breakdown],0)))^2,"")</f>
        <v>22.013201044054</v>
      </c>
      <c r="AO293" s="4">
        <f>IFERROR((vp.tbl[[#This Row],[Sulf]]-INDEX(crudeBD.lkup.complete[Mean_Sulf],MATCH(vp.tbl[[#This Row],[Crude_Breakdown]],crudeBD.lkup.complete[Crude Breakdown],0)))^2,"")</f>
        <v>1.8243942514449388E-2</v>
      </c>
      <c r="AP293">
        <f>IF(AND(vp.tbl[[#This Row],[SDate]]&gt;=DATE(YEAR(vp.tbl[[#This Row],[SDate]]),5,1),vp.tbl[[#This Row],[SDate]]&lt;=DATE(YEAR(vp.tbl[[#This Row],[SDate]]),9,15)),1,0)</f>
        <v>1</v>
      </c>
      <c r="AQ293" s="15">
        <f>IF(vp.tbl[[#This Row],[SDate]]&lt;DATE(2016,12,1),0,1)</f>
        <v>0</v>
      </c>
    </row>
    <row r="294" spans="1:43" x14ac:dyDescent="0.25">
      <c r="A294">
        <v>293</v>
      </c>
      <c r="B294" t="s">
        <v>49</v>
      </c>
      <c r="C294" t="s">
        <v>49</v>
      </c>
      <c r="D294" t="s">
        <v>88</v>
      </c>
      <c r="F294" s="1">
        <v>42594</v>
      </c>
      <c r="G294" s="2">
        <v>77.7</v>
      </c>
      <c r="H294" s="2"/>
      <c r="I294" s="2">
        <v>1.59</v>
      </c>
      <c r="J294" s="2"/>
      <c r="K294" s="2"/>
      <c r="L294" s="2">
        <v>840.6</v>
      </c>
      <c r="M294" s="2">
        <v>840.6</v>
      </c>
      <c r="N294" s="2">
        <f ca="1">INDEX(INDIRECT(_xlfn.CONCAT("weather.tbl[",N$1,"]")),MATCH(vp.tbl[[#This Row],[SDate]],weather.tbl[Date],0))</f>
        <v>17.899999999999999</v>
      </c>
      <c r="O294" s="2">
        <f ca="1">INDEX(INDIRECT(_xlfn.CONCAT("weather.tbl[",O$1,"]")),MATCH(vp.tbl[[#This Row],[SDate]],weather.tbl[Date],0))</f>
        <v>19.545238095238094</v>
      </c>
      <c r="P294" s="2">
        <f ca="1">INDEX(INDIRECT(_xlfn.CONCAT("weather.tbl[",P$1,"]")),MATCH(vp.tbl[[#This Row],[SDate]],weather.tbl[Date],0))</f>
        <v>18.2</v>
      </c>
      <c r="Q294" s="2">
        <f ca="1">INDEX(INDIRECT(_xlfn.CONCAT("weather.tbl[",Q$1,"]")),MATCH(vp.tbl[[#This Row],[SDate]],weather.tbl[Date],0))</f>
        <v>18.3</v>
      </c>
      <c r="R294" s="2">
        <f ca="1">INDEX(INDIRECT(_xlfn.CONCAT("weather.tbl[",R$1,"]")),MATCH(vp.tbl[[#This Row],[SDate]],weather.tbl[Date],0))</f>
        <v>17.3</v>
      </c>
      <c r="S294" s="2">
        <f ca="1">INDEX(INDIRECT(_xlfn.CONCAT("weather.tbl[",S$1,"]")),MATCH(vp.tbl[[#This Row],[SDate]],weather.tbl[Date],0))</f>
        <v>18.3</v>
      </c>
      <c r="T294" s="2">
        <f ca="1">INDEX(INDIRECT(_xlfn.CONCAT("weather.tbl[",T$1,"]")),MATCH(vp.tbl[[#This Row],[SDate]],weather.tbl[Date],0))</f>
        <v>18.3</v>
      </c>
      <c r="U294" s="2">
        <f ca="1">INDEX(INDIRECT(_xlfn.CONCAT("weather.tbl[",U$1,"]")),MATCH(vp.tbl[[#This Row],[SDate]],weather.tbl[Date],0))</f>
        <v>17</v>
      </c>
      <c r="V294" s="2">
        <v>4670.3879999999999</v>
      </c>
      <c r="W294" t="s">
        <v>48</v>
      </c>
      <c r="X294">
        <f>IF(OR(vp.tbl[[#This Row],[Sulf]]="",vp.tbl[[#This Row],[Dens]]=""),1,0)</f>
        <v>0</v>
      </c>
      <c r="Y294">
        <f>IF(vp.tbl[[#This Row],[CrudeType]]="C5+",1,0)</f>
        <v>0</v>
      </c>
      <c r="Z294">
        <f>IF(AND(vp.tbl[[#This Row],[CrudeType]]="Crude",vp.tbl[[#This Row],[Dens]]&lt;=825,vp.tbl[[#This Row],[Sulf]]&gt;0.5,vp.tbl[[#This Row],[Unknown]]=0),1,0)</f>
        <v>0</v>
      </c>
      <c r="AA294">
        <f>IF(AND(vp.tbl[[#This Row],[CrudeType]]="Crude",vp.tbl[[#This Row],[Dens]]&lt;=825,vp.tbl[[#This Row],[Sulf]]&lt;=0.5,vp.tbl[[#This Row],[Unknown]]=0),1,0)</f>
        <v>0</v>
      </c>
      <c r="AB294">
        <f>IF(AND(vp.tbl[[#This Row],[CrudeType]]="Crude",vp.tbl[[#This Row],[Dens]]&gt;825,vp.tbl[[#This Row],[Dens]]&lt;=870,vp.tbl[[#This Row],[Sulf]]&gt;0.5,vp.tbl[[#This Row],[Unknown]]=0),1,0)</f>
        <v>1</v>
      </c>
      <c r="AC294">
        <f>IF(AND(vp.tbl[[#This Row],[CrudeType]]="Crude",vp.tbl[[#This Row],[Dens]]&gt;825,vp.tbl[[#This Row],[Dens]]&lt;=900,vp.tbl[[#This Row],[Sulf]]&lt;=0.5,vp.tbl[[#This Row],[Unknown]]=0),1,0)</f>
        <v>0</v>
      </c>
      <c r="AD294">
        <f>IF(AND(vp.tbl[[#This Row],[CrudeType]]="Crude",vp.tbl[[#This Row],[Dens]]&gt;870,vp.tbl[[#This Row],[Dens]]&lt;=900,vp.tbl[[#This Row],[Sulf]]&gt;0.5,vp.tbl[[#This Row],[Unknown]]=0),1,0)</f>
        <v>0</v>
      </c>
      <c r="AE294">
        <f>IF(AND(vp.tbl[[#This Row],[CrudeType]]="Crude",vp.tbl[[#This Row],[Dens]]&gt;900,vp.tbl[[#This Row],[Sulf]]&lt;=0.5,vp.tbl[[#This Row],[Unknown]]=0),1,0)</f>
        <v>0</v>
      </c>
      <c r="AF294">
        <f>IF(AND(vp.tbl[[#This Row],[CrudeType]]="Crude",vp.tbl[[#This Row],[Dens]]&gt;900,vp.tbl[[#This Row],[Sulf]]&lt;=0.5,vp.tbl[[#This Row],[Unknown]]=0),1,0)</f>
        <v>0</v>
      </c>
      <c r="AG294" t="str">
        <f>INDEX(vp.tbl[[#Headers],[Unknown]:[Heavy_SW]],MATCH(1,vp.tbl[[#This Row],[Unknown]:[Heavy_SW]],0))</f>
        <v>Medium_LSB</v>
      </c>
      <c r="AH294" t="e">
        <f>INDEX([1]!crudeBD.lkup[Number],MATCH(vp.tbl[[#This Row],[Crude_Breakdown]],[1]!crudeBD.lkup[Crude Breakdown],0))</f>
        <v>#REF!</v>
      </c>
      <c r="AI294">
        <f>MONTH(vp.tbl[[#This Row],[SDate]])</f>
        <v>8</v>
      </c>
      <c r="AJ294" s="5">
        <f>IFERROR(vp.tbl[[#This Row],[Sulf]]*vp.tbl[[#This Row],[Net Dens]],"")</f>
        <v>6242225.7629519999</v>
      </c>
      <c r="AK294" s="5">
        <f>IFERROR(vp.tbl[[#This Row],[Dens]]*vp.tbl[[#This Row],[VolumeM3]],"")</f>
        <v>3925928.1527999998</v>
      </c>
      <c r="AL294" s="5">
        <f>IFERROR(vp.tbl[[#This Row],[VP]]*vp.tbl[[#This Row],[VolumeM3]],"")</f>
        <v>362889.14760000003</v>
      </c>
      <c r="AM294" s="4">
        <f>IFERROR((vp.tbl[[#This Row],[VP]]-INDEX(crudeBD.lkup.complete[Mean_VP],MATCH(vp.tbl[[#This Row],[Crude_Breakdown]],crudeBD.lkup.complete[Crude Breakdown],0)))^2,"")</f>
        <v>6.118671910911516</v>
      </c>
      <c r="AN294" s="4">
        <f>IFERROR((vp.tbl[[#This Row],[Dens]]-INDEX(crudeBD.lkup.complete[Mean_Dens],MATCH(vp.tbl[[#This Row],[Crude_Breakdown]],crudeBD.lkup.complete[Crude Breakdown],0)))^2,"")</f>
        <v>22.013201044054</v>
      </c>
      <c r="AO294" s="4">
        <f>IFERROR((vp.tbl[[#This Row],[Sulf]]-INDEX(crudeBD.lkup.complete[Mean_Sulf],MATCH(vp.tbl[[#This Row],[Crude_Breakdown]],crudeBD.lkup.complete[Crude Breakdown],0)))^2,"")</f>
        <v>1.8243942514449388E-2</v>
      </c>
      <c r="AP294">
        <f>IF(AND(vp.tbl[[#This Row],[SDate]]&gt;=DATE(YEAR(vp.tbl[[#This Row],[SDate]]),5,1),vp.tbl[[#This Row],[SDate]]&lt;=DATE(YEAR(vp.tbl[[#This Row],[SDate]]),9,15)),1,0)</f>
        <v>1</v>
      </c>
      <c r="AQ294" s="15">
        <f>IF(vp.tbl[[#This Row],[SDate]]&lt;DATE(2016,12,1),0,1)</f>
        <v>0</v>
      </c>
    </row>
    <row r="295" spans="1:43" x14ac:dyDescent="0.25">
      <c r="A295">
        <v>294</v>
      </c>
      <c r="B295" t="s">
        <v>49</v>
      </c>
      <c r="C295" t="s">
        <v>49</v>
      </c>
      <c r="D295" t="s">
        <v>59</v>
      </c>
      <c r="F295" s="1">
        <v>42597</v>
      </c>
      <c r="G295" s="2">
        <v>64.900000000000006</v>
      </c>
      <c r="H295" s="2"/>
      <c r="I295" s="2">
        <v>1.48</v>
      </c>
      <c r="J295" s="2"/>
      <c r="K295" s="2"/>
      <c r="L295" s="2">
        <v>848.2</v>
      </c>
      <c r="M295" s="2">
        <v>848.2</v>
      </c>
      <c r="N295" s="2">
        <f ca="1">INDEX(INDIRECT(_xlfn.CONCAT("weather.tbl[",N$1,"]")),MATCH(vp.tbl[[#This Row],[SDate]],weather.tbl[Date],0))</f>
        <v>20.733333333333331</v>
      </c>
      <c r="O295" s="2">
        <f ca="1">INDEX(INDIRECT(_xlfn.CONCAT("weather.tbl[",O$1,"]")),MATCH(vp.tbl[[#This Row],[SDate]],weather.tbl[Date],0))</f>
        <v>18.911904761904761</v>
      </c>
      <c r="P295" s="2">
        <f ca="1">INDEX(INDIRECT(_xlfn.CONCAT("weather.tbl[",P$1,"]")),MATCH(vp.tbl[[#This Row],[SDate]],weather.tbl[Date],0))</f>
        <v>21.1</v>
      </c>
      <c r="Q295" s="2">
        <f ca="1">INDEX(INDIRECT(_xlfn.CONCAT("weather.tbl[",Q$1,"]")),MATCH(vp.tbl[[#This Row],[SDate]],weather.tbl[Date],0))</f>
        <v>20.2</v>
      </c>
      <c r="R295" s="2">
        <f ca="1">INDEX(INDIRECT(_xlfn.CONCAT("weather.tbl[",R$1,"]")),MATCH(vp.tbl[[#This Row],[SDate]],weather.tbl[Date],0))</f>
        <v>20.3</v>
      </c>
      <c r="S295" s="2">
        <f ca="1">INDEX(INDIRECT(_xlfn.CONCAT("weather.tbl[",S$1,"]")),MATCH(vp.tbl[[#This Row],[SDate]],weather.tbl[Date],0))</f>
        <v>21</v>
      </c>
      <c r="T295" s="2">
        <f ca="1">INDEX(INDIRECT(_xlfn.CONCAT("weather.tbl[",T$1,"]")),MATCH(vp.tbl[[#This Row],[SDate]],weather.tbl[Date],0))</f>
        <v>22.3</v>
      </c>
      <c r="U295" s="2">
        <f ca="1">INDEX(INDIRECT(_xlfn.CONCAT("weather.tbl[",U$1,"]")),MATCH(vp.tbl[[#This Row],[SDate]],weather.tbl[Date],0))</f>
        <v>19.5</v>
      </c>
      <c r="V295" s="2">
        <v>1673.7950000000001</v>
      </c>
      <c r="W295" t="s">
        <v>48</v>
      </c>
      <c r="X295">
        <f>IF(OR(vp.tbl[[#This Row],[Sulf]]="",vp.tbl[[#This Row],[Dens]]=""),1,0)</f>
        <v>0</v>
      </c>
      <c r="Y295">
        <f>IF(vp.tbl[[#This Row],[CrudeType]]="C5+",1,0)</f>
        <v>0</v>
      </c>
      <c r="Z295">
        <f>IF(AND(vp.tbl[[#This Row],[CrudeType]]="Crude",vp.tbl[[#This Row],[Dens]]&lt;=825,vp.tbl[[#This Row],[Sulf]]&gt;0.5,vp.tbl[[#This Row],[Unknown]]=0),1,0)</f>
        <v>0</v>
      </c>
      <c r="AA295">
        <f>IF(AND(vp.tbl[[#This Row],[CrudeType]]="Crude",vp.tbl[[#This Row],[Dens]]&lt;=825,vp.tbl[[#This Row],[Sulf]]&lt;=0.5,vp.tbl[[#This Row],[Unknown]]=0),1,0)</f>
        <v>0</v>
      </c>
      <c r="AB295">
        <f>IF(AND(vp.tbl[[#This Row],[CrudeType]]="Crude",vp.tbl[[#This Row],[Dens]]&gt;825,vp.tbl[[#This Row],[Dens]]&lt;=870,vp.tbl[[#This Row],[Sulf]]&gt;0.5,vp.tbl[[#This Row],[Unknown]]=0),1,0)</f>
        <v>1</v>
      </c>
      <c r="AC295">
        <f>IF(AND(vp.tbl[[#This Row],[CrudeType]]="Crude",vp.tbl[[#This Row],[Dens]]&gt;825,vp.tbl[[#This Row],[Dens]]&lt;=900,vp.tbl[[#This Row],[Sulf]]&lt;=0.5,vp.tbl[[#This Row],[Unknown]]=0),1,0)</f>
        <v>0</v>
      </c>
      <c r="AD295">
        <f>IF(AND(vp.tbl[[#This Row],[CrudeType]]="Crude",vp.tbl[[#This Row],[Dens]]&gt;870,vp.tbl[[#This Row],[Dens]]&lt;=900,vp.tbl[[#This Row],[Sulf]]&gt;0.5,vp.tbl[[#This Row],[Unknown]]=0),1,0)</f>
        <v>0</v>
      </c>
      <c r="AE295">
        <f>IF(AND(vp.tbl[[#This Row],[CrudeType]]="Crude",vp.tbl[[#This Row],[Dens]]&gt;900,vp.tbl[[#This Row],[Sulf]]&lt;=0.5,vp.tbl[[#This Row],[Unknown]]=0),1,0)</f>
        <v>0</v>
      </c>
      <c r="AF295">
        <f>IF(AND(vp.tbl[[#This Row],[CrudeType]]="Crude",vp.tbl[[#This Row],[Dens]]&gt;900,vp.tbl[[#This Row],[Sulf]]&lt;=0.5,vp.tbl[[#This Row],[Unknown]]=0),1,0)</f>
        <v>0</v>
      </c>
      <c r="AG295" t="str">
        <f>INDEX(vp.tbl[[#Headers],[Unknown]:[Heavy_SW]],MATCH(1,vp.tbl[[#This Row],[Unknown]:[Heavy_SW]],0))</f>
        <v>Medium_LSB</v>
      </c>
      <c r="AH295" t="e">
        <f>INDEX([1]!crudeBD.lkup[Number],MATCH(vp.tbl[[#This Row],[Crude_Breakdown]],[1]!crudeBD.lkup[Crude Breakdown],0))</f>
        <v>#REF!</v>
      </c>
      <c r="AI295">
        <f>MONTH(vp.tbl[[#This Row],[SDate]])</f>
        <v>8</v>
      </c>
      <c r="AJ295" s="5">
        <f>IFERROR(vp.tbl[[#This Row],[Sulf]]*vp.tbl[[#This Row],[Net Dens]],"")</f>
        <v>2101175.1201200001</v>
      </c>
      <c r="AK295" s="5">
        <f>IFERROR(vp.tbl[[#This Row],[Dens]]*vp.tbl[[#This Row],[VolumeM3]],"")</f>
        <v>1419712.9190000002</v>
      </c>
      <c r="AL295" s="5">
        <f>IFERROR(vp.tbl[[#This Row],[VP]]*vp.tbl[[#This Row],[VolumeM3]],"")</f>
        <v>108629.29550000001</v>
      </c>
      <c r="AM295" s="4">
        <f>IFERROR((vp.tbl[[#This Row],[VP]]-INDEX(crudeBD.lkup.complete[Mean_VP],MATCH(vp.tbl[[#This Row],[Crude_Breakdown]],crudeBD.lkup.complete[Crude Breakdown],0)))^2,"")</f>
        <v>233.28270229065726</v>
      </c>
      <c r="AN295" s="4">
        <f>IFERROR((vp.tbl[[#This Row],[Dens]]-INDEX(crudeBD.lkup.complete[Mean_Dens],MATCH(vp.tbl[[#This Row],[Crude_Breakdown]],crudeBD.lkup.complete[Crude Breakdown],0)))^2,"")</f>
        <v>8.4574947149555193</v>
      </c>
      <c r="AO295" s="4">
        <f>IFERROR((vp.tbl[[#This Row],[Sulf]]-INDEX(crudeBD.lkup.complete[Mean_Sulf],MATCH(vp.tbl[[#This Row],[Crude_Breakdown]],crudeBD.lkup.complete[Crude Breakdown],0)))^2,"")</f>
        <v>6.2851188153830004E-4</v>
      </c>
      <c r="AP295">
        <f>IF(AND(vp.tbl[[#This Row],[SDate]]&gt;=DATE(YEAR(vp.tbl[[#This Row],[SDate]]),5,1),vp.tbl[[#This Row],[SDate]]&lt;=DATE(YEAR(vp.tbl[[#This Row],[SDate]]),9,15)),1,0)</f>
        <v>1</v>
      </c>
      <c r="AQ295" s="15">
        <f>IF(vp.tbl[[#This Row],[SDate]]&lt;DATE(2016,12,1),0,1)</f>
        <v>0</v>
      </c>
    </row>
    <row r="296" spans="1:43" x14ac:dyDescent="0.25">
      <c r="A296">
        <v>295</v>
      </c>
      <c r="B296" t="s">
        <v>49</v>
      </c>
      <c r="C296" t="s">
        <v>49</v>
      </c>
      <c r="D296" t="s">
        <v>75</v>
      </c>
      <c r="F296" s="1">
        <v>42598</v>
      </c>
      <c r="G296" s="2">
        <v>78.099999999999994</v>
      </c>
      <c r="H296" s="2"/>
      <c r="I296" s="2">
        <v>0.13</v>
      </c>
      <c r="J296" s="2"/>
      <c r="K296" s="2"/>
      <c r="L296" s="2">
        <v>806.3</v>
      </c>
      <c r="M296" s="2">
        <v>806.3</v>
      </c>
      <c r="N296" s="2">
        <f ca="1">INDEX(INDIRECT(_xlfn.CONCAT("weather.tbl[",N$1,"]")),MATCH(vp.tbl[[#This Row],[SDate]],weather.tbl[Date],0))</f>
        <v>20.766666666666666</v>
      </c>
      <c r="O296" s="2">
        <f ca="1">INDEX(INDIRECT(_xlfn.CONCAT("weather.tbl[",O$1,"]")),MATCH(vp.tbl[[#This Row],[SDate]],weather.tbl[Date],0))</f>
        <v>19.164285714285711</v>
      </c>
      <c r="P296" s="2">
        <f ca="1">INDEX(INDIRECT(_xlfn.CONCAT("weather.tbl[",P$1,"]")),MATCH(vp.tbl[[#This Row],[SDate]],weather.tbl[Date],0))</f>
        <v>20.8</v>
      </c>
      <c r="Q296" s="2">
        <f ca="1">INDEX(INDIRECT(_xlfn.CONCAT("weather.tbl[",Q$1,"]")),MATCH(vp.tbl[[#This Row],[SDate]],weather.tbl[Date],0))</f>
        <v>21</v>
      </c>
      <c r="R296" s="2">
        <f ca="1">INDEX(INDIRECT(_xlfn.CONCAT("weather.tbl[",R$1,"]")),MATCH(vp.tbl[[#This Row],[SDate]],weather.tbl[Date],0))</f>
        <v>20</v>
      </c>
      <c r="S296" s="2">
        <f ca="1">INDEX(INDIRECT(_xlfn.CONCAT("weather.tbl[",S$1,"]")),MATCH(vp.tbl[[#This Row],[SDate]],weather.tbl[Date],0))</f>
        <v>22.3</v>
      </c>
      <c r="T296" s="2">
        <f ca="1">INDEX(INDIRECT(_xlfn.CONCAT("weather.tbl[",T$1,"]")),MATCH(vp.tbl[[#This Row],[SDate]],weather.tbl[Date],0))</f>
        <v>20.5</v>
      </c>
      <c r="U296" s="2">
        <f ca="1">INDEX(INDIRECT(_xlfn.CONCAT("weather.tbl[",U$1,"]")),MATCH(vp.tbl[[#This Row],[SDate]],weather.tbl[Date],0))</f>
        <v>20</v>
      </c>
      <c r="V296" s="2">
        <v>21867.932000000001</v>
      </c>
      <c r="W296" t="s">
        <v>48</v>
      </c>
      <c r="X296">
        <f>IF(OR(vp.tbl[[#This Row],[Sulf]]="",vp.tbl[[#This Row],[Dens]]=""),1,0)</f>
        <v>0</v>
      </c>
      <c r="Y296">
        <f>IF(vp.tbl[[#This Row],[CrudeType]]="C5+",1,0)</f>
        <v>0</v>
      </c>
      <c r="Z296">
        <f>IF(AND(vp.tbl[[#This Row],[CrudeType]]="Crude",vp.tbl[[#This Row],[Dens]]&lt;=825,vp.tbl[[#This Row],[Sulf]]&gt;0.5,vp.tbl[[#This Row],[Unknown]]=0),1,0)</f>
        <v>0</v>
      </c>
      <c r="AA296">
        <f>IF(AND(vp.tbl[[#This Row],[CrudeType]]="Crude",vp.tbl[[#This Row],[Dens]]&lt;=825,vp.tbl[[#This Row],[Sulf]]&lt;=0.5,vp.tbl[[#This Row],[Unknown]]=0),1,0)</f>
        <v>1</v>
      </c>
      <c r="AB296">
        <f>IF(AND(vp.tbl[[#This Row],[CrudeType]]="Crude",vp.tbl[[#This Row],[Dens]]&gt;825,vp.tbl[[#This Row],[Dens]]&lt;=870,vp.tbl[[#This Row],[Sulf]]&gt;0.5,vp.tbl[[#This Row],[Unknown]]=0),1,0)</f>
        <v>0</v>
      </c>
      <c r="AC296">
        <f>IF(AND(vp.tbl[[#This Row],[CrudeType]]="Crude",vp.tbl[[#This Row],[Dens]]&gt;825,vp.tbl[[#This Row],[Dens]]&lt;=900,vp.tbl[[#This Row],[Sulf]]&lt;=0.5,vp.tbl[[#This Row],[Unknown]]=0),1,0)</f>
        <v>0</v>
      </c>
      <c r="AD296">
        <f>IF(AND(vp.tbl[[#This Row],[CrudeType]]="Crude",vp.tbl[[#This Row],[Dens]]&gt;870,vp.tbl[[#This Row],[Dens]]&lt;=900,vp.tbl[[#This Row],[Sulf]]&gt;0.5,vp.tbl[[#This Row],[Unknown]]=0),1,0)</f>
        <v>0</v>
      </c>
      <c r="AE296">
        <f>IF(AND(vp.tbl[[#This Row],[CrudeType]]="Crude",vp.tbl[[#This Row],[Dens]]&gt;900,vp.tbl[[#This Row],[Sulf]]&lt;=0.5,vp.tbl[[#This Row],[Unknown]]=0),1,0)</f>
        <v>0</v>
      </c>
      <c r="AF296">
        <f>IF(AND(vp.tbl[[#This Row],[CrudeType]]="Crude",vp.tbl[[#This Row],[Dens]]&gt;900,vp.tbl[[#This Row],[Sulf]]&lt;=0.5,vp.tbl[[#This Row],[Unknown]]=0),1,0)</f>
        <v>0</v>
      </c>
      <c r="AG296" t="str">
        <f>INDEX(vp.tbl[[#Headers],[Unknown]:[Heavy_SW]],MATCH(1,vp.tbl[[#This Row],[Unknown]:[Heavy_SW]],0))</f>
        <v>Light_SW</v>
      </c>
      <c r="AH296" t="e">
        <f>INDEX([1]!crudeBD.lkup[Number],MATCH(vp.tbl[[#This Row],[Crude_Breakdown]],[1]!crudeBD.lkup[Crude Breakdown],0))</f>
        <v>#REF!</v>
      </c>
      <c r="AI296">
        <f>MONTH(vp.tbl[[#This Row],[SDate]])</f>
        <v>8</v>
      </c>
      <c r="AJ296" s="5">
        <f>IFERROR(vp.tbl[[#This Row],[Sulf]]*vp.tbl[[#This Row],[Net Dens]],"")</f>
        <v>2292174.7643080004</v>
      </c>
      <c r="AK296" s="5">
        <f>IFERROR(vp.tbl[[#This Row],[Dens]]*vp.tbl[[#This Row],[VolumeM3]],"")</f>
        <v>17632113.571600001</v>
      </c>
      <c r="AL296" s="5">
        <f>IFERROR(vp.tbl[[#This Row],[VP]]*vp.tbl[[#This Row],[VolumeM3]],"")</f>
        <v>1707885.4892</v>
      </c>
      <c r="AM296" s="4">
        <f>IFERROR((vp.tbl[[#This Row],[VP]]-INDEX(crudeBD.lkup.complete[Mean_VP],MATCH(vp.tbl[[#This Row],[Crude_Breakdown]],crudeBD.lkup.complete[Crude Breakdown],0)))^2,"")</f>
        <v>208.81156281610731</v>
      </c>
      <c r="AN296" s="4">
        <f>IFERROR((vp.tbl[[#This Row],[Dens]]-INDEX(crudeBD.lkup.complete[Mean_Dens],MATCH(vp.tbl[[#This Row],[Crude_Breakdown]],crudeBD.lkup.complete[Crude Breakdown],0)))^2,"")</f>
        <v>4.0461252412915387</v>
      </c>
      <c r="AO296" s="4">
        <f>IFERROR((vp.tbl[[#This Row],[Sulf]]-INDEX(crudeBD.lkup.complete[Mean_Sulf],MATCH(vp.tbl[[#This Row],[Crude_Breakdown]],crudeBD.lkup.complete[Crude Breakdown],0)))^2,"")</f>
        <v>1.1287322584467423E-2</v>
      </c>
      <c r="AP296">
        <f>IF(AND(vp.tbl[[#This Row],[SDate]]&gt;=DATE(YEAR(vp.tbl[[#This Row],[SDate]]),5,1),vp.tbl[[#This Row],[SDate]]&lt;=DATE(YEAR(vp.tbl[[#This Row],[SDate]]),9,15)),1,0)</f>
        <v>1</v>
      </c>
      <c r="AQ296" s="15">
        <f>IF(vp.tbl[[#This Row],[SDate]]&lt;DATE(2016,12,1),0,1)</f>
        <v>0</v>
      </c>
    </row>
    <row r="297" spans="1:43" x14ac:dyDescent="0.25">
      <c r="A297">
        <v>296</v>
      </c>
      <c r="B297" t="s">
        <v>62</v>
      </c>
      <c r="C297" t="s">
        <v>62</v>
      </c>
      <c r="D297" t="s">
        <v>83</v>
      </c>
      <c r="F297" s="1">
        <v>42598</v>
      </c>
      <c r="G297" s="2">
        <v>80</v>
      </c>
      <c r="H297" s="2"/>
      <c r="I297" s="2">
        <v>0.17</v>
      </c>
      <c r="J297" s="2"/>
      <c r="K297" s="2"/>
      <c r="L297" s="2">
        <v>812.2</v>
      </c>
      <c r="M297" s="2">
        <v>812.2</v>
      </c>
      <c r="N297" s="2">
        <f ca="1">INDEX(INDIRECT(_xlfn.CONCAT("weather.tbl[",N$1,"]")),MATCH(vp.tbl[[#This Row],[SDate]],weather.tbl[Date],0))</f>
        <v>20.766666666666666</v>
      </c>
      <c r="O297" s="2">
        <f ca="1">INDEX(INDIRECT(_xlfn.CONCAT("weather.tbl[",O$1,"]")),MATCH(vp.tbl[[#This Row],[SDate]],weather.tbl[Date],0))</f>
        <v>19.164285714285711</v>
      </c>
      <c r="P297" s="2">
        <f ca="1">INDEX(INDIRECT(_xlfn.CONCAT("weather.tbl[",P$1,"]")),MATCH(vp.tbl[[#This Row],[SDate]],weather.tbl[Date],0))</f>
        <v>20.8</v>
      </c>
      <c r="Q297" s="2">
        <f ca="1">INDEX(INDIRECT(_xlfn.CONCAT("weather.tbl[",Q$1,"]")),MATCH(vp.tbl[[#This Row],[SDate]],weather.tbl[Date],0))</f>
        <v>21</v>
      </c>
      <c r="R297" s="2">
        <f ca="1">INDEX(INDIRECT(_xlfn.CONCAT("weather.tbl[",R$1,"]")),MATCH(vp.tbl[[#This Row],[SDate]],weather.tbl[Date],0))</f>
        <v>20</v>
      </c>
      <c r="S297" s="2">
        <f ca="1">INDEX(INDIRECT(_xlfn.CONCAT("weather.tbl[",S$1,"]")),MATCH(vp.tbl[[#This Row],[SDate]],weather.tbl[Date],0))</f>
        <v>22.3</v>
      </c>
      <c r="T297" s="2">
        <f ca="1">INDEX(INDIRECT(_xlfn.CONCAT("weather.tbl[",T$1,"]")),MATCH(vp.tbl[[#This Row],[SDate]],weather.tbl[Date],0))</f>
        <v>20.5</v>
      </c>
      <c r="U297" s="2">
        <f ca="1">INDEX(INDIRECT(_xlfn.CONCAT("weather.tbl[",U$1,"]")),MATCH(vp.tbl[[#This Row],[SDate]],weather.tbl[Date],0))</f>
        <v>20</v>
      </c>
      <c r="V297" s="2">
        <v>9531.8590000000004</v>
      </c>
      <c r="W297" t="s">
        <v>48</v>
      </c>
      <c r="X297">
        <f>IF(OR(vp.tbl[[#This Row],[Sulf]]="",vp.tbl[[#This Row],[Dens]]=""),1,0)</f>
        <v>0</v>
      </c>
      <c r="Y297">
        <f>IF(vp.tbl[[#This Row],[CrudeType]]="C5+",1,0)</f>
        <v>0</v>
      </c>
      <c r="Z297">
        <f>IF(AND(vp.tbl[[#This Row],[CrudeType]]="Crude",vp.tbl[[#This Row],[Dens]]&lt;=825,vp.tbl[[#This Row],[Sulf]]&gt;0.5,vp.tbl[[#This Row],[Unknown]]=0),1,0)</f>
        <v>0</v>
      </c>
      <c r="AA297">
        <f>IF(AND(vp.tbl[[#This Row],[CrudeType]]="Crude",vp.tbl[[#This Row],[Dens]]&lt;=825,vp.tbl[[#This Row],[Sulf]]&lt;=0.5,vp.tbl[[#This Row],[Unknown]]=0),1,0)</f>
        <v>1</v>
      </c>
      <c r="AB297">
        <f>IF(AND(vp.tbl[[#This Row],[CrudeType]]="Crude",vp.tbl[[#This Row],[Dens]]&gt;825,vp.tbl[[#This Row],[Dens]]&lt;=870,vp.tbl[[#This Row],[Sulf]]&gt;0.5,vp.tbl[[#This Row],[Unknown]]=0),1,0)</f>
        <v>0</v>
      </c>
      <c r="AC297">
        <f>IF(AND(vp.tbl[[#This Row],[CrudeType]]="Crude",vp.tbl[[#This Row],[Dens]]&gt;825,vp.tbl[[#This Row],[Dens]]&lt;=900,vp.tbl[[#This Row],[Sulf]]&lt;=0.5,vp.tbl[[#This Row],[Unknown]]=0),1,0)</f>
        <v>0</v>
      </c>
      <c r="AD297">
        <f>IF(AND(vp.tbl[[#This Row],[CrudeType]]="Crude",vp.tbl[[#This Row],[Dens]]&gt;870,vp.tbl[[#This Row],[Dens]]&lt;=900,vp.tbl[[#This Row],[Sulf]]&gt;0.5,vp.tbl[[#This Row],[Unknown]]=0),1,0)</f>
        <v>0</v>
      </c>
      <c r="AE297">
        <f>IF(AND(vp.tbl[[#This Row],[CrudeType]]="Crude",vp.tbl[[#This Row],[Dens]]&gt;900,vp.tbl[[#This Row],[Sulf]]&lt;=0.5,vp.tbl[[#This Row],[Unknown]]=0),1,0)</f>
        <v>0</v>
      </c>
      <c r="AF297">
        <f>IF(AND(vp.tbl[[#This Row],[CrudeType]]="Crude",vp.tbl[[#This Row],[Dens]]&gt;900,vp.tbl[[#This Row],[Sulf]]&lt;=0.5,vp.tbl[[#This Row],[Unknown]]=0),1,0)</f>
        <v>0</v>
      </c>
      <c r="AG297" t="str">
        <f>INDEX(vp.tbl[[#Headers],[Unknown]:[Heavy_SW]],MATCH(1,vp.tbl[[#This Row],[Unknown]:[Heavy_SW]],0))</f>
        <v>Light_SW</v>
      </c>
      <c r="AH297" t="e">
        <f>INDEX([1]!crudeBD.lkup[Number],MATCH(vp.tbl[[#This Row],[Crude_Breakdown]],[1]!crudeBD.lkup[Crude Breakdown],0))</f>
        <v>#REF!</v>
      </c>
      <c r="AI297">
        <f>MONTH(vp.tbl[[#This Row],[SDate]])</f>
        <v>8</v>
      </c>
      <c r="AJ297" s="5">
        <f>IFERROR(vp.tbl[[#This Row],[Sulf]]*vp.tbl[[#This Row],[Net Dens]],"")</f>
        <v>1316101.8995660003</v>
      </c>
      <c r="AK297" s="5">
        <f>IFERROR(vp.tbl[[#This Row],[Dens]]*vp.tbl[[#This Row],[VolumeM3]],"")</f>
        <v>7741775.8798000012</v>
      </c>
      <c r="AL297" s="5">
        <f>IFERROR(vp.tbl[[#This Row],[VP]]*vp.tbl[[#This Row],[VolumeM3]],"")</f>
        <v>762548.72</v>
      </c>
      <c r="AM297" s="4">
        <f>IFERROR((vp.tbl[[#This Row],[VP]]-INDEX(crudeBD.lkup.complete[Mean_VP],MATCH(vp.tbl[[#This Row],[Crude_Breakdown]],crudeBD.lkup.complete[Crude Breakdown],0)))^2,"")</f>
        <v>157.51037117847659</v>
      </c>
      <c r="AN297" s="4">
        <f>IFERROR((vp.tbl[[#This Row],[Dens]]-INDEX(crudeBD.lkup.complete[Mean_Dens],MATCH(vp.tbl[[#This Row],[Crude_Breakdown]],crudeBD.lkup.complete[Crude Breakdown],0)))^2,"")</f>
        <v>15.120445798785575</v>
      </c>
      <c r="AO297" s="4">
        <f>IFERROR((vp.tbl[[#This Row],[Sulf]]-INDEX(crudeBD.lkup.complete[Mean_Sulf],MATCH(vp.tbl[[#This Row],[Crude_Breakdown]],crudeBD.lkup.complete[Crude Breakdown],0)))^2,"")</f>
        <v>4.3879776367322437E-3</v>
      </c>
      <c r="AP297">
        <f>IF(AND(vp.tbl[[#This Row],[SDate]]&gt;=DATE(YEAR(vp.tbl[[#This Row],[SDate]]),5,1),vp.tbl[[#This Row],[SDate]]&lt;=DATE(YEAR(vp.tbl[[#This Row],[SDate]]),9,15)),1,0)</f>
        <v>1</v>
      </c>
      <c r="AQ297" s="15">
        <f>IF(vp.tbl[[#This Row],[SDate]]&lt;DATE(2016,12,1),0,1)</f>
        <v>0</v>
      </c>
    </row>
    <row r="298" spans="1:43" x14ac:dyDescent="0.25">
      <c r="A298">
        <v>297</v>
      </c>
      <c r="B298" t="s">
        <v>51</v>
      </c>
      <c r="C298" t="s">
        <v>51</v>
      </c>
      <c r="D298" t="s">
        <v>71</v>
      </c>
      <c r="F298" s="1">
        <v>42598</v>
      </c>
      <c r="G298" s="2">
        <v>69.2</v>
      </c>
      <c r="H298" s="2"/>
      <c r="I298" s="2">
        <v>1.4</v>
      </c>
      <c r="J298" s="2"/>
      <c r="K298" s="2"/>
      <c r="L298" s="2">
        <v>821.2</v>
      </c>
      <c r="M298" s="2">
        <v>821.2</v>
      </c>
      <c r="N298" s="2">
        <f ca="1">INDEX(INDIRECT(_xlfn.CONCAT("weather.tbl[",N$1,"]")),MATCH(vp.tbl[[#This Row],[SDate]],weather.tbl[Date],0))</f>
        <v>20.766666666666666</v>
      </c>
      <c r="O298" s="2">
        <f ca="1">INDEX(INDIRECT(_xlfn.CONCAT("weather.tbl[",O$1,"]")),MATCH(vp.tbl[[#This Row],[SDate]],weather.tbl[Date],0))</f>
        <v>19.164285714285711</v>
      </c>
      <c r="P298" s="2">
        <f ca="1">INDEX(INDIRECT(_xlfn.CONCAT("weather.tbl[",P$1,"]")),MATCH(vp.tbl[[#This Row],[SDate]],weather.tbl[Date],0))</f>
        <v>20.8</v>
      </c>
      <c r="Q298" s="2">
        <f ca="1">INDEX(INDIRECT(_xlfn.CONCAT("weather.tbl[",Q$1,"]")),MATCH(vp.tbl[[#This Row],[SDate]],weather.tbl[Date],0))</f>
        <v>21</v>
      </c>
      <c r="R298" s="2">
        <f ca="1">INDEX(INDIRECT(_xlfn.CONCAT("weather.tbl[",R$1,"]")),MATCH(vp.tbl[[#This Row],[SDate]],weather.tbl[Date],0))</f>
        <v>20</v>
      </c>
      <c r="S298" s="2">
        <f ca="1">INDEX(INDIRECT(_xlfn.CONCAT("weather.tbl[",S$1,"]")),MATCH(vp.tbl[[#This Row],[SDate]],weather.tbl[Date],0))</f>
        <v>22.3</v>
      </c>
      <c r="T298" s="2">
        <f ca="1">INDEX(INDIRECT(_xlfn.CONCAT("weather.tbl[",T$1,"]")),MATCH(vp.tbl[[#This Row],[SDate]],weather.tbl[Date],0))</f>
        <v>20.5</v>
      </c>
      <c r="U298" s="2">
        <f ca="1">INDEX(INDIRECT(_xlfn.CONCAT("weather.tbl[",U$1,"]")),MATCH(vp.tbl[[#This Row],[SDate]],weather.tbl[Date],0))</f>
        <v>20</v>
      </c>
      <c r="V298" s="2">
        <v>5032.2340000000004</v>
      </c>
      <c r="W298" t="s">
        <v>48</v>
      </c>
      <c r="X298">
        <f>IF(OR(vp.tbl[[#This Row],[Sulf]]="",vp.tbl[[#This Row],[Dens]]=""),1,0)</f>
        <v>0</v>
      </c>
      <c r="Y298">
        <f>IF(vp.tbl[[#This Row],[CrudeType]]="C5+",1,0)</f>
        <v>0</v>
      </c>
      <c r="Z298">
        <f>IF(AND(vp.tbl[[#This Row],[CrudeType]]="Crude",vp.tbl[[#This Row],[Dens]]&lt;=825,vp.tbl[[#This Row],[Sulf]]&gt;0.5,vp.tbl[[#This Row],[Unknown]]=0),1,0)</f>
        <v>1</v>
      </c>
      <c r="AA298">
        <f>IF(AND(vp.tbl[[#This Row],[CrudeType]]="Crude",vp.tbl[[#This Row],[Dens]]&lt;=825,vp.tbl[[#This Row],[Sulf]]&lt;=0.5,vp.tbl[[#This Row],[Unknown]]=0),1,0)</f>
        <v>0</v>
      </c>
      <c r="AB298">
        <f>IF(AND(vp.tbl[[#This Row],[CrudeType]]="Crude",vp.tbl[[#This Row],[Dens]]&gt;825,vp.tbl[[#This Row],[Dens]]&lt;=870,vp.tbl[[#This Row],[Sulf]]&gt;0.5,vp.tbl[[#This Row],[Unknown]]=0),1,0)</f>
        <v>0</v>
      </c>
      <c r="AC298">
        <f>IF(AND(vp.tbl[[#This Row],[CrudeType]]="Crude",vp.tbl[[#This Row],[Dens]]&gt;825,vp.tbl[[#This Row],[Dens]]&lt;=900,vp.tbl[[#This Row],[Sulf]]&lt;=0.5,vp.tbl[[#This Row],[Unknown]]=0),1,0)</f>
        <v>0</v>
      </c>
      <c r="AD298">
        <f>IF(AND(vp.tbl[[#This Row],[CrudeType]]="Crude",vp.tbl[[#This Row],[Dens]]&gt;870,vp.tbl[[#This Row],[Dens]]&lt;=900,vp.tbl[[#This Row],[Sulf]]&gt;0.5,vp.tbl[[#This Row],[Unknown]]=0),1,0)</f>
        <v>0</v>
      </c>
      <c r="AE298">
        <f>IF(AND(vp.tbl[[#This Row],[CrudeType]]="Crude",vp.tbl[[#This Row],[Dens]]&gt;900,vp.tbl[[#This Row],[Sulf]]&lt;=0.5,vp.tbl[[#This Row],[Unknown]]=0),1,0)</f>
        <v>0</v>
      </c>
      <c r="AF298">
        <f>IF(AND(vp.tbl[[#This Row],[CrudeType]]="Crude",vp.tbl[[#This Row],[Dens]]&gt;900,vp.tbl[[#This Row],[Sulf]]&lt;=0.5,vp.tbl[[#This Row],[Unknown]]=0),1,0)</f>
        <v>0</v>
      </c>
      <c r="AG298" t="str">
        <f>INDEX(vp.tbl[[#Headers],[Unknown]:[Heavy_SW]],MATCH(1,vp.tbl[[#This Row],[Unknown]:[Heavy_SW]],0))</f>
        <v>Light_LSB</v>
      </c>
      <c r="AH298" t="e">
        <f>INDEX([1]!crudeBD.lkup[Number],MATCH(vp.tbl[[#This Row],[Crude_Breakdown]],[1]!crudeBD.lkup[Crude Breakdown],0))</f>
        <v>#REF!</v>
      </c>
      <c r="AI298">
        <f>MONTH(vp.tbl[[#This Row],[SDate]])</f>
        <v>8</v>
      </c>
      <c r="AJ298" s="5">
        <f>IFERROR(vp.tbl[[#This Row],[Sulf]]*vp.tbl[[#This Row],[Net Dens]],"")</f>
        <v>5785458.7851200001</v>
      </c>
      <c r="AK298" s="5">
        <f>IFERROR(vp.tbl[[#This Row],[Dens]]*vp.tbl[[#This Row],[VolumeM3]],"")</f>
        <v>4132470.5608000006</v>
      </c>
      <c r="AL298" s="5">
        <f>IFERROR(vp.tbl[[#This Row],[VP]]*vp.tbl[[#This Row],[VolumeM3]],"")</f>
        <v>348230.59280000004</v>
      </c>
      <c r="AM298" s="4">
        <f>IFERROR((vp.tbl[[#This Row],[VP]]-INDEX(crudeBD.lkup.complete[Mean_VP],MATCH(vp.tbl[[#This Row],[Crude_Breakdown]],crudeBD.lkup.complete[Crude Breakdown],0)))^2,"")</f>
        <v>499.35200939526112</v>
      </c>
      <c r="AN298" s="4">
        <f>IFERROR((vp.tbl[[#This Row],[Dens]]-INDEX(crudeBD.lkup.complete[Mean_Dens],MATCH(vp.tbl[[#This Row],[Crude_Breakdown]],crudeBD.lkup.complete[Crude Breakdown],0)))^2,"")</f>
        <v>7.1997245238030185</v>
      </c>
      <c r="AO298" s="4">
        <f>IFERROR((vp.tbl[[#This Row],[Sulf]]-INDEX(crudeBD.lkup.complete[Mean_Sulf],MATCH(vp.tbl[[#This Row],[Crude_Breakdown]],crudeBD.lkup.complete[Crude Breakdown],0)))^2,"")</f>
        <v>0.22755650619208692</v>
      </c>
      <c r="AP298">
        <f>IF(AND(vp.tbl[[#This Row],[SDate]]&gt;=DATE(YEAR(vp.tbl[[#This Row],[SDate]]),5,1),vp.tbl[[#This Row],[SDate]]&lt;=DATE(YEAR(vp.tbl[[#This Row],[SDate]]),9,15)),1,0)</f>
        <v>1</v>
      </c>
      <c r="AQ298" s="15">
        <f>IF(vp.tbl[[#This Row],[SDate]]&lt;DATE(2016,12,1),0,1)</f>
        <v>0</v>
      </c>
    </row>
    <row r="299" spans="1:43" x14ac:dyDescent="0.25">
      <c r="A299">
        <v>298</v>
      </c>
      <c r="B299" t="s">
        <v>68</v>
      </c>
      <c r="C299" t="s">
        <v>68</v>
      </c>
      <c r="D299" t="s">
        <v>69</v>
      </c>
      <c r="F299" s="1">
        <v>42598</v>
      </c>
      <c r="G299" s="2">
        <v>75.900000000000006</v>
      </c>
      <c r="H299" s="2"/>
      <c r="I299" s="2">
        <v>1.74</v>
      </c>
      <c r="J299" s="2"/>
      <c r="K299" s="2"/>
      <c r="L299" s="2">
        <v>826.7</v>
      </c>
      <c r="M299" s="2">
        <v>826.7</v>
      </c>
      <c r="N299" s="2">
        <f ca="1">INDEX(INDIRECT(_xlfn.CONCAT("weather.tbl[",N$1,"]")),MATCH(vp.tbl[[#This Row],[SDate]],weather.tbl[Date],0))</f>
        <v>20.766666666666666</v>
      </c>
      <c r="O299" s="2">
        <f ca="1">INDEX(INDIRECT(_xlfn.CONCAT("weather.tbl[",O$1,"]")),MATCH(vp.tbl[[#This Row],[SDate]],weather.tbl[Date],0))</f>
        <v>19.164285714285711</v>
      </c>
      <c r="P299" s="2">
        <f ca="1">INDEX(INDIRECT(_xlfn.CONCAT("weather.tbl[",P$1,"]")),MATCH(vp.tbl[[#This Row],[SDate]],weather.tbl[Date],0))</f>
        <v>20.8</v>
      </c>
      <c r="Q299" s="2">
        <f ca="1">INDEX(INDIRECT(_xlfn.CONCAT("weather.tbl[",Q$1,"]")),MATCH(vp.tbl[[#This Row],[SDate]],weather.tbl[Date],0))</f>
        <v>21</v>
      </c>
      <c r="R299" s="2">
        <f ca="1">INDEX(INDIRECT(_xlfn.CONCAT("weather.tbl[",R$1,"]")),MATCH(vp.tbl[[#This Row],[SDate]],weather.tbl[Date],0))</f>
        <v>20</v>
      </c>
      <c r="S299" s="2">
        <f ca="1">INDEX(INDIRECT(_xlfn.CONCAT("weather.tbl[",S$1,"]")),MATCH(vp.tbl[[#This Row],[SDate]],weather.tbl[Date],0))</f>
        <v>22.3</v>
      </c>
      <c r="T299" s="2">
        <f ca="1">INDEX(INDIRECT(_xlfn.CONCAT("weather.tbl[",T$1,"]")),MATCH(vp.tbl[[#This Row],[SDate]],weather.tbl[Date],0))</f>
        <v>20.5</v>
      </c>
      <c r="U299" s="2">
        <f ca="1">INDEX(INDIRECT(_xlfn.CONCAT("weather.tbl[",U$1,"]")),MATCH(vp.tbl[[#This Row],[SDate]],weather.tbl[Date],0))</f>
        <v>20</v>
      </c>
      <c r="V299" s="2">
        <v>1448.913</v>
      </c>
      <c r="W299" t="s">
        <v>48</v>
      </c>
      <c r="X299">
        <f>IF(OR(vp.tbl[[#This Row],[Sulf]]="",vp.tbl[[#This Row],[Dens]]=""),1,0)</f>
        <v>0</v>
      </c>
      <c r="Y299">
        <f>IF(vp.tbl[[#This Row],[CrudeType]]="C5+",1,0)</f>
        <v>0</v>
      </c>
      <c r="Z299">
        <f>IF(AND(vp.tbl[[#This Row],[CrudeType]]="Crude",vp.tbl[[#This Row],[Dens]]&lt;=825,vp.tbl[[#This Row],[Sulf]]&gt;0.5,vp.tbl[[#This Row],[Unknown]]=0),1,0)</f>
        <v>0</v>
      </c>
      <c r="AA299">
        <f>IF(AND(vp.tbl[[#This Row],[CrudeType]]="Crude",vp.tbl[[#This Row],[Dens]]&lt;=825,vp.tbl[[#This Row],[Sulf]]&lt;=0.5,vp.tbl[[#This Row],[Unknown]]=0),1,0)</f>
        <v>0</v>
      </c>
      <c r="AB299">
        <f>IF(AND(vp.tbl[[#This Row],[CrudeType]]="Crude",vp.tbl[[#This Row],[Dens]]&gt;825,vp.tbl[[#This Row],[Dens]]&lt;=870,vp.tbl[[#This Row],[Sulf]]&gt;0.5,vp.tbl[[#This Row],[Unknown]]=0),1,0)</f>
        <v>1</v>
      </c>
      <c r="AC299">
        <f>IF(AND(vp.tbl[[#This Row],[CrudeType]]="Crude",vp.tbl[[#This Row],[Dens]]&gt;825,vp.tbl[[#This Row],[Dens]]&lt;=900,vp.tbl[[#This Row],[Sulf]]&lt;=0.5,vp.tbl[[#This Row],[Unknown]]=0),1,0)</f>
        <v>0</v>
      </c>
      <c r="AD299">
        <f>IF(AND(vp.tbl[[#This Row],[CrudeType]]="Crude",vp.tbl[[#This Row],[Dens]]&gt;870,vp.tbl[[#This Row],[Dens]]&lt;=900,vp.tbl[[#This Row],[Sulf]]&gt;0.5,vp.tbl[[#This Row],[Unknown]]=0),1,0)</f>
        <v>0</v>
      </c>
      <c r="AE299">
        <f>IF(AND(vp.tbl[[#This Row],[CrudeType]]="Crude",vp.tbl[[#This Row],[Dens]]&gt;900,vp.tbl[[#This Row],[Sulf]]&lt;=0.5,vp.tbl[[#This Row],[Unknown]]=0),1,0)</f>
        <v>0</v>
      </c>
      <c r="AF299">
        <f>IF(AND(vp.tbl[[#This Row],[CrudeType]]="Crude",vp.tbl[[#This Row],[Dens]]&gt;900,vp.tbl[[#This Row],[Sulf]]&lt;=0.5,vp.tbl[[#This Row],[Unknown]]=0),1,0)</f>
        <v>0</v>
      </c>
      <c r="AG299" t="str">
        <f>INDEX(vp.tbl[[#Headers],[Unknown]:[Heavy_SW]],MATCH(1,vp.tbl[[#This Row],[Unknown]:[Heavy_SW]],0))</f>
        <v>Medium_LSB</v>
      </c>
      <c r="AH299" t="e">
        <f>INDEX([1]!crudeBD.lkup[Number],MATCH(vp.tbl[[#This Row],[Crude_Breakdown]],[1]!crudeBD.lkup[Crude Breakdown],0))</f>
        <v>#REF!</v>
      </c>
      <c r="AI299">
        <f>MONTH(vp.tbl[[#This Row],[SDate]])</f>
        <v>8</v>
      </c>
      <c r="AJ299" s="5">
        <f>IFERROR(vp.tbl[[#This Row],[Sulf]]*vp.tbl[[#This Row],[Net Dens]],"")</f>
        <v>2084200.4961540003</v>
      </c>
      <c r="AK299" s="5">
        <f>IFERROR(vp.tbl[[#This Row],[Dens]]*vp.tbl[[#This Row],[VolumeM3]],"")</f>
        <v>1197816.3771000002</v>
      </c>
      <c r="AL299" s="5">
        <f>IFERROR(vp.tbl[[#This Row],[VP]]*vp.tbl[[#This Row],[VolumeM3]],"")</f>
        <v>109972.4967</v>
      </c>
      <c r="AM299" s="4">
        <f>IFERROR((vp.tbl[[#This Row],[VP]]-INDEX(crudeBD.lkup.complete[Mean_VP],MATCH(vp.tbl[[#This Row],[Crude_Breakdown]],crudeBD.lkup.complete[Crude Breakdown],0)))^2,"")</f>
        <v>18.263613683063248</v>
      </c>
      <c r="AN299" s="4">
        <f>IFERROR((vp.tbl[[#This Row],[Dens]]-INDEX(crudeBD.lkup.complete[Mean_Dens],MATCH(vp.tbl[[#This Row],[Crude_Breakdown]],crudeBD.lkup.complete[Crude Breakdown],0)))^2,"")</f>
        <v>345.65587446174669</v>
      </c>
      <c r="AO299" s="4">
        <f>IFERROR((vp.tbl[[#This Row],[Sulf]]-INDEX(crudeBD.lkup.complete[Mean_Sulf],MATCH(vp.tbl[[#This Row],[Crude_Breakdown]],crudeBD.lkup.complete[Crude Breakdown],0)))^2,"")</f>
        <v>8.1264984286600811E-2</v>
      </c>
      <c r="AP299">
        <f>IF(AND(vp.tbl[[#This Row],[SDate]]&gt;=DATE(YEAR(vp.tbl[[#This Row],[SDate]]),5,1),vp.tbl[[#This Row],[SDate]]&lt;=DATE(YEAR(vp.tbl[[#This Row],[SDate]]),9,15)),1,0)</f>
        <v>1</v>
      </c>
      <c r="AQ299" s="15">
        <f>IF(vp.tbl[[#This Row],[SDate]]&lt;DATE(2016,12,1),0,1)</f>
        <v>0</v>
      </c>
    </row>
    <row r="300" spans="1:43" x14ac:dyDescent="0.25">
      <c r="A300">
        <v>299</v>
      </c>
      <c r="B300" t="s">
        <v>56</v>
      </c>
      <c r="C300" t="s">
        <v>56</v>
      </c>
      <c r="D300" t="s">
        <v>57</v>
      </c>
      <c r="F300" s="1">
        <v>42598</v>
      </c>
      <c r="G300" s="2">
        <v>75.7</v>
      </c>
      <c r="H300" s="2"/>
      <c r="I300" s="2">
        <v>1.63</v>
      </c>
      <c r="J300" s="2"/>
      <c r="K300" s="2"/>
      <c r="L300" s="2">
        <v>834</v>
      </c>
      <c r="M300" s="2">
        <v>834</v>
      </c>
      <c r="N300" s="2">
        <f ca="1">INDEX(INDIRECT(_xlfn.CONCAT("weather.tbl[",N$1,"]")),MATCH(vp.tbl[[#This Row],[SDate]],weather.tbl[Date],0))</f>
        <v>20.766666666666666</v>
      </c>
      <c r="O300" s="2">
        <f ca="1">INDEX(INDIRECT(_xlfn.CONCAT("weather.tbl[",O$1,"]")),MATCH(vp.tbl[[#This Row],[SDate]],weather.tbl[Date],0))</f>
        <v>19.164285714285711</v>
      </c>
      <c r="P300" s="2">
        <f ca="1">INDEX(INDIRECT(_xlfn.CONCAT("weather.tbl[",P$1,"]")),MATCH(vp.tbl[[#This Row],[SDate]],weather.tbl[Date],0))</f>
        <v>20.8</v>
      </c>
      <c r="Q300" s="2">
        <f ca="1">INDEX(INDIRECT(_xlfn.CONCAT("weather.tbl[",Q$1,"]")),MATCH(vp.tbl[[#This Row],[SDate]],weather.tbl[Date],0))</f>
        <v>21</v>
      </c>
      <c r="R300" s="2">
        <f ca="1">INDEX(INDIRECT(_xlfn.CONCAT("weather.tbl[",R$1,"]")),MATCH(vp.tbl[[#This Row],[SDate]],weather.tbl[Date],0))</f>
        <v>20</v>
      </c>
      <c r="S300" s="2">
        <f ca="1">INDEX(INDIRECT(_xlfn.CONCAT("weather.tbl[",S$1,"]")),MATCH(vp.tbl[[#This Row],[SDate]],weather.tbl[Date],0))</f>
        <v>22.3</v>
      </c>
      <c r="T300" s="2">
        <f ca="1">INDEX(INDIRECT(_xlfn.CONCAT("weather.tbl[",T$1,"]")),MATCH(vp.tbl[[#This Row],[SDate]],weather.tbl[Date],0))</f>
        <v>20.5</v>
      </c>
      <c r="U300" s="2">
        <f ca="1">INDEX(INDIRECT(_xlfn.CONCAT("weather.tbl[",U$1,"]")),MATCH(vp.tbl[[#This Row],[SDate]],weather.tbl[Date],0))</f>
        <v>20</v>
      </c>
      <c r="V300" s="2">
        <v>3596.04</v>
      </c>
      <c r="W300" t="s">
        <v>48</v>
      </c>
      <c r="X300">
        <f>IF(OR(vp.tbl[[#This Row],[Sulf]]="",vp.tbl[[#This Row],[Dens]]=""),1,0)</f>
        <v>0</v>
      </c>
      <c r="Y300">
        <f>IF(vp.tbl[[#This Row],[CrudeType]]="C5+",1,0)</f>
        <v>0</v>
      </c>
      <c r="Z300">
        <f>IF(AND(vp.tbl[[#This Row],[CrudeType]]="Crude",vp.tbl[[#This Row],[Dens]]&lt;=825,vp.tbl[[#This Row],[Sulf]]&gt;0.5,vp.tbl[[#This Row],[Unknown]]=0),1,0)</f>
        <v>0</v>
      </c>
      <c r="AA300">
        <f>IF(AND(vp.tbl[[#This Row],[CrudeType]]="Crude",vp.tbl[[#This Row],[Dens]]&lt;=825,vp.tbl[[#This Row],[Sulf]]&lt;=0.5,vp.tbl[[#This Row],[Unknown]]=0),1,0)</f>
        <v>0</v>
      </c>
      <c r="AB300">
        <f>IF(AND(vp.tbl[[#This Row],[CrudeType]]="Crude",vp.tbl[[#This Row],[Dens]]&gt;825,vp.tbl[[#This Row],[Dens]]&lt;=870,vp.tbl[[#This Row],[Sulf]]&gt;0.5,vp.tbl[[#This Row],[Unknown]]=0),1,0)</f>
        <v>1</v>
      </c>
      <c r="AC300">
        <f>IF(AND(vp.tbl[[#This Row],[CrudeType]]="Crude",vp.tbl[[#This Row],[Dens]]&gt;825,vp.tbl[[#This Row],[Dens]]&lt;=900,vp.tbl[[#This Row],[Sulf]]&lt;=0.5,vp.tbl[[#This Row],[Unknown]]=0),1,0)</f>
        <v>0</v>
      </c>
      <c r="AD300">
        <f>IF(AND(vp.tbl[[#This Row],[CrudeType]]="Crude",vp.tbl[[#This Row],[Dens]]&gt;870,vp.tbl[[#This Row],[Dens]]&lt;=900,vp.tbl[[#This Row],[Sulf]]&gt;0.5,vp.tbl[[#This Row],[Unknown]]=0),1,0)</f>
        <v>0</v>
      </c>
      <c r="AE300">
        <f>IF(AND(vp.tbl[[#This Row],[CrudeType]]="Crude",vp.tbl[[#This Row],[Dens]]&gt;900,vp.tbl[[#This Row],[Sulf]]&lt;=0.5,vp.tbl[[#This Row],[Unknown]]=0),1,0)</f>
        <v>0</v>
      </c>
      <c r="AF300">
        <f>IF(AND(vp.tbl[[#This Row],[CrudeType]]="Crude",vp.tbl[[#This Row],[Dens]]&gt;900,vp.tbl[[#This Row],[Sulf]]&lt;=0.5,vp.tbl[[#This Row],[Unknown]]=0),1,0)</f>
        <v>0</v>
      </c>
      <c r="AG300" t="str">
        <f>INDEX(vp.tbl[[#Headers],[Unknown]:[Heavy_SW]],MATCH(1,vp.tbl[[#This Row],[Unknown]:[Heavy_SW]],0))</f>
        <v>Medium_LSB</v>
      </c>
      <c r="AH300" t="e">
        <f>INDEX([1]!crudeBD.lkup[Number],MATCH(vp.tbl[[#This Row],[Crude_Breakdown]],[1]!crudeBD.lkup[Crude Breakdown],0))</f>
        <v>#REF!</v>
      </c>
      <c r="AI300">
        <f>MONTH(vp.tbl[[#This Row],[SDate]])</f>
        <v>8</v>
      </c>
      <c r="AJ300" s="5">
        <f>IFERROR(vp.tbl[[#This Row],[Sulf]]*vp.tbl[[#This Row],[Net Dens]],"")</f>
        <v>4888528.6967999991</v>
      </c>
      <c r="AK300" s="5">
        <f>IFERROR(vp.tbl[[#This Row],[Dens]]*vp.tbl[[#This Row],[VolumeM3]],"")</f>
        <v>2999097.36</v>
      </c>
      <c r="AL300" s="5">
        <f>IFERROR(vp.tbl[[#This Row],[VP]]*vp.tbl[[#This Row],[VolumeM3]],"")</f>
        <v>272220.228</v>
      </c>
      <c r="AM300" s="4">
        <f>IFERROR((vp.tbl[[#This Row],[VP]]-INDEX(crudeBD.lkup.complete[Mean_VP],MATCH(vp.tbl[[#This Row],[Crude_Breakdown]],crudeBD.lkup.complete[Crude Breakdown],0)))^2,"")</f>
        <v>20.0130516577468</v>
      </c>
      <c r="AN300" s="4">
        <f>IFERROR((vp.tbl[[#This Row],[Dens]]-INDEX(crudeBD.lkup.complete[Mean_Dens],MATCH(vp.tbl[[#This Row],[Crude_Breakdown]],crudeBD.lkup.complete[Crude Breakdown],0)))^2,"")</f>
        <v>127.50526180353488</v>
      </c>
      <c r="AO300" s="4">
        <f>IFERROR((vp.tbl[[#This Row],[Sulf]]-INDEX(crudeBD.lkup.complete[Mean_Sulf],MATCH(vp.tbl[[#This Row],[Crude_Breakdown]],crudeBD.lkup.complete[Crude Breakdown],0)))^2,"")</f>
        <v>3.0649553653689716E-2</v>
      </c>
      <c r="AP300">
        <f>IF(AND(vp.tbl[[#This Row],[SDate]]&gt;=DATE(YEAR(vp.tbl[[#This Row],[SDate]]),5,1),vp.tbl[[#This Row],[SDate]]&lt;=DATE(YEAR(vp.tbl[[#This Row],[SDate]]),9,15)),1,0)</f>
        <v>1</v>
      </c>
      <c r="AQ300" s="15">
        <f>IF(vp.tbl[[#This Row],[SDate]]&lt;DATE(2016,12,1),0,1)</f>
        <v>0</v>
      </c>
    </row>
    <row r="301" spans="1:43" x14ac:dyDescent="0.25">
      <c r="A301">
        <v>300</v>
      </c>
      <c r="B301" t="s">
        <v>51</v>
      </c>
      <c r="C301" t="s">
        <v>51</v>
      </c>
      <c r="D301" t="s">
        <v>58</v>
      </c>
      <c r="F301" s="1">
        <v>42598</v>
      </c>
      <c r="G301" s="2">
        <v>66.2</v>
      </c>
      <c r="H301" s="2"/>
      <c r="I301" s="2">
        <v>1.48</v>
      </c>
      <c r="J301" s="2"/>
      <c r="K301" s="2"/>
      <c r="L301" s="2">
        <v>862</v>
      </c>
      <c r="M301" s="2">
        <v>862</v>
      </c>
      <c r="N301" s="2">
        <f ca="1">INDEX(INDIRECT(_xlfn.CONCAT("weather.tbl[",N$1,"]")),MATCH(vp.tbl[[#This Row],[SDate]],weather.tbl[Date],0))</f>
        <v>20.766666666666666</v>
      </c>
      <c r="O301" s="2">
        <f ca="1">INDEX(INDIRECT(_xlfn.CONCAT("weather.tbl[",O$1,"]")),MATCH(vp.tbl[[#This Row],[SDate]],weather.tbl[Date],0))</f>
        <v>19.164285714285711</v>
      </c>
      <c r="P301" s="2">
        <f ca="1">INDEX(INDIRECT(_xlfn.CONCAT("weather.tbl[",P$1,"]")),MATCH(vp.tbl[[#This Row],[SDate]],weather.tbl[Date],0))</f>
        <v>20.8</v>
      </c>
      <c r="Q301" s="2">
        <f ca="1">INDEX(INDIRECT(_xlfn.CONCAT("weather.tbl[",Q$1,"]")),MATCH(vp.tbl[[#This Row],[SDate]],weather.tbl[Date],0))</f>
        <v>21</v>
      </c>
      <c r="R301" s="2">
        <f ca="1">INDEX(INDIRECT(_xlfn.CONCAT("weather.tbl[",R$1,"]")),MATCH(vp.tbl[[#This Row],[SDate]],weather.tbl[Date],0))</f>
        <v>20</v>
      </c>
      <c r="S301" s="2">
        <f ca="1">INDEX(INDIRECT(_xlfn.CONCAT("weather.tbl[",S$1,"]")),MATCH(vp.tbl[[#This Row],[SDate]],weather.tbl[Date],0))</f>
        <v>22.3</v>
      </c>
      <c r="T301" s="2">
        <f ca="1">INDEX(INDIRECT(_xlfn.CONCAT("weather.tbl[",T$1,"]")),MATCH(vp.tbl[[#This Row],[SDate]],weather.tbl[Date],0))</f>
        <v>20.5</v>
      </c>
      <c r="U301" s="2">
        <f ca="1">INDEX(INDIRECT(_xlfn.CONCAT("weather.tbl[",U$1,"]")),MATCH(vp.tbl[[#This Row],[SDate]],weather.tbl[Date],0))</f>
        <v>20</v>
      </c>
      <c r="V301" s="2">
        <v>5621.1970000000001</v>
      </c>
      <c r="W301" t="s">
        <v>48</v>
      </c>
      <c r="X301">
        <f>IF(OR(vp.tbl[[#This Row],[Sulf]]="",vp.tbl[[#This Row],[Dens]]=""),1,0)</f>
        <v>0</v>
      </c>
      <c r="Y301">
        <f>IF(vp.tbl[[#This Row],[CrudeType]]="C5+",1,0)</f>
        <v>0</v>
      </c>
      <c r="Z301">
        <f>IF(AND(vp.tbl[[#This Row],[CrudeType]]="Crude",vp.tbl[[#This Row],[Dens]]&lt;=825,vp.tbl[[#This Row],[Sulf]]&gt;0.5,vp.tbl[[#This Row],[Unknown]]=0),1,0)</f>
        <v>0</v>
      </c>
      <c r="AA301">
        <f>IF(AND(vp.tbl[[#This Row],[CrudeType]]="Crude",vp.tbl[[#This Row],[Dens]]&lt;=825,vp.tbl[[#This Row],[Sulf]]&lt;=0.5,vp.tbl[[#This Row],[Unknown]]=0),1,0)</f>
        <v>0</v>
      </c>
      <c r="AB301">
        <f>IF(AND(vp.tbl[[#This Row],[CrudeType]]="Crude",vp.tbl[[#This Row],[Dens]]&gt;825,vp.tbl[[#This Row],[Dens]]&lt;=870,vp.tbl[[#This Row],[Sulf]]&gt;0.5,vp.tbl[[#This Row],[Unknown]]=0),1,0)</f>
        <v>1</v>
      </c>
      <c r="AC301">
        <f>IF(AND(vp.tbl[[#This Row],[CrudeType]]="Crude",vp.tbl[[#This Row],[Dens]]&gt;825,vp.tbl[[#This Row],[Dens]]&lt;=900,vp.tbl[[#This Row],[Sulf]]&lt;=0.5,vp.tbl[[#This Row],[Unknown]]=0),1,0)</f>
        <v>0</v>
      </c>
      <c r="AD301">
        <f>IF(AND(vp.tbl[[#This Row],[CrudeType]]="Crude",vp.tbl[[#This Row],[Dens]]&gt;870,vp.tbl[[#This Row],[Dens]]&lt;=900,vp.tbl[[#This Row],[Sulf]]&gt;0.5,vp.tbl[[#This Row],[Unknown]]=0),1,0)</f>
        <v>0</v>
      </c>
      <c r="AE301">
        <f>IF(AND(vp.tbl[[#This Row],[CrudeType]]="Crude",vp.tbl[[#This Row],[Dens]]&gt;900,vp.tbl[[#This Row],[Sulf]]&lt;=0.5,vp.tbl[[#This Row],[Unknown]]=0),1,0)</f>
        <v>0</v>
      </c>
      <c r="AF301">
        <f>IF(AND(vp.tbl[[#This Row],[CrudeType]]="Crude",vp.tbl[[#This Row],[Dens]]&gt;900,vp.tbl[[#This Row],[Sulf]]&lt;=0.5,vp.tbl[[#This Row],[Unknown]]=0),1,0)</f>
        <v>0</v>
      </c>
      <c r="AG301" t="str">
        <f>INDEX(vp.tbl[[#Headers],[Unknown]:[Heavy_SW]],MATCH(1,vp.tbl[[#This Row],[Unknown]:[Heavy_SW]],0))</f>
        <v>Medium_LSB</v>
      </c>
      <c r="AH301" t="e">
        <f>INDEX([1]!crudeBD.lkup[Number],MATCH(vp.tbl[[#This Row],[Crude_Breakdown]],[1]!crudeBD.lkup[Crude Breakdown],0))</f>
        <v>#REF!</v>
      </c>
      <c r="AI301">
        <f>MONTH(vp.tbl[[#This Row],[SDate]])</f>
        <v>8</v>
      </c>
      <c r="AJ301" s="5">
        <f>IFERROR(vp.tbl[[#This Row],[Sulf]]*vp.tbl[[#This Row],[Net Dens]],"")</f>
        <v>7171298.2847199999</v>
      </c>
      <c r="AK301" s="5">
        <f>IFERROR(vp.tbl[[#This Row],[Dens]]*vp.tbl[[#This Row],[VolumeM3]],"")</f>
        <v>4845471.8140000002</v>
      </c>
      <c r="AL301" s="5">
        <f>IFERROR(vp.tbl[[#This Row],[VP]]*vp.tbl[[#This Row],[VolumeM3]],"")</f>
        <v>372123.2414</v>
      </c>
      <c r="AM301" s="4">
        <f>IFERROR((vp.tbl[[#This Row],[VP]]-INDEX(crudeBD.lkup.complete[Mean_VP],MATCH(vp.tbl[[#This Row],[Crude_Breakdown]],crudeBD.lkup.complete[Crude Breakdown],0)))^2,"")</f>
        <v>195.26135545521441</v>
      </c>
      <c r="AN301" s="4">
        <f>IFERROR((vp.tbl[[#This Row],[Dens]]-INDEX(crudeBD.lkup.complete[Mean_Dens],MATCH(vp.tbl[[#This Row],[Crude_Breakdown]],crudeBD.lkup.complete[Crude Breakdown],0)))^2,"")</f>
        <v>279.16318585422295</v>
      </c>
      <c r="AO301" s="4">
        <f>IFERROR((vp.tbl[[#This Row],[Sulf]]-INDEX(crudeBD.lkup.complete[Mean_Sulf],MATCH(vp.tbl[[#This Row],[Crude_Breakdown]],crudeBD.lkup.complete[Crude Breakdown],0)))^2,"")</f>
        <v>6.2851188153830004E-4</v>
      </c>
      <c r="AP301">
        <f>IF(AND(vp.tbl[[#This Row],[SDate]]&gt;=DATE(YEAR(vp.tbl[[#This Row],[SDate]]),5,1),vp.tbl[[#This Row],[SDate]]&lt;=DATE(YEAR(vp.tbl[[#This Row],[SDate]]),9,15)),1,0)</f>
        <v>1</v>
      </c>
      <c r="AQ301" s="15">
        <f>IF(vp.tbl[[#This Row],[SDate]]&lt;DATE(2016,12,1),0,1)</f>
        <v>0</v>
      </c>
    </row>
    <row r="302" spans="1:43" x14ac:dyDescent="0.25">
      <c r="A302">
        <v>301</v>
      </c>
      <c r="B302" t="s">
        <v>49</v>
      </c>
      <c r="C302" t="s">
        <v>49</v>
      </c>
      <c r="D302" t="s">
        <v>67</v>
      </c>
      <c r="F302" s="1">
        <v>42599</v>
      </c>
      <c r="G302" s="2">
        <v>87</v>
      </c>
      <c r="H302" s="2"/>
      <c r="I302" s="2">
        <v>0.21</v>
      </c>
      <c r="J302" s="2"/>
      <c r="K302" s="2"/>
      <c r="L302" s="2">
        <v>808.3</v>
      </c>
      <c r="M302" s="2">
        <v>808.3</v>
      </c>
      <c r="N302" s="2">
        <f ca="1">INDEX(INDIRECT(_xlfn.CONCAT("weather.tbl[",N$1,"]")),MATCH(vp.tbl[[#This Row],[SDate]],weather.tbl[Date],0))</f>
        <v>22.466666666666669</v>
      </c>
      <c r="O302" s="2">
        <f ca="1">INDEX(INDIRECT(_xlfn.CONCAT("weather.tbl[",O$1,"]")),MATCH(vp.tbl[[#This Row],[SDate]],weather.tbl[Date],0))</f>
        <v>19.840476190476188</v>
      </c>
      <c r="P302" s="2">
        <f ca="1">INDEX(INDIRECT(_xlfn.CONCAT("weather.tbl[",P$1,"]")),MATCH(vp.tbl[[#This Row],[SDate]],weather.tbl[Date],0))</f>
        <v>23.3</v>
      </c>
      <c r="Q302" s="2">
        <f ca="1">INDEX(INDIRECT(_xlfn.CONCAT("weather.tbl[",Q$1,"]")),MATCH(vp.tbl[[#This Row],[SDate]],weather.tbl[Date],0))</f>
        <v>23.5</v>
      </c>
      <c r="R302" s="2">
        <f ca="1">INDEX(INDIRECT(_xlfn.CONCAT("weather.tbl[",R$1,"]")),MATCH(vp.tbl[[#This Row],[SDate]],weather.tbl[Date],0))</f>
        <v>22.5</v>
      </c>
      <c r="S302" s="2">
        <f ca="1">INDEX(INDIRECT(_xlfn.CONCAT("weather.tbl[",S$1,"]")),MATCH(vp.tbl[[#This Row],[SDate]],weather.tbl[Date],0))</f>
        <v>22</v>
      </c>
      <c r="T302" s="2">
        <f ca="1">INDEX(INDIRECT(_xlfn.CONCAT("weather.tbl[",T$1,"]")),MATCH(vp.tbl[[#This Row],[SDate]],weather.tbl[Date],0))</f>
        <v>22.7</v>
      </c>
      <c r="U302" s="2">
        <f ca="1">INDEX(INDIRECT(_xlfn.CONCAT("weather.tbl[",U$1,"]")),MATCH(vp.tbl[[#This Row],[SDate]],weather.tbl[Date],0))</f>
        <v>20.8</v>
      </c>
      <c r="V302" s="2">
        <v>49446.014999999999</v>
      </c>
      <c r="W302" t="s">
        <v>48</v>
      </c>
      <c r="X302">
        <f>IF(OR(vp.tbl[[#This Row],[Sulf]]="",vp.tbl[[#This Row],[Dens]]=""),1,0)</f>
        <v>0</v>
      </c>
      <c r="Y302">
        <f>IF(vp.tbl[[#This Row],[CrudeType]]="C5+",1,0)</f>
        <v>0</v>
      </c>
      <c r="Z302">
        <f>IF(AND(vp.tbl[[#This Row],[CrudeType]]="Crude",vp.tbl[[#This Row],[Dens]]&lt;=825,vp.tbl[[#This Row],[Sulf]]&gt;0.5,vp.tbl[[#This Row],[Unknown]]=0),1,0)</f>
        <v>0</v>
      </c>
      <c r="AA302">
        <f>IF(AND(vp.tbl[[#This Row],[CrudeType]]="Crude",vp.tbl[[#This Row],[Dens]]&lt;=825,vp.tbl[[#This Row],[Sulf]]&lt;=0.5,vp.tbl[[#This Row],[Unknown]]=0),1,0)</f>
        <v>1</v>
      </c>
      <c r="AB302">
        <f>IF(AND(vp.tbl[[#This Row],[CrudeType]]="Crude",vp.tbl[[#This Row],[Dens]]&gt;825,vp.tbl[[#This Row],[Dens]]&lt;=870,vp.tbl[[#This Row],[Sulf]]&gt;0.5,vp.tbl[[#This Row],[Unknown]]=0),1,0)</f>
        <v>0</v>
      </c>
      <c r="AC302">
        <f>IF(AND(vp.tbl[[#This Row],[CrudeType]]="Crude",vp.tbl[[#This Row],[Dens]]&gt;825,vp.tbl[[#This Row],[Dens]]&lt;=900,vp.tbl[[#This Row],[Sulf]]&lt;=0.5,vp.tbl[[#This Row],[Unknown]]=0),1,0)</f>
        <v>0</v>
      </c>
      <c r="AD302">
        <f>IF(AND(vp.tbl[[#This Row],[CrudeType]]="Crude",vp.tbl[[#This Row],[Dens]]&gt;870,vp.tbl[[#This Row],[Dens]]&lt;=900,vp.tbl[[#This Row],[Sulf]]&gt;0.5,vp.tbl[[#This Row],[Unknown]]=0),1,0)</f>
        <v>0</v>
      </c>
      <c r="AE302">
        <f>IF(AND(vp.tbl[[#This Row],[CrudeType]]="Crude",vp.tbl[[#This Row],[Dens]]&gt;900,vp.tbl[[#This Row],[Sulf]]&lt;=0.5,vp.tbl[[#This Row],[Unknown]]=0),1,0)</f>
        <v>0</v>
      </c>
      <c r="AF302">
        <f>IF(AND(vp.tbl[[#This Row],[CrudeType]]="Crude",vp.tbl[[#This Row],[Dens]]&gt;900,vp.tbl[[#This Row],[Sulf]]&lt;=0.5,vp.tbl[[#This Row],[Unknown]]=0),1,0)</f>
        <v>0</v>
      </c>
      <c r="AG302" t="str">
        <f>INDEX(vp.tbl[[#Headers],[Unknown]:[Heavy_SW]],MATCH(1,vp.tbl[[#This Row],[Unknown]:[Heavy_SW]],0))</f>
        <v>Light_SW</v>
      </c>
      <c r="AH302" t="e">
        <f>INDEX([1]!crudeBD.lkup[Number],MATCH(vp.tbl[[#This Row],[Crude_Breakdown]],[1]!crudeBD.lkup[Crude Breakdown],0))</f>
        <v>#REF!</v>
      </c>
      <c r="AI302">
        <f>MONTH(vp.tbl[[#This Row],[SDate]])</f>
        <v>8</v>
      </c>
      <c r="AJ302" s="5">
        <f>IFERROR(vp.tbl[[#This Row],[Sulf]]*vp.tbl[[#This Row],[Net Dens]],"")</f>
        <v>8393114.9241449982</v>
      </c>
      <c r="AK302" s="5">
        <f>IFERROR(vp.tbl[[#This Row],[Dens]]*vp.tbl[[#This Row],[VolumeM3]],"")</f>
        <v>39967213.924499996</v>
      </c>
      <c r="AL302" s="5">
        <f>IFERROR(vp.tbl[[#This Row],[VP]]*vp.tbl[[#This Row],[VolumeM3]],"")</f>
        <v>4301803.3049999997</v>
      </c>
      <c r="AM302" s="4">
        <f>IFERROR((vp.tbl[[#This Row],[VP]]-INDEX(crudeBD.lkup.complete[Mean_VP],MATCH(vp.tbl[[#This Row],[Crude_Breakdown]],crudeBD.lkup.complete[Crude Breakdown],0)))^2,"")</f>
        <v>30.805980934574574</v>
      </c>
      <c r="AN302" s="4">
        <f>IFERROR((vp.tbl[[#This Row],[Dens]]-INDEX(crudeBD.lkup.complete[Mean_Dens],MATCH(vp.tbl[[#This Row],[Crude_Breakdown]],crudeBD.lkup.complete[Crude Breakdown],0)))^2,"")</f>
        <v>1.3220993334473594E-4</v>
      </c>
      <c r="AO302" s="4">
        <f>IFERROR((vp.tbl[[#This Row],[Sulf]]-INDEX(crudeBD.lkup.complete[Mean_Sulf],MATCH(vp.tbl[[#This Row],[Crude_Breakdown]],crudeBD.lkup.complete[Crude Breakdown],0)))^2,"")</f>
        <v>6.8863268899706654E-4</v>
      </c>
      <c r="AP302">
        <f>IF(AND(vp.tbl[[#This Row],[SDate]]&gt;=DATE(YEAR(vp.tbl[[#This Row],[SDate]]),5,1),vp.tbl[[#This Row],[SDate]]&lt;=DATE(YEAR(vp.tbl[[#This Row],[SDate]]),9,15)),1,0)</f>
        <v>1</v>
      </c>
      <c r="AQ302" s="15">
        <f>IF(vp.tbl[[#This Row],[SDate]]&lt;DATE(2016,12,1),0,1)</f>
        <v>0</v>
      </c>
    </row>
    <row r="303" spans="1:43" x14ac:dyDescent="0.25">
      <c r="A303">
        <v>302</v>
      </c>
      <c r="B303" t="s">
        <v>51</v>
      </c>
      <c r="C303" t="s">
        <v>51</v>
      </c>
      <c r="D303" t="s">
        <v>66</v>
      </c>
      <c r="F303" s="1">
        <v>42604</v>
      </c>
      <c r="G303" s="2">
        <v>83.1</v>
      </c>
      <c r="H303" s="2"/>
      <c r="I303" s="2">
        <v>0.84</v>
      </c>
      <c r="J303" s="2"/>
      <c r="K303" s="2"/>
      <c r="L303" s="2">
        <v>825</v>
      </c>
      <c r="M303" s="2">
        <v>825</v>
      </c>
      <c r="N303" s="2">
        <f ca="1">INDEX(INDIRECT(_xlfn.CONCAT("weather.tbl[",N$1,"]")),MATCH(vp.tbl[[#This Row],[SDate]],weather.tbl[Date],0))</f>
        <v>23.2</v>
      </c>
      <c r="O303" s="2">
        <f ca="1">INDEX(INDIRECT(_xlfn.CONCAT("weather.tbl[",O$1,"]")),MATCH(vp.tbl[[#This Row],[SDate]],weather.tbl[Date],0))</f>
        <v>18.973809523809525</v>
      </c>
      <c r="P303" s="2">
        <f ca="1">INDEX(INDIRECT(_xlfn.CONCAT("weather.tbl[",P$1,"]")),MATCH(vp.tbl[[#This Row],[SDate]],weather.tbl[Date],0))</f>
        <v>24.3</v>
      </c>
      <c r="Q303" s="2">
        <f ca="1">INDEX(INDIRECT(_xlfn.CONCAT("weather.tbl[",Q$1,"]")),MATCH(vp.tbl[[#This Row],[SDate]],weather.tbl[Date],0))</f>
        <v>23.8</v>
      </c>
      <c r="R303" s="2">
        <f ca="1">INDEX(INDIRECT(_xlfn.CONCAT("weather.tbl[",R$1,"]")),MATCH(vp.tbl[[#This Row],[SDate]],weather.tbl[Date],0))</f>
        <v>22</v>
      </c>
      <c r="S303" s="2">
        <f ca="1">INDEX(INDIRECT(_xlfn.CONCAT("weather.tbl[",S$1,"]")),MATCH(vp.tbl[[#This Row],[SDate]],weather.tbl[Date],0))</f>
        <v>22.8</v>
      </c>
      <c r="T303" s="2">
        <f ca="1">INDEX(INDIRECT(_xlfn.CONCAT("weather.tbl[",T$1,"]")),MATCH(vp.tbl[[#This Row],[SDate]],weather.tbl[Date],0))</f>
        <v>24</v>
      </c>
      <c r="U303" s="2">
        <f ca="1">INDEX(INDIRECT(_xlfn.CONCAT("weather.tbl[",U$1,"]")),MATCH(vp.tbl[[#This Row],[SDate]],weather.tbl[Date],0))</f>
        <v>22.3</v>
      </c>
      <c r="V303" s="2">
        <v>3685.0509999999999</v>
      </c>
      <c r="W303" t="s">
        <v>48</v>
      </c>
      <c r="X303">
        <f>IF(OR(vp.tbl[[#This Row],[Sulf]]="",vp.tbl[[#This Row],[Dens]]=""),1,0)</f>
        <v>0</v>
      </c>
      <c r="Y303">
        <f>IF(vp.tbl[[#This Row],[CrudeType]]="C5+",1,0)</f>
        <v>0</v>
      </c>
      <c r="Z303">
        <f>IF(AND(vp.tbl[[#This Row],[CrudeType]]="Crude",vp.tbl[[#This Row],[Dens]]&lt;=825,vp.tbl[[#This Row],[Sulf]]&gt;0.5,vp.tbl[[#This Row],[Unknown]]=0),1,0)</f>
        <v>1</v>
      </c>
      <c r="AA303">
        <f>IF(AND(vp.tbl[[#This Row],[CrudeType]]="Crude",vp.tbl[[#This Row],[Dens]]&lt;=825,vp.tbl[[#This Row],[Sulf]]&lt;=0.5,vp.tbl[[#This Row],[Unknown]]=0),1,0)</f>
        <v>0</v>
      </c>
      <c r="AB303">
        <f>IF(AND(vp.tbl[[#This Row],[CrudeType]]="Crude",vp.tbl[[#This Row],[Dens]]&gt;825,vp.tbl[[#This Row],[Dens]]&lt;=870,vp.tbl[[#This Row],[Sulf]]&gt;0.5,vp.tbl[[#This Row],[Unknown]]=0),1,0)</f>
        <v>0</v>
      </c>
      <c r="AC303">
        <f>IF(AND(vp.tbl[[#This Row],[CrudeType]]="Crude",vp.tbl[[#This Row],[Dens]]&gt;825,vp.tbl[[#This Row],[Dens]]&lt;=900,vp.tbl[[#This Row],[Sulf]]&lt;=0.5,vp.tbl[[#This Row],[Unknown]]=0),1,0)</f>
        <v>0</v>
      </c>
      <c r="AD303">
        <f>IF(AND(vp.tbl[[#This Row],[CrudeType]]="Crude",vp.tbl[[#This Row],[Dens]]&gt;870,vp.tbl[[#This Row],[Dens]]&lt;=900,vp.tbl[[#This Row],[Sulf]]&gt;0.5,vp.tbl[[#This Row],[Unknown]]=0),1,0)</f>
        <v>0</v>
      </c>
      <c r="AE303">
        <f>IF(AND(vp.tbl[[#This Row],[CrudeType]]="Crude",vp.tbl[[#This Row],[Dens]]&gt;900,vp.tbl[[#This Row],[Sulf]]&lt;=0.5,vp.tbl[[#This Row],[Unknown]]=0),1,0)</f>
        <v>0</v>
      </c>
      <c r="AF303">
        <f>IF(AND(vp.tbl[[#This Row],[CrudeType]]="Crude",vp.tbl[[#This Row],[Dens]]&gt;900,vp.tbl[[#This Row],[Sulf]]&lt;=0.5,vp.tbl[[#This Row],[Unknown]]=0),1,0)</f>
        <v>0</v>
      </c>
      <c r="AG303" t="str">
        <f>INDEX(vp.tbl[[#Headers],[Unknown]:[Heavy_SW]],MATCH(1,vp.tbl[[#This Row],[Unknown]:[Heavy_SW]],0))</f>
        <v>Light_LSB</v>
      </c>
      <c r="AH303" t="e">
        <f>INDEX([1]!crudeBD.lkup[Number],MATCH(vp.tbl[[#This Row],[Crude_Breakdown]],[1]!crudeBD.lkup[Crude Breakdown],0))</f>
        <v>#REF!</v>
      </c>
      <c r="AI303">
        <f>MONTH(vp.tbl[[#This Row],[SDate]])</f>
        <v>8</v>
      </c>
      <c r="AJ303" s="5">
        <f>IFERROR(vp.tbl[[#This Row],[Sulf]]*vp.tbl[[#This Row],[Net Dens]],"")</f>
        <v>2553740.3429999999</v>
      </c>
      <c r="AK303" s="5">
        <f>IFERROR(vp.tbl[[#This Row],[Dens]]*vp.tbl[[#This Row],[VolumeM3]],"")</f>
        <v>3040167.0749999997</v>
      </c>
      <c r="AL303" s="5">
        <f>IFERROR(vp.tbl[[#This Row],[VP]]*vp.tbl[[#This Row],[VolumeM3]],"")</f>
        <v>306227.73809999996</v>
      </c>
      <c r="AM303" s="4">
        <f>IFERROR((vp.tbl[[#This Row],[VP]]-INDEX(crudeBD.lkup.complete[Mean_VP],MATCH(vp.tbl[[#This Row],[Crude_Breakdown]],crudeBD.lkup.complete[Crude Breakdown],0)))^2,"")</f>
        <v>71.338050632373879</v>
      </c>
      <c r="AN303" s="4">
        <f>IFERROR((vp.tbl[[#This Row],[Dens]]-INDEX(crudeBD.lkup.complete[Mean_Dens],MATCH(vp.tbl[[#This Row],[Crude_Breakdown]],crudeBD.lkup.complete[Crude Breakdown],0)))^2,"")</f>
        <v>42.032274351983858</v>
      </c>
      <c r="AO303" s="4">
        <f>IFERROR((vp.tbl[[#This Row],[Sulf]]-INDEX(crudeBD.lkup.complete[Mean_Sulf],MATCH(vp.tbl[[#This Row],[Crude_Breakdown]],crudeBD.lkup.complete[Crude Breakdown],0)))^2,"")</f>
        <v>6.8842147831520281E-3</v>
      </c>
      <c r="AP303">
        <f>IF(AND(vp.tbl[[#This Row],[SDate]]&gt;=DATE(YEAR(vp.tbl[[#This Row],[SDate]]),5,1),vp.tbl[[#This Row],[SDate]]&lt;=DATE(YEAR(vp.tbl[[#This Row],[SDate]]),9,15)),1,0)</f>
        <v>1</v>
      </c>
      <c r="AQ303" s="15">
        <f>IF(vp.tbl[[#This Row],[SDate]]&lt;DATE(2016,12,1),0,1)</f>
        <v>0</v>
      </c>
    </row>
    <row r="304" spans="1:43" x14ac:dyDescent="0.25">
      <c r="A304">
        <v>303</v>
      </c>
      <c r="B304" t="s">
        <v>49</v>
      </c>
      <c r="C304" t="s">
        <v>49</v>
      </c>
      <c r="D304" t="s">
        <v>74</v>
      </c>
      <c r="F304" s="1">
        <v>42607</v>
      </c>
      <c r="G304" s="2">
        <v>90.4</v>
      </c>
      <c r="H304" s="2"/>
      <c r="I304" s="2">
        <v>0.15</v>
      </c>
      <c r="J304" s="2"/>
      <c r="K304" s="2"/>
      <c r="L304" s="2">
        <v>807.3</v>
      </c>
      <c r="M304" s="2">
        <v>807.3</v>
      </c>
      <c r="N304" s="2">
        <f ca="1">INDEX(INDIRECT(_xlfn.CONCAT("weather.tbl[",N$1,"]")),MATCH(vp.tbl[[#This Row],[SDate]],weather.tbl[Date],0))</f>
        <v>15.85</v>
      </c>
      <c r="O304" s="2">
        <f ca="1">INDEX(INDIRECT(_xlfn.CONCAT("weather.tbl[",O$1,"]")),MATCH(vp.tbl[[#This Row],[SDate]],weather.tbl[Date],0))</f>
        <v>17.214285714285715</v>
      </c>
      <c r="P304" s="2">
        <f ca="1">INDEX(INDIRECT(_xlfn.CONCAT("weather.tbl[",P$1,"]")),MATCH(vp.tbl[[#This Row],[SDate]],weather.tbl[Date],0))</f>
        <v>16.5</v>
      </c>
      <c r="Q304" s="2">
        <f ca="1">INDEX(INDIRECT(_xlfn.CONCAT("weather.tbl[",Q$1,"]")),MATCH(vp.tbl[[#This Row],[SDate]],weather.tbl[Date],0))</f>
        <v>15.4</v>
      </c>
      <c r="R304" s="2">
        <f ca="1">INDEX(INDIRECT(_xlfn.CONCAT("weather.tbl[",R$1,"]")),MATCH(vp.tbl[[#This Row],[SDate]],weather.tbl[Date],0))</f>
        <v>16.3</v>
      </c>
      <c r="S304" s="2">
        <f ca="1">INDEX(INDIRECT(_xlfn.CONCAT("weather.tbl[",S$1,"]")),MATCH(vp.tbl[[#This Row],[SDate]],weather.tbl[Date],0))</f>
        <v>16.3</v>
      </c>
      <c r="T304" s="2">
        <f ca="1">INDEX(INDIRECT(_xlfn.CONCAT("weather.tbl[",T$1,"]")),MATCH(vp.tbl[[#This Row],[SDate]],weather.tbl[Date],0))</f>
        <v>16.100000000000001</v>
      </c>
      <c r="U304" s="2">
        <f ca="1">INDEX(INDIRECT(_xlfn.CONCAT("weather.tbl[",U$1,"]")),MATCH(vp.tbl[[#This Row],[SDate]],weather.tbl[Date],0))</f>
        <v>14.5</v>
      </c>
      <c r="V304" s="2">
        <v>40201.538</v>
      </c>
      <c r="W304" t="s">
        <v>48</v>
      </c>
      <c r="X304">
        <f>IF(OR(vp.tbl[[#This Row],[Sulf]]="",vp.tbl[[#This Row],[Dens]]=""),1,0)</f>
        <v>0</v>
      </c>
      <c r="Y304">
        <f>IF(vp.tbl[[#This Row],[CrudeType]]="C5+",1,0)</f>
        <v>0</v>
      </c>
      <c r="Z304">
        <f>IF(AND(vp.tbl[[#This Row],[CrudeType]]="Crude",vp.tbl[[#This Row],[Dens]]&lt;=825,vp.tbl[[#This Row],[Sulf]]&gt;0.5,vp.tbl[[#This Row],[Unknown]]=0),1,0)</f>
        <v>0</v>
      </c>
      <c r="AA304">
        <f>IF(AND(vp.tbl[[#This Row],[CrudeType]]="Crude",vp.tbl[[#This Row],[Dens]]&lt;=825,vp.tbl[[#This Row],[Sulf]]&lt;=0.5,vp.tbl[[#This Row],[Unknown]]=0),1,0)</f>
        <v>1</v>
      </c>
      <c r="AB304">
        <f>IF(AND(vp.tbl[[#This Row],[CrudeType]]="Crude",vp.tbl[[#This Row],[Dens]]&gt;825,vp.tbl[[#This Row],[Dens]]&lt;=870,vp.tbl[[#This Row],[Sulf]]&gt;0.5,vp.tbl[[#This Row],[Unknown]]=0),1,0)</f>
        <v>0</v>
      </c>
      <c r="AC304">
        <f>IF(AND(vp.tbl[[#This Row],[CrudeType]]="Crude",vp.tbl[[#This Row],[Dens]]&gt;825,vp.tbl[[#This Row],[Dens]]&lt;=900,vp.tbl[[#This Row],[Sulf]]&lt;=0.5,vp.tbl[[#This Row],[Unknown]]=0),1,0)</f>
        <v>0</v>
      </c>
      <c r="AD304">
        <f>IF(AND(vp.tbl[[#This Row],[CrudeType]]="Crude",vp.tbl[[#This Row],[Dens]]&gt;870,vp.tbl[[#This Row],[Dens]]&lt;=900,vp.tbl[[#This Row],[Sulf]]&gt;0.5,vp.tbl[[#This Row],[Unknown]]=0),1,0)</f>
        <v>0</v>
      </c>
      <c r="AE304">
        <f>IF(AND(vp.tbl[[#This Row],[CrudeType]]="Crude",vp.tbl[[#This Row],[Dens]]&gt;900,vp.tbl[[#This Row],[Sulf]]&lt;=0.5,vp.tbl[[#This Row],[Unknown]]=0),1,0)</f>
        <v>0</v>
      </c>
      <c r="AF304">
        <f>IF(AND(vp.tbl[[#This Row],[CrudeType]]="Crude",vp.tbl[[#This Row],[Dens]]&gt;900,vp.tbl[[#This Row],[Sulf]]&lt;=0.5,vp.tbl[[#This Row],[Unknown]]=0),1,0)</f>
        <v>0</v>
      </c>
      <c r="AG304" t="str">
        <f>INDEX(vp.tbl[[#Headers],[Unknown]:[Heavy_SW]],MATCH(1,vp.tbl[[#This Row],[Unknown]:[Heavy_SW]],0))</f>
        <v>Light_SW</v>
      </c>
      <c r="AH304" t="e">
        <f>INDEX([1]!crudeBD.lkup[Number],MATCH(vp.tbl[[#This Row],[Crude_Breakdown]],[1]!crudeBD.lkup[Crude Breakdown],0))</f>
        <v>#REF!</v>
      </c>
      <c r="AI304">
        <f>MONTH(vp.tbl[[#This Row],[SDate]])</f>
        <v>8</v>
      </c>
      <c r="AJ304" s="5">
        <f>IFERROR(vp.tbl[[#This Row],[Sulf]]*vp.tbl[[#This Row],[Net Dens]],"")</f>
        <v>4868205.2441099994</v>
      </c>
      <c r="AK304" s="5">
        <f>IFERROR(vp.tbl[[#This Row],[Dens]]*vp.tbl[[#This Row],[VolumeM3]],"")</f>
        <v>32454701.6274</v>
      </c>
      <c r="AL304" s="5">
        <f>IFERROR(vp.tbl[[#This Row],[VP]]*vp.tbl[[#This Row],[VolumeM3]],"")</f>
        <v>3634219.0352000003</v>
      </c>
      <c r="AM304" s="4">
        <f>IFERROR((vp.tbl[[#This Row],[VP]]-INDEX(crudeBD.lkup.complete[Mean_VP],MATCH(vp.tbl[[#This Row],[Crude_Breakdown]],crudeBD.lkup.complete[Crude Breakdown],0)))^2,"")</f>
        <v>4.6238485303935644</v>
      </c>
      <c r="AN304" s="4">
        <f>IFERROR((vp.tbl[[#This Row],[Dens]]-INDEX(crudeBD.lkup.complete[Mean_Dens],MATCH(vp.tbl[[#This Row],[Crude_Breakdown]],crudeBD.lkup.complete[Crude Breakdown],0)))^2,"")</f>
        <v>1.0231287256124415</v>
      </c>
      <c r="AO304" s="4">
        <f>IFERROR((vp.tbl[[#This Row],[Sulf]]-INDEX(crudeBD.lkup.complete[Mean_Sulf],MATCH(vp.tbl[[#This Row],[Crude_Breakdown]],crudeBD.lkup.complete[Crude Breakdown],0)))^2,"")</f>
        <v>7.4376501105998362E-3</v>
      </c>
      <c r="AP304">
        <f>IF(AND(vp.tbl[[#This Row],[SDate]]&gt;=DATE(YEAR(vp.tbl[[#This Row],[SDate]]),5,1),vp.tbl[[#This Row],[SDate]]&lt;=DATE(YEAR(vp.tbl[[#This Row],[SDate]]),9,15)),1,0)</f>
        <v>1</v>
      </c>
      <c r="AQ304" s="15">
        <f>IF(vp.tbl[[#This Row],[SDate]]&lt;DATE(2016,12,1),0,1)</f>
        <v>0</v>
      </c>
    </row>
    <row r="305" spans="1:43" x14ac:dyDescent="0.25">
      <c r="A305">
        <v>304</v>
      </c>
      <c r="B305" t="s">
        <v>49</v>
      </c>
      <c r="C305" t="s">
        <v>49</v>
      </c>
      <c r="D305" t="s">
        <v>50</v>
      </c>
      <c r="F305" s="1">
        <v>42607</v>
      </c>
      <c r="G305" s="2">
        <v>39.4</v>
      </c>
      <c r="H305" s="2"/>
      <c r="I305" s="2">
        <v>2.81</v>
      </c>
      <c r="J305" s="2"/>
      <c r="K305" s="2"/>
      <c r="L305" s="2">
        <v>867.4</v>
      </c>
      <c r="M305" s="2">
        <v>867.4</v>
      </c>
      <c r="N305" s="2">
        <f ca="1">INDEX(INDIRECT(_xlfn.CONCAT("weather.tbl[",N$1,"]")),MATCH(vp.tbl[[#This Row],[SDate]],weather.tbl[Date],0))</f>
        <v>15.85</v>
      </c>
      <c r="O305" s="2">
        <f ca="1">INDEX(INDIRECT(_xlfn.CONCAT("weather.tbl[",O$1,"]")),MATCH(vp.tbl[[#This Row],[SDate]],weather.tbl[Date],0))</f>
        <v>17.214285714285715</v>
      </c>
      <c r="P305" s="2">
        <f ca="1">INDEX(INDIRECT(_xlfn.CONCAT("weather.tbl[",P$1,"]")),MATCH(vp.tbl[[#This Row],[SDate]],weather.tbl[Date],0))</f>
        <v>16.5</v>
      </c>
      <c r="Q305" s="2">
        <f ca="1">INDEX(INDIRECT(_xlfn.CONCAT("weather.tbl[",Q$1,"]")),MATCH(vp.tbl[[#This Row],[SDate]],weather.tbl[Date],0))</f>
        <v>15.4</v>
      </c>
      <c r="R305" s="2">
        <f ca="1">INDEX(INDIRECT(_xlfn.CONCAT("weather.tbl[",R$1,"]")),MATCH(vp.tbl[[#This Row],[SDate]],weather.tbl[Date],0))</f>
        <v>16.3</v>
      </c>
      <c r="S305" s="2">
        <f ca="1">INDEX(INDIRECT(_xlfn.CONCAT("weather.tbl[",S$1,"]")),MATCH(vp.tbl[[#This Row],[SDate]],weather.tbl[Date],0))</f>
        <v>16.3</v>
      </c>
      <c r="T305" s="2">
        <f ca="1">INDEX(INDIRECT(_xlfn.CONCAT("weather.tbl[",T$1,"]")),MATCH(vp.tbl[[#This Row],[SDate]],weather.tbl[Date],0))</f>
        <v>16.100000000000001</v>
      </c>
      <c r="U305" s="2">
        <f ca="1">INDEX(INDIRECT(_xlfn.CONCAT("weather.tbl[",U$1,"]")),MATCH(vp.tbl[[#This Row],[SDate]],weather.tbl[Date],0))</f>
        <v>14.5</v>
      </c>
      <c r="V305" s="2">
        <v>5480.2830000000004</v>
      </c>
      <c r="W305" t="s">
        <v>48</v>
      </c>
      <c r="X305">
        <f>IF(OR(vp.tbl[[#This Row],[Sulf]]="",vp.tbl[[#This Row],[Dens]]=""),1,0)</f>
        <v>0</v>
      </c>
      <c r="Y305">
        <f>IF(vp.tbl[[#This Row],[CrudeType]]="C5+",1,0)</f>
        <v>0</v>
      </c>
      <c r="Z305">
        <f>IF(AND(vp.tbl[[#This Row],[CrudeType]]="Crude",vp.tbl[[#This Row],[Dens]]&lt;=825,vp.tbl[[#This Row],[Sulf]]&gt;0.5,vp.tbl[[#This Row],[Unknown]]=0),1,0)</f>
        <v>0</v>
      </c>
      <c r="AA305">
        <f>IF(AND(vp.tbl[[#This Row],[CrudeType]]="Crude",vp.tbl[[#This Row],[Dens]]&lt;=825,vp.tbl[[#This Row],[Sulf]]&lt;=0.5,vp.tbl[[#This Row],[Unknown]]=0),1,0)</f>
        <v>0</v>
      </c>
      <c r="AB305">
        <f>IF(AND(vp.tbl[[#This Row],[CrudeType]]="Crude",vp.tbl[[#This Row],[Dens]]&gt;825,vp.tbl[[#This Row],[Dens]]&lt;=870,vp.tbl[[#This Row],[Sulf]]&gt;0.5,vp.tbl[[#This Row],[Unknown]]=0),1,0)</f>
        <v>1</v>
      </c>
      <c r="AC305">
        <f>IF(AND(vp.tbl[[#This Row],[CrudeType]]="Crude",vp.tbl[[#This Row],[Dens]]&gt;825,vp.tbl[[#This Row],[Dens]]&lt;=900,vp.tbl[[#This Row],[Sulf]]&lt;=0.5,vp.tbl[[#This Row],[Unknown]]=0),1,0)</f>
        <v>0</v>
      </c>
      <c r="AD305">
        <f>IF(AND(vp.tbl[[#This Row],[CrudeType]]="Crude",vp.tbl[[#This Row],[Dens]]&gt;870,vp.tbl[[#This Row],[Dens]]&lt;=900,vp.tbl[[#This Row],[Sulf]]&gt;0.5,vp.tbl[[#This Row],[Unknown]]=0),1,0)</f>
        <v>0</v>
      </c>
      <c r="AE305">
        <f>IF(AND(vp.tbl[[#This Row],[CrudeType]]="Crude",vp.tbl[[#This Row],[Dens]]&gt;900,vp.tbl[[#This Row],[Sulf]]&lt;=0.5,vp.tbl[[#This Row],[Unknown]]=0),1,0)</f>
        <v>0</v>
      </c>
      <c r="AF305">
        <f>IF(AND(vp.tbl[[#This Row],[CrudeType]]="Crude",vp.tbl[[#This Row],[Dens]]&gt;900,vp.tbl[[#This Row],[Sulf]]&lt;=0.5,vp.tbl[[#This Row],[Unknown]]=0),1,0)</f>
        <v>0</v>
      </c>
      <c r="AG305" t="str">
        <f>INDEX(vp.tbl[[#Headers],[Unknown]:[Heavy_SW]],MATCH(1,vp.tbl[[#This Row],[Unknown]:[Heavy_SW]],0))</f>
        <v>Medium_LSB</v>
      </c>
      <c r="AH305" t="e">
        <f>INDEX([1]!crudeBD.lkup[Number],MATCH(vp.tbl[[#This Row],[Crude_Breakdown]],[1]!crudeBD.lkup[Crude Breakdown],0))</f>
        <v>#REF!</v>
      </c>
      <c r="AI305">
        <f>MONTH(vp.tbl[[#This Row],[SDate]])</f>
        <v>8</v>
      </c>
      <c r="AJ305" s="5">
        <f>IFERROR(vp.tbl[[#This Row],[Sulf]]*vp.tbl[[#This Row],[Net Dens]],"")</f>
        <v>13357608.902502</v>
      </c>
      <c r="AK305" s="5">
        <f>IFERROR(vp.tbl[[#This Row],[Dens]]*vp.tbl[[#This Row],[VolumeM3]],"")</f>
        <v>4753597.4742000001</v>
      </c>
      <c r="AL305" s="5">
        <f>IFERROR(vp.tbl[[#This Row],[VP]]*vp.tbl[[#This Row],[VolumeM3]],"")</f>
        <v>215923.1502</v>
      </c>
      <c r="AM305" s="4">
        <f>IFERROR((vp.tbl[[#This Row],[VP]]-INDEX(crudeBD.lkup.complete[Mean_VP],MATCH(vp.tbl[[#This Row],[Crude_Breakdown]],crudeBD.lkup.complete[Crude Breakdown],0)))^2,"")</f>
        <v>1662.4860440628077</v>
      </c>
      <c r="AN305" s="4">
        <f>IFERROR((vp.tbl[[#This Row],[Dens]]-INDEX(crudeBD.lkup.complete[Mean_Dens],MATCH(vp.tbl[[#This Row],[Crude_Breakdown]],crudeBD.lkup.complete[Crude Breakdown],0)))^2,"")</f>
        <v>488.77149977828321</v>
      </c>
      <c r="AO305" s="4">
        <f>IFERROR((vp.tbl[[#This Row],[Sulf]]-INDEX(crudeBD.lkup.complete[Mean_Sulf],MATCH(vp.tbl[[#This Row],[Crude_Breakdown]],crudeBD.lkup.complete[Crude Breakdown],0)))^2,"")</f>
        <v>1.8362150822612813</v>
      </c>
      <c r="AP305">
        <f>IF(AND(vp.tbl[[#This Row],[SDate]]&gt;=DATE(YEAR(vp.tbl[[#This Row],[SDate]]),5,1),vp.tbl[[#This Row],[SDate]]&lt;=DATE(YEAR(vp.tbl[[#This Row],[SDate]]),9,15)),1,0)</f>
        <v>1</v>
      </c>
      <c r="AQ305" s="15">
        <f>IF(vp.tbl[[#This Row],[SDate]]&lt;DATE(2016,12,1),0,1)</f>
        <v>0</v>
      </c>
    </row>
    <row r="306" spans="1:43" x14ac:dyDescent="0.25">
      <c r="A306">
        <v>305</v>
      </c>
      <c r="B306" t="s">
        <v>46</v>
      </c>
      <c r="C306" t="s">
        <v>46</v>
      </c>
      <c r="D306" t="s">
        <v>47</v>
      </c>
      <c r="F306" s="1">
        <v>42607</v>
      </c>
      <c r="G306" s="2">
        <v>67.099999999999994</v>
      </c>
      <c r="H306" s="2"/>
      <c r="I306" s="2">
        <v>2.31</v>
      </c>
      <c r="J306" s="2"/>
      <c r="K306" s="2"/>
      <c r="L306" s="2">
        <v>870.4</v>
      </c>
      <c r="M306" s="2">
        <v>870.4</v>
      </c>
      <c r="N306" s="2">
        <f ca="1">INDEX(INDIRECT(_xlfn.CONCAT("weather.tbl[",N$1,"]")),MATCH(vp.tbl[[#This Row],[SDate]],weather.tbl[Date],0))</f>
        <v>15.85</v>
      </c>
      <c r="O306" s="2">
        <f ca="1">INDEX(INDIRECT(_xlfn.CONCAT("weather.tbl[",O$1,"]")),MATCH(vp.tbl[[#This Row],[SDate]],weather.tbl[Date],0))</f>
        <v>17.214285714285715</v>
      </c>
      <c r="P306" s="2">
        <f ca="1">INDEX(INDIRECT(_xlfn.CONCAT("weather.tbl[",P$1,"]")),MATCH(vp.tbl[[#This Row],[SDate]],weather.tbl[Date],0))</f>
        <v>16.5</v>
      </c>
      <c r="Q306" s="2">
        <f ca="1">INDEX(INDIRECT(_xlfn.CONCAT("weather.tbl[",Q$1,"]")),MATCH(vp.tbl[[#This Row],[SDate]],weather.tbl[Date],0))</f>
        <v>15.4</v>
      </c>
      <c r="R306" s="2">
        <f ca="1">INDEX(INDIRECT(_xlfn.CONCAT("weather.tbl[",R$1,"]")),MATCH(vp.tbl[[#This Row],[SDate]],weather.tbl[Date],0))</f>
        <v>16.3</v>
      </c>
      <c r="S306" s="2">
        <f ca="1">INDEX(INDIRECT(_xlfn.CONCAT("weather.tbl[",S$1,"]")),MATCH(vp.tbl[[#This Row],[SDate]],weather.tbl[Date],0))</f>
        <v>16.3</v>
      </c>
      <c r="T306" s="2">
        <f ca="1">INDEX(INDIRECT(_xlfn.CONCAT("weather.tbl[",T$1,"]")),MATCH(vp.tbl[[#This Row],[SDate]],weather.tbl[Date],0))</f>
        <v>16.100000000000001</v>
      </c>
      <c r="U306" s="2">
        <f ca="1">INDEX(INDIRECT(_xlfn.CONCAT("weather.tbl[",U$1,"]")),MATCH(vp.tbl[[#This Row],[SDate]],weather.tbl[Date],0))</f>
        <v>14.5</v>
      </c>
      <c r="V306" s="2">
        <v>117553.995</v>
      </c>
      <c r="W306" t="s">
        <v>48</v>
      </c>
      <c r="X306">
        <f>IF(OR(vp.tbl[[#This Row],[Sulf]]="",vp.tbl[[#This Row],[Dens]]=""),1,0)</f>
        <v>0</v>
      </c>
      <c r="Y306">
        <f>IF(vp.tbl[[#This Row],[CrudeType]]="C5+",1,0)</f>
        <v>0</v>
      </c>
      <c r="Z306">
        <f>IF(AND(vp.tbl[[#This Row],[CrudeType]]="Crude",vp.tbl[[#This Row],[Dens]]&lt;=825,vp.tbl[[#This Row],[Sulf]]&gt;0.5,vp.tbl[[#This Row],[Unknown]]=0),1,0)</f>
        <v>0</v>
      </c>
      <c r="AA306">
        <f>IF(AND(vp.tbl[[#This Row],[CrudeType]]="Crude",vp.tbl[[#This Row],[Dens]]&lt;=825,vp.tbl[[#This Row],[Sulf]]&lt;=0.5,vp.tbl[[#This Row],[Unknown]]=0),1,0)</f>
        <v>0</v>
      </c>
      <c r="AB306">
        <f>IF(AND(vp.tbl[[#This Row],[CrudeType]]="Crude",vp.tbl[[#This Row],[Dens]]&gt;825,vp.tbl[[#This Row],[Dens]]&lt;=870,vp.tbl[[#This Row],[Sulf]]&gt;0.5,vp.tbl[[#This Row],[Unknown]]=0),1,0)</f>
        <v>0</v>
      </c>
      <c r="AC306">
        <f>IF(AND(vp.tbl[[#This Row],[CrudeType]]="Crude",vp.tbl[[#This Row],[Dens]]&gt;825,vp.tbl[[#This Row],[Dens]]&lt;=900,vp.tbl[[#This Row],[Sulf]]&lt;=0.5,vp.tbl[[#This Row],[Unknown]]=0),1,0)</f>
        <v>0</v>
      </c>
      <c r="AD306">
        <f>IF(AND(vp.tbl[[#This Row],[CrudeType]]="Crude",vp.tbl[[#This Row],[Dens]]&gt;870,vp.tbl[[#This Row],[Dens]]&lt;=900,vp.tbl[[#This Row],[Sulf]]&gt;0.5,vp.tbl[[#This Row],[Unknown]]=0),1,0)</f>
        <v>1</v>
      </c>
      <c r="AE306">
        <f>IF(AND(vp.tbl[[#This Row],[CrudeType]]="Crude",vp.tbl[[#This Row],[Dens]]&gt;900,vp.tbl[[#This Row],[Sulf]]&lt;=0.5,vp.tbl[[#This Row],[Unknown]]=0),1,0)</f>
        <v>0</v>
      </c>
      <c r="AF306">
        <f>IF(AND(vp.tbl[[#This Row],[CrudeType]]="Crude",vp.tbl[[#This Row],[Dens]]&gt;900,vp.tbl[[#This Row],[Sulf]]&lt;=0.5,vp.tbl[[#This Row],[Unknown]]=0),1,0)</f>
        <v>0</v>
      </c>
      <c r="AG306" t="str">
        <f>INDEX(vp.tbl[[#Headers],[Unknown]:[Heavy_SW]],MATCH(1,vp.tbl[[#This Row],[Unknown]:[Heavy_SW]],0))</f>
        <v>Midale</v>
      </c>
      <c r="AH306" t="e">
        <f>INDEX([1]!crudeBD.lkup[Number],MATCH(vp.tbl[[#This Row],[Crude_Breakdown]],[1]!crudeBD.lkup[Crude Breakdown],0))</f>
        <v>#REF!</v>
      </c>
      <c r="AI306">
        <f>MONTH(vp.tbl[[#This Row],[SDate]])</f>
        <v>8</v>
      </c>
      <c r="AJ306" s="5">
        <f>IFERROR(vp.tbl[[#This Row],[Sulf]]*vp.tbl[[#This Row],[Net Dens]],"")</f>
        <v>236356883.64287999</v>
      </c>
      <c r="AK306" s="5">
        <f>IFERROR(vp.tbl[[#This Row],[Dens]]*vp.tbl[[#This Row],[VolumeM3]],"")</f>
        <v>102318997.248</v>
      </c>
      <c r="AL306" s="5">
        <f>IFERROR(vp.tbl[[#This Row],[VP]]*vp.tbl[[#This Row],[VolumeM3]],"")</f>
        <v>7887873.0644999994</v>
      </c>
      <c r="AM306" s="4">
        <f>IFERROR((vp.tbl[[#This Row],[VP]]-INDEX(crudeBD.lkup.complete[Mean_VP],MATCH(vp.tbl[[#This Row],[Crude_Breakdown]],crudeBD.lkup.complete[Crude Breakdown],0)))^2,"")</f>
        <v>1.2958547569900973</v>
      </c>
      <c r="AN306" s="4">
        <f>IFERROR((vp.tbl[[#This Row],[Dens]]-INDEX(crudeBD.lkup.complete[Mean_Dens],MATCH(vp.tbl[[#This Row],[Crude_Breakdown]],crudeBD.lkup.complete[Crude Breakdown],0)))^2,"")</f>
        <v>51.151887783820349</v>
      </c>
      <c r="AO306" s="4">
        <f>IFERROR((vp.tbl[[#This Row],[Sulf]]-INDEX(crudeBD.lkup.complete[Mean_Sulf],MATCH(vp.tbl[[#This Row],[Crude_Breakdown]],crudeBD.lkup.complete[Crude Breakdown],0)))^2,"")</f>
        <v>1.1096544460292464E-2</v>
      </c>
      <c r="AP306">
        <f>IF(AND(vp.tbl[[#This Row],[SDate]]&gt;=DATE(YEAR(vp.tbl[[#This Row],[SDate]]),5,1),vp.tbl[[#This Row],[SDate]]&lt;=DATE(YEAR(vp.tbl[[#This Row],[SDate]]),9,15)),1,0)</f>
        <v>1</v>
      </c>
      <c r="AQ306" s="15">
        <f>IF(vp.tbl[[#This Row],[SDate]]&lt;DATE(2016,12,1),0,1)</f>
        <v>0</v>
      </c>
    </row>
    <row r="307" spans="1:43" x14ac:dyDescent="0.25">
      <c r="A307">
        <v>306</v>
      </c>
      <c r="B307" t="s">
        <v>51</v>
      </c>
      <c r="C307" t="s">
        <v>51</v>
      </c>
      <c r="D307" t="s">
        <v>52</v>
      </c>
      <c r="F307" s="1">
        <v>42607</v>
      </c>
      <c r="G307" s="2">
        <v>51.4</v>
      </c>
      <c r="H307" s="2"/>
      <c r="I307" s="2">
        <v>2.27</v>
      </c>
      <c r="J307" s="2"/>
      <c r="K307" s="2"/>
      <c r="L307" s="2">
        <v>874</v>
      </c>
      <c r="M307" s="2">
        <v>874</v>
      </c>
      <c r="N307" s="2">
        <f ca="1">INDEX(INDIRECT(_xlfn.CONCAT("weather.tbl[",N$1,"]")),MATCH(vp.tbl[[#This Row],[SDate]],weather.tbl[Date],0))</f>
        <v>15.85</v>
      </c>
      <c r="O307" s="2">
        <f ca="1">INDEX(INDIRECT(_xlfn.CONCAT("weather.tbl[",O$1,"]")),MATCH(vp.tbl[[#This Row],[SDate]],weather.tbl[Date],0))</f>
        <v>17.214285714285715</v>
      </c>
      <c r="P307" s="2">
        <f ca="1">INDEX(INDIRECT(_xlfn.CONCAT("weather.tbl[",P$1,"]")),MATCH(vp.tbl[[#This Row],[SDate]],weather.tbl[Date],0))</f>
        <v>16.5</v>
      </c>
      <c r="Q307" s="2">
        <f ca="1">INDEX(INDIRECT(_xlfn.CONCAT("weather.tbl[",Q$1,"]")),MATCH(vp.tbl[[#This Row],[SDate]],weather.tbl[Date],0))</f>
        <v>15.4</v>
      </c>
      <c r="R307" s="2">
        <f ca="1">INDEX(INDIRECT(_xlfn.CONCAT("weather.tbl[",R$1,"]")),MATCH(vp.tbl[[#This Row],[SDate]],weather.tbl[Date],0))</f>
        <v>16.3</v>
      </c>
      <c r="S307" s="2">
        <f ca="1">INDEX(INDIRECT(_xlfn.CONCAT("weather.tbl[",S$1,"]")),MATCH(vp.tbl[[#This Row],[SDate]],weather.tbl[Date],0))</f>
        <v>16.3</v>
      </c>
      <c r="T307" s="2">
        <f ca="1">INDEX(INDIRECT(_xlfn.CONCAT("weather.tbl[",T$1,"]")),MATCH(vp.tbl[[#This Row],[SDate]],weather.tbl[Date],0))</f>
        <v>16.100000000000001</v>
      </c>
      <c r="U307" s="2">
        <f ca="1">INDEX(INDIRECT(_xlfn.CONCAT("weather.tbl[",U$1,"]")),MATCH(vp.tbl[[#This Row],[SDate]],weather.tbl[Date],0))</f>
        <v>14.5</v>
      </c>
      <c r="V307" s="2">
        <v>7714.7539999999999</v>
      </c>
      <c r="W307" t="s">
        <v>48</v>
      </c>
      <c r="X307">
        <f>IF(OR(vp.tbl[[#This Row],[Sulf]]="",vp.tbl[[#This Row],[Dens]]=""),1,0)</f>
        <v>0</v>
      </c>
      <c r="Y307">
        <f>IF(vp.tbl[[#This Row],[CrudeType]]="C5+",1,0)</f>
        <v>0</v>
      </c>
      <c r="Z307">
        <f>IF(AND(vp.tbl[[#This Row],[CrudeType]]="Crude",vp.tbl[[#This Row],[Dens]]&lt;=825,vp.tbl[[#This Row],[Sulf]]&gt;0.5,vp.tbl[[#This Row],[Unknown]]=0),1,0)</f>
        <v>0</v>
      </c>
      <c r="AA307">
        <f>IF(AND(vp.tbl[[#This Row],[CrudeType]]="Crude",vp.tbl[[#This Row],[Dens]]&lt;=825,vp.tbl[[#This Row],[Sulf]]&lt;=0.5,vp.tbl[[#This Row],[Unknown]]=0),1,0)</f>
        <v>0</v>
      </c>
      <c r="AB307">
        <f>IF(AND(vp.tbl[[#This Row],[CrudeType]]="Crude",vp.tbl[[#This Row],[Dens]]&gt;825,vp.tbl[[#This Row],[Dens]]&lt;=870,vp.tbl[[#This Row],[Sulf]]&gt;0.5,vp.tbl[[#This Row],[Unknown]]=0),1,0)</f>
        <v>0</v>
      </c>
      <c r="AC307">
        <f>IF(AND(vp.tbl[[#This Row],[CrudeType]]="Crude",vp.tbl[[#This Row],[Dens]]&gt;825,vp.tbl[[#This Row],[Dens]]&lt;=900,vp.tbl[[#This Row],[Sulf]]&lt;=0.5,vp.tbl[[#This Row],[Unknown]]=0),1,0)</f>
        <v>0</v>
      </c>
      <c r="AD307">
        <f>IF(AND(vp.tbl[[#This Row],[CrudeType]]="Crude",vp.tbl[[#This Row],[Dens]]&gt;870,vp.tbl[[#This Row],[Dens]]&lt;=900,vp.tbl[[#This Row],[Sulf]]&gt;0.5,vp.tbl[[#This Row],[Unknown]]=0),1,0)</f>
        <v>1</v>
      </c>
      <c r="AE307">
        <f>IF(AND(vp.tbl[[#This Row],[CrudeType]]="Crude",vp.tbl[[#This Row],[Dens]]&gt;900,vp.tbl[[#This Row],[Sulf]]&lt;=0.5,vp.tbl[[#This Row],[Unknown]]=0),1,0)</f>
        <v>0</v>
      </c>
      <c r="AF307">
        <f>IF(AND(vp.tbl[[#This Row],[CrudeType]]="Crude",vp.tbl[[#This Row],[Dens]]&gt;900,vp.tbl[[#This Row],[Sulf]]&lt;=0.5,vp.tbl[[#This Row],[Unknown]]=0),1,0)</f>
        <v>0</v>
      </c>
      <c r="AG307" t="str">
        <f>INDEX(vp.tbl[[#Headers],[Unknown]:[Heavy_SW]],MATCH(1,vp.tbl[[#This Row],[Unknown]:[Heavy_SW]],0))</f>
        <v>Midale</v>
      </c>
      <c r="AH307" t="e">
        <f>INDEX([1]!crudeBD.lkup[Number],MATCH(vp.tbl[[#This Row],[Crude_Breakdown]],[1]!crudeBD.lkup[Crude Breakdown],0))</f>
        <v>#REF!</v>
      </c>
      <c r="AI307">
        <f>MONTH(vp.tbl[[#This Row],[SDate]])</f>
        <v>8</v>
      </c>
      <c r="AJ307" s="5">
        <f>IFERROR(vp.tbl[[#This Row],[Sulf]]*vp.tbl[[#This Row],[Net Dens]],"")</f>
        <v>15305917.64092</v>
      </c>
      <c r="AK307" s="5">
        <f>IFERROR(vp.tbl[[#This Row],[Dens]]*vp.tbl[[#This Row],[VolumeM3]],"")</f>
        <v>6742694.9960000003</v>
      </c>
      <c r="AL307" s="5">
        <f>IFERROR(vp.tbl[[#This Row],[VP]]*vp.tbl[[#This Row],[VolumeM3]],"")</f>
        <v>396538.35560000001</v>
      </c>
      <c r="AM307" s="4">
        <f>IFERROR((vp.tbl[[#This Row],[VP]]-INDEX(crudeBD.lkup.complete[Mean_VP],MATCH(vp.tbl[[#This Row],[Crude_Breakdown]],crudeBD.lkup.complete[Crude Breakdown],0)))^2,"")</f>
        <v>283.53023831863436</v>
      </c>
      <c r="AN307" s="4">
        <f>IFERROR((vp.tbl[[#This Row],[Dens]]-INDEX(crudeBD.lkup.complete[Mean_Dens],MATCH(vp.tbl[[#This Row],[Crude_Breakdown]],crudeBD.lkup.complete[Crude Breakdown],0)))^2,"")</f>
        <v>12.617093263274262</v>
      </c>
      <c r="AO307" s="4">
        <f>IFERROR((vp.tbl[[#This Row],[Sulf]]-INDEX(crudeBD.lkup.complete[Mean_Sulf],MATCH(vp.tbl[[#This Row],[Crude_Breakdown]],crudeBD.lkup.complete[Crude Breakdown],0)))^2,"")</f>
        <v>2.1123755419196481E-2</v>
      </c>
      <c r="AP307">
        <f>IF(AND(vp.tbl[[#This Row],[SDate]]&gt;=DATE(YEAR(vp.tbl[[#This Row],[SDate]]),5,1),vp.tbl[[#This Row],[SDate]]&lt;=DATE(YEAR(vp.tbl[[#This Row],[SDate]]),9,15)),1,0)</f>
        <v>1</v>
      </c>
      <c r="AQ307" s="15">
        <f>IF(vp.tbl[[#This Row],[SDate]]&lt;DATE(2016,12,1),0,1)</f>
        <v>0</v>
      </c>
    </row>
    <row r="308" spans="1:43" x14ac:dyDescent="0.25">
      <c r="A308">
        <v>307</v>
      </c>
      <c r="B308" t="s">
        <v>49</v>
      </c>
      <c r="C308" t="s">
        <v>49</v>
      </c>
      <c r="D308" t="s">
        <v>86</v>
      </c>
      <c r="F308" s="1">
        <v>42607</v>
      </c>
      <c r="G308" s="2">
        <v>54.8</v>
      </c>
      <c r="H308" s="2"/>
      <c r="I308" s="2">
        <v>2.99</v>
      </c>
      <c r="J308" s="2"/>
      <c r="K308" s="2"/>
      <c r="L308" s="2">
        <v>892.1</v>
      </c>
      <c r="M308" s="2">
        <v>892.1</v>
      </c>
      <c r="N308" s="2">
        <f ca="1">INDEX(INDIRECT(_xlfn.CONCAT("weather.tbl[",N$1,"]")),MATCH(vp.tbl[[#This Row],[SDate]],weather.tbl[Date],0))</f>
        <v>15.85</v>
      </c>
      <c r="O308" s="2">
        <f ca="1">INDEX(INDIRECT(_xlfn.CONCAT("weather.tbl[",O$1,"]")),MATCH(vp.tbl[[#This Row],[SDate]],weather.tbl[Date],0))</f>
        <v>17.214285714285715</v>
      </c>
      <c r="P308" s="2">
        <f ca="1">INDEX(INDIRECT(_xlfn.CONCAT("weather.tbl[",P$1,"]")),MATCH(vp.tbl[[#This Row],[SDate]],weather.tbl[Date],0))</f>
        <v>16.5</v>
      </c>
      <c r="Q308" s="2">
        <f ca="1">INDEX(INDIRECT(_xlfn.CONCAT("weather.tbl[",Q$1,"]")),MATCH(vp.tbl[[#This Row],[SDate]],weather.tbl[Date],0))</f>
        <v>15.4</v>
      </c>
      <c r="R308" s="2">
        <f ca="1">INDEX(INDIRECT(_xlfn.CONCAT("weather.tbl[",R$1,"]")),MATCH(vp.tbl[[#This Row],[SDate]],weather.tbl[Date],0))</f>
        <v>16.3</v>
      </c>
      <c r="S308" s="2">
        <f ca="1">INDEX(INDIRECT(_xlfn.CONCAT("weather.tbl[",S$1,"]")),MATCH(vp.tbl[[#This Row],[SDate]],weather.tbl[Date],0))</f>
        <v>16.3</v>
      </c>
      <c r="T308" s="2">
        <f ca="1">INDEX(INDIRECT(_xlfn.CONCAT("weather.tbl[",T$1,"]")),MATCH(vp.tbl[[#This Row],[SDate]],weather.tbl[Date],0))</f>
        <v>16.100000000000001</v>
      </c>
      <c r="U308" s="2">
        <f ca="1">INDEX(INDIRECT(_xlfn.CONCAT("weather.tbl[",U$1,"]")),MATCH(vp.tbl[[#This Row],[SDate]],weather.tbl[Date],0))</f>
        <v>14.5</v>
      </c>
      <c r="V308" s="2">
        <v>4428.3149999999996</v>
      </c>
      <c r="W308" t="s">
        <v>48</v>
      </c>
      <c r="X308">
        <f>IF(OR(vp.tbl[[#This Row],[Sulf]]="",vp.tbl[[#This Row],[Dens]]=""),1,0)</f>
        <v>0</v>
      </c>
      <c r="Y308">
        <f>IF(vp.tbl[[#This Row],[CrudeType]]="C5+",1,0)</f>
        <v>0</v>
      </c>
      <c r="Z308">
        <f>IF(AND(vp.tbl[[#This Row],[CrudeType]]="Crude",vp.tbl[[#This Row],[Dens]]&lt;=825,vp.tbl[[#This Row],[Sulf]]&gt;0.5,vp.tbl[[#This Row],[Unknown]]=0),1,0)</f>
        <v>0</v>
      </c>
      <c r="AA308">
        <f>IF(AND(vp.tbl[[#This Row],[CrudeType]]="Crude",vp.tbl[[#This Row],[Dens]]&lt;=825,vp.tbl[[#This Row],[Sulf]]&lt;=0.5,vp.tbl[[#This Row],[Unknown]]=0),1,0)</f>
        <v>0</v>
      </c>
      <c r="AB308">
        <f>IF(AND(vp.tbl[[#This Row],[CrudeType]]="Crude",vp.tbl[[#This Row],[Dens]]&gt;825,vp.tbl[[#This Row],[Dens]]&lt;=870,vp.tbl[[#This Row],[Sulf]]&gt;0.5,vp.tbl[[#This Row],[Unknown]]=0),1,0)</f>
        <v>0</v>
      </c>
      <c r="AC308">
        <f>IF(AND(vp.tbl[[#This Row],[CrudeType]]="Crude",vp.tbl[[#This Row],[Dens]]&gt;825,vp.tbl[[#This Row],[Dens]]&lt;=900,vp.tbl[[#This Row],[Sulf]]&lt;=0.5,vp.tbl[[#This Row],[Unknown]]=0),1,0)</f>
        <v>0</v>
      </c>
      <c r="AD308">
        <f>IF(AND(vp.tbl[[#This Row],[CrudeType]]="Crude",vp.tbl[[#This Row],[Dens]]&gt;870,vp.tbl[[#This Row],[Dens]]&lt;=900,vp.tbl[[#This Row],[Sulf]]&gt;0.5,vp.tbl[[#This Row],[Unknown]]=0),1,0)</f>
        <v>1</v>
      </c>
      <c r="AE308">
        <f>IF(AND(vp.tbl[[#This Row],[CrudeType]]="Crude",vp.tbl[[#This Row],[Dens]]&gt;900,vp.tbl[[#This Row],[Sulf]]&lt;=0.5,vp.tbl[[#This Row],[Unknown]]=0),1,0)</f>
        <v>0</v>
      </c>
      <c r="AF308">
        <f>IF(AND(vp.tbl[[#This Row],[CrudeType]]="Crude",vp.tbl[[#This Row],[Dens]]&gt;900,vp.tbl[[#This Row],[Sulf]]&lt;=0.5,vp.tbl[[#This Row],[Unknown]]=0),1,0)</f>
        <v>0</v>
      </c>
      <c r="AG308" t="str">
        <f>INDEX(vp.tbl[[#Headers],[Unknown]:[Heavy_SW]],MATCH(1,vp.tbl[[#This Row],[Unknown]:[Heavy_SW]],0))</f>
        <v>Midale</v>
      </c>
      <c r="AH308" t="e">
        <f>INDEX([1]!crudeBD.lkup[Number],MATCH(vp.tbl[[#This Row],[Crude_Breakdown]],[1]!crudeBD.lkup[Crude Breakdown],0))</f>
        <v>#REF!</v>
      </c>
      <c r="AI308">
        <f>MONTH(vp.tbl[[#This Row],[SDate]])</f>
        <v>8</v>
      </c>
      <c r="AJ308" s="5">
        <f>IFERROR(vp.tbl[[#This Row],[Sulf]]*vp.tbl[[#This Row],[Net Dens]],"")</f>
        <v>11811994.436385</v>
      </c>
      <c r="AK308" s="5">
        <f>IFERROR(vp.tbl[[#This Row],[Dens]]*vp.tbl[[#This Row],[VolumeM3]],"")</f>
        <v>3950499.8114999998</v>
      </c>
      <c r="AL308" s="5">
        <f>IFERROR(vp.tbl[[#This Row],[VP]]*vp.tbl[[#This Row],[VolumeM3]],"")</f>
        <v>242671.66199999995</v>
      </c>
      <c r="AM308" s="4">
        <f>IFERROR((vp.tbl[[#This Row],[VP]]-INDEX(crudeBD.lkup.complete[Mean_VP],MATCH(vp.tbl[[#This Row],[Crude_Breakdown]],crudeBD.lkup.complete[Crude Breakdown],0)))^2,"")</f>
        <v>180.58941640082611</v>
      </c>
      <c r="AN308" s="4">
        <f>IFERROR((vp.tbl[[#This Row],[Dens]]-INDEX(crudeBD.lkup.complete[Mean_Dens],MATCH(vp.tbl[[#This Row],[Crude_Breakdown]],crudeBD.lkup.complete[Crude Breakdown],0)))^2,"")</f>
        <v>211.64270970164205</v>
      </c>
      <c r="AO308" s="4">
        <f>IFERROR((vp.tbl[[#This Row],[Sulf]]-INDEX(crudeBD.lkup.complete[Mean_Sulf],MATCH(vp.tbl[[#This Row],[Crude_Breakdown]],crudeBD.lkup.complete[Crude Breakdown],0)))^2,"")</f>
        <v>0.33023395815892453</v>
      </c>
      <c r="AP308">
        <f>IF(AND(vp.tbl[[#This Row],[SDate]]&gt;=DATE(YEAR(vp.tbl[[#This Row],[SDate]]),5,1),vp.tbl[[#This Row],[SDate]]&lt;=DATE(YEAR(vp.tbl[[#This Row],[SDate]]),9,15)),1,0)</f>
        <v>1</v>
      </c>
      <c r="AQ308" s="15">
        <f>IF(vp.tbl[[#This Row],[SDate]]&lt;DATE(2016,12,1),0,1)</f>
        <v>0</v>
      </c>
    </row>
    <row r="309" spans="1:43" x14ac:dyDescent="0.25">
      <c r="A309">
        <v>308</v>
      </c>
      <c r="B309" t="s">
        <v>46</v>
      </c>
      <c r="C309" t="s">
        <v>46</v>
      </c>
      <c r="D309" t="s">
        <v>47</v>
      </c>
      <c r="F309" s="1">
        <v>42609</v>
      </c>
      <c r="G309" s="2">
        <v>50</v>
      </c>
      <c r="H309" s="2"/>
      <c r="I309" s="2">
        <v>2.31</v>
      </c>
      <c r="J309" s="2"/>
      <c r="K309" s="2"/>
      <c r="L309" s="2"/>
      <c r="M309" s="2">
        <v>869.6</v>
      </c>
      <c r="N309" s="2">
        <f ca="1">INDEX(INDIRECT(_xlfn.CONCAT("weather.tbl[",N$1,"]")),MATCH(vp.tbl[[#This Row],[SDate]],weather.tbl[Date],0))</f>
        <v>15.949999999999998</v>
      </c>
      <c r="O309" s="2">
        <f ca="1">INDEX(INDIRECT(_xlfn.CONCAT("weather.tbl[",O$1,"]")),MATCH(vp.tbl[[#This Row],[SDate]],weather.tbl[Date],0))</f>
        <v>17.688095238095237</v>
      </c>
      <c r="P309" s="2">
        <f ca="1">INDEX(INDIRECT(_xlfn.CONCAT("weather.tbl[",P$1,"]")),MATCH(vp.tbl[[#This Row],[SDate]],weather.tbl[Date],0))</f>
        <v>15.5</v>
      </c>
      <c r="Q309" s="2">
        <f ca="1">INDEX(INDIRECT(_xlfn.CONCAT("weather.tbl[",Q$1,"]")),MATCH(vp.tbl[[#This Row],[SDate]],weather.tbl[Date],0))</f>
        <v>15.6</v>
      </c>
      <c r="R309" s="2">
        <f ca="1">INDEX(INDIRECT(_xlfn.CONCAT("weather.tbl[",R$1,"]")),MATCH(vp.tbl[[#This Row],[SDate]],weather.tbl[Date],0))</f>
        <v>15.5</v>
      </c>
      <c r="S309" s="2">
        <f ca="1">INDEX(INDIRECT(_xlfn.CONCAT("weather.tbl[",S$1,"]")),MATCH(vp.tbl[[#This Row],[SDate]],weather.tbl[Date],0))</f>
        <v>17.5</v>
      </c>
      <c r="T309" s="2">
        <f ca="1">INDEX(INDIRECT(_xlfn.CONCAT("weather.tbl[",T$1,"]")),MATCH(vp.tbl[[#This Row],[SDate]],weather.tbl[Date],0))</f>
        <v>16.8</v>
      </c>
      <c r="U309" s="2">
        <f ca="1">INDEX(INDIRECT(_xlfn.CONCAT("weather.tbl[",U$1,"]")),MATCH(vp.tbl[[#This Row],[SDate]],weather.tbl[Date],0))</f>
        <v>14.8</v>
      </c>
      <c r="V309" s="2">
        <v>117553.995</v>
      </c>
      <c r="W309" t="s">
        <v>48</v>
      </c>
      <c r="X309">
        <f>IF(OR(vp.tbl[[#This Row],[Sulf]]="",vp.tbl[[#This Row],[Dens]]=""),1,0)</f>
        <v>0</v>
      </c>
      <c r="Y309">
        <f>IF(vp.tbl[[#This Row],[CrudeType]]="C5+",1,0)</f>
        <v>0</v>
      </c>
      <c r="Z309">
        <f>IF(AND(vp.tbl[[#This Row],[CrudeType]]="Crude",vp.tbl[[#This Row],[Dens]]&lt;=825,vp.tbl[[#This Row],[Sulf]]&gt;0.5,vp.tbl[[#This Row],[Unknown]]=0),1,0)</f>
        <v>0</v>
      </c>
      <c r="AA309">
        <f>IF(AND(vp.tbl[[#This Row],[CrudeType]]="Crude",vp.tbl[[#This Row],[Dens]]&lt;=825,vp.tbl[[#This Row],[Sulf]]&lt;=0.5,vp.tbl[[#This Row],[Unknown]]=0),1,0)</f>
        <v>0</v>
      </c>
      <c r="AB309">
        <f>IF(AND(vp.tbl[[#This Row],[CrudeType]]="Crude",vp.tbl[[#This Row],[Dens]]&gt;825,vp.tbl[[#This Row],[Dens]]&lt;=870,vp.tbl[[#This Row],[Sulf]]&gt;0.5,vp.tbl[[#This Row],[Unknown]]=0),1,0)</f>
        <v>1</v>
      </c>
      <c r="AC309">
        <f>IF(AND(vp.tbl[[#This Row],[CrudeType]]="Crude",vp.tbl[[#This Row],[Dens]]&gt;825,vp.tbl[[#This Row],[Dens]]&lt;=900,vp.tbl[[#This Row],[Sulf]]&lt;=0.5,vp.tbl[[#This Row],[Unknown]]=0),1,0)</f>
        <v>0</v>
      </c>
      <c r="AD309">
        <f>IF(AND(vp.tbl[[#This Row],[CrudeType]]="Crude",vp.tbl[[#This Row],[Dens]]&gt;870,vp.tbl[[#This Row],[Dens]]&lt;=900,vp.tbl[[#This Row],[Sulf]]&gt;0.5,vp.tbl[[#This Row],[Unknown]]=0),1,0)</f>
        <v>0</v>
      </c>
      <c r="AE309">
        <f>IF(AND(vp.tbl[[#This Row],[CrudeType]]="Crude",vp.tbl[[#This Row],[Dens]]&gt;900,vp.tbl[[#This Row],[Sulf]]&lt;=0.5,vp.tbl[[#This Row],[Unknown]]=0),1,0)</f>
        <v>0</v>
      </c>
      <c r="AF309">
        <f>IF(AND(vp.tbl[[#This Row],[CrudeType]]="Crude",vp.tbl[[#This Row],[Dens]]&gt;900,vp.tbl[[#This Row],[Sulf]]&lt;=0.5,vp.tbl[[#This Row],[Unknown]]=0),1,0)</f>
        <v>0</v>
      </c>
      <c r="AG309" t="str">
        <f>INDEX(vp.tbl[[#Headers],[Unknown]:[Heavy_SW]],MATCH(1,vp.tbl[[#This Row],[Unknown]:[Heavy_SW]],0))</f>
        <v>Medium_LSB</v>
      </c>
      <c r="AH309" t="e">
        <f>INDEX([1]!crudeBD.lkup[Number],MATCH(vp.tbl[[#This Row],[Crude_Breakdown]],[1]!crudeBD.lkup[Crude Breakdown],0))</f>
        <v>#REF!</v>
      </c>
      <c r="AI309">
        <f>MONTH(vp.tbl[[#This Row],[SDate]])</f>
        <v>8</v>
      </c>
      <c r="AJ309" s="5">
        <f>IFERROR(vp.tbl[[#This Row],[Sulf]]*vp.tbl[[#This Row],[Net Dens]],"")</f>
        <v>236139643.86012</v>
      </c>
      <c r="AK309" s="5">
        <f>IFERROR(vp.tbl[[#This Row],[Dens]]*vp.tbl[[#This Row],[VolumeM3]],"")</f>
        <v>102224954.052</v>
      </c>
      <c r="AL309" s="5">
        <f>IFERROR(vp.tbl[[#This Row],[VP]]*vp.tbl[[#This Row],[VolumeM3]],"")</f>
        <v>5877699.75</v>
      </c>
      <c r="AM309" s="4">
        <f>IFERROR((vp.tbl[[#This Row],[VP]]-INDEX(crudeBD.lkup.complete[Mean_VP],MATCH(vp.tbl[[#This Row],[Crude_Breakdown]],crudeBD.lkup.complete[Crude Breakdown],0)))^2,"")</f>
        <v>910.44583140458042</v>
      </c>
      <c r="AN309" s="4">
        <f>IFERROR((vp.tbl[[#This Row],[Dens]]-INDEX(crudeBD.lkup.complete[Mean_Dens],MATCH(vp.tbl[[#This Row],[Crude_Breakdown]],crudeBD.lkup.complete[Crude Breakdown],0)))^2,"")</f>
        <v>590.88747952512506</v>
      </c>
      <c r="AO309" s="4">
        <f>IFERROR((vp.tbl[[#This Row],[Sulf]]-INDEX(crudeBD.lkup.complete[Mean_Sulf],MATCH(vp.tbl[[#This Row],[Crude_Breakdown]],crudeBD.lkup.complete[Crude Breakdown],0)))^2,"")</f>
        <v>0.73114494302077648</v>
      </c>
      <c r="AP309">
        <f>IF(AND(vp.tbl[[#This Row],[SDate]]&gt;=DATE(YEAR(vp.tbl[[#This Row],[SDate]]),5,1),vp.tbl[[#This Row],[SDate]]&lt;=DATE(YEAR(vp.tbl[[#This Row],[SDate]]),9,15)),1,0)</f>
        <v>1</v>
      </c>
      <c r="AQ309" s="15">
        <f>IF(vp.tbl[[#This Row],[SDate]]&lt;DATE(2016,12,1),0,1)</f>
        <v>0</v>
      </c>
    </row>
    <row r="310" spans="1:43" x14ac:dyDescent="0.25">
      <c r="A310">
        <v>309</v>
      </c>
      <c r="B310" t="s">
        <v>60</v>
      </c>
      <c r="C310" t="s">
        <v>60</v>
      </c>
      <c r="D310" t="s">
        <v>61</v>
      </c>
      <c r="E310" t="s">
        <v>73</v>
      </c>
      <c r="F310" s="1">
        <v>42611</v>
      </c>
      <c r="G310" s="2">
        <v>49.9</v>
      </c>
      <c r="H310" s="2"/>
      <c r="I310" s="2">
        <v>0.95</v>
      </c>
      <c r="J310" s="2"/>
      <c r="K310" s="2"/>
      <c r="L310" s="2"/>
      <c r="M310" s="2">
        <v>817.9</v>
      </c>
      <c r="N310" s="2">
        <f ca="1">INDEX(INDIRECT(_xlfn.CONCAT("weather.tbl[",N$1,"]")),MATCH(vp.tbl[[#This Row],[SDate]],weather.tbl[Date],0))</f>
        <v>14.983333333333334</v>
      </c>
      <c r="O310" s="2">
        <f ca="1">INDEX(INDIRECT(_xlfn.CONCAT("weather.tbl[",O$1,"]")),MATCH(vp.tbl[[#This Row],[SDate]],weather.tbl[Date],0))</f>
        <v>16.519047619047619</v>
      </c>
      <c r="P310" s="2">
        <f ca="1">INDEX(INDIRECT(_xlfn.CONCAT("weather.tbl[",P$1,"]")),MATCH(vp.tbl[[#This Row],[SDate]],weather.tbl[Date],0))</f>
        <v>15.1</v>
      </c>
      <c r="Q310" s="2">
        <f ca="1">INDEX(INDIRECT(_xlfn.CONCAT("weather.tbl[",Q$1,"]")),MATCH(vp.tbl[[#This Row],[SDate]],weather.tbl[Date],0))</f>
        <v>14.5</v>
      </c>
      <c r="R310" s="2">
        <f ca="1">INDEX(INDIRECT(_xlfn.CONCAT("weather.tbl[",R$1,"]")),MATCH(vp.tbl[[#This Row],[SDate]],weather.tbl[Date],0))</f>
        <v>14.8</v>
      </c>
      <c r="S310" s="2">
        <f ca="1">INDEX(INDIRECT(_xlfn.CONCAT("weather.tbl[",S$1,"]")),MATCH(vp.tbl[[#This Row],[SDate]],weather.tbl[Date],0))</f>
        <v>15</v>
      </c>
      <c r="T310" s="2">
        <f ca="1">INDEX(INDIRECT(_xlfn.CONCAT("weather.tbl[",T$1,"]")),MATCH(vp.tbl[[#This Row],[SDate]],weather.tbl[Date],0))</f>
        <v>16.2</v>
      </c>
      <c r="U310" s="2">
        <f ca="1">INDEX(INDIRECT(_xlfn.CONCAT("weather.tbl[",U$1,"]")),MATCH(vp.tbl[[#This Row],[SDate]],weather.tbl[Date],0))</f>
        <v>14.3</v>
      </c>
      <c r="V310" s="2">
        <v>106350.372</v>
      </c>
      <c r="W310" t="s">
        <v>48</v>
      </c>
      <c r="X310">
        <f>IF(OR(vp.tbl[[#This Row],[Sulf]]="",vp.tbl[[#This Row],[Dens]]=""),1,0)</f>
        <v>0</v>
      </c>
      <c r="Y310">
        <f>IF(vp.tbl[[#This Row],[CrudeType]]="C5+",1,0)</f>
        <v>0</v>
      </c>
      <c r="Z310">
        <f>IF(AND(vp.tbl[[#This Row],[CrudeType]]="Crude",vp.tbl[[#This Row],[Dens]]&lt;=825,vp.tbl[[#This Row],[Sulf]]&gt;0.5,vp.tbl[[#This Row],[Unknown]]=0),1,0)</f>
        <v>1</v>
      </c>
      <c r="AA310">
        <f>IF(AND(vp.tbl[[#This Row],[CrudeType]]="Crude",vp.tbl[[#This Row],[Dens]]&lt;=825,vp.tbl[[#This Row],[Sulf]]&lt;=0.5,vp.tbl[[#This Row],[Unknown]]=0),1,0)</f>
        <v>0</v>
      </c>
      <c r="AB310">
        <f>IF(AND(vp.tbl[[#This Row],[CrudeType]]="Crude",vp.tbl[[#This Row],[Dens]]&gt;825,vp.tbl[[#This Row],[Dens]]&lt;=870,vp.tbl[[#This Row],[Sulf]]&gt;0.5,vp.tbl[[#This Row],[Unknown]]=0),1,0)</f>
        <v>0</v>
      </c>
      <c r="AC310">
        <f>IF(AND(vp.tbl[[#This Row],[CrudeType]]="Crude",vp.tbl[[#This Row],[Dens]]&gt;825,vp.tbl[[#This Row],[Dens]]&lt;=900,vp.tbl[[#This Row],[Sulf]]&lt;=0.5,vp.tbl[[#This Row],[Unknown]]=0),1,0)</f>
        <v>0</v>
      </c>
      <c r="AD310">
        <f>IF(AND(vp.tbl[[#This Row],[CrudeType]]="Crude",vp.tbl[[#This Row],[Dens]]&gt;870,vp.tbl[[#This Row],[Dens]]&lt;=900,vp.tbl[[#This Row],[Sulf]]&gt;0.5,vp.tbl[[#This Row],[Unknown]]=0),1,0)</f>
        <v>0</v>
      </c>
      <c r="AE310">
        <f>IF(AND(vp.tbl[[#This Row],[CrudeType]]="Crude",vp.tbl[[#This Row],[Dens]]&gt;900,vp.tbl[[#This Row],[Sulf]]&lt;=0.5,vp.tbl[[#This Row],[Unknown]]=0),1,0)</f>
        <v>0</v>
      </c>
      <c r="AF310">
        <f>IF(AND(vp.tbl[[#This Row],[CrudeType]]="Crude",vp.tbl[[#This Row],[Dens]]&gt;900,vp.tbl[[#This Row],[Sulf]]&lt;=0.5,vp.tbl[[#This Row],[Unknown]]=0),1,0)</f>
        <v>0</v>
      </c>
      <c r="AG310" t="str">
        <f>INDEX(vp.tbl[[#Headers],[Unknown]:[Heavy_SW]],MATCH(1,vp.tbl[[#This Row],[Unknown]:[Heavy_SW]],0))</f>
        <v>Light_LSB</v>
      </c>
      <c r="AH310" t="e">
        <f>INDEX([1]!crudeBD.lkup[Number],MATCH(vp.tbl[[#This Row],[Crude_Breakdown]],[1]!crudeBD.lkup[Crude Breakdown],0))</f>
        <v>#REF!</v>
      </c>
      <c r="AI310">
        <f>MONTH(vp.tbl[[#This Row],[SDate]])</f>
        <v>8</v>
      </c>
      <c r="AJ310" s="5">
        <f>IFERROR(vp.tbl[[#This Row],[Sulf]]*vp.tbl[[#This Row],[Net Dens]],"")</f>
        <v>82634770.795859993</v>
      </c>
      <c r="AK310" s="5">
        <f>IFERROR(vp.tbl[[#This Row],[Dens]]*vp.tbl[[#This Row],[VolumeM3]],"")</f>
        <v>86983969.2588</v>
      </c>
      <c r="AL310" s="5">
        <f>IFERROR(vp.tbl[[#This Row],[VP]]*vp.tbl[[#This Row],[VolumeM3]],"")</f>
        <v>5306883.5628000004</v>
      </c>
      <c r="AM310" s="4">
        <f>IFERROR((vp.tbl[[#This Row],[VP]]-INDEX(crudeBD.lkup.complete[Mean_VP],MATCH(vp.tbl[[#This Row],[Crude_Breakdown]],crudeBD.lkup.complete[Crude Breakdown],0)))^2,"")</f>
        <v>1734.4047722818605</v>
      </c>
      <c r="AN310" s="4">
        <f>IFERROR((vp.tbl[[#This Row],[Dens]]-INDEX(crudeBD.lkup.complete[Mean_Dens],MATCH(vp.tbl[[#This Row],[Crude_Breakdown]],crudeBD.lkup.complete[Crude Breakdown],0)))^2,"")</f>
        <v>0.38040493617186338</v>
      </c>
      <c r="AO310" s="4">
        <f>IFERROR((vp.tbl[[#This Row],[Sulf]]-INDEX(crudeBD.lkup.complete[Mean_Sulf],MATCH(vp.tbl[[#This Row],[Crude_Breakdown]],crudeBD.lkup.complete[Crude Breakdown],0)))^2,"")</f>
        <v>7.3055773847853663E-4</v>
      </c>
      <c r="AP310">
        <f>IF(AND(vp.tbl[[#This Row],[SDate]]&gt;=DATE(YEAR(vp.tbl[[#This Row],[SDate]]),5,1),vp.tbl[[#This Row],[SDate]]&lt;=DATE(YEAR(vp.tbl[[#This Row],[SDate]]),9,15)),1,0)</f>
        <v>1</v>
      </c>
      <c r="AQ310" s="15">
        <f>IF(vp.tbl[[#This Row],[SDate]]&lt;DATE(2016,12,1),0,1)</f>
        <v>0</v>
      </c>
    </row>
    <row r="311" spans="1:43" x14ac:dyDescent="0.25">
      <c r="A311">
        <v>310</v>
      </c>
      <c r="B311" t="s">
        <v>60</v>
      </c>
      <c r="C311" t="s">
        <v>60</v>
      </c>
      <c r="D311" t="s">
        <v>61</v>
      </c>
      <c r="E311" t="s">
        <v>55</v>
      </c>
      <c r="F311" s="1">
        <v>42611</v>
      </c>
      <c r="G311" s="2">
        <v>70.099999999999994</v>
      </c>
      <c r="H311" s="2"/>
      <c r="I311" s="2">
        <v>0.95</v>
      </c>
      <c r="J311" s="2"/>
      <c r="K311" s="2"/>
      <c r="L311" s="2">
        <v>833</v>
      </c>
      <c r="M311" s="2">
        <v>833</v>
      </c>
      <c r="N311" s="2">
        <f ca="1">INDEX(INDIRECT(_xlfn.CONCAT("weather.tbl[",N$1,"]")),MATCH(vp.tbl[[#This Row],[SDate]],weather.tbl[Date],0))</f>
        <v>14.983333333333334</v>
      </c>
      <c r="O311" s="2">
        <f ca="1">INDEX(INDIRECT(_xlfn.CONCAT("weather.tbl[",O$1,"]")),MATCH(vp.tbl[[#This Row],[SDate]],weather.tbl[Date],0))</f>
        <v>16.519047619047619</v>
      </c>
      <c r="P311" s="2">
        <f ca="1">INDEX(INDIRECT(_xlfn.CONCAT("weather.tbl[",P$1,"]")),MATCH(vp.tbl[[#This Row],[SDate]],weather.tbl[Date],0))</f>
        <v>15.1</v>
      </c>
      <c r="Q311" s="2">
        <f ca="1">INDEX(INDIRECT(_xlfn.CONCAT("weather.tbl[",Q$1,"]")),MATCH(vp.tbl[[#This Row],[SDate]],weather.tbl[Date],0))</f>
        <v>14.5</v>
      </c>
      <c r="R311" s="2">
        <f ca="1">INDEX(INDIRECT(_xlfn.CONCAT("weather.tbl[",R$1,"]")),MATCH(vp.tbl[[#This Row],[SDate]],weather.tbl[Date],0))</f>
        <v>14.8</v>
      </c>
      <c r="S311" s="2">
        <f ca="1">INDEX(INDIRECT(_xlfn.CONCAT("weather.tbl[",S$1,"]")),MATCH(vp.tbl[[#This Row],[SDate]],weather.tbl[Date],0))</f>
        <v>15</v>
      </c>
      <c r="T311" s="2">
        <f ca="1">INDEX(INDIRECT(_xlfn.CONCAT("weather.tbl[",T$1,"]")),MATCH(vp.tbl[[#This Row],[SDate]],weather.tbl[Date],0))</f>
        <v>16.2</v>
      </c>
      <c r="U311" s="2">
        <f ca="1">INDEX(INDIRECT(_xlfn.CONCAT("weather.tbl[",U$1,"]")),MATCH(vp.tbl[[#This Row],[SDate]],weather.tbl[Date],0))</f>
        <v>14.3</v>
      </c>
      <c r="V311" s="2">
        <v>106350.372</v>
      </c>
      <c r="W311" t="s">
        <v>48</v>
      </c>
      <c r="X311">
        <f>IF(OR(vp.tbl[[#This Row],[Sulf]]="",vp.tbl[[#This Row],[Dens]]=""),1,0)</f>
        <v>0</v>
      </c>
      <c r="Y311">
        <f>IF(vp.tbl[[#This Row],[CrudeType]]="C5+",1,0)</f>
        <v>0</v>
      </c>
      <c r="Z311">
        <f>IF(AND(vp.tbl[[#This Row],[CrudeType]]="Crude",vp.tbl[[#This Row],[Dens]]&lt;=825,vp.tbl[[#This Row],[Sulf]]&gt;0.5,vp.tbl[[#This Row],[Unknown]]=0),1,0)</f>
        <v>0</v>
      </c>
      <c r="AA311">
        <f>IF(AND(vp.tbl[[#This Row],[CrudeType]]="Crude",vp.tbl[[#This Row],[Dens]]&lt;=825,vp.tbl[[#This Row],[Sulf]]&lt;=0.5,vp.tbl[[#This Row],[Unknown]]=0),1,0)</f>
        <v>0</v>
      </c>
      <c r="AB311">
        <f>IF(AND(vp.tbl[[#This Row],[CrudeType]]="Crude",vp.tbl[[#This Row],[Dens]]&gt;825,vp.tbl[[#This Row],[Dens]]&lt;=870,vp.tbl[[#This Row],[Sulf]]&gt;0.5,vp.tbl[[#This Row],[Unknown]]=0),1,0)</f>
        <v>1</v>
      </c>
      <c r="AC311">
        <f>IF(AND(vp.tbl[[#This Row],[CrudeType]]="Crude",vp.tbl[[#This Row],[Dens]]&gt;825,vp.tbl[[#This Row],[Dens]]&lt;=900,vp.tbl[[#This Row],[Sulf]]&lt;=0.5,vp.tbl[[#This Row],[Unknown]]=0),1,0)</f>
        <v>0</v>
      </c>
      <c r="AD311">
        <f>IF(AND(vp.tbl[[#This Row],[CrudeType]]="Crude",vp.tbl[[#This Row],[Dens]]&gt;870,vp.tbl[[#This Row],[Dens]]&lt;=900,vp.tbl[[#This Row],[Sulf]]&gt;0.5,vp.tbl[[#This Row],[Unknown]]=0),1,0)</f>
        <v>0</v>
      </c>
      <c r="AE311">
        <f>IF(AND(vp.tbl[[#This Row],[CrudeType]]="Crude",vp.tbl[[#This Row],[Dens]]&gt;900,vp.tbl[[#This Row],[Sulf]]&lt;=0.5,vp.tbl[[#This Row],[Unknown]]=0),1,0)</f>
        <v>0</v>
      </c>
      <c r="AF311">
        <f>IF(AND(vp.tbl[[#This Row],[CrudeType]]="Crude",vp.tbl[[#This Row],[Dens]]&gt;900,vp.tbl[[#This Row],[Sulf]]&lt;=0.5,vp.tbl[[#This Row],[Unknown]]=0),1,0)</f>
        <v>0</v>
      </c>
      <c r="AG311" t="str">
        <f>INDEX(vp.tbl[[#Headers],[Unknown]:[Heavy_SW]],MATCH(1,vp.tbl[[#This Row],[Unknown]:[Heavy_SW]],0))</f>
        <v>Medium_LSB</v>
      </c>
      <c r="AH311" t="e">
        <f>INDEX([1]!crudeBD.lkup[Number],MATCH(vp.tbl[[#This Row],[Crude_Breakdown]],[1]!crudeBD.lkup[Crude Breakdown],0))</f>
        <v>#REF!</v>
      </c>
      <c r="AI311">
        <f>MONTH(vp.tbl[[#This Row],[SDate]])</f>
        <v>8</v>
      </c>
      <c r="AJ311" s="5">
        <f>IFERROR(vp.tbl[[#This Row],[Sulf]]*vp.tbl[[#This Row],[Net Dens]],"")</f>
        <v>84160366.882200003</v>
      </c>
      <c r="AK311" s="5">
        <f>IFERROR(vp.tbl[[#This Row],[Dens]]*vp.tbl[[#This Row],[VolumeM3]],"")</f>
        <v>88589859.876000002</v>
      </c>
      <c r="AL311" s="5">
        <f>IFERROR(vp.tbl[[#This Row],[VP]]*vp.tbl[[#This Row],[VolumeM3]],"")</f>
        <v>7455161.0771999992</v>
      </c>
      <c r="AM311" s="4">
        <f>IFERROR((vp.tbl[[#This Row],[VP]]-INDEX(crudeBD.lkup.complete[Mean_VP],MATCH(vp.tbl[[#This Row],[Crude_Breakdown]],crudeBD.lkup.complete[Crude Breakdown],0)))^2,"")</f>
        <v>101.47731494888576</v>
      </c>
      <c r="AN311" s="4">
        <f>IFERROR((vp.tbl[[#This Row],[Dens]]-INDEX(crudeBD.lkup.complete[Mean_Dens],MATCH(vp.tbl[[#This Row],[Crude_Breakdown]],crudeBD.lkup.complete[Crude Breakdown],0)))^2,"")</f>
        <v>151.08890737315318</v>
      </c>
      <c r="AO311" s="4">
        <f>IFERROR((vp.tbl[[#This Row],[Sulf]]-INDEX(crudeBD.lkup.complete[Mean_Sulf],MATCH(vp.tbl[[#This Row],[Crude_Breakdown]],crudeBD.lkup.complete[Crude Breakdown],0)))^2,"")</f>
        <v>0.25495416428660322</v>
      </c>
      <c r="AP311">
        <f>IF(AND(vp.tbl[[#This Row],[SDate]]&gt;=DATE(YEAR(vp.tbl[[#This Row],[SDate]]),5,1),vp.tbl[[#This Row],[SDate]]&lt;=DATE(YEAR(vp.tbl[[#This Row],[SDate]]),9,15)),1,0)</f>
        <v>1</v>
      </c>
      <c r="AQ311" s="15">
        <f>IF(vp.tbl[[#This Row],[SDate]]&lt;DATE(2016,12,1),0,1)</f>
        <v>0</v>
      </c>
    </row>
    <row r="312" spans="1:43" x14ac:dyDescent="0.25">
      <c r="A312">
        <v>311</v>
      </c>
      <c r="B312" t="s">
        <v>49</v>
      </c>
      <c r="C312" t="s">
        <v>49</v>
      </c>
      <c r="D312" t="s">
        <v>67</v>
      </c>
      <c r="F312" s="1">
        <v>42612</v>
      </c>
      <c r="G312" s="2">
        <v>81.599999999999994</v>
      </c>
      <c r="H312" s="2"/>
      <c r="I312" s="2">
        <v>0.21</v>
      </c>
      <c r="J312" s="2"/>
      <c r="K312" s="2"/>
      <c r="L312" s="2">
        <v>810.3</v>
      </c>
      <c r="M312" s="2">
        <v>810.3</v>
      </c>
      <c r="N312" s="2">
        <f ca="1">INDEX(INDIRECT(_xlfn.CONCAT("weather.tbl[",N$1,"]")),MATCH(vp.tbl[[#This Row],[SDate]],weather.tbl[Date],0))</f>
        <v>18.333333333333332</v>
      </c>
      <c r="O312" s="2">
        <f ca="1">INDEX(INDIRECT(_xlfn.CONCAT("weather.tbl[",O$1,"]")),MATCH(vp.tbl[[#This Row],[SDate]],weather.tbl[Date],0))</f>
        <v>16.478571428571428</v>
      </c>
      <c r="P312" s="2">
        <f ca="1">INDEX(INDIRECT(_xlfn.CONCAT("weather.tbl[",P$1,"]")),MATCH(vp.tbl[[#This Row],[SDate]],weather.tbl[Date],0))</f>
        <v>19.3</v>
      </c>
      <c r="Q312" s="2">
        <f ca="1">INDEX(INDIRECT(_xlfn.CONCAT("weather.tbl[",Q$1,"]")),MATCH(vp.tbl[[#This Row],[SDate]],weather.tbl[Date],0))</f>
        <v>19.8</v>
      </c>
      <c r="R312" s="2">
        <f ca="1">INDEX(INDIRECT(_xlfn.CONCAT("weather.tbl[",R$1,"]")),MATCH(vp.tbl[[#This Row],[SDate]],weather.tbl[Date],0))</f>
        <v>17.5</v>
      </c>
      <c r="S312" s="2">
        <f ca="1">INDEX(INDIRECT(_xlfn.CONCAT("weather.tbl[",S$1,"]")),MATCH(vp.tbl[[#This Row],[SDate]],weather.tbl[Date],0))</f>
        <v>19.8</v>
      </c>
      <c r="T312" s="2">
        <f ca="1">INDEX(INDIRECT(_xlfn.CONCAT("weather.tbl[",T$1,"]")),MATCH(vp.tbl[[#This Row],[SDate]],weather.tbl[Date],0))</f>
        <v>16.8</v>
      </c>
      <c r="U312" s="2">
        <f ca="1">INDEX(INDIRECT(_xlfn.CONCAT("weather.tbl[",U$1,"]")),MATCH(vp.tbl[[#This Row],[SDate]],weather.tbl[Date],0))</f>
        <v>16.8</v>
      </c>
      <c r="V312" s="2">
        <v>49446.014999999999</v>
      </c>
      <c r="W312" t="s">
        <v>48</v>
      </c>
      <c r="X312">
        <f>IF(OR(vp.tbl[[#This Row],[Sulf]]="",vp.tbl[[#This Row],[Dens]]=""),1,0)</f>
        <v>0</v>
      </c>
      <c r="Y312">
        <f>IF(vp.tbl[[#This Row],[CrudeType]]="C5+",1,0)</f>
        <v>0</v>
      </c>
      <c r="Z312">
        <f>IF(AND(vp.tbl[[#This Row],[CrudeType]]="Crude",vp.tbl[[#This Row],[Dens]]&lt;=825,vp.tbl[[#This Row],[Sulf]]&gt;0.5,vp.tbl[[#This Row],[Unknown]]=0),1,0)</f>
        <v>0</v>
      </c>
      <c r="AA312">
        <f>IF(AND(vp.tbl[[#This Row],[CrudeType]]="Crude",vp.tbl[[#This Row],[Dens]]&lt;=825,vp.tbl[[#This Row],[Sulf]]&lt;=0.5,vp.tbl[[#This Row],[Unknown]]=0),1,0)</f>
        <v>1</v>
      </c>
      <c r="AB312">
        <f>IF(AND(vp.tbl[[#This Row],[CrudeType]]="Crude",vp.tbl[[#This Row],[Dens]]&gt;825,vp.tbl[[#This Row],[Dens]]&lt;=870,vp.tbl[[#This Row],[Sulf]]&gt;0.5,vp.tbl[[#This Row],[Unknown]]=0),1,0)</f>
        <v>0</v>
      </c>
      <c r="AC312">
        <f>IF(AND(vp.tbl[[#This Row],[CrudeType]]="Crude",vp.tbl[[#This Row],[Dens]]&gt;825,vp.tbl[[#This Row],[Dens]]&lt;=900,vp.tbl[[#This Row],[Sulf]]&lt;=0.5,vp.tbl[[#This Row],[Unknown]]=0),1,0)</f>
        <v>0</v>
      </c>
      <c r="AD312">
        <f>IF(AND(vp.tbl[[#This Row],[CrudeType]]="Crude",vp.tbl[[#This Row],[Dens]]&gt;870,vp.tbl[[#This Row],[Dens]]&lt;=900,vp.tbl[[#This Row],[Sulf]]&gt;0.5,vp.tbl[[#This Row],[Unknown]]=0),1,0)</f>
        <v>0</v>
      </c>
      <c r="AE312">
        <f>IF(AND(vp.tbl[[#This Row],[CrudeType]]="Crude",vp.tbl[[#This Row],[Dens]]&gt;900,vp.tbl[[#This Row],[Sulf]]&lt;=0.5,vp.tbl[[#This Row],[Unknown]]=0),1,0)</f>
        <v>0</v>
      </c>
      <c r="AF312">
        <f>IF(AND(vp.tbl[[#This Row],[CrudeType]]="Crude",vp.tbl[[#This Row],[Dens]]&gt;900,vp.tbl[[#This Row],[Sulf]]&lt;=0.5,vp.tbl[[#This Row],[Unknown]]=0),1,0)</f>
        <v>0</v>
      </c>
      <c r="AG312" t="str">
        <f>INDEX(vp.tbl[[#Headers],[Unknown]:[Heavy_SW]],MATCH(1,vp.tbl[[#This Row],[Unknown]:[Heavy_SW]],0))</f>
        <v>Light_SW</v>
      </c>
      <c r="AH312" t="e">
        <f>INDEX([1]!crudeBD.lkup[Number],MATCH(vp.tbl[[#This Row],[Crude_Breakdown]],[1]!crudeBD.lkup[Crude Breakdown],0))</f>
        <v>#REF!</v>
      </c>
      <c r="AI312">
        <f>MONTH(vp.tbl[[#This Row],[SDate]])</f>
        <v>8</v>
      </c>
      <c r="AJ312" s="5">
        <f>IFERROR(vp.tbl[[#This Row],[Sulf]]*vp.tbl[[#This Row],[Net Dens]],"")</f>
        <v>8413882.250444999</v>
      </c>
      <c r="AK312" s="5">
        <f>IFERROR(vp.tbl[[#This Row],[Dens]]*vp.tbl[[#This Row],[VolumeM3]],"")</f>
        <v>40066105.954499997</v>
      </c>
      <c r="AL312" s="5">
        <f>IFERROR(vp.tbl[[#This Row],[VP]]*vp.tbl[[#This Row],[VolumeM3]],"")</f>
        <v>4034794.8239999996</v>
      </c>
      <c r="AM312" s="4">
        <f>IFERROR((vp.tbl[[#This Row],[VP]]-INDEX(crudeBD.lkup.complete[Mean_VP],MATCH(vp.tbl[[#This Row],[Crude_Breakdown]],crudeBD.lkup.complete[Crude Breakdown],0)))^2,"")</f>
        <v>119.90936769415626</v>
      </c>
      <c r="AN312" s="4">
        <f>IFERROR((vp.tbl[[#This Row],[Dens]]-INDEX(crudeBD.lkup.complete[Mean_Dens],MATCH(vp.tbl[[#This Row],[Crude_Breakdown]],crudeBD.lkup.complete[Crude Breakdown],0)))^2,"")</f>
        <v>3.9541391785751512</v>
      </c>
      <c r="AO312" s="4">
        <f>IFERROR((vp.tbl[[#This Row],[Sulf]]-INDEX(crudeBD.lkup.complete[Mean_Sulf],MATCH(vp.tbl[[#This Row],[Crude_Breakdown]],crudeBD.lkup.complete[Crude Breakdown],0)))^2,"")</f>
        <v>6.8863268899706654E-4</v>
      </c>
      <c r="AP312">
        <f>IF(AND(vp.tbl[[#This Row],[SDate]]&gt;=DATE(YEAR(vp.tbl[[#This Row],[SDate]]),5,1),vp.tbl[[#This Row],[SDate]]&lt;=DATE(YEAR(vp.tbl[[#This Row],[SDate]]),9,15)),1,0)</f>
        <v>1</v>
      </c>
      <c r="AQ312" s="15">
        <f>IF(vp.tbl[[#This Row],[SDate]]&lt;DATE(2016,12,1),0,1)</f>
        <v>0</v>
      </c>
    </row>
    <row r="313" spans="1:43" x14ac:dyDescent="0.25">
      <c r="A313">
        <v>312</v>
      </c>
      <c r="B313" t="s">
        <v>49</v>
      </c>
      <c r="C313" t="s">
        <v>49</v>
      </c>
      <c r="D313" t="s">
        <v>88</v>
      </c>
      <c r="F313" s="1">
        <v>42612</v>
      </c>
      <c r="G313" s="2">
        <v>75.2</v>
      </c>
      <c r="H313" s="2"/>
      <c r="I313" s="2">
        <v>1.59</v>
      </c>
      <c r="J313" s="2"/>
      <c r="K313" s="2"/>
      <c r="L313" s="2">
        <v>818.9</v>
      </c>
      <c r="M313" s="2">
        <v>818.9</v>
      </c>
      <c r="N313" s="2">
        <f ca="1">INDEX(INDIRECT(_xlfn.CONCAT("weather.tbl[",N$1,"]")),MATCH(vp.tbl[[#This Row],[SDate]],weather.tbl[Date],0))</f>
        <v>18.333333333333332</v>
      </c>
      <c r="O313" s="2">
        <f ca="1">INDEX(INDIRECT(_xlfn.CONCAT("weather.tbl[",O$1,"]")),MATCH(vp.tbl[[#This Row],[SDate]],weather.tbl[Date],0))</f>
        <v>16.478571428571428</v>
      </c>
      <c r="P313" s="2">
        <f ca="1">INDEX(INDIRECT(_xlfn.CONCAT("weather.tbl[",P$1,"]")),MATCH(vp.tbl[[#This Row],[SDate]],weather.tbl[Date],0))</f>
        <v>19.3</v>
      </c>
      <c r="Q313" s="2">
        <f ca="1">INDEX(INDIRECT(_xlfn.CONCAT("weather.tbl[",Q$1,"]")),MATCH(vp.tbl[[#This Row],[SDate]],weather.tbl[Date],0))</f>
        <v>19.8</v>
      </c>
      <c r="R313" s="2">
        <f ca="1">INDEX(INDIRECT(_xlfn.CONCAT("weather.tbl[",R$1,"]")),MATCH(vp.tbl[[#This Row],[SDate]],weather.tbl[Date],0))</f>
        <v>17.5</v>
      </c>
      <c r="S313" s="2">
        <f ca="1">INDEX(INDIRECT(_xlfn.CONCAT("weather.tbl[",S$1,"]")),MATCH(vp.tbl[[#This Row],[SDate]],weather.tbl[Date],0))</f>
        <v>19.8</v>
      </c>
      <c r="T313" s="2">
        <f ca="1">INDEX(INDIRECT(_xlfn.CONCAT("weather.tbl[",T$1,"]")),MATCH(vp.tbl[[#This Row],[SDate]],weather.tbl[Date],0))</f>
        <v>16.8</v>
      </c>
      <c r="U313" s="2">
        <f ca="1">INDEX(INDIRECT(_xlfn.CONCAT("weather.tbl[",U$1,"]")),MATCH(vp.tbl[[#This Row],[SDate]],weather.tbl[Date],0))</f>
        <v>16.8</v>
      </c>
      <c r="V313" s="2">
        <v>4670.3879999999999</v>
      </c>
      <c r="W313" t="s">
        <v>48</v>
      </c>
      <c r="X313">
        <f>IF(OR(vp.tbl[[#This Row],[Sulf]]="",vp.tbl[[#This Row],[Dens]]=""),1,0)</f>
        <v>0</v>
      </c>
      <c r="Y313">
        <f>IF(vp.tbl[[#This Row],[CrudeType]]="C5+",1,0)</f>
        <v>0</v>
      </c>
      <c r="Z313">
        <f>IF(AND(vp.tbl[[#This Row],[CrudeType]]="Crude",vp.tbl[[#This Row],[Dens]]&lt;=825,vp.tbl[[#This Row],[Sulf]]&gt;0.5,vp.tbl[[#This Row],[Unknown]]=0),1,0)</f>
        <v>1</v>
      </c>
      <c r="AA313">
        <f>IF(AND(vp.tbl[[#This Row],[CrudeType]]="Crude",vp.tbl[[#This Row],[Dens]]&lt;=825,vp.tbl[[#This Row],[Sulf]]&lt;=0.5,vp.tbl[[#This Row],[Unknown]]=0),1,0)</f>
        <v>0</v>
      </c>
      <c r="AB313">
        <f>IF(AND(vp.tbl[[#This Row],[CrudeType]]="Crude",vp.tbl[[#This Row],[Dens]]&gt;825,vp.tbl[[#This Row],[Dens]]&lt;=870,vp.tbl[[#This Row],[Sulf]]&gt;0.5,vp.tbl[[#This Row],[Unknown]]=0),1,0)</f>
        <v>0</v>
      </c>
      <c r="AC313">
        <f>IF(AND(vp.tbl[[#This Row],[CrudeType]]="Crude",vp.tbl[[#This Row],[Dens]]&gt;825,vp.tbl[[#This Row],[Dens]]&lt;=900,vp.tbl[[#This Row],[Sulf]]&lt;=0.5,vp.tbl[[#This Row],[Unknown]]=0),1,0)</f>
        <v>0</v>
      </c>
      <c r="AD313">
        <f>IF(AND(vp.tbl[[#This Row],[CrudeType]]="Crude",vp.tbl[[#This Row],[Dens]]&gt;870,vp.tbl[[#This Row],[Dens]]&lt;=900,vp.tbl[[#This Row],[Sulf]]&gt;0.5,vp.tbl[[#This Row],[Unknown]]=0),1,0)</f>
        <v>0</v>
      </c>
      <c r="AE313">
        <f>IF(AND(vp.tbl[[#This Row],[CrudeType]]="Crude",vp.tbl[[#This Row],[Dens]]&gt;900,vp.tbl[[#This Row],[Sulf]]&lt;=0.5,vp.tbl[[#This Row],[Unknown]]=0),1,0)</f>
        <v>0</v>
      </c>
      <c r="AF313">
        <f>IF(AND(vp.tbl[[#This Row],[CrudeType]]="Crude",vp.tbl[[#This Row],[Dens]]&gt;900,vp.tbl[[#This Row],[Sulf]]&lt;=0.5,vp.tbl[[#This Row],[Unknown]]=0),1,0)</f>
        <v>0</v>
      </c>
      <c r="AG313" t="str">
        <f>INDEX(vp.tbl[[#Headers],[Unknown]:[Heavy_SW]],MATCH(1,vp.tbl[[#This Row],[Unknown]:[Heavy_SW]],0))</f>
        <v>Light_LSB</v>
      </c>
      <c r="AH313" t="e">
        <f>INDEX([1]!crudeBD.lkup[Number],MATCH(vp.tbl[[#This Row],[Crude_Breakdown]],[1]!crudeBD.lkup[Crude Breakdown],0))</f>
        <v>#REF!</v>
      </c>
      <c r="AI313">
        <f>MONTH(vp.tbl[[#This Row],[SDate]])</f>
        <v>8</v>
      </c>
      <c r="AJ313" s="5">
        <f>IFERROR(vp.tbl[[#This Row],[Sulf]]*vp.tbl[[#This Row],[Net Dens]],"")</f>
        <v>6081083.3657879997</v>
      </c>
      <c r="AK313" s="5">
        <f>IFERROR(vp.tbl[[#This Row],[Dens]]*vp.tbl[[#This Row],[VolumeM3]],"")</f>
        <v>3824580.7331999997</v>
      </c>
      <c r="AL313" s="5">
        <f>IFERROR(vp.tbl[[#This Row],[VP]]*vp.tbl[[#This Row],[VolumeM3]],"")</f>
        <v>351213.1776</v>
      </c>
      <c r="AM313" s="4">
        <f>IFERROR((vp.tbl[[#This Row],[VP]]-INDEX(crudeBD.lkup.complete[Mean_VP],MATCH(vp.tbl[[#This Row],[Crude_Breakdown]],crudeBD.lkup.complete[Crude Breakdown],0)))^2,"")</f>
        <v>267.19778259113707</v>
      </c>
      <c r="AN313" s="4">
        <f>IFERROR((vp.tbl[[#This Row],[Dens]]-INDEX(crudeBD.lkup.complete[Mean_Dens],MATCH(vp.tbl[[#This Row],[Crude_Breakdown]],crudeBD.lkup.complete[Crude Breakdown],0)))^2,"")</f>
        <v>0.14686541727210251</v>
      </c>
      <c r="AO313" s="4">
        <f>IFERROR((vp.tbl[[#This Row],[Sulf]]-INDEX(crudeBD.lkup.complete[Mean_Sulf],MATCH(vp.tbl[[#This Row],[Crude_Breakdown]],crudeBD.lkup.complete[Crude Breakdown],0)))^2,"")</f>
        <v>0.4449274622058329</v>
      </c>
      <c r="AP313">
        <f>IF(AND(vp.tbl[[#This Row],[SDate]]&gt;=DATE(YEAR(vp.tbl[[#This Row],[SDate]]),5,1),vp.tbl[[#This Row],[SDate]]&lt;=DATE(YEAR(vp.tbl[[#This Row],[SDate]]),9,15)),1,0)</f>
        <v>1</v>
      </c>
      <c r="AQ313" s="15">
        <f>IF(vp.tbl[[#This Row],[SDate]]&lt;DATE(2016,12,1),0,1)</f>
        <v>0</v>
      </c>
    </row>
    <row r="314" spans="1:43" x14ac:dyDescent="0.25">
      <c r="A314">
        <v>313</v>
      </c>
      <c r="B314" t="s">
        <v>49</v>
      </c>
      <c r="C314" t="s">
        <v>49</v>
      </c>
      <c r="D314" t="s">
        <v>70</v>
      </c>
      <c r="F314" s="1">
        <v>42612</v>
      </c>
      <c r="G314" s="2">
        <v>71.8</v>
      </c>
      <c r="H314" s="2"/>
      <c r="I314" s="2">
        <v>0.72</v>
      </c>
      <c r="J314" s="2"/>
      <c r="K314" s="2"/>
      <c r="L314" s="2">
        <v>822.5</v>
      </c>
      <c r="M314" s="2">
        <v>822.5</v>
      </c>
      <c r="N314" s="2">
        <f ca="1">INDEX(INDIRECT(_xlfn.CONCAT("weather.tbl[",N$1,"]")),MATCH(vp.tbl[[#This Row],[SDate]],weather.tbl[Date],0))</f>
        <v>18.333333333333332</v>
      </c>
      <c r="O314" s="2">
        <f ca="1">INDEX(INDIRECT(_xlfn.CONCAT("weather.tbl[",O$1,"]")),MATCH(vp.tbl[[#This Row],[SDate]],weather.tbl[Date],0))</f>
        <v>16.478571428571428</v>
      </c>
      <c r="P314" s="2">
        <f ca="1">INDEX(INDIRECT(_xlfn.CONCAT("weather.tbl[",P$1,"]")),MATCH(vp.tbl[[#This Row],[SDate]],weather.tbl[Date],0))</f>
        <v>19.3</v>
      </c>
      <c r="Q314" s="2">
        <f ca="1">INDEX(INDIRECT(_xlfn.CONCAT("weather.tbl[",Q$1,"]")),MATCH(vp.tbl[[#This Row],[SDate]],weather.tbl[Date],0))</f>
        <v>19.8</v>
      </c>
      <c r="R314" s="2">
        <f ca="1">INDEX(INDIRECT(_xlfn.CONCAT("weather.tbl[",R$1,"]")),MATCH(vp.tbl[[#This Row],[SDate]],weather.tbl[Date],0))</f>
        <v>17.5</v>
      </c>
      <c r="S314" s="2">
        <f ca="1">INDEX(INDIRECT(_xlfn.CONCAT("weather.tbl[",S$1,"]")),MATCH(vp.tbl[[#This Row],[SDate]],weather.tbl[Date],0))</f>
        <v>19.8</v>
      </c>
      <c r="T314" s="2">
        <f ca="1">INDEX(INDIRECT(_xlfn.CONCAT("weather.tbl[",T$1,"]")),MATCH(vp.tbl[[#This Row],[SDate]],weather.tbl[Date],0))</f>
        <v>16.8</v>
      </c>
      <c r="U314" s="2">
        <f ca="1">INDEX(INDIRECT(_xlfn.CONCAT("weather.tbl[",U$1,"]")),MATCH(vp.tbl[[#This Row],[SDate]],weather.tbl[Date],0))</f>
        <v>16.8</v>
      </c>
      <c r="V314" s="2">
        <v>2800.154</v>
      </c>
      <c r="W314" t="s">
        <v>48</v>
      </c>
      <c r="X314">
        <f>IF(OR(vp.tbl[[#This Row],[Sulf]]="",vp.tbl[[#This Row],[Dens]]=""),1,0)</f>
        <v>0</v>
      </c>
      <c r="Y314">
        <f>IF(vp.tbl[[#This Row],[CrudeType]]="C5+",1,0)</f>
        <v>0</v>
      </c>
      <c r="Z314">
        <f>IF(AND(vp.tbl[[#This Row],[CrudeType]]="Crude",vp.tbl[[#This Row],[Dens]]&lt;=825,vp.tbl[[#This Row],[Sulf]]&gt;0.5,vp.tbl[[#This Row],[Unknown]]=0),1,0)</f>
        <v>1</v>
      </c>
      <c r="AA314">
        <f>IF(AND(vp.tbl[[#This Row],[CrudeType]]="Crude",vp.tbl[[#This Row],[Dens]]&lt;=825,vp.tbl[[#This Row],[Sulf]]&lt;=0.5,vp.tbl[[#This Row],[Unknown]]=0),1,0)</f>
        <v>0</v>
      </c>
      <c r="AB314">
        <f>IF(AND(vp.tbl[[#This Row],[CrudeType]]="Crude",vp.tbl[[#This Row],[Dens]]&gt;825,vp.tbl[[#This Row],[Dens]]&lt;=870,vp.tbl[[#This Row],[Sulf]]&gt;0.5,vp.tbl[[#This Row],[Unknown]]=0),1,0)</f>
        <v>0</v>
      </c>
      <c r="AC314">
        <f>IF(AND(vp.tbl[[#This Row],[CrudeType]]="Crude",vp.tbl[[#This Row],[Dens]]&gt;825,vp.tbl[[#This Row],[Dens]]&lt;=900,vp.tbl[[#This Row],[Sulf]]&lt;=0.5,vp.tbl[[#This Row],[Unknown]]=0),1,0)</f>
        <v>0</v>
      </c>
      <c r="AD314">
        <f>IF(AND(vp.tbl[[#This Row],[CrudeType]]="Crude",vp.tbl[[#This Row],[Dens]]&gt;870,vp.tbl[[#This Row],[Dens]]&lt;=900,vp.tbl[[#This Row],[Sulf]]&gt;0.5,vp.tbl[[#This Row],[Unknown]]=0),1,0)</f>
        <v>0</v>
      </c>
      <c r="AE314">
        <f>IF(AND(vp.tbl[[#This Row],[CrudeType]]="Crude",vp.tbl[[#This Row],[Dens]]&gt;900,vp.tbl[[#This Row],[Sulf]]&lt;=0.5,vp.tbl[[#This Row],[Unknown]]=0),1,0)</f>
        <v>0</v>
      </c>
      <c r="AF314">
        <f>IF(AND(vp.tbl[[#This Row],[CrudeType]]="Crude",vp.tbl[[#This Row],[Dens]]&gt;900,vp.tbl[[#This Row],[Sulf]]&lt;=0.5,vp.tbl[[#This Row],[Unknown]]=0),1,0)</f>
        <v>0</v>
      </c>
      <c r="AG314" t="str">
        <f>INDEX(vp.tbl[[#Headers],[Unknown]:[Heavy_SW]],MATCH(1,vp.tbl[[#This Row],[Unknown]:[Heavy_SW]],0))</f>
        <v>Light_LSB</v>
      </c>
      <c r="AH314" t="e">
        <f>INDEX([1]!crudeBD.lkup[Number],MATCH(vp.tbl[[#This Row],[Crude_Breakdown]],[1]!crudeBD.lkup[Crude Breakdown],0))</f>
        <v>#REF!</v>
      </c>
      <c r="AI314">
        <f>MONTH(vp.tbl[[#This Row],[SDate]])</f>
        <v>8</v>
      </c>
      <c r="AJ314" s="5">
        <f>IFERROR(vp.tbl[[#This Row],[Sulf]]*vp.tbl[[#This Row],[Net Dens]],"")</f>
        <v>1658251.1987999999</v>
      </c>
      <c r="AK314" s="5">
        <f>IFERROR(vp.tbl[[#This Row],[Dens]]*vp.tbl[[#This Row],[VolumeM3]],"")</f>
        <v>2303126.665</v>
      </c>
      <c r="AL314" s="5">
        <f>IFERROR(vp.tbl[[#This Row],[VP]]*vp.tbl[[#This Row],[VolumeM3]],"")</f>
        <v>201051.05719999998</v>
      </c>
      <c r="AM314" s="4">
        <f>IFERROR((vp.tbl[[#This Row],[VP]]-INDEX(crudeBD.lkup.complete[Mean_VP],MATCH(vp.tbl[[#This Row],[Crude_Breakdown]],crudeBD.lkup.complete[Crude Breakdown],0)))^2,"")</f>
        <v>389.91184444680761</v>
      </c>
      <c r="AN314" s="4">
        <f>IFERROR((vp.tbl[[#This Row],[Dens]]-INDEX(crudeBD.lkup.complete[Mean_Dens],MATCH(vp.tbl[[#This Row],[Crude_Breakdown]],crudeBD.lkup.complete[Crude Breakdown],0)))^2,"")</f>
        <v>15.866123149233145</v>
      </c>
      <c r="AO314" s="4">
        <f>IFERROR((vp.tbl[[#This Row],[Sulf]]-INDEX(crudeBD.lkup.complete[Mean_Sulf],MATCH(vp.tbl[[#This Row],[Crude_Breakdown]],crudeBD.lkup.complete[Crude Breakdown],0)))^2,"")</f>
        <v>4.1197295195523106E-2</v>
      </c>
      <c r="AP314">
        <f>IF(AND(vp.tbl[[#This Row],[SDate]]&gt;=DATE(YEAR(vp.tbl[[#This Row],[SDate]]),5,1),vp.tbl[[#This Row],[SDate]]&lt;=DATE(YEAR(vp.tbl[[#This Row],[SDate]]),9,15)),1,0)</f>
        <v>1</v>
      </c>
      <c r="AQ314" s="15">
        <f>IF(vp.tbl[[#This Row],[SDate]]&lt;DATE(2016,12,1),0,1)</f>
        <v>0</v>
      </c>
    </row>
    <row r="315" spans="1:43" x14ac:dyDescent="0.25">
      <c r="A315">
        <v>314</v>
      </c>
      <c r="B315" t="s">
        <v>49</v>
      </c>
      <c r="C315" t="s">
        <v>49</v>
      </c>
      <c r="D315" t="s">
        <v>89</v>
      </c>
      <c r="F315" s="1">
        <v>42612</v>
      </c>
      <c r="G315" s="2">
        <v>77.2</v>
      </c>
      <c r="H315" s="2"/>
      <c r="I315" s="2">
        <v>0.21</v>
      </c>
      <c r="J315" s="2"/>
      <c r="K315" s="2"/>
      <c r="L315" s="2">
        <v>825</v>
      </c>
      <c r="M315" s="2">
        <v>825</v>
      </c>
      <c r="N315" s="2">
        <f ca="1">INDEX(INDIRECT(_xlfn.CONCAT("weather.tbl[",N$1,"]")),MATCH(vp.tbl[[#This Row],[SDate]],weather.tbl[Date],0))</f>
        <v>18.333333333333332</v>
      </c>
      <c r="O315" s="2">
        <f ca="1">INDEX(INDIRECT(_xlfn.CONCAT("weather.tbl[",O$1,"]")),MATCH(vp.tbl[[#This Row],[SDate]],weather.tbl[Date],0))</f>
        <v>16.478571428571428</v>
      </c>
      <c r="P315" s="2">
        <f ca="1">INDEX(INDIRECT(_xlfn.CONCAT("weather.tbl[",P$1,"]")),MATCH(vp.tbl[[#This Row],[SDate]],weather.tbl[Date],0))</f>
        <v>19.3</v>
      </c>
      <c r="Q315" s="2">
        <f ca="1">INDEX(INDIRECT(_xlfn.CONCAT("weather.tbl[",Q$1,"]")),MATCH(vp.tbl[[#This Row],[SDate]],weather.tbl[Date],0))</f>
        <v>19.8</v>
      </c>
      <c r="R315" s="2">
        <f ca="1">INDEX(INDIRECT(_xlfn.CONCAT("weather.tbl[",R$1,"]")),MATCH(vp.tbl[[#This Row],[SDate]],weather.tbl[Date],0))</f>
        <v>17.5</v>
      </c>
      <c r="S315" s="2">
        <f ca="1">INDEX(INDIRECT(_xlfn.CONCAT("weather.tbl[",S$1,"]")),MATCH(vp.tbl[[#This Row],[SDate]],weather.tbl[Date],0))</f>
        <v>19.8</v>
      </c>
      <c r="T315" s="2">
        <f ca="1">INDEX(INDIRECT(_xlfn.CONCAT("weather.tbl[",T$1,"]")),MATCH(vp.tbl[[#This Row],[SDate]],weather.tbl[Date],0))</f>
        <v>16.8</v>
      </c>
      <c r="U315" s="2">
        <f ca="1">INDEX(INDIRECT(_xlfn.CONCAT("weather.tbl[",U$1,"]")),MATCH(vp.tbl[[#This Row],[SDate]],weather.tbl[Date],0))</f>
        <v>16.8</v>
      </c>
      <c r="V315" s="2">
        <v>6690.3270000000002</v>
      </c>
      <c r="W315" t="s">
        <v>48</v>
      </c>
      <c r="X315">
        <f>IF(OR(vp.tbl[[#This Row],[Sulf]]="",vp.tbl[[#This Row],[Dens]]=""),1,0)</f>
        <v>0</v>
      </c>
      <c r="Y315">
        <f>IF(vp.tbl[[#This Row],[CrudeType]]="C5+",1,0)</f>
        <v>0</v>
      </c>
      <c r="Z315">
        <f>IF(AND(vp.tbl[[#This Row],[CrudeType]]="Crude",vp.tbl[[#This Row],[Dens]]&lt;=825,vp.tbl[[#This Row],[Sulf]]&gt;0.5,vp.tbl[[#This Row],[Unknown]]=0),1,0)</f>
        <v>0</v>
      </c>
      <c r="AA315">
        <f>IF(AND(vp.tbl[[#This Row],[CrudeType]]="Crude",vp.tbl[[#This Row],[Dens]]&lt;=825,vp.tbl[[#This Row],[Sulf]]&lt;=0.5,vp.tbl[[#This Row],[Unknown]]=0),1,0)</f>
        <v>1</v>
      </c>
      <c r="AB315">
        <f>IF(AND(vp.tbl[[#This Row],[CrudeType]]="Crude",vp.tbl[[#This Row],[Dens]]&gt;825,vp.tbl[[#This Row],[Dens]]&lt;=870,vp.tbl[[#This Row],[Sulf]]&gt;0.5,vp.tbl[[#This Row],[Unknown]]=0),1,0)</f>
        <v>0</v>
      </c>
      <c r="AC315">
        <f>IF(AND(vp.tbl[[#This Row],[CrudeType]]="Crude",vp.tbl[[#This Row],[Dens]]&gt;825,vp.tbl[[#This Row],[Dens]]&lt;=900,vp.tbl[[#This Row],[Sulf]]&lt;=0.5,vp.tbl[[#This Row],[Unknown]]=0),1,0)</f>
        <v>0</v>
      </c>
      <c r="AD315">
        <f>IF(AND(vp.tbl[[#This Row],[CrudeType]]="Crude",vp.tbl[[#This Row],[Dens]]&gt;870,vp.tbl[[#This Row],[Dens]]&lt;=900,vp.tbl[[#This Row],[Sulf]]&gt;0.5,vp.tbl[[#This Row],[Unknown]]=0),1,0)</f>
        <v>0</v>
      </c>
      <c r="AE315">
        <f>IF(AND(vp.tbl[[#This Row],[CrudeType]]="Crude",vp.tbl[[#This Row],[Dens]]&gt;900,vp.tbl[[#This Row],[Sulf]]&lt;=0.5,vp.tbl[[#This Row],[Unknown]]=0),1,0)</f>
        <v>0</v>
      </c>
      <c r="AF315">
        <f>IF(AND(vp.tbl[[#This Row],[CrudeType]]="Crude",vp.tbl[[#This Row],[Dens]]&gt;900,vp.tbl[[#This Row],[Sulf]]&lt;=0.5,vp.tbl[[#This Row],[Unknown]]=0),1,0)</f>
        <v>0</v>
      </c>
      <c r="AG315" t="str">
        <f>INDEX(vp.tbl[[#Headers],[Unknown]:[Heavy_SW]],MATCH(1,vp.tbl[[#This Row],[Unknown]:[Heavy_SW]],0))</f>
        <v>Light_SW</v>
      </c>
      <c r="AH315" t="e">
        <f>INDEX([1]!crudeBD.lkup[Number],MATCH(vp.tbl[[#This Row],[Crude_Breakdown]],[1]!crudeBD.lkup[Crude Breakdown],0))</f>
        <v>#REF!</v>
      </c>
      <c r="AI315">
        <f>MONTH(vp.tbl[[#This Row],[SDate]])</f>
        <v>8</v>
      </c>
      <c r="AJ315" s="5">
        <f>IFERROR(vp.tbl[[#This Row],[Sulf]]*vp.tbl[[#This Row],[Net Dens]],"")</f>
        <v>1159099.1527500001</v>
      </c>
      <c r="AK315" s="5">
        <f>IFERROR(vp.tbl[[#This Row],[Dens]]*vp.tbl[[#This Row],[VolumeM3]],"")</f>
        <v>5519519.7750000004</v>
      </c>
      <c r="AL315" s="5">
        <f>IFERROR(vp.tbl[[#This Row],[VP]]*vp.tbl[[#This Row],[VolumeM3]],"")</f>
        <v>516493.24440000003</v>
      </c>
      <c r="AM315" s="4">
        <f>IFERROR((vp.tbl[[#This Row],[VP]]-INDEX(crudeBD.lkup.complete[Mean_VP],MATCH(vp.tbl[[#This Row],[Crude_Breakdown]],crudeBD.lkup.complete[Crude Breakdown],0)))^2,"")</f>
        <v>235.63212727603732</v>
      </c>
      <c r="AN315" s="4">
        <f>IFERROR((vp.tbl[[#This Row],[Dens]]-INDEX(crudeBD.lkup.complete[Mean_Dens],MATCH(vp.tbl[[#This Row],[Crude_Breakdown]],crudeBD.lkup.complete[Crude Breakdown],0)))^2,"")</f>
        <v>278.50609039809393</v>
      </c>
      <c r="AO315" s="4">
        <f>IFERROR((vp.tbl[[#This Row],[Sulf]]-INDEX(crudeBD.lkup.complete[Mean_Sulf],MATCH(vp.tbl[[#This Row],[Crude_Breakdown]],crudeBD.lkup.complete[Crude Breakdown],0)))^2,"")</f>
        <v>6.8863268899706654E-4</v>
      </c>
      <c r="AP315">
        <f>IF(AND(vp.tbl[[#This Row],[SDate]]&gt;=DATE(YEAR(vp.tbl[[#This Row],[SDate]]),5,1),vp.tbl[[#This Row],[SDate]]&lt;=DATE(YEAR(vp.tbl[[#This Row],[SDate]]),9,15)),1,0)</f>
        <v>1</v>
      </c>
      <c r="AQ315" s="15">
        <f>IF(vp.tbl[[#This Row],[SDate]]&lt;DATE(2016,12,1),0,1)</f>
        <v>0</v>
      </c>
    </row>
    <row r="316" spans="1:43" x14ac:dyDescent="0.25">
      <c r="A316">
        <v>315</v>
      </c>
      <c r="B316" t="s">
        <v>51</v>
      </c>
      <c r="C316" t="s">
        <v>51</v>
      </c>
      <c r="D316" t="s">
        <v>72</v>
      </c>
      <c r="F316" s="1">
        <v>42612</v>
      </c>
      <c r="G316" s="2">
        <v>67.3</v>
      </c>
      <c r="H316" s="2"/>
      <c r="I316" s="2">
        <v>1.08</v>
      </c>
      <c r="J316" s="2"/>
      <c r="K316" s="2"/>
      <c r="L316" s="2">
        <v>861.5</v>
      </c>
      <c r="M316" s="2">
        <v>861.5</v>
      </c>
      <c r="N316" s="2">
        <f ca="1">INDEX(INDIRECT(_xlfn.CONCAT("weather.tbl[",N$1,"]")),MATCH(vp.tbl[[#This Row],[SDate]],weather.tbl[Date],0))</f>
        <v>18.333333333333332</v>
      </c>
      <c r="O316" s="2">
        <f ca="1">INDEX(INDIRECT(_xlfn.CONCAT("weather.tbl[",O$1,"]")),MATCH(vp.tbl[[#This Row],[SDate]],weather.tbl[Date],0))</f>
        <v>16.478571428571428</v>
      </c>
      <c r="P316" s="2">
        <f ca="1">INDEX(INDIRECT(_xlfn.CONCAT("weather.tbl[",P$1,"]")),MATCH(vp.tbl[[#This Row],[SDate]],weather.tbl[Date],0))</f>
        <v>19.3</v>
      </c>
      <c r="Q316" s="2">
        <f ca="1">INDEX(INDIRECT(_xlfn.CONCAT("weather.tbl[",Q$1,"]")),MATCH(vp.tbl[[#This Row],[SDate]],weather.tbl[Date],0))</f>
        <v>19.8</v>
      </c>
      <c r="R316" s="2">
        <f ca="1">INDEX(INDIRECT(_xlfn.CONCAT("weather.tbl[",R$1,"]")),MATCH(vp.tbl[[#This Row],[SDate]],weather.tbl[Date],0))</f>
        <v>17.5</v>
      </c>
      <c r="S316" s="2">
        <f ca="1">INDEX(INDIRECT(_xlfn.CONCAT("weather.tbl[",S$1,"]")),MATCH(vp.tbl[[#This Row],[SDate]],weather.tbl[Date],0))</f>
        <v>19.8</v>
      </c>
      <c r="T316" s="2">
        <f ca="1">INDEX(INDIRECT(_xlfn.CONCAT("weather.tbl[",T$1,"]")),MATCH(vp.tbl[[#This Row],[SDate]],weather.tbl[Date],0))</f>
        <v>16.8</v>
      </c>
      <c r="U316" s="2">
        <f ca="1">INDEX(INDIRECT(_xlfn.CONCAT("weather.tbl[",U$1,"]")),MATCH(vp.tbl[[#This Row],[SDate]],weather.tbl[Date],0))</f>
        <v>16.8</v>
      </c>
      <c r="V316" s="2">
        <v>6071.46</v>
      </c>
      <c r="W316" t="s">
        <v>48</v>
      </c>
      <c r="X316">
        <f>IF(OR(vp.tbl[[#This Row],[Sulf]]="",vp.tbl[[#This Row],[Dens]]=""),1,0)</f>
        <v>0</v>
      </c>
      <c r="Y316">
        <f>IF(vp.tbl[[#This Row],[CrudeType]]="C5+",1,0)</f>
        <v>0</v>
      </c>
      <c r="Z316">
        <f>IF(AND(vp.tbl[[#This Row],[CrudeType]]="Crude",vp.tbl[[#This Row],[Dens]]&lt;=825,vp.tbl[[#This Row],[Sulf]]&gt;0.5,vp.tbl[[#This Row],[Unknown]]=0),1,0)</f>
        <v>0</v>
      </c>
      <c r="AA316">
        <f>IF(AND(vp.tbl[[#This Row],[CrudeType]]="Crude",vp.tbl[[#This Row],[Dens]]&lt;=825,vp.tbl[[#This Row],[Sulf]]&lt;=0.5,vp.tbl[[#This Row],[Unknown]]=0),1,0)</f>
        <v>0</v>
      </c>
      <c r="AB316">
        <f>IF(AND(vp.tbl[[#This Row],[CrudeType]]="Crude",vp.tbl[[#This Row],[Dens]]&gt;825,vp.tbl[[#This Row],[Dens]]&lt;=870,vp.tbl[[#This Row],[Sulf]]&gt;0.5,vp.tbl[[#This Row],[Unknown]]=0),1,0)</f>
        <v>1</v>
      </c>
      <c r="AC316">
        <f>IF(AND(vp.tbl[[#This Row],[CrudeType]]="Crude",vp.tbl[[#This Row],[Dens]]&gt;825,vp.tbl[[#This Row],[Dens]]&lt;=900,vp.tbl[[#This Row],[Sulf]]&lt;=0.5,vp.tbl[[#This Row],[Unknown]]=0),1,0)</f>
        <v>0</v>
      </c>
      <c r="AD316">
        <f>IF(AND(vp.tbl[[#This Row],[CrudeType]]="Crude",vp.tbl[[#This Row],[Dens]]&gt;870,vp.tbl[[#This Row],[Dens]]&lt;=900,vp.tbl[[#This Row],[Sulf]]&gt;0.5,vp.tbl[[#This Row],[Unknown]]=0),1,0)</f>
        <v>0</v>
      </c>
      <c r="AE316">
        <f>IF(AND(vp.tbl[[#This Row],[CrudeType]]="Crude",vp.tbl[[#This Row],[Dens]]&gt;900,vp.tbl[[#This Row],[Sulf]]&lt;=0.5,vp.tbl[[#This Row],[Unknown]]=0),1,0)</f>
        <v>0</v>
      </c>
      <c r="AF316">
        <f>IF(AND(vp.tbl[[#This Row],[CrudeType]]="Crude",vp.tbl[[#This Row],[Dens]]&gt;900,vp.tbl[[#This Row],[Sulf]]&lt;=0.5,vp.tbl[[#This Row],[Unknown]]=0),1,0)</f>
        <v>0</v>
      </c>
      <c r="AG316" t="str">
        <f>INDEX(vp.tbl[[#Headers],[Unknown]:[Heavy_SW]],MATCH(1,vp.tbl[[#This Row],[Unknown]:[Heavy_SW]],0))</f>
        <v>Medium_LSB</v>
      </c>
      <c r="AH316" t="e">
        <f>INDEX([1]!crudeBD.lkup[Number],MATCH(vp.tbl[[#This Row],[Crude_Breakdown]],[1]!crudeBD.lkup[Crude Breakdown],0))</f>
        <v>#REF!</v>
      </c>
      <c r="AI316">
        <f>MONTH(vp.tbl[[#This Row],[SDate]])</f>
        <v>8</v>
      </c>
      <c r="AJ316" s="5">
        <f>IFERROR(vp.tbl[[#This Row],[Sulf]]*vp.tbl[[#This Row],[Net Dens]],"")</f>
        <v>5649007.8132000007</v>
      </c>
      <c r="AK316" s="5">
        <f>IFERROR(vp.tbl[[#This Row],[Dens]]*vp.tbl[[#This Row],[VolumeM3]],"")</f>
        <v>5230562.79</v>
      </c>
      <c r="AL316" s="5">
        <f>IFERROR(vp.tbl[[#This Row],[VP]]*vp.tbl[[#This Row],[VolumeM3]],"")</f>
        <v>408609.25799999997</v>
      </c>
      <c r="AM316" s="4">
        <f>IFERROR((vp.tbl[[#This Row],[VP]]-INDEX(crudeBD.lkup.complete[Mean_VP],MATCH(vp.tbl[[#This Row],[Crude_Breakdown]],crudeBD.lkup.complete[Crude Breakdown],0)))^2,"")</f>
        <v>165.72944659445514</v>
      </c>
      <c r="AN316" s="4">
        <f>IFERROR((vp.tbl[[#This Row],[Dens]]-INDEX(crudeBD.lkup.complete[Mean_Dens],MATCH(vp.tbl[[#This Row],[Crude_Breakdown]],crudeBD.lkup.complete[Crude Breakdown],0)))^2,"")</f>
        <v>262.70500863903209</v>
      </c>
      <c r="AO316" s="4">
        <f>IFERROR((vp.tbl[[#This Row],[Sulf]]-INDEX(crudeBD.lkup.complete[Mean_Sulf],MATCH(vp.tbl[[#This Row],[Crude_Breakdown]],crudeBD.lkup.complete[Crude Breakdown],0)))^2,"")</f>
        <v>0.14057240048913436</v>
      </c>
      <c r="AP316">
        <f>IF(AND(vp.tbl[[#This Row],[SDate]]&gt;=DATE(YEAR(vp.tbl[[#This Row],[SDate]]),5,1),vp.tbl[[#This Row],[SDate]]&lt;=DATE(YEAR(vp.tbl[[#This Row],[SDate]]),9,15)),1,0)</f>
        <v>1</v>
      </c>
      <c r="AQ316" s="15">
        <f>IF(vp.tbl[[#This Row],[SDate]]&lt;DATE(2016,12,1),0,1)</f>
        <v>0</v>
      </c>
    </row>
    <row r="317" spans="1:43" x14ac:dyDescent="0.25">
      <c r="A317">
        <v>316</v>
      </c>
      <c r="B317" t="s">
        <v>53</v>
      </c>
      <c r="C317" t="s">
        <v>53</v>
      </c>
      <c r="D317" t="s">
        <v>54</v>
      </c>
      <c r="E317" t="s">
        <v>55</v>
      </c>
      <c r="F317" s="1">
        <v>42613</v>
      </c>
      <c r="G317" s="2">
        <v>65.5</v>
      </c>
      <c r="H317" s="2"/>
      <c r="I317" s="2">
        <v>1.75</v>
      </c>
      <c r="J317" s="2"/>
      <c r="K317" s="2"/>
      <c r="L317" s="2">
        <v>829</v>
      </c>
      <c r="M317" s="2">
        <v>829</v>
      </c>
      <c r="N317" s="2">
        <f ca="1">INDEX(INDIRECT(_xlfn.CONCAT("weather.tbl[",N$1,"]")),MATCH(vp.tbl[[#This Row],[SDate]],weather.tbl[Date],0))</f>
        <v>18.583333333333332</v>
      </c>
      <c r="O317" s="2">
        <f ca="1">INDEX(INDIRECT(_xlfn.CONCAT("weather.tbl[",O$1,"]")),MATCH(vp.tbl[[#This Row],[SDate]],weather.tbl[Date],0))</f>
        <v>17.045238095238094</v>
      </c>
      <c r="P317" s="2">
        <f ca="1">INDEX(INDIRECT(_xlfn.CONCAT("weather.tbl[",P$1,"]")),MATCH(vp.tbl[[#This Row],[SDate]],weather.tbl[Date],0))</f>
        <v>19.600000000000001</v>
      </c>
      <c r="Q317" s="2">
        <f ca="1">INDEX(INDIRECT(_xlfn.CONCAT("weather.tbl[",Q$1,"]")),MATCH(vp.tbl[[#This Row],[SDate]],weather.tbl[Date],0))</f>
        <v>20.3</v>
      </c>
      <c r="R317" s="2">
        <f ca="1">INDEX(INDIRECT(_xlfn.CONCAT("weather.tbl[",R$1,"]")),MATCH(vp.tbl[[#This Row],[SDate]],weather.tbl[Date],0))</f>
        <v>16.8</v>
      </c>
      <c r="S317" s="2">
        <f ca="1">INDEX(INDIRECT(_xlfn.CONCAT("weather.tbl[",S$1,"]")),MATCH(vp.tbl[[#This Row],[SDate]],weather.tbl[Date],0))</f>
        <v>20.5</v>
      </c>
      <c r="T317" s="2">
        <f ca="1">INDEX(INDIRECT(_xlfn.CONCAT("weather.tbl[",T$1,"]")),MATCH(vp.tbl[[#This Row],[SDate]],weather.tbl[Date],0))</f>
        <v>17.5</v>
      </c>
      <c r="U317" s="2">
        <f ca="1">INDEX(INDIRECT(_xlfn.CONCAT("weather.tbl[",U$1,"]")),MATCH(vp.tbl[[#This Row],[SDate]],weather.tbl[Date],0))</f>
        <v>16.8</v>
      </c>
      <c r="V317" s="2">
        <v>62161.747000000003</v>
      </c>
      <c r="W317" t="s">
        <v>48</v>
      </c>
      <c r="X317">
        <f>IF(OR(vp.tbl[[#This Row],[Sulf]]="",vp.tbl[[#This Row],[Dens]]=""),1,0)</f>
        <v>0</v>
      </c>
      <c r="Y317">
        <f>IF(vp.tbl[[#This Row],[CrudeType]]="C5+",1,0)</f>
        <v>0</v>
      </c>
      <c r="Z317">
        <f>IF(AND(vp.tbl[[#This Row],[CrudeType]]="Crude",vp.tbl[[#This Row],[Dens]]&lt;=825,vp.tbl[[#This Row],[Sulf]]&gt;0.5,vp.tbl[[#This Row],[Unknown]]=0),1,0)</f>
        <v>0</v>
      </c>
      <c r="AA317">
        <f>IF(AND(vp.tbl[[#This Row],[CrudeType]]="Crude",vp.tbl[[#This Row],[Dens]]&lt;=825,vp.tbl[[#This Row],[Sulf]]&lt;=0.5,vp.tbl[[#This Row],[Unknown]]=0),1,0)</f>
        <v>0</v>
      </c>
      <c r="AB317">
        <f>IF(AND(vp.tbl[[#This Row],[CrudeType]]="Crude",vp.tbl[[#This Row],[Dens]]&gt;825,vp.tbl[[#This Row],[Dens]]&lt;=870,vp.tbl[[#This Row],[Sulf]]&gt;0.5,vp.tbl[[#This Row],[Unknown]]=0),1,0)</f>
        <v>1</v>
      </c>
      <c r="AC317">
        <f>IF(AND(vp.tbl[[#This Row],[CrudeType]]="Crude",vp.tbl[[#This Row],[Dens]]&gt;825,vp.tbl[[#This Row],[Dens]]&lt;=900,vp.tbl[[#This Row],[Sulf]]&lt;=0.5,vp.tbl[[#This Row],[Unknown]]=0),1,0)</f>
        <v>0</v>
      </c>
      <c r="AD317">
        <f>IF(AND(vp.tbl[[#This Row],[CrudeType]]="Crude",vp.tbl[[#This Row],[Dens]]&gt;870,vp.tbl[[#This Row],[Dens]]&lt;=900,vp.tbl[[#This Row],[Sulf]]&gt;0.5,vp.tbl[[#This Row],[Unknown]]=0),1,0)</f>
        <v>0</v>
      </c>
      <c r="AE317">
        <f>IF(AND(vp.tbl[[#This Row],[CrudeType]]="Crude",vp.tbl[[#This Row],[Dens]]&gt;900,vp.tbl[[#This Row],[Sulf]]&lt;=0.5,vp.tbl[[#This Row],[Unknown]]=0),1,0)</f>
        <v>0</v>
      </c>
      <c r="AF317">
        <f>IF(AND(vp.tbl[[#This Row],[CrudeType]]="Crude",vp.tbl[[#This Row],[Dens]]&gt;900,vp.tbl[[#This Row],[Sulf]]&lt;=0.5,vp.tbl[[#This Row],[Unknown]]=0),1,0)</f>
        <v>0</v>
      </c>
      <c r="AG317" t="str">
        <f>INDEX(vp.tbl[[#Headers],[Unknown]:[Heavy_SW]],MATCH(1,vp.tbl[[#This Row],[Unknown]:[Heavy_SW]],0))</f>
        <v>Medium_LSB</v>
      </c>
      <c r="AH317" t="e">
        <f>INDEX([1]!crudeBD.lkup[Number],MATCH(vp.tbl[[#This Row],[Crude_Breakdown]],[1]!crudeBD.lkup[Crude Breakdown],0))</f>
        <v>#REF!</v>
      </c>
      <c r="AI317">
        <f>MONTH(vp.tbl[[#This Row],[SDate]])</f>
        <v>8</v>
      </c>
      <c r="AJ317" s="5">
        <f>IFERROR(vp.tbl[[#This Row],[Sulf]]*vp.tbl[[#This Row],[Net Dens]],"")</f>
        <v>90181154.460250005</v>
      </c>
      <c r="AK317" s="5">
        <f>IFERROR(vp.tbl[[#This Row],[Dens]]*vp.tbl[[#This Row],[VolumeM3]],"")</f>
        <v>51532088.263000004</v>
      </c>
      <c r="AL317" s="5">
        <f>IFERROR(vp.tbl[[#This Row],[VP]]*vp.tbl[[#This Row],[VolumeM3]],"")</f>
        <v>4071594.4285000004</v>
      </c>
      <c r="AM317" s="4">
        <f>IFERROR((vp.tbl[[#This Row],[VP]]-INDEX(crudeBD.lkup.complete[Mean_VP],MATCH(vp.tbl[[#This Row],[Crude_Breakdown]],crudeBD.lkup.complete[Crude Breakdown],0)))^2,"")</f>
        <v>215.31438836660683</v>
      </c>
      <c r="AN317" s="4">
        <f>IFERROR((vp.tbl[[#This Row],[Dens]]-INDEX(crudeBD.lkup.complete[Mean_Dens],MATCH(vp.tbl[[#This Row],[Crude_Breakdown]],crudeBD.lkup.complete[Crude Breakdown],0)))^2,"")</f>
        <v>265.42348965162631</v>
      </c>
      <c r="AO317" s="4">
        <f>IFERROR((vp.tbl[[#This Row],[Sulf]]-INDEX(crudeBD.lkup.complete[Mean_Sulf],MATCH(vp.tbl[[#This Row],[Crude_Breakdown]],crudeBD.lkup.complete[Crude Breakdown],0)))^2,"")</f>
        <v>8.7066387071410914E-2</v>
      </c>
      <c r="AP317">
        <f>IF(AND(vp.tbl[[#This Row],[SDate]]&gt;=DATE(YEAR(vp.tbl[[#This Row],[SDate]]),5,1),vp.tbl[[#This Row],[SDate]]&lt;=DATE(YEAR(vp.tbl[[#This Row],[SDate]]),9,15)),1,0)</f>
        <v>1</v>
      </c>
      <c r="AQ317" s="15">
        <f>IF(vp.tbl[[#This Row],[SDate]]&lt;DATE(2016,12,1),0,1)</f>
        <v>0</v>
      </c>
    </row>
    <row r="318" spans="1:43" x14ac:dyDescent="0.25">
      <c r="A318">
        <v>317</v>
      </c>
      <c r="B318" t="s">
        <v>62</v>
      </c>
      <c r="C318" t="s">
        <v>62</v>
      </c>
      <c r="D318" t="s">
        <v>83</v>
      </c>
      <c r="F318" s="1">
        <v>42613</v>
      </c>
      <c r="G318" s="2">
        <v>81.599999999999994</v>
      </c>
      <c r="H318" s="2"/>
      <c r="I318" s="2">
        <v>0.17</v>
      </c>
      <c r="J318" s="2"/>
      <c r="K318" s="2"/>
      <c r="L318" s="2">
        <v>814.7</v>
      </c>
      <c r="M318" s="2">
        <v>814.7</v>
      </c>
      <c r="N318" s="2">
        <f ca="1">INDEX(INDIRECT(_xlfn.CONCAT("weather.tbl[",N$1,"]")),MATCH(vp.tbl[[#This Row],[SDate]],weather.tbl[Date],0))</f>
        <v>18.583333333333332</v>
      </c>
      <c r="O318" s="2">
        <f ca="1">INDEX(INDIRECT(_xlfn.CONCAT("weather.tbl[",O$1,"]")),MATCH(vp.tbl[[#This Row],[SDate]],weather.tbl[Date],0))</f>
        <v>17.045238095238094</v>
      </c>
      <c r="P318" s="2">
        <f ca="1">INDEX(INDIRECT(_xlfn.CONCAT("weather.tbl[",P$1,"]")),MATCH(vp.tbl[[#This Row],[SDate]],weather.tbl[Date],0))</f>
        <v>19.600000000000001</v>
      </c>
      <c r="Q318" s="2">
        <f ca="1">INDEX(INDIRECT(_xlfn.CONCAT("weather.tbl[",Q$1,"]")),MATCH(vp.tbl[[#This Row],[SDate]],weather.tbl[Date],0))</f>
        <v>20.3</v>
      </c>
      <c r="R318" s="2">
        <f ca="1">INDEX(INDIRECT(_xlfn.CONCAT("weather.tbl[",R$1,"]")),MATCH(vp.tbl[[#This Row],[SDate]],weather.tbl[Date],0))</f>
        <v>16.8</v>
      </c>
      <c r="S318" s="2">
        <f ca="1">INDEX(INDIRECT(_xlfn.CONCAT("weather.tbl[",S$1,"]")),MATCH(vp.tbl[[#This Row],[SDate]],weather.tbl[Date],0))</f>
        <v>20.5</v>
      </c>
      <c r="T318" s="2">
        <f ca="1">INDEX(INDIRECT(_xlfn.CONCAT("weather.tbl[",T$1,"]")),MATCH(vp.tbl[[#This Row],[SDate]],weather.tbl[Date],0))</f>
        <v>17.5</v>
      </c>
      <c r="U318" s="2">
        <f ca="1">INDEX(INDIRECT(_xlfn.CONCAT("weather.tbl[",U$1,"]")),MATCH(vp.tbl[[#This Row],[SDate]],weather.tbl[Date],0))</f>
        <v>16.8</v>
      </c>
      <c r="V318" s="2">
        <v>9531.8590000000004</v>
      </c>
      <c r="W318" t="s">
        <v>48</v>
      </c>
      <c r="X318">
        <f>IF(OR(vp.tbl[[#This Row],[Sulf]]="",vp.tbl[[#This Row],[Dens]]=""),1,0)</f>
        <v>0</v>
      </c>
      <c r="Y318">
        <f>IF(vp.tbl[[#This Row],[CrudeType]]="C5+",1,0)</f>
        <v>0</v>
      </c>
      <c r="Z318">
        <f>IF(AND(vp.tbl[[#This Row],[CrudeType]]="Crude",vp.tbl[[#This Row],[Dens]]&lt;=825,vp.tbl[[#This Row],[Sulf]]&gt;0.5,vp.tbl[[#This Row],[Unknown]]=0),1,0)</f>
        <v>0</v>
      </c>
      <c r="AA318">
        <f>IF(AND(vp.tbl[[#This Row],[CrudeType]]="Crude",vp.tbl[[#This Row],[Dens]]&lt;=825,vp.tbl[[#This Row],[Sulf]]&lt;=0.5,vp.tbl[[#This Row],[Unknown]]=0),1,0)</f>
        <v>1</v>
      </c>
      <c r="AB318">
        <f>IF(AND(vp.tbl[[#This Row],[CrudeType]]="Crude",vp.tbl[[#This Row],[Dens]]&gt;825,vp.tbl[[#This Row],[Dens]]&lt;=870,vp.tbl[[#This Row],[Sulf]]&gt;0.5,vp.tbl[[#This Row],[Unknown]]=0),1,0)</f>
        <v>0</v>
      </c>
      <c r="AC318">
        <f>IF(AND(vp.tbl[[#This Row],[CrudeType]]="Crude",vp.tbl[[#This Row],[Dens]]&gt;825,vp.tbl[[#This Row],[Dens]]&lt;=900,vp.tbl[[#This Row],[Sulf]]&lt;=0.5,vp.tbl[[#This Row],[Unknown]]=0),1,0)</f>
        <v>0</v>
      </c>
      <c r="AD318">
        <f>IF(AND(vp.tbl[[#This Row],[CrudeType]]="Crude",vp.tbl[[#This Row],[Dens]]&gt;870,vp.tbl[[#This Row],[Dens]]&lt;=900,vp.tbl[[#This Row],[Sulf]]&gt;0.5,vp.tbl[[#This Row],[Unknown]]=0),1,0)</f>
        <v>0</v>
      </c>
      <c r="AE318">
        <f>IF(AND(vp.tbl[[#This Row],[CrudeType]]="Crude",vp.tbl[[#This Row],[Dens]]&gt;900,vp.tbl[[#This Row],[Sulf]]&lt;=0.5,vp.tbl[[#This Row],[Unknown]]=0),1,0)</f>
        <v>0</v>
      </c>
      <c r="AF318">
        <f>IF(AND(vp.tbl[[#This Row],[CrudeType]]="Crude",vp.tbl[[#This Row],[Dens]]&gt;900,vp.tbl[[#This Row],[Sulf]]&lt;=0.5,vp.tbl[[#This Row],[Unknown]]=0),1,0)</f>
        <v>0</v>
      </c>
      <c r="AG318" t="str">
        <f>INDEX(vp.tbl[[#Headers],[Unknown]:[Heavy_SW]],MATCH(1,vp.tbl[[#This Row],[Unknown]:[Heavy_SW]],0))</f>
        <v>Light_SW</v>
      </c>
      <c r="AH318" t="e">
        <f>INDEX([1]!crudeBD.lkup[Number],MATCH(vp.tbl[[#This Row],[Crude_Breakdown]],[1]!crudeBD.lkup[Crude Breakdown],0))</f>
        <v>#REF!</v>
      </c>
      <c r="AI318">
        <f>MONTH(vp.tbl[[#This Row],[SDate]])</f>
        <v>8</v>
      </c>
      <c r="AJ318" s="5">
        <f>IFERROR(vp.tbl[[#This Row],[Sulf]]*vp.tbl[[#This Row],[Net Dens]],"")</f>
        <v>1320152.9396410002</v>
      </c>
      <c r="AK318" s="5">
        <f>IFERROR(vp.tbl[[#This Row],[Dens]]*vp.tbl[[#This Row],[VolumeM3]],"")</f>
        <v>7765605.5273000011</v>
      </c>
      <c r="AL318" s="5">
        <f>IFERROR(vp.tbl[[#This Row],[VP]]*vp.tbl[[#This Row],[VolumeM3]],"")</f>
        <v>777799.69439999992</v>
      </c>
      <c r="AM318" s="4">
        <f>IFERROR((vp.tbl[[#This Row],[VP]]-INDEX(crudeBD.lkup.complete[Mean_VP],MATCH(vp.tbl[[#This Row],[Crude_Breakdown]],crudeBD.lkup.complete[Crude Breakdown],0)))^2,"")</f>
        <v>119.90936769415626</v>
      </c>
      <c r="AN318" s="4">
        <f>IFERROR((vp.tbl[[#This Row],[Dens]]-INDEX(crudeBD.lkup.complete[Mean_Dens],MATCH(vp.tbl[[#This Row],[Crude_Breakdown]],crudeBD.lkup.complete[Crude Breakdown],0)))^2,"")</f>
        <v>40.812954509588288</v>
      </c>
      <c r="AO318" s="4">
        <f>IFERROR((vp.tbl[[#This Row],[Sulf]]-INDEX(crudeBD.lkup.complete[Mean_Sulf],MATCH(vp.tbl[[#This Row],[Crude_Breakdown]],crudeBD.lkup.complete[Crude Breakdown],0)))^2,"")</f>
        <v>4.3879776367322437E-3</v>
      </c>
      <c r="AP318">
        <f>IF(AND(vp.tbl[[#This Row],[SDate]]&gt;=DATE(YEAR(vp.tbl[[#This Row],[SDate]]),5,1),vp.tbl[[#This Row],[SDate]]&lt;=DATE(YEAR(vp.tbl[[#This Row],[SDate]]),9,15)),1,0)</f>
        <v>1</v>
      </c>
      <c r="AQ318" s="15">
        <f>IF(vp.tbl[[#This Row],[SDate]]&lt;DATE(2016,12,1),0,1)</f>
        <v>0</v>
      </c>
    </row>
    <row r="319" spans="1:43" x14ac:dyDescent="0.25">
      <c r="A319">
        <v>318</v>
      </c>
      <c r="B319" t="s">
        <v>62</v>
      </c>
      <c r="C319" t="s">
        <v>62</v>
      </c>
      <c r="D319" t="s">
        <v>87</v>
      </c>
      <c r="F319" s="1">
        <v>42613</v>
      </c>
      <c r="G319" s="2">
        <v>75.599999999999994</v>
      </c>
      <c r="H319" s="2"/>
      <c r="I319" s="2">
        <v>0.16</v>
      </c>
      <c r="J319" s="2"/>
      <c r="K319" s="2"/>
      <c r="L319" s="2">
        <v>819.6</v>
      </c>
      <c r="M319" s="2">
        <v>819.6</v>
      </c>
      <c r="N319" s="2">
        <f ca="1">INDEX(INDIRECT(_xlfn.CONCAT("weather.tbl[",N$1,"]")),MATCH(vp.tbl[[#This Row],[SDate]],weather.tbl[Date],0))</f>
        <v>18.583333333333332</v>
      </c>
      <c r="O319" s="2">
        <f ca="1">INDEX(INDIRECT(_xlfn.CONCAT("weather.tbl[",O$1,"]")),MATCH(vp.tbl[[#This Row],[SDate]],weather.tbl[Date],0))</f>
        <v>17.045238095238094</v>
      </c>
      <c r="P319" s="2">
        <f ca="1">INDEX(INDIRECT(_xlfn.CONCAT("weather.tbl[",P$1,"]")),MATCH(vp.tbl[[#This Row],[SDate]],weather.tbl[Date],0))</f>
        <v>19.600000000000001</v>
      </c>
      <c r="Q319" s="2">
        <f ca="1">INDEX(INDIRECT(_xlfn.CONCAT("weather.tbl[",Q$1,"]")),MATCH(vp.tbl[[#This Row],[SDate]],weather.tbl[Date],0))</f>
        <v>20.3</v>
      </c>
      <c r="R319" s="2">
        <f ca="1">INDEX(INDIRECT(_xlfn.CONCAT("weather.tbl[",R$1,"]")),MATCH(vp.tbl[[#This Row],[SDate]],weather.tbl[Date],0))</f>
        <v>16.8</v>
      </c>
      <c r="S319" s="2">
        <f ca="1">INDEX(INDIRECT(_xlfn.CONCAT("weather.tbl[",S$1,"]")),MATCH(vp.tbl[[#This Row],[SDate]],weather.tbl[Date],0))</f>
        <v>20.5</v>
      </c>
      <c r="T319" s="2">
        <f ca="1">INDEX(INDIRECT(_xlfn.CONCAT("weather.tbl[",T$1,"]")),MATCH(vp.tbl[[#This Row],[SDate]],weather.tbl[Date],0))</f>
        <v>17.5</v>
      </c>
      <c r="U319" s="2">
        <f ca="1">INDEX(INDIRECT(_xlfn.CONCAT("weather.tbl[",U$1,"]")),MATCH(vp.tbl[[#This Row],[SDate]],weather.tbl[Date],0))</f>
        <v>16.8</v>
      </c>
      <c r="V319" s="2">
        <v>7819.1639999999998</v>
      </c>
      <c r="W319" t="s">
        <v>48</v>
      </c>
      <c r="X319">
        <f>IF(OR(vp.tbl[[#This Row],[Sulf]]="",vp.tbl[[#This Row],[Dens]]=""),1,0)</f>
        <v>0</v>
      </c>
      <c r="Y319">
        <f>IF(vp.tbl[[#This Row],[CrudeType]]="C5+",1,0)</f>
        <v>0</v>
      </c>
      <c r="Z319">
        <f>IF(AND(vp.tbl[[#This Row],[CrudeType]]="Crude",vp.tbl[[#This Row],[Dens]]&lt;=825,vp.tbl[[#This Row],[Sulf]]&gt;0.5,vp.tbl[[#This Row],[Unknown]]=0),1,0)</f>
        <v>0</v>
      </c>
      <c r="AA319">
        <f>IF(AND(vp.tbl[[#This Row],[CrudeType]]="Crude",vp.tbl[[#This Row],[Dens]]&lt;=825,vp.tbl[[#This Row],[Sulf]]&lt;=0.5,vp.tbl[[#This Row],[Unknown]]=0),1,0)</f>
        <v>1</v>
      </c>
      <c r="AB319">
        <f>IF(AND(vp.tbl[[#This Row],[CrudeType]]="Crude",vp.tbl[[#This Row],[Dens]]&gt;825,vp.tbl[[#This Row],[Dens]]&lt;=870,vp.tbl[[#This Row],[Sulf]]&gt;0.5,vp.tbl[[#This Row],[Unknown]]=0),1,0)</f>
        <v>0</v>
      </c>
      <c r="AC319">
        <f>IF(AND(vp.tbl[[#This Row],[CrudeType]]="Crude",vp.tbl[[#This Row],[Dens]]&gt;825,vp.tbl[[#This Row],[Dens]]&lt;=900,vp.tbl[[#This Row],[Sulf]]&lt;=0.5,vp.tbl[[#This Row],[Unknown]]=0),1,0)</f>
        <v>0</v>
      </c>
      <c r="AD319">
        <f>IF(AND(vp.tbl[[#This Row],[CrudeType]]="Crude",vp.tbl[[#This Row],[Dens]]&gt;870,vp.tbl[[#This Row],[Dens]]&lt;=900,vp.tbl[[#This Row],[Sulf]]&gt;0.5,vp.tbl[[#This Row],[Unknown]]=0),1,0)</f>
        <v>0</v>
      </c>
      <c r="AE319">
        <f>IF(AND(vp.tbl[[#This Row],[CrudeType]]="Crude",vp.tbl[[#This Row],[Dens]]&gt;900,vp.tbl[[#This Row],[Sulf]]&lt;=0.5,vp.tbl[[#This Row],[Unknown]]=0),1,0)</f>
        <v>0</v>
      </c>
      <c r="AF319">
        <f>IF(AND(vp.tbl[[#This Row],[CrudeType]]="Crude",vp.tbl[[#This Row],[Dens]]&gt;900,vp.tbl[[#This Row],[Sulf]]&lt;=0.5,vp.tbl[[#This Row],[Unknown]]=0),1,0)</f>
        <v>0</v>
      </c>
      <c r="AG319" t="str">
        <f>INDEX(vp.tbl[[#Headers],[Unknown]:[Heavy_SW]],MATCH(1,vp.tbl[[#This Row],[Unknown]:[Heavy_SW]],0))</f>
        <v>Light_SW</v>
      </c>
      <c r="AH319" t="e">
        <f>INDEX([1]!crudeBD.lkup[Number],MATCH(vp.tbl[[#This Row],[Crude_Breakdown]],[1]!crudeBD.lkup[Crude Breakdown],0))</f>
        <v>#REF!</v>
      </c>
      <c r="AI319">
        <f>MONTH(vp.tbl[[#This Row],[SDate]])</f>
        <v>8</v>
      </c>
      <c r="AJ319" s="5">
        <f>IFERROR(vp.tbl[[#This Row],[Sulf]]*vp.tbl[[#This Row],[Net Dens]],"")</f>
        <v>1025373.890304</v>
      </c>
      <c r="AK319" s="5">
        <f>IFERROR(vp.tbl[[#This Row],[Dens]]*vp.tbl[[#This Row],[VolumeM3]],"")</f>
        <v>6408586.8143999996</v>
      </c>
      <c r="AL319" s="5">
        <f>IFERROR(vp.tbl[[#This Row],[VP]]*vp.tbl[[#This Row],[VolumeM3]],"")</f>
        <v>591128.79839999997</v>
      </c>
      <c r="AM319" s="4">
        <f>IFERROR((vp.tbl[[#This Row],[VP]]-INDEX(crudeBD.lkup.complete[Mean_VP],MATCH(vp.tbl[[#This Row],[Crude_Breakdown]],crudeBD.lkup.complete[Crude Breakdown],0)))^2,"")</f>
        <v>287.31313076035809</v>
      </c>
      <c r="AN319" s="4">
        <f>IFERROR((vp.tbl[[#This Row],[Dens]]-INDEX(crudeBD.lkup.complete[Mean_Dens],MATCH(vp.tbl[[#This Row],[Crude_Breakdown]],crudeBD.lkup.complete[Crude Breakdown],0)))^2,"")</f>
        <v>127.43027158276109</v>
      </c>
      <c r="AO319" s="4">
        <f>IFERROR((vp.tbl[[#This Row],[Sulf]]-INDEX(crudeBD.lkup.complete[Mean_Sulf],MATCH(vp.tbl[[#This Row],[Crude_Breakdown]],crudeBD.lkup.complete[Crude Breakdown],0)))^2,"")</f>
        <v>5.8128138736660397E-3</v>
      </c>
      <c r="AP319">
        <f>IF(AND(vp.tbl[[#This Row],[SDate]]&gt;=DATE(YEAR(vp.tbl[[#This Row],[SDate]]),5,1),vp.tbl[[#This Row],[SDate]]&lt;=DATE(YEAR(vp.tbl[[#This Row],[SDate]]),9,15)),1,0)</f>
        <v>1</v>
      </c>
      <c r="AQ319" s="15">
        <f>IF(vp.tbl[[#This Row],[SDate]]&lt;DATE(2016,12,1),0,1)</f>
        <v>0</v>
      </c>
    </row>
    <row r="320" spans="1:43" x14ac:dyDescent="0.25">
      <c r="A320">
        <v>319</v>
      </c>
      <c r="B320" t="s">
        <v>62</v>
      </c>
      <c r="C320" t="s">
        <v>62</v>
      </c>
      <c r="D320" t="s">
        <v>63</v>
      </c>
      <c r="F320" s="1">
        <v>42613</v>
      </c>
      <c r="G320" s="2">
        <v>82.6</v>
      </c>
      <c r="H320" s="2"/>
      <c r="I320" s="2">
        <v>1.52</v>
      </c>
      <c r="J320" s="2"/>
      <c r="K320" s="2"/>
      <c r="L320" s="2">
        <v>833.3</v>
      </c>
      <c r="M320" s="2">
        <v>833.3</v>
      </c>
      <c r="N320" s="2">
        <f ca="1">INDEX(INDIRECT(_xlfn.CONCAT("weather.tbl[",N$1,"]")),MATCH(vp.tbl[[#This Row],[SDate]],weather.tbl[Date],0))</f>
        <v>18.583333333333332</v>
      </c>
      <c r="O320" s="2">
        <f ca="1">INDEX(INDIRECT(_xlfn.CONCAT("weather.tbl[",O$1,"]")),MATCH(vp.tbl[[#This Row],[SDate]],weather.tbl[Date],0))</f>
        <v>17.045238095238094</v>
      </c>
      <c r="P320" s="2">
        <f ca="1">INDEX(INDIRECT(_xlfn.CONCAT("weather.tbl[",P$1,"]")),MATCH(vp.tbl[[#This Row],[SDate]],weather.tbl[Date],0))</f>
        <v>19.600000000000001</v>
      </c>
      <c r="Q320" s="2">
        <f ca="1">INDEX(INDIRECT(_xlfn.CONCAT("weather.tbl[",Q$1,"]")),MATCH(vp.tbl[[#This Row],[SDate]],weather.tbl[Date],0))</f>
        <v>20.3</v>
      </c>
      <c r="R320" s="2">
        <f ca="1">INDEX(INDIRECT(_xlfn.CONCAT("weather.tbl[",R$1,"]")),MATCH(vp.tbl[[#This Row],[SDate]],weather.tbl[Date],0))</f>
        <v>16.8</v>
      </c>
      <c r="S320" s="2">
        <f ca="1">INDEX(INDIRECT(_xlfn.CONCAT("weather.tbl[",S$1,"]")),MATCH(vp.tbl[[#This Row],[SDate]],weather.tbl[Date],0))</f>
        <v>20.5</v>
      </c>
      <c r="T320" s="2">
        <f ca="1">INDEX(INDIRECT(_xlfn.CONCAT("weather.tbl[",T$1,"]")),MATCH(vp.tbl[[#This Row],[SDate]],weather.tbl[Date],0))</f>
        <v>17.5</v>
      </c>
      <c r="U320" s="2">
        <f ca="1">INDEX(INDIRECT(_xlfn.CONCAT("weather.tbl[",U$1,"]")),MATCH(vp.tbl[[#This Row],[SDate]],weather.tbl[Date],0))</f>
        <v>16.8</v>
      </c>
      <c r="V320" s="2">
        <v>5419.0659999999998</v>
      </c>
      <c r="W320" t="s">
        <v>48</v>
      </c>
      <c r="X320">
        <f>IF(OR(vp.tbl[[#This Row],[Sulf]]="",vp.tbl[[#This Row],[Dens]]=""),1,0)</f>
        <v>0</v>
      </c>
      <c r="Y320">
        <f>IF(vp.tbl[[#This Row],[CrudeType]]="C5+",1,0)</f>
        <v>0</v>
      </c>
      <c r="Z320">
        <f>IF(AND(vp.tbl[[#This Row],[CrudeType]]="Crude",vp.tbl[[#This Row],[Dens]]&lt;=825,vp.tbl[[#This Row],[Sulf]]&gt;0.5,vp.tbl[[#This Row],[Unknown]]=0),1,0)</f>
        <v>0</v>
      </c>
      <c r="AA320">
        <f>IF(AND(vp.tbl[[#This Row],[CrudeType]]="Crude",vp.tbl[[#This Row],[Dens]]&lt;=825,vp.tbl[[#This Row],[Sulf]]&lt;=0.5,vp.tbl[[#This Row],[Unknown]]=0),1,0)</f>
        <v>0</v>
      </c>
      <c r="AB320">
        <f>IF(AND(vp.tbl[[#This Row],[CrudeType]]="Crude",vp.tbl[[#This Row],[Dens]]&gt;825,vp.tbl[[#This Row],[Dens]]&lt;=870,vp.tbl[[#This Row],[Sulf]]&gt;0.5,vp.tbl[[#This Row],[Unknown]]=0),1,0)</f>
        <v>1</v>
      </c>
      <c r="AC320">
        <f>IF(AND(vp.tbl[[#This Row],[CrudeType]]="Crude",vp.tbl[[#This Row],[Dens]]&gt;825,vp.tbl[[#This Row],[Dens]]&lt;=900,vp.tbl[[#This Row],[Sulf]]&lt;=0.5,vp.tbl[[#This Row],[Unknown]]=0),1,0)</f>
        <v>0</v>
      </c>
      <c r="AD320">
        <f>IF(AND(vp.tbl[[#This Row],[CrudeType]]="Crude",vp.tbl[[#This Row],[Dens]]&gt;870,vp.tbl[[#This Row],[Dens]]&lt;=900,vp.tbl[[#This Row],[Sulf]]&gt;0.5,vp.tbl[[#This Row],[Unknown]]=0),1,0)</f>
        <v>0</v>
      </c>
      <c r="AE320">
        <f>IF(AND(vp.tbl[[#This Row],[CrudeType]]="Crude",vp.tbl[[#This Row],[Dens]]&gt;900,vp.tbl[[#This Row],[Sulf]]&lt;=0.5,vp.tbl[[#This Row],[Unknown]]=0),1,0)</f>
        <v>0</v>
      </c>
      <c r="AF320">
        <f>IF(AND(vp.tbl[[#This Row],[CrudeType]]="Crude",vp.tbl[[#This Row],[Dens]]&gt;900,vp.tbl[[#This Row],[Sulf]]&lt;=0.5,vp.tbl[[#This Row],[Unknown]]=0),1,0)</f>
        <v>0</v>
      </c>
      <c r="AG320" t="str">
        <f>INDEX(vp.tbl[[#Headers],[Unknown]:[Heavy_SW]],MATCH(1,vp.tbl[[#This Row],[Unknown]:[Heavy_SW]],0))</f>
        <v>Medium_LSB</v>
      </c>
      <c r="AH320" t="e">
        <f>INDEX([1]!crudeBD.lkup[Number],MATCH(vp.tbl[[#This Row],[Crude_Breakdown]],[1]!crudeBD.lkup[Crude Breakdown],0))</f>
        <v>#REF!</v>
      </c>
      <c r="AI320">
        <f>MONTH(vp.tbl[[#This Row],[SDate]])</f>
        <v>8</v>
      </c>
      <c r="AJ320" s="5">
        <f>IFERROR(vp.tbl[[#This Row],[Sulf]]*vp.tbl[[#This Row],[Net Dens]],"")</f>
        <v>6863875.7006559987</v>
      </c>
      <c r="AK320" s="5">
        <f>IFERROR(vp.tbl[[#This Row],[Dens]]*vp.tbl[[#This Row],[VolumeM3]],"")</f>
        <v>4515707.6977999993</v>
      </c>
      <c r="AL320" s="5">
        <f>IFERROR(vp.tbl[[#This Row],[VP]]*vp.tbl[[#This Row],[VolumeM3]],"")</f>
        <v>447614.85159999994</v>
      </c>
      <c r="AM320" s="4">
        <f>IFERROR((vp.tbl[[#This Row],[VP]]-INDEX(crudeBD.lkup.complete[Mean_VP],MATCH(vp.tbl[[#This Row],[Crude_Breakdown]],crudeBD.lkup.complete[Crude Breakdown],0)))^2,"")</f>
        <v>5.8874415311650292</v>
      </c>
      <c r="AN320" s="4">
        <f>IFERROR((vp.tbl[[#This Row],[Dens]]-INDEX(crudeBD.lkup.complete[Mean_Dens],MATCH(vp.tbl[[#This Row],[Crude_Breakdown]],crudeBD.lkup.complete[Crude Breakdown],0)))^2,"")</f>
        <v>143.80381370226877</v>
      </c>
      <c r="AO320" s="4">
        <f>IFERROR((vp.tbl[[#This Row],[Sulf]]-INDEX(crudeBD.lkup.complete[Mean_Sulf],MATCH(vp.tbl[[#This Row],[Crude_Breakdown]],crudeBD.lkup.complete[Crude Breakdown],0)))^2,"")</f>
        <v>4.2341230207786906E-3</v>
      </c>
      <c r="AP320">
        <f>IF(AND(vp.tbl[[#This Row],[SDate]]&gt;=DATE(YEAR(vp.tbl[[#This Row],[SDate]]),5,1),vp.tbl[[#This Row],[SDate]]&lt;=DATE(YEAR(vp.tbl[[#This Row],[SDate]]),9,15)),1,0)</f>
        <v>1</v>
      </c>
      <c r="AQ320" s="15">
        <f>IF(vp.tbl[[#This Row],[SDate]]&lt;DATE(2016,12,1),0,1)</f>
        <v>0</v>
      </c>
    </row>
    <row r="321" spans="1:43" x14ac:dyDescent="0.25">
      <c r="A321">
        <v>320</v>
      </c>
      <c r="B321" t="s">
        <v>64</v>
      </c>
      <c r="C321" t="s">
        <v>64</v>
      </c>
      <c r="D321" t="s">
        <v>65</v>
      </c>
      <c r="F321" s="1">
        <v>42613</v>
      </c>
      <c r="G321" s="2">
        <v>73.2</v>
      </c>
      <c r="H321" s="2"/>
      <c r="I321" s="2">
        <v>2.0099999999999998</v>
      </c>
      <c r="J321" s="2"/>
      <c r="K321" s="2"/>
      <c r="L321" s="2">
        <v>876.5</v>
      </c>
      <c r="M321" s="2">
        <v>876.5</v>
      </c>
      <c r="N321" s="2">
        <f ca="1">INDEX(INDIRECT(_xlfn.CONCAT("weather.tbl[",N$1,"]")),MATCH(vp.tbl[[#This Row],[SDate]],weather.tbl[Date],0))</f>
        <v>18.583333333333332</v>
      </c>
      <c r="O321" s="2">
        <f ca="1">INDEX(INDIRECT(_xlfn.CONCAT("weather.tbl[",O$1,"]")),MATCH(vp.tbl[[#This Row],[SDate]],weather.tbl[Date],0))</f>
        <v>17.045238095238094</v>
      </c>
      <c r="P321" s="2">
        <f ca="1">INDEX(INDIRECT(_xlfn.CONCAT("weather.tbl[",P$1,"]")),MATCH(vp.tbl[[#This Row],[SDate]],weather.tbl[Date],0))</f>
        <v>19.600000000000001</v>
      </c>
      <c r="Q321" s="2">
        <f ca="1">INDEX(INDIRECT(_xlfn.CONCAT("weather.tbl[",Q$1,"]")),MATCH(vp.tbl[[#This Row],[SDate]],weather.tbl[Date],0))</f>
        <v>20.3</v>
      </c>
      <c r="R321" s="2">
        <f ca="1">INDEX(INDIRECT(_xlfn.CONCAT("weather.tbl[",R$1,"]")),MATCH(vp.tbl[[#This Row],[SDate]],weather.tbl[Date],0))</f>
        <v>16.8</v>
      </c>
      <c r="S321" s="2">
        <f ca="1">INDEX(INDIRECT(_xlfn.CONCAT("weather.tbl[",S$1,"]")),MATCH(vp.tbl[[#This Row],[SDate]],weather.tbl[Date],0))</f>
        <v>20.5</v>
      </c>
      <c r="T321" s="2">
        <f ca="1">INDEX(INDIRECT(_xlfn.CONCAT("weather.tbl[",T$1,"]")),MATCH(vp.tbl[[#This Row],[SDate]],weather.tbl[Date],0))</f>
        <v>17.5</v>
      </c>
      <c r="U321" s="2">
        <f ca="1">INDEX(INDIRECT(_xlfn.CONCAT("weather.tbl[",U$1,"]")),MATCH(vp.tbl[[#This Row],[SDate]],weather.tbl[Date],0))</f>
        <v>16.8</v>
      </c>
      <c r="V321" s="2">
        <v>22300.46</v>
      </c>
      <c r="W321" t="s">
        <v>48</v>
      </c>
      <c r="X321">
        <f>IF(OR(vp.tbl[[#This Row],[Sulf]]="",vp.tbl[[#This Row],[Dens]]=""),1,0)</f>
        <v>0</v>
      </c>
      <c r="Y321">
        <f>IF(vp.tbl[[#This Row],[CrudeType]]="C5+",1,0)</f>
        <v>0</v>
      </c>
      <c r="Z321">
        <f>IF(AND(vp.tbl[[#This Row],[CrudeType]]="Crude",vp.tbl[[#This Row],[Dens]]&lt;=825,vp.tbl[[#This Row],[Sulf]]&gt;0.5,vp.tbl[[#This Row],[Unknown]]=0),1,0)</f>
        <v>0</v>
      </c>
      <c r="AA321">
        <f>IF(AND(vp.tbl[[#This Row],[CrudeType]]="Crude",vp.tbl[[#This Row],[Dens]]&lt;=825,vp.tbl[[#This Row],[Sulf]]&lt;=0.5,vp.tbl[[#This Row],[Unknown]]=0),1,0)</f>
        <v>0</v>
      </c>
      <c r="AB321">
        <f>IF(AND(vp.tbl[[#This Row],[CrudeType]]="Crude",vp.tbl[[#This Row],[Dens]]&gt;825,vp.tbl[[#This Row],[Dens]]&lt;=870,vp.tbl[[#This Row],[Sulf]]&gt;0.5,vp.tbl[[#This Row],[Unknown]]=0),1,0)</f>
        <v>0</v>
      </c>
      <c r="AC321">
        <f>IF(AND(vp.tbl[[#This Row],[CrudeType]]="Crude",vp.tbl[[#This Row],[Dens]]&gt;825,vp.tbl[[#This Row],[Dens]]&lt;=900,vp.tbl[[#This Row],[Sulf]]&lt;=0.5,vp.tbl[[#This Row],[Unknown]]=0),1,0)</f>
        <v>0</v>
      </c>
      <c r="AD321">
        <f>IF(AND(vp.tbl[[#This Row],[CrudeType]]="Crude",vp.tbl[[#This Row],[Dens]]&gt;870,vp.tbl[[#This Row],[Dens]]&lt;=900,vp.tbl[[#This Row],[Sulf]]&gt;0.5,vp.tbl[[#This Row],[Unknown]]=0),1,0)</f>
        <v>1</v>
      </c>
      <c r="AE321">
        <f>IF(AND(vp.tbl[[#This Row],[CrudeType]]="Crude",vp.tbl[[#This Row],[Dens]]&gt;900,vp.tbl[[#This Row],[Sulf]]&lt;=0.5,vp.tbl[[#This Row],[Unknown]]=0),1,0)</f>
        <v>0</v>
      </c>
      <c r="AF321">
        <f>IF(AND(vp.tbl[[#This Row],[CrudeType]]="Crude",vp.tbl[[#This Row],[Dens]]&gt;900,vp.tbl[[#This Row],[Sulf]]&lt;=0.5,vp.tbl[[#This Row],[Unknown]]=0),1,0)</f>
        <v>0</v>
      </c>
      <c r="AG321" t="str">
        <f>INDEX(vp.tbl[[#Headers],[Unknown]:[Heavy_SW]],MATCH(1,vp.tbl[[#This Row],[Unknown]:[Heavy_SW]],0))</f>
        <v>Midale</v>
      </c>
      <c r="AH321" t="e">
        <f>INDEX([1]!crudeBD.lkup[Number],MATCH(vp.tbl[[#This Row],[Crude_Breakdown]],[1]!crudeBD.lkup[Crude Breakdown],0))</f>
        <v>#REF!</v>
      </c>
      <c r="AI321">
        <f>MONTH(vp.tbl[[#This Row],[SDate]])</f>
        <v>8</v>
      </c>
      <c r="AJ321" s="5">
        <f>IFERROR(vp.tbl[[#This Row],[Sulf]]*vp.tbl[[#This Row],[Net Dens]],"")</f>
        <v>39288169.911899991</v>
      </c>
      <c r="AK321" s="5">
        <f>IFERROR(vp.tbl[[#This Row],[Dens]]*vp.tbl[[#This Row],[VolumeM3]],"")</f>
        <v>19546353.189999998</v>
      </c>
      <c r="AL321" s="5">
        <f>IFERROR(vp.tbl[[#This Row],[VP]]*vp.tbl[[#This Row],[VolumeM3]],"")</f>
        <v>1632393.672</v>
      </c>
      <c r="AM321" s="4">
        <f>IFERROR((vp.tbl[[#This Row],[VP]]-INDEX(crudeBD.lkup.complete[Mean_VP],MATCH(vp.tbl[[#This Row],[Crude_Breakdown]],crudeBD.lkup.complete[Crude Breakdown],0)))^2,"")</f>
        <v>24.6179095515105</v>
      </c>
      <c r="AN321" s="4">
        <f>IFERROR((vp.tbl[[#This Row],[Dens]]-INDEX(crudeBD.lkup.complete[Mean_Dens],MATCH(vp.tbl[[#This Row],[Crude_Breakdown]],crudeBD.lkup.complete[Crude Breakdown],0)))^2,"")</f>
        <v>1.1068192906730354</v>
      </c>
      <c r="AO321" s="4">
        <f>IFERROR((vp.tbl[[#This Row],[Sulf]]-INDEX(crudeBD.lkup.complete[Mean_Sulf],MATCH(vp.tbl[[#This Row],[Crude_Breakdown]],crudeBD.lkup.complete[Crude Breakdown],0)))^2,"")</f>
        <v>0.16430062665207273</v>
      </c>
      <c r="AP321">
        <f>IF(AND(vp.tbl[[#This Row],[SDate]]&gt;=DATE(YEAR(vp.tbl[[#This Row],[SDate]]),5,1),vp.tbl[[#This Row],[SDate]]&lt;=DATE(YEAR(vp.tbl[[#This Row],[SDate]]),9,15)),1,0)</f>
        <v>1</v>
      </c>
      <c r="AQ321" s="15">
        <f>IF(vp.tbl[[#This Row],[SDate]]&lt;DATE(2016,12,1),0,1)</f>
        <v>0</v>
      </c>
    </row>
    <row r="322" spans="1:43" x14ac:dyDescent="0.25">
      <c r="A322">
        <v>321</v>
      </c>
      <c r="B322" t="s">
        <v>62</v>
      </c>
      <c r="C322" t="s">
        <v>62</v>
      </c>
      <c r="D322" t="s">
        <v>63</v>
      </c>
      <c r="F322" s="1">
        <v>42619</v>
      </c>
      <c r="G322" s="2">
        <v>85.2</v>
      </c>
      <c r="H322" s="2"/>
      <c r="I322" s="2">
        <v>1.52</v>
      </c>
      <c r="J322" s="2"/>
      <c r="K322" s="2"/>
      <c r="L322" s="2">
        <v>834.4</v>
      </c>
      <c r="M322" s="2">
        <v>834.4</v>
      </c>
      <c r="N322" s="2">
        <f ca="1">INDEX(INDIRECT(_xlfn.CONCAT("weather.tbl[",N$1,"]")),MATCH(vp.tbl[[#This Row],[SDate]],weather.tbl[Date],0))</f>
        <v>11.916666666666666</v>
      </c>
      <c r="O322" s="2">
        <f ca="1">INDEX(INDIRECT(_xlfn.CONCAT("weather.tbl[",O$1,"]")),MATCH(vp.tbl[[#This Row],[SDate]],weather.tbl[Date],0))</f>
        <v>16.885714285714286</v>
      </c>
      <c r="P322" s="2">
        <f ca="1">INDEX(INDIRECT(_xlfn.CONCAT("weather.tbl[",P$1,"]")),MATCH(vp.tbl[[#This Row],[SDate]],weather.tbl[Date],0))</f>
        <v>13.2</v>
      </c>
      <c r="Q322" s="2">
        <f ca="1">INDEX(INDIRECT(_xlfn.CONCAT("weather.tbl[",Q$1,"]")),MATCH(vp.tbl[[#This Row],[SDate]],weather.tbl[Date],0))</f>
        <v>11.6</v>
      </c>
      <c r="R322" s="2">
        <f ca="1">INDEX(INDIRECT(_xlfn.CONCAT("weather.tbl[",R$1,"]")),MATCH(vp.tbl[[#This Row],[SDate]],weather.tbl[Date],0))</f>
        <v>10.5</v>
      </c>
      <c r="S322" s="2">
        <f ca="1">INDEX(INDIRECT(_xlfn.CONCAT("weather.tbl[",S$1,"]")),MATCH(vp.tbl[[#This Row],[SDate]],weather.tbl[Date],0))</f>
        <v>11.3</v>
      </c>
      <c r="T322" s="2">
        <f ca="1">INDEX(INDIRECT(_xlfn.CONCAT("weather.tbl[",T$1,"]")),MATCH(vp.tbl[[#This Row],[SDate]],weather.tbl[Date],0))</f>
        <v>12.9</v>
      </c>
      <c r="U322" s="2">
        <f ca="1">INDEX(INDIRECT(_xlfn.CONCAT("weather.tbl[",U$1,"]")),MATCH(vp.tbl[[#This Row],[SDate]],weather.tbl[Date],0))</f>
        <v>12</v>
      </c>
      <c r="V322" s="2">
        <v>5406.9110000000001</v>
      </c>
      <c r="W322" t="s">
        <v>48</v>
      </c>
      <c r="X322">
        <f>IF(OR(vp.tbl[[#This Row],[Sulf]]="",vp.tbl[[#This Row],[Dens]]=""),1,0)</f>
        <v>0</v>
      </c>
      <c r="Y322">
        <f>IF(vp.tbl[[#This Row],[CrudeType]]="C5+",1,0)</f>
        <v>0</v>
      </c>
      <c r="Z322">
        <f>IF(AND(vp.tbl[[#This Row],[CrudeType]]="Crude",vp.tbl[[#This Row],[Dens]]&lt;=825,vp.tbl[[#This Row],[Sulf]]&gt;0.5,vp.tbl[[#This Row],[Unknown]]=0),1,0)</f>
        <v>0</v>
      </c>
      <c r="AA322">
        <f>IF(AND(vp.tbl[[#This Row],[CrudeType]]="Crude",vp.tbl[[#This Row],[Dens]]&lt;=825,vp.tbl[[#This Row],[Sulf]]&lt;=0.5,vp.tbl[[#This Row],[Unknown]]=0),1,0)</f>
        <v>0</v>
      </c>
      <c r="AB322">
        <f>IF(AND(vp.tbl[[#This Row],[CrudeType]]="Crude",vp.tbl[[#This Row],[Dens]]&gt;825,vp.tbl[[#This Row],[Dens]]&lt;=870,vp.tbl[[#This Row],[Sulf]]&gt;0.5,vp.tbl[[#This Row],[Unknown]]=0),1,0)</f>
        <v>1</v>
      </c>
      <c r="AC322">
        <f>IF(AND(vp.tbl[[#This Row],[CrudeType]]="Crude",vp.tbl[[#This Row],[Dens]]&gt;825,vp.tbl[[#This Row],[Dens]]&lt;=900,vp.tbl[[#This Row],[Sulf]]&lt;=0.5,vp.tbl[[#This Row],[Unknown]]=0),1,0)</f>
        <v>0</v>
      </c>
      <c r="AD322">
        <f>IF(AND(vp.tbl[[#This Row],[CrudeType]]="Crude",vp.tbl[[#This Row],[Dens]]&gt;870,vp.tbl[[#This Row],[Dens]]&lt;=900,vp.tbl[[#This Row],[Sulf]]&gt;0.5,vp.tbl[[#This Row],[Unknown]]=0),1,0)</f>
        <v>0</v>
      </c>
      <c r="AE322">
        <f>IF(AND(vp.tbl[[#This Row],[CrudeType]]="Crude",vp.tbl[[#This Row],[Dens]]&gt;900,vp.tbl[[#This Row],[Sulf]]&lt;=0.5,vp.tbl[[#This Row],[Unknown]]=0),1,0)</f>
        <v>0</v>
      </c>
      <c r="AF322">
        <f>IF(AND(vp.tbl[[#This Row],[CrudeType]]="Crude",vp.tbl[[#This Row],[Dens]]&gt;900,vp.tbl[[#This Row],[Sulf]]&lt;=0.5,vp.tbl[[#This Row],[Unknown]]=0),1,0)</f>
        <v>0</v>
      </c>
      <c r="AG322" t="str">
        <f>INDEX(vp.tbl[[#Headers],[Unknown]:[Heavy_SW]],MATCH(1,vp.tbl[[#This Row],[Unknown]:[Heavy_SW]],0))</f>
        <v>Medium_LSB</v>
      </c>
      <c r="AH322" t="e">
        <f>INDEX([1]!crudeBD.lkup[Number],MATCH(vp.tbl[[#This Row],[Crude_Breakdown]],[1]!crudeBD.lkup[Crude Breakdown],0))</f>
        <v>#REF!</v>
      </c>
      <c r="AI322">
        <f>MONTH(vp.tbl[[#This Row],[SDate]])</f>
        <v>9</v>
      </c>
      <c r="AJ322" s="5">
        <f>IFERROR(vp.tbl[[#This Row],[Sulf]]*vp.tbl[[#This Row],[Net Dens]],"")</f>
        <v>6857520.3383680005</v>
      </c>
      <c r="AK322" s="5">
        <f>IFERROR(vp.tbl[[#This Row],[Dens]]*vp.tbl[[#This Row],[VolumeM3]],"")</f>
        <v>4511526.5384</v>
      </c>
      <c r="AL322" s="5">
        <f>IFERROR(vp.tbl[[#This Row],[VP]]*vp.tbl[[#This Row],[VolumeM3]],"")</f>
        <v>460668.81720000005</v>
      </c>
      <c r="AM322" s="4">
        <f>IFERROR((vp.tbl[[#This Row],[VP]]-INDEX(crudeBD.lkup.complete[Mean_VP],MATCH(vp.tbl[[#This Row],[Crude_Breakdown]],crudeBD.lkup.complete[Crude Breakdown],0)))^2,"")</f>
        <v>25.264747860279201</v>
      </c>
      <c r="AN322" s="4">
        <f>IFERROR((vp.tbl[[#This Row],[Dens]]-INDEX(crudeBD.lkup.complete[Mean_Dens],MATCH(vp.tbl[[#This Row],[Crude_Breakdown]],crudeBD.lkup.complete[Crude Breakdown],0)))^2,"")</f>
        <v>118.63180357568807</v>
      </c>
      <c r="AO322" s="4">
        <f>IFERROR((vp.tbl[[#This Row],[Sulf]]-INDEX(crudeBD.lkup.complete[Mean_Sulf],MATCH(vp.tbl[[#This Row],[Crude_Breakdown]],crudeBD.lkup.complete[Crude Breakdown],0)))^2,"")</f>
        <v>4.2341230207786906E-3</v>
      </c>
      <c r="AP322">
        <f>IF(AND(vp.tbl[[#This Row],[SDate]]&gt;=DATE(YEAR(vp.tbl[[#This Row],[SDate]]),5,1),vp.tbl[[#This Row],[SDate]]&lt;=DATE(YEAR(vp.tbl[[#This Row],[SDate]]),9,15)),1,0)</f>
        <v>1</v>
      </c>
      <c r="AQ322" s="15">
        <f>IF(vp.tbl[[#This Row],[SDate]]&lt;DATE(2016,12,1),0,1)</f>
        <v>0</v>
      </c>
    </row>
    <row r="323" spans="1:43" x14ac:dyDescent="0.25">
      <c r="A323">
        <v>322</v>
      </c>
      <c r="B323" t="s">
        <v>49</v>
      </c>
      <c r="C323" t="s">
        <v>49</v>
      </c>
      <c r="D323" t="s">
        <v>75</v>
      </c>
      <c r="F323" s="1">
        <v>42620</v>
      </c>
      <c r="G323" s="2">
        <v>88.6</v>
      </c>
      <c r="H323" s="2"/>
      <c r="I323" s="2">
        <v>0.13</v>
      </c>
      <c r="J323" s="2"/>
      <c r="K323" s="2"/>
      <c r="L323" s="2">
        <v>886</v>
      </c>
      <c r="M323" s="2">
        <v>886</v>
      </c>
      <c r="N323" s="2">
        <f ca="1">INDEX(INDIRECT(_xlfn.CONCAT("weather.tbl[",N$1,"]")),MATCH(vp.tbl[[#This Row],[SDate]],weather.tbl[Date],0))</f>
        <v>12.550000000000002</v>
      </c>
      <c r="O323" s="2">
        <f ca="1">INDEX(INDIRECT(_xlfn.CONCAT("weather.tbl[",O$1,"]")),MATCH(vp.tbl[[#This Row],[SDate]],weather.tbl[Date],0))</f>
        <v>16.023809523809526</v>
      </c>
      <c r="P323" s="2">
        <f ca="1">INDEX(INDIRECT(_xlfn.CONCAT("weather.tbl[",P$1,"]")),MATCH(vp.tbl[[#This Row],[SDate]],weather.tbl[Date],0))</f>
        <v>12.5</v>
      </c>
      <c r="Q323" s="2">
        <f ca="1">INDEX(INDIRECT(_xlfn.CONCAT("weather.tbl[",Q$1,"]")),MATCH(vp.tbl[[#This Row],[SDate]],weather.tbl[Date],0))</f>
        <v>13.7</v>
      </c>
      <c r="R323" s="2">
        <f ca="1">INDEX(INDIRECT(_xlfn.CONCAT("weather.tbl[",R$1,"]")),MATCH(vp.tbl[[#This Row],[SDate]],weather.tbl[Date],0))</f>
        <v>10.5</v>
      </c>
      <c r="S323" s="2">
        <f ca="1">INDEX(INDIRECT(_xlfn.CONCAT("weather.tbl[",S$1,"]")),MATCH(vp.tbl[[#This Row],[SDate]],weather.tbl[Date],0))</f>
        <v>14.5</v>
      </c>
      <c r="T323" s="2">
        <f ca="1">INDEX(INDIRECT(_xlfn.CONCAT("weather.tbl[",T$1,"]")),MATCH(vp.tbl[[#This Row],[SDate]],weather.tbl[Date],0))</f>
        <v>12.6</v>
      </c>
      <c r="U323" s="2">
        <f ca="1">INDEX(INDIRECT(_xlfn.CONCAT("weather.tbl[",U$1,"]")),MATCH(vp.tbl[[#This Row],[SDate]],weather.tbl[Date],0))</f>
        <v>11.5</v>
      </c>
      <c r="V323" s="2">
        <v>21289.401999999998</v>
      </c>
      <c r="W323" t="s">
        <v>48</v>
      </c>
      <c r="X323">
        <f>IF(OR(vp.tbl[[#This Row],[Sulf]]="",vp.tbl[[#This Row],[Dens]]=""),1,0)</f>
        <v>0</v>
      </c>
      <c r="Y323">
        <f>IF(vp.tbl[[#This Row],[CrudeType]]="C5+",1,0)</f>
        <v>0</v>
      </c>
      <c r="Z323">
        <f>IF(AND(vp.tbl[[#This Row],[CrudeType]]="Crude",vp.tbl[[#This Row],[Dens]]&lt;=825,vp.tbl[[#This Row],[Sulf]]&gt;0.5,vp.tbl[[#This Row],[Unknown]]=0),1,0)</f>
        <v>0</v>
      </c>
      <c r="AA323">
        <f>IF(AND(vp.tbl[[#This Row],[CrudeType]]="Crude",vp.tbl[[#This Row],[Dens]]&lt;=825,vp.tbl[[#This Row],[Sulf]]&lt;=0.5,vp.tbl[[#This Row],[Unknown]]=0),1,0)</f>
        <v>0</v>
      </c>
      <c r="AB323">
        <f>IF(AND(vp.tbl[[#This Row],[CrudeType]]="Crude",vp.tbl[[#This Row],[Dens]]&gt;825,vp.tbl[[#This Row],[Dens]]&lt;=870,vp.tbl[[#This Row],[Sulf]]&gt;0.5,vp.tbl[[#This Row],[Unknown]]=0),1,0)</f>
        <v>0</v>
      </c>
      <c r="AC323">
        <f>IF(AND(vp.tbl[[#This Row],[CrudeType]]="Crude",vp.tbl[[#This Row],[Dens]]&gt;825,vp.tbl[[#This Row],[Dens]]&lt;=900,vp.tbl[[#This Row],[Sulf]]&lt;=0.5,vp.tbl[[#This Row],[Unknown]]=0),1,0)</f>
        <v>1</v>
      </c>
      <c r="AD323">
        <f>IF(AND(vp.tbl[[#This Row],[CrudeType]]="Crude",vp.tbl[[#This Row],[Dens]]&gt;870,vp.tbl[[#This Row],[Dens]]&lt;=900,vp.tbl[[#This Row],[Sulf]]&gt;0.5,vp.tbl[[#This Row],[Unknown]]=0),1,0)</f>
        <v>0</v>
      </c>
      <c r="AE323">
        <f>IF(AND(vp.tbl[[#This Row],[CrudeType]]="Crude",vp.tbl[[#This Row],[Dens]]&gt;900,vp.tbl[[#This Row],[Sulf]]&lt;=0.5,vp.tbl[[#This Row],[Unknown]]=0),1,0)</f>
        <v>0</v>
      </c>
      <c r="AF323">
        <f>IF(AND(vp.tbl[[#This Row],[CrudeType]]="Crude",vp.tbl[[#This Row],[Dens]]&gt;900,vp.tbl[[#This Row],[Sulf]]&lt;=0.5,vp.tbl[[#This Row],[Unknown]]=0),1,0)</f>
        <v>0</v>
      </c>
      <c r="AG323" t="str">
        <f>INDEX(vp.tbl[[#Headers],[Unknown]:[Heavy_SW]],MATCH(1,vp.tbl[[#This Row],[Unknown]:[Heavy_SW]],0))</f>
        <v>Medium_SW</v>
      </c>
      <c r="AH323" t="e">
        <f>INDEX([1]!crudeBD.lkup[Number],MATCH(vp.tbl[[#This Row],[Crude_Breakdown]],[1]!crudeBD.lkup[Crude Breakdown],0))</f>
        <v>#REF!</v>
      </c>
      <c r="AI323">
        <f>MONTH(vp.tbl[[#This Row],[SDate]])</f>
        <v>9</v>
      </c>
      <c r="AJ323" s="5">
        <f>IFERROR(vp.tbl[[#This Row],[Sulf]]*vp.tbl[[#This Row],[Net Dens]],"")</f>
        <v>2452113.3223599996</v>
      </c>
      <c r="AK323" s="5">
        <f>IFERROR(vp.tbl[[#This Row],[Dens]]*vp.tbl[[#This Row],[VolumeM3]],"")</f>
        <v>18862410.171999998</v>
      </c>
      <c r="AL323" s="5">
        <f>IFERROR(vp.tbl[[#This Row],[VP]]*vp.tbl[[#This Row],[VolumeM3]],"")</f>
        <v>1886241.0171999997</v>
      </c>
      <c r="AM323" s="4">
        <f>IFERROR((vp.tbl[[#This Row],[VP]]-INDEX(crudeBD.lkup.complete[Mean_VP],MATCH(vp.tbl[[#This Row],[Crude_Breakdown]],crudeBD.lkup.complete[Crude Breakdown],0)))^2,"")</f>
        <v>18.346944444444308</v>
      </c>
      <c r="AN323" s="4">
        <f>IFERROR((vp.tbl[[#This Row],[Dens]]-INDEX(crudeBD.lkup.complete[Mean_Dens],MATCH(vp.tbl[[#This Row],[Crude_Breakdown]],crudeBD.lkup.complete[Crude Breakdown],0)))^2,"")</f>
        <v>823.68999999999608</v>
      </c>
      <c r="AO323" s="4">
        <f>IFERROR((vp.tbl[[#This Row],[Sulf]]-INDEX(crudeBD.lkup.complete[Mean_Sulf],MATCH(vp.tbl[[#This Row],[Crude_Breakdown]],crudeBD.lkup.complete[Crude Breakdown],0)))^2,"")</f>
        <v>2.3535596822499985E-3</v>
      </c>
      <c r="AP323">
        <f>IF(AND(vp.tbl[[#This Row],[SDate]]&gt;=DATE(YEAR(vp.tbl[[#This Row],[SDate]]),5,1),vp.tbl[[#This Row],[SDate]]&lt;=DATE(YEAR(vp.tbl[[#This Row],[SDate]]),9,15)),1,0)</f>
        <v>1</v>
      </c>
      <c r="AQ323" s="15">
        <f>IF(vp.tbl[[#This Row],[SDate]]&lt;DATE(2016,12,1),0,1)</f>
        <v>0</v>
      </c>
    </row>
    <row r="324" spans="1:43" x14ac:dyDescent="0.25">
      <c r="A324">
        <v>323</v>
      </c>
      <c r="B324" t="s">
        <v>49</v>
      </c>
      <c r="C324" t="s">
        <v>49</v>
      </c>
      <c r="D324" t="s">
        <v>67</v>
      </c>
      <c r="F324" s="1">
        <v>42621</v>
      </c>
      <c r="G324" s="2">
        <v>92.5</v>
      </c>
      <c r="H324" s="2"/>
      <c r="I324" s="2">
        <v>0.2</v>
      </c>
      <c r="J324" s="2"/>
      <c r="K324" s="2"/>
      <c r="L324" s="2">
        <v>805.4</v>
      </c>
      <c r="M324" s="2">
        <v>805.4</v>
      </c>
      <c r="N324" s="2">
        <f ca="1">INDEX(INDIRECT(_xlfn.CONCAT("weather.tbl[",N$1,"]")),MATCH(vp.tbl[[#This Row],[SDate]],weather.tbl[Date],0))</f>
        <v>12.366666666666665</v>
      </c>
      <c r="O324" s="2">
        <f ca="1">INDEX(INDIRECT(_xlfn.CONCAT("weather.tbl[",O$1,"]")),MATCH(vp.tbl[[#This Row],[SDate]],weather.tbl[Date],0))</f>
        <v>14.499999999999998</v>
      </c>
      <c r="P324" s="2">
        <f ca="1">INDEX(INDIRECT(_xlfn.CONCAT("weather.tbl[",P$1,"]")),MATCH(vp.tbl[[#This Row],[SDate]],weather.tbl[Date],0))</f>
        <v>13</v>
      </c>
      <c r="Q324" s="2">
        <f ca="1">INDEX(INDIRECT(_xlfn.CONCAT("weather.tbl[",Q$1,"]")),MATCH(vp.tbl[[#This Row],[SDate]],weather.tbl[Date],0))</f>
        <v>12.5</v>
      </c>
      <c r="R324" s="2">
        <f ca="1">INDEX(INDIRECT(_xlfn.CONCAT("weather.tbl[",R$1,"]")),MATCH(vp.tbl[[#This Row],[SDate]],weather.tbl[Date],0))</f>
        <v>12.5</v>
      </c>
      <c r="S324" s="2">
        <f ca="1">INDEX(INDIRECT(_xlfn.CONCAT("weather.tbl[",S$1,"]")),MATCH(vp.tbl[[#This Row],[SDate]],weather.tbl[Date],0))</f>
        <v>11.8</v>
      </c>
      <c r="T324" s="2">
        <f ca="1">INDEX(INDIRECT(_xlfn.CONCAT("weather.tbl[",T$1,"]")),MATCH(vp.tbl[[#This Row],[SDate]],weather.tbl[Date],0))</f>
        <v>12.4</v>
      </c>
      <c r="U324" s="2">
        <f ca="1">INDEX(INDIRECT(_xlfn.CONCAT("weather.tbl[",U$1,"]")),MATCH(vp.tbl[[#This Row],[SDate]],weather.tbl[Date],0))</f>
        <v>12</v>
      </c>
      <c r="V324" s="2">
        <v>50619.663999999997</v>
      </c>
      <c r="W324" t="s">
        <v>48</v>
      </c>
      <c r="X324">
        <f>IF(OR(vp.tbl[[#This Row],[Sulf]]="",vp.tbl[[#This Row],[Dens]]=""),1,0)</f>
        <v>0</v>
      </c>
      <c r="Y324">
        <f>IF(vp.tbl[[#This Row],[CrudeType]]="C5+",1,0)</f>
        <v>0</v>
      </c>
      <c r="Z324">
        <f>IF(AND(vp.tbl[[#This Row],[CrudeType]]="Crude",vp.tbl[[#This Row],[Dens]]&lt;=825,vp.tbl[[#This Row],[Sulf]]&gt;0.5,vp.tbl[[#This Row],[Unknown]]=0),1,0)</f>
        <v>0</v>
      </c>
      <c r="AA324">
        <f>IF(AND(vp.tbl[[#This Row],[CrudeType]]="Crude",vp.tbl[[#This Row],[Dens]]&lt;=825,vp.tbl[[#This Row],[Sulf]]&lt;=0.5,vp.tbl[[#This Row],[Unknown]]=0),1,0)</f>
        <v>1</v>
      </c>
      <c r="AB324">
        <f>IF(AND(vp.tbl[[#This Row],[CrudeType]]="Crude",vp.tbl[[#This Row],[Dens]]&gt;825,vp.tbl[[#This Row],[Dens]]&lt;=870,vp.tbl[[#This Row],[Sulf]]&gt;0.5,vp.tbl[[#This Row],[Unknown]]=0),1,0)</f>
        <v>0</v>
      </c>
      <c r="AC324">
        <f>IF(AND(vp.tbl[[#This Row],[CrudeType]]="Crude",vp.tbl[[#This Row],[Dens]]&gt;825,vp.tbl[[#This Row],[Dens]]&lt;=900,vp.tbl[[#This Row],[Sulf]]&lt;=0.5,vp.tbl[[#This Row],[Unknown]]=0),1,0)</f>
        <v>0</v>
      </c>
      <c r="AD324">
        <f>IF(AND(vp.tbl[[#This Row],[CrudeType]]="Crude",vp.tbl[[#This Row],[Dens]]&gt;870,vp.tbl[[#This Row],[Dens]]&lt;=900,vp.tbl[[#This Row],[Sulf]]&gt;0.5,vp.tbl[[#This Row],[Unknown]]=0),1,0)</f>
        <v>0</v>
      </c>
      <c r="AE324">
        <f>IF(AND(vp.tbl[[#This Row],[CrudeType]]="Crude",vp.tbl[[#This Row],[Dens]]&gt;900,vp.tbl[[#This Row],[Sulf]]&lt;=0.5,vp.tbl[[#This Row],[Unknown]]=0),1,0)</f>
        <v>0</v>
      </c>
      <c r="AF324">
        <f>IF(AND(vp.tbl[[#This Row],[CrudeType]]="Crude",vp.tbl[[#This Row],[Dens]]&gt;900,vp.tbl[[#This Row],[Sulf]]&lt;=0.5,vp.tbl[[#This Row],[Unknown]]=0),1,0)</f>
        <v>0</v>
      </c>
      <c r="AG324" t="str">
        <f>INDEX(vp.tbl[[#Headers],[Unknown]:[Heavy_SW]],MATCH(1,vp.tbl[[#This Row],[Unknown]:[Heavy_SW]],0))</f>
        <v>Light_SW</v>
      </c>
      <c r="AH324" t="e">
        <f>INDEX([1]!crudeBD.lkup[Number],MATCH(vp.tbl[[#This Row],[Crude_Breakdown]],[1]!crudeBD.lkup[Crude Breakdown],0))</f>
        <v>#REF!</v>
      </c>
      <c r="AI324">
        <f>MONTH(vp.tbl[[#This Row],[SDate]])</f>
        <v>9</v>
      </c>
      <c r="AJ324" s="5">
        <f>IFERROR(vp.tbl[[#This Row],[Sulf]]*vp.tbl[[#This Row],[Net Dens]],"")</f>
        <v>8153815.477119999</v>
      </c>
      <c r="AK324" s="5">
        <f>IFERROR(vp.tbl[[#This Row],[Dens]]*vp.tbl[[#This Row],[VolumeM3]],"")</f>
        <v>40769077.385599993</v>
      </c>
      <c r="AL324" s="5">
        <f>IFERROR(vp.tbl[[#This Row],[VP]]*vp.tbl[[#This Row],[VolumeM3]],"")</f>
        <v>4682318.92</v>
      </c>
      <c r="AM324" s="4">
        <f>IFERROR((vp.tbl[[#This Row],[VP]]-INDEX(crudeBD.lkup.complete[Mean_VP],MATCH(vp.tbl[[#This Row],[Crude_Breakdown]],crudeBD.lkup.complete[Crude Breakdown],0)))^2,"")</f>
        <v>2.5314572229814046E-3</v>
      </c>
      <c r="AN324" s="4">
        <f>IFERROR((vp.tbl[[#This Row],[Dens]]-INDEX(crudeBD.lkup.complete[Mean_Dens],MATCH(vp.tbl[[#This Row],[Crude_Breakdown]],crudeBD.lkup.complete[Crude Breakdown],0)))^2,"")</f>
        <v>8.4768221054025936</v>
      </c>
      <c r="AO324" s="4">
        <f>IFERROR((vp.tbl[[#This Row],[Sulf]]-INDEX(crudeBD.lkup.complete[Mean_Sulf],MATCH(vp.tbl[[#This Row],[Crude_Breakdown]],crudeBD.lkup.complete[Crude Breakdown],0)))^2,"")</f>
        <v>1.3134689259308601E-3</v>
      </c>
      <c r="AP324">
        <f>IF(AND(vp.tbl[[#This Row],[SDate]]&gt;=DATE(YEAR(vp.tbl[[#This Row],[SDate]]),5,1),vp.tbl[[#This Row],[SDate]]&lt;=DATE(YEAR(vp.tbl[[#This Row],[SDate]]),9,15)),1,0)</f>
        <v>1</v>
      </c>
      <c r="AQ324" s="15">
        <f>IF(vp.tbl[[#This Row],[SDate]]&lt;DATE(2016,12,1),0,1)</f>
        <v>0</v>
      </c>
    </row>
    <row r="325" spans="1:43" x14ac:dyDescent="0.25">
      <c r="A325">
        <v>324</v>
      </c>
      <c r="B325" t="s">
        <v>51</v>
      </c>
      <c r="C325" t="s">
        <v>51</v>
      </c>
      <c r="D325" t="s">
        <v>71</v>
      </c>
      <c r="F325" s="1">
        <v>42625</v>
      </c>
      <c r="G325" s="2">
        <v>55.6</v>
      </c>
      <c r="H325" s="2"/>
      <c r="I325" s="2">
        <v>1.48</v>
      </c>
      <c r="J325" s="2"/>
      <c r="K325" s="2"/>
      <c r="L325" s="2">
        <v>831.5</v>
      </c>
      <c r="M325" s="2">
        <v>831.5</v>
      </c>
      <c r="N325" s="2">
        <f ca="1">INDEX(INDIRECT(_xlfn.CONCAT("weather.tbl[",N$1,"]")),MATCH(vp.tbl[[#This Row],[SDate]],weather.tbl[Date],0))</f>
        <v>7.583333333333333</v>
      </c>
      <c r="O325" s="2">
        <f ca="1">INDEX(INDIRECT(_xlfn.CONCAT("weather.tbl[",O$1,"]")),MATCH(vp.tbl[[#This Row],[SDate]],weather.tbl[Date],0))</f>
        <v>12.211904761904762</v>
      </c>
      <c r="P325" s="2">
        <f ca="1">INDEX(INDIRECT(_xlfn.CONCAT("weather.tbl[",P$1,"]")),MATCH(vp.tbl[[#This Row],[SDate]],weather.tbl[Date],0))</f>
        <v>8</v>
      </c>
      <c r="Q325" s="2">
        <f ca="1">INDEX(INDIRECT(_xlfn.CONCAT("weather.tbl[",Q$1,"]")),MATCH(vp.tbl[[#This Row],[SDate]],weather.tbl[Date],0))</f>
        <v>5.6</v>
      </c>
      <c r="R325" s="2">
        <f ca="1">INDEX(INDIRECT(_xlfn.CONCAT("weather.tbl[",R$1,"]")),MATCH(vp.tbl[[#This Row],[SDate]],weather.tbl[Date],0))</f>
        <v>8.3000000000000007</v>
      </c>
      <c r="S325" s="2">
        <f ca="1">INDEX(INDIRECT(_xlfn.CONCAT("weather.tbl[",S$1,"]")),MATCH(vp.tbl[[#This Row],[SDate]],weather.tbl[Date],0))</f>
        <v>7.5</v>
      </c>
      <c r="T325" s="2">
        <f ca="1">INDEX(INDIRECT(_xlfn.CONCAT("weather.tbl[",T$1,"]")),MATCH(vp.tbl[[#This Row],[SDate]],weather.tbl[Date],0))</f>
        <v>9.8000000000000007</v>
      </c>
      <c r="U325" s="2">
        <f ca="1">INDEX(INDIRECT(_xlfn.CONCAT("weather.tbl[",U$1,"]")),MATCH(vp.tbl[[#This Row],[SDate]],weather.tbl[Date],0))</f>
        <v>6.3</v>
      </c>
      <c r="V325" s="2">
        <v>5161.2309999999998</v>
      </c>
      <c r="W325" t="s">
        <v>48</v>
      </c>
      <c r="X325">
        <f>IF(OR(vp.tbl[[#This Row],[Sulf]]="",vp.tbl[[#This Row],[Dens]]=""),1,0)</f>
        <v>0</v>
      </c>
      <c r="Y325">
        <f>IF(vp.tbl[[#This Row],[CrudeType]]="C5+",1,0)</f>
        <v>0</v>
      </c>
      <c r="Z325">
        <f>IF(AND(vp.tbl[[#This Row],[CrudeType]]="Crude",vp.tbl[[#This Row],[Dens]]&lt;=825,vp.tbl[[#This Row],[Sulf]]&gt;0.5,vp.tbl[[#This Row],[Unknown]]=0),1,0)</f>
        <v>0</v>
      </c>
      <c r="AA325">
        <f>IF(AND(vp.tbl[[#This Row],[CrudeType]]="Crude",vp.tbl[[#This Row],[Dens]]&lt;=825,vp.tbl[[#This Row],[Sulf]]&lt;=0.5,vp.tbl[[#This Row],[Unknown]]=0),1,0)</f>
        <v>0</v>
      </c>
      <c r="AB325">
        <f>IF(AND(vp.tbl[[#This Row],[CrudeType]]="Crude",vp.tbl[[#This Row],[Dens]]&gt;825,vp.tbl[[#This Row],[Dens]]&lt;=870,vp.tbl[[#This Row],[Sulf]]&gt;0.5,vp.tbl[[#This Row],[Unknown]]=0),1,0)</f>
        <v>1</v>
      </c>
      <c r="AC325">
        <f>IF(AND(vp.tbl[[#This Row],[CrudeType]]="Crude",vp.tbl[[#This Row],[Dens]]&gt;825,vp.tbl[[#This Row],[Dens]]&lt;=900,vp.tbl[[#This Row],[Sulf]]&lt;=0.5,vp.tbl[[#This Row],[Unknown]]=0),1,0)</f>
        <v>0</v>
      </c>
      <c r="AD325">
        <f>IF(AND(vp.tbl[[#This Row],[CrudeType]]="Crude",vp.tbl[[#This Row],[Dens]]&gt;870,vp.tbl[[#This Row],[Dens]]&lt;=900,vp.tbl[[#This Row],[Sulf]]&gt;0.5,vp.tbl[[#This Row],[Unknown]]=0),1,0)</f>
        <v>0</v>
      </c>
      <c r="AE325">
        <f>IF(AND(vp.tbl[[#This Row],[CrudeType]]="Crude",vp.tbl[[#This Row],[Dens]]&gt;900,vp.tbl[[#This Row],[Sulf]]&lt;=0.5,vp.tbl[[#This Row],[Unknown]]=0),1,0)</f>
        <v>0</v>
      </c>
      <c r="AF325">
        <f>IF(AND(vp.tbl[[#This Row],[CrudeType]]="Crude",vp.tbl[[#This Row],[Dens]]&gt;900,vp.tbl[[#This Row],[Sulf]]&lt;=0.5,vp.tbl[[#This Row],[Unknown]]=0),1,0)</f>
        <v>0</v>
      </c>
      <c r="AG325" t="str">
        <f>INDEX(vp.tbl[[#Headers],[Unknown]:[Heavy_SW]],MATCH(1,vp.tbl[[#This Row],[Unknown]:[Heavy_SW]],0))</f>
        <v>Medium_LSB</v>
      </c>
      <c r="AH325" t="e">
        <f>INDEX([1]!crudeBD.lkup[Number],MATCH(vp.tbl[[#This Row],[Crude_Breakdown]],[1]!crudeBD.lkup[Crude Breakdown],0))</f>
        <v>#REF!</v>
      </c>
      <c r="AI325">
        <f>MONTH(vp.tbl[[#This Row],[SDate]])</f>
        <v>9</v>
      </c>
      <c r="AJ325" s="5">
        <f>IFERROR(vp.tbl[[#This Row],[Sulf]]*vp.tbl[[#This Row],[Net Dens]],"")</f>
        <v>6351514.0932199992</v>
      </c>
      <c r="AK325" s="5">
        <f>IFERROR(vp.tbl[[#This Row],[Dens]]*vp.tbl[[#This Row],[VolumeM3]],"")</f>
        <v>4291563.5764999995</v>
      </c>
      <c r="AL325" s="5">
        <f>IFERROR(vp.tbl[[#This Row],[VP]]*vp.tbl[[#This Row],[VolumeM3]],"")</f>
        <v>286964.4436</v>
      </c>
      <c r="AM325" s="4">
        <f>IFERROR((vp.tbl[[#This Row],[VP]]-INDEX(crudeBD.lkup.complete[Mean_VP],MATCH(vp.tbl[[#This Row],[Crude_Breakdown]],crudeBD.lkup.complete[Crude Breakdown],0)))^2,"")</f>
        <v>603.86156811344142</v>
      </c>
      <c r="AN325" s="4">
        <f>IFERROR((vp.tbl[[#This Row],[Dens]]-INDEX(crudeBD.lkup.complete[Mean_Dens],MATCH(vp.tbl[[#This Row],[Crude_Breakdown]],crudeBD.lkup.complete[Crude Breakdown],0)))^2,"")</f>
        <v>190.2143757275806</v>
      </c>
      <c r="AO325" s="4">
        <f>IFERROR((vp.tbl[[#This Row],[Sulf]]-INDEX(crudeBD.lkup.complete[Mean_Sulf],MATCH(vp.tbl[[#This Row],[Crude_Breakdown]],crudeBD.lkup.complete[Crude Breakdown],0)))^2,"")</f>
        <v>6.2851188153830004E-4</v>
      </c>
      <c r="AP325">
        <f>IF(AND(vp.tbl[[#This Row],[SDate]]&gt;=DATE(YEAR(vp.tbl[[#This Row],[SDate]]),5,1),vp.tbl[[#This Row],[SDate]]&lt;=DATE(YEAR(vp.tbl[[#This Row],[SDate]]),9,15)),1,0)</f>
        <v>1</v>
      </c>
      <c r="AQ325" s="15">
        <f>IF(vp.tbl[[#This Row],[SDate]]&lt;DATE(2016,12,1),0,1)</f>
        <v>0</v>
      </c>
    </row>
    <row r="326" spans="1:43" x14ac:dyDescent="0.25">
      <c r="A326">
        <v>325</v>
      </c>
      <c r="B326" t="s">
        <v>49</v>
      </c>
      <c r="C326" t="s">
        <v>49</v>
      </c>
      <c r="D326" t="s">
        <v>67</v>
      </c>
      <c r="F326" s="1">
        <v>42626</v>
      </c>
      <c r="G326" s="2">
        <v>89.1</v>
      </c>
      <c r="H326" s="2"/>
      <c r="I326" s="2">
        <v>0.2</v>
      </c>
      <c r="J326" s="2"/>
      <c r="K326" s="2"/>
      <c r="L326" s="2">
        <v>806.5</v>
      </c>
      <c r="M326" s="2">
        <v>806.5</v>
      </c>
      <c r="N326" s="2">
        <f ca="1">INDEX(INDIRECT(_xlfn.CONCAT("weather.tbl[",N$1,"]")),MATCH(vp.tbl[[#This Row],[SDate]],weather.tbl[Date],0))</f>
        <v>7.3833333333333329</v>
      </c>
      <c r="O326" s="2">
        <f ca="1">INDEX(INDIRECT(_xlfn.CONCAT("weather.tbl[",O$1,"]")),MATCH(vp.tbl[[#This Row],[SDate]],weather.tbl[Date],0))</f>
        <v>11.564285714285713</v>
      </c>
      <c r="P326" s="2">
        <f ca="1">INDEX(INDIRECT(_xlfn.CONCAT("weather.tbl[",P$1,"]")),MATCH(vp.tbl[[#This Row],[SDate]],weather.tbl[Date],0))</f>
        <v>5.9</v>
      </c>
      <c r="Q326" s="2">
        <f ca="1">INDEX(INDIRECT(_xlfn.CONCAT("weather.tbl[",Q$1,"]")),MATCH(vp.tbl[[#This Row],[SDate]],weather.tbl[Date],0))</f>
        <v>6.7</v>
      </c>
      <c r="R326" s="2">
        <f ca="1">INDEX(INDIRECT(_xlfn.CONCAT("weather.tbl[",R$1,"]")),MATCH(vp.tbl[[#This Row],[SDate]],weather.tbl[Date],0))</f>
        <v>7.5</v>
      </c>
      <c r="S326" s="2">
        <f ca="1">INDEX(INDIRECT(_xlfn.CONCAT("weather.tbl[",S$1,"]")),MATCH(vp.tbl[[#This Row],[SDate]],weather.tbl[Date],0))</f>
        <v>8</v>
      </c>
      <c r="T326" s="2">
        <f ca="1">INDEX(INDIRECT(_xlfn.CONCAT("weather.tbl[",T$1,"]")),MATCH(vp.tbl[[#This Row],[SDate]],weather.tbl[Date],0))</f>
        <v>8.1999999999999993</v>
      </c>
      <c r="U326" s="2">
        <f ca="1">INDEX(INDIRECT(_xlfn.CONCAT("weather.tbl[",U$1,"]")),MATCH(vp.tbl[[#This Row],[SDate]],weather.tbl[Date],0))</f>
        <v>8</v>
      </c>
      <c r="V326" s="2">
        <v>50619.663999999997</v>
      </c>
      <c r="W326" t="s">
        <v>48</v>
      </c>
      <c r="X326">
        <f>IF(OR(vp.tbl[[#This Row],[Sulf]]="",vp.tbl[[#This Row],[Dens]]=""),1,0)</f>
        <v>0</v>
      </c>
      <c r="Y326">
        <f>IF(vp.tbl[[#This Row],[CrudeType]]="C5+",1,0)</f>
        <v>0</v>
      </c>
      <c r="Z326">
        <f>IF(AND(vp.tbl[[#This Row],[CrudeType]]="Crude",vp.tbl[[#This Row],[Dens]]&lt;=825,vp.tbl[[#This Row],[Sulf]]&gt;0.5,vp.tbl[[#This Row],[Unknown]]=0),1,0)</f>
        <v>0</v>
      </c>
      <c r="AA326">
        <f>IF(AND(vp.tbl[[#This Row],[CrudeType]]="Crude",vp.tbl[[#This Row],[Dens]]&lt;=825,vp.tbl[[#This Row],[Sulf]]&lt;=0.5,vp.tbl[[#This Row],[Unknown]]=0),1,0)</f>
        <v>1</v>
      </c>
      <c r="AB326">
        <f>IF(AND(vp.tbl[[#This Row],[CrudeType]]="Crude",vp.tbl[[#This Row],[Dens]]&gt;825,vp.tbl[[#This Row],[Dens]]&lt;=870,vp.tbl[[#This Row],[Sulf]]&gt;0.5,vp.tbl[[#This Row],[Unknown]]=0),1,0)</f>
        <v>0</v>
      </c>
      <c r="AC326">
        <f>IF(AND(vp.tbl[[#This Row],[CrudeType]]="Crude",vp.tbl[[#This Row],[Dens]]&gt;825,vp.tbl[[#This Row],[Dens]]&lt;=900,vp.tbl[[#This Row],[Sulf]]&lt;=0.5,vp.tbl[[#This Row],[Unknown]]=0),1,0)</f>
        <v>0</v>
      </c>
      <c r="AD326">
        <f>IF(AND(vp.tbl[[#This Row],[CrudeType]]="Crude",vp.tbl[[#This Row],[Dens]]&gt;870,vp.tbl[[#This Row],[Dens]]&lt;=900,vp.tbl[[#This Row],[Sulf]]&gt;0.5,vp.tbl[[#This Row],[Unknown]]=0),1,0)</f>
        <v>0</v>
      </c>
      <c r="AE326">
        <f>IF(AND(vp.tbl[[#This Row],[CrudeType]]="Crude",vp.tbl[[#This Row],[Dens]]&gt;900,vp.tbl[[#This Row],[Sulf]]&lt;=0.5,vp.tbl[[#This Row],[Unknown]]=0),1,0)</f>
        <v>0</v>
      </c>
      <c r="AF326">
        <f>IF(AND(vp.tbl[[#This Row],[CrudeType]]="Crude",vp.tbl[[#This Row],[Dens]]&gt;900,vp.tbl[[#This Row],[Sulf]]&lt;=0.5,vp.tbl[[#This Row],[Unknown]]=0),1,0)</f>
        <v>0</v>
      </c>
      <c r="AG326" t="str">
        <f>INDEX(vp.tbl[[#Headers],[Unknown]:[Heavy_SW]],MATCH(1,vp.tbl[[#This Row],[Unknown]:[Heavy_SW]],0))</f>
        <v>Light_SW</v>
      </c>
      <c r="AH326" t="e">
        <f>INDEX([1]!crudeBD.lkup[Number],MATCH(vp.tbl[[#This Row],[Crude_Breakdown]],[1]!crudeBD.lkup[Crude Breakdown],0))</f>
        <v>#REF!</v>
      </c>
      <c r="AI326">
        <f>MONTH(vp.tbl[[#This Row],[SDate]])</f>
        <v>9</v>
      </c>
      <c r="AJ326" s="5">
        <f>IFERROR(vp.tbl[[#This Row],[Sulf]]*vp.tbl[[#This Row],[Net Dens]],"")</f>
        <v>8164951.803199999</v>
      </c>
      <c r="AK326" s="5">
        <f>IFERROR(vp.tbl[[#This Row],[Dens]]*vp.tbl[[#This Row],[VolumeM3]],"")</f>
        <v>40824759.015999995</v>
      </c>
      <c r="AL326" s="5">
        <f>IFERROR(vp.tbl[[#This Row],[VP]]*vp.tbl[[#This Row],[VolumeM3]],"")</f>
        <v>4510212.0623999992</v>
      </c>
      <c r="AM326" s="4">
        <f>IFERROR((vp.tbl[[#This Row],[VP]]-INDEX(crudeBD.lkup.complete[Mean_VP],MATCH(vp.tbl[[#This Row],[Crude_Breakdown]],crudeBD.lkup.complete[Crude Breakdown],0)))^2,"")</f>
        <v>11.904663861404005</v>
      </c>
      <c r="AN326" s="4">
        <f>IFERROR((vp.tbl[[#This Row],[Dens]]-INDEX(crudeBD.lkup.complete[Mean_Dens],MATCH(vp.tbl[[#This Row],[Crude_Breakdown]],crudeBD.lkup.complete[Crude Breakdown],0)))^2,"")</f>
        <v>3.2815259381555544</v>
      </c>
      <c r="AO326" s="4">
        <f>IFERROR((vp.tbl[[#This Row],[Sulf]]-INDEX(crudeBD.lkup.complete[Mean_Sulf],MATCH(vp.tbl[[#This Row],[Crude_Breakdown]],crudeBD.lkup.complete[Crude Breakdown],0)))^2,"")</f>
        <v>1.3134689259308601E-3</v>
      </c>
      <c r="AP326">
        <f>IF(AND(vp.tbl[[#This Row],[SDate]]&gt;=DATE(YEAR(vp.tbl[[#This Row],[SDate]]),5,1),vp.tbl[[#This Row],[SDate]]&lt;=DATE(YEAR(vp.tbl[[#This Row],[SDate]]),9,15)),1,0)</f>
        <v>1</v>
      </c>
      <c r="AQ326" s="15">
        <f>IF(vp.tbl[[#This Row],[SDate]]&lt;DATE(2016,12,1),0,1)</f>
        <v>0</v>
      </c>
    </row>
    <row r="327" spans="1:43" x14ac:dyDescent="0.25">
      <c r="A327">
        <v>326</v>
      </c>
      <c r="B327" t="s">
        <v>68</v>
      </c>
      <c r="C327" t="s">
        <v>68</v>
      </c>
      <c r="D327" t="s">
        <v>69</v>
      </c>
      <c r="F327" s="1">
        <v>42628</v>
      </c>
      <c r="G327" s="2">
        <v>87.9</v>
      </c>
      <c r="H327" s="2"/>
      <c r="I327" s="2">
        <v>1.74</v>
      </c>
      <c r="J327" s="2"/>
      <c r="K327" s="2"/>
      <c r="L327" s="2">
        <v>826.5</v>
      </c>
      <c r="M327" s="2">
        <v>826.5</v>
      </c>
      <c r="N327" s="2">
        <f ca="1">INDEX(INDIRECT(_xlfn.CONCAT("weather.tbl[",N$1,"]")),MATCH(vp.tbl[[#This Row],[SDate]],weather.tbl[Date],0))</f>
        <v>14.316666666666665</v>
      </c>
      <c r="O327" s="2">
        <f ca="1">INDEX(INDIRECT(_xlfn.CONCAT("weather.tbl[",O$1,"]")),MATCH(vp.tbl[[#This Row],[SDate]],weather.tbl[Date],0))</f>
        <v>11.654761904761903</v>
      </c>
      <c r="P327" s="2">
        <f ca="1">INDEX(INDIRECT(_xlfn.CONCAT("weather.tbl[",P$1,"]")),MATCH(vp.tbl[[#This Row],[SDate]],weather.tbl[Date],0))</f>
        <v>14.5</v>
      </c>
      <c r="Q327" s="2">
        <f ca="1">INDEX(INDIRECT(_xlfn.CONCAT("weather.tbl[",Q$1,"]")),MATCH(vp.tbl[[#This Row],[SDate]],weather.tbl[Date],0))</f>
        <v>15.8</v>
      </c>
      <c r="R327" s="2">
        <f ca="1">INDEX(INDIRECT(_xlfn.CONCAT("weather.tbl[",R$1,"]")),MATCH(vp.tbl[[#This Row],[SDate]],weather.tbl[Date],0))</f>
        <v>10.3</v>
      </c>
      <c r="S327" s="2">
        <f ca="1">INDEX(INDIRECT(_xlfn.CONCAT("weather.tbl[",S$1,"]")),MATCH(vp.tbl[[#This Row],[SDate]],weather.tbl[Date],0))</f>
        <v>15.5</v>
      </c>
      <c r="T327" s="2">
        <f ca="1">INDEX(INDIRECT(_xlfn.CONCAT("weather.tbl[",T$1,"]")),MATCH(vp.tbl[[#This Row],[SDate]],weather.tbl[Date],0))</f>
        <v>14.5</v>
      </c>
      <c r="U327" s="2">
        <f ca="1">INDEX(INDIRECT(_xlfn.CONCAT("weather.tbl[",U$1,"]")),MATCH(vp.tbl[[#This Row],[SDate]],weather.tbl[Date],0))</f>
        <v>15.3</v>
      </c>
      <c r="V327" s="2">
        <v>1385.6780000000001</v>
      </c>
      <c r="W327" t="s">
        <v>48</v>
      </c>
      <c r="X327">
        <f>IF(OR(vp.tbl[[#This Row],[Sulf]]="",vp.tbl[[#This Row],[Dens]]=""),1,0)</f>
        <v>0</v>
      </c>
      <c r="Y327">
        <f>IF(vp.tbl[[#This Row],[CrudeType]]="C5+",1,0)</f>
        <v>0</v>
      </c>
      <c r="Z327">
        <f>IF(AND(vp.tbl[[#This Row],[CrudeType]]="Crude",vp.tbl[[#This Row],[Dens]]&lt;=825,vp.tbl[[#This Row],[Sulf]]&gt;0.5,vp.tbl[[#This Row],[Unknown]]=0),1,0)</f>
        <v>0</v>
      </c>
      <c r="AA327">
        <f>IF(AND(vp.tbl[[#This Row],[CrudeType]]="Crude",vp.tbl[[#This Row],[Dens]]&lt;=825,vp.tbl[[#This Row],[Sulf]]&lt;=0.5,vp.tbl[[#This Row],[Unknown]]=0),1,0)</f>
        <v>0</v>
      </c>
      <c r="AB327">
        <f>IF(AND(vp.tbl[[#This Row],[CrudeType]]="Crude",vp.tbl[[#This Row],[Dens]]&gt;825,vp.tbl[[#This Row],[Dens]]&lt;=870,vp.tbl[[#This Row],[Sulf]]&gt;0.5,vp.tbl[[#This Row],[Unknown]]=0),1,0)</f>
        <v>1</v>
      </c>
      <c r="AC327">
        <f>IF(AND(vp.tbl[[#This Row],[CrudeType]]="Crude",vp.tbl[[#This Row],[Dens]]&gt;825,vp.tbl[[#This Row],[Dens]]&lt;=900,vp.tbl[[#This Row],[Sulf]]&lt;=0.5,vp.tbl[[#This Row],[Unknown]]=0),1,0)</f>
        <v>0</v>
      </c>
      <c r="AD327">
        <f>IF(AND(vp.tbl[[#This Row],[CrudeType]]="Crude",vp.tbl[[#This Row],[Dens]]&gt;870,vp.tbl[[#This Row],[Dens]]&lt;=900,vp.tbl[[#This Row],[Sulf]]&gt;0.5,vp.tbl[[#This Row],[Unknown]]=0),1,0)</f>
        <v>0</v>
      </c>
      <c r="AE327">
        <f>IF(AND(vp.tbl[[#This Row],[CrudeType]]="Crude",vp.tbl[[#This Row],[Dens]]&gt;900,vp.tbl[[#This Row],[Sulf]]&lt;=0.5,vp.tbl[[#This Row],[Unknown]]=0),1,0)</f>
        <v>0</v>
      </c>
      <c r="AF327">
        <f>IF(AND(vp.tbl[[#This Row],[CrudeType]]="Crude",vp.tbl[[#This Row],[Dens]]&gt;900,vp.tbl[[#This Row],[Sulf]]&lt;=0.5,vp.tbl[[#This Row],[Unknown]]=0),1,0)</f>
        <v>0</v>
      </c>
      <c r="AG327" t="str">
        <f>INDEX(vp.tbl[[#Headers],[Unknown]:[Heavy_SW]],MATCH(1,vp.tbl[[#This Row],[Unknown]:[Heavy_SW]],0))</f>
        <v>Medium_LSB</v>
      </c>
      <c r="AH327" t="e">
        <f>INDEX([1]!crudeBD.lkup[Number],MATCH(vp.tbl[[#This Row],[Crude_Breakdown]],[1]!crudeBD.lkup[Crude Breakdown],0))</f>
        <v>#REF!</v>
      </c>
      <c r="AI327">
        <f>MONTH(vp.tbl[[#This Row],[SDate]])</f>
        <v>9</v>
      </c>
      <c r="AJ327" s="5">
        <f>IFERROR(vp.tbl[[#This Row],[Sulf]]*vp.tbl[[#This Row],[Net Dens]],"")</f>
        <v>1992757.38858</v>
      </c>
      <c r="AK327" s="5">
        <f>IFERROR(vp.tbl[[#This Row],[Dens]]*vp.tbl[[#This Row],[VolumeM3]],"")</f>
        <v>1145262.8670000001</v>
      </c>
      <c r="AL327" s="5">
        <f>IFERROR(vp.tbl[[#This Row],[VP]]*vp.tbl[[#This Row],[VolumeM3]],"")</f>
        <v>121801.09620000001</v>
      </c>
      <c r="AM327" s="4">
        <f>IFERROR((vp.tbl[[#This Row],[VP]]-INDEX(crudeBD.lkup.complete[Mean_VP],MATCH(vp.tbl[[#This Row],[Crude_Breakdown]],crudeBD.lkup.complete[Crude Breakdown],0)))^2,"")</f>
        <v>59.697335202051612</v>
      </c>
      <c r="AN327" s="4">
        <f>IFERROR((vp.tbl[[#This Row],[Dens]]-INDEX(crudeBD.lkup.complete[Mean_Dens],MATCH(vp.tbl[[#This Row],[Crude_Breakdown]],crudeBD.lkup.complete[Crude Breakdown],0)))^2,"")</f>
        <v>353.13260357567202</v>
      </c>
      <c r="AO327" s="4">
        <f>IFERROR((vp.tbl[[#This Row],[Sulf]]-INDEX(crudeBD.lkup.complete[Mean_Sulf],MATCH(vp.tbl[[#This Row],[Crude_Breakdown]],crudeBD.lkup.complete[Crude Breakdown],0)))^2,"")</f>
        <v>8.1264984286600811E-2</v>
      </c>
      <c r="AP327">
        <f>IF(AND(vp.tbl[[#This Row],[SDate]]&gt;=DATE(YEAR(vp.tbl[[#This Row],[SDate]]),5,1),vp.tbl[[#This Row],[SDate]]&lt;=DATE(YEAR(vp.tbl[[#This Row],[SDate]]),9,15)),1,0)</f>
        <v>1</v>
      </c>
      <c r="AQ327" s="15">
        <f>IF(vp.tbl[[#This Row],[SDate]]&lt;DATE(2016,12,1),0,1)</f>
        <v>0</v>
      </c>
    </row>
    <row r="328" spans="1:43" x14ac:dyDescent="0.25">
      <c r="A328">
        <v>327</v>
      </c>
      <c r="B328" t="s">
        <v>56</v>
      </c>
      <c r="C328" t="s">
        <v>56</v>
      </c>
      <c r="D328" t="s">
        <v>57</v>
      </c>
      <c r="F328" s="1">
        <v>42628</v>
      </c>
      <c r="G328" s="2">
        <v>70.099999999999994</v>
      </c>
      <c r="H328" s="2"/>
      <c r="I328" s="2">
        <v>1.63</v>
      </c>
      <c r="J328" s="2"/>
      <c r="K328" s="2"/>
      <c r="L328" s="2">
        <v>836</v>
      </c>
      <c r="M328" s="2">
        <v>836</v>
      </c>
      <c r="N328" s="2">
        <f ca="1">INDEX(INDIRECT(_xlfn.CONCAT("weather.tbl[",N$1,"]")),MATCH(vp.tbl[[#This Row],[SDate]],weather.tbl[Date],0))</f>
        <v>14.316666666666665</v>
      </c>
      <c r="O328" s="2">
        <f ca="1">INDEX(INDIRECT(_xlfn.CONCAT("weather.tbl[",O$1,"]")),MATCH(vp.tbl[[#This Row],[SDate]],weather.tbl[Date],0))</f>
        <v>11.654761904761903</v>
      </c>
      <c r="P328" s="2">
        <f ca="1">INDEX(INDIRECT(_xlfn.CONCAT("weather.tbl[",P$1,"]")),MATCH(vp.tbl[[#This Row],[SDate]],weather.tbl[Date],0))</f>
        <v>14.5</v>
      </c>
      <c r="Q328" s="2">
        <f ca="1">INDEX(INDIRECT(_xlfn.CONCAT("weather.tbl[",Q$1,"]")),MATCH(vp.tbl[[#This Row],[SDate]],weather.tbl[Date],0))</f>
        <v>15.8</v>
      </c>
      <c r="R328" s="2">
        <f ca="1">INDEX(INDIRECT(_xlfn.CONCAT("weather.tbl[",R$1,"]")),MATCH(vp.tbl[[#This Row],[SDate]],weather.tbl[Date],0))</f>
        <v>10.3</v>
      </c>
      <c r="S328" s="2">
        <f ca="1">INDEX(INDIRECT(_xlfn.CONCAT("weather.tbl[",S$1,"]")),MATCH(vp.tbl[[#This Row],[SDate]],weather.tbl[Date],0))</f>
        <v>15.5</v>
      </c>
      <c r="T328" s="2">
        <f ca="1">INDEX(INDIRECT(_xlfn.CONCAT("weather.tbl[",T$1,"]")),MATCH(vp.tbl[[#This Row],[SDate]],weather.tbl[Date],0))</f>
        <v>14.5</v>
      </c>
      <c r="U328" s="2">
        <f ca="1">INDEX(INDIRECT(_xlfn.CONCAT("weather.tbl[",U$1,"]")),MATCH(vp.tbl[[#This Row],[SDate]],weather.tbl[Date],0))</f>
        <v>15.3</v>
      </c>
      <c r="V328" s="2">
        <v>3245.91</v>
      </c>
      <c r="W328" t="s">
        <v>48</v>
      </c>
      <c r="X328">
        <f>IF(OR(vp.tbl[[#This Row],[Sulf]]="",vp.tbl[[#This Row],[Dens]]=""),1,0)</f>
        <v>0</v>
      </c>
      <c r="Y328">
        <f>IF(vp.tbl[[#This Row],[CrudeType]]="C5+",1,0)</f>
        <v>0</v>
      </c>
      <c r="Z328">
        <f>IF(AND(vp.tbl[[#This Row],[CrudeType]]="Crude",vp.tbl[[#This Row],[Dens]]&lt;=825,vp.tbl[[#This Row],[Sulf]]&gt;0.5,vp.tbl[[#This Row],[Unknown]]=0),1,0)</f>
        <v>0</v>
      </c>
      <c r="AA328">
        <f>IF(AND(vp.tbl[[#This Row],[CrudeType]]="Crude",vp.tbl[[#This Row],[Dens]]&lt;=825,vp.tbl[[#This Row],[Sulf]]&lt;=0.5,vp.tbl[[#This Row],[Unknown]]=0),1,0)</f>
        <v>0</v>
      </c>
      <c r="AB328">
        <f>IF(AND(vp.tbl[[#This Row],[CrudeType]]="Crude",vp.tbl[[#This Row],[Dens]]&gt;825,vp.tbl[[#This Row],[Dens]]&lt;=870,vp.tbl[[#This Row],[Sulf]]&gt;0.5,vp.tbl[[#This Row],[Unknown]]=0),1,0)</f>
        <v>1</v>
      </c>
      <c r="AC328">
        <f>IF(AND(vp.tbl[[#This Row],[CrudeType]]="Crude",vp.tbl[[#This Row],[Dens]]&gt;825,vp.tbl[[#This Row],[Dens]]&lt;=900,vp.tbl[[#This Row],[Sulf]]&lt;=0.5,vp.tbl[[#This Row],[Unknown]]=0),1,0)</f>
        <v>0</v>
      </c>
      <c r="AD328">
        <f>IF(AND(vp.tbl[[#This Row],[CrudeType]]="Crude",vp.tbl[[#This Row],[Dens]]&gt;870,vp.tbl[[#This Row],[Dens]]&lt;=900,vp.tbl[[#This Row],[Sulf]]&gt;0.5,vp.tbl[[#This Row],[Unknown]]=0),1,0)</f>
        <v>0</v>
      </c>
      <c r="AE328">
        <f>IF(AND(vp.tbl[[#This Row],[CrudeType]]="Crude",vp.tbl[[#This Row],[Dens]]&gt;900,vp.tbl[[#This Row],[Sulf]]&lt;=0.5,vp.tbl[[#This Row],[Unknown]]=0),1,0)</f>
        <v>0</v>
      </c>
      <c r="AF328">
        <f>IF(AND(vp.tbl[[#This Row],[CrudeType]]="Crude",vp.tbl[[#This Row],[Dens]]&gt;900,vp.tbl[[#This Row],[Sulf]]&lt;=0.5,vp.tbl[[#This Row],[Unknown]]=0),1,0)</f>
        <v>0</v>
      </c>
      <c r="AG328" t="str">
        <f>INDEX(vp.tbl[[#Headers],[Unknown]:[Heavy_SW]],MATCH(1,vp.tbl[[#This Row],[Unknown]:[Heavy_SW]],0))</f>
        <v>Medium_LSB</v>
      </c>
      <c r="AH328" t="e">
        <f>INDEX([1]!crudeBD.lkup[Number],MATCH(vp.tbl[[#This Row],[Crude_Breakdown]],[1]!crudeBD.lkup[Crude Breakdown],0))</f>
        <v>#REF!</v>
      </c>
      <c r="AI328">
        <f>MONTH(vp.tbl[[#This Row],[SDate]])</f>
        <v>9</v>
      </c>
      <c r="AJ328" s="5">
        <f>IFERROR(vp.tbl[[#This Row],[Sulf]]*vp.tbl[[#This Row],[Net Dens]],"")</f>
        <v>4423136.6387999989</v>
      </c>
      <c r="AK328" s="5">
        <f>IFERROR(vp.tbl[[#This Row],[Dens]]*vp.tbl[[#This Row],[VolumeM3]],"")</f>
        <v>2713580.76</v>
      </c>
      <c r="AL328" s="5">
        <f>IFERROR(vp.tbl[[#This Row],[VP]]*vp.tbl[[#This Row],[VolumeM3]],"")</f>
        <v>227538.29099999997</v>
      </c>
      <c r="AM328" s="4">
        <f>IFERROR((vp.tbl[[#This Row],[VP]]-INDEX(crudeBD.lkup.complete[Mean_VP],MATCH(vp.tbl[[#This Row],[Crude_Breakdown]],crudeBD.lkup.complete[Crude Breakdown],0)))^2,"")</f>
        <v>101.47731494888576</v>
      </c>
      <c r="AN328" s="4">
        <f>IFERROR((vp.tbl[[#This Row],[Dens]]-INDEX(crudeBD.lkup.complete[Mean_Dens],MATCH(vp.tbl[[#This Row],[Crude_Breakdown]],crudeBD.lkup.complete[Crude Breakdown],0)))^2,"")</f>
        <v>86.337970664298311</v>
      </c>
      <c r="AO328" s="4">
        <f>IFERROR((vp.tbl[[#This Row],[Sulf]]-INDEX(crudeBD.lkup.complete[Mean_Sulf],MATCH(vp.tbl[[#This Row],[Crude_Breakdown]],crudeBD.lkup.complete[Crude Breakdown],0)))^2,"")</f>
        <v>3.0649553653689716E-2</v>
      </c>
      <c r="AP328">
        <f>IF(AND(vp.tbl[[#This Row],[SDate]]&gt;=DATE(YEAR(vp.tbl[[#This Row],[SDate]]),5,1),vp.tbl[[#This Row],[SDate]]&lt;=DATE(YEAR(vp.tbl[[#This Row],[SDate]]),9,15)),1,0)</f>
        <v>1</v>
      </c>
      <c r="AQ328" s="15">
        <f>IF(vp.tbl[[#This Row],[SDate]]&lt;DATE(2016,12,1),0,1)</f>
        <v>0</v>
      </c>
    </row>
    <row r="329" spans="1:43" x14ac:dyDescent="0.25">
      <c r="A329">
        <v>328</v>
      </c>
      <c r="B329" t="s">
        <v>51</v>
      </c>
      <c r="C329" t="s">
        <v>51</v>
      </c>
      <c r="D329" t="s">
        <v>58</v>
      </c>
      <c r="F329" s="1">
        <v>42628</v>
      </c>
      <c r="G329" s="2">
        <v>59.7</v>
      </c>
      <c r="H329" s="2"/>
      <c r="I329" s="2">
        <v>1.42</v>
      </c>
      <c r="J329" s="2"/>
      <c r="K329" s="2"/>
      <c r="L329" s="2">
        <v>856</v>
      </c>
      <c r="M329" s="2">
        <v>856</v>
      </c>
      <c r="N329" s="2">
        <f ca="1">INDEX(INDIRECT(_xlfn.CONCAT("weather.tbl[",N$1,"]")),MATCH(vp.tbl[[#This Row],[SDate]],weather.tbl[Date],0))</f>
        <v>14.316666666666665</v>
      </c>
      <c r="O329" s="2">
        <f ca="1">INDEX(INDIRECT(_xlfn.CONCAT("weather.tbl[",O$1,"]")),MATCH(vp.tbl[[#This Row],[SDate]],weather.tbl[Date],0))</f>
        <v>11.654761904761903</v>
      </c>
      <c r="P329" s="2">
        <f ca="1">INDEX(INDIRECT(_xlfn.CONCAT("weather.tbl[",P$1,"]")),MATCH(vp.tbl[[#This Row],[SDate]],weather.tbl[Date],0))</f>
        <v>14.5</v>
      </c>
      <c r="Q329" s="2">
        <f ca="1">INDEX(INDIRECT(_xlfn.CONCAT("weather.tbl[",Q$1,"]")),MATCH(vp.tbl[[#This Row],[SDate]],weather.tbl[Date],0))</f>
        <v>15.8</v>
      </c>
      <c r="R329" s="2">
        <f ca="1">INDEX(INDIRECT(_xlfn.CONCAT("weather.tbl[",R$1,"]")),MATCH(vp.tbl[[#This Row],[SDate]],weather.tbl[Date],0))</f>
        <v>10.3</v>
      </c>
      <c r="S329" s="2">
        <f ca="1">INDEX(INDIRECT(_xlfn.CONCAT("weather.tbl[",S$1,"]")),MATCH(vp.tbl[[#This Row],[SDate]],weather.tbl[Date],0))</f>
        <v>15.5</v>
      </c>
      <c r="T329" s="2">
        <f ca="1">INDEX(INDIRECT(_xlfn.CONCAT("weather.tbl[",T$1,"]")),MATCH(vp.tbl[[#This Row],[SDate]],weather.tbl[Date],0))</f>
        <v>14.5</v>
      </c>
      <c r="U329" s="2">
        <f ca="1">INDEX(INDIRECT(_xlfn.CONCAT("weather.tbl[",U$1,"]")),MATCH(vp.tbl[[#This Row],[SDate]],weather.tbl[Date],0))</f>
        <v>15.3</v>
      </c>
      <c r="V329" s="2">
        <v>5712.1480000000001</v>
      </c>
      <c r="W329" t="s">
        <v>48</v>
      </c>
      <c r="X329">
        <f>IF(OR(vp.tbl[[#This Row],[Sulf]]="",vp.tbl[[#This Row],[Dens]]=""),1,0)</f>
        <v>0</v>
      </c>
      <c r="Y329">
        <f>IF(vp.tbl[[#This Row],[CrudeType]]="C5+",1,0)</f>
        <v>0</v>
      </c>
      <c r="Z329">
        <f>IF(AND(vp.tbl[[#This Row],[CrudeType]]="Crude",vp.tbl[[#This Row],[Dens]]&lt;=825,vp.tbl[[#This Row],[Sulf]]&gt;0.5,vp.tbl[[#This Row],[Unknown]]=0),1,0)</f>
        <v>0</v>
      </c>
      <c r="AA329">
        <f>IF(AND(vp.tbl[[#This Row],[CrudeType]]="Crude",vp.tbl[[#This Row],[Dens]]&lt;=825,vp.tbl[[#This Row],[Sulf]]&lt;=0.5,vp.tbl[[#This Row],[Unknown]]=0),1,0)</f>
        <v>0</v>
      </c>
      <c r="AB329">
        <f>IF(AND(vp.tbl[[#This Row],[CrudeType]]="Crude",vp.tbl[[#This Row],[Dens]]&gt;825,vp.tbl[[#This Row],[Dens]]&lt;=870,vp.tbl[[#This Row],[Sulf]]&gt;0.5,vp.tbl[[#This Row],[Unknown]]=0),1,0)</f>
        <v>1</v>
      </c>
      <c r="AC329">
        <f>IF(AND(vp.tbl[[#This Row],[CrudeType]]="Crude",vp.tbl[[#This Row],[Dens]]&gt;825,vp.tbl[[#This Row],[Dens]]&lt;=900,vp.tbl[[#This Row],[Sulf]]&lt;=0.5,vp.tbl[[#This Row],[Unknown]]=0),1,0)</f>
        <v>0</v>
      </c>
      <c r="AD329">
        <f>IF(AND(vp.tbl[[#This Row],[CrudeType]]="Crude",vp.tbl[[#This Row],[Dens]]&gt;870,vp.tbl[[#This Row],[Dens]]&lt;=900,vp.tbl[[#This Row],[Sulf]]&gt;0.5,vp.tbl[[#This Row],[Unknown]]=0),1,0)</f>
        <v>0</v>
      </c>
      <c r="AE329">
        <f>IF(AND(vp.tbl[[#This Row],[CrudeType]]="Crude",vp.tbl[[#This Row],[Dens]]&gt;900,vp.tbl[[#This Row],[Sulf]]&lt;=0.5,vp.tbl[[#This Row],[Unknown]]=0),1,0)</f>
        <v>0</v>
      </c>
      <c r="AF329">
        <f>IF(AND(vp.tbl[[#This Row],[CrudeType]]="Crude",vp.tbl[[#This Row],[Dens]]&gt;900,vp.tbl[[#This Row],[Sulf]]&lt;=0.5,vp.tbl[[#This Row],[Unknown]]=0),1,0)</f>
        <v>0</v>
      </c>
      <c r="AG329" t="str">
        <f>INDEX(vp.tbl[[#Headers],[Unknown]:[Heavy_SW]],MATCH(1,vp.tbl[[#This Row],[Unknown]:[Heavy_SW]],0))</f>
        <v>Medium_LSB</v>
      </c>
      <c r="AH329" t="e">
        <f>INDEX([1]!crudeBD.lkup[Number],MATCH(vp.tbl[[#This Row],[Crude_Breakdown]],[1]!crudeBD.lkup[Crude Breakdown],0))</f>
        <v>#REF!</v>
      </c>
      <c r="AI329">
        <f>MONTH(vp.tbl[[#This Row],[SDate]])</f>
        <v>9</v>
      </c>
      <c r="AJ329" s="5">
        <f>IFERROR(vp.tbl[[#This Row],[Sulf]]*vp.tbl[[#This Row],[Net Dens]],"")</f>
        <v>6943230.1369599998</v>
      </c>
      <c r="AK329" s="5">
        <f>IFERROR(vp.tbl[[#This Row],[Dens]]*vp.tbl[[#This Row],[VolumeM3]],"")</f>
        <v>4889598.6880000001</v>
      </c>
      <c r="AL329" s="5">
        <f>IFERROR(vp.tbl[[#This Row],[VP]]*vp.tbl[[#This Row],[VolumeM3]],"")</f>
        <v>341015.23560000001</v>
      </c>
      <c r="AM329" s="4">
        <f>IFERROR((vp.tbl[[#This Row],[VP]]-INDEX(crudeBD.lkup.complete[Mean_VP],MATCH(vp.tbl[[#This Row],[Crude_Breakdown]],crudeBD.lkup.complete[Crude Breakdown],0)))^2,"")</f>
        <v>419.16808963242909</v>
      </c>
      <c r="AN329" s="4">
        <f>IFERROR((vp.tbl[[#This Row],[Dens]]-INDEX(crudeBD.lkup.complete[Mean_Dens],MATCH(vp.tbl[[#This Row],[Crude_Breakdown]],crudeBD.lkup.complete[Crude Breakdown],0)))^2,"")</f>
        <v>114.66505927193263</v>
      </c>
      <c r="AO329" s="4">
        <f>IFERROR((vp.tbl[[#This Row],[Sulf]]-INDEX(crudeBD.lkup.complete[Mean_Sulf],MATCH(vp.tbl[[#This Row],[Crude_Breakdown]],crudeBD.lkup.complete[Crude Breakdown],0)))^2,"")</f>
        <v>1.2200951726777241E-3</v>
      </c>
      <c r="AP329">
        <f>IF(AND(vp.tbl[[#This Row],[SDate]]&gt;=DATE(YEAR(vp.tbl[[#This Row],[SDate]]),5,1),vp.tbl[[#This Row],[SDate]]&lt;=DATE(YEAR(vp.tbl[[#This Row],[SDate]]),9,15)),1,0)</f>
        <v>1</v>
      </c>
      <c r="AQ329" s="15">
        <f>IF(vp.tbl[[#This Row],[SDate]]&lt;DATE(2016,12,1),0,1)</f>
        <v>0</v>
      </c>
    </row>
    <row r="330" spans="1:43" x14ac:dyDescent="0.25">
      <c r="A330">
        <v>329</v>
      </c>
      <c r="B330" t="s">
        <v>46</v>
      </c>
      <c r="C330" t="s">
        <v>46</v>
      </c>
      <c r="D330" t="s">
        <v>47</v>
      </c>
      <c r="F330" s="1">
        <v>42628</v>
      </c>
      <c r="G330" s="2">
        <v>67.7</v>
      </c>
      <c r="H330" s="2"/>
      <c r="I330" s="2">
        <v>2.31</v>
      </c>
      <c r="J330" s="2"/>
      <c r="K330" s="2"/>
      <c r="L330" s="2">
        <v>869.9</v>
      </c>
      <c r="M330" s="2">
        <v>869.9</v>
      </c>
      <c r="N330" s="2">
        <f ca="1">INDEX(INDIRECT(_xlfn.CONCAT("weather.tbl[",N$1,"]")),MATCH(vp.tbl[[#This Row],[SDate]],weather.tbl[Date],0))</f>
        <v>14.316666666666665</v>
      </c>
      <c r="O330" s="2">
        <f ca="1">INDEX(INDIRECT(_xlfn.CONCAT("weather.tbl[",O$1,"]")),MATCH(vp.tbl[[#This Row],[SDate]],weather.tbl[Date],0))</f>
        <v>11.654761904761903</v>
      </c>
      <c r="P330" s="2">
        <f ca="1">INDEX(INDIRECT(_xlfn.CONCAT("weather.tbl[",P$1,"]")),MATCH(vp.tbl[[#This Row],[SDate]],weather.tbl[Date],0))</f>
        <v>14.5</v>
      </c>
      <c r="Q330" s="2">
        <f ca="1">INDEX(INDIRECT(_xlfn.CONCAT("weather.tbl[",Q$1,"]")),MATCH(vp.tbl[[#This Row],[SDate]],weather.tbl[Date],0))</f>
        <v>15.8</v>
      </c>
      <c r="R330" s="2">
        <f ca="1">INDEX(INDIRECT(_xlfn.CONCAT("weather.tbl[",R$1,"]")),MATCH(vp.tbl[[#This Row],[SDate]],weather.tbl[Date],0))</f>
        <v>10.3</v>
      </c>
      <c r="S330" s="2">
        <f ca="1">INDEX(INDIRECT(_xlfn.CONCAT("weather.tbl[",S$1,"]")),MATCH(vp.tbl[[#This Row],[SDate]],weather.tbl[Date],0))</f>
        <v>15.5</v>
      </c>
      <c r="T330" s="2">
        <f ca="1">INDEX(INDIRECT(_xlfn.CONCAT("weather.tbl[",T$1,"]")),MATCH(vp.tbl[[#This Row],[SDate]],weather.tbl[Date],0))</f>
        <v>14.5</v>
      </c>
      <c r="U330" s="2">
        <f ca="1">INDEX(INDIRECT(_xlfn.CONCAT("weather.tbl[",U$1,"]")),MATCH(vp.tbl[[#This Row],[SDate]],weather.tbl[Date],0))</f>
        <v>15.3</v>
      </c>
      <c r="V330" s="2">
        <v>111219.577</v>
      </c>
      <c r="W330" t="s">
        <v>48</v>
      </c>
      <c r="X330">
        <f>IF(OR(vp.tbl[[#This Row],[Sulf]]="",vp.tbl[[#This Row],[Dens]]=""),1,0)</f>
        <v>0</v>
      </c>
      <c r="Y330">
        <f>IF(vp.tbl[[#This Row],[CrudeType]]="C5+",1,0)</f>
        <v>0</v>
      </c>
      <c r="Z330">
        <f>IF(AND(vp.tbl[[#This Row],[CrudeType]]="Crude",vp.tbl[[#This Row],[Dens]]&lt;=825,vp.tbl[[#This Row],[Sulf]]&gt;0.5,vp.tbl[[#This Row],[Unknown]]=0),1,0)</f>
        <v>0</v>
      </c>
      <c r="AA330">
        <f>IF(AND(vp.tbl[[#This Row],[CrudeType]]="Crude",vp.tbl[[#This Row],[Dens]]&lt;=825,vp.tbl[[#This Row],[Sulf]]&lt;=0.5,vp.tbl[[#This Row],[Unknown]]=0),1,0)</f>
        <v>0</v>
      </c>
      <c r="AB330">
        <f>IF(AND(vp.tbl[[#This Row],[CrudeType]]="Crude",vp.tbl[[#This Row],[Dens]]&gt;825,vp.tbl[[#This Row],[Dens]]&lt;=870,vp.tbl[[#This Row],[Sulf]]&gt;0.5,vp.tbl[[#This Row],[Unknown]]=0),1,0)</f>
        <v>1</v>
      </c>
      <c r="AC330">
        <f>IF(AND(vp.tbl[[#This Row],[CrudeType]]="Crude",vp.tbl[[#This Row],[Dens]]&gt;825,vp.tbl[[#This Row],[Dens]]&lt;=900,vp.tbl[[#This Row],[Sulf]]&lt;=0.5,vp.tbl[[#This Row],[Unknown]]=0),1,0)</f>
        <v>0</v>
      </c>
      <c r="AD330">
        <f>IF(AND(vp.tbl[[#This Row],[CrudeType]]="Crude",vp.tbl[[#This Row],[Dens]]&gt;870,vp.tbl[[#This Row],[Dens]]&lt;=900,vp.tbl[[#This Row],[Sulf]]&gt;0.5,vp.tbl[[#This Row],[Unknown]]=0),1,0)</f>
        <v>0</v>
      </c>
      <c r="AE330">
        <f>IF(AND(vp.tbl[[#This Row],[CrudeType]]="Crude",vp.tbl[[#This Row],[Dens]]&gt;900,vp.tbl[[#This Row],[Sulf]]&lt;=0.5,vp.tbl[[#This Row],[Unknown]]=0),1,0)</f>
        <v>0</v>
      </c>
      <c r="AF330">
        <f>IF(AND(vp.tbl[[#This Row],[CrudeType]]="Crude",vp.tbl[[#This Row],[Dens]]&gt;900,vp.tbl[[#This Row],[Sulf]]&lt;=0.5,vp.tbl[[#This Row],[Unknown]]=0),1,0)</f>
        <v>0</v>
      </c>
      <c r="AG330" t="str">
        <f>INDEX(vp.tbl[[#Headers],[Unknown]:[Heavy_SW]],MATCH(1,vp.tbl[[#This Row],[Unknown]:[Heavy_SW]],0))</f>
        <v>Medium_LSB</v>
      </c>
      <c r="AH330" t="e">
        <f>INDEX([1]!crudeBD.lkup[Number],MATCH(vp.tbl[[#This Row],[Crude_Breakdown]],[1]!crudeBD.lkup[Crude Breakdown],0))</f>
        <v>#REF!</v>
      </c>
      <c r="AI330">
        <f>MONTH(vp.tbl[[#This Row],[SDate]])</f>
        <v>9</v>
      </c>
      <c r="AJ330" s="5">
        <f>IFERROR(vp.tbl[[#This Row],[Sulf]]*vp.tbl[[#This Row],[Net Dens]],"")</f>
        <v>223492292.174613</v>
      </c>
      <c r="AK330" s="5">
        <f>IFERROR(vp.tbl[[#This Row],[Dens]]*vp.tbl[[#This Row],[VolumeM3]],"")</f>
        <v>96749910.032299995</v>
      </c>
      <c r="AL330" s="5">
        <f>IFERROR(vp.tbl[[#This Row],[VP]]*vp.tbl[[#This Row],[VolumeM3]],"")</f>
        <v>7529565.362900001</v>
      </c>
      <c r="AM330" s="4">
        <f>IFERROR((vp.tbl[[#This Row],[VP]]-INDEX(crudeBD.lkup.complete[Mean_VP],MATCH(vp.tbl[[#This Row],[Crude_Breakdown]],crudeBD.lkup.complete[Crude Breakdown],0)))^2,"")</f>
        <v>155.59057064508795</v>
      </c>
      <c r="AN330" s="4">
        <f>IFERROR((vp.tbl[[#This Row],[Dens]]-INDEX(crudeBD.lkup.complete[Mean_Dens],MATCH(vp.tbl[[#This Row],[Crude_Breakdown]],crudeBD.lkup.complete[Crude Breakdown],0)))^2,"")</f>
        <v>605.56238585423739</v>
      </c>
      <c r="AO330" s="4">
        <f>IFERROR((vp.tbl[[#This Row],[Sulf]]-INDEX(crudeBD.lkup.complete[Mean_Sulf],MATCH(vp.tbl[[#This Row],[Crude_Breakdown]],crudeBD.lkup.complete[Crude Breakdown],0)))^2,"")</f>
        <v>0.73114494302077648</v>
      </c>
      <c r="AP330">
        <f>IF(AND(vp.tbl[[#This Row],[SDate]]&gt;=DATE(YEAR(vp.tbl[[#This Row],[SDate]]),5,1),vp.tbl[[#This Row],[SDate]]&lt;=DATE(YEAR(vp.tbl[[#This Row],[SDate]]),9,15)),1,0)</f>
        <v>1</v>
      </c>
      <c r="AQ330" s="15">
        <f>IF(vp.tbl[[#This Row],[SDate]]&lt;DATE(2016,12,1),0,1)</f>
        <v>0</v>
      </c>
    </row>
    <row r="331" spans="1:43" x14ac:dyDescent="0.25">
      <c r="A331">
        <v>330</v>
      </c>
      <c r="B331" t="s">
        <v>51</v>
      </c>
      <c r="C331" t="s">
        <v>51</v>
      </c>
      <c r="D331" t="s">
        <v>52</v>
      </c>
      <c r="F331" s="1">
        <v>42628</v>
      </c>
      <c r="G331" s="2">
        <v>56.2</v>
      </c>
      <c r="H331" s="2"/>
      <c r="I331" s="2">
        <v>2.27</v>
      </c>
      <c r="J331" s="2"/>
      <c r="K331" s="2"/>
      <c r="L331" s="2">
        <v>872.5</v>
      </c>
      <c r="M331" s="2">
        <v>872.5</v>
      </c>
      <c r="N331" s="2">
        <f ca="1">INDEX(INDIRECT(_xlfn.CONCAT("weather.tbl[",N$1,"]")),MATCH(vp.tbl[[#This Row],[SDate]],weather.tbl[Date],0))</f>
        <v>14.316666666666665</v>
      </c>
      <c r="O331" s="2">
        <f ca="1">INDEX(INDIRECT(_xlfn.CONCAT("weather.tbl[",O$1,"]")),MATCH(vp.tbl[[#This Row],[SDate]],weather.tbl[Date],0))</f>
        <v>11.654761904761903</v>
      </c>
      <c r="P331" s="2">
        <f ca="1">INDEX(INDIRECT(_xlfn.CONCAT("weather.tbl[",P$1,"]")),MATCH(vp.tbl[[#This Row],[SDate]],weather.tbl[Date],0))</f>
        <v>14.5</v>
      </c>
      <c r="Q331" s="2">
        <f ca="1">INDEX(INDIRECT(_xlfn.CONCAT("weather.tbl[",Q$1,"]")),MATCH(vp.tbl[[#This Row],[SDate]],weather.tbl[Date],0))</f>
        <v>15.8</v>
      </c>
      <c r="R331" s="2">
        <f ca="1">INDEX(INDIRECT(_xlfn.CONCAT("weather.tbl[",R$1,"]")),MATCH(vp.tbl[[#This Row],[SDate]],weather.tbl[Date],0))</f>
        <v>10.3</v>
      </c>
      <c r="S331" s="2">
        <f ca="1">INDEX(INDIRECT(_xlfn.CONCAT("weather.tbl[",S$1,"]")),MATCH(vp.tbl[[#This Row],[SDate]],weather.tbl[Date],0))</f>
        <v>15.5</v>
      </c>
      <c r="T331" s="2">
        <f ca="1">INDEX(INDIRECT(_xlfn.CONCAT("weather.tbl[",T$1,"]")),MATCH(vp.tbl[[#This Row],[SDate]],weather.tbl[Date],0))</f>
        <v>14.5</v>
      </c>
      <c r="U331" s="2">
        <f ca="1">INDEX(INDIRECT(_xlfn.CONCAT("weather.tbl[",U$1,"]")),MATCH(vp.tbl[[#This Row],[SDate]],weather.tbl[Date],0))</f>
        <v>15.3</v>
      </c>
      <c r="V331" s="2">
        <v>7367.5910000000003</v>
      </c>
      <c r="W331" t="s">
        <v>48</v>
      </c>
      <c r="X331">
        <f>IF(OR(vp.tbl[[#This Row],[Sulf]]="",vp.tbl[[#This Row],[Dens]]=""),1,0)</f>
        <v>0</v>
      </c>
      <c r="Y331">
        <f>IF(vp.tbl[[#This Row],[CrudeType]]="C5+",1,0)</f>
        <v>0</v>
      </c>
      <c r="Z331">
        <f>IF(AND(vp.tbl[[#This Row],[CrudeType]]="Crude",vp.tbl[[#This Row],[Dens]]&lt;=825,vp.tbl[[#This Row],[Sulf]]&gt;0.5,vp.tbl[[#This Row],[Unknown]]=0),1,0)</f>
        <v>0</v>
      </c>
      <c r="AA331">
        <f>IF(AND(vp.tbl[[#This Row],[CrudeType]]="Crude",vp.tbl[[#This Row],[Dens]]&lt;=825,vp.tbl[[#This Row],[Sulf]]&lt;=0.5,vp.tbl[[#This Row],[Unknown]]=0),1,0)</f>
        <v>0</v>
      </c>
      <c r="AB331">
        <f>IF(AND(vp.tbl[[#This Row],[CrudeType]]="Crude",vp.tbl[[#This Row],[Dens]]&gt;825,vp.tbl[[#This Row],[Dens]]&lt;=870,vp.tbl[[#This Row],[Sulf]]&gt;0.5,vp.tbl[[#This Row],[Unknown]]=0),1,0)</f>
        <v>0</v>
      </c>
      <c r="AC331">
        <f>IF(AND(vp.tbl[[#This Row],[CrudeType]]="Crude",vp.tbl[[#This Row],[Dens]]&gt;825,vp.tbl[[#This Row],[Dens]]&lt;=900,vp.tbl[[#This Row],[Sulf]]&lt;=0.5,vp.tbl[[#This Row],[Unknown]]=0),1,0)</f>
        <v>0</v>
      </c>
      <c r="AD331">
        <f>IF(AND(vp.tbl[[#This Row],[CrudeType]]="Crude",vp.tbl[[#This Row],[Dens]]&gt;870,vp.tbl[[#This Row],[Dens]]&lt;=900,vp.tbl[[#This Row],[Sulf]]&gt;0.5,vp.tbl[[#This Row],[Unknown]]=0),1,0)</f>
        <v>1</v>
      </c>
      <c r="AE331">
        <f>IF(AND(vp.tbl[[#This Row],[CrudeType]]="Crude",vp.tbl[[#This Row],[Dens]]&gt;900,vp.tbl[[#This Row],[Sulf]]&lt;=0.5,vp.tbl[[#This Row],[Unknown]]=0),1,0)</f>
        <v>0</v>
      </c>
      <c r="AF331">
        <f>IF(AND(vp.tbl[[#This Row],[CrudeType]]="Crude",vp.tbl[[#This Row],[Dens]]&gt;900,vp.tbl[[#This Row],[Sulf]]&lt;=0.5,vp.tbl[[#This Row],[Unknown]]=0),1,0)</f>
        <v>0</v>
      </c>
      <c r="AG331" t="str">
        <f>INDEX(vp.tbl[[#Headers],[Unknown]:[Heavy_SW]],MATCH(1,vp.tbl[[#This Row],[Unknown]:[Heavy_SW]],0))</f>
        <v>Midale</v>
      </c>
      <c r="AH331" t="e">
        <f>INDEX([1]!crudeBD.lkup[Number],MATCH(vp.tbl[[#This Row],[Crude_Breakdown]],[1]!crudeBD.lkup[Crude Breakdown],0))</f>
        <v>#REF!</v>
      </c>
      <c r="AI331">
        <f>MONTH(vp.tbl[[#This Row],[SDate]])</f>
        <v>9</v>
      </c>
      <c r="AJ331" s="5">
        <f>IFERROR(vp.tbl[[#This Row],[Sulf]]*vp.tbl[[#This Row],[Net Dens]],"")</f>
        <v>14592066.544825001</v>
      </c>
      <c r="AK331" s="5">
        <f>IFERROR(vp.tbl[[#This Row],[Dens]]*vp.tbl[[#This Row],[VolumeM3]],"")</f>
        <v>6428223.1475</v>
      </c>
      <c r="AL331" s="5">
        <f>IFERROR(vp.tbl[[#This Row],[VP]]*vp.tbl[[#This Row],[VolumeM3]],"")</f>
        <v>414058.61420000007</v>
      </c>
      <c r="AM331" s="4">
        <f>IFERROR((vp.tbl[[#This Row],[VP]]-INDEX(crudeBD.lkup.complete[Mean_VP],MATCH(vp.tbl[[#This Row],[Crude_Breakdown]],crudeBD.lkup.complete[Crude Breakdown],0)))^2,"")</f>
        <v>144.92201914055195</v>
      </c>
      <c r="AN331" s="4">
        <f>IFERROR((vp.tbl[[#This Row],[Dens]]-INDEX(crudeBD.lkup.complete[Mean_Dens],MATCH(vp.tbl[[#This Row],[Crude_Breakdown]],crudeBD.lkup.complete[Crude Breakdown],0)))^2,"")</f>
        <v>25.523257646834995</v>
      </c>
      <c r="AO331" s="4">
        <f>IFERROR((vp.tbl[[#This Row],[Sulf]]-INDEX(crudeBD.lkup.complete[Mean_Sulf],MATCH(vp.tbl[[#This Row],[Crude_Breakdown]],crudeBD.lkup.complete[Crude Breakdown],0)))^2,"")</f>
        <v>2.1123755419196481E-2</v>
      </c>
      <c r="AP331">
        <f>IF(AND(vp.tbl[[#This Row],[SDate]]&gt;=DATE(YEAR(vp.tbl[[#This Row],[SDate]]),5,1),vp.tbl[[#This Row],[SDate]]&lt;=DATE(YEAR(vp.tbl[[#This Row],[SDate]]),9,15)),1,0)</f>
        <v>1</v>
      </c>
      <c r="AQ331" s="15">
        <f>IF(vp.tbl[[#This Row],[SDate]]&lt;DATE(2016,12,1),0,1)</f>
        <v>0</v>
      </c>
    </row>
    <row r="332" spans="1:43" x14ac:dyDescent="0.25">
      <c r="A332">
        <v>331</v>
      </c>
      <c r="B332" t="s">
        <v>49</v>
      </c>
      <c r="C332" t="s">
        <v>49</v>
      </c>
      <c r="D332" t="s">
        <v>50</v>
      </c>
      <c r="F332" s="1">
        <v>42628</v>
      </c>
      <c r="G332" s="2">
        <v>62.6</v>
      </c>
      <c r="H332" s="2"/>
      <c r="I332" s="2">
        <v>2.81</v>
      </c>
      <c r="J332" s="2"/>
      <c r="K332" s="2"/>
      <c r="L332" s="2">
        <v>878.4</v>
      </c>
      <c r="M332" s="2">
        <v>878.4</v>
      </c>
      <c r="N332" s="2">
        <f ca="1">INDEX(INDIRECT(_xlfn.CONCAT("weather.tbl[",N$1,"]")),MATCH(vp.tbl[[#This Row],[SDate]],weather.tbl[Date],0))</f>
        <v>14.316666666666665</v>
      </c>
      <c r="O332" s="2">
        <f ca="1">INDEX(INDIRECT(_xlfn.CONCAT("weather.tbl[",O$1,"]")),MATCH(vp.tbl[[#This Row],[SDate]],weather.tbl[Date],0))</f>
        <v>11.654761904761903</v>
      </c>
      <c r="P332" s="2">
        <f ca="1">INDEX(INDIRECT(_xlfn.CONCAT("weather.tbl[",P$1,"]")),MATCH(vp.tbl[[#This Row],[SDate]],weather.tbl[Date],0))</f>
        <v>14.5</v>
      </c>
      <c r="Q332" s="2">
        <f ca="1">INDEX(INDIRECT(_xlfn.CONCAT("weather.tbl[",Q$1,"]")),MATCH(vp.tbl[[#This Row],[SDate]],weather.tbl[Date],0))</f>
        <v>15.8</v>
      </c>
      <c r="R332" s="2">
        <f ca="1">INDEX(INDIRECT(_xlfn.CONCAT("weather.tbl[",R$1,"]")),MATCH(vp.tbl[[#This Row],[SDate]],weather.tbl[Date],0))</f>
        <v>10.3</v>
      </c>
      <c r="S332" s="2">
        <f ca="1">INDEX(INDIRECT(_xlfn.CONCAT("weather.tbl[",S$1,"]")),MATCH(vp.tbl[[#This Row],[SDate]],weather.tbl[Date],0))</f>
        <v>15.5</v>
      </c>
      <c r="T332" s="2">
        <f ca="1">INDEX(INDIRECT(_xlfn.CONCAT("weather.tbl[",T$1,"]")),MATCH(vp.tbl[[#This Row],[SDate]],weather.tbl[Date],0))</f>
        <v>14.5</v>
      </c>
      <c r="U332" s="2">
        <f ca="1">INDEX(INDIRECT(_xlfn.CONCAT("weather.tbl[",U$1,"]")),MATCH(vp.tbl[[#This Row],[SDate]],weather.tbl[Date],0))</f>
        <v>15.3</v>
      </c>
      <c r="V332" s="2">
        <v>5675.5129999999999</v>
      </c>
      <c r="W332" t="s">
        <v>48</v>
      </c>
      <c r="X332">
        <f>IF(OR(vp.tbl[[#This Row],[Sulf]]="",vp.tbl[[#This Row],[Dens]]=""),1,0)</f>
        <v>0</v>
      </c>
      <c r="Y332">
        <f>IF(vp.tbl[[#This Row],[CrudeType]]="C5+",1,0)</f>
        <v>0</v>
      </c>
      <c r="Z332">
        <f>IF(AND(vp.tbl[[#This Row],[CrudeType]]="Crude",vp.tbl[[#This Row],[Dens]]&lt;=825,vp.tbl[[#This Row],[Sulf]]&gt;0.5,vp.tbl[[#This Row],[Unknown]]=0),1,0)</f>
        <v>0</v>
      </c>
      <c r="AA332">
        <f>IF(AND(vp.tbl[[#This Row],[CrudeType]]="Crude",vp.tbl[[#This Row],[Dens]]&lt;=825,vp.tbl[[#This Row],[Sulf]]&lt;=0.5,vp.tbl[[#This Row],[Unknown]]=0),1,0)</f>
        <v>0</v>
      </c>
      <c r="AB332">
        <f>IF(AND(vp.tbl[[#This Row],[CrudeType]]="Crude",vp.tbl[[#This Row],[Dens]]&gt;825,vp.tbl[[#This Row],[Dens]]&lt;=870,vp.tbl[[#This Row],[Sulf]]&gt;0.5,vp.tbl[[#This Row],[Unknown]]=0),1,0)</f>
        <v>0</v>
      </c>
      <c r="AC332">
        <f>IF(AND(vp.tbl[[#This Row],[CrudeType]]="Crude",vp.tbl[[#This Row],[Dens]]&gt;825,vp.tbl[[#This Row],[Dens]]&lt;=900,vp.tbl[[#This Row],[Sulf]]&lt;=0.5,vp.tbl[[#This Row],[Unknown]]=0),1,0)</f>
        <v>0</v>
      </c>
      <c r="AD332">
        <f>IF(AND(vp.tbl[[#This Row],[CrudeType]]="Crude",vp.tbl[[#This Row],[Dens]]&gt;870,vp.tbl[[#This Row],[Dens]]&lt;=900,vp.tbl[[#This Row],[Sulf]]&gt;0.5,vp.tbl[[#This Row],[Unknown]]=0),1,0)</f>
        <v>1</v>
      </c>
      <c r="AE332">
        <f>IF(AND(vp.tbl[[#This Row],[CrudeType]]="Crude",vp.tbl[[#This Row],[Dens]]&gt;900,vp.tbl[[#This Row],[Sulf]]&lt;=0.5,vp.tbl[[#This Row],[Unknown]]=0),1,0)</f>
        <v>0</v>
      </c>
      <c r="AF332">
        <f>IF(AND(vp.tbl[[#This Row],[CrudeType]]="Crude",vp.tbl[[#This Row],[Dens]]&gt;900,vp.tbl[[#This Row],[Sulf]]&lt;=0.5,vp.tbl[[#This Row],[Unknown]]=0),1,0)</f>
        <v>0</v>
      </c>
      <c r="AG332" t="str">
        <f>INDEX(vp.tbl[[#Headers],[Unknown]:[Heavy_SW]],MATCH(1,vp.tbl[[#This Row],[Unknown]:[Heavy_SW]],0))</f>
        <v>Midale</v>
      </c>
      <c r="AH332" t="e">
        <f>INDEX([1]!crudeBD.lkup[Number],MATCH(vp.tbl[[#This Row],[Crude_Breakdown]],[1]!crudeBD.lkup[Crude Breakdown],0))</f>
        <v>#REF!</v>
      </c>
      <c r="AI332">
        <f>MONTH(vp.tbl[[#This Row],[SDate]])</f>
        <v>9</v>
      </c>
      <c r="AJ332" s="5">
        <f>IFERROR(vp.tbl[[#This Row],[Sulf]]*vp.tbl[[#This Row],[Net Dens]],"")</f>
        <v>14008891.439951999</v>
      </c>
      <c r="AK332" s="5">
        <f>IFERROR(vp.tbl[[#This Row],[Dens]]*vp.tbl[[#This Row],[VolumeM3]],"")</f>
        <v>4985370.6191999996</v>
      </c>
      <c r="AL332" s="5">
        <f>IFERROR(vp.tbl[[#This Row],[VP]]*vp.tbl[[#This Row],[VolumeM3]],"")</f>
        <v>355287.11379999999</v>
      </c>
      <c r="AM332" s="4">
        <f>IFERROR((vp.tbl[[#This Row],[VP]]-INDEX(crudeBD.lkup.complete[Mean_VP],MATCH(vp.tbl[[#This Row],[Crude_Breakdown]],crudeBD.lkup.complete[Crude Breakdown],0)))^2,"")</f>
        <v>31.791060236442242</v>
      </c>
      <c r="AN332" s="4">
        <f>IFERROR((vp.tbl[[#This Row],[Dens]]-INDEX(crudeBD.lkup.complete[Mean_Dens],MATCH(vp.tbl[[#This Row],[Crude_Breakdown]],crudeBD.lkup.complete[Crude Breakdown],0)))^2,"")</f>
        <v>0.71901107149606502</v>
      </c>
      <c r="AO332" s="4">
        <f>IFERROR((vp.tbl[[#This Row],[Sulf]]-INDEX(crudeBD.lkup.complete[Mean_Sulf],MATCH(vp.tbl[[#This Row],[Crude_Breakdown]],crudeBD.lkup.complete[Crude Breakdown],0)))^2,"")</f>
        <v>0.15575640747399239</v>
      </c>
      <c r="AP332">
        <f>IF(AND(vp.tbl[[#This Row],[SDate]]&gt;=DATE(YEAR(vp.tbl[[#This Row],[SDate]]),5,1),vp.tbl[[#This Row],[SDate]]&lt;=DATE(YEAR(vp.tbl[[#This Row],[SDate]]),9,15)),1,0)</f>
        <v>1</v>
      </c>
      <c r="AQ332" s="15">
        <f>IF(vp.tbl[[#This Row],[SDate]]&lt;DATE(2016,12,1),0,1)</f>
        <v>0</v>
      </c>
    </row>
    <row r="333" spans="1:43" x14ac:dyDescent="0.25">
      <c r="A333">
        <v>332</v>
      </c>
      <c r="B333" t="s">
        <v>49</v>
      </c>
      <c r="C333" t="s">
        <v>49</v>
      </c>
      <c r="D333" t="s">
        <v>67</v>
      </c>
      <c r="F333" s="1">
        <v>42640</v>
      </c>
      <c r="G333" s="2">
        <v>91.2</v>
      </c>
      <c r="H333" s="2"/>
      <c r="I333" s="2">
        <v>0.2</v>
      </c>
      <c r="J333" s="2"/>
      <c r="K333" s="2"/>
      <c r="L333" s="2">
        <v>806.3</v>
      </c>
      <c r="M333" s="2">
        <v>806.3</v>
      </c>
      <c r="N333" s="2">
        <f ca="1">INDEX(INDIRECT(_xlfn.CONCAT("weather.tbl[",N$1,"]")),MATCH(vp.tbl[[#This Row],[SDate]],weather.tbl[Date],0))</f>
        <v>12.549999999999999</v>
      </c>
      <c r="O333" s="2">
        <f ca="1">INDEX(INDIRECT(_xlfn.CONCAT("weather.tbl[",O$1,"]")),MATCH(vp.tbl[[#This Row],[SDate]],weather.tbl[Date],0))</f>
        <v>11.333333333333332</v>
      </c>
      <c r="P333" s="2">
        <f ca="1">INDEX(INDIRECT(_xlfn.CONCAT("weather.tbl[",P$1,"]")),MATCH(vp.tbl[[#This Row],[SDate]],weather.tbl[Date],0))</f>
        <v>12.8</v>
      </c>
      <c r="Q333" s="2">
        <f ca="1">INDEX(INDIRECT(_xlfn.CONCAT("weather.tbl[",Q$1,"]")),MATCH(vp.tbl[[#This Row],[SDate]],weather.tbl[Date],0))</f>
        <v>13.7</v>
      </c>
      <c r="R333" s="2">
        <f ca="1">INDEX(INDIRECT(_xlfn.CONCAT("weather.tbl[",R$1,"]")),MATCH(vp.tbl[[#This Row],[SDate]],weather.tbl[Date],0))</f>
        <v>11</v>
      </c>
      <c r="S333" s="2">
        <f ca="1">INDEX(INDIRECT(_xlfn.CONCAT("weather.tbl[",S$1,"]")),MATCH(vp.tbl[[#This Row],[SDate]],weather.tbl[Date],0))</f>
        <v>15</v>
      </c>
      <c r="T333" s="2">
        <f ca="1">INDEX(INDIRECT(_xlfn.CONCAT("weather.tbl[",T$1,"]")),MATCH(vp.tbl[[#This Row],[SDate]],weather.tbl[Date],0))</f>
        <v>11</v>
      </c>
      <c r="U333" s="2">
        <f ca="1">INDEX(INDIRECT(_xlfn.CONCAT("weather.tbl[",U$1,"]")),MATCH(vp.tbl[[#This Row],[SDate]],weather.tbl[Date],0))</f>
        <v>11.8</v>
      </c>
      <c r="V333" s="2">
        <v>50619.663999999997</v>
      </c>
      <c r="W333" t="s">
        <v>48</v>
      </c>
      <c r="X333">
        <f>IF(OR(vp.tbl[[#This Row],[Sulf]]="",vp.tbl[[#This Row],[Dens]]=""),1,0)</f>
        <v>0</v>
      </c>
      <c r="Y333">
        <f>IF(vp.tbl[[#This Row],[CrudeType]]="C5+",1,0)</f>
        <v>0</v>
      </c>
      <c r="Z333">
        <f>IF(AND(vp.tbl[[#This Row],[CrudeType]]="Crude",vp.tbl[[#This Row],[Dens]]&lt;=825,vp.tbl[[#This Row],[Sulf]]&gt;0.5,vp.tbl[[#This Row],[Unknown]]=0),1,0)</f>
        <v>0</v>
      </c>
      <c r="AA333">
        <f>IF(AND(vp.tbl[[#This Row],[CrudeType]]="Crude",vp.tbl[[#This Row],[Dens]]&lt;=825,vp.tbl[[#This Row],[Sulf]]&lt;=0.5,vp.tbl[[#This Row],[Unknown]]=0),1,0)</f>
        <v>1</v>
      </c>
      <c r="AB333">
        <f>IF(AND(vp.tbl[[#This Row],[CrudeType]]="Crude",vp.tbl[[#This Row],[Dens]]&gt;825,vp.tbl[[#This Row],[Dens]]&lt;=870,vp.tbl[[#This Row],[Sulf]]&gt;0.5,vp.tbl[[#This Row],[Unknown]]=0),1,0)</f>
        <v>0</v>
      </c>
      <c r="AC333">
        <f>IF(AND(vp.tbl[[#This Row],[CrudeType]]="Crude",vp.tbl[[#This Row],[Dens]]&gt;825,vp.tbl[[#This Row],[Dens]]&lt;=900,vp.tbl[[#This Row],[Sulf]]&lt;=0.5,vp.tbl[[#This Row],[Unknown]]=0),1,0)</f>
        <v>0</v>
      </c>
      <c r="AD333">
        <f>IF(AND(vp.tbl[[#This Row],[CrudeType]]="Crude",vp.tbl[[#This Row],[Dens]]&gt;870,vp.tbl[[#This Row],[Dens]]&lt;=900,vp.tbl[[#This Row],[Sulf]]&gt;0.5,vp.tbl[[#This Row],[Unknown]]=0),1,0)</f>
        <v>0</v>
      </c>
      <c r="AE333">
        <f>IF(AND(vp.tbl[[#This Row],[CrudeType]]="Crude",vp.tbl[[#This Row],[Dens]]&gt;900,vp.tbl[[#This Row],[Sulf]]&lt;=0.5,vp.tbl[[#This Row],[Unknown]]=0),1,0)</f>
        <v>0</v>
      </c>
      <c r="AF333">
        <f>IF(AND(vp.tbl[[#This Row],[CrudeType]]="Crude",vp.tbl[[#This Row],[Dens]]&gt;900,vp.tbl[[#This Row],[Sulf]]&lt;=0.5,vp.tbl[[#This Row],[Unknown]]=0),1,0)</f>
        <v>0</v>
      </c>
      <c r="AG333" t="str">
        <f>INDEX(vp.tbl[[#Headers],[Unknown]:[Heavy_SW]],MATCH(1,vp.tbl[[#This Row],[Unknown]:[Heavy_SW]],0))</f>
        <v>Light_SW</v>
      </c>
      <c r="AH333" t="e">
        <f>INDEX([1]!crudeBD.lkup[Number],MATCH(vp.tbl[[#This Row],[Crude_Breakdown]],[1]!crudeBD.lkup[Crude Breakdown],0))</f>
        <v>#REF!</v>
      </c>
      <c r="AI333">
        <f>MONTH(vp.tbl[[#This Row],[SDate]])</f>
        <v>9</v>
      </c>
      <c r="AJ333" s="5">
        <f>IFERROR(vp.tbl[[#This Row],[Sulf]]*vp.tbl[[#This Row],[Net Dens]],"")</f>
        <v>8162927.0166399991</v>
      </c>
      <c r="AK333" s="5">
        <f>IFERROR(vp.tbl[[#This Row],[Dens]]*vp.tbl[[#This Row],[VolumeM3]],"")</f>
        <v>40814635.083199993</v>
      </c>
      <c r="AL333" s="5">
        <f>IFERROR(vp.tbl[[#This Row],[VP]]*vp.tbl[[#This Row],[VolumeM3]],"")</f>
        <v>4616513.3568000002</v>
      </c>
      <c r="AM333" s="4">
        <f>IFERROR((vp.tbl[[#This Row],[VP]]-INDEX(crudeBD.lkup.complete[Mean_VP],MATCH(vp.tbl[[#This Row],[Crude_Breakdown]],crudeBD.lkup.complete[Crude Breakdown],0)))^2,"")</f>
        <v>1.8233467882333498</v>
      </c>
      <c r="AN333" s="4">
        <f>IFERROR((vp.tbl[[#This Row],[Dens]]-INDEX(crudeBD.lkup.complete[Mean_Dens],MATCH(vp.tbl[[#This Row],[Crude_Breakdown]],crudeBD.lkup.complete[Crude Breakdown],0)))^2,"")</f>
        <v>4.0461252412915387</v>
      </c>
      <c r="AO333" s="4">
        <f>IFERROR((vp.tbl[[#This Row],[Sulf]]-INDEX(crudeBD.lkup.complete[Mean_Sulf],MATCH(vp.tbl[[#This Row],[Crude_Breakdown]],crudeBD.lkup.complete[Crude Breakdown],0)))^2,"")</f>
        <v>1.3134689259308601E-3</v>
      </c>
      <c r="AP333">
        <f>IF(AND(vp.tbl[[#This Row],[SDate]]&gt;=DATE(YEAR(vp.tbl[[#This Row],[SDate]]),5,1),vp.tbl[[#This Row],[SDate]]&lt;=DATE(YEAR(vp.tbl[[#This Row],[SDate]]),9,15)),1,0)</f>
        <v>0</v>
      </c>
      <c r="AQ333" s="15">
        <f>IF(vp.tbl[[#This Row],[SDate]]&lt;DATE(2016,12,1),0,1)</f>
        <v>0</v>
      </c>
    </row>
    <row r="334" spans="1:43" x14ac:dyDescent="0.25">
      <c r="A334">
        <v>333</v>
      </c>
      <c r="B334" t="s">
        <v>60</v>
      </c>
      <c r="C334" t="s">
        <v>60</v>
      </c>
      <c r="D334" t="s">
        <v>61</v>
      </c>
      <c r="E334" t="s">
        <v>73</v>
      </c>
      <c r="F334" s="1">
        <v>42642</v>
      </c>
      <c r="G334" s="2">
        <v>67</v>
      </c>
      <c r="H334" s="2"/>
      <c r="I334" s="2">
        <v>0.94</v>
      </c>
      <c r="J334" s="2"/>
      <c r="K334" s="2"/>
      <c r="L334" s="2"/>
      <c r="M334" s="2">
        <v>818.5</v>
      </c>
      <c r="N334" s="2">
        <f ca="1">INDEX(INDIRECT(_xlfn.CONCAT("weather.tbl[",N$1,"]")),MATCH(vp.tbl[[#This Row],[SDate]],weather.tbl[Date],0))</f>
        <v>15.216666666666667</v>
      </c>
      <c r="O334" s="2">
        <f ca="1">INDEX(INDIRECT(_xlfn.CONCAT("weather.tbl[",O$1,"]")),MATCH(vp.tbl[[#This Row],[SDate]],weather.tbl[Date],0))</f>
        <v>12.235714285714286</v>
      </c>
      <c r="P334" s="2">
        <f ca="1">INDEX(INDIRECT(_xlfn.CONCAT("weather.tbl[",P$1,"]")),MATCH(vp.tbl[[#This Row],[SDate]],weather.tbl[Date],0))</f>
        <v>14.7</v>
      </c>
      <c r="Q334" s="2">
        <f ca="1">INDEX(INDIRECT(_xlfn.CONCAT("weather.tbl[",Q$1,"]")),MATCH(vp.tbl[[#This Row],[SDate]],weather.tbl[Date],0))</f>
        <v>16.8</v>
      </c>
      <c r="R334" s="2">
        <f ca="1">INDEX(INDIRECT(_xlfn.CONCAT("weather.tbl[",R$1,"]")),MATCH(vp.tbl[[#This Row],[SDate]],weather.tbl[Date],0))</f>
        <v>13.3</v>
      </c>
      <c r="S334" s="2">
        <f ca="1">INDEX(INDIRECT(_xlfn.CONCAT("weather.tbl[",S$1,"]")),MATCH(vp.tbl[[#This Row],[SDate]],weather.tbl[Date],0))</f>
        <v>18</v>
      </c>
      <c r="T334" s="2">
        <f ca="1">INDEX(INDIRECT(_xlfn.CONCAT("weather.tbl[",T$1,"]")),MATCH(vp.tbl[[#This Row],[SDate]],weather.tbl[Date],0))</f>
        <v>13.7</v>
      </c>
      <c r="U334" s="2">
        <f ca="1">INDEX(INDIRECT(_xlfn.CONCAT("weather.tbl[",U$1,"]")),MATCH(vp.tbl[[#This Row],[SDate]],weather.tbl[Date],0))</f>
        <v>14.8</v>
      </c>
      <c r="V334" s="2">
        <v>104382.30499999999</v>
      </c>
      <c r="W334" t="s">
        <v>48</v>
      </c>
      <c r="X334">
        <f>IF(OR(vp.tbl[[#This Row],[Sulf]]="",vp.tbl[[#This Row],[Dens]]=""),1,0)</f>
        <v>0</v>
      </c>
      <c r="Y334">
        <f>IF(vp.tbl[[#This Row],[CrudeType]]="C5+",1,0)</f>
        <v>0</v>
      </c>
      <c r="Z334">
        <f>IF(AND(vp.tbl[[#This Row],[CrudeType]]="Crude",vp.tbl[[#This Row],[Dens]]&lt;=825,vp.tbl[[#This Row],[Sulf]]&gt;0.5,vp.tbl[[#This Row],[Unknown]]=0),1,0)</f>
        <v>1</v>
      </c>
      <c r="AA334">
        <f>IF(AND(vp.tbl[[#This Row],[CrudeType]]="Crude",vp.tbl[[#This Row],[Dens]]&lt;=825,vp.tbl[[#This Row],[Sulf]]&lt;=0.5,vp.tbl[[#This Row],[Unknown]]=0),1,0)</f>
        <v>0</v>
      </c>
      <c r="AB334">
        <f>IF(AND(vp.tbl[[#This Row],[CrudeType]]="Crude",vp.tbl[[#This Row],[Dens]]&gt;825,vp.tbl[[#This Row],[Dens]]&lt;=870,vp.tbl[[#This Row],[Sulf]]&gt;0.5,vp.tbl[[#This Row],[Unknown]]=0),1,0)</f>
        <v>0</v>
      </c>
      <c r="AC334">
        <f>IF(AND(vp.tbl[[#This Row],[CrudeType]]="Crude",vp.tbl[[#This Row],[Dens]]&gt;825,vp.tbl[[#This Row],[Dens]]&lt;=900,vp.tbl[[#This Row],[Sulf]]&lt;=0.5,vp.tbl[[#This Row],[Unknown]]=0),1,0)</f>
        <v>0</v>
      </c>
      <c r="AD334">
        <f>IF(AND(vp.tbl[[#This Row],[CrudeType]]="Crude",vp.tbl[[#This Row],[Dens]]&gt;870,vp.tbl[[#This Row],[Dens]]&lt;=900,vp.tbl[[#This Row],[Sulf]]&gt;0.5,vp.tbl[[#This Row],[Unknown]]=0),1,0)</f>
        <v>0</v>
      </c>
      <c r="AE334">
        <f>IF(AND(vp.tbl[[#This Row],[CrudeType]]="Crude",vp.tbl[[#This Row],[Dens]]&gt;900,vp.tbl[[#This Row],[Sulf]]&lt;=0.5,vp.tbl[[#This Row],[Unknown]]=0),1,0)</f>
        <v>0</v>
      </c>
      <c r="AF334">
        <f>IF(AND(vp.tbl[[#This Row],[CrudeType]]="Crude",vp.tbl[[#This Row],[Dens]]&gt;900,vp.tbl[[#This Row],[Sulf]]&lt;=0.5,vp.tbl[[#This Row],[Unknown]]=0),1,0)</f>
        <v>0</v>
      </c>
      <c r="AG334" t="str">
        <f>INDEX(vp.tbl[[#Headers],[Unknown]:[Heavy_SW]],MATCH(1,vp.tbl[[#This Row],[Unknown]:[Heavy_SW]],0))</f>
        <v>Light_LSB</v>
      </c>
      <c r="AH334" t="e">
        <f>INDEX([1]!crudeBD.lkup[Number],MATCH(vp.tbl[[#This Row],[Crude_Breakdown]],[1]!crudeBD.lkup[Crude Breakdown],0))</f>
        <v>#REF!</v>
      </c>
      <c r="AI334">
        <f>MONTH(vp.tbl[[#This Row],[SDate]])</f>
        <v>9</v>
      </c>
      <c r="AJ334" s="5">
        <f>IFERROR(vp.tbl[[#This Row],[Sulf]]*vp.tbl[[#This Row],[Net Dens]],"")</f>
        <v>80310701.64395</v>
      </c>
      <c r="AK334" s="5">
        <f>IFERROR(vp.tbl[[#This Row],[Dens]]*vp.tbl[[#This Row],[VolumeM3]],"")</f>
        <v>85436916.642499998</v>
      </c>
      <c r="AL334" s="5">
        <f>IFERROR(vp.tbl[[#This Row],[VP]]*vp.tbl[[#This Row],[VolumeM3]],"")</f>
        <v>6993614.4349999996</v>
      </c>
      <c r="AM334" s="4">
        <f>IFERROR((vp.tbl[[#This Row],[VP]]-INDEX(crudeBD.lkup.complete[Mean_VP],MATCH(vp.tbl[[#This Row],[Crude_Breakdown]],crudeBD.lkup.complete[Crude Breakdown],0)))^2,"")</f>
        <v>602.51522589010676</v>
      </c>
      <c r="AN334" s="4">
        <f>IFERROR((vp.tbl[[#This Row],[Dens]]-INDEX(crudeBD.lkup.complete[Mean_Dens],MATCH(vp.tbl[[#This Row],[Crude_Breakdown]],crudeBD.lkup.complete[Crude Breakdown],0)))^2,"")</f>
        <v>2.8122483200609168E-4</v>
      </c>
      <c r="AO334" s="4">
        <f>IFERROR((vp.tbl[[#This Row],[Sulf]]-INDEX(crudeBD.lkup.complete[Mean_Sulf],MATCH(vp.tbl[[#This Row],[Crude_Breakdown]],crudeBD.lkup.complete[Crude Breakdown],0)))^2,"")</f>
        <v>2.8998110617612668E-4</v>
      </c>
      <c r="AP334">
        <f>IF(AND(vp.tbl[[#This Row],[SDate]]&gt;=DATE(YEAR(vp.tbl[[#This Row],[SDate]]),5,1),vp.tbl[[#This Row],[SDate]]&lt;=DATE(YEAR(vp.tbl[[#This Row],[SDate]]),9,15)),1,0)</f>
        <v>0</v>
      </c>
      <c r="AQ334" s="15">
        <f>IF(vp.tbl[[#This Row],[SDate]]&lt;DATE(2016,12,1),0,1)</f>
        <v>0</v>
      </c>
    </row>
    <row r="335" spans="1:43" x14ac:dyDescent="0.25">
      <c r="A335">
        <v>334</v>
      </c>
      <c r="B335" t="s">
        <v>60</v>
      </c>
      <c r="C335" t="s">
        <v>60</v>
      </c>
      <c r="D335" t="s">
        <v>61</v>
      </c>
      <c r="E335" t="s">
        <v>55</v>
      </c>
      <c r="F335" s="1">
        <v>42642</v>
      </c>
      <c r="G335" s="2">
        <v>85.7</v>
      </c>
      <c r="H335" s="2"/>
      <c r="I335" s="2">
        <v>0.94</v>
      </c>
      <c r="J335" s="2"/>
      <c r="K335" s="2"/>
      <c r="L335" s="2">
        <v>824.3</v>
      </c>
      <c r="M335" s="2">
        <v>824.3</v>
      </c>
      <c r="N335" s="2">
        <f ca="1">INDEX(INDIRECT(_xlfn.CONCAT("weather.tbl[",N$1,"]")),MATCH(vp.tbl[[#This Row],[SDate]],weather.tbl[Date],0))</f>
        <v>15.216666666666667</v>
      </c>
      <c r="O335" s="2">
        <f ca="1">INDEX(INDIRECT(_xlfn.CONCAT("weather.tbl[",O$1,"]")),MATCH(vp.tbl[[#This Row],[SDate]],weather.tbl[Date],0))</f>
        <v>12.235714285714286</v>
      </c>
      <c r="P335" s="2">
        <f ca="1">INDEX(INDIRECT(_xlfn.CONCAT("weather.tbl[",P$1,"]")),MATCH(vp.tbl[[#This Row],[SDate]],weather.tbl[Date],0))</f>
        <v>14.7</v>
      </c>
      <c r="Q335" s="2">
        <f ca="1">INDEX(INDIRECT(_xlfn.CONCAT("weather.tbl[",Q$1,"]")),MATCH(vp.tbl[[#This Row],[SDate]],weather.tbl[Date],0))</f>
        <v>16.8</v>
      </c>
      <c r="R335" s="2">
        <f ca="1">INDEX(INDIRECT(_xlfn.CONCAT("weather.tbl[",R$1,"]")),MATCH(vp.tbl[[#This Row],[SDate]],weather.tbl[Date],0))</f>
        <v>13.3</v>
      </c>
      <c r="S335" s="2">
        <f ca="1">INDEX(INDIRECT(_xlfn.CONCAT("weather.tbl[",S$1,"]")),MATCH(vp.tbl[[#This Row],[SDate]],weather.tbl[Date],0))</f>
        <v>18</v>
      </c>
      <c r="T335" s="2">
        <f ca="1">INDEX(INDIRECT(_xlfn.CONCAT("weather.tbl[",T$1,"]")),MATCH(vp.tbl[[#This Row],[SDate]],weather.tbl[Date],0))</f>
        <v>13.7</v>
      </c>
      <c r="U335" s="2">
        <f ca="1">INDEX(INDIRECT(_xlfn.CONCAT("weather.tbl[",U$1,"]")),MATCH(vp.tbl[[#This Row],[SDate]],weather.tbl[Date],0))</f>
        <v>14.8</v>
      </c>
      <c r="V335" s="2">
        <v>104382.30499999999</v>
      </c>
      <c r="W335" t="s">
        <v>48</v>
      </c>
      <c r="X335">
        <f>IF(OR(vp.tbl[[#This Row],[Sulf]]="",vp.tbl[[#This Row],[Dens]]=""),1,0)</f>
        <v>0</v>
      </c>
      <c r="Y335">
        <f>IF(vp.tbl[[#This Row],[CrudeType]]="C5+",1,0)</f>
        <v>0</v>
      </c>
      <c r="Z335">
        <f>IF(AND(vp.tbl[[#This Row],[CrudeType]]="Crude",vp.tbl[[#This Row],[Dens]]&lt;=825,vp.tbl[[#This Row],[Sulf]]&gt;0.5,vp.tbl[[#This Row],[Unknown]]=0),1,0)</f>
        <v>1</v>
      </c>
      <c r="AA335">
        <f>IF(AND(vp.tbl[[#This Row],[CrudeType]]="Crude",vp.tbl[[#This Row],[Dens]]&lt;=825,vp.tbl[[#This Row],[Sulf]]&lt;=0.5,vp.tbl[[#This Row],[Unknown]]=0),1,0)</f>
        <v>0</v>
      </c>
      <c r="AB335">
        <f>IF(AND(vp.tbl[[#This Row],[CrudeType]]="Crude",vp.tbl[[#This Row],[Dens]]&gt;825,vp.tbl[[#This Row],[Dens]]&lt;=870,vp.tbl[[#This Row],[Sulf]]&gt;0.5,vp.tbl[[#This Row],[Unknown]]=0),1,0)</f>
        <v>0</v>
      </c>
      <c r="AC335">
        <f>IF(AND(vp.tbl[[#This Row],[CrudeType]]="Crude",vp.tbl[[#This Row],[Dens]]&gt;825,vp.tbl[[#This Row],[Dens]]&lt;=900,vp.tbl[[#This Row],[Sulf]]&lt;=0.5,vp.tbl[[#This Row],[Unknown]]=0),1,0)</f>
        <v>0</v>
      </c>
      <c r="AD335">
        <f>IF(AND(vp.tbl[[#This Row],[CrudeType]]="Crude",vp.tbl[[#This Row],[Dens]]&gt;870,vp.tbl[[#This Row],[Dens]]&lt;=900,vp.tbl[[#This Row],[Sulf]]&gt;0.5,vp.tbl[[#This Row],[Unknown]]=0),1,0)</f>
        <v>0</v>
      </c>
      <c r="AE335">
        <f>IF(AND(vp.tbl[[#This Row],[CrudeType]]="Crude",vp.tbl[[#This Row],[Dens]]&gt;900,vp.tbl[[#This Row],[Sulf]]&lt;=0.5,vp.tbl[[#This Row],[Unknown]]=0),1,0)</f>
        <v>0</v>
      </c>
      <c r="AF335">
        <f>IF(AND(vp.tbl[[#This Row],[CrudeType]]="Crude",vp.tbl[[#This Row],[Dens]]&gt;900,vp.tbl[[#This Row],[Sulf]]&lt;=0.5,vp.tbl[[#This Row],[Unknown]]=0),1,0)</f>
        <v>0</v>
      </c>
      <c r="AG335" t="str">
        <f>INDEX(vp.tbl[[#Headers],[Unknown]:[Heavy_SW]],MATCH(1,vp.tbl[[#This Row],[Unknown]:[Heavy_SW]],0))</f>
        <v>Light_LSB</v>
      </c>
      <c r="AH335" t="e">
        <f>INDEX([1]!crudeBD.lkup[Number],MATCH(vp.tbl[[#This Row],[Crude_Breakdown]],[1]!crudeBD.lkup[Crude Breakdown],0))</f>
        <v>#REF!</v>
      </c>
      <c r="AI335">
        <f>MONTH(vp.tbl[[#This Row],[SDate]])</f>
        <v>9</v>
      </c>
      <c r="AJ335" s="5">
        <f>IFERROR(vp.tbl[[#This Row],[Sulf]]*vp.tbl[[#This Row],[Net Dens]],"")</f>
        <v>80879793.970809981</v>
      </c>
      <c r="AK335" s="5">
        <f>IFERROR(vp.tbl[[#This Row],[Dens]]*vp.tbl[[#This Row],[VolumeM3]],"")</f>
        <v>86042334.011499986</v>
      </c>
      <c r="AL335" s="5">
        <f>IFERROR(vp.tbl[[#This Row],[VP]]*vp.tbl[[#This Row],[VolumeM3]],"")</f>
        <v>8945563.5384999998</v>
      </c>
      <c r="AM335" s="4">
        <f>IFERROR((vp.tbl[[#This Row],[VP]]-INDEX(crudeBD.lkup.complete[Mean_VP],MATCH(vp.tbl[[#This Row],[Crude_Breakdown]],crudeBD.lkup.complete[Crude Breakdown],0)))^2,"")</f>
        <v>34.177885683919982</v>
      </c>
      <c r="AN335" s="4">
        <f>IFERROR((vp.tbl[[#This Row],[Dens]]-INDEX(crudeBD.lkup.complete[Mean_Dens],MATCH(vp.tbl[[#This Row],[Crude_Breakdown]],crudeBD.lkup.complete[Crude Breakdown],0)))^2,"")</f>
        <v>33.445752015213131</v>
      </c>
      <c r="AO335" s="4">
        <f>IFERROR((vp.tbl[[#This Row],[Sulf]]-INDEX(crudeBD.lkup.complete[Mean_Sulf],MATCH(vp.tbl[[#This Row],[Crude_Breakdown]],crudeBD.lkup.complete[Crude Breakdown],0)))^2,"")</f>
        <v>2.8998110617612668E-4</v>
      </c>
      <c r="AP335">
        <f>IF(AND(vp.tbl[[#This Row],[SDate]]&gt;=DATE(YEAR(vp.tbl[[#This Row],[SDate]]),5,1),vp.tbl[[#This Row],[SDate]]&lt;=DATE(YEAR(vp.tbl[[#This Row],[SDate]]),9,15)),1,0)</f>
        <v>0</v>
      </c>
      <c r="AQ335" s="15">
        <f>IF(vp.tbl[[#This Row],[SDate]]&lt;DATE(2016,12,1),0,1)</f>
        <v>0</v>
      </c>
    </row>
    <row r="336" spans="1:43" x14ac:dyDescent="0.25">
      <c r="A336">
        <v>335</v>
      </c>
      <c r="B336" t="s">
        <v>51</v>
      </c>
      <c r="C336" t="s">
        <v>51</v>
      </c>
      <c r="D336" t="s">
        <v>66</v>
      </c>
      <c r="F336" s="1">
        <v>42643</v>
      </c>
      <c r="G336" s="2">
        <v>58.1</v>
      </c>
      <c r="H336" s="2"/>
      <c r="I336" s="2">
        <v>0.84</v>
      </c>
      <c r="J336" s="2"/>
      <c r="K336" s="2"/>
      <c r="L336" s="2">
        <v>826</v>
      </c>
      <c r="M336" s="2">
        <v>826</v>
      </c>
      <c r="N336" s="2">
        <f ca="1">INDEX(INDIRECT(_xlfn.CONCAT("weather.tbl[",N$1,"]")),MATCH(vp.tbl[[#This Row],[SDate]],weather.tbl[Date],0))</f>
        <v>12.966666666666667</v>
      </c>
      <c r="O336" s="2">
        <f ca="1">INDEX(INDIRECT(_xlfn.CONCAT("weather.tbl[",O$1,"]")),MATCH(vp.tbl[[#This Row],[SDate]],weather.tbl[Date],0))</f>
        <v>12.62857142857143</v>
      </c>
      <c r="P336" s="2">
        <f ca="1">INDEX(INDIRECT(_xlfn.CONCAT("weather.tbl[",P$1,"]")),MATCH(vp.tbl[[#This Row],[SDate]],weather.tbl[Date],0))</f>
        <v>11.7</v>
      </c>
      <c r="Q336" s="2">
        <f ca="1">INDEX(INDIRECT(_xlfn.CONCAT("weather.tbl[",Q$1,"]")),MATCH(vp.tbl[[#This Row],[SDate]],weather.tbl[Date],0))</f>
        <v>12</v>
      </c>
      <c r="R336" s="2">
        <f ca="1">INDEX(INDIRECT(_xlfn.CONCAT("weather.tbl[",R$1,"]")),MATCH(vp.tbl[[#This Row],[SDate]],weather.tbl[Date],0))</f>
        <v>12</v>
      </c>
      <c r="S336" s="2">
        <f ca="1">INDEX(INDIRECT(_xlfn.CONCAT("weather.tbl[",S$1,"]")),MATCH(vp.tbl[[#This Row],[SDate]],weather.tbl[Date],0))</f>
        <v>13.8</v>
      </c>
      <c r="T336" s="2">
        <f ca="1">INDEX(INDIRECT(_xlfn.CONCAT("weather.tbl[",T$1,"]")),MATCH(vp.tbl[[#This Row],[SDate]],weather.tbl[Date],0))</f>
        <v>14</v>
      </c>
      <c r="U336" s="2">
        <f ca="1">INDEX(INDIRECT(_xlfn.CONCAT("weather.tbl[",U$1,"]")),MATCH(vp.tbl[[#This Row],[SDate]],weather.tbl[Date],0))</f>
        <v>14.3</v>
      </c>
      <c r="V336" s="2">
        <v>3480.3649999999998</v>
      </c>
      <c r="W336" t="s">
        <v>48</v>
      </c>
      <c r="X336">
        <f>IF(OR(vp.tbl[[#This Row],[Sulf]]="",vp.tbl[[#This Row],[Dens]]=""),1,0)</f>
        <v>0</v>
      </c>
      <c r="Y336">
        <f>IF(vp.tbl[[#This Row],[CrudeType]]="C5+",1,0)</f>
        <v>0</v>
      </c>
      <c r="Z336">
        <f>IF(AND(vp.tbl[[#This Row],[CrudeType]]="Crude",vp.tbl[[#This Row],[Dens]]&lt;=825,vp.tbl[[#This Row],[Sulf]]&gt;0.5,vp.tbl[[#This Row],[Unknown]]=0),1,0)</f>
        <v>0</v>
      </c>
      <c r="AA336">
        <f>IF(AND(vp.tbl[[#This Row],[CrudeType]]="Crude",vp.tbl[[#This Row],[Dens]]&lt;=825,vp.tbl[[#This Row],[Sulf]]&lt;=0.5,vp.tbl[[#This Row],[Unknown]]=0),1,0)</f>
        <v>0</v>
      </c>
      <c r="AB336">
        <f>IF(AND(vp.tbl[[#This Row],[CrudeType]]="Crude",vp.tbl[[#This Row],[Dens]]&gt;825,vp.tbl[[#This Row],[Dens]]&lt;=870,vp.tbl[[#This Row],[Sulf]]&gt;0.5,vp.tbl[[#This Row],[Unknown]]=0),1,0)</f>
        <v>1</v>
      </c>
      <c r="AC336">
        <f>IF(AND(vp.tbl[[#This Row],[CrudeType]]="Crude",vp.tbl[[#This Row],[Dens]]&gt;825,vp.tbl[[#This Row],[Dens]]&lt;=900,vp.tbl[[#This Row],[Sulf]]&lt;=0.5,vp.tbl[[#This Row],[Unknown]]=0),1,0)</f>
        <v>0</v>
      </c>
      <c r="AD336">
        <f>IF(AND(vp.tbl[[#This Row],[CrudeType]]="Crude",vp.tbl[[#This Row],[Dens]]&gt;870,vp.tbl[[#This Row],[Dens]]&lt;=900,vp.tbl[[#This Row],[Sulf]]&gt;0.5,vp.tbl[[#This Row],[Unknown]]=0),1,0)</f>
        <v>0</v>
      </c>
      <c r="AE336">
        <f>IF(AND(vp.tbl[[#This Row],[CrudeType]]="Crude",vp.tbl[[#This Row],[Dens]]&gt;900,vp.tbl[[#This Row],[Sulf]]&lt;=0.5,vp.tbl[[#This Row],[Unknown]]=0),1,0)</f>
        <v>0</v>
      </c>
      <c r="AF336">
        <f>IF(AND(vp.tbl[[#This Row],[CrudeType]]="Crude",vp.tbl[[#This Row],[Dens]]&gt;900,vp.tbl[[#This Row],[Sulf]]&lt;=0.5,vp.tbl[[#This Row],[Unknown]]=0),1,0)</f>
        <v>0</v>
      </c>
      <c r="AG336" t="str">
        <f>INDEX(vp.tbl[[#Headers],[Unknown]:[Heavy_SW]],MATCH(1,vp.tbl[[#This Row],[Unknown]:[Heavy_SW]],0))</f>
        <v>Medium_LSB</v>
      </c>
      <c r="AH336" t="e">
        <f>INDEX([1]!crudeBD.lkup[Number],MATCH(vp.tbl[[#This Row],[Crude_Breakdown]],[1]!crudeBD.lkup[Crude Breakdown],0))</f>
        <v>#REF!</v>
      </c>
      <c r="AI336">
        <f>MONTH(vp.tbl[[#This Row],[SDate]])</f>
        <v>9</v>
      </c>
      <c r="AJ336" s="5">
        <f>IFERROR(vp.tbl[[#This Row],[Sulf]]*vp.tbl[[#This Row],[Net Dens]],"")</f>
        <v>2414816.4515999998</v>
      </c>
      <c r="AK336" s="5">
        <f>IFERROR(vp.tbl[[#This Row],[Dens]]*vp.tbl[[#This Row],[VolumeM3]],"")</f>
        <v>2874781.4899999998</v>
      </c>
      <c r="AL336" s="5">
        <f>IFERROR(vp.tbl[[#This Row],[VP]]*vp.tbl[[#This Row],[VolumeM3]],"")</f>
        <v>202209.2065</v>
      </c>
      <c r="AM336" s="4">
        <f>IFERROR((vp.tbl[[#This Row],[VP]]-INDEX(crudeBD.lkup.complete[Mean_VP],MATCH(vp.tbl[[#This Row],[Crude_Breakdown]],crudeBD.lkup.complete[Crude Breakdown],0)))^2,"")</f>
        <v>487.24359342989737</v>
      </c>
      <c r="AN336" s="4">
        <f>IFERROR((vp.tbl[[#This Row],[Dens]]-INDEX(crudeBD.lkup.complete[Mean_Dens],MATCH(vp.tbl[[#This Row],[Crude_Breakdown]],crudeBD.lkup.complete[Crude Breakdown],0)))^2,"")</f>
        <v>372.17442636048116</v>
      </c>
      <c r="AO336" s="4">
        <f>IFERROR((vp.tbl[[#This Row],[Sulf]]-INDEX(crudeBD.lkup.complete[Mean_Sulf],MATCH(vp.tbl[[#This Row],[Crude_Breakdown]],crudeBD.lkup.complete[Crude Breakdown],0)))^2,"")</f>
        <v>0.37813873365369216</v>
      </c>
      <c r="AP336">
        <f>IF(AND(vp.tbl[[#This Row],[SDate]]&gt;=DATE(YEAR(vp.tbl[[#This Row],[SDate]]),5,1),vp.tbl[[#This Row],[SDate]]&lt;=DATE(YEAR(vp.tbl[[#This Row],[SDate]]),9,15)),1,0)</f>
        <v>0</v>
      </c>
      <c r="AQ336" s="15">
        <f>IF(vp.tbl[[#This Row],[SDate]]&lt;DATE(2016,12,1),0,1)</f>
        <v>0</v>
      </c>
    </row>
    <row r="337" spans="1:43" x14ac:dyDescent="0.25">
      <c r="A337">
        <v>336</v>
      </c>
      <c r="B337" t="s">
        <v>51</v>
      </c>
      <c r="C337" t="s">
        <v>51</v>
      </c>
      <c r="D337" t="s">
        <v>72</v>
      </c>
      <c r="F337" s="1">
        <v>42646</v>
      </c>
      <c r="G337" s="2">
        <v>89.7</v>
      </c>
      <c r="H337" s="2"/>
      <c r="I337" s="2">
        <v>1.42</v>
      </c>
      <c r="J337" s="2"/>
      <c r="K337" s="2"/>
      <c r="L337" s="2">
        <v>853.3</v>
      </c>
      <c r="M337" s="2">
        <v>853.3</v>
      </c>
      <c r="N337" s="2">
        <f ca="1">INDEX(INDIRECT(_xlfn.CONCAT("weather.tbl[",N$1,"]")),MATCH(vp.tbl[[#This Row],[SDate]],weather.tbl[Date],0))</f>
        <v>9.9333333333333318</v>
      </c>
      <c r="O337" s="2">
        <f ca="1">INDEX(INDIRECT(_xlfn.CONCAT("weather.tbl[",O$1,"]")),MATCH(vp.tbl[[#This Row],[SDate]],weather.tbl[Date],0))</f>
        <v>13.24761904761905</v>
      </c>
      <c r="P337" s="2">
        <f ca="1">INDEX(INDIRECT(_xlfn.CONCAT("weather.tbl[",P$1,"]")),MATCH(vp.tbl[[#This Row],[SDate]],weather.tbl[Date],0))</f>
        <v>10</v>
      </c>
      <c r="Q337" s="2">
        <f ca="1">INDEX(INDIRECT(_xlfn.CONCAT("weather.tbl[",Q$1,"]")),MATCH(vp.tbl[[#This Row],[SDate]],weather.tbl[Date],0))</f>
        <v>9.6999999999999993</v>
      </c>
      <c r="R337" s="2">
        <f ca="1">INDEX(INDIRECT(_xlfn.CONCAT("weather.tbl[",R$1,"]")),MATCH(vp.tbl[[#This Row],[SDate]],weather.tbl[Date],0))</f>
        <v>10.3</v>
      </c>
      <c r="S337" s="2">
        <f ca="1">INDEX(INDIRECT(_xlfn.CONCAT("weather.tbl[",S$1,"]")),MATCH(vp.tbl[[#This Row],[SDate]],weather.tbl[Date],0))</f>
        <v>7.8</v>
      </c>
      <c r="T337" s="2">
        <f ca="1">INDEX(INDIRECT(_xlfn.CONCAT("weather.tbl[",T$1,"]")),MATCH(vp.tbl[[#This Row],[SDate]],weather.tbl[Date],0))</f>
        <v>12.8</v>
      </c>
      <c r="U337" s="2">
        <f ca="1">INDEX(INDIRECT(_xlfn.CONCAT("weather.tbl[",U$1,"]")),MATCH(vp.tbl[[#This Row],[SDate]],weather.tbl[Date],0))</f>
        <v>9</v>
      </c>
      <c r="V337" s="2">
        <v>10017.037</v>
      </c>
      <c r="W337" t="s">
        <v>48</v>
      </c>
      <c r="X337">
        <f>IF(OR(vp.tbl[[#This Row],[Sulf]]="",vp.tbl[[#This Row],[Dens]]=""),1,0)</f>
        <v>0</v>
      </c>
      <c r="Y337">
        <f>IF(vp.tbl[[#This Row],[CrudeType]]="C5+",1,0)</f>
        <v>0</v>
      </c>
      <c r="Z337">
        <f>IF(AND(vp.tbl[[#This Row],[CrudeType]]="Crude",vp.tbl[[#This Row],[Dens]]&lt;=825,vp.tbl[[#This Row],[Sulf]]&gt;0.5,vp.tbl[[#This Row],[Unknown]]=0),1,0)</f>
        <v>0</v>
      </c>
      <c r="AA337">
        <f>IF(AND(vp.tbl[[#This Row],[CrudeType]]="Crude",vp.tbl[[#This Row],[Dens]]&lt;=825,vp.tbl[[#This Row],[Sulf]]&lt;=0.5,vp.tbl[[#This Row],[Unknown]]=0),1,0)</f>
        <v>0</v>
      </c>
      <c r="AB337">
        <f>IF(AND(vp.tbl[[#This Row],[CrudeType]]="Crude",vp.tbl[[#This Row],[Dens]]&gt;825,vp.tbl[[#This Row],[Dens]]&lt;=870,vp.tbl[[#This Row],[Sulf]]&gt;0.5,vp.tbl[[#This Row],[Unknown]]=0),1,0)</f>
        <v>1</v>
      </c>
      <c r="AC337">
        <f>IF(AND(vp.tbl[[#This Row],[CrudeType]]="Crude",vp.tbl[[#This Row],[Dens]]&gt;825,vp.tbl[[#This Row],[Dens]]&lt;=900,vp.tbl[[#This Row],[Sulf]]&lt;=0.5,vp.tbl[[#This Row],[Unknown]]=0),1,0)</f>
        <v>0</v>
      </c>
      <c r="AD337">
        <f>IF(AND(vp.tbl[[#This Row],[CrudeType]]="Crude",vp.tbl[[#This Row],[Dens]]&gt;870,vp.tbl[[#This Row],[Dens]]&lt;=900,vp.tbl[[#This Row],[Sulf]]&gt;0.5,vp.tbl[[#This Row],[Unknown]]=0),1,0)</f>
        <v>0</v>
      </c>
      <c r="AE337">
        <f>IF(AND(vp.tbl[[#This Row],[CrudeType]]="Crude",vp.tbl[[#This Row],[Dens]]&gt;900,vp.tbl[[#This Row],[Sulf]]&lt;=0.5,vp.tbl[[#This Row],[Unknown]]=0),1,0)</f>
        <v>0</v>
      </c>
      <c r="AF337">
        <f>IF(AND(vp.tbl[[#This Row],[CrudeType]]="Crude",vp.tbl[[#This Row],[Dens]]&gt;900,vp.tbl[[#This Row],[Sulf]]&lt;=0.5,vp.tbl[[#This Row],[Unknown]]=0),1,0)</f>
        <v>0</v>
      </c>
      <c r="AG337" t="str">
        <f>INDEX(vp.tbl[[#Headers],[Unknown]:[Heavy_SW]],MATCH(1,vp.tbl[[#This Row],[Unknown]:[Heavy_SW]],0))</f>
        <v>Medium_LSB</v>
      </c>
      <c r="AH337" t="e">
        <f>INDEX([1]!crudeBD.lkup[Number],MATCH(vp.tbl[[#This Row],[Crude_Breakdown]],[1]!crudeBD.lkup[Crude Breakdown],0))</f>
        <v>#REF!</v>
      </c>
      <c r="AI337">
        <f>MONTH(vp.tbl[[#This Row],[SDate]])</f>
        <v>10</v>
      </c>
      <c r="AJ337" s="5">
        <f>IFERROR(vp.tbl[[#This Row],[Sulf]]*vp.tbl[[#This Row],[Net Dens]],"")</f>
        <v>12137503.494382</v>
      </c>
      <c r="AK337" s="5">
        <f>IFERROR(vp.tbl[[#This Row],[Dens]]*vp.tbl[[#This Row],[VolumeM3]],"")</f>
        <v>8547537.6721000001</v>
      </c>
      <c r="AL337" s="5">
        <f>IFERROR(vp.tbl[[#This Row],[VP]]*vp.tbl[[#This Row],[VolumeM3]],"")</f>
        <v>898528.21890000009</v>
      </c>
      <c r="AM337" s="4">
        <f>IFERROR((vp.tbl[[#This Row],[VP]]-INDEX(crudeBD.lkup.complete[Mean_VP],MATCH(vp.tbl[[#This Row],[Crude_Breakdown]],crudeBD.lkup.complete[Crude Breakdown],0)))^2,"")</f>
        <v>90.752393429899811</v>
      </c>
      <c r="AN337" s="4">
        <f>IFERROR((vp.tbl[[#This Row],[Dens]]-INDEX(crudeBD.lkup.complete[Mean_Dens],MATCH(vp.tbl[[#This Row],[Crude_Breakdown]],crudeBD.lkup.complete[Crude Breakdown],0)))^2,"")</f>
        <v>64.130902309901273</v>
      </c>
      <c r="AO337" s="4">
        <f>IFERROR((vp.tbl[[#This Row],[Sulf]]-INDEX(crudeBD.lkup.complete[Mean_Sulf],MATCH(vp.tbl[[#This Row],[Crude_Breakdown]],crudeBD.lkup.complete[Crude Breakdown],0)))^2,"")</f>
        <v>1.2200951726777241E-3</v>
      </c>
      <c r="AP337">
        <f>IF(AND(vp.tbl[[#This Row],[SDate]]&gt;=DATE(YEAR(vp.tbl[[#This Row],[SDate]]),5,1),vp.tbl[[#This Row],[SDate]]&lt;=DATE(YEAR(vp.tbl[[#This Row],[SDate]]),9,15)),1,0)</f>
        <v>0</v>
      </c>
      <c r="AQ337" s="15">
        <f>IF(vp.tbl[[#This Row],[SDate]]&lt;DATE(2016,12,1),0,1)</f>
        <v>0</v>
      </c>
    </row>
    <row r="338" spans="1:43" x14ac:dyDescent="0.25">
      <c r="A338">
        <v>337</v>
      </c>
      <c r="B338" t="s">
        <v>49</v>
      </c>
      <c r="C338" t="s">
        <v>49</v>
      </c>
      <c r="D338" t="s">
        <v>75</v>
      </c>
      <c r="F338" s="1">
        <v>42647</v>
      </c>
      <c r="G338" s="2">
        <v>84.4</v>
      </c>
      <c r="H338" s="2"/>
      <c r="I338" s="2">
        <v>0.13</v>
      </c>
      <c r="J338" s="2"/>
      <c r="K338" s="2"/>
      <c r="L338" s="2">
        <v>806.2</v>
      </c>
      <c r="M338" s="2">
        <v>806.2</v>
      </c>
      <c r="N338" s="2">
        <f ca="1">INDEX(INDIRECT(_xlfn.CONCAT("weather.tbl[",N$1,"]")),MATCH(vp.tbl[[#This Row],[SDate]],weather.tbl[Date],0))</f>
        <v>11.6</v>
      </c>
      <c r="O338" s="2">
        <f ca="1">INDEX(INDIRECT(_xlfn.CONCAT("weather.tbl[",O$1,"]")),MATCH(vp.tbl[[#This Row],[SDate]],weather.tbl[Date],0))</f>
        <v>13.111904761904762</v>
      </c>
      <c r="P338" s="2">
        <f ca="1">INDEX(INDIRECT(_xlfn.CONCAT("weather.tbl[",P$1,"]")),MATCH(vp.tbl[[#This Row],[SDate]],weather.tbl[Date],0))</f>
        <v>12.7</v>
      </c>
      <c r="Q338" s="2">
        <f ca="1">INDEX(INDIRECT(_xlfn.CONCAT("weather.tbl[",Q$1,"]")),MATCH(vp.tbl[[#This Row],[SDate]],weather.tbl[Date],0))</f>
        <v>10.7</v>
      </c>
      <c r="R338" s="2">
        <f ca="1">INDEX(INDIRECT(_xlfn.CONCAT("weather.tbl[",R$1,"]")),MATCH(vp.tbl[[#This Row],[SDate]],weather.tbl[Date],0))</f>
        <v>13.8</v>
      </c>
      <c r="S338" s="2">
        <f ca="1">INDEX(INDIRECT(_xlfn.CONCAT("weather.tbl[",S$1,"]")),MATCH(vp.tbl[[#This Row],[SDate]],weather.tbl[Date],0))</f>
        <v>8.5</v>
      </c>
      <c r="T338" s="2">
        <f ca="1">INDEX(INDIRECT(_xlfn.CONCAT("weather.tbl[",T$1,"]")),MATCH(vp.tbl[[#This Row],[SDate]],weather.tbl[Date],0))</f>
        <v>13.4</v>
      </c>
      <c r="U338" s="2">
        <f ca="1">INDEX(INDIRECT(_xlfn.CONCAT("weather.tbl[",U$1,"]")),MATCH(vp.tbl[[#This Row],[SDate]],weather.tbl[Date],0))</f>
        <v>10.5</v>
      </c>
      <c r="V338" s="2">
        <v>21747.737000000001</v>
      </c>
      <c r="W338" t="s">
        <v>48</v>
      </c>
      <c r="X338">
        <f>IF(OR(vp.tbl[[#This Row],[Sulf]]="",vp.tbl[[#This Row],[Dens]]=""),1,0)</f>
        <v>0</v>
      </c>
      <c r="Y338">
        <f>IF(vp.tbl[[#This Row],[CrudeType]]="C5+",1,0)</f>
        <v>0</v>
      </c>
      <c r="Z338">
        <f>IF(AND(vp.tbl[[#This Row],[CrudeType]]="Crude",vp.tbl[[#This Row],[Dens]]&lt;=825,vp.tbl[[#This Row],[Sulf]]&gt;0.5,vp.tbl[[#This Row],[Unknown]]=0),1,0)</f>
        <v>0</v>
      </c>
      <c r="AA338">
        <f>IF(AND(vp.tbl[[#This Row],[CrudeType]]="Crude",vp.tbl[[#This Row],[Dens]]&lt;=825,vp.tbl[[#This Row],[Sulf]]&lt;=0.5,vp.tbl[[#This Row],[Unknown]]=0),1,0)</f>
        <v>1</v>
      </c>
      <c r="AB338">
        <f>IF(AND(vp.tbl[[#This Row],[CrudeType]]="Crude",vp.tbl[[#This Row],[Dens]]&gt;825,vp.tbl[[#This Row],[Dens]]&lt;=870,vp.tbl[[#This Row],[Sulf]]&gt;0.5,vp.tbl[[#This Row],[Unknown]]=0),1,0)</f>
        <v>0</v>
      </c>
      <c r="AC338">
        <f>IF(AND(vp.tbl[[#This Row],[CrudeType]]="Crude",vp.tbl[[#This Row],[Dens]]&gt;825,vp.tbl[[#This Row],[Dens]]&lt;=900,vp.tbl[[#This Row],[Sulf]]&lt;=0.5,vp.tbl[[#This Row],[Unknown]]=0),1,0)</f>
        <v>0</v>
      </c>
      <c r="AD338">
        <f>IF(AND(vp.tbl[[#This Row],[CrudeType]]="Crude",vp.tbl[[#This Row],[Dens]]&gt;870,vp.tbl[[#This Row],[Dens]]&lt;=900,vp.tbl[[#This Row],[Sulf]]&gt;0.5,vp.tbl[[#This Row],[Unknown]]=0),1,0)</f>
        <v>0</v>
      </c>
      <c r="AE338">
        <f>IF(AND(vp.tbl[[#This Row],[CrudeType]]="Crude",vp.tbl[[#This Row],[Dens]]&gt;900,vp.tbl[[#This Row],[Sulf]]&lt;=0.5,vp.tbl[[#This Row],[Unknown]]=0),1,0)</f>
        <v>0</v>
      </c>
      <c r="AF338">
        <f>IF(AND(vp.tbl[[#This Row],[CrudeType]]="Crude",vp.tbl[[#This Row],[Dens]]&gt;900,vp.tbl[[#This Row],[Sulf]]&lt;=0.5,vp.tbl[[#This Row],[Unknown]]=0),1,0)</f>
        <v>0</v>
      </c>
      <c r="AG338" t="str">
        <f>INDEX(vp.tbl[[#Headers],[Unknown]:[Heavy_SW]],MATCH(1,vp.tbl[[#This Row],[Unknown]:[Heavy_SW]],0))</f>
        <v>Light_SW</v>
      </c>
      <c r="AH338" t="e">
        <f>INDEX([1]!crudeBD.lkup[Number],MATCH(vp.tbl[[#This Row],[Crude_Breakdown]],[1]!crudeBD.lkup[Crude Breakdown],0))</f>
        <v>#REF!</v>
      </c>
      <c r="AI338">
        <f>MONTH(vp.tbl[[#This Row],[SDate]])</f>
        <v>10</v>
      </c>
      <c r="AJ338" s="5">
        <f>IFERROR(vp.tbl[[#This Row],[Sulf]]*vp.tbl[[#This Row],[Net Dens]],"")</f>
        <v>2279293.3240220002</v>
      </c>
      <c r="AK338" s="5">
        <f>IFERROR(vp.tbl[[#This Row],[Dens]]*vp.tbl[[#This Row],[VolumeM3]],"")</f>
        <v>17533025.569400001</v>
      </c>
      <c r="AL338" s="5">
        <f>IFERROR(vp.tbl[[#This Row],[VP]]*vp.tbl[[#This Row],[VolumeM3]],"")</f>
        <v>1835509.0028000001</v>
      </c>
      <c r="AM338" s="4">
        <f>IFERROR((vp.tbl[[#This Row],[VP]]-INDEX(crudeBD.lkup.complete[Mean_VP],MATCH(vp.tbl[[#This Row],[Crude_Breakdown]],crudeBD.lkup.complete[Crude Breakdown],0)))^2,"")</f>
        <v>66.427611596595227</v>
      </c>
      <c r="AN338" s="4">
        <f>IFERROR((vp.tbl[[#This Row],[Dens]]-INDEX(crudeBD.lkup.complete[Mean_Dens],MATCH(vp.tbl[[#This Row],[Crude_Breakdown]],crudeBD.lkup.complete[Crude Breakdown],0)))^2,"")</f>
        <v>4.458424892859064</v>
      </c>
      <c r="AO338" s="4">
        <f>IFERROR((vp.tbl[[#This Row],[Sulf]]-INDEX(crudeBD.lkup.complete[Mean_Sulf],MATCH(vp.tbl[[#This Row],[Crude_Breakdown]],crudeBD.lkup.complete[Crude Breakdown],0)))^2,"")</f>
        <v>1.1287322584467423E-2</v>
      </c>
      <c r="AP338">
        <f>IF(AND(vp.tbl[[#This Row],[SDate]]&gt;=DATE(YEAR(vp.tbl[[#This Row],[SDate]]),5,1),vp.tbl[[#This Row],[SDate]]&lt;=DATE(YEAR(vp.tbl[[#This Row],[SDate]]),9,15)),1,0)</f>
        <v>0</v>
      </c>
      <c r="AQ338" s="15">
        <f>IF(vp.tbl[[#This Row],[SDate]]&lt;DATE(2016,12,1),0,1)</f>
        <v>0</v>
      </c>
    </row>
    <row r="339" spans="1:43" x14ac:dyDescent="0.25">
      <c r="A339">
        <v>338</v>
      </c>
      <c r="B339" t="s">
        <v>62</v>
      </c>
      <c r="C339" t="s">
        <v>62</v>
      </c>
      <c r="D339" t="s">
        <v>83</v>
      </c>
      <c r="F339" s="1">
        <v>42647</v>
      </c>
      <c r="G339" s="2">
        <v>83.2</v>
      </c>
      <c r="H339" s="2"/>
      <c r="I339" s="2">
        <v>0.17</v>
      </c>
      <c r="J339" s="2"/>
      <c r="K339" s="2"/>
      <c r="L339" s="2">
        <v>815.5</v>
      </c>
      <c r="M339" s="2">
        <v>815.5</v>
      </c>
      <c r="N339" s="2">
        <f ca="1">INDEX(INDIRECT(_xlfn.CONCAT("weather.tbl[",N$1,"]")),MATCH(vp.tbl[[#This Row],[SDate]],weather.tbl[Date],0))</f>
        <v>11.6</v>
      </c>
      <c r="O339" s="2">
        <f ca="1">INDEX(INDIRECT(_xlfn.CONCAT("weather.tbl[",O$1,"]")),MATCH(vp.tbl[[#This Row],[SDate]],weather.tbl[Date],0))</f>
        <v>13.111904761904762</v>
      </c>
      <c r="P339" s="2">
        <f ca="1">INDEX(INDIRECT(_xlfn.CONCAT("weather.tbl[",P$1,"]")),MATCH(vp.tbl[[#This Row],[SDate]],weather.tbl[Date],0))</f>
        <v>12.7</v>
      </c>
      <c r="Q339" s="2">
        <f ca="1">INDEX(INDIRECT(_xlfn.CONCAT("weather.tbl[",Q$1,"]")),MATCH(vp.tbl[[#This Row],[SDate]],weather.tbl[Date],0))</f>
        <v>10.7</v>
      </c>
      <c r="R339" s="2">
        <f ca="1">INDEX(INDIRECT(_xlfn.CONCAT("weather.tbl[",R$1,"]")),MATCH(vp.tbl[[#This Row],[SDate]],weather.tbl[Date],0))</f>
        <v>13.8</v>
      </c>
      <c r="S339" s="2">
        <f ca="1">INDEX(INDIRECT(_xlfn.CONCAT("weather.tbl[",S$1,"]")),MATCH(vp.tbl[[#This Row],[SDate]],weather.tbl[Date],0))</f>
        <v>8.5</v>
      </c>
      <c r="T339" s="2">
        <f ca="1">INDEX(INDIRECT(_xlfn.CONCAT("weather.tbl[",T$1,"]")),MATCH(vp.tbl[[#This Row],[SDate]],weather.tbl[Date],0))</f>
        <v>13.4</v>
      </c>
      <c r="U339" s="2">
        <f ca="1">INDEX(INDIRECT(_xlfn.CONCAT("weather.tbl[",U$1,"]")),MATCH(vp.tbl[[#This Row],[SDate]],weather.tbl[Date],0))</f>
        <v>10.5</v>
      </c>
      <c r="V339" s="2">
        <v>9076.2080000000005</v>
      </c>
      <c r="W339" t="s">
        <v>48</v>
      </c>
      <c r="X339">
        <f>IF(OR(vp.tbl[[#This Row],[Sulf]]="",vp.tbl[[#This Row],[Dens]]=""),1,0)</f>
        <v>0</v>
      </c>
      <c r="Y339">
        <f>IF(vp.tbl[[#This Row],[CrudeType]]="C5+",1,0)</f>
        <v>0</v>
      </c>
      <c r="Z339">
        <f>IF(AND(vp.tbl[[#This Row],[CrudeType]]="Crude",vp.tbl[[#This Row],[Dens]]&lt;=825,vp.tbl[[#This Row],[Sulf]]&gt;0.5,vp.tbl[[#This Row],[Unknown]]=0),1,0)</f>
        <v>0</v>
      </c>
      <c r="AA339">
        <f>IF(AND(vp.tbl[[#This Row],[CrudeType]]="Crude",vp.tbl[[#This Row],[Dens]]&lt;=825,vp.tbl[[#This Row],[Sulf]]&lt;=0.5,vp.tbl[[#This Row],[Unknown]]=0),1,0)</f>
        <v>1</v>
      </c>
      <c r="AB339">
        <f>IF(AND(vp.tbl[[#This Row],[CrudeType]]="Crude",vp.tbl[[#This Row],[Dens]]&gt;825,vp.tbl[[#This Row],[Dens]]&lt;=870,vp.tbl[[#This Row],[Sulf]]&gt;0.5,vp.tbl[[#This Row],[Unknown]]=0),1,0)</f>
        <v>0</v>
      </c>
      <c r="AC339">
        <f>IF(AND(vp.tbl[[#This Row],[CrudeType]]="Crude",vp.tbl[[#This Row],[Dens]]&gt;825,vp.tbl[[#This Row],[Dens]]&lt;=900,vp.tbl[[#This Row],[Sulf]]&lt;=0.5,vp.tbl[[#This Row],[Unknown]]=0),1,0)</f>
        <v>0</v>
      </c>
      <c r="AD339">
        <f>IF(AND(vp.tbl[[#This Row],[CrudeType]]="Crude",vp.tbl[[#This Row],[Dens]]&gt;870,vp.tbl[[#This Row],[Dens]]&lt;=900,vp.tbl[[#This Row],[Sulf]]&gt;0.5,vp.tbl[[#This Row],[Unknown]]=0),1,0)</f>
        <v>0</v>
      </c>
      <c r="AE339">
        <f>IF(AND(vp.tbl[[#This Row],[CrudeType]]="Crude",vp.tbl[[#This Row],[Dens]]&gt;900,vp.tbl[[#This Row],[Sulf]]&lt;=0.5,vp.tbl[[#This Row],[Unknown]]=0),1,0)</f>
        <v>0</v>
      </c>
      <c r="AF339">
        <f>IF(AND(vp.tbl[[#This Row],[CrudeType]]="Crude",vp.tbl[[#This Row],[Dens]]&gt;900,vp.tbl[[#This Row],[Sulf]]&lt;=0.5,vp.tbl[[#This Row],[Unknown]]=0),1,0)</f>
        <v>0</v>
      </c>
      <c r="AG339" t="str">
        <f>INDEX(vp.tbl[[#Headers],[Unknown]:[Heavy_SW]],MATCH(1,vp.tbl[[#This Row],[Unknown]:[Heavy_SW]],0))</f>
        <v>Light_SW</v>
      </c>
      <c r="AH339" t="e">
        <f>INDEX([1]!crudeBD.lkup[Number],MATCH(vp.tbl[[#This Row],[Crude_Breakdown]],[1]!crudeBD.lkup[Crude Breakdown],0))</f>
        <v>#REF!</v>
      </c>
      <c r="AI339">
        <f>MONTH(vp.tbl[[#This Row],[SDate]])</f>
        <v>10</v>
      </c>
      <c r="AJ339" s="5">
        <f>IFERROR(vp.tbl[[#This Row],[Sulf]]*vp.tbl[[#This Row],[Net Dens]],"")</f>
        <v>1258280.0960800003</v>
      </c>
      <c r="AK339" s="5">
        <f>IFERROR(vp.tbl[[#This Row],[Dens]]*vp.tbl[[#This Row],[VolumeM3]],"")</f>
        <v>7401647.6240000008</v>
      </c>
      <c r="AL339" s="5">
        <f>IFERROR(vp.tbl[[#This Row],[VP]]*vp.tbl[[#This Row],[VolumeM3]],"")</f>
        <v>755140.50560000003</v>
      </c>
      <c r="AM339" s="4">
        <f>IFERROR((vp.tbl[[#This Row],[VP]]-INDEX(crudeBD.lkup.complete[Mean_VP],MATCH(vp.tbl[[#This Row],[Crude_Breakdown]],crudeBD.lkup.complete[Crude Breakdown],0)))^2,"")</f>
        <v>87.428364209835621</v>
      </c>
      <c r="AN339" s="4">
        <f>IFERROR((vp.tbl[[#This Row],[Dens]]-INDEX(crudeBD.lkup.complete[Mean_Dens],MATCH(vp.tbl[[#This Row],[Crude_Breakdown]],crudeBD.lkup.complete[Crude Breakdown],0)))^2,"")</f>
        <v>51.674557297044501</v>
      </c>
      <c r="AO339" s="4">
        <f>IFERROR((vp.tbl[[#This Row],[Sulf]]-INDEX(crudeBD.lkup.complete[Mean_Sulf],MATCH(vp.tbl[[#This Row],[Crude_Breakdown]],crudeBD.lkup.complete[Crude Breakdown],0)))^2,"")</f>
        <v>4.3879776367322437E-3</v>
      </c>
      <c r="AP339">
        <f>IF(AND(vp.tbl[[#This Row],[SDate]]&gt;=DATE(YEAR(vp.tbl[[#This Row],[SDate]]),5,1),vp.tbl[[#This Row],[SDate]]&lt;=DATE(YEAR(vp.tbl[[#This Row],[SDate]]),9,15)),1,0)</f>
        <v>0</v>
      </c>
      <c r="AQ339" s="15">
        <f>IF(vp.tbl[[#This Row],[SDate]]&lt;DATE(2016,12,1),0,1)</f>
        <v>0</v>
      </c>
    </row>
    <row r="340" spans="1:43" x14ac:dyDescent="0.25">
      <c r="A340">
        <v>339</v>
      </c>
      <c r="B340" t="s">
        <v>49</v>
      </c>
      <c r="C340" t="s">
        <v>49</v>
      </c>
      <c r="D340" t="s">
        <v>67</v>
      </c>
      <c r="F340" s="1">
        <v>42648</v>
      </c>
      <c r="G340" s="2">
        <v>84.2</v>
      </c>
      <c r="H340" s="2"/>
      <c r="I340" s="2">
        <v>0.2</v>
      </c>
      <c r="J340" s="2"/>
      <c r="K340" s="2"/>
      <c r="L340" s="2">
        <v>808.1</v>
      </c>
      <c r="M340" s="2">
        <v>808.1</v>
      </c>
      <c r="N340" s="2">
        <f ca="1">INDEX(INDIRECT(_xlfn.CONCAT("weather.tbl[",N$1,"]")),MATCH(vp.tbl[[#This Row],[SDate]],weather.tbl[Date],0))</f>
        <v>2.9500000000000006</v>
      </c>
      <c r="O340" s="2">
        <f ca="1">INDEX(INDIRECT(_xlfn.CONCAT("weather.tbl[",O$1,"]")),MATCH(vp.tbl[[#This Row],[SDate]],weather.tbl[Date],0))</f>
        <v>11.664285714285713</v>
      </c>
      <c r="P340" s="2">
        <f ca="1">INDEX(INDIRECT(_xlfn.CONCAT("weather.tbl[",P$1,"]")),MATCH(vp.tbl[[#This Row],[SDate]],weather.tbl[Date],0))</f>
        <v>3.9</v>
      </c>
      <c r="Q340" s="2">
        <f ca="1">INDEX(INDIRECT(_xlfn.CONCAT("weather.tbl[",Q$1,"]")),MATCH(vp.tbl[[#This Row],[SDate]],weather.tbl[Date],0))</f>
        <v>4.0999999999999996</v>
      </c>
      <c r="R340" s="2">
        <f ca="1">INDEX(INDIRECT(_xlfn.CONCAT("weather.tbl[",R$1,"]")),MATCH(vp.tbl[[#This Row],[SDate]],weather.tbl[Date],0))</f>
        <v>2</v>
      </c>
      <c r="S340" s="2">
        <f ca="1">INDEX(INDIRECT(_xlfn.CONCAT("weather.tbl[",S$1,"]")),MATCH(vp.tbl[[#This Row],[SDate]],weather.tbl[Date],0))</f>
        <v>0.8</v>
      </c>
      <c r="T340" s="2">
        <f ca="1">INDEX(INDIRECT(_xlfn.CONCAT("weather.tbl[",T$1,"]")),MATCH(vp.tbl[[#This Row],[SDate]],weather.tbl[Date],0))</f>
        <v>4.9000000000000004</v>
      </c>
      <c r="U340" s="2">
        <f ca="1">INDEX(INDIRECT(_xlfn.CONCAT("weather.tbl[",U$1,"]")),MATCH(vp.tbl[[#This Row],[SDate]],weather.tbl[Date],0))</f>
        <v>2</v>
      </c>
      <c r="V340" s="2">
        <v>46867.624000000003</v>
      </c>
      <c r="W340" t="s">
        <v>48</v>
      </c>
      <c r="X340">
        <f>IF(OR(vp.tbl[[#This Row],[Sulf]]="",vp.tbl[[#This Row],[Dens]]=""),1,0)</f>
        <v>0</v>
      </c>
      <c r="Y340">
        <f>IF(vp.tbl[[#This Row],[CrudeType]]="C5+",1,0)</f>
        <v>0</v>
      </c>
      <c r="Z340">
        <f>IF(AND(vp.tbl[[#This Row],[CrudeType]]="Crude",vp.tbl[[#This Row],[Dens]]&lt;=825,vp.tbl[[#This Row],[Sulf]]&gt;0.5,vp.tbl[[#This Row],[Unknown]]=0),1,0)</f>
        <v>0</v>
      </c>
      <c r="AA340">
        <f>IF(AND(vp.tbl[[#This Row],[CrudeType]]="Crude",vp.tbl[[#This Row],[Dens]]&lt;=825,vp.tbl[[#This Row],[Sulf]]&lt;=0.5,vp.tbl[[#This Row],[Unknown]]=0),1,0)</f>
        <v>1</v>
      </c>
      <c r="AB340">
        <f>IF(AND(vp.tbl[[#This Row],[CrudeType]]="Crude",vp.tbl[[#This Row],[Dens]]&gt;825,vp.tbl[[#This Row],[Dens]]&lt;=870,vp.tbl[[#This Row],[Sulf]]&gt;0.5,vp.tbl[[#This Row],[Unknown]]=0),1,0)</f>
        <v>0</v>
      </c>
      <c r="AC340">
        <f>IF(AND(vp.tbl[[#This Row],[CrudeType]]="Crude",vp.tbl[[#This Row],[Dens]]&gt;825,vp.tbl[[#This Row],[Dens]]&lt;=900,vp.tbl[[#This Row],[Sulf]]&lt;=0.5,vp.tbl[[#This Row],[Unknown]]=0),1,0)</f>
        <v>0</v>
      </c>
      <c r="AD340">
        <f>IF(AND(vp.tbl[[#This Row],[CrudeType]]="Crude",vp.tbl[[#This Row],[Dens]]&gt;870,vp.tbl[[#This Row],[Dens]]&lt;=900,vp.tbl[[#This Row],[Sulf]]&gt;0.5,vp.tbl[[#This Row],[Unknown]]=0),1,0)</f>
        <v>0</v>
      </c>
      <c r="AE340">
        <f>IF(AND(vp.tbl[[#This Row],[CrudeType]]="Crude",vp.tbl[[#This Row],[Dens]]&gt;900,vp.tbl[[#This Row],[Sulf]]&lt;=0.5,vp.tbl[[#This Row],[Unknown]]=0),1,0)</f>
        <v>0</v>
      </c>
      <c r="AF340">
        <f>IF(AND(vp.tbl[[#This Row],[CrudeType]]="Crude",vp.tbl[[#This Row],[Dens]]&gt;900,vp.tbl[[#This Row],[Sulf]]&lt;=0.5,vp.tbl[[#This Row],[Unknown]]=0),1,0)</f>
        <v>0</v>
      </c>
      <c r="AG340" t="str">
        <f>INDEX(vp.tbl[[#Headers],[Unknown]:[Heavy_SW]],MATCH(1,vp.tbl[[#This Row],[Unknown]:[Heavy_SW]],0))</f>
        <v>Light_SW</v>
      </c>
      <c r="AH340" t="e">
        <f>INDEX([1]!crudeBD.lkup[Number],MATCH(vp.tbl[[#This Row],[Crude_Breakdown]],[1]!crudeBD.lkup[Crude Breakdown],0))</f>
        <v>#REF!</v>
      </c>
      <c r="AI340">
        <f>MONTH(vp.tbl[[#This Row],[SDate]])</f>
        <v>10</v>
      </c>
      <c r="AJ340" s="5">
        <f>IFERROR(vp.tbl[[#This Row],[Sulf]]*vp.tbl[[#This Row],[Net Dens]],"")</f>
        <v>7574745.3908800008</v>
      </c>
      <c r="AK340" s="5">
        <f>IFERROR(vp.tbl[[#This Row],[Dens]]*vp.tbl[[#This Row],[VolumeM3]],"")</f>
        <v>37873726.954400003</v>
      </c>
      <c r="AL340" s="5">
        <f>IFERROR(vp.tbl[[#This Row],[VP]]*vp.tbl[[#This Row],[VolumeM3]],"")</f>
        <v>3946253.9408000004</v>
      </c>
      <c r="AM340" s="4">
        <f>IFERROR((vp.tbl[[#This Row],[VP]]-INDEX(crudeBD.lkup.complete[Mean_VP],MATCH(vp.tbl[[#This Row],[Crude_Breakdown]],crudeBD.lkup.complete[Crude Breakdown],0)))^2,"")</f>
        <v>69.727737032135337</v>
      </c>
      <c r="AN340" s="4">
        <f>IFERROR((vp.tbl[[#This Row],[Dens]]-INDEX(crudeBD.lkup.complete[Mean_Dens],MATCH(vp.tbl[[#This Row],[Crude_Breakdown]],crudeBD.lkup.complete[Crude Breakdown],0)))^2,"")</f>
        <v>4.473151306913524E-2</v>
      </c>
      <c r="AO340" s="4">
        <f>IFERROR((vp.tbl[[#This Row],[Sulf]]-INDEX(crudeBD.lkup.complete[Mean_Sulf],MATCH(vp.tbl[[#This Row],[Crude_Breakdown]],crudeBD.lkup.complete[Crude Breakdown],0)))^2,"")</f>
        <v>1.3134689259308601E-3</v>
      </c>
      <c r="AP340">
        <f>IF(AND(vp.tbl[[#This Row],[SDate]]&gt;=DATE(YEAR(vp.tbl[[#This Row],[SDate]]),5,1),vp.tbl[[#This Row],[SDate]]&lt;=DATE(YEAR(vp.tbl[[#This Row],[SDate]]),9,15)),1,0)</f>
        <v>0</v>
      </c>
      <c r="AQ340" s="15">
        <f>IF(vp.tbl[[#This Row],[SDate]]&lt;DATE(2016,12,1),0,1)</f>
        <v>0</v>
      </c>
    </row>
    <row r="341" spans="1:43" x14ac:dyDescent="0.25">
      <c r="A341">
        <v>340</v>
      </c>
      <c r="B341" t="s">
        <v>62</v>
      </c>
      <c r="C341" t="s">
        <v>62</v>
      </c>
      <c r="D341" t="s">
        <v>63</v>
      </c>
      <c r="F341" s="1">
        <v>42649</v>
      </c>
      <c r="G341" s="2">
        <v>80.7</v>
      </c>
      <c r="H341" s="2"/>
      <c r="I341" s="2">
        <v>1.52</v>
      </c>
      <c r="J341" s="2"/>
      <c r="K341" s="2"/>
      <c r="L341" s="2">
        <v>827</v>
      </c>
      <c r="M341" s="2">
        <v>827</v>
      </c>
      <c r="N341" s="2">
        <f ca="1">INDEX(INDIRECT(_xlfn.CONCAT("weather.tbl[",N$1,"]")),MATCH(vp.tbl[[#This Row],[SDate]],weather.tbl[Date],0))</f>
        <v>0.46666666666666662</v>
      </c>
      <c r="O341" s="2">
        <f ca="1">INDEX(INDIRECT(_xlfn.CONCAT("weather.tbl[",O$1,"]")),MATCH(vp.tbl[[#This Row],[SDate]],weather.tbl[Date],0))</f>
        <v>9.5571428571428587</v>
      </c>
      <c r="P341" s="2">
        <f ca="1">INDEX(INDIRECT(_xlfn.CONCAT("weather.tbl[",P$1,"]")),MATCH(vp.tbl[[#This Row],[SDate]],weather.tbl[Date],0))</f>
        <v>0.6</v>
      </c>
      <c r="Q341" s="2">
        <f ca="1">INDEX(INDIRECT(_xlfn.CONCAT("weather.tbl[",Q$1,"]")),MATCH(vp.tbl[[#This Row],[SDate]],weather.tbl[Date],0))</f>
        <v>-0.2</v>
      </c>
      <c r="R341" s="2">
        <f ca="1">INDEX(INDIRECT(_xlfn.CONCAT("weather.tbl[",R$1,"]")),MATCH(vp.tbl[[#This Row],[SDate]],weather.tbl[Date],0))</f>
        <v>0.3</v>
      </c>
      <c r="S341" s="2">
        <f ca="1">INDEX(INDIRECT(_xlfn.CONCAT("weather.tbl[",S$1,"]")),MATCH(vp.tbl[[#This Row],[SDate]],weather.tbl[Date],0))</f>
        <v>0.3</v>
      </c>
      <c r="T341" s="2">
        <f ca="1">INDEX(INDIRECT(_xlfn.CONCAT("weather.tbl[",T$1,"]")),MATCH(vp.tbl[[#This Row],[SDate]],weather.tbl[Date],0))</f>
        <v>2.2999999999999998</v>
      </c>
      <c r="U341" s="2">
        <f ca="1">INDEX(INDIRECT(_xlfn.CONCAT("weather.tbl[",U$1,"]")),MATCH(vp.tbl[[#This Row],[SDate]],weather.tbl[Date],0))</f>
        <v>-0.5</v>
      </c>
      <c r="V341" s="2">
        <v>5449.4639999999999</v>
      </c>
      <c r="W341" t="s">
        <v>48</v>
      </c>
      <c r="X341">
        <f>IF(OR(vp.tbl[[#This Row],[Sulf]]="",vp.tbl[[#This Row],[Dens]]=""),1,0)</f>
        <v>0</v>
      </c>
      <c r="Y341">
        <f>IF(vp.tbl[[#This Row],[CrudeType]]="C5+",1,0)</f>
        <v>0</v>
      </c>
      <c r="Z341">
        <f>IF(AND(vp.tbl[[#This Row],[CrudeType]]="Crude",vp.tbl[[#This Row],[Dens]]&lt;=825,vp.tbl[[#This Row],[Sulf]]&gt;0.5,vp.tbl[[#This Row],[Unknown]]=0),1,0)</f>
        <v>0</v>
      </c>
      <c r="AA341">
        <f>IF(AND(vp.tbl[[#This Row],[CrudeType]]="Crude",vp.tbl[[#This Row],[Dens]]&lt;=825,vp.tbl[[#This Row],[Sulf]]&lt;=0.5,vp.tbl[[#This Row],[Unknown]]=0),1,0)</f>
        <v>0</v>
      </c>
      <c r="AB341">
        <f>IF(AND(vp.tbl[[#This Row],[CrudeType]]="Crude",vp.tbl[[#This Row],[Dens]]&gt;825,vp.tbl[[#This Row],[Dens]]&lt;=870,vp.tbl[[#This Row],[Sulf]]&gt;0.5,vp.tbl[[#This Row],[Unknown]]=0),1,0)</f>
        <v>1</v>
      </c>
      <c r="AC341">
        <f>IF(AND(vp.tbl[[#This Row],[CrudeType]]="Crude",vp.tbl[[#This Row],[Dens]]&gt;825,vp.tbl[[#This Row],[Dens]]&lt;=900,vp.tbl[[#This Row],[Sulf]]&lt;=0.5,vp.tbl[[#This Row],[Unknown]]=0),1,0)</f>
        <v>0</v>
      </c>
      <c r="AD341">
        <f>IF(AND(vp.tbl[[#This Row],[CrudeType]]="Crude",vp.tbl[[#This Row],[Dens]]&gt;870,vp.tbl[[#This Row],[Dens]]&lt;=900,vp.tbl[[#This Row],[Sulf]]&gt;0.5,vp.tbl[[#This Row],[Unknown]]=0),1,0)</f>
        <v>0</v>
      </c>
      <c r="AE341">
        <f>IF(AND(vp.tbl[[#This Row],[CrudeType]]="Crude",vp.tbl[[#This Row],[Dens]]&gt;900,vp.tbl[[#This Row],[Sulf]]&lt;=0.5,vp.tbl[[#This Row],[Unknown]]=0),1,0)</f>
        <v>0</v>
      </c>
      <c r="AF341">
        <f>IF(AND(vp.tbl[[#This Row],[CrudeType]]="Crude",vp.tbl[[#This Row],[Dens]]&gt;900,vp.tbl[[#This Row],[Sulf]]&lt;=0.5,vp.tbl[[#This Row],[Unknown]]=0),1,0)</f>
        <v>0</v>
      </c>
      <c r="AG341" t="str">
        <f>INDEX(vp.tbl[[#Headers],[Unknown]:[Heavy_SW]],MATCH(1,vp.tbl[[#This Row],[Unknown]:[Heavy_SW]],0))</f>
        <v>Medium_LSB</v>
      </c>
      <c r="AH341" t="e">
        <f>INDEX([1]!crudeBD.lkup[Number],MATCH(vp.tbl[[#This Row],[Crude_Breakdown]],[1]!crudeBD.lkup[Crude Breakdown],0))</f>
        <v>#REF!</v>
      </c>
      <c r="AI341">
        <f>MONTH(vp.tbl[[#This Row],[SDate]])</f>
        <v>10</v>
      </c>
      <c r="AJ341" s="5">
        <f>IFERROR(vp.tbl[[#This Row],[Sulf]]*vp.tbl[[#This Row],[Net Dens]],"")</f>
        <v>6850194.2265600003</v>
      </c>
      <c r="AK341" s="5">
        <f>IFERROR(vp.tbl[[#This Row],[Dens]]*vp.tbl[[#This Row],[VolumeM3]],"")</f>
        <v>4506706.7280000001</v>
      </c>
      <c r="AL341" s="5">
        <f>IFERROR(vp.tbl[[#This Row],[VP]]*vp.tbl[[#This Row],[VolumeM3]],"")</f>
        <v>439771.74479999999</v>
      </c>
      <c r="AM341" s="4">
        <f>IFERROR((vp.tbl[[#This Row],[VP]]-INDEX(crudeBD.lkup.complete[Mean_VP],MATCH(vp.tbl[[#This Row],[Crude_Breakdown]],crudeBD.lkup.complete[Crude Breakdown],0)))^2,"")</f>
        <v>0.27710229065859016</v>
      </c>
      <c r="AN341" s="4">
        <f>IFERROR((vp.tbl[[#This Row],[Dens]]-INDEX(crudeBD.lkup.complete[Mean_Dens],MATCH(vp.tbl[[#This Row],[Crude_Breakdown]],crudeBD.lkup.complete[Crude Breakdown],0)))^2,"")</f>
        <v>334.59078079086288</v>
      </c>
      <c r="AO341" s="4">
        <f>IFERROR((vp.tbl[[#This Row],[Sulf]]-INDEX(crudeBD.lkup.complete[Mean_Sulf],MATCH(vp.tbl[[#This Row],[Crude_Breakdown]],crudeBD.lkup.complete[Crude Breakdown],0)))^2,"")</f>
        <v>4.2341230207786906E-3</v>
      </c>
      <c r="AP341">
        <f>IF(AND(vp.tbl[[#This Row],[SDate]]&gt;=DATE(YEAR(vp.tbl[[#This Row],[SDate]]),5,1),vp.tbl[[#This Row],[SDate]]&lt;=DATE(YEAR(vp.tbl[[#This Row],[SDate]]),9,15)),1,0)</f>
        <v>0</v>
      </c>
      <c r="AQ341" s="15">
        <f>IF(vp.tbl[[#This Row],[SDate]]&lt;DATE(2016,12,1),0,1)</f>
        <v>0</v>
      </c>
    </row>
    <row r="342" spans="1:43" x14ac:dyDescent="0.25">
      <c r="A342">
        <v>341</v>
      </c>
      <c r="B342" t="s">
        <v>49</v>
      </c>
      <c r="C342" t="s">
        <v>49</v>
      </c>
      <c r="D342" t="s">
        <v>59</v>
      </c>
      <c r="F342" s="1">
        <v>42654</v>
      </c>
      <c r="G342" s="2">
        <v>48.4</v>
      </c>
      <c r="H342" s="2"/>
      <c r="I342" s="2">
        <v>1.48</v>
      </c>
      <c r="J342" s="2"/>
      <c r="K342" s="2"/>
      <c r="L342" s="2">
        <v>857</v>
      </c>
      <c r="M342" s="2">
        <v>857</v>
      </c>
      <c r="N342" s="2">
        <f ca="1">INDEX(INDIRECT(_xlfn.CONCAT("weather.tbl[",N$1,"]")),MATCH(vp.tbl[[#This Row],[SDate]],weather.tbl[Date],0))</f>
        <v>0.6333333333333333</v>
      </c>
      <c r="O342" s="2">
        <f ca="1">INDEX(INDIRECT(_xlfn.CONCAT("weather.tbl[",O$1,"]")),MATCH(vp.tbl[[#This Row],[SDate]],weather.tbl[Date],0))</f>
        <v>2.5357142857142856</v>
      </c>
      <c r="P342" s="2">
        <f ca="1">INDEX(INDIRECT(_xlfn.CONCAT("weather.tbl[",P$1,"]")),MATCH(vp.tbl[[#This Row],[SDate]],weather.tbl[Date],0))</f>
        <v>1.2</v>
      </c>
      <c r="Q342" s="2">
        <f ca="1">INDEX(INDIRECT(_xlfn.CONCAT("weather.tbl[",Q$1,"]")),MATCH(vp.tbl[[#This Row],[SDate]],weather.tbl[Date],0))</f>
        <v>-0.2</v>
      </c>
      <c r="R342" s="2">
        <f ca="1">INDEX(INDIRECT(_xlfn.CONCAT("weather.tbl[",R$1,"]")),MATCH(vp.tbl[[#This Row],[SDate]],weather.tbl[Date],0))</f>
        <v>1.3</v>
      </c>
      <c r="S342" s="2">
        <f ca="1">INDEX(INDIRECT(_xlfn.CONCAT("weather.tbl[",S$1,"]")),MATCH(vp.tbl[[#This Row],[SDate]],weather.tbl[Date],0))</f>
        <v>0.8</v>
      </c>
      <c r="T342" s="2">
        <f ca="1">INDEX(INDIRECT(_xlfn.CONCAT("weather.tbl[",T$1,"]")),MATCH(vp.tbl[[#This Row],[SDate]],weather.tbl[Date],0))</f>
        <v>1</v>
      </c>
      <c r="U342" s="2">
        <f ca="1">INDEX(INDIRECT(_xlfn.CONCAT("weather.tbl[",U$1,"]")),MATCH(vp.tbl[[#This Row],[SDate]],weather.tbl[Date],0))</f>
        <v>-0.3</v>
      </c>
      <c r="V342" s="2">
        <v>1705.174</v>
      </c>
      <c r="W342" t="s">
        <v>48</v>
      </c>
      <c r="X342">
        <f>IF(OR(vp.tbl[[#This Row],[Sulf]]="",vp.tbl[[#This Row],[Dens]]=""),1,0)</f>
        <v>0</v>
      </c>
      <c r="Y342">
        <f>IF(vp.tbl[[#This Row],[CrudeType]]="C5+",1,0)</f>
        <v>0</v>
      </c>
      <c r="Z342">
        <f>IF(AND(vp.tbl[[#This Row],[CrudeType]]="Crude",vp.tbl[[#This Row],[Dens]]&lt;=825,vp.tbl[[#This Row],[Sulf]]&gt;0.5,vp.tbl[[#This Row],[Unknown]]=0),1,0)</f>
        <v>0</v>
      </c>
      <c r="AA342">
        <f>IF(AND(vp.tbl[[#This Row],[CrudeType]]="Crude",vp.tbl[[#This Row],[Dens]]&lt;=825,vp.tbl[[#This Row],[Sulf]]&lt;=0.5,vp.tbl[[#This Row],[Unknown]]=0),1,0)</f>
        <v>0</v>
      </c>
      <c r="AB342">
        <f>IF(AND(vp.tbl[[#This Row],[CrudeType]]="Crude",vp.tbl[[#This Row],[Dens]]&gt;825,vp.tbl[[#This Row],[Dens]]&lt;=870,vp.tbl[[#This Row],[Sulf]]&gt;0.5,vp.tbl[[#This Row],[Unknown]]=0),1,0)</f>
        <v>1</v>
      </c>
      <c r="AC342">
        <f>IF(AND(vp.tbl[[#This Row],[CrudeType]]="Crude",vp.tbl[[#This Row],[Dens]]&gt;825,vp.tbl[[#This Row],[Dens]]&lt;=900,vp.tbl[[#This Row],[Sulf]]&lt;=0.5,vp.tbl[[#This Row],[Unknown]]=0),1,0)</f>
        <v>0</v>
      </c>
      <c r="AD342">
        <f>IF(AND(vp.tbl[[#This Row],[CrudeType]]="Crude",vp.tbl[[#This Row],[Dens]]&gt;870,vp.tbl[[#This Row],[Dens]]&lt;=900,vp.tbl[[#This Row],[Sulf]]&gt;0.5,vp.tbl[[#This Row],[Unknown]]=0),1,0)</f>
        <v>0</v>
      </c>
      <c r="AE342">
        <f>IF(AND(vp.tbl[[#This Row],[CrudeType]]="Crude",vp.tbl[[#This Row],[Dens]]&gt;900,vp.tbl[[#This Row],[Sulf]]&lt;=0.5,vp.tbl[[#This Row],[Unknown]]=0),1,0)</f>
        <v>0</v>
      </c>
      <c r="AF342">
        <f>IF(AND(vp.tbl[[#This Row],[CrudeType]]="Crude",vp.tbl[[#This Row],[Dens]]&gt;900,vp.tbl[[#This Row],[Sulf]]&lt;=0.5,vp.tbl[[#This Row],[Unknown]]=0),1,0)</f>
        <v>0</v>
      </c>
      <c r="AG342" t="str">
        <f>INDEX(vp.tbl[[#Headers],[Unknown]:[Heavy_SW]],MATCH(1,vp.tbl[[#This Row],[Unknown]:[Heavy_SW]],0))</f>
        <v>Medium_LSB</v>
      </c>
      <c r="AH342" t="e">
        <f>INDEX([1]!crudeBD.lkup[Number],MATCH(vp.tbl[[#This Row],[Crude_Breakdown]],[1]!crudeBD.lkup[Crude Breakdown],0))</f>
        <v>#REF!</v>
      </c>
      <c r="AI342">
        <f>MONTH(vp.tbl[[#This Row],[SDate]])</f>
        <v>10</v>
      </c>
      <c r="AJ342" s="5">
        <f>IFERROR(vp.tbl[[#This Row],[Sulf]]*vp.tbl[[#This Row],[Net Dens]],"")</f>
        <v>2162774.4946400002</v>
      </c>
      <c r="AK342" s="5">
        <f>IFERROR(vp.tbl[[#This Row],[Dens]]*vp.tbl[[#This Row],[VolumeM3]],"")</f>
        <v>1461334.118</v>
      </c>
      <c r="AL342" s="5">
        <f>IFERROR(vp.tbl[[#This Row],[VP]]*vp.tbl[[#This Row],[VolumeM3]],"")</f>
        <v>82530.421600000001</v>
      </c>
      <c r="AM342" s="4">
        <f>IFERROR((vp.tbl[[#This Row],[VP]]-INDEX(crudeBD.lkup.complete[Mean_VP],MATCH(vp.tbl[[#This Row],[Crude_Breakdown]],crudeBD.lkup.complete[Crude Breakdown],0)))^2,"")</f>
        <v>1009.5613352020487</v>
      </c>
      <c r="AN342" s="4">
        <f>IFERROR((vp.tbl[[#This Row],[Dens]]-INDEX(crudeBD.lkup.complete[Mean_Dens],MATCH(vp.tbl[[#This Row],[Crude_Breakdown]],crudeBD.lkup.complete[Crude Breakdown],0)))^2,"")</f>
        <v>137.08141370231436</v>
      </c>
      <c r="AO342" s="4">
        <f>IFERROR((vp.tbl[[#This Row],[Sulf]]-INDEX(crudeBD.lkup.complete[Mean_Sulf],MATCH(vp.tbl[[#This Row],[Crude_Breakdown]],crudeBD.lkup.complete[Crude Breakdown],0)))^2,"")</f>
        <v>6.2851188153830004E-4</v>
      </c>
      <c r="AP342">
        <f>IF(AND(vp.tbl[[#This Row],[SDate]]&gt;=DATE(YEAR(vp.tbl[[#This Row],[SDate]]),5,1),vp.tbl[[#This Row],[SDate]]&lt;=DATE(YEAR(vp.tbl[[#This Row],[SDate]]),9,15)),1,0)</f>
        <v>0</v>
      </c>
      <c r="AQ342" s="15">
        <f>IF(vp.tbl[[#This Row],[SDate]]&lt;DATE(2016,12,1),0,1)</f>
        <v>0</v>
      </c>
    </row>
    <row r="343" spans="1:43" x14ac:dyDescent="0.25">
      <c r="A343">
        <v>342</v>
      </c>
      <c r="B343" t="s">
        <v>49</v>
      </c>
      <c r="C343" t="s">
        <v>49</v>
      </c>
      <c r="D343" t="s">
        <v>86</v>
      </c>
      <c r="F343" s="1">
        <v>42656</v>
      </c>
      <c r="G343" s="2">
        <v>91.3</v>
      </c>
      <c r="H343" s="2"/>
      <c r="I343" s="2">
        <v>2.99</v>
      </c>
      <c r="J343" s="2"/>
      <c r="K343" s="2"/>
      <c r="L343" s="2">
        <v>871.3</v>
      </c>
      <c r="M343" s="2">
        <v>871.3</v>
      </c>
      <c r="N343" s="2">
        <f ca="1">INDEX(INDIRECT(_xlfn.CONCAT("weather.tbl[",N$1,"]")),MATCH(vp.tbl[[#This Row],[SDate]],weather.tbl[Date],0))</f>
        <v>0.8833333333333333</v>
      </c>
      <c r="O343" s="2">
        <f ca="1">INDEX(INDIRECT(_xlfn.CONCAT("weather.tbl[",O$1,"]")),MATCH(vp.tbl[[#This Row],[SDate]],weather.tbl[Date],0))</f>
        <v>2.3404761904761906</v>
      </c>
      <c r="P343" s="2">
        <f ca="1">INDEX(INDIRECT(_xlfn.CONCAT("weather.tbl[",P$1,"]")),MATCH(vp.tbl[[#This Row],[SDate]],weather.tbl[Date],0))</f>
        <v>1.3</v>
      </c>
      <c r="Q343" s="2">
        <f ca="1">INDEX(INDIRECT(_xlfn.CONCAT("weather.tbl[",Q$1,"]")),MATCH(vp.tbl[[#This Row],[SDate]],weather.tbl[Date],0))</f>
        <v>0.7</v>
      </c>
      <c r="R343" s="2">
        <f ca="1">INDEX(INDIRECT(_xlfn.CONCAT("weather.tbl[",R$1,"]")),MATCH(vp.tbl[[#This Row],[SDate]],weather.tbl[Date],0))</f>
        <v>0.8</v>
      </c>
      <c r="S343" s="2">
        <f ca="1">INDEX(INDIRECT(_xlfn.CONCAT("weather.tbl[",S$1,"]")),MATCH(vp.tbl[[#This Row],[SDate]],weather.tbl[Date],0))</f>
        <v>1.8</v>
      </c>
      <c r="T343" s="2">
        <f ca="1">INDEX(INDIRECT(_xlfn.CONCAT("weather.tbl[",T$1,"]")),MATCH(vp.tbl[[#This Row],[SDate]],weather.tbl[Date],0))</f>
        <v>0.4</v>
      </c>
      <c r="U343" s="2">
        <f ca="1">INDEX(INDIRECT(_xlfn.CONCAT("weather.tbl[",U$1,"]")),MATCH(vp.tbl[[#This Row],[SDate]],weather.tbl[Date],0))</f>
        <v>0.3</v>
      </c>
      <c r="V343" s="2">
        <v>4445.826</v>
      </c>
      <c r="W343" t="s">
        <v>48</v>
      </c>
      <c r="X343">
        <f>IF(OR(vp.tbl[[#This Row],[Sulf]]="",vp.tbl[[#This Row],[Dens]]=""),1,0)</f>
        <v>0</v>
      </c>
      <c r="Y343">
        <f>IF(vp.tbl[[#This Row],[CrudeType]]="C5+",1,0)</f>
        <v>0</v>
      </c>
      <c r="Z343">
        <f>IF(AND(vp.tbl[[#This Row],[CrudeType]]="Crude",vp.tbl[[#This Row],[Dens]]&lt;=825,vp.tbl[[#This Row],[Sulf]]&gt;0.5,vp.tbl[[#This Row],[Unknown]]=0),1,0)</f>
        <v>0</v>
      </c>
      <c r="AA343">
        <f>IF(AND(vp.tbl[[#This Row],[CrudeType]]="Crude",vp.tbl[[#This Row],[Dens]]&lt;=825,vp.tbl[[#This Row],[Sulf]]&lt;=0.5,vp.tbl[[#This Row],[Unknown]]=0),1,0)</f>
        <v>0</v>
      </c>
      <c r="AB343">
        <f>IF(AND(vp.tbl[[#This Row],[CrudeType]]="Crude",vp.tbl[[#This Row],[Dens]]&gt;825,vp.tbl[[#This Row],[Dens]]&lt;=870,vp.tbl[[#This Row],[Sulf]]&gt;0.5,vp.tbl[[#This Row],[Unknown]]=0),1,0)</f>
        <v>0</v>
      </c>
      <c r="AC343">
        <f>IF(AND(vp.tbl[[#This Row],[CrudeType]]="Crude",vp.tbl[[#This Row],[Dens]]&gt;825,vp.tbl[[#This Row],[Dens]]&lt;=900,vp.tbl[[#This Row],[Sulf]]&lt;=0.5,vp.tbl[[#This Row],[Unknown]]=0),1,0)</f>
        <v>0</v>
      </c>
      <c r="AD343">
        <f>IF(AND(vp.tbl[[#This Row],[CrudeType]]="Crude",vp.tbl[[#This Row],[Dens]]&gt;870,vp.tbl[[#This Row],[Dens]]&lt;=900,vp.tbl[[#This Row],[Sulf]]&gt;0.5,vp.tbl[[#This Row],[Unknown]]=0),1,0)</f>
        <v>1</v>
      </c>
      <c r="AE343">
        <f>IF(AND(vp.tbl[[#This Row],[CrudeType]]="Crude",vp.tbl[[#This Row],[Dens]]&gt;900,vp.tbl[[#This Row],[Sulf]]&lt;=0.5,vp.tbl[[#This Row],[Unknown]]=0),1,0)</f>
        <v>0</v>
      </c>
      <c r="AF343">
        <f>IF(AND(vp.tbl[[#This Row],[CrudeType]]="Crude",vp.tbl[[#This Row],[Dens]]&gt;900,vp.tbl[[#This Row],[Sulf]]&lt;=0.5,vp.tbl[[#This Row],[Unknown]]=0),1,0)</f>
        <v>0</v>
      </c>
      <c r="AG343" t="str">
        <f>INDEX(vp.tbl[[#Headers],[Unknown]:[Heavy_SW]],MATCH(1,vp.tbl[[#This Row],[Unknown]:[Heavy_SW]],0))</f>
        <v>Midale</v>
      </c>
      <c r="AH343" t="e">
        <f>INDEX([1]!crudeBD.lkup[Number],MATCH(vp.tbl[[#This Row],[Crude_Breakdown]],[1]!crudeBD.lkup[Crude Breakdown],0))</f>
        <v>#REF!</v>
      </c>
      <c r="AI343">
        <f>MONTH(vp.tbl[[#This Row],[SDate]])</f>
        <v>10</v>
      </c>
      <c r="AJ343" s="5">
        <f>IFERROR(vp.tbl[[#This Row],[Sulf]]*vp.tbl[[#This Row],[Net Dens]],"")</f>
        <v>11582208.099462001</v>
      </c>
      <c r="AK343" s="5">
        <f>IFERROR(vp.tbl[[#This Row],[Dens]]*vp.tbl[[#This Row],[VolumeM3]],"")</f>
        <v>3873648.1938</v>
      </c>
      <c r="AL343" s="5">
        <f>IFERROR(vp.tbl[[#This Row],[VP]]*vp.tbl[[#This Row],[VolumeM3]],"")</f>
        <v>405903.91379999998</v>
      </c>
      <c r="AM343" s="4">
        <f>IFERROR((vp.tbl[[#This Row],[VP]]-INDEX(crudeBD.lkup.complete[Mean_VP],MATCH(vp.tbl[[#This Row],[Crude_Breakdown]],crudeBD.lkup.complete[Crude Breakdown],0)))^2,"")</f>
        <v>531.83941640082492</v>
      </c>
      <c r="AN343" s="4">
        <f>IFERROR((vp.tbl[[#This Row],[Dens]]-INDEX(crudeBD.lkup.complete[Mean_Dens],MATCH(vp.tbl[[#This Row],[Crude_Breakdown]],crudeBD.lkup.complete[Crude Breakdown],0)))^2,"")</f>
        <v>39.088189153684155</v>
      </c>
      <c r="AO343" s="4">
        <f>IFERROR((vp.tbl[[#This Row],[Sulf]]-INDEX(crudeBD.lkup.complete[Mean_Sulf],MATCH(vp.tbl[[#This Row],[Crude_Breakdown]],crudeBD.lkup.complete[Crude Breakdown],0)))^2,"")</f>
        <v>0.33023395815892453</v>
      </c>
      <c r="AP343">
        <f>IF(AND(vp.tbl[[#This Row],[SDate]]&gt;=DATE(YEAR(vp.tbl[[#This Row],[SDate]]),5,1),vp.tbl[[#This Row],[SDate]]&lt;=DATE(YEAR(vp.tbl[[#This Row],[SDate]]),9,15)),1,0)</f>
        <v>0</v>
      </c>
      <c r="AQ343" s="15">
        <f>IF(vp.tbl[[#This Row],[SDate]]&lt;DATE(2016,12,1),0,1)</f>
        <v>0</v>
      </c>
    </row>
    <row r="344" spans="1:43" x14ac:dyDescent="0.25">
      <c r="A344">
        <v>343</v>
      </c>
      <c r="B344" t="s">
        <v>49</v>
      </c>
      <c r="C344" t="s">
        <v>49</v>
      </c>
      <c r="D344" t="s">
        <v>74</v>
      </c>
      <c r="F344" s="1">
        <v>42669</v>
      </c>
      <c r="G344" s="2">
        <v>91.6</v>
      </c>
      <c r="H344" s="2"/>
      <c r="I344" s="2">
        <v>0.15</v>
      </c>
      <c r="J344" s="2"/>
      <c r="K344" s="2"/>
      <c r="L344" s="2">
        <v>808.2</v>
      </c>
      <c r="M344" s="2">
        <v>808.2</v>
      </c>
      <c r="N344" s="2">
        <f ca="1">INDEX(INDIRECT(_xlfn.CONCAT("weather.tbl[",N$1,"]")),MATCH(vp.tbl[[#This Row],[SDate]],weather.tbl[Date],0))</f>
        <v>4.8166666666666673</v>
      </c>
      <c r="O344" s="2">
        <f ca="1">INDEX(INDIRECT(_xlfn.CONCAT("weather.tbl[",O$1,"]")),MATCH(vp.tbl[[#This Row],[SDate]],weather.tbl[Date],0))</f>
        <v>5.0785714285714292</v>
      </c>
      <c r="P344" s="2">
        <f ca="1">INDEX(INDIRECT(_xlfn.CONCAT("weather.tbl[",P$1,"]")),MATCH(vp.tbl[[#This Row],[SDate]],weather.tbl[Date],0))</f>
        <v>5.4</v>
      </c>
      <c r="Q344" s="2">
        <f ca="1">INDEX(INDIRECT(_xlfn.CONCAT("weather.tbl[",Q$1,"]")),MATCH(vp.tbl[[#This Row],[SDate]],weather.tbl[Date],0))</f>
        <v>3.9</v>
      </c>
      <c r="R344" s="2">
        <f ca="1">INDEX(INDIRECT(_xlfn.CONCAT("weather.tbl[",R$1,"]")),MATCH(vp.tbl[[#This Row],[SDate]],weather.tbl[Date],0))</f>
        <v>3.8</v>
      </c>
      <c r="S344" s="2">
        <f ca="1">INDEX(INDIRECT(_xlfn.CONCAT("weather.tbl[",S$1,"]")),MATCH(vp.tbl[[#This Row],[SDate]],weather.tbl[Date],0))</f>
        <v>5.3</v>
      </c>
      <c r="T344" s="2">
        <f ca="1">INDEX(INDIRECT(_xlfn.CONCAT("weather.tbl[",T$1,"]")),MATCH(vp.tbl[[#This Row],[SDate]],weather.tbl[Date],0))</f>
        <v>5.5</v>
      </c>
      <c r="U344" s="2">
        <f ca="1">INDEX(INDIRECT(_xlfn.CONCAT("weather.tbl[",U$1,"]")),MATCH(vp.tbl[[#This Row],[SDate]],weather.tbl[Date],0))</f>
        <v>5</v>
      </c>
      <c r="V344" s="2">
        <v>40279.834000000003</v>
      </c>
      <c r="W344" t="s">
        <v>48</v>
      </c>
      <c r="X344">
        <f>IF(OR(vp.tbl[[#This Row],[Sulf]]="",vp.tbl[[#This Row],[Dens]]=""),1,0)</f>
        <v>0</v>
      </c>
      <c r="Y344">
        <f>IF(vp.tbl[[#This Row],[CrudeType]]="C5+",1,0)</f>
        <v>0</v>
      </c>
      <c r="Z344">
        <f>IF(AND(vp.tbl[[#This Row],[CrudeType]]="Crude",vp.tbl[[#This Row],[Dens]]&lt;=825,vp.tbl[[#This Row],[Sulf]]&gt;0.5,vp.tbl[[#This Row],[Unknown]]=0),1,0)</f>
        <v>0</v>
      </c>
      <c r="AA344">
        <f>IF(AND(vp.tbl[[#This Row],[CrudeType]]="Crude",vp.tbl[[#This Row],[Dens]]&lt;=825,vp.tbl[[#This Row],[Sulf]]&lt;=0.5,vp.tbl[[#This Row],[Unknown]]=0),1,0)</f>
        <v>1</v>
      </c>
      <c r="AB344">
        <f>IF(AND(vp.tbl[[#This Row],[CrudeType]]="Crude",vp.tbl[[#This Row],[Dens]]&gt;825,vp.tbl[[#This Row],[Dens]]&lt;=870,vp.tbl[[#This Row],[Sulf]]&gt;0.5,vp.tbl[[#This Row],[Unknown]]=0),1,0)</f>
        <v>0</v>
      </c>
      <c r="AC344">
        <f>IF(AND(vp.tbl[[#This Row],[CrudeType]]="Crude",vp.tbl[[#This Row],[Dens]]&gt;825,vp.tbl[[#This Row],[Dens]]&lt;=900,vp.tbl[[#This Row],[Sulf]]&lt;=0.5,vp.tbl[[#This Row],[Unknown]]=0),1,0)</f>
        <v>0</v>
      </c>
      <c r="AD344">
        <f>IF(AND(vp.tbl[[#This Row],[CrudeType]]="Crude",vp.tbl[[#This Row],[Dens]]&gt;870,vp.tbl[[#This Row],[Dens]]&lt;=900,vp.tbl[[#This Row],[Sulf]]&gt;0.5,vp.tbl[[#This Row],[Unknown]]=0),1,0)</f>
        <v>0</v>
      </c>
      <c r="AE344">
        <f>IF(AND(vp.tbl[[#This Row],[CrudeType]]="Crude",vp.tbl[[#This Row],[Dens]]&gt;900,vp.tbl[[#This Row],[Sulf]]&lt;=0.5,vp.tbl[[#This Row],[Unknown]]=0),1,0)</f>
        <v>0</v>
      </c>
      <c r="AF344">
        <f>IF(AND(vp.tbl[[#This Row],[CrudeType]]="Crude",vp.tbl[[#This Row],[Dens]]&gt;900,vp.tbl[[#This Row],[Sulf]]&lt;=0.5,vp.tbl[[#This Row],[Unknown]]=0),1,0)</f>
        <v>0</v>
      </c>
      <c r="AG344" t="str">
        <f>INDEX(vp.tbl[[#Headers],[Unknown]:[Heavy_SW]],MATCH(1,vp.tbl[[#This Row],[Unknown]:[Heavy_SW]],0))</f>
        <v>Light_SW</v>
      </c>
      <c r="AH344" t="e">
        <f>INDEX([1]!crudeBD.lkup[Number],MATCH(vp.tbl[[#This Row],[Crude_Breakdown]],[1]!crudeBD.lkup[Crude Breakdown],0))</f>
        <v>#REF!</v>
      </c>
      <c r="AI344">
        <f>MONTH(vp.tbl[[#This Row],[SDate]])</f>
        <v>10</v>
      </c>
      <c r="AJ344" s="5">
        <f>IFERROR(vp.tbl[[#This Row],[Sulf]]*vp.tbl[[#This Row],[Net Dens]],"")</f>
        <v>4883124.275820001</v>
      </c>
      <c r="AK344" s="5">
        <f>IFERROR(vp.tbl[[#This Row],[Dens]]*vp.tbl[[#This Row],[VolumeM3]],"")</f>
        <v>32554161.838800006</v>
      </c>
      <c r="AL344" s="5">
        <f>IFERROR(vp.tbl[[#This Row],[VP]]*vp.tbl[[#This Row],[VolumeM3]],"")</f>
        <v>3689632.7944</v>
      </c>
      <c r="AM344" s="4">
        <f>IFERROR((vp.tbl[[#This Row],[VP]]-INDEX(crudeBD.lkup.complete[Mean_VP],MATCH(vp.tbl[[#This Row],[Crude_Breakdown]],crudeBD.lkup.complete[Crude Breakdown],0)))^2,"")</f>
        <v>0.90309591715325266</v>
      </c>
      <c r="AN344" s="4">
        <f>IFERROR((vp.tbl[[#This Row],[Dens]]-INDEX(crudeBD.lkup.complete[Mean_Dens],MATCH(vp.tbl[[#This Row],[Crude_Breakdown]],crudeBD.lkup.complete[Crude Breakdown],0)))^2,"")</f>
        <v>1.2431861501234131E-2</v>
      </c>
      <c r="AO344" s="4">
        <f>IFERROR((vp.tbl[[#This Row],[Sulf]]-INDEX(crudeBD.lkup.complete[Mean_Sulf],MATCH(vp.tbl[[#This Row],[Crude_Breakdown]],crudeBD.lkup.complete[Crude Breakdown],0)))^2,"")</f>
        <v>7.4376501105998362E-3</v>
      </c>
      <c r="AP344">
        <f>IF(AND(vp.tbl[[#This Row],[SDate]]&gt;=DATE(YEAR(vp.tbl[[#This Row],[SDate]]),5,1),vp.tbl[[#This Row],[SDate]]&lt;=DATE(YEAR(vp.tbl[[#This Row],[SDate]]),9,15)),1,0)</f>
        <v>0</v>
      </c>
      <c r="AQ344" s="15">
        <f>IF(vp.tbl[[#This Row],[SDate]]&lt;DATE(2016,12,1),0,1)</f>
        <v>0</v>
      </c>
    </row>
    <row r="345" spans="1:43" x14ac:dyDescent="0.25">
      <c r="A345">
        <v>344</v>
      </c>
      <c r="B345" t="s">
        <v>49</v>
      </c>
      <c r="C345" t="s">
        <v>49</v>
      </c>
      <c r="D345" t="s">
        <v>92</v>
      </c>
      <c r="F345" s="1">
        <v>42669</v>
      </c>
      <c r="G345" s="2">
        <v>80.599999999999994</v>
      </c>
      <c r="H345" s="2"/>
      <c r="I345" s="2">
        <v>0.12</v>
      </c>
      <c r="J345" s="2"/>
      <c r="K345" s="2"/>
      <c r="L345" s="2">
        <v>823</v>
      </c>
      <c r="M345" s="2">
        <v>823</v>
      </c>
      <c r="N345" s="2">
        <f ca="1">INDEX(INDIRECT(_xlfn.CONCAT("weather.tbl[",N$1,"]")),MATCH(vp.tbl[[#This Row],[SDate]],weather.tbl[Date],0))</f>
        <v>4.8166666666666673</v>
      </c>
      <c r="O345" s="2">
        <f ca="1">INDEX(INDIRECT(_xlfn.CONCAT("weather.tbl[",O$1,"]")),MATCH(vp.tbl[[#This Row],[SDate]],weather.tbl[Date],0))</f>
        <v>5.0785714285714292</v>
      </c>
      <c r="P345" s="2">
        <f ca="1">INDEX(INDIRECT(_xlfn.CONCAT("weather.tbl[",P$1,"]")),MATCH(vp.tbl[[#This Row],[SDate]],weather.tbl[Date],0))</f>
        <v>5.4</v>
      </c>
      <c r="Q345" s="2">
        <f ca="1">INDEX(INDIRECT(_xlfn.CONCAT("weather.tbl[",Q$1,"]")),MATCH(vp.tbl[[#This Row],[SDate]],weather.tbl[Date],0))</f>
        <v>3.9</v>
      </c>
      <c r="R345" s="2">
        <f ca="1">INDEX(INDIRECT(_xlfn.CONCAT("weather.tbl[",R$1,"]")),MATCH(vp.tbl[[#This Row],[SDate]],weather.tbl[Date],0))</f>
        <v>3.8</v>
      </c>
      <c r="S345" s="2">
        <f ca="1">INDEX(INDIRECT(_xlfn.CONCAT("weather.tbl[",S$1,"]")),MATCH(vp.tbl[[#This Row],[SDate]],weather.tbl[Date],0))</f>
        <v>5.3</v>
      </c>
      <c r="T345" s="2">
        <f ca="1">INDEX(INDIRECT(_xlfn.CONCAT("weather.tbl[",T$1,"]")),MATCH(vp.tbl[[#This Row],[SDate]],weather.tbl[Date],0))</f>
        <v>5.5</v>
      </c>
      <c r="U345" s="2">
        <f ca="1">INDEX(INDIRECT(_xlfn.CONCAT("weather.tbl[",U$1,"]")),MATCH(vp.tbl[[#This Row],[SDate]],weather.tbl[Date],0))</f>
        <v>5</v>
      </c>
      <c r="V345" s="2">
        <v>18306.618999999999</v>
      </c>
      <c r="W345" t="s">
        <v>48</v>
      </c>
      <c r="X345">
        <f>IF(OR(vp.tbl[[#This Row],[Sulf]]="",vp.tbl[[#This Row],[Dens]]=""),1,0)</f>
        <v>0</v>
      </c>
      <c r="Y345">
        <f>IF(vp.tbl[[#This Row],[CrudeType]]="C5+",1,0)</f>
        <v>0</v>
      </c>
      <c r="Z345">
        <f>IF(AND(vp.tbl[[#This Row],[CrudeType]]="Crude",vp.tbl[[#This Row],[Dens]]&lt;=825,vp.tbl[[#This Row],[Sulf]]&gt;0.5,vp.tbl[[#This Row],[Unknown]]=0),1,0)</f>
        <v>0</v>
      </c>
      <c r="AA345">
        <f>IF(AND(vp.tbl[[#This Row],[CrudeType]]="Crude",vp.tbl[[#This Row],[Dens]]&lt;=825,vp.tbl[[#This Row],[Sulf]]&lt;=0.5,vp.tbl[[#This Row],[Unknown]]=0),1,0)</f>
        <v>1</v>
      </c>
      <c r="AB345">
        <f>IF(AND(vp.tbl[[#This Row],[CrudeType]]="Crude",vp.tbl[[#This Row],[Dens]]&gt;825,vp.tbl[[#This Row],[Dens]]&lt;=870,vp.tbl[[#This Row],[Sulf]]&gt;0.5,vp.tbl[[#This Row],[Unknown]]=0),1,0)</f>
        <v>0</v>
      </c>
      <c r="AC345">
        <f>IF(AND(vp.tbl[[#This Row],[CrudeType]]="Crude",vp.tbl[[#This Row],[Dens]]&gt;825,vp.tbl[[#This Row],[Dens]]&lt;=900,vp.tbl[[#This Row],[Sulf]]&lt;=0.5,vp.tbl[[#This Row],[Unknown]]=0),1,0)</f>
        <v>0</v>
      </c>
      <c r="AD345">
        <f>IF(AND(vp.tbl[[#This Row],[CrudeType]]="Crude",vp.tbl[[#This Row],[Dens]]&gt;870,vp.tbl[[#This Row],[Dens]]&lt;=900,vp.tbl[[#This Row],[Sulf]]&gt;0.5,vp.tbl[[#This Row],[Unknown]]=0),1,0)</f>
        <v>0</v>
      </c>
      <c r="AE345">
        <f>IF(AND(vp.tbl[[#This Row],[CrudeType]]="Crude",vp.tbl[[#This Row],[Dens]]&gt;900,vp.tbl[[#This Row],[Sulf]]&lt;=0.5,vp.tbl[[#This Row],[Unknown]]=0),1,0)</f>
        <v>0</v>
      </c>
      <c r="AF345">
        <f>IF(AND(vp.tbl[[#This Row],[CrudeType]]="Crude",vp.tbl[[#This Row],[Dens]]&gt;900,vp.tbl[[#This Row],[Sulf]]&lt;=0.5,vp.tbl[[#This Row],[Unknown]]=0),1,0)</f>
        <v>0</v>
      </c>
      <c r="AG345" t="str">
        <f>INDEX(vp.tbl[[#Headers],[Unknown]:[Heavy_SW]],MATCH(1,vp.tbl[[#This Row],[Unknown]:[Heavy_SW]],0))</f>
        <v>Light_SW</v>
      </c>
      <c r="AH345" t="e">
        <f>INDEX([1]!crudeBD.lkup[Number],MATCH(vp.tbl[[#This Row],[Crude_Breakdown]],[1]!crudeBD.lkup[Crude Breakdown],0))</f>
        <v>#REF!</v>
      </c>
      <c r="AI345">
        <f>MONTH(vp.tbl[[#This Row],[SDate]])</f>
        <v>10</v>
      </c>
      <c r="AJ345" s="5">
        <f>IFERROR(vp.tbl[[#This Row],[Sulf]]*vp.tbl[[#This Row],[Net Dens]],"")</f>
        <v>1807961.6924399999</v>
      </c>
      <c r="AK345" s="5">
        <f>IFERROR(vp.tbl[[#This Row],[Dens]]*vp.tbl[[#This Row],[VolumeM3]],"")</f>
        <v>15066347.436999999</v>
      </c>
      <c r="AL345" s="5">
        <f>IFERROR(vp.tbl[[#This Row],[VP]]*vp.tbl[[#This Row],[VolumeM3]],"")</f>
        <v>1475513.4913999997</v>
      </c>
      <c r="AM345" s="4">
        <f>IFERROR((vp.tbl[[#This Row],[VP]]-INDEX(crudeBD.lkup.complete[Mean_VP],MATCH(vp.tbl[[#This Row],[Crude_Breakdown]],crudeBD.lkup.complete[Crude Breakdown],0)))^2,"")</f>
        <v>142.80999487185656</v>
      </c>
      <c r="AN345" s="4">
        <f>IFERROR((vp.tbl[[#This Row],[Dens]]-INDEX(crudeBD.lkup.complete[Mean_Dens],MATCH(vp.tbl[[#This Row],[Crude_Breakdown]],crudeBD.lkup.complete[Crude Breakdown],0)))^2,"")</f>
        <v>215.75208342945197</v>
      </c>
      <c r="AO345" s="4">
        <f>IFERROR((vp.tbl[[#This Row],[Sulf]]-INDEX(crudeBD.lkup.complete[Mean_Sulf],MATCH(vp.tbl[[#This Row],[Crude_Breakdown]],crudeBD.lkup.complete[Crude Breakdown],0)))^2,"")</f>
        <v>1.3512158821401221E-2</v>
      </c>
      <c r="AP345">
        <f>IF(AND(vp.tbl[[#This Row],[SDate]]&gt;=DATE(YEAR(vp.tbl[[#This Row],[SDate]]),5,1),vp.tbl[[#This Row],[SDate]]&lt;=DATE(YEAR(vp.tbl[[#This Row],[SDate]]),9,15)),1,0)</f>
        <v>0</v>
      </c>
      <c r="AQ345" s="15">
        <f>IF(vp.tbl[[#This Row],[SDate]]&lt;DATE(2016,12,1),0,1)</f>
        <v>0</v>
      </c>
    </row>
    <row r="346" spans="1:43" x14ac:dyDescent="0.25">
      <c r="A346">
        <v>345</v>
      </c>
      <c r="B346" t="s">
        <v>51</v>
      </c>
      <c r="C346" t="s">
        <v>51</v>
      </c>
      <c r="D346" t="s">
        <v>58</v>
      </c>
      <c r="F346" s="1">
        <v>42669</v>
      </c>
      <c r="G346" s="2">
        <v>71.599999999999994</v>
      </c>
      <c r="H346" s="2"/>
      <c r="I346" s="2">
        <v>1.49</v>
      </c>
      <c r="J346" s="2"/>
      <c r="K346" s="2"/>
      <c r="L346" s="2">
        <v>857.1</v>
      </c>
      <c r="M346" s="2">
        <v>857.1</v>
      </c>
      <c r="N346" s="2">
        <f ca="1">INDEX(INDIRECT(_xlfn.CONCAT("weather.tbl[",N$1,"]")),MATCH(vp.tbl[[#This Row],[SDate]],weather.tbl[Date],0))</f>
        <v>4.8166666666666673</v>
      </c>
      <c r="O346" s="2">
        <f ca="1">INDEX(INDIRECT(_xlfn.CONCAT("weather.tbl[",O$1,"]")),MATCH(vp.tbl[[#This Row],[SDate]],weather.tbl[Date],0))</f>
        <v>5.0785714285714292</v>
      </c>
      <c r="P346" s="2">
        <f ca="1">INDEX(INDIRECT(_xlfn.CONCAT("weather.tbl[",P$1,"]")),MATCH(vp.tbl[[#This Row],[SDate]],weather.tbl[Date],0))</f>
        <v>5.4</v>
      </c>
      <c r="Q346" s="2">
        <f ca="1">INDEX(INDIRECT(_xlfn.CONCAT("weather.tbl[",Q$1,"]")),MATCH(vp.tbl[[#This Row],[SDate]],weather.tbl[Date],0))</f>
        <v>3.9</v>
      </c>
      <c r="R346" s="2">
        <f ca="1">INDEX(INDIRECT(_xlfn.CONCAT("weather.tbl[",R$1,"]")),MATCH(vp.tbl[[#This Row],[SDate]],weather.tbl[Date],0))</f>
        <v>3.8</v>
      </c>
      <c r="S346" s="2">
        <f ca="1">INDEX(INDIRECT(_xlfn.CONCAT("weather.tbl[",S$1,"]")),MATCH(vp.tbl[[#This Row],[SDate]],weather.tbl[Date],0))</f>
        <v>5.3</v>
      </c>
      <c r="T346" s="2">
        <f ca="1">INDEX(INDIRECT(_xlfn.CONCAT("weather.tbl[",T$1,"]")),MATCH(vp.tbl[[#This Row],[SDate]],weather.tbl[Date],0))</f>
        <v>5.5</v>
      </c>
      <c r="U346" s="2">
        <f ca="1">INDEX(INDIRECT(_xlfn.CONCAT("weather.tbl[",U$1,"]")),MATCH(vp.tbl[[#This Row],[SDate]],weather.tbl[Date],0))</f>
        <v>5</v>
      </c>
      <c r="V346" s="2">
        <v>5497.5420000000004</v>
      </c>
      <c r="W346" t="s">
        <v>48</v>
      </c>
      <c r="X346">
        <f>IF(OR(vp.tbl[[#This Row],[Sulf]]="",vp.tbl[[#This Row],[Dens]]=""),1,0)</f>
        <v>0</v>
      </c>
      <c r="Y346">
        <f>IF(vp.tbl[[#This Row],[CrudeType]]="C5+",1,0)</f>
        <v>0</v>
      </c>
      <c r="Z346">
        <f>IF(AND(vp.tbl[[#This Row],[CrudeType]]="Crude",vp.tbl[[#This Row],[Dens]]&lt;=825,vp.tbl[[#This Row],[Sulf]]&gt;0.5,vp.tbl[[#This Row],[Unknown]]=0),1,0)</f>
        <v>0</v>
      </c>
      <c r="AA346">
        <f>IF(AND(vp.tbl[[#This Row],[CrudeType]]="Crude",vp.tbl[[#This Row],[Dens]]&lt;=825,vp.tbl[[#This Row],[Sulf]]&lt;=0.5,vp.tbl[[#This Row],[Unknown]]=0),1,0)</f>
        <v>0</v>
      </c>
      <c r="AB346">
        <f>IF(AND(vp.tbl[[#This Row],[CrudeType]]="Crude",vp.tbl[[#This Row],[Dens]]&gt;825,vp.tbl[[#This Row],[Dens]]&lt;=870,vp.tbl[[#This Row],[Sulf]]&gt;0.5,vp.tbl[[#This Row],[Unknown]]=0),1,0)</f>
        <v>1</v>
      </c>
      <c r="AC346">
        <f>IF(AND(vp.tbl[[#This Row],[CrudeType]]="Crude",vp.tbl[[#This Row],[Dens]]&gt;825,vp.tbl[[#This Row],[Dens]]&lt;=900,vp.tbl[[#This Row],[Sulf]]&lt;=0.5,vp.tbl[[#This Row],[Unknown]]=0),1,0)</f>
        <v>0</v>
      </c>
      <c r="AD346">
        <f>IF(AND(vp.tbl[[#This Row],[CrudeType]]="Crude",vp.tbl[[#This Row],[Dens]]&gt;870,vp.tbl[[#This Row],[Dens]]&lt;=900,vp.tbl[[#This Row],[Sulf]]&gt;0.5,vp.tbl[[#This Row],[Unknown]]=0),1,0)</f>
        <v>0</v>
      </c>
      <c r="AE346">
        <f>IF(AND(vp.tbl[[#This Row],[CrudeType]]="Crude",vp.tbl[[#This Row],[Dens]]&gt;900,vp.tbl[[#This Row],[Sulf]]&lt;=0.5,vp.tbl[[#This Row],[Unknown]]=0),1,0)</f>
        <v>0</v>
      </c>
      <c r="AF346">
        <f>IF(AND(vp.tbl[[#This Row],[CrudeType]]="Crude",vp.tbl[[#This Row],[Dens]]&gt;900,vp.tbl[[#This Row],[Sulf]]&lt;=0.5,vp.tbl[[#This Row],[Unknown]]=0),1,0)</f>
        <v>0</v>
      </c>
      <c r="AG346" t="str">
        <f>INDEX(vp.tbl[[#Headers],[Unknown]:[Heavy_SW]],MATCH(1,vp.tbl[[#This Row],[Unknown]:[Heavy_SW]],0))</f>
        <v>Medium_LSB</v>
      </c>
      <c r="AH346" t="e">
        <f>INDEX([1]!crudeBD.lkup[Number],MATCH(vp.tbl[[#This Row],[Crude_Breakdown]],[1]!crudeBD.lkup[Crude Breakdown],0))</f>
        <v>#REF!</v>
      </c>
      <c r="AI346">
        <f>MONTH(vp.tbl[[#This Row],[SDate]])</f>
        <v>10</v>
      </c>
      <c r="AJ346" s="5">
        <f>IFERROR(vp.tbl[[#This Row],[Sulf]]*vp.tbl[[#This Row],[Net Dens]],"")</f>
        <v>7020795.4398180004</v>
      </c>
      <c r="AK346" s="5">
        <f>IFERROR(vp.tbl[[#This Row],[Dens]]*vp.tbl[[#This Row],[VolumeM3]],"")</f>
        <v>4711943.2482000003</v>
      </c>
      <c r="AL346" s="5">
        <f>IFERROR(vp.tbl[[#This Row],[VP]]*vp.tbl[[#This Row],[VolumeM3]],"")</f>
        <v>393624.00719999999</v>
      </c>
      <c r="AM346" s="4">
        <f>IFERROR((vp.tbl[[#This Row],[VP]]-INDEX(crudeBD.lkup.complete[Mean_VP],MATCH(vp.tbl[[#This Row],[Crude_Breakdown]],crudeBD.lkup.complete[Crude Breakdown],0)))^2,"")</f>
        <v>73.506530138759274</v>
      </c>
      <c r="AN346" s="4">
        <f>IFERROR((vp.tbl[[#This Row],[Dens]]-INDEX(crudeBD.lkup.complete[Mean_Dens],MATCH(vp.tbl[[#This Row],[Crude_Breakdown]],crudeBD.lkup.complete[Crude Breakdown],0)))^2,"")</f>
        <v>139.43304914535307</v>
      </c>
      <c r="AO346" s="4">
        <f>IFERROR((vp.tbl[[#This Row],[Sulf]]-INDEX(crudeBD.lkup.complete[Mean_Sulf],MATCH(vp.tbl[[#This Row],[Crude_Breakdown]],crudeBD.lkup.complete[Crude Breakdown],0)))^2,"")</f>
        <v>1.2299146663483974E-3</v>
      </c>
      <c r="AP346">
        <f>IF(AND(vp.tbl[[#This Row],[SDate]]&gt;=DATE(YEAR(vp.tbl[[#This Row],[SDate]]),5,1),vp.tbl[[#This Row],[SDate]]&lt;=DATE(YEAR(vp.tbl[[#This Row],[SDate]]),9,15)),1,0)</f>
        <v>0</v>
      </c>
      <c r="AQ346" s="15">
        <f>IF(vp.tbl[[#This Row],[SDate]]&lt;DATE(2016,12,1),0,1)</f>
        <v>0</v>
      </c>
    </row>
    <row r="347" spans="1:43" x14ac:dyDescent="0.25">
      <c r="A347">
        <v>346</v>
      </c>
      <c r="B347" t="s">
        <v>62</v>
      </c>
      <c r="C347" t="s">
        <v>62</v>
      </c>
      <c r="D347" t="s">
        <v>87</v>
      </c>
      <c r="F347" s="1">
        <v>42670</v>
      </c>
      <c r="G347" s="2">
        <v>87.4</v>
      </c>
      <c r="H347" s="2"/>
      <c r="I347" s="2">
        <v>0.16</v>
      </c>
      <c r="J347" s="2"/>
      <c r="K347" s="2"/>
      <c r="L347" s="2">
        <v>812.4</v>
      </c>
      <c r="M347" s="2">
        <v>812.4</v>
      </c>
      <c r="N347" s="2">
        <f ca="1">INDEX(INDIRECT(_xlfn.CONCAT("weather.tbl[",N$1,"]")),MATCH(vp.tbl[[#This Row],[SDate]],weather.tbl[Date],0))</f>
        <v>6.1833333333333336</v>
      </c>
      <c r="O347" s="2">
        <f ca="1">INDEX(INDIRECT(_xlfn.CONCAT("weather.tbl[",O$1,"]")),MATCH(vp.tbl[[#This Row],[SDate]],weather.tbl[Date],0))</f>
        <v>5.333333333333333</v>
      </c>
      <c r="P347" s="2">
        <f ca="1">INDEX(INDIRECT(_xlfn.CONCAT("weather.tbl[",P$1,"]")),MATCH(vp.tbl[[#This Row],[SDate]],weather.tbl[Date],0))</f>
        <v>7.4</v>
      </c>
      <c r="Q347" s="2">
        <f ca="1">INDEX(INDIRECT(_xlfn.CONCAT("weather.tbl[",Q$1,"]")),MATCH(vp.tbl[[#This Row],[SDate]],weather.tbl[Date],0))</f>
        <v>7.2</v>
      </c>
      <c r="R347" s="2">
        <f ca="1">INDEX(INDIRECT(_xlfn.CONCAT("weather.tbl[",R$1,"]")),MATCH(vp.tbl[[#This Row],[SDate]],weather.tbl[Date],0))</f>
        <v>3.8</v>
      </c>
      <c r="S347" s="2">
        <f ca="1">INDEX(INDIRECT(_xlfn.CONCAT("weather.tbl[",S$1,"]")),MATCH(vp.tbl[[#This Row],[SDate]],weather.tbl[Date],0))</f>
        <v>7.8</v>
      </c>
      <c r="T347" s="2">
        <f ca="1">INDEX(INDIRECT(_xlfn.CONCAT("weather.tbl[",T$1,"]")),MATCH(vp.tbl[[#This Row],[SDate]],weather.tbl[Date],0))</f>
        <v>4.9000000000000004</v>
      </c>
      <c r="U347" s="2">
        <f ca="1">INDEX(INDIRECT(_xlfn.CONCAT("weather.tbl[",U$1,"]")),MATCH(vp.tbl[[#This Row],[SDate]],weather.tbl[Date],0))</f>
        <v>6</v>
      </c>
      <c r="V347" s="2">
        <v>7104.24</v>
      </c>
      <c r="W347" t="s">
        <v>48</v>
      </c>
      <c r="X347">
        <f>IF(OR(vp.tbl[[#This Row],[Sulf]]="",vp.tbl[[#This Row],[Dens]]=""),1,0)</f>
        <v>0</v>
      </c>
      <c r="Y347">
        <f>IF(vp.tbl[[#This Row],[CrudeType]]="C5+",1,0)</f>
        <v>0</v>
      </c>
      <c r="Z347">
        <f>IF(AND(vp.tbl[[#This Row],[CrudeType]]="Crude",vp.tbl[[#This Row],[Dens]]&lt;=825,vp.tbl[[#This Row],[Sulf]]&gt;0.5,vp.tbl[[#This Row],[Unknown]]=0),1,0)</f>
        <v>0</v>
      </c>
      <c r="AA347">
        <f>IF(AND(vp.tbl[[#This Row],[CrudeType]]="Crude",vp.tbl[[#This Row],[Dens]]&lt;=825,vp.tbl[[#This Row],[Sulf]]&lt;=0.5,vp.tbl[[#This Row],[Unknown]]=0),1,0)</f>
        <v>1</v>
      </c>
      <c r="AB347">
        <f>IF(AND(vp.tbl[[#This Row],[CrudeType]]="Crude",vp.tbl[[#This Row],[Dens]]&gt;825,vp.tbl[[#This Row],[Dens]]&lt;=870,vp.tbl[[#This Row],[Sulf]]&gt;0.5,vp.tbl[[#This Row],[Unknown]]=0),1,0)</f>
        <v>0</v>
      </c>
      <c r="AC347">
        <f>IF(AND(vp.tbl[[#This Row],[CrudeType]]="Crude",vp.tbl[[#This Row],[Dens]]&gt;825,vp.tbl[[#This Row],[Dens]]&lt;=900,vp.tbl[[#This Row],[Sulf]]&lt;=0.5,vp.tbl[[#This Row],[Unknown]]=0),1,0)</f>
        <v>0</v>
      </c>
      <c r="AD347">
        <f>IF(AND(vp.tbl[[#This Row],[CrudeType]]="Crude",vp.tbl[[#This Row],[Dens]]&gt;870,vp.tbl[[#This Row],[Dens]]&lt;=900,vp.tbl[[#This Row],[Sulf]]&gt;0.5,vp.tbl[[#This Row],[Unknown]]=0),1,0)</f>
        <v>0</v>
      </c>
      <c r="AE347">
        <f>IF(AND(vp.tbl[[#This Row],[CrudeType]]="Crude",vp.tbl[[#This Row],[Dens]]&gt;900,vp.tbl[[#This Row],[Sulf]]&lt;=0.5,vp.tbl[[#This Row],[Unknown]]=0),1,0)</f>
        <v>0</v>
      </c>
      <c r="AF347">
        <f>IF(AND(vp.tbl[[#This Row],[CrudeType]]="Crude",vp.tbl[[#This Row],[Dens]]&gt;900,vp.tbl[[#This Row],[Sulf]]&lt;=0.5,vp.tbl[[#This Row],[Unknown]]=0),1,0)</f>
        <v>0</v>
      </c>
      <c r="AG347" t="str">
        <f>INDEX(vp.tbl[[#Headers],[Unknown]:[Heavy_SW]],MATCH(1,vp.tbl[[#This Row],[Unknown]:[Heavy_SW]],0))</f>
        <v>Light_SW</v>
      </c>
      <c r="AH347" t="e">
        <f>INDEX([1]!crudeBD.lkup[Number],MATCH(vp.tbl[[#This Row],[Crude_Breakdown]],[1]!crudeBD.lkup[Crude Breakdown],0))</f>
        <v>#REF!</v>
      </c>
      <c r="AI347">
        <f>MONTH(vp.tbl[[#This Row],[SDate]])</f>
        <v>10</v>
      </c>
      <c r="AJ347" s="5">
        <f>IFERROR(vp.tbl[[#This Row],[Sulf]]*vp.tbl[[#This Row],[Net Dens]],"")</f>
        <v>923437.53215999994</v>
      </c>
      <c r="AK347" s="5">
        <f>IFERROR(vp.tbl[[#This Row],[Dens]]*vp.tbl[[#This Row],[VolumeM3]],"")</f>
        <v>5771484.5759999994</v>
      </c>
      <c r="AL347" s="5">
        <f>IFERROR(vp.tbl[[#This Row],[VP]]*vp.tbl[[#This Row],[VolumeM3]],"")</f>
        <v>620910.576</v>
      </c>
      <c r="AM347" s="4">
        <f>IFERROR((vp.tbl[[#This Row],[VP]]-INDEX(crudeBD.lkup.complete[Mean_VP],MATCH(vp.tbl[[#This Row],[Crude_Breakdown]],crudeBD.lkup.complete[Crude Breakdown],0)))^2,"")</f>
        <v>26.5257300634944</v>
      </c>
      <c r="AN347" s="4">
        <f>IFERROR((vp.tbl[[#This Row],[Dens]]-INDEX(crudeBD.lkup.complete[Mean_Dens],MATCH(vp.tbl[[#This Row],[Crude_Breakdown]],crudeBD.lkup.complete[Crude Breakdown],0)))^2,"")</f>
        <v>16.715846495649235</v>
      </c>
      <c r="AO347" s="4">
        <f>IFERROR((vp.tbl[[#This Row],[Sulf]]-INDEX(crudeBD.lkup.complete[Mean_Sulf],MATCH(vp.tbl[[#This Row],[Crude_Breakdown]],crudeBD.lkup.complete[Crude Breakdown],0)))^2,"")</f>
        <v>5.8128138736660397E-3</v>
      </c>
      <c r="AP347">
        <f>IF(AND(vp.tbl[[#This Row],[SDate]]&gt;=DATE(YEAR(vp.tbl[[#This Row],[SDate]]),5,1),vp.tbl[[#This Row],[SDate]]&lt;=DATE(YEAR(vp.tbl[[#This Row],[SDate]]),9,15)),1,0)</f>
        <v>0</v>
      </c>
      <c r="AQ347" s="15">
        <f>IF(vp.tbl[[#This Row],[SDate]]&lt;DATE(2016,12,1),0,1)</f>
        <v>0</v>
      </c>
    </row>
    <row r="348" spans="1:43" x14ac:dyDescent="0.25">
      <c r="A348">
        <v>347</v>
      </c>
      <c r="B348" t="s">
        <v>49</v>
      </c>
      <c r="C348" t="s">
        <v>49</v>
      </c>
      <c r="D348" t="s">
        <v>75</v>
      </c>
      <c r="F348" s="1">
        <v>42675</v>
      </c>
      <c r="G348" s="2">
        <v>98.9</v>
      </c>
      <c r="H348" s="2"/>
      <c r="I348" s="2">
        <v>0.13</v>
      </c>
      <c r="J348" s="2"/>
      <c r="K348" s="2"/>
      <c r="L348" s="2">
        <v>803.1</v>
      </c>
      <c r="M348" s="2">
        <v>803.1</v>
      </c>
      <c r="N348" s="2">
        <f ca="1">INDEX(INDIRECT(_xlfn.CONCAT("weather.tbl[",N$1,"]")),MATCH(vp.tbl[[#This Row],[SDate]],weather.tbl[Date],0))</f>
        <v>6.2666666666666666</v>
      </c>
      <c r="O348" s="2">
        <f ca="1">INDEX(INDIRECT(_xlfn.CONCAT("weather.tbl[",O$1,"]")),MATCH(vp.tbl[[#This Row],[SDate]],weather.tbl[Date],0))</f>
        <v>5.0904761904761902</v>
      </c>
      <c r="P348" s="2">
        <f ca="1">INDEX(INDIRECT(_xlfn.CONCAT("weather.tbl[",P$1,"]")),MATCH(vp.tbl[[#This Row],[SDate]],weather.tbl[Date],0))</f>
        <v>6.6</v>
      </c>
      <c r="Q348" s="2">
        <f ca="1">INDEX(INDIRECT(_xlfn.CONCAT("weather.tbl[",Q$1,"]")),MATCH(vp.tbl[[#This Row],[SDate]],weather.tbl[Date],0))</f>
        <v>6.7</v>
      </c>
      <c r="R348" s="2">
        <f ca="1">INDEX(INDIRECT(_xlfn.CONCAT("weather.tbl[",R$1,"]")),MATCH(vp.tbl[[#This Row],[SDate]],weather.tbl[Date],0))</f>
        <v>3.8</v>
      </c>
      <c r="S348" s="2">
        <f ca="1">INDEX(INDIRECT(_xlfn.CONCAT("weather.tbl[",S$1,"]")),MATCH(vp.tbl[[#This Row],[SDate]],weather.tbl[Date],0))</f>
        <v>7</v>
      </c>
      <c r="T348" s="2">
        <f ca="1">INDEX(INDIRECT(_xlfn.CONCAT("weather.tbl[",T$1,"]")),MATCH(vp.tbl[[#This Row],[SDate]],weather.tbl[Date],0))</f>
        <v>7</v>
      </c>
      <c r="U348" s="2">
        <f ca="1">INDEX(INDIRECT(_xlfn.CONCAT("weather.tbl[",U$1,"]")),MATCH(vp.tbl[[#This Row],[SDate]],weather.tbl[Date],0))</f>
        <v>6.5</v>
      </c>
      <c r="V348" s="2">
        <v>21292.120999999999</v>
      </c>
      <c r="W348" t="s">
        <v>48</v>
      </c>
      <c r="X348">
        <f>IF(OR(vp.tbl[[#This Row],[Sulf]]="",vp.tbl[[#This Row],[Dens]]=""),1,0)</f>
        <v>0</v>
      </c>
      <c r="Y348">
        <f>IF(vp.tbl[[#This Row],[CrudeType]]="C5+",1,0)</f>
        <v>0</v>
      </c>
      <c r="Z348">
        <f>IF(AND(vp.tbl[[#This Row],[CrudeType]]="Crude",vp.tbl[[#This Row],[Dens]]&lt;=825,vp.tbl[[#This Row],[Sulf]]&gt;0.5,vp.tbl[[#This Row],[Unknown]]=0),1,0)</f>
        <v>0</v>
      </c>
      <c r="AA348">
        <f>IF(AND(vp.tbl[[#This Row],[CrudeType]]="Crude",vp.tbl[[#This Row],[Dens]]&lt;=825,vp.tbl[[#This Row],[Sulf]]&lt;=0.5,vp.tbl[[#This Row],[Unknown]]=0),1,0)</f>
        <v>1</v>
      </c>
      <c r="AB348">
        <f>IF(AND(vp.tbl[[#This Row],[CrudeType]]="Crude",vp.tbl[[#This Row],[Dens]]&gt;825,vp.tbl[[#This Row],[Dens]]&lt;=870,vp.tbl[[#This Row],[Sulf]]&gt;0.5,vp.tbl[[#This Row],[Unknown]]=0),1,0)</f>
        <v>0</v>
      </c>
      <c r="AC348">
        <f>IF(AND(vp.tbl[[#This Row],[CrudeType]]="Crude",vp.tbl[[#This Row],[Dens]]&gt;825,vp.tbl[[#This Row],[Dens]]&lt;=900,vp.tbl[[#This Row],[Sulf]]&lt;=0.5,vp.tbl[[#This Row],[Unknown]]=0),1,0)</f>
        <v>0</v>
      </c>
      <c r="AD348">
        <f>IF(AND(vp.tbl[[#This Row],[CrudeType]]="Crude",vp.tbl[[#This Row],[Dens]]&gt;870,vp.tbl[[#This Row],[Dens]]&lt;=900,vp.tbl[[#This Row],[Sulf]]&gt;0.5,vp.tbl[[#This Row],[Unknown]]=0),1,0)</f>
        <v>0</v>
      </c>
      <c r="AE348">
        <f>IF(AND(vp.tbl[[#This Row],[CrudeType]]="Crude",vp.tbl[[#This Row],[Dens]]&gt;900,vp.tbl[[#This Row],[Sulf]]&lt;=0.5,vp.tbl[[#This Row],[Unknown]]=0),1,0)</f>
        <v>0</v>
      </c>
      <c r="AF348">
        <f>IF(AND(vp.tbl[[#This Row],[CrudeType]]="Crude",vp.tbl[[#This Row],[Dens]]&gt;900,vp.tbl[[#This Row],[Sulf]]&lt;=0.5,vp.tbl[[#This Row],[Unknown]]=0),1,0)</f>
        <v>0</v>
      </c>
      <c r="AG348" t="str">
        <f>INDEX(vp.tbl[[#Headers],[Unknown]:[Heavy_SW]],MATCH(1,vp.tbl[[#This Row],[Unknown]:[Heavy_SW]],0))</f>
        <v>Light_SW</v>
      </c>
      <c r="AH348" t="e">
        <f>INDEX([1]!crudeBD.lkup[Number],MATCH(vp.tbl[[#This Row],[Crude_Breakdown]],[1]!crudeBD.lkup[Crude Breakdown],0))</f>
        <v>#REF!</v>
      </c>
      <c r="AI348">
        <f>MONTH(vp.tbl[[#This Row],[SDate]])</f>
        <v>11</v>
      </c>
      <c r="AJ348" s="5">
        <f>IFERROR(vp.tbl[[#This Row],[Sulf]]*vp.tbl[[#This Row],[Net Dens]],"")</f>
        <v>2222961.3087630002</v>
      </c>
      <c r="AK348" s="5">
        <f>IFERROR(vp.tbl[[#This Row],[Dens]]*vp.tbl[[#This Row],[VolumeM3]],"")</f>
        <v>17099702.375100002</v>
      </c>
      <c r="AL348" s="5">
        <f>IFERROR(vp.tbl[[#This Row],[VP]]*vp.tbl[[#This Row],[VolumeM3]],"")</f>
        <v>2105790.7669000002</v>
      </c>
      <c r="AM348" s="4">
        <f>IFERROR((vp.tbl[[#This Row],[VP]]-INDEX(crudeBD.lkup.complete[Mean_VP],MATCH(vp.tbl[[#This Row],[Crude_Breakdown]],crudeBD.lkup.complete[Crude Breakdown],0)))^2,"")</f>
        <v>40.318517519941203</v>
      </c>
      <c r="AN348" s="4">
        <f>IFERROR((vp.tbl[[#This Row],[Dens]]-INDEX(crudeBD.lkup.complete[Mean_Dens],MATCH(vp.tbl[[#This Row],[Crude_Breakdown]],crudeBD.lkup.complete[Crude Breakdown],0)))^2,"")</f>
        <v>27.159714091463936</v>
      </c>
      <c r="AO348" s="4">
        <f>IFERROR((vp.tbl[[#This Row],[Sulf]]-INDEX(crudeBD.lkup.complete[Mean_Sulf],MATCH(vp.tbl[[#This Row],[Crude_Breakdown]],crudeBD.lkup.complete[Crude Breakdown],0)))^2,"")</f>
        <v>1.1287322584467423E-2</v>
      </c>
      <c r="AP348">
        <f>IF(AND(vp.tbl[[#This Row],[SDate]]&gt;=DATE(YEAR(vp.tbl[[#This Row],[SDate]]),5,1),vp.tbl[[#This Row],[SDate]]&lt;=DATE(YEAR(vp.tbl[[#This Row],[SDate]]),9,15)),1,0)</f>
        <v>0</v>
      </c>
      <c r="AQ348" s="15">
        <f>IF(vp.tbl[[#This Row],[SDate]]&lt;DATE(2016,12,1),0,1)</f>
        <v>0</v>
      </c>
    </row>
    <row r="349" spans="1:43" x14ac:dyDescent="0.25">
      <c r="A349">
        <v>348</v>
      </c>
      <c r="B349" t="s">
        <v>62</v>
      </c>
      <c r="C349" t="s">
        <v>62</v>
      </c>
      <c r="D349" t="s">
        <v>83</v>
      </c>
      <c r="F349" s="1">
        <v>42675</v>
      </c>
      <c r="G349" s="2">
        <v>113.3</v>
      </c>
      <c r="H349" s="2"/>
      <c r="I349" s="2">
        <v>0.17</v>
      </c>
      <c r="J349" s="2"/>
      <c r="K349" s="2"/>
      <c r="L349" s="2">
        <v>811.6</v>
      </c>
      <c r="M349" s="2">
        <v>811.6</v>
      </c>
      <c r="N349" s="2">
        <f ca="1">INDEX(INDIRECT(_xlfn.CONCAT("weather.tbl[",N$1,"]")),MATCH(vp.tbl[[#This Row],[SDate]],weather.tbl[Date],0))</f>
        <v>6.2666666666666666</v>
      </c>
      <c r="O349" s="2">
        <f ca="1">INDEX(INDIRECT(_xlfn.CONCAT("weather.tbl[",O$1,"]")),MATCH(vp.tbl[[#This Row],[SDate]],weather.tbl[Date],0))</f>
        <v>5.0904761904761902</v>
      </c>
      <c r="P349" s="2">
        <f ca="1">INDEX(INDIRECT(_xlfn.CONCAT("weather.tbl[",P$1,"]")),MATCH(vp.tbl[[#This Row],[SDate]],weather.tbl[Date],0))</f>
        <v>6.6</v>
      </c>
      <c r="Q349" s="2">
        <f ca="1">INDEX(INDIRECT(_xlfn.CONCAT("weather.tbl[",Q$1,"]")),MATCH(vp.tbl[[#This Row],[SDate]],weather.tbl[Date],0))</f>
        <v>6.7</v>
      </c>
      <c r="R349" s="2">
        <f ca="1">INDEX(INDIRECT(_xlfn.CONCAT("weather.tbl[",R$1,"]")),MATCH(vp.tbl[[#This Row],[SDate]],weather.tbl[Date],0))</f>
        <v>3.8</v>
      </c>
      <c r="S349" s="2">
        <f ca="1">INDEX(INDIRECT(_xlfn.CONCAT("weather.tbl[",S$1,"]")),MATCH(vp.tbl[[#This Row],[SDate]],weather.tbl[Date],0))</f>
        <v>7</v>
      </c>
      <c r="T349" s="2">
        <f ca="1">INDEX(INDIRECT(_xlfn.CONCAT("weather.tbl[",T$1,"]")),MATCH(vp.tbl[[#This Row],[SDate]],weather.tbl[Date],0))</f>
        <v>7</v>
      </c>
      <c r="U349" s="2">
        <f ca="1">INDEX(INDIRECT(_xlfn.CONCAT("weather.tbl[",U$1,"]")),MATCH(vp.tbl[[#This Row],[SDate]],weather.tbl[Date],0))</f>
        <v>6.5</v>
      </c>
      <c r="V349" s="2">
        <v>9944.7690000000002</v>
      </c>
      <c r="W349" t="s">
        <v>48</v>
      </c>
      <c r="X349">
        <f>IF(OR(vp.tbl[[#This Row],[Sulf]]="",vp.tbl[[#This Row],[Dens]]=""),1,0)</f>
        <v>0</v>
      </c>
      <c r="Y349">
        <f>IF(vp.tbl[[#This Row],[CrudeType]]="C5+",1,0)</f>
        <v>0</v>
      </c>
      <c r="Z349">
        <f>IF(AND(vp.tbl[[#This Row],[CrudeType]]="Crude",vp.tbl[[#This Row],[Dens]]&lt;=825,vp.tbl[[#This Row],[Sulf]]&gt;0.5,vp.tbl[[#This Row],[Unknown]]=0),1,0)</f>
        <v>0</v>
      </c>
      <c r="AA349">
        <f>IF(AND(vp.tbl[[#This Row],[CrudeType]]="Crude",vp.tbl[[#This Row],[Dens]]&lt;=825,vp.tbl[[#This Row],[Sulf]]&lt;=0.5,vp.tbl[[#This Row],[Unknown]]=0),1,0)</f>
        <v>1</v>
      </c>
      <c r="AB349">
        <f>IF(AND(vp.tbl[[#This Row],[CrudeType]]="Crude",vp.tbl[[#This Row],[Dens]]&gt;825,vp.tbl[[#This Row],[Dens]]&lt;=870,vp.tbl[[#This Row],[Sulf]]&gt;0.5,vp.tbl[[#This Row],[Unknown]]=0),1,0)</f>
        <v>0</v>
      </c>
      <c r="AC349">
        <f>IF(AND(vp.tbl[[#This Row],[CrudeType]]="Crude",vp.tbl[[#This Row],[Dens]]&gt;825,vp.tbl[[#This Row],[Dens]]&lt;=900,vp.tbl[[#This Row],[Sulf]]&lt;=0.5,vp.tbl[[#This Row],[Unknown]]=0),1,0)</f>
        <v>0</v>
      </c>
      <c r="AD349">
        <f>IF(AND(vp.tbl[[#This Row],[CrudeType]]="Crude",vp.tbl[[#This Row],[Dens]]&gt;870,vp.tbl[[#This Row],[Dens]]&lt;=900,vp.tbl[[#This Row],[Sulf]]&gt;0.5,vp.tbl[[#This Row],[Unknown]]=0),1,0)</f>
        <v>0</v>
      </c>
      <c r="AE349">
        <f>IF(AND(vp.tbl[[#This Row],[CrudeType]]="Crude",vp.tbl[[#This Row],[Dens]]&gt;900,vp.tbl[[#This Row],[Sulf]]&lt;=0.5,vp.tbl[[#This Row],[Unknown]]=0),1,0)</f>
        <v>0</v>
      </c>
      <c r="AF349">
        <f>IF(AND(vp.tbl[[#This Row],[CrudeType]]="Crude",vp.tbl[[#This Row],[Dens]]&gt;900,vp.tbl[[#This Row],[Sulf]]&lt;=0.5,vp.tbl[[#This Row],[Unknown]]=0),1,0)</f>
        <v>0</v>
      </c>
      <c r="AG349" t="str">
        <f>INDEX(vp.tbl[[#Headers],[Unknown]:[Heavy_SW]],MATCH(1,vp.tbl[[#This Row],[Unknown]:[Heavy_SW]],0))</f>
        <v>Light_SW</v>
      </c>
      <c r="AH349" t="e">
        <f>INDEX([1]!crudeBD.lkup[Number],MATCH(vp.tbl[[#This Row],[Crude_Breakdown]],[1]!crudeBD.lkup[Crude Breakdown],0))</f>
        <v>#REF!</v>
      </c>
      <c r="AI349">
        <f>MONTH(vp.tbl[[#This Row],[SDate]])</f>
        <v>11</v>
      </c>
      <c r="AJ349" s="5">
        <f>IFERROR(vp.tbl[[#This Row],[Sulf]]*vp.tbl[[#This Row],[Net Dens]],"")</f>
        <v>1372099.6684680001</v>
      </c>
      <c r="AK349" s="5">
        <f>IFERROR(vp.tbl[[#This Row],[Dens]]*vp.tbl[[#This Row],[VolumeM3]],"")</f>
        <v>8071174.5204000007</v>
      </c>
      <c r="AL349" s="5">
        <f>IFERROR(vp.tbl[[#This Row],[VP]]*vp.tbl[[#This Row],[VolumeM3]],"")</f>
        <v>1126742.3277</v>
      </c>
      <c r="AM349" s="4">
        <f>IFERROR((vp.tbl[[#This Row],[VP]]-INDEX(crudeBD.lkup.complete[Mean_VP],MATCH(vp.tbl[[#This Row],[Crude_Breakdown]],crudeBD.lkup.complete[Crude Breakdown],0)))^2,"")</f>
        <v>430.54948616105685</v>
      </c>
      <c r="AN349" s="4">
        <f>IFERROR((vp.tbl[[#This Row],[Dens]]-INDEX(crudeBD.lkup.complete[Mean_Dens],MATCH(vp.tbl[[#This Row],[Crude_Breakdown]],crudeBD.lkup.complete[Crude Breakdown],0)))^2,"")</f>
        <v>10.814243708192773</v>
      </c>
      <c r="AO349" s="4">
        <f>IFERROR((vp.tbl[[#This Row],[Sulf]]-INDEX(crudeBD.lkup.complete[Mean_Sulf],MATCH(vp.tbl[[#This Row],[Crude_Breakdown]],crudeBD.lkup.complete[Crude Breakdown],0)))^2,"")</f>
        <v>4.3879776367322437E-3</v>
      </c>
      <c r="AP349">
        <f>IF(AND(vp.tbl[[#This Row],[SDate]]&gt;=DATE(YEAR(vp.tbl[[#This Row],[SDate]]),5,1),vp.tbl[[#This Row],[SDate]]&lt;=DATE(YEAR(vp.tbl[[#This Row],[SDate]]),9,15)),1,0)</f>
        <v>0</v>
      </c>
      <c r="AQ349" s="15">
        <f>IF(vp.tbl[[#This Row],[SDate]]&lt;DATE(2016,12,1),0,1)</f>
        <v>0</v>
      </c>
    </row>
    <row r="350" spans="1:43" x14ac:dyDescent="0.25">
      <c r="A350">
        <v>349</v>
      </c>
      <c r="B350" t="s">
        <v>49</v>
      </c>
      <c r="C350" t="s">
        <v>49</v>
      </c>
      <c r="D350" t="s">
        <v>75</v>
      </c>
      <c r="F350" s="1">
        <v>42677</v>
      </c>
      <c r="G350" s="2">
        <v>105.1</v>
      </c>
      <c r="H350" s="2"/>
      <c r="I350" s="2">
        <v>0.13</v>
      </c>
      <c r="J350" s="2"/>
      <c r="K350" s="2"/>
      <c r="L350" s="2">
        <v>800.4</v>
      </c>
      <c r="M350" s="2">
        <v>800.4</v>
      </c>
      <c r="N350" s="2">
        <f ca="1">INDEX(INDIRECT(_xlfn.CONCAT("weather.tbl[",N$1,"]")),MATCH(vp.tbl[[#This Row],[SDate]],weather.tbl[Date],0))</f>
        <v>6.4666666666666659</v>
      </c>
      <c r="O350" s="2">
        <f ca="1">INDEX(INDIRECT(_xlfn.CONCAT("weather.tbl[",O$1,"]")),MATCH(vp.tbl[[#This Row],[SDate]],weather.tbl[Date],0))</f>
        <v>5.0904761904761902</v>
      </c>
      <c r="P350" s="2">
        <f ca="1">INDEX(INDIRECT(_xlfn.CONCAT("weather.tbl[",P$1,"]")),MATCH(vp.tbl[[#This Row],[SDate]],weather.tbl[Date],0))</f>
        <v>7.9</v>
      </c>
      <c r="Q350" s="2">
        <f ca="1">INDEX(INDIRECT(_xlfn.CONCAT("weather.tbl[",Q$1,"]")),MATCH(vp.tbl[[#This Row],[SDate]],weather.tbl[Date],0))</f>
        <v>7.7</v>
      </c>
      <c r="R350" s="2">
        <f ca="1">INDEX(INDIRECT(_xlfn.CONCAT("weather.tbl[",R$1,"]")),MATCH(vp.tbl[[#This Row],[SDate]],weather.tbl[Date],0))</f>
        <v>3.8</v>
      </c>
      <c r="S350" s="2">
        <f ca="1">INDEX(INDIRECT(_xlfn.CONCAT("weather.tbl[",S$1,"]")),MATCH(vp.tbl[[#This Row],[SDate]],weather.tbl[Date],0))</f>
        <v>8.3000000000000007</v>
      </c>
      <c r="T350" s="2">
        <f ca="1">INDEX(INDIRECT(_xlfn.CONCAT("weather.tbl[",T$1,"]")),MATCH(vp.tbl[[#This Row],[SDate]],weather.tbl[Date],0))</f>
        <v>5.8</v>
      </c>
      <c r="U350" s="2">
        <f ca="1">INDEX(INDIRECT(_xlfn.CONCAT("weather.tbl[",U$1,"]")),MATCH(vp.tbl[[#This Row],[SDate]],weather.tbl[Date],0))</f>
        <v>5.3</v>
      </c>
      <c r="V350" s="2">
        <v>21292.120999999999</v>
      </c>
      <c r="W350" t="s">
        <v>48</v>
      </c>
      <c r="X350">
        <f>IF(OR(vp.tbl[[#This Row],[Sulf]]="",vp.tbl[[#This Row],[Dens]]=""),1,0)</f>
        <v>0</v>
      </c>
      <c r="Y350">
        <f>IF(vp.tbl[[#This Row],[CrudeType]]="C5+",1,0)</f>
        <v>0</v>
      </c>
      <c r="Z350">
        <f>IF(AND(vp.tbl[[#This Row],[CrudeType]]="Crude",vp.tbl[[#This Row],[Dens]]&lt;=825,vp.tbl[[#This Row],[Sulf]]&gt;0.5,vp.tbl[[#This Row],[Unknown]]=0),1,0)</f>
        <v>0</v>
      </c>
      <c r="AA350">
        <f>IF(AND(vp.tbl[[#This Row],[CrudeType]]="Crude",vp.tbl[[#This Row],[Dens]]&lt;=825,vp.tbl[[#This Row],[Sulf]]&lt;=0.5,vp.tbl[[#This Row],[Unknown]]=0),1,0)</f>
        <v>1</v>
      </c>
      <c r="AB350">
        <f>IF(AND(vp.tbl[[#This Row],[CrudeType]]="Crude",vp.tbl[[#This Row],[Dens]]&gt;825,vp.tbl[[#This Row],[Dens]]&lt;=870,vp.tbl[[#This Row],[Sulf]]&gt;0.5,vp.tbl[[#This Row],[Unknown]]=0),1,0)</f>
        <v>0</v>
      </c>
      <c r="AC350">
        <f>IF(AND(vp.tbl[[#This Row],[CrudeType]]="Crude",vp.tbl[[#This Row],[Dens]]&gt;825,vp.tbl[[#This Row],[Dens]]&lt;=900,vp.tbl[[#This Row],[Sulf]]&lt;=0.5,vp.tbl[[#This Row],[Unknown]]=0),1,0)</f>
        <v>0</v>
      </c>
      <c r="AD350">
        <f>IF(AND(vp.tbl[[#This Row],[CrudeType]]="Crude",vp.tbl[[#This Row],[Dens]]&gt;870,vp.tbl[[#This Row],[Dens]]&lt;=900,vp.tbl[[#This Row],[Sulf]]&gt;0.5,vp.tbl[[#This Row],[Unknown]]=0),1,0)</f>
        <v>0</v>
      </c>
      <c r="AE350">
        <f>IF(AND(vp.tbl[[#This Row],[CrudeType]]="Crude",vp.tbl[[#This Row],[Dens]]&gt;900,vp.tbl[[#This Row],[Sulf]]&lt;=0.5,vp.tbl[[#This Row],[Unknown]]=0),1,0)</f>
        <v>0</v>
      </c>
      <c r="AF350">
        <f>IF(AND(vp.tbl[[#This Row],[CrudeType]]="Crude",vp.tbl[[#This Row],[Dens]]&gt;900,vp.tbl[[#This Row],[Sulf]]&lt;=0.5,vp.tbl[[#This Row],[Unknown]]=0),1,0)</f>
        <v>0</v>
      </c>
      <c r="AG350" t="str">
        <f>INDEX(vp.tbl[[#Headers],[Unknown]:[Heavy_SW]],MATCH(1,vp.tbl[[#This Row],[Unknown]:[Heavy_SW]],0))</f>
        <v>Light_SW</v>
      </c>
      <c r="AH350" t="e">
        <f>INDEX([1]!crudeBD.lkup[Number],MATCH(vp.tbl[[#This Row],[Crude_Breakdown]],[1]!crudeBD.lkup[Crude Breakdown],0))</f>
        <v>#REF!</v>
      </c>
      <c r="AI350">
        <f>MONTH(vp.tbl[[#This Row],[SDate]])</f>
        <v>11</v>
      </c>
      <c r="AJ350" s="5">
        <f>IFERROR(vp.tbl[[#This Row],[Sulf]]*vp.tbl[[#This Row],[Net Dens]],"")</f>
        <v>2215487.7742919996</v>
      </c>
      <c r="AK350" s="5">
        <f>IFERROR(vp.tbl[[#This Row],[Dens]]*vp.tbl[[#This Row],[VolumeM3]],"")</f>
        <v>17042213.648399998</v>
      </c>
      <c r="AL350" s="5">
        <f>IFERROR(vp.tbl[[#This Row],[VP]]*vp.tbl[[#This Row],[VolumeM3]],"")</f>
        <v>2237801.9170999997</v>
      </c>
      <c r="AM350" s="4">
        <f>IFERROR((vp.tbl[[#This Row],[VP]]-INDEX(crudeBD.lkup.complete[Mean_VP],MATCH(vp.tbl[[#This Row],[Crude_Breakdown]],crudeBD.lkup.complete[Crude Breakdown],0)))^2,"")</f>
        <v>157.49462901819919</v>
      </c>
      <c r="AN350" s="4">
        <f>IFERROR((vp.tbl[[#This Row],[Dens]]-INDEX(crudeBD.lkup.complete[Mean_Dens],MATCH(vp.tbl[[#This Row],[Crude_Breakdown]],crudeBD.lkup.complete[Crude Breakdown],0)))^2,"")</f>
        <v>62.591804683797847</v>
      </c>
      <c r="AO350" s="4">
        <f>IFERROR((vp.tbl[[#This Row],[Sulf]]-INDEX(crudeBD.lkup.complete[Mean_Sulf],MATCH(vp.tbl[[#This Row],[Crude_Breakdown]],crudeBD.lkup.complete[Crude Breakdown],0)))^2,"")</f>
        <v>1.1287322584467423E-2</v>
      </c>
      <c r="AP350">
        <f>IF(AND(vp.tbl[[#This Row],[SDate]]&gt;=DATE(YEAR(vp.tbl[[#This Row],[SDate]]),5,1),vp.tbl[[#This Row],[SDate]]&lt;=DATE(YEAR(vp.tbl[[#This Row],[SDate]]),9,15)),1,0)</f>
        <v>0</v>
      </c>
      <c r="AQ350" s="15">
        <f>IF(vp.tbl[[#This Row],[SDate]]&lt;DATE(2016,12,1),0,1)</f>
        <v>0</v>
      </c>
    </row>
    <row r="351" spans="1:43" x14ac:dyDescent="0.25">
      <c r="A351">
        <v>350</v>
      </c>
      <c r="B351" t="s">
        <v>49</v>
      </c>
      <c r="C351" t="s">
        <v>49</v>
      </c>
      <c r="D351" t="s">
        <v>67</v>
      </c>
      <c r="F351" s="1">
        <v>42677</v>
      </c>
      <c r="G351" s="2">
        <v>90.8</v>
      </c>
      <c r="H351" s="2"/>
      <c r="I351" s="2">
        <v>0.2</v>
      </c>
      <c r="J351" s="2"/>
      <c r="K351" s="2"/>
      <c r="L351" s="2">
        <v>805.9</v>
      </c>
      <c r="M351" s="2">
        <v>805.9</v>
      </c>
      <c r="N351" s="2">
        <f ca="1">INDEX(INDIRECT(_xlfn.CONCAT("weather.tbl[",N$1,"]")),MATCH(vp.tbl[[#This Row],[SDate]],weather.tbl[Date],0))</f>
        <v>6.4666666666666659</v>
      </c>
      <c r="O351" s="2">
        <f ca="1">INDEX(INDIRECT(_xlfn.CONCAT("weather.tbl[",O$1,"]")),MATCH(vp.tbl[[#This Row],[SDate]],weather.tbl[Date],0))</f>
        <v>5.0904761904761902</v>
      </c>
      <c r="P351" s="2">
        <f ca="1">INDEX(INDIRECT(_xlfn.CONCAT("weather.tbl[",P$1,"]")),MATCH(vp.tbl[[#This Row],[SDate]],weather.tbl[Date],0))</f>
        <v>7.9</v>
      </c>
      <c r="Q351" s="2">
        <f ca="1">INDEX(INDIRECT(_xlfn.CONCAT("weather.tbl[",Q$1,"]")),MATCH(vp.tbl[[#This Row],[SDate]],weather.tbl[Date],0))</f>
        <v>7.7</v>
      </c>
      <c r="R351" s="2">
        <f ca="1">INDEX(INDIRECT(_xlfn.CONCAT("weather.tbl[",R$1,"]")),MATCH(vp.tbl[[#This Row],[SDate]],weather.tbl[Date],0))</f>
        <v>3.8</v>
      </c>
      <c r="S351" s="2">
        <f ca="1">INDEX(INDIRECT(_xlfn.CONCAT("weather.tbl[",S$1,"]")),MATCH(vp.tbl[[#This Row],[SDate]],weather.tbl[Date],0))</f>
        <v>8.3000000000000007</v>
      </c>
      <c r="T351" s="2">
        <f ca="1">INDEX(INDIRECT(_xlfn.CONCAT("weather.tbl[",T$1,"]")),MATCH(vp.tbl[[#This Row],[SDate]],weather.tbl[Date],0))</f>
        <v>5.8</v>
      </c>
      <c r="U351" s="2">
        <f ca="1">INDEX(INDIRECT(_xlfn.CONCAT("weather.tbl[",U$1,"]")),MATCH(vp.tbl[[#This Row],[SDate]],weather.tbl[Date],0))</f>
        <v>5.3</v>
      </c>
      <c r="V351" s="2">
        <v>52233.78</v>
      </c>
      <c r="W351" t="s">
        <v>48</v>
      </c>
      <c r="X351">
        <f>IF(OR(vp.tbl[[#This Row],[Sulf]]="",vp.tbl[[#This Row],[Dens]]=""),1,0)</f>
        <v>0</v>
      </c>
      <c r="Y351">
        <f>IF(vp.tbl[[#This Row],[CrudeType]]="C5+",1,0)</f>
        <v>0</v>
      </c>
      <c r="Z351">
        <f>IF(AND(vp.tbl[[#This Row],[CrudeType]]="Crude",vp.tbl[[#This Row],[Dens]]&lt;=825,vp.tbl[[#This Row],[Sulf]]&gt;0.5,vp.tbl[[#This Row],[Unknown]]=0),1,0)</f>
        <v>0</v>
      </c>
      <c r="AA351">
        <f>IF(AND(vp.tbl[[#This Row],[CrudeType]]="Crude",vp.tbl[[#This Row],[Dens]]&lt;=825,vp.tbl[[#This Row],[Sulf]]&lt;=0.5,vp.tbl[[#This Row],[Unknown]]=0),1,0)</f>
        <v>1</v>
      </c>
      <c r="AB351">
        <f>IF(AND(vp.tbl[[#This Row],[CrudeType]]="Crude",vp.tbl[[#This Row],[Dens]]&gt;825,vp.tbl[[#This Row],[Dens]]&lt;=870,vp.tbl[[#This Row],[Sulf]]&gt;0.5,vp.tbl[[#This Row],[Unknown]]=0),1,0)</f>
        <v>0</v>
      </c>
      <c r="AC351">
        <f>IF(AND(vp.tbl[[#This Row],[CrudeType]]="Crude",vp.tbl[[#This Row],[Dens]]&gt;825,vp.tbl[[#This Row],[Dens]]&lt;=900,vp.tbl[[#This Row],[Sulf]]&lt;=0.5,vp.tbl[[#This Row],[Unknown]]=0),1,0)</f>
        <v>0</v>
      </c>
      <c r="AD351">
        <f>IF(AND(vp.tbl[[#This Row],[CrudeType]]="Crude",vp.tbl[[#This Row],[Dens]]&gt;870,vp.tbl[[#This Row],[Dens]]&lt;=900,vp.tbl[[#This Row],[Sulf]]&gt;0.5,vp.tbl[[#This Row],[Unknown]]=0),1,0)</f>
        <v>0</v>
      </c>
      <c r="AE351">
        <f>IF(AND(vp.tbl[[#This Row],[CrudeType]]="Crude",vp.tbl[[#This Row],[Dens]]&gt;900,vp.tbl[[#This Row],[Sulf]]&lt;=0.5,vp.tbl[[#This Row],[Unknown]]=0),1,0)</f>
        <v>0</v>
      </c>
      <c r="AF351">
        <f>IF(AND(vp.tbl[[#This Row],[CrudeType]]="Crude",vp.tbl[[#This Row],[Dens]]&gt;900,vp.tbl[[#This Row],[Sulf]]&lt;=0.5,vp.tbl[[#This Row],[Unknown]]=0),1,0)</f>
        <v>0</v>
      </c>
      <c r="AG351" t="str">
        <f>INDEX(vp.tbl[[#Headers],[Unknown]:[Heavy_SW]],MATCH(1,vp.tbl[[#This Row],[Unknown]:[Heavy_SW]],0))</f>
        <v>Light_SW</v>
      </c>
      <c r="AH351" t="e">
        <f>INDEX([1]!crudeBD.lkup[Number],MATCH(vp.tbl[[#This Row],[Crude_Breakdown]],[1]!crudeBD.lkup[Crude Breakdown],0))</f>
        <v>#REF!</v>
      </c>
      <c r="AI351">
        <f>MONTH(vp.tbl[[#This Row],[SDate]])</f>
        <v>11</v>
      </c>
      <c r="AJ351" s="5">
        <f>IFERROR(vp.tbl[[#This Row],[Sulf]]*vp.tbl[[#This Row],[Net Dens]],"")</f>
        <v>8419040.6604000013</v>
      </c>
      <c r="AK351" s="5">
        <f>IFERROR(vp.tbl[[#This Row],[Dens]]*vp.tbl[[#This Row],[VolumeM3]],"")</f>
        <v>42095203.302000001</v>
      </c>
      <c r="AL351" s="5">
        <f>IFERROR(vp.tbl[[#This Row],[VP]]*vp.tbl[[#This Row],[VolumeM3]],"")</f>
        <v>4742827.2239999995</v>
      </c>
      <c r="AM351" s="4">
        <f>IFERROR((vp.tbl[[#This Row],[VP]]-INDEX(crudeBD.lkup.complete[Mean_VP],MATCH(vp.tbl[[#This Row],[Crude_Breakdown]],crudeBD.lkup.complete[Crude Breakdown],0)))^2,"")</f>
        <v>3.0635976593134835</v>
      </c>
      <c r="AN351" s="4">
        <f>IFERROR((vp.tbl[[#This Row],[Dens]]-INDEX(crudeBD.lkup.complete[Mean_Dens],MATCH(vp.tbl[[#This Row],[Crude_Breakdown]],crudeBD.lkup.complete[Crude Breakdown],0)))^2,"")</f>
        <v>5.8153238475630671</v>
      </c>
      <c r="AO351" s="4">
        <f>IFERROR((vp.tbl[[#This Row],[Sulf]]-INDEX(crudeBD.lkup.complete[Mean_Sulf],MATCH(vp.tbl[[#This Row],[Crude_Breakdown]],crudeBD.lkup.complete[Crude Breakdown],0)))^2,"")</f>
        <v>1.3134689259308601E-3</v>
      </c>
      <c r="AP351">
        <f>IF(AND(vp.tbl[[#This Row],[SDate]]&gt;=DATE(YEAR(vp.tbl[[#This Row],[SDate]]),5,1),vp.tbl[[#This Row],[SDate]]&lt;=DATE(YEAR(vp.tbl[[#This Row],[SDate]]),9,15)),1,0)</f>
        <v>0</v>
      </c>
      <c r="AQ351" s="15">
        <f>IF(vp.tbl[[#This Row],[SDate]]&lt;DATE(2016,12,1),0,1)</f>
        <v>0</v>
      </c>
    </row>
    <row r="352" spans="1:43" x14ac:dyDescent="0.25">
      <c r="A352">
        <v>351</v>
      </c>
      <c r="B352" t="s">
        <v>62</v>
      </c>
      <c r="C352" t="s">
        <v>62</v>
      </c>
      <c r="D352" t="s">
        <v>93</v>
      </c>
      <c r="F352" s="1">
        <v>42677</v>
      </c>
      <c r="G352" s="2">
        <v>90.6</v>
      </c>
      <c r="H352" s="2"/>
      <c r="I352" s="2">
        <v>0.48</v>
      </c>
      <c r="J352" s="2"/>
      <c r="K352" s="2"/>
      <c r="L352" s="2">
        <v>812.2</v>
      </c>
      <c r="M352" s="2">
        <v>812.2</v>
      </c>
      <c r="N352" s="2">
        <f ca="1">INDEX(INDIRECT(_xlfn.CONCAT("weather.tbl[",N$1,"]")),MATCH(vp.tbl[[#This Row],[SDate]],weather.tbl[Date],0))</f>
        <v>6.4666666666666659</v>
      </c>
      <c r="O352" s="2">
        <f ca="1">INDEX(INDIRECT(_xlfn.CONCAT("weather.tbl[",O$1,"]")),MATCH(vp.tbl[[#This Row],[SDate]],weather.tbl[Date],0))</f>
        <v>5.0904761904761902</v>
      </c>
      <c r="P352" s="2">
        <f ca="1">INDEX(INDIRECT(_xlfn.CONCAT("weather.tbl[",P$1,"]")),MATCH(vp.tbl[[#This Row],[SDate]],weather.tbl[Date],0))</f>
        <v>7.9</v>
      </c>
      <c r="Q352" s="2">
        <f ca="1">INDEX(INDIRECT(_xlfn.CONCAT("weather.tbl[",Q$1,"]")),MATCH(vp.tbl[[#This Row],[SDate]],weather.tbl[Date],0))</f>
        <v>7.7</v>
      </c>
      <c r="R352" s="2">
        <f ca="1">INDEX(INDIRECT(_xlfn.CONCAT("weather.tbl[",R$1,"]")),MATCH(vp.tbl[[#This Row],[SDate]],weather.tbl[Date],0))</f>
        <v>3.8</v>
      </c>
      <c r="S352" s="2">
        <f ca="1">INDEX(INDIRECT(_xlfn.CONCAT("weather.tbl[",S$1,"]")),MATCH(vp.tbl[[#This Row],[SDate]],weather.tbl[Date],0))</f>
        <v>8.3000000000000007</v>
      </c>
      <c r="T352" s="2">
        <f ca="1">INDEX(INDIRECT(_xlfn.CONCAT("weather.tbl[",T$1,"]")),MATCH(vp.tbl[[#This Row],[SDate]],weather.tbl[Date],0))</f>
        <v>5.8</v>
      </c>
      <c r="U352" s="2">
        <f ca="1">INDEX(INDIRECT(_xlfn.CONCAT("weather.tbl[",U$1,"]")),MATCH(vp.tbl[[#This Row],[SDate]],weather.tbl[Date],0))</f>
        <v>5.3</v>
      </c>
      <c r="V352" s="2">
        <v>583.08600000000001</v>
      </c>
      <c r="W352" t="s">
        <v>48</v>
      </c>
      <c r="X352">
        <f>IF(OR(vp.tbl[[#This Row],[Sulf]]="",vp.tbl[[#This Row],[Dens]]=""),1,0)</f>
        <v>0</v>
      </c>
      <c r="Y352">
        <f>IF(vp.tbl[[#This Row],[CrudeType]]="C5+",1,0)</f>
        <v>0</v>
      </c>
      <c r="Z352">
        <f>IF(AND(vp.tbl[[#This Row],[CrudeType]]="Crude",vp.tbl[[#This Row],[Dens]]&lt;=825,vp.tbl[[#This Row],[Sulf]]&gt;0.5,vp.tbl[[#This Row],[Unknown]]=0),1,0)</f>
        <v>0</v>
      </c>
      <c r="AA352">
        <f>IF(AND(vp.tbl[[#This Row],[CrudeType]]="Crude",vp.tbl[[#This Row],[Dens]]&lt;=825,vp.tbl[[#This Row],[Sulf]]&lt;=0.5,vp.tbl[[#This Row],[Unknown]]=0),1,0)</f>
        <v>1</v>
      </c>
      <c r="AB352">
        <f>IF(AND(vp.tbl[[#This Row],[CrudeType]]="Crude",vp.tbl[[#This Row],[Dens]]&gt;825,vp.tbl[[#This Row],[Dens]]&lt;=870,vp.tbl[[#This Row],[Sulf]]&gt;0.5,vp.tbl[[#This Row],[Unknown]]=0),1,0)</f>
        <v>0</v>
      </c>
      <c r="AC352">
        <f>IF(AND(vp.tbl[[#This Row],[CrudeType]]="Crude",vp.tbl[[#This Row],[Dens]]&gt;825,vp.tbl[[#This Row],[Dens]]&lt;=900,vp.tbl[[#This Row],[Sulf]]&lt;=0.5,vp.tbl[[#This Row],[Unknown]]=0),1,0)</f>
        <v>0</v>
      </c>
      <c r="AD352">
        <f>IF(AND(vp.tbl[[#This Row],[CrudeType]]="Crude",vp.tbl[[#This Row],[Dens]]&gt;870,vp.tbl[[#This Row],[Dens]]&lt;=900,vp.tbl[[#This Row],[Sulf]]&gt;0.5,vp.tbl[[#This Row],[Unknown]]=0),1,0)</f>
        <v>0</v>
      </c>
      <c r="AE352">
        <f>IF(AND(vp.tbl[[#This Row],[CrudeType]]="Crude",vp.tbl[[#This Row],[Dens]]&gt;900,vp.tbl[[#This Row],[Sulf]]&lt;=0.5,vp.tbl[[#This Row],[Unknown]]=0),1,0)</f>
        <v>0</v>
      </c>
      <c r="AF352">
        <f>IF(AND(vp.tbl[[#This Row],[CrudeType]]="Crude",vp.tbl[[#This Row],[Dens]]&gt;900,vp.tbl[[#This Row],[Sulf]]&lt;=0.5,vp.tbl[[#This Row],[Unknown]]=0),1,0)</f>
        <v>0</v>
      </c>
      <c r="AG352" t="str">
        <f>INDEX(vp.tbl[[#Headers],[Unknown]:[Heavy_SW]],MATCH(1,vp.tbl[[#This Row],[Unknown]:[Heavy_SW]],0))</f>
        <v>Light_SW</v>
      </c>
      <c r="AH352" t="e">
        <f>INDEX([1]!crudeBD.lkup[Number],MATCH(vp.tbl[[#This Row],[Crude_Breakdown]],[1]!crudeBD.lkup[Crude Breakdown],0))</f>
        <v>#REF!</v>
      </c>
      <c r="AI352">
        <f>MONTH(vp.tbl[[#This Row],[SDate]])</f>
        <v>11</v>
      </c>
      <c r="AJ352" s="5">
        <f>IFERROR(vp.tbl[[#This Row],[Sulf]]*vp.tbl[[#This Row],[Net Dens]],"")</f>
        <v>227319.57561600002</v>
      </c>
      <c r="AK352" s="5">
        <f>IFERROR(vp.tbl[[#This Row],[Dens]]*vp.tbl[[#This Row],[VolumeM3]],"")</f>
        <v>473582.44920000003</v>
      </c>
      <c r="AL352" s="5">
        <f>IFERROR(vp.tbl[[#This Row],[VP]]*vp.tbl[[#This Row],[VolumeM3]],"")</f>
        <v>52827.5916</v>
      </c>
      <c r="AM352" s="4">
        <f>IFERROR((vp.tbl[[#This Row],[VP]]-INDEX(crudeBD.lkup.complete[Mean_VP],MATCH(vp.tbl[[#This Row],[Crude_Breakdown]],crudeBD.lkup.complete[Crude Breakdown],0)))^2,"")</f>
        <v>3.8037230948535536</v>
      </c>
      <c r="AN352" s="4">
        <f>IFERROR((vp.tbl[[#This Row],[Dens]]-INDEX(crudeBD.lkup.complete[Mean_Dens],MATCH(vp.tbl[[#This Row],[Crude_Breakdown]],crudeBD.lkup.complete[Crude Breakdown],0)))^2,"")</f>
        <v>15.120445798785575</v>
      </c>
      <c r="AO352" s="4">
        <f>IFERROR((vp.tbl[[#This Row],[Sulf]]-INDEX(crudeBD.lkup.complete[Mean_Sulf],MATCH(vp.tbl[[#This Row],[Crude_Breakdown]],crudeBD.lkup.complete[Crude Breakdown],0)))^2,"")</f>
        <v>5.9418054291784594E-2</v>
      </c>
      <c r="AP352">
        <f>IF(AND(vp.tbl[[#This Row],[SDate]]&gt;=DATE(YEAR(vp.tbl[[#This Row],[SDate]]),5,1),vp.tbl[[#This Row],[SDate]]&lt;=DATE(YEAR(vp.tbl[[#This Row],[SDate]]),9,15)),1,0)</f>
        <v>0</v>
      </c>
      <c r="AQ352" s="15">
        <f>IF(vp.tbl[[#This Row],[SDate]]&lt;DATE(2016,12,1),0,1)</f>
        <v>0</v>
      </c>
    </row>
    <row r="353" spans="1:43" x14ac:dyDescent="0.25">
      <c r="A353">
        <v>352</v>
      </c>
      <c r="B353" t="s">
        <v>62</v>
      </c>
      <c r="C353" t="s">
        <v>62</v>
      </c>
      <c r="D353" t="s">
        <v>63</v>
      </c>
      <c r="F353" s="1">
        <v>42677</v>
      </c>
      <c r="G353" s="2">
        <v>105.5</v>
      </c>
      <c r="H353" s="2"/>
      <c r="I353" s="2">
        <v>1.52</v>
      </c>
      <c r="J353" s="2"/>
      <c r="K353" s="2"/>
      <c r="L353" s="2">
        <v>834.9</v>
      </c>
      <c r="M353" s="2">
        <v>834.9</v>
      </c>
      <c r="N353" s="2">
        <f ca="1">INDEX(INDIRECT(_xlfn.CONCAT("weather.tbl[",N$1,"]")),MATCH(vp.tbl[[#This Row],[SDate]],weather.tbl[Date],0))</f>
        <v>6.4666666666666659</v>
      </c>
      <c r="O353" s="2">
        <f ca="1">INDEX(INDIRECT(_xlfn.CONCAT("weather.tbl[",O$1,"]")),MATCH(vp.tbl[[#This Row],[SDate]],weather.tbl[Date],0))</f>
        <v>5.0904761904761902</v>
      </c>
      <c r="P353" s="2">
        <f ca="1">INDEX(INDIRECT(_xlfn.CONCAT("weather.tbl[",P$1,"]")),MATCH(vp.tbl[[#This Row],[SDate]],weather.tbl[Date],0))</f>
        <v>7.9</v>
      </c>
      <c r="Q353" s="2">
        <f ca="1">INDEX(INDIRECT(_xlfn.CONCAT("weather.tbl[",Q$1,"]")),MATCH(vp.tbl[[#This Row],[SDate]],weather.tbl[Date],0))</f>
        <v>7.7</v>
      </c>
      <c r="R353" s="2">
        <f ca="1">INDEX(INDIRECT(_xlfn.CONCAT("weather.tbl[",R$1,"]")),MATCH(vp.tbl[[#This Row],[SDate]],weather.tbl[Date],0))</f>
        <v>3.8</v>
      </c>
      <c r="S353" s="2">
        <f ca="1">INDEX(INDIRECT(_xlfn.CONCAT("weather.tbl[",S$1,"]")),MATCH(vp.tbl[[#This Row],[SDate]],weather.tbl[Date],0))</f>
        <v>8.3000000000000007</v>
      </c>
      <c r="T353" s="2">
        <f ca="1">INDEX(INDIRECT(_xlfn.CONCAT("weather.tbl[",T$1,"]")),MATCH(vp.tbl[[#This Row],[SDate]],weather.tbl[Date],0))</f>
        <v>5.8</v>
      </c>
      <c r="U353" s="2">
        <f ca="1">INDEX(INDIRECT(_xlfn.CONCAT("weather.tbl[",U$1,"]")),MATCH(vp.tbl[[#This Row],[SDate]],weather.tbl[Date],0))</f>
        <v>5.3</v>
      </c>
      <c r="V353" s="2">
        <v>5210.0280000000002</v>
      </c>
      <c r="W353" t="s">
        <v>48</v>
      </c>
      <c r="X353">
        <f>IF(OR(vp.tbl[[#This Row],[Sulf]]="",vp.tbl[[#This Row],[Dens]]=""),1,0)</f>
        <v>0</v>
      </c>
      <c r="Y353">
        <f>IF(vp.tbl[[#This Row],[CrudeType]]="C5+",1,0)</f>
        <v>0</v>
      </c>
      <c r="Z353">
        <f>IF(AND(vp.tbl[[#This Row],[CrudeType]]="Crude",vp.tbl[[#This Row],[Dens]]&lt;=825,vp.tbl[[#This Row],[Sulf]]&gt;0.5,vp.tbl[[#This Row],[Unknown]]=0),1,0)</f>
        <v>0</v>
      </c>
      <c r="AA353">
        <f>IF(AND(vp.tbl[[#This Row],[CrudeType]]="Crude",vp.tbl[[#This Row],[Dens]]&lt;=825,vp.tbl[[#This Row],[Sulf]]&lt;=0.5,vp.tbl[[#This Row],[Unknown]]=0),1,0)</f>
        <v>0</v>
      </c>
      <c r="AB353">
        <f>IF(AND(vp.tbl[[#This Row],[CrudeType]]="Crude",vp.tbl[[#This Row],[Dens]]&gt;825,vp.tbl[[#This Row],[Dens]]&lt;=870,vp.tbl[[#This Row],[Sulf]]&gt;0.5,vp.tbl[[#This Row],[Unknown]]=0),1,0)</f>
        <v>1</v>
      </c>
      <c r="AC353">
        <f>IF(AND(vp.tbl[[#This Row],[CrudeType]]="Crude",vp.tbl[[#This Row],[Dens]]&gt;825,vp.tbl[[#This Row],[Dens]]&lt;=900,vp.tbl[[#This Row],[Sulf]]&lt;=0.5,vp.tbl[[#This Row],[Unknown]]=0),1,0)</f>
        <v>0</v>
      </c>
      <c r="AD353">
        <f>IF(AND(vp.tbl[[#This Row],[CrudeType]]="Crude",vp.tbl[[#This Row],[Dens]]&gt;870,vp.tbl[[#This Row],[Dens]]&lt;=900,vp.tbl[[#This Row],[Sulf]]&gt;0.5,vp.tbl[[#This Row],[Unknown]]=0),1,0)</f>
        <v>0</v>
      </c>
      <c r="AE353">
        <f>IF(AND(vp.tbl[[#This Row],[CrudeType]]="Crude",vp.tbl[[#This Row],[Dens]]&gt;900,vp.tbl[[#This Row],[Sulf]]&lt;=0.5,vp.tbl[[#This Row],[Unknown]]=0),1,0)</f>
        <v>0</v>
      </c>
      <c r="AF353">
        <f>IF(AND(vp.tbl[[#This Row],[CrudeType]]="Crude",vp.tbl[[#This Row],[Dens]]&gt;900,vp.tbl[[#This Row],[Sulf]]&lt;=0.5,vp.tbl[[#This Row],[Unknown]]=0),1,0)</f>
        <v>0</v>
      </c>
      <c r="AG353" t="str">
        <f>INDEX(vp.tbl[[#Headers],[Unknown]:[Heavy_SW]],MATCH(1,vp.tbl[[#This Row],[Unknown]:[Heavy_SW]],0))</f>
        <v>Medium_LSB</v>
      </c>
      <c r="AH353" t="e">
        <f>INDEX([1]!crudeBD.lkup[Number],MATCH(vp.tbl[[#This Row],[Crude_Breakdown]],[1]!crudeBD.lkup[Crude Breakdown],0))</f>
        <v>#REF!</v>
      </c>
      <c r="AI353">
        <f>MONTH(vp.tbl[[#This Row],[SDate]])</f>
        <v>11</v>
      </c>
      <c r="AJ353" s="5">
        <f>IFERROR(vp.tbl[[#This Row],[Sulf]]*vp.tbl[[#This Row],[Net Dens]],"")</f>
        <v>6611775.6133439997</v>
      </c>
      <c r="AK353" s="5">
        <f>IFERROR(vp.tbl[[#This Row],[Dens]]*vp.tbl[[#This Row],[VolumeM3]],"")</f>
        <v>4349852.3772</v>
      </c>
      <c r="AL353" s="5">
        <f>IFERROR(vp.tbl[[#This Row],[VP]]*vp.tbl[[#This Row],[VolumeM3]],"")</f>
        <v>549657.95400000003</v>
      </c>
      <c r="AM353" s="4">
        <f>IFERROR((vp.tbl[[#This Row],[VP]]-INDEX(crudeBD.lkup.complete[Mean_VP],MATCH(vp.tbl[[#This Row],[Crude_Breakdown]],crudeBD.lkup.complete[Crude Breakdown],0)))^2,"")</f>
        <v>641.42679342990095</v>
      </c>
      <c r="AN353" s="4">
        <f>IFERROR((vp.tbl[[#This Row],[Dens]]-INDEX(crudeBD.lkup.complete[Mean_Dens],MATCH(vp.tbl[[#This Row],[Crude_Breakdown]],crudeBD.lkup.complete[Crude Breakdown],0)))^2,"")</f>
        <v>107.9899807908789</v>
      </c>
      <c r="AO353" s="4">
        <f>IFERROR((vp.tbl[[#This Row],[Sulf]]-INDEX(crudeBD.lkup.complete[Mean_Sulf],MATCH(vp.tbl[[#This Row],[Crude_Breakdown]],crudeBD.lkup.complete[Crude Breakdown],0)))^2,"")</f>
        <v>4.2341230207786906E-3</v>
      </c>
      <c r="AP353">
        <f>IF(AND(vp.tbl[[#This Row],[SDate]]&gt;=DATE(YEAR(vp.tbl[[#This Row],[SDate]]),5,1),vp.tbl[[#This Row],[SDate]]&lt;=DATE(YEAR(vp.tbl[[#This Row],[SDate]]),9,15)),1,0)</f>
        <v>0</v>
      </c>
      <c r="AQ353" s="15">
        <f>IF(vp.tbl[[#This Row],[SDate]]&lt;DATE(2016,12,1),0,1)</f>
        <v>0</v>
      </c>
    </row>
    <row r="354" spans="1:43" x14ac:dyDescent="0.25">
      <c r="A354">
        <v>353</v>
      </c>
      <c r="B354" t="s">
        <v>51</v>
      </c>
      <c r="C354" t="s">
        <v>51</v>
      </c>
      <c r="D354" t="s">
        <v>58</v>
      </c>
      <c r="F354" s="1">
        <v>42678</v>
      </c>
      <c r="G354" s="2">
        <v>89.5</v>
      </c>
      <c r="H354" s="2"/>
      <c r="I354" s="2">
        <v>1.49</v>
      </c>
      <c r="J354" s="2"/>
      <c r="K354" s="2"/>
      <c r="L354" s="2">
        <v>858.6</v>
      </c>
      <c r="M354" s="2">
        <v>858.6</v>
      </c>
      <c r="N354" s="2">
        <f ca="1">INDEX(INDIRECT(_xlfn.CONCAT("weather.tbl[",N$1,"]")),MATCH(vp.tbl[[#This Row],[SDate]],weather.tbl[Date],0))</f>
        <v>8.4</v>
      </c>
      <c r="O354" s="2">
        <f ca="1">INDEX(INDIRECT(_xlfn.CONCAT("weather.tbl[",O$1,"]")),MATCH(vp.tbl[[#This Row],[SDate]],weather.tbl[Date],0))</f>
        <v>5.4785714285714286</v>
      </c>
      <c r="P354" s="2">
        <f ca="1">INDEX(INDIRECT(_xlfn.CONCAT("weather.tbl[",P$1,"]")),MATCH(vp.tbl[[#This Row],[SDate]],weather.tbl[Date],0))</f>
        <v>9.4</v>
      </c>
      <c r="Q354" s="2">
        <f ca="1">INDEX(INDIRECT(_xlfn.CONCAT("weather.tbl[",Q$1,"]")),MATCH(vp.tbl[[#This Row],[SDate]],weather.tbl[Date],0))</f>
        <v>9</v>
      </c>
      <c r="R354" s="2">
        <f ca="1">INDEX(INDIRECT(_xlfn.CONCAT("weather.tbl[",R$1,"]")),MATCH(vp.tbl[[#This Row],[SDate]],weather.tbl[Date],0))</f>
        <v>3.8</v>
      </c>
      <c r="S354" s="2">
        <f ca="1">INDEX(INDIRECT(_xlfn.CONCAT("weather.tbl[",S$1,"]")),MATCH(vp.tbl[[#This Row],[SDate]],weather.tbl[Date],0))</f>
        <v>10</v>
      </c>
      <c r="T354" s="2">
        <f ca="1">INDEX(INDIRECT(_xlfn.CONCAT("weather.tbl[",T$1,"]")),MATCH(vp.tbl[[#This Row],[SDate]],weather.tbl[Date],0))</f>
        <v>9.1999999999999993</v>
      </c>
      <c r="U354" s="2">
        <f ca="1">INDEX(INDIRECT(_xlfn.CONCAT("weather.tbl[",U$1,"]")),MATCH(vp.tbl[[#This Row],[SDate]],weather.tbl[Date],0))</f>
        <v>9</v>
      </c>
      <c r="V354" s="2">
        <v>5267.8469999999998</v>
      </c>
      <c r="W354" t="s">
        <v>48</v>
      </c>
      <c r="X354">
        <f>IF(OR(vp.tbl[[#This Row],[Sulf]]="",vp.tbl[[#This Row],[Dens]]=""),1,0)</f>
        <v>0</v>
      </c>
      <c r="Y354">
        <f>IF(vp.tbl[[#This Row],[CrudeType]]="C5+",1,0)</f>
        <v>0</v>
      </c>
      <c r="Z354">
        <f>IF(AND(vp.tbl[[#This Row],[CrudeType]]="Crude",vp.tbl[[#This Row],[Dens]]&lt;=825,vp.tbl[[#This Row],[Sulf]]&gt;0.5,vp.tbl[[#This Row],[Unknown]]=0),1,0)</f>
        <v>0</v>
      </c>
      <c r="AA354">
        <f>IF(AND(vp.tbl[[#This Row],[CrudeType]]="Crude",vp.tbl[[#This Row],[Dens]]&lt;=825,vp.tbl[[#This Row],[Sulf]]&lt;=0.5,vp.tbl[[#This Row],[Unknown]]=0),1,0)</f>
        <v>0</v>
      </c>
      <c r="AB354">
        <f>IF(AND(vp.tbl[[#This Row],[CrudeType]]="Crude",vp.tbl[[#This Row],[Dens]]&gt;825,vp.tbl[[#This Row],[Dens]]&lt;=870,vp.tbl[[#This Row],[Sulf]]&gt;0.5,vp.tbl[[#This Row],[Unknown]]=0),1,0)</f>
        <v>1</v>
      </c>
      <c r="AC354">
        <f>IF(AND(vp.tbl[[#This Row],[CrudeType]]="Crude",vp.tbl[[#This Row],[Dens]]&gt;825,vp.tbl[[#This Row],[Dens]]&lt;=900,vp.tbl[[#This Row],[Sulf]]&lt;=0.5,vp.tbl[[#This Row],[Unknown]]=0),1,0)</f>
        <v>0</v>
      </c>
      <c r="AD354">
        <f>IF(AND(vp.tbl[[#This Row],[CrudeType]]="Crude",vp.tbl[[#This Row],[Dens]]&gt;870,vp.tbl[[#This Row],[Dens]]&lt;=900,vp.tbl[[#This Row],[Sulf]]&gt;0.5,vp.tbl[[#This Row],[Unknown]]=0),1,0)</f>
        <v>0</v>
      </c>
      <c r="AE354">
        <f>IF(AND(vp.tbl[[#This Row],[CrudeType]]="Crude",vp.tbl[[#This Row],[Dens]]&gt;900,vp.tbl[[#This Row],[Sulf]]&lt;=0.5,vp.tbl[[#This Row],[Unknown]]=0),1,0)</f>
        <v>0</v>
      </c>
      <c r="AF354">
        <f>IF(AND(vp.tbl[[#This Row],[CrudeType]]="Crude",vp.tbl[[#This Row],[Dens]]&gt;900,vp.tbl[[#This Row],[Sulf]]&lt;=0.5,vp.tbl[[#This Row],[Unknown]]=0),1,0)</f>
        <v>0</v>
      </c>
      <c r="AG354" t="str">
        <f>INDEX(vp.tbl[[#Headers],[Unknown]:[Heavy_SW]],MATCH(1,vp.tbl[[#This Row],[Unknown]:[Heavy_SW]],0))</f>
        <v>Medium_LSB</v>
      </c>
      <c r="AH354" t="e">
        <f>INDEX([1]!crudeBD.lkup[Number],MATCH(vp.tbl[[#This Row],[Crude_Breakdown]],[1]!crudeBD.lkup[Crude Breakdown],0))</f>
        <v>#REF!</v>
      </c>
      <c r="AI354">
        <f>MONTH(vp.tbl[[#This Row],[SDate]])</f>
        <v>11</v>
      </c>
      <c r="AJ354" s="5">
        <f>IFERROR(vp.tbl[[#This Row],[Sulf]]*vp.tbl[[#This Row],[Net Dens]],"")</f>
        <v>6739230.4169579996</v>
      </c>
      <c r="AK354" s="5">
        <f>IFERROR(vp.tbl[[#This Row],[Dens]]*vp.tbl[[#This Row],[VolumeM3]],"")</f>
        <v>4522973.4342</v>
      </c>
      <c r="AL354" s="5">
        <f>IFERROR(vp.tbl[[#This Row],[VP]]*vp.tbl[[#This Row],[VolumeM3]],"")</f>
        <v>471472.30650000001</v>
      </c>
      <c r="AM354" s="4">
        <f>IFERROR((vp.tbl[[#This Row],[VP]]-INDEX(crudeBD.lkup.complete[Mean_VP],MATCH(vp.tbl[[#This Row],[Crude_Breakdown]],crudeBD.lkup.complete[Crude Breakdown],0)))^2,"")</f>
        <v>86.981831404583289</v>
      </c>
      <c r="AN354" s="4">
        <f>IFERROR((vp.tbl[[#This Row],[Dens]]-INDEX(crudeBD.lkup.complete[Mean_Dens],MATCH(vp.tbl[[#This Row],[Crude_Breakdown]],crudeBD.lkup.complete[Crude Breakdown],0)))^2,"")</f>
        <v>177.10758079092571</v>
      </c>
      <c r="AO354" s="4">
        <f>IFERROR((vp.tbl[[#This Row],[Sulf]]-INDEX(crudeBD.lkup.complete[Mean_Sulf],MATCH(vp.tbl[[#This Row],[Crude_Breakdown]],crudeBD.lkup.complete[Crude Breakdown],0)))^2,"")</f>
        <v>1.2299146663483974E-3</v>
      </c>
      <c r="AP354">
        <f>IF(AND(vp.tbl[[#This Row],[SDate]]&gt;=DATE(YEAR(vp.tbl[[#This Row],[SDate]]),5,1),vp.tbl[[#This Row],[SDate]]&lt;=DATE(YEAR(vp.tbl[[#This Row],[SDate]]),9,15)),1,0)</f>
        <v>0</v>
      </c>
      <c r="AQ354" s="15">
        <f>IF(vp.tbl[[#This Row],[SDate]]&lt;DATE(2016,12,1),0,1)</f>
        <v>0</v>
      </c>
    </row>
    <row r="355" spans="1:43" x14ac:dyDescent="0.25">
      <c r="A355">
        <v>354</v>
      </c>
      <c r="B355" t="s">
        <v>62</v>
      </c>
      <c r="C355" t="s">
        <v>62</v>
      </c>
      <c r="D355" t="s">
        <v>83</v>
      </c>
      <c r="F355" s="1">
        <v>42688</v>
      </c>
      <c r="G355" s="2">
        <v>85.5</v>
      </c>
      <c r="H355" s="2"/>
      <c r="I355" s="2">
        <v>0.17</v>
      </c>
      <c r="J355" s="2"/>
      <c r="K355" s="2"/>
      <c r="L355" s="2">
        <v>811.3</v>
      </c>
      <c r="M355" s="2">
        <v>811.3</v>
      </c>
      <c r="N355" s="2">
        <f ca="1">INDEX(INDIRECT(_xlfn.CONCAT("weather.tbl[",N$1,"]")),MATCH(vp.tbl[[#This Row],[SDate]],weather.tbl[Date],0))</f>
        <v>7</v>
      </c>
      <c r="O355" s="2">
        <f ca="1">INDEX(INDIRECT(_xlfn.CONCAT("weather.tbl[",O$1,"]")),MATCH(vp.tbl[[#This Row],[SDate]],weather.tbl[Date],0))</f>
        <v>6.6880952380952374</v>
      </c>
      <c r="P355" s="2">
        <f ca="1">INDEX(INDIRECT(_xlfn.CONCAT("weather.tbl[",P$1,"]")),MATCH(vp.tbl[[#This Row],[SDate]],weather.tbl[Date],0))</f>
        <v>7.8</v>
      </c>
      <c r="Q355" s="2">
        <f ca="1">INDEX(INDIRECT(_xlfn.CONCAT("weather.tbl[",Q$1,"]")),MATCH(vp.tbl[[#This Row],[SDate]],weather.tbl[Date],0))</f>
        <v>8</v>
      </c>
      <c r="R355" s="2">
        <f ca="1">INDEX(INDIRECT(_xlfn.CONCAT("weather.tbl[",R$1,"]")),MATCH(vp.tbl[[#This Row],[SDate]],weather.tbl[Date],0))</f>
        <v>6</v>
      </c>
      <c r="S355" s="2">
        <f ca="1">INDEX(INDIRECT(_xlfn.CONCAT("weather.tbl[",S$1,"]")),MATCH(vp.tbl[[#This Row],[SDate]],weather.tbl[Date],0))</f>
        <v>8.5</v>
      </c>
      <c r="T355" s="2">
        <f ca="1">INDEX(INDIRECT(_xlfn.CONCAT("weather.tbl[",T$1,"]")),MATCH(vp.tbl[[#This Row],[SDate]],weather.tbl[Date],0))</f>
        <v>4.9000000000000004</v>
      </c>
      <c r="U355" s="2">
        <f ca="1">INDEX(INDIRECT(_xlfn.CONCAT("weather.tbl[",U$1,"]")),MATCH(vp.tbl[[#This Row],[SDate]],weather.tbl[Date],0))</f>
        <v>6.8</v>
      </c>
      <c r="V355" s="2">
        <v>9944.7690000000002</v>
      </c>
      <c r="W355" t="s">
        <v>48</v>
      </c>
      <c r="X355">
        <f>IF(OR(vp.tbl[[#This Row],[Sulf]]="",vp.tbl[[#This Row],[Dens]]=""),1,0)</f>
        <v>0</v>
      </c>
      <c r="Y355">
        <f>IF(vp.tbl[[#This Row],[CrudeType]]="C5+",1,0)</f>
        <v>0</v>
      </c>
      <c r="Z355">
        <f>IF(AND(vp.tbl[[#This Row],[CrudeType]]="Crude",vp.tbl[[#This Row],[Dens]]&lt;=825,vp.tbl[[#This Row],[Sulf]]&gt;0.5,vp.tbl[[#This Row],[Unknown]]=0),1,0)</f>
        <v>0</v>
      </c>
      <c r="AA355">
        <f>IF(AND(vp.tbl[[#This Row],[CrudeType]]="Crude",vp.tbl[[#This Row],[Dens]]&lt;=825,vp.tbl[[#This Row],[Sulf]]&lt;=0.5,vp.tbl[[#This Row],[Unknown]]=0),1,0)</f>
        <v>1</v>
      </c>
      <c r="AB355">
        <f>IF(AND(vp.tbl[[#This Row],[CrudeType]]="Crude",vp.tbl[[#This Row],[Dens]]&gt;825,vp.tbl[[#This Row],[Dens]]&lt;=870,vp.tbl[[#This Row],[Sulf]]&gt;0.5,vp.tbl[[#This Row],[Unknown]]=0),1,0)</f>
        <v>0</v>
      </c>
      <c r="AC355">
        <f>IF(AND(vp.tbl[[#This Row],[CrudeType]]="Crude",vp.tbl[[#This Row],[Dens]]&gt;825,vp.tbl[[#This Row],[Dens]]&lt;=900,vp.tbl[[#This Row],[Sulf]]&lt;=0.5,vp.tbl[[#This Row],[Unknown]]=0),1,0)</f>
        <v>0</v>
      </c>
      <c r="AD355">
        <f>IF(AND(vp.tbl[[#This Row],[CrudeType]]="Crude",vp.tbl[[#This Row],[Dens]]&gt;870,vp.tbl[[#This Row],[Dens]]&lt;=900,vp.tbl[[#This Row],[Sulf]]&gt;0.5,vp.tbl[[#This Row],[Unknown]]=0),1,0)</f>
        <v>0</v>
      </c>
      <c r="AE355">
        <f>IF(AND(vp.tbl[[#This Row],[CrudeType]]="Crude",vp.tbl[[#This Row],[Dens]]&gt;900,vp.tbl[[#This Row],[Sulf]]&lt;=0.5,vp.tbl[[#This Row],[Unknown]]=0),1,0)</f>
        <v>0</v>
      </c>
      <c r="AF355">
        <f>IF(AND(vp.tbl[[#This Row],[CrudeType]]="Crude",vp.tbl[[#This Row],[Dens]]&gt;900,vp.tbl[[#This Row],[Sulf]]&lt;=0.5,vp.tbl[[#This Row],[Unknown]]=0),1,0)</f>
        <v>0</v>
      </c>
      <c r="AG355" t="str">
        <f>INDEX(vp.tbl[[#Headers],[Unknown]:[Heavy_SW]],MATCH(1,vp.tbl[[#This Row],[Unknown]:[Heavy_SW]],0))</f>
        <v>Light_SW</v>
      </c>
      <c r="AH355" t="e">
        <f>INDEX([1]!crudeBD.lkup[Number],MATCH(vp.tbl[[#This Row],[Crude_Breakdown]],[1]!crudeBD.lkup[Crude Breakdown],0))</f>
        <v>#REF!</v>
      </c>
      <c r="AI355">
        <f>MONTH(vp.tbl[[#This Row],[SDate]])</f>
        <v>11</v>
      </c>
      <c r="AJ355" s="5">
        <f>IFERROR(vp.tbl[[#This Row],[Sulf]]*vp.tbl[[#This Row],[Net Dens]],"")</f>
        <v>1371592.4852489999</v>
      </c>
      <c r="AK355" s="5">
        <f>IFERROR(vp.tbl[[#This Row],[Dens]]*vp.tbl[[#This Row],[VolumeM3]],"")</f>
        <v>8068191.0896999994</v>
      </c>
      <c r="AL355" s="5">
        <f>IFERROR(vp.tbl[[#This Row],[VP]]*vp.tbl[[#This Row],[VolumeM3]],"")</f>
        <v>850277.74950000003</v>
      </c>
      <c r="AM355" s="4">
        <f>IFERROR((vp.tbl[[#This Row],[VP]]-INDEX(crudeBD.lkup.complete[Mean_VP],MATCH(vp.tbl[[#This Row],[Crude_Breakdown]],crudeBD.lkup.complete[Crude Breakdown],0)))^2,"")</f>
        <v>49.706921701125005</v>
      </c>
      <c r="AN355" s="4">
        <f>IFERROR((vp.tbl[[#This Row],[Dens]]-INDEX(crudeBD.lkup.complete[Mean_Dens],MATCH(vp.tbl[[#This Row],[Crude_Breakdown]],crudeBD.lkup.complete[Crude Breakdown],0)))^2,"")</f>
        <v>8.931142662896054</v>
      </c>
      <c r="AO355" s="4">
        <f>IFERROR((vp.tbl[[#This Row],[Sulf]]-INDEX(crudeBD.lkup.complete[Mean_Sulf],MATCH(vp.tbl[[#This Row],[Crude_Breakdown]],crudeBD.lkup.complete[Crude Breakdown],0)))^2,"")</f>
        <v>4.3879776367322437E-3</v>
      </c>
      <c r="AP355">
        <f>IF(AND(vp.tbl[[#This Row],[SDate]]&gt;=DATE(YEAR(vp.tbl[[#This Row],[SDate]]),5,1),vp.tbl[[#This Row],[SDate]]&lt;=DATE(YEAR(vp.tbl[[#This Row],[SDate]]),9,15)),1,0)</f>
        <v>0</v>
      </c>
      <c r="AQ355" s="15">
        <f>IF(vp.tbl[[#This Row],[SDate]]&lt;DATE(2016,12,1),0,1)</f>
        <v>0</v>
      </c>
    </row>
    <row r="356" spans="1:43" x14ac:dyDescent="0.25">
      <c r="A356">
        <v>355</v>
      </c>
      <c r="B356" t="s">
        <v>62</v>
      </c>
      <c r="C356" t="s">
        <v>62</v>
      </c>
      <c r="D356" t="s">
        <v>87</v>
      </c>
      <c r="F356" s="1">
        <v>42688</v>
      </c>
      <c r="G356" s="2">
        <v>97.5</v>
      </c>
      <c r="H356" s="2"/>
      <c r="I356" s="2">
        <v>0.16</v>
      </c>
      <c r="J356" s="2"/>
      <c r="K356" s="2"/>
      <c r="L356" s="2">
        <v>813.6</v>
      </c>
      <c r="M356" s="2">
        <v>813.6</v>
      </c>
      <c r="N356" s="2">
        <f ca="1">INDEX(INDIRECT(_xlfn.CONCAT("weather.tbl[",N$1,"]")),MATCH(vp.tbl[[#This Row],[SDate]],weather.tbl[Date],0))</f>
        <v>7</v>
      </c>
      <c r="O356" s="2">
        <f ca="1">INDEX(INDIRECT(_xlfn.CONCAT("weather.tbl[",O$1,"]")),MATCH(vp.tbl[[#This Row],[SDate]],weather.tbl[Date],0))</f>
        <v>6.6880952380952374</v>
      </c>
      <c r="P356" s="2">
        <f ca="1">INDEX(INDIRECT(_xlfn.CONCAT("weather.tbl[",P$1,"]")),MATCH(vp.tbl[[#This Row],[SDate]],weather.tbl[Date],0))</f>
        <v>7.8</v>
      </c>
      <c r="Q356" s="2">
        <f ca="1">INDEX(INDIRECT(_xlfn.CONCAT("weather.tbl[",Q$1,"]")),MATCH(vp.tbl[[#This Row],[SDate]],weather.tbl[Date],0))</f>
        <v>8</v>
      </c>
      <c r="R356" s="2">
        <f ca="1">INDEX(INDIRECT(_xlfn.CONCAT("weather.tbl[",R$1,"]")),MATCH(vp.tbl[[#This Row],[SDate]],weather.tbl[Date],0))</f>
        <v>6</v>
      </c>
      <c r="S356" s="2">
        <f ca="1">INDEX(INDIRECT(_xlfn.CONCAT("weather.tbl[",S$1,"]")),MATCH(vp.tbl[[#This Row],[SDate]],weather.tbl[Date],0))</f>
        <v>8.5</v>
      </c>
      <c r="T356" s="2">
        <f ca="1">INDEX(INDIRECT(_xlfn.CONCAT("weather.tbl[",T$1,"]")),MATCH(vp.tbl[[#This Row],[SDate]],weather.tbl[Date],0))</f>
        <v>4.9000000000000004</v>
      </c>
      <c r="U356" s="2">
        <f ca="1">INDEX(INDIRECT(_xlfn.CONCAT("weather.tbl[",U$1,"]")),MATCH(vp.tbl[[#This Row],[SDate]],weather.tbl[Date],0))</f>
        <v>6.8</v>
      </c>
      <c r="V356" s="2">
        <v>7601.27</v>
      </c>
      <c r="W356" t="s">
        <v>48</v>
      </c>
      <c r="X356">
        <f>IF(OR(vp.tbl[[#This Row],[Sulf]]="",vp.tbl[[#This Row],[Dens]]=""),1,0)</f>
        <v>0</v>
      </c>
      <c r="Y356">
        <f>IF(vp.tbl[[#This Row],[CrudeType]]="C5+",1,0)</f>
        <v>0</v>
      </c>
      <c r="Z356">
        <f>IF(AND(vp.tbl[[#This Row],[CrudeType]]="Crude",vp.tbl[[#This Row],[Dens]]&lt;=825,vp.tbl[[#This Row],[Sulf]]&gt;0.5,vp.tbl[[#This Row],[Unknown]]=0),1,0)</f>
        <v>0</v>
      </c>
      <c r="AA356">
        <f>IF(AND(vp.tbl[[#This Row],[CrudeType]]="Crude",vp.tbl[[#This Row],[Dens]]&lt;=825,vp.tbl[[#This Row],[Sulf]]&lt;=0.5,vp.tbl[[#This Row],[Unknown]]=0),1,0)</f>
        <v>1</v>
      </c>
      <c r="AB356">
        <f>IF(AND(vp.tbl[[#This Row],[CrudeType]]="Crude",vp.tbl[[#This Row],[Dens]]&gt;825,vp.tbl[[#This Row],[Dens]]&lt;=870,vp.tbl[[#This Row],[Sulf]]&gt;0.5,vp.tbl[[#This Row],[Unknown]]=0),1,0)</f>
        <v>0</v>
      </c>
      <c r="AC356">
        <f>IF(AND(vp.tbl[[#This Row],[CrudeType]]="Crude",vp.tbl[[#This Row],[Dens]]&gt;825,vp.tbl[[#This Row],[Dens]]&lt;=900,vp.tbl[[#This Row],[Sulf]]&lt;=0.5,vp.tbl[[#This Row],[Unknown]]=0),1,0)</f>
        <v>0</v>
      </c>
      <c r="AD356">
        <f>IF(AND(vp.tbl[[#This Row],[CrudeType]]="Crude",vp.tbl[[#This Row],[Dens]]&gt;870,vp.tbl[[#This Row],[Dens]]&lt;=900,vp.tbl[[#This Row],[Sulf]]&gt;0.5,vp.tbl[[#This Row],[Unknown]]=0),1,0)</f>
        <v>0</v>
      </c>
      <c r="AE356">
        <f>IF(AND(vp.tbl[[#This Row],[CrudeType]]="Crude",vp.tbl[[#This Row],[Dens]]&gt;900,vp.tbl[[#This Row],[Sulf]]&lt;=0.5,vp.tbl[[#This Row],[Unknown]]=0),1,0)</f>
        <v>0</v>
      </c>
      <c r="AF356">
        <f>IF(AND(vp.tbl[[#This Row],[CrudeType]]="Crude",vp.tbl[[#This Row],[Dens]]&gt;900,vp.tbl[[#This Row],[Sulf]]&lt;=0.5,vp.tbl[[#This Row],[Unknown]]=0),1,0)</f>
        <v>0</v>
      </c>
      <c r="AG356" t="str">
        <f>INDEX(vp.tbl[[#Headers],[Unknown]:[Heavy_SW]],MATCH(1,vp.tbl[[#This Row],[Unknown]:[Heavy_SW]],0))</f>
        <v>Light_SW</v>
      </c>
      <c r="AH356" t="e">
        <f>INDEX([1]!crudeBD.lkup[Number],MATCH(vp.tbl[[#This Row],[Crude_Breakdown]],[1]!crudeBD.lkup[Crude Breakdown],0))</f>
        <v>#REF!</v>
      </c>
      <c r="AI356">
        <f>MONTH(vp.tbl[[#This Row],[SDate]])</f>
        <v>11</v>
      </c>
      <c r="AJ356" s="5">
        <f>IFERROR(vp.tbl[[#This Row],[Sulf]]*vp.tbl[[#This Row],[Net Dens]],"")</f>
        <v>989502.92352000019</v>
      </c>
      <c r="AK356" s="5">
        <f>IFERROR(vp.tbl[[#This Row],[Dens]]*vp.tbl[[#This Row],[VolumeM3]],"")</f>
        <v>6184393.2720000008</v>
      </c>
      <c r="AL356" s="5">
        <f>IFERROR(vp.tbl[[#This Row],[VP]]*vp.tbl[[#This Row],[VolumeM3]],"")</f>
        <v>741123.82500000007</v>
      </c>
      <c r="AM356" s="4">
        <f>IFERROR((vp.tbl[[#This Row],[VP]]-INDEX(crudeBD.lkup.complete[Mean_VP],MATCH(vp.tbl[[#This Row],[Crude_Breakdown]],crudeBD.lkup.complete[Crude Breakdown],0)))^2,"")</f>
        <v>24.499395568721535</v>
      </c>
      <c r="AN356" s="4">
        <f>IFERROR((vp.tbl[[#This Row],[Dens]]-INDEX(crudeBD.lkup.complete[Mean_Dens],MATCH(vp.tbl[[#This Row],[Crude_Breakdown]],crudeBD.lkup.complete[Crude Breakdown],0)))^2,"")</f>
        <v>27.968250676834852</v>
      </c>
      <c r="AO356" s="4">
        <f>IFERROR((vp.tbl[[#This Row],[Sulf]]-INDEX(crudeBD.lkup.complete[Mean_Sulf],MATCH(vp.tbl[[#This Row],[Crude_Breakdown]],crudeBD.lkup.complete[Crude Breakdown],0)))^2,"")</f>
        <v>5.8128138736660397E-3</v>
      </c>
      <c r="AP356">
        <f>IF(AND(vp.tbl[[#This Row],[SDate]]&gt;=DATE(YEAR(vp.tbl[[#This Row],[SDate]]),5,1),vp.tbl[[#This Row],[SDate]]&lt;=DATE(YEAR(vp.tbl[[#This Row],[SDate]]),9,15)),1,0)</f>
        <v>0</v>
      </c>
      <c r="AQ356" s="15">
        <f>IF(vp.tbl[[#This Row],[SDate]]&lt;DATE(2016,12,1),0,1)</f>
        <v>0</v>
      </c>
    </row>
    <row r="357" spans="1:43" x14ac:dyDescent="0.25">
      <c r="A357">
        <v>356</v>
      </c>
      <c r="B357" t="s">
        <v>56</v>
      </c>
      <c r="C357" t="s">
        <v>56</v>
      </c>
      <c r="D357" t="s">
        <v>57</v>
      </c>
      <c r="F357" s="1">
        <v>42688</v>
      </c>
      <c r="G357" s="2">
        <v>70</v>
      </c>
      <c r="H357" s="2"/>
      <c r="I357" s="2">
        <v>1.63</v>
      </c>
      <c r="J357" s="2"/>
      <c r="K357" s="2"/>
      <c r="L357" s="2">
        <v>833</v>
      </c>
      <c r="M357" s="2">
        <v>833</v>
      </c>
      <c r="N357" s="2">
        <f ca="1">INDEX(INDIRECT(_xlfn.CONCAT("weather.tbl[",N$1,"]")),MATCH(vp.tbl[[#This Row],[SDate]],weather.tbl[Date],0))</f>
        <v>7</v>
      </c>
      <c r="O357" s="2">
        <f ca="1">INDEX(INDIRECT(_xlfn.CONCAT("weather.tbl[",O$1,"]")),MATCH(vp.tbl[[#This Row],[SDate]],weather.tbl[Date],0))</f>
        <v>6.6880952380952374</v>
      </c>
      <c r="P357" s="2">
        <f ca="1">INDEX(INDIRECT(_xlfn.CONCAT("weather.tbl[",P$1,"]")),MATCH(vp.tbl[[#This Row],[SDate]],weather.tbl[Date],0))</f>
        <v>7.8</v>
      </c>
      <c r="Q357" s="2">
        <f ca="1">INDEX(INDIRECT(_xlfn.CONCAT("weather.tbl[",Q$1,"]")),MATCH(vp.tbl[[#This Row],[SDate]],weather.tbl[Date],0))</f>
        <v>8</v>
      </c>
      <c r="R357" s="2">
        <f ca="1">INDEX(INDIRECT(_xlfn.CONCAT("weather.tbl[",R$1,"]")),MATCH(vp.tbl[[#This Row],[SDate]],weather.tbl[Date],0))</f>
        <v>6</v>
      </c>
      <c r="S357" s="2">
        <f ca="1">INDEX(INDIRECT(_xlfn.CONCAT("weather.tbl[",S$1,"]")),MATCH(vp.tbl[[#This Row],[SDate]],weather.tbl[Date],0))</f>
        <v>8.5</v>
      </c>
      <c r="T357" s="2">
        <f ca="1">INDEX(INDIRECT(_xlfn.CONCAT("weather.tbl[",T$1,"]")),MATCH(vp.tbl[[#This Row],[SDate]],weather.tbl[Date],0))</f>
        <v>4.9000000000000004</v>
      </c>
      <c r="U357" s="2">
        <f ca="1">INDEX(INDIRECT(_xlfn.CONCAT("weather.tbl[",U$1,"]")),MATCH(vp.tbl[[#This Row],[SDate]],weather.tbl[Date],0))</f>
        <v>6.8</v>
      </c>
      <c r="V357" s="2">
        <v>3148.81</v>
      </c>
      <c r="W357" t="s">
        <v>48</v>
      </c>
      <c r="X357">
        <f>IF(OR(vp.tbl[[#This Row],[Sulf]]="",vp.tbl[[#This Row],[Dens]]=""),1,0)</f>
        <v>0</v>
      </c>
      <c r="Y357">
        <f>IF(vp.tbl[[#This Row],[CrudeType]]="C5+",1,0)</f>
        <v>0</v>
      </c>
      <c r="Z357">
        <f>IF(AND(vp.tbl[[#This Row],[CrudeType]]="Crude",vp.tbl[[#This Row],[Dens]]&lt;=825,vp.tbl[[#This Row],[Sulf]]&gt;0.5,vp.tbl[[#This Row],[Unknown]]=0),1,0)</f>
        <v>0</v>
      </c>
      <c r="AA357">
        <f>IF(AND(vp.tbl[[#This Row],[CrudeType]]="Crude",vp.tbl[[#This Row],[Dens]]&lt;=825,vp.tbl[[#This Row],[Sulf]]&lt;=0.5,vp.tbl[[#This Row],[Unknown]]=0),1,0)</f>
        <v>0</v>
      </c>
      <c r="AB357">
        <f>IF(AND(vp.tbl[[#This Row],[CrudeType]]="Crude",vp.tbl[[#This Row],[Dens]]&gt;825,vp.tbl[[#This Row],[Dens]]&lt;=870,vp.tbl[[#This Row],[Sulf]]&gt;0.5,vp.tbl[[#This Row],[Unknown]]=0),1,0)</f>
        <v>1</v>
      </c>
      <c r="AC357">
        <f>IF(AND(vp.tbl[[#This Row],[CrudeType]]="Crude",vp.tbl[[#This Row],[Dens]]&gt;825,vp.tbl[[#This Row],[Dens]]&lt;=900,vp.tbl[[#This Row],[Sulf]]&lt;=0.5,vp.tbl[[#This Row],[Unknown]]=0),1,0)</f>
        <v>0</v>
      </c>
      <c r="AD357">
        <f>IF(AND(vp.tbl[[#This Row],[CrudeType]]="Crude",vp.tbl[[#This Row],[Dens]]&gt;870,vp.tbl[[#This Row],[Dens]]&lt;=900,vp.tbl[[#This Row],[Sulf]]&gt;0.5,vp.tbl[[#This Row],[Unknown]]=0),1,0)</f>
        <v>0</v>
      </c>
      <c r="AE357">
        <f>IF(AND(vp.tbl[[#This Row],[CrudeType]]="Crude",vp.tbl[[#This Row],[Dens]]&gt;900,vp.tbl[[#This Row],[Sulf]]&lt;=0.5,vp.tbl[[#This Row],[Unknown]]=0),1,0)</f>
        <v>0</v>
      </c>
      <c r="AF357">
        <f>IF(AND(vp.tbl[[#This Row],[CrudeType]]="Crude",vp.tbl[[#This Row],[Dens]]&gt;900,vp.tbl[[#This Row],[Sulf]]&lt;=0.5,vp.tbl[[#This Row],[Unknown]]=0),1,0)</f>
        <v>0</v>
      </c>
      <c r="AG357" t="str">
        <f>INDEX(vp.tbl[[#Headers],[Unknown]:[Heavy_SW]],MATCH(1,vp.tbl[[#This Row],[Unknown]:[Heavy_SW]],0))</f>
        <v>Medium_LSB</v>
      </c>
      <c r="AH357" t="e">
        <f>INDEX([1]!crudeBD.lkup[Number],MATCH(vp.tbl[[#This Row],[Crude_Breakdown]],[1]!crudeBD.lkup[Crude Breakdown],0))</f>
        <v>#REF!</v>
      </c>
      <c r="AI357">
        <f>MONTH(vp.tbl[[#This Row],[SDate]])</f>
        <v>11</v>
      </c>
      <c r="AJ357" s="5">
        <f>IFERROR(vp.tbl[[#This Row],[Sulf]]*vp.tbl[[#This Row],[Net Dens]],"")</f>
        <v>4275422.7298999997</v>
      </c>
      <c r="AK357" s="5">
        <f>IFERROR(vp.tbl[[#This Row],[Dens]]*vp.tbl[[#This Row],[VolumeM3]],"")</f>
        <v>2622958.73</v>
      </c>
      <c r="AL357" s="5">
        <f>IFERROR(vp.tbl[[#This Row],[VP]]*vp.tbl[[#This Row],[VolumeM3]],"")</f>
        <v>220416.69999999998</v>
      </c>
      <c r="AM357" s="4">
        <f>IFERROR((vp.tbl[[#This Row],[VP]]-INDEX(crudeBD.lkup.complete[Mean_VP],MATCH(vp.tbl[[#This Row],[Crude_Breakdown]],crudeBD.lkup.complete[Crude Breakdown],0)))^2,"")</f>
        <v>103.50203393622742</v>
      </c>
      <c r="AN357" s="4">
        <f>IFERROR((vp.tbl[[#This Row],[Dens]]-INDEX(crudeBD.lkup.complete[Mean_Dens],MATCH(vp.tbl[[#This Row],[Crude_Breakdown]],crudeBD.lkup.complete[Crude Breakdown],0)))^2,"")</f>
        <v>151.08890737315318</v>
      </c>
      <c r="AO357" s="4">
        <f>IFERROR((vp.tbl[[#This Row],[Sulf]]-INDEX(crudeBD.lkup.complete[Mean_Sulf],MATCH(vp.tbl[[#This Row],[Crude_Breakdown]],crudeBD.lkup.complete[Crude Breakdown],0)))^2,"")</f>
        <v>3.0649553653689716E-2</v>
      </c>
      <c r="AP357">
        <f>IF(AND(vp.tbl[[#This Row],[SDate]]&gt;=DATE(YEAR(vp.tbl[[#This Row],[SDate]]),5,1),vp.tbl[[#This Row],[SDate]]&lt;=DATE(YEAR(vp.tbl[[#This Row],[SDate]]),9,15)),1,0)</f>
        <v>0</v>
      </c>
      <c r="AQ357" s="15">
        <f>IF(vp.tbl[[#This Row],[SDate]]&lt;DATE(2016,12,1),0,1)</f>
        <v>0</v>
      </c>
    </row>
    <row r="358" spans="1:43" x14ac:dyDescent="0.25">
      <c r="A358">
        <v>357</v>
      </c>
      <c r="B358" t="s">
        <v>51</v>
      </c>
      <c r="C358" t="s">
        <v>51</v>
      </c>
      <c r="D358" t="s">
        <v>72</v>
      </c>
      <c r="F358" s="1">
        <v>42688</v>
      </c>
      <c r="G358" s="2">
        <v>79.3</v>
      </c>
      <c r="H358" s="2"/>
      <c r="I358" s="2">
        <v>1.31</v>
      </c>
      <c r="J358" s="2"/>
      <c r="K358" s="2"/>
      <c r="L358" s="2">
        <v>838.7</v>
      </c>
      <c r="M358" s="2">
        <v>838.7</v>
      </c>
      <c r="N358" s="2">
        <f ca="1">INDEX(INDIRECT(_xlfn.CONCAT("weather.tbl[",N$1,"]")),MATCH(vp.tbl[[#This Row],[SDate]],weather.tbl[Date],0))</f>
        <v>7</v>
      </c>
      <c r="O358" s="2">
        <f ca="1">INDEX(INDIRECT(_xlfn.CONCAT("weather.tbl[",O$1,"]")),MATCH(vp.tbl[[#This Row],[SDate]],weather.tbl[Date],0))</f>
        <v>6.6880952380952374</v>
      </c>
      <c r="P358" s="2">
        <f ca="1">INDEX(INDIRECT(_xlfn.CONCAT("weather.tbl[",P$1,"]")),MATCH(vp.tbl[[#This Row],[SDate]],weather.tbl[Date],0))</f>
        <v>7.8</v>
      </c>
      <c r="Q358" s="2">
        <f ca="1">INDEX(INDIRECT(_xlfn.CONCAT("weather.tbl[",Q$1,"]")),MATCH(vp.tbl[[#This Row],[SDate]],weather.tbl[Date],0))</f>
        <v>8</v>
      </c>
      <c r="R358" s="2">
        <f ca="1">INDEX(INDIRECT(_xlfn.CONCAT("weather.tbl[",R$1,"]")),MATCH(vp.tbl[[#This Row],[SDate]],weather.tbl[Date],0))</f>
        <v>6</v>
      </c>
      <c r="S358" s="2">
        <f ca="1">INDEX(INDIRECT(_xlfn.CONCAT("weather.tbl[",S$1,"]")),MATCH(vp.tbl[[#This Row],[SDate]],weather.tbl[Date],0))</f>
        <v>8.5</v>
      </c>
      <c r="T358" s="2">
        <f ca="1">INDEX(INDIRECT(_xlfn.CONCAT("weather.tbl[",T$1,"]")),MATCH(vp.tbl[[#This Row],[SDate]],weather.tbl[Date],0))</f>
        <v>4.9000000000000004</v>
      </c>
      <c r="U358" s="2">
        <f ca="1">INDEX(INDIRECT(_xlfn.CONCAT("weather.tbl[",U$1,"]")),MATCH(vp.tbl[[#This Row],[SDate]],weather.tbl[Date],0))</f>
        <v>6.8</v>
      </c>
      <c r="V358" s="2">
        <v>14400.835999999999</v>
      </c>
      <c r="W358" t="s">
        <v>48</v>
      </c>
      <c r="X358">
        <f>IF(OR(vp.tbl[[#This Row],[Sulf]]="",vp.tbl[[#This Row],[Dens]]=""),1,0)</f>
        <v>0</v>
      </c>
      <c r="Y358">
        <f>IF(vp.tbl[[#This Row],[CrudeType]]="C5+",1,0)</f>
        <v>0</v>
      </c>
      <c r="Z358">
        <f>IF(AND(vp.tbl[[#This Row],[CrudeType]]="Crude",vp.tbl[[#This Row],[Dens]]&lt;=825,vp.tbl[[#This Row],[Sulf]]&gt;0.5,vp.tbl[[#This Row],[Unknown]]=0),1,0)</f>
        <v>0</v>
      </c>
      <c r="AA358">
        <f>IF(AND(vp.tbl[[#This Row],[CrudeType]]="Crude",vp.tbl[[#This Row],[Dens]]&lt;=825,vp.tbl[[#This Row],[Sulf]]&lt;=0.5,vp.tbl[[#This Row],[Unknown]]=0),1,0)</f>
        <v>0</v>
      </c>
      <c r="AB358">
        <f>IF(AND(vp.tbl[[#This Row],[CrudeType]]="Crude",vp.tbl[[#This Row],[Dens]]&gt;825,vp.tbl[[#This Row],[Dens]]&lt;=870,vp.tbl[[#This Row],[Sulf]]&gt;0.5,vp.tbl[[#This Row],[Unknown]]=0),1,0)</f>
        <v>1</v>
      </c>
      <c r="AC358">
        <f>IF(AND(vp.tbl[[#This Row],[CrudeType]]="Crude",vp.tbl[[#This Row],[Dens]]&gt;825,vp.tbl[[#This Row],[Dens]]&lt;=900,vp.tbl[[#This Row],[Sulf]]&lt;=0.5,vp.tbl[[#This Row],[Unknown]]=0),1,0)</f>
        <v>0</v>
      </c>
      <c r="AD358">
        <f>IF(AND(vp.tbl[[#This Row],[CrudeType]]="Crude",vp.tbl[[#This Row],[Dens]]&gt;870,vp.tbl[[#This Row],[Dens]]&lt;=900,vp.tbl[[#This Row],[Sulf]]&gt;0.5,vp.tbl[[#This Row],[Unknown]]=0),1,0)</f>
        <v>0</v>
      </c>
      <c r="AE358">
        <f>IF(AND(vp.tbl[[#This Row],[CrudeType]]="Crude",vp.tbl[[#This Row],[Dens]]&gt;900,vp.tbl[[#This Row],[Sulf]]&lt;=0.5,vp.tbl[[#This Row],[Unknown]]=0),1,0)</f>
        <v>0</v>
      </c>
      <c r="AF358">
        <f>IF(AND(vp.tbl[[#This Row],[CrudeType]]="Crude",vp.tbl[[#This Row],[Dens]]&gt;900,vp.tbl[[#This Row],[Sulf]]&lt;=0.5,vp.tbl[[#This Row],[Unknown]]=0),1,0)</f>
        <v>0</v>
      </c>
      <c r="AG358" t="str">
        <f>INDEX(vp.tbl[[#Headers],[Unknown]:[Heavy_SW]],MATCH(1,vp.tbl[[#This Row],[Unknown]:[Heavy_SW]],0))</f>
        <v>Medium_LSB</v>
      </c>
      <c r="AH358" t="e">
        <f>INDEX([1]!crudeBD.lkup[Number],MATCH(vp.tbl[[#This Row],[Crude_Breakdown]],[1]!crudeBD.lkup[Crude Breakdown],0))</f>
        <v>#REF!</v>
      </c>
      <c r="AI358">
        <f>MONTH(vp.tbl[[#This Row],[SDate]])</f>
        <v>11</v>
      </c>
      <c r="AJ358" s="5">
        <f>IFERROR(vp.tbl[[#This Row],[Sulf]]*vp.tbl[[#This Row],[Net Dens]],"")</f>
        <v>15822155.310692001</v>
      </c>
      <c r="AK358" s="5">
        <f>IFERROR(vp.tbl[[#This Row],[Dens]]*vp.tbl[[#This Row],[VolumeM3]],"")</f>
        <v>12077981.153200001</v>
      </c>
      <c r="AL358" s="5">
        <f>IFERROR(vp.tbl[[#This Row],[VP]]*vp.tbl[[#This Row],[VolumeM3]],"")</f>
        <v>1141986.2947999998</v>
      </c>
      <c r="AM358" s="4">
        <f>IFERROR((vp.tbl[[#This Row],[VP]]-INDEX(crudeBD.lkup.complete[Mean_VP],MATCH(vp.tbl[[#This Row],[Crude_Breakdown]],crudeBD.lkup.complete[Crude Breakdown],0)))^2,"")</f>
        <v>0.76316811344329893</v>
      </c>
      <c r="AN358" s="4">
        <f>IFERROR((vp.tbl[[#This Row],[Dens]]-INDEX(crudeBD.lkup.complete[Mean_Dens],MATCH(vp.tbl[[#This Row],[Crude_Breakdown]],crudeBD.lkup.complete[Crude Breakdown],0)))^2,"")</f>
        <v>43.452127626328348</v>
      </c>
      <c r="AO358" s="4">
        <f>IFERROR((vp.tbl[[#This Row],[Sulf]]-INDEX(crudeBD.lkup.complete[Mean_Sulf],MATCH(vp.tbl[[#This Row],[Crude_Breakdown]],crudeBD.lkup.complete[Crude Breakdown],0)))^2,"")</f>
        <v>2.1004664539766637E-2</v>
      </c>
      <c r="AP358">
        <f>IF(AND(vp.tbl[[#This Row],[SDate]]&gt;=DATE(YEAR(vp.tbl[[#This Row],[SDate]]),5,1),vp.tbl[[#This Row],[SDate]]&lt;=DATE(YEAR(vp.tbl[[#This Row],[SDate]]),9,15)),1,0)</f>
        <v>0</v>
      </c>
      <c r="AQ358" s="15">
        <f>IF(vp.tbl[[#This Row],[SDate]]&lt;DATE(2016,12,1),0,1)</f>
        <v>0</v>
      </c>
    </row>
    <row r="359" spans="1:43" x14ac:dyDescent="0.25">
      <c r="A359">
        <v>358</v>
      </c>
      <c r="B359" t="s">
        <v>56</v>
      </c>
      <c r="C359" t="s">
        <v>56</v>
      </c>
      <c r="D359" t="s">
        <v>94</v>
      </c>
      <c r="F359" s="1">
        <v>42688</v>
      </c>
      <c r="G359" s="2">
        <v>73.099999999999994</v>
      </c>
      <c r="H359" s="2"/>
      <c r="I359" s="2">
        <v>2.04</v>
      </c>
      <c r="J359" s="2"/>
      <c r="K359" s="2"/>
      <c r="L359" s="2">
        <v>863</v>
      </c>
      <c r="M359" s="2">
        <v>863</v>
      </c>
      <c r="N359" s="2">
        <f ca="1">INDEX(INDIRECT(_xlfn.CONCAT("weather.tbl[",N$1,"]")),MATCH(vp.tbl[[#This Row],[SDate]],weather.tbl[Date],0))</f>
        <v>7</v>
      </c>
      <c r="O359" s="2">
        <f ca="1">INDEX(INDIRECT(_xlfn.CONCAT("weather.tbl[",O$1,"]")),MATCH(vp.tbl[[#This Row],[SDate]],weather.tbl[Date],0))</f>
        <v>6.6880952380952374</v>
      </c>
      <c r="P359" s="2">
        <f ca="1">INDEX(INDIRECT(_xlfn.CONCAT("weather.tbl[",P$1,"]")),MATCH(vp.tbl[[#This Row],[SDate]],weather.tbl[Date],0))</f>
        <v>7.8</v>
      </c>
      <c r="Q359" s="2">
        <f ca="1">INDEX(INDIRECT(_xlfn.CONCAT("weather.tbl[",Q$1,"]")),MATCH(vp.tbl[[#This Row],[SDate]],weather.tbl[Date],0))</f>
        <v>8</v>
      </c>
      <c r="R359" s="2">
        <f ca="1">INDEX(INDIRECT(_xlfn.CONCAT("weather.tbl[",R$1,"]")),MATCH(vp.tbl[[#This Row],[SDate]],weather.tbl[Date],0))</f>
        <v>6</v>
      </c>
      <c r="S359" s="2">
        <f ca="1">INDEX(INDIRECT(_xlfn.CONCAT("weather.tbl[",S$1,"]")),MATCH(vp.tbl[[#This Row],[SDate]],weather.tbl[Date],0))</f>
        <v>8.5</v>
      </c>
      <c r="T359" s="2">
        <f ca="1">INDEX(INDIRECT(_xlfn.CONCAT("weather.tbl[",T$1,"]")),MATCH(vp.tbl[[#This Row],[SDate]],weather.tbl[Date],0))</f>
        <v>4.9000000000000004</v>
      </c>
      <c r="U359" s="2">
        <f ca="1">INDEX(INDIRECT(_xlfn.CONCAT("weather.tbl[",U$1,"]")),MATCH(vp.tbl[[#This Row],[SDate]],weather.tbl[Date],0))</f>
        <v>6.8</v>
      </c>
      <c r="V359" s="2">
        <v>3573.9189999999999</v>
      </c>
      <c r="W359" t="s">
        <v>48</v>
      </c>
      <c r="X359">
        <f>IF(OR(vp.tbl[[#This Row],[Sulf]]="",vp.tbl[[#This Row],[Dens]]=""),1,0)</f>
        <v>0</v>
      </c>
      <c r="Y359">
        <f>IF(vp.tbl[[#This Row],[CrudeType]]="C5+",1,0)</f>
        <v>0</v>
      </c>
      <c r="Z359">
        <f>IF(AND(vp.tbl[[#This Row],[CrudeType]]="Crude",vp.tbl[[#This Row],[Dens]]&lt;=825,vp.tbl[[#This Row],[Sulf]]&gt;0.5,vp.tbl[[#This Row],[Unknown]]=0),1,0)</f>
        <v>0</v>
      </c>
      <c r="AA359">
        <f>IF(AND(vp.tbl[[#This Row],[CrudeType]]="Crude",vp.tbl[[#This Row],[Dens]]&lt;=825,vp.tbl[[#This Row],[Sulf]]&lt;=0.5,vp.tbl[[#This Row],[Unknown]]=0),1,0)</f>
        <v>0</v>
      </c>
      <c r="AB359">
        <f>IF(AND(vp.tbl[[#This Row],[CrudeType]]="Crude",vp.tbl[[#This Row],[Dens]]&gt;825,vp.tbl[[#This Row],[Dens]]&lt;=870,vp.tbl[[#This Row],[Sulf]]&gt;0.5,vp.tbl[[#This Row],[Unknown]]=0),1,0)</f>
        <v>1</v>
      </c>
      <c r="AC359">
        <f>IF(AND(vp.tbl[[#This Row],[CrudeType]]="Crude",vp.tbl[[#This Row],[Dens]]&gt;825,vp.tbl[[#This Row],[Dens]]&lt;=900,vp.tbl[[#This Row],[Sulf]]&lt;=0.5,vp.tbl[[#This Row],[Unknown]]=0),1,0)</f>
        <v>0</v>
      </c>
      <c r="AD359">
        <f>IF(AND(vp.tbl[[#This Row],[CrudeType]]="Crude",vp.tbl[[#This Row],[Dens]]&gt;870,vp.tbl[[#This Row],[Dens]]&lt;=900,vp.tbl[[#This Row],[Sulf]]&gt;0.5,vp.tbl[[#This Row],[Unknown]]=0),1,0)</f>
        <v>0</v>
      </c>
      <c r="AE359">
        <f>IF(AND(vp.tbl[[#This Row],[CrudeType]]="Crude",vp.tbl[[#This Row],[Dens]]&gt;900,vp.tbl[[#This Row],[Sulf]]&lt;=0.5,vp.tbl[[#This Row],[Unknown]]=0),1,0)</f>
        <v>0</v>
      </c>
      <c r="AF359">
        <f>IF(AND(vp.tbl[[#This Row],[CrudeType]]="Crude",vp.tbl[[#This Row],[Dens]]&gt;900,vp.tbl[[#This Row],[Sulf]]&lt;=0.5,vp.tbl[[#This Row],[Unknown]]=0),1,0)</f>
        <v>0</v>
      </c>
      <c r="AG359" t="str">
        <f>INDEX(vp.tbl[[#Headers],[Unknown]:[Heavy_SW]],MATCH(1,vp.tbl[[#This Row],[Unknown]:[Heavy_SW]],0))</f>
        <v>Medium_LSB</v>
      </c>
      <c r="AH359" t="e">
        <f>INDEX([1]!crudeBD.lkup[Number],MATCH(vp.tbl[[#This Row],[Crude_Breakdown]],[1]!crudeBD.lkup[Crude Breakdown],0))</f>
        <v>#REF!</v>
      </c>
      <c r="AI359">
        <f>MONTH(vp.tbl[[#This Row],[SDate]])</f>
        <v>11</v>
      </c>
      <c r="AJ359" s="5">
        <f>IFERROR(vp.tbl[[#This Row],[Sulf]]*vp.tbl[[#This Row],[Net Dens]],"")</f>
        <v>6291955.8778800005</v>
      </c>
      <c r="AK359" s="5">
        <f>IFERROR(vp.tbl[[#This Row],[Dens]]*vp.tbl[[#This Row],[VolumeM3]],"")</f>
        <v>3084292.0970000001</v>
      </c>
      <c r="AL359" s="5">
        <f>IFERROR(vp.tbl[[#This Row],[VP]]*vp.tbl[[#This Row],[VolumeM3]],"")</f>
        <v>261253.47889999996</v>
      </c>
      <c r="AM359" s="4">
        <f>IFERROR((vp.tbl[[#This Row],[VP]]-INDEX(crudeBD.lkup.complete[Mean_VP],MATCH(vp.tbl[[#This Row],[Crude_Breakdown]],crudeBD.lkup.complete[Crude Breakdown],0)))^2,"")</f>
        <v>50.035745328632792</v>
      </c>
      <c r="AN359" s="4">
        <f>IFERROR((vp.tbl[[#This Row],[Dens]]-INDEX(crudeBD.lkup.complete[Mean_Dens],MATCH(vp.tbl[[#This Row],[Crude_Breakdown]],crudeBD.lkup.complete[Crude Breakdown],0)))^2,"")</f>
        <v>313.57954028460466</v>
      </c>
      <c r="AO359" s="4">
        <f>IFERROR((vp.tbl[[#This Row],[Sulf]]-INDEX(crudeBD.lkup.complete[Mean_Sulf],MATCH(vp.tbl[[#This Row],[Crude_Breakdown]],crudeBD.lkup.complete[Crude Breakdown],0)))^2,"")</f>
        <v>0.34230706783090376</v>
      </c>
      <c r="AP359">
        <f>IF(AND(vp.tbl[[#This Row],[SDate]]&gt;=DATE(YEAR(vp.tbl[[#This Row],[SDate]]),5,1),vp.tbl[[#This Row],[SDate]]&lt;=DATE(YEAR(vp.tbl[[#This Row],[SDate]]),9,15)),1,0)</f>
        <v>0</v>
      </c>
      <c r="AQ359" s="15">
        <f>IF(vp.tbl[[#This Row],[SDate]]&lt;DATE(2016,12,1),0,1)</f>
        <v>0</v>
      </c>
    </row>
    <row r="360" spans="1:43" x14ac:dyDescent="0.25">
      <c r="A360">
        <v>359</v>
      </c>
      <c r="B360" t="s">
        <v>49</v>
      </c>
      <c r="C360" t="s">
        <v>49</v>
      </c>
      <c r="D360" t="s">
        <v>67</v>
      </c>
      <c r="F360" s="1">
        <v>42689</v>
      </c>
      <c r="G360" s="2">
        <v>89.9</v>
      </c>
      <c r="H360" s="2"/>
      <c r="I360" s="2">
        <v>0.2</v>
      </c>
      <c r="J360" s="2"/>
      <c r="K360" s="2"/>
      <c r="L360" s="2">
        <v>806.3</v>
      </c>
      <c r="M360" s="2">
        <v>806.3</v>
      </c>
      <c r="N360" s="2">
        <f ca="1">INDEX(INDIRECT(_xlfn.CONCAT("weather.tbl[",N$1,"]")),MATCH(vp.tbl[[#This Row],[SDate]],weather.tbl[Date],0))</f>
        <v>4.2333333333333334</v>
      </c>
      <c r="O360" s="2">
        <f ca="1">INDEX(INDIRECT(_xlfn.CONCAT("weather.tbl[",O$1,"]")),MATCH(vp.tbl[[#This Row],[SDate]],weather.tbl[Date],0))</f>
        <v>6.6190476190476186</v>
      </c>
      <c r="P360" s="2">
        <f ca="1">INDEX(INDIRECT(_xlfn.CONCAT("weather.tbl[",P$1,"]")),MATCH(vp.tbl[[#This Row],[SDate]],weather.tbl[Date],0))</f>
        <v>4.0999999999999996</v>
      </c>
      <c r="Q360" s="2">
        <f ca="1">INDEX(INDIRECT(_xlfn.CONCAT("weather.tbl[",Q$1,"]")),MATCH(vp.tbl[[#This Row],[SDate]],weather.tbl[Date],0))</f>
        <v>3.5</v>
      </c>
      <c r="R360" s="2">
        <f ca="1">INDEX(INDIRECT(_xlfn.CONCAT("weather.tbl[",R$1,"]")),MATCH(vp.tbl[[#This Row],[SDate]],weather.tbl[Date],0))</f>
        <v>6</v>
      </c>
      <c r="S360" s="2">
        <f ca="1">INDEX(INDIRECT(_xlfn.CONCAT("weather.tbl[",S$1,"]")),MATCH(vp.tbl[[#This Row],[SDate]],weather.tbl[Date],0))</f>
        <v>3.8</v>
      </c>
      <c r="T360" s="2">
        <f ca="1">INDEX(INDIRECT(_xlfn.CONCAT("weather.tbl[",T$1,"]")),MATCH(vp.tbl[[#This Row],[SDate]],weather.tbl[Date],0))</f>
        <v>5.2</v>
      </c>
      <c r="U360" s="2">
        <f ca="1">INDEX(INDIRECT(_xlfn.CONCAT("weather.tbl[",U$1,"]")),MATCH(vp.tbl[[#This Row],[SDate]],weather.tbl[Date],0))</f>
        <v>2.8</v>
      </c>
      <c r="V360" s="2">
        <v>52233.78</v>
      </c>
      <c r="W360" t="s">
        <v>48</v>
      </c>
      <c r="X360">
        <f>IF(OR(vp.tbl[[#This Row],[Sulf]]="",vp.tbl[[#This Row],[Dens]]=""),1,0)</f>
        <v>0</v>
      </c>
      <c r="Y360">
        <f>IF(vp.tbl[[#This Row],[CrudeType]]="C5+",1,0)</f>
        <v>0</v>
      </c>
      <c r="Z360">
        <f>IF(AND(vp.tbl[[#This Row],[CrudeType]]="Crude",vp.tbl[[#This Row],[Dens]]&lt;=825,vp.tbl[[#This Row],[Sulf]]&gt;0.5,vp.tbl[[#This Row],[Unknown]]=0),1,0)</f>
        <v>0</v>
      </c>
      <c r="AA360">
        <f>IF(AND(vp.tbl[[#This Row],[CrudeType]]="Crude",vp.tbl[[#This Row],[Dens]]&lt;=825,vp.tbl[[#This Row],[Sulf]]&lt;=0.5,vp.tbl[[#This Row],[Unknown]]=0),1,0)</f>
        <v>1</v>
      </c>
      <c r="AB360">
        <f>IF(AND(vp.tbl[[#This Row],[CrudeType]]="Crude",vp.tbl[[#This Row],[Dens]]&gt;825,vp.tbl[[#This Row],[Dens]]&lt;=870,vp.tbl[[#This Row],[Sulf]]&gt;0.5,vp.tbl[[#This Row],[Unknown]]=0),1,0)</f>
        <v>0</v>
      </c>
      <c r="AC360">
        <f>IF(AND(vp.tbl[[#This Row],[CrudeType]]="Crude",vp.tbl[[#This Row],[Dens]]&gt;825,vp.tbl[[#This Row],[Dens]]&lt;=900,vp.tbl[[#This Row],[Sulf]]&lt;=0.5,vp.tbl[[#This Row],[Unknown]]=0),1,0)</f>
        <v>0</v>
      </c>
      <c r="AD360">
        <f>IF(AND(vp.tbl[[#This Row],[CrudeType]]="Crude",vp.tbl[[#This Row],[Dens]]&gt;870,vp.tbl[[#This Row],[Dens]]&lt;=900,vp.tbl[[#This Row],[Sulf]]&gt;0.5,vp.tbl[[#This Row],[Unknown]]=0),1,0)</f>
        <v>0</v>
      </c>
      <c r="AE360">
        <f>IF(AND(vp.tbl[[#This Row],[CrudeType]]="Crude",vp.tbl[[#This Row],[Dens]]&gt;900,vp.tbl[[#This Row],[Sulf]]&lt;=0.5,vp.tbl[[#This Row],[Unknown]]=0),1,0)</f>
        <v>0</v>
      </c>
      <c r="AF360">
        <f>IF(AND(vp.tbl[[#This Row],[CrudeType]]="Crude",vp.tbl[[#This Row],[Dens]]&gt;900,vp.tbl[[#This Row],[Sulf]]&lt;=0.5,vp.tbl[[#This Row],[Unknown]]=0),1,0)</f>
        <v>0</v>
      </c>
      <c r="AG360" t="str">
        <f>INDEX(vp.tbl[[#Headers],[Unknown]:[Heavy_SW]],MATCH(1,vp.tbl[[#This Row],[Unknown]:[Heavy_SW]],0))</f>
        <v>Light_SW</v>
      </c>
      <c r="AH360" t="e">
        <f>INDEX([1]!crudeBD.lkup[Number],MATCH(vp.tbl[[#This Row],[Crude_Breakdown]],[1]!crudeBD.lkup[Crude Breakdown],0))</f>
        <v>#REF!</v>
      </c>
      <c r="AI360">
        <f>MONTH(vp.tbl[[#This Row],[SDate]])</f>
        <v>11</v>
      </c>
      <c r="AJ360" s="5">
        <f>IFERROR(vp.tbl[[#This Row],[Sulf]]*vp.tbl[[#This Row],[Net Dens]],"")</f>
        <v>8423219.3628000002</v>
      </c>
      <c r="AK360" s="5">
        <f>IFERROR(vp.tbl[[#This Row],[Dens]]*vp.tbl[[#This Row],[VolumeM3]],"")</f>
        <v>42116096.813999996</v>
      </c>
      <c r="AL360" s="5">
        <f>IFERROR(vp.tbl[[#This Row],[VP]]*vp.tbl[[#This Row],[VolumeM3]],"")</f>
        <v>4695816.8220000006</v>
      </c>
      <c r="AM360" s="4">
        <f>IFERROR((vp.tbl[[#This Row],[VP]]-INDEX(crudeBD.lkup.complete[Mean_VP],MATCH(vp.tbl[[#This Row],[Crude_Breakdown]],crudeBD.lkup.complete[Crude Breakdown],0)))^2,"")</f>
        <v>7.0241621192437034</v>
      </c>
      <c r="AN360" s="4">
        <f>IFERROR((vp.tbl[[#This Row],[Dens]]-INDEX(crudeBD.lkup.complete[Mean_Dens],MATCH(vp.tbl[[#This Row],[Crude_Breakdown]],crudeBD.lkup.complete[Crude Breakdown],0)))^2,"")</f>
        <v>4.0461252412915387</v>
      </c>
      <c r="AO360" s="4">
        <f>IFERROR((vp.tbl[[#This Row],[Sulf]]-INDEX(crudeBD.lkup.complete[Mean_Sulf],MATCH(vp.tbl[[#This Row],[Crude_Breakdown]],crudeBD.lkup.complete[Crude Breakdown],0)))^2,"")</f>
        <v>1.3134689259308601E-3</v>
      </c>
      <c r="AP360">
        <f>IF(AND(vp.tbl[[#This Row],[SDate]]&gt;=DATE(YEAR(vp.tbl[[#This Row],[SDate]]),5,1),vp.tbl[[#This Row],[SDate]]&lt;=DATE(YEAR(vp.tbl[[#This Row],[SDate]]),9,15)),1,0)</f>
        <v>0</v>
      </c>
      <c r="AQ360" s="15">
        <f>IF(vp.tbl[[#This Row],[SDate]]&lt;DATE(2016,12,1),0,1)</f>
        <v>0</v>
      </c>
    </row>
    <row r="361" spans="1:43" x14ac:dyDescent="0.25">
      <c r="A361">
        <v>360</v>
      </c>
      <c r="B361" t="s">
        <v>51</v>
      </c>
      <c r="C361" t="s">
        <v>51</v>
      </c>
      <c r="D361" t="s">
        <v>71</v>
      </c>
      <c r="F361" s="1">
        <v>42690</v>
      </c>
      <c r="G361" s="2">
        <v>83.3</v>
      </c>
      <c r="H361" s="2"/>
      <c r="I361" s="2">
        <v>1.42</v>
      </c>
      <c r="J361" s="2"/>
      <c r="K361" s="2"/>
      <c r="L361" s="2">
        <v>823.5</v>
      </c>
      <c r="M361" s="2">
        <v>823.5</v>
      </c>
      <c r="N361" s="2">
        <f ca="1">INDEX(INDIRECT(_xlfn.CONCAT("weather.tbl[",N$1,"]")),MATCH(vp.tbl[[#This Row],[SDate]],weather.tbl[Date],0))</f>
        <v>4.1333333333333337</v>
      </c>
      <c r="O361" s="2">
        <f ca="1">INDEX(INDIRECT(_xlfn.CONCAT("weather.tbl[",O$1,"]")),MATCH(vp.tbl[[#This Row],[SDate]],weather.tbl[Date],0))</f>
        <v>5.6809523809523812</v>
      </c>
      <c r="P361" s="2">
        <f ca="1">INDEX(INDIRECT(_xlfn.CONCAT("weather.tbl[",P$1,"]")),MATCH(vp.tbl[[#This Row],[SDate]],weather.tbl[Date],0))</f>
        <v>4.5</v>
      </c>
      <c r="Q361" s="2">
        <f ca="1">INDEX(INDIRECT(_xlfn.CONCAT("weather.tbl[",Q$1,"]")),MATCH(vp.tbl[[#This Row],[SDate]],weather.tbl[Date],0))</f>
        <v>0.8</v>
      </c>
      <c r="R361" s="2">
        <f ca="1">INDEX(INDIRECT(_xlfn.CONCAT("weather.tbl[",R$1,"]")),MATCH(vp.tbl[[#This Row],[SDate]],weather.tbl[Date],0))</f>
        <v>5.8</v>
      </c>
      <c r="S361" s="2">
        <f ca="1">INDEX(INDIRECT(_xlfn.CONCAT("weather.tbl[",S$1,"]")),MATCH(vp.tbl[[#This Row],[SDate]],weather.tbl[Date],0))</f>
        <v>3</v>
      </c>
      <c r="T361" s="2">
        <f ca="1">INDEX(INDIRECT(_xlfn.CONCAT("weather.tbl[",T$1,"]")),MATCH(vp.tbl[[#This Row],[SDate]],weather.tbl[Date],0))</f>
        <v>7.2</v>
      </c>
      <c r="U361" s="2">
        <f ca="1">INDEX(INDIRECT(_xlfn.CONCAT("weather.tbl[",U$1,"]")),MATCH(vp.tbl[[#This Row],[SDate]],weather.tbl[Date],0))</f>
        <v>3.5</v>
      </c>
      <c r="V361" s="2">
        <v>6443.4089999999997</v>
      </c>
      <c r="W361" t="s">
        <v>48</v>
      </c>
      <c r="X361">
        <f>IF(OR(vp.tbl[[#This Row],[Sulf]]="",vp.tbl[[#This Row],[Dens]]=""),1,0)</f>
        <v>0</v>
      </c>
      <c r="Y361">
        <f>IF(vp.tbl[[#This Row],[CrudeType]]="C5+",1,0)</f>
        <v>0</v>
      </c>
      <c r="Z361">
        <f>IF(AND(vp.tbl[[#This Row],[CrudeType]]="Crude",vp.tbl[[#This Row],[Dens]]&lt;=825,vp.tbl[[#This Row],[Sulf]]&gt;0.5,vp.tbl[[#This Row],[Unknown]]=0),1,0)</f>
        <v>1</v>
      </c>
      <c r="AA361">
        <f>IF(AND(vp.tbl[[#This Row],[CrudeType]]="Crude",vp.tbl[[#This Row],[Dens]]&lt;=825,vp.tbl[[#This Row],[Sulf]]&lt;=0.5,vp.tbl[[#This Row],[Unknown]]=0),1,0)</f>
        <v>0</v>
      </c>
      <c r="AB361">
        <f>IF(AND(vp.tbl[[#This Row],[CrudeType]]="Crude",vp.tbl[[#This Row],[Dens]]&gt;825,vp.tbl[[#This Row],[Dens]]&lt;=870,vp.tbl[[#This Row],[Sulf]]&gt;0.5,vp.tbl[[#This Row],[Unknown]]=0),1,0)</f>
        <v>0</v>
      </c>
      <c r="AC361">
        <f>IF(AND(vp.tbl[[#This Row],[CrudeType]]="Crude",vp.tbl[[#This Row],[Dens]]&gt;825,vp.tbl[[#This Row],[Dens]]&lt;=900,vp.tbl[[#This Row],[Sulf]]&lt;=0.5,vp.tbl[[#This Row],[Unknown]]=0),1,0)</f>
        <v>0</v>
      </c>
      <c r="AD361">
        <f>IF(AND(vp.tbl[[#This Row],[CrudeType]]="Crude",vp.tbl[[#This Row],[Dens]]&gt;870,vp.tbl[[#This Row],[Dens]]&lt;=900,vp.tbl[[#This Row],[Sulf]]&gt;0.5,vp.tbl[[#This Row],[Unknown]]=0),1,0)</f>
        <v>0</v>
      </c>
      <c r="AE361">
        <f>IF(AND(vp.tbl[[#This Row],[CrudeType]]="Crude",vp.tbl[[#This Row],[Dens]]&gt;900,vp.tbl[[#This Row],[Sulf]]&lt;=0.5,vp.tbl[[#This Row],[Unknown]]=0),1,0)</f>
        <v>0</v>
      </c>
      <c r="AF361">
        <f>IF(AND(vp.tbl[[#This Row],[CrudeType]]="Crude",vp.tbl[[#This Row],[Dens]]&gt;900,vp.tbl[[#This Row],[Sulf]]&lt;=0.5,vp.tbl[[#This Row],[Unknown]]=0),1,0)</f>
        <v>0</v>
      </c>
      <c r="AG361" t="str">
        <f>INDEX(vp.tbl[[#Headers],[Unknown]:[Heavy_SW]],MATCH(1,vp.tbl[[#This Row],[Unknown]:[Heavy_SW]],0))</f>
        <v>Light_LSB</v>
      </c>
      <c r="AH361" t="e">
        <f>INDEX([1]!crudeBD.lkup[Number],MATCH(vp.tbl[[#This Row],[Crude_Breakdown]],[1]!crudeBD.lkup[Crude Breakdown],0))</f>
        <v>#REF!</v>
      </c>
      <c r="AI361">
        <f>MONTH(vp.tbl[[#This Row],[SDate]])</f>
        <v>11</v>
      </c>
      <c r="AJ361" s="5">
        <f>IFERROR(vp.tbl[[#This Row],[Sulf]]*vp.tbl[[#This Row],[Net Dens]],"")</f>
        <v>7534729.1823299993</v>
      </c>
      <c r="AK361" s="5">
        <f>IFERROR(vp.tbl[[#This Row],[Dens]]*vp.tbl[[#This Row],[VolumeM3]],"")</f>
        <v>5306147.3114999998</v>
      </c>
      <c r="AL361" s="5">
        <f>IFERROR(vp.tbl[[#This Row],[VP]]*vp.tbl[[#This Row],[VolumeM3]],"")</f>
        <v>536735.9696999999</v>
      </c>
      <c r="AM361" s="4">
        <f>IFERROR((vp.tbl[[#This Row],[VP]]-INDEX(crudeBD.lkup.complete[Mean_VP],MATCH(vp.tbl[[#This Row],[Crude_Breakdown]],crudeBD.lkup.complete[Crude Breakdown],0)))^2,"")</f>
        <v>67.999576405569698</v>
      </c>
      <c r="AN361" s="4">
        <f>IFERROR((vp.tbl[[#This Row],[Dens]]-INDEX(crudeBD.lkup.complete[Mean_Dens],MATCH(vp.tbl[[#This Row],[Crude_Breakdown]],crudeBD.lkup.complete[Crude Breakdown],0)))^2,"")</f>
        <v>24.832583630333428</v>
      </c>
      <c r="AO361" s="4">
        <f>IFERROR((vp.tbl[[#This Row],[Sulf]]-INDEX(crudeBD.lkup.complete[Mean_Sulf],MATCH(vp.tbl[[#This Row],[Crude_Breakdown]],crudeBD.lkup.complete[Crude Breakdown],0)))^2,"")</f>
        <v>0.24703765945669176</v>
      </c>
      <c r="AP361">
        <f>IF(AND(vp.tbl[[#This Row],[SDate]]&gt;=DATE(YEAR(vp.tbl[[#This Row],[SDate]]),5,1),vp.tbl[[#This Row],[SDate]]&lt;=DATE(YEAR(vp.tbl[[#This Row],[SDate]]),9,15)),1,0)</f>
        <v>0</v>
      </c>
      <c r="AQ361" s="15">
        <f>IF(vp.tbl[[#This Row],[SDate]]&lt;DATE(2016,12,1),0,1)</f>
        <v>0</v>
      </c>
    </row>
    <row r="362" spans="1:43" x14ac:dyDescent="0.25">
      <c r="A362">
        <v>361</v>
      </c>
      <c r="B362" t="s">
        <v>68</v>
      </c>
      <c r="C362" t="s">
        <v>68</v>
      </c>
      <c r="D362" t="s">
        <v>69</v>
      </c>
      <c r="F362" s="1">
        <v>42690</v>
      </c>
      <c r="G362" s="2">
        <v>86.7</v>
      </c>
      <c r="H362" s="2"/>
      <c r="I362" s="2">
        <v>1.74</v>
      </c>
      <c r="J362" s="2"/>
      <c r="K362" s="2"/>
      <c r="L362" s="2">
        <v>825.6</v>
      </c>
      <c r="M362" s="2">
        <v>825.6</v>
      </c>
      <c r="N362" s="2">
        <f ca="1">INDEX(INDIRECT(_xlfn.CONCAT("weather.tbl[",N$1,"]")),MATCH(vp.tbl[[#This Row],[SDate]],weather.tbl[Date],0))</f>
        <v>4.1333333333333337</v>
      </c>
      <c r="O362" s="2">
        <f ca="1">INDEX(INDIRECT(_xlfn.CONCAT("weather.tbl[",O$1,"]")),MATCH(vp.tbl[[#This Row],[SDate]],weather.tbl[Date],0))</f>
        <v>5.6809523809523812</v>
      </c>
      <c r="P362" s="2">
        <f ca="1">INDEX(INDIRECT(_xlfn.CONCAT("weather.tbl[",P$1,"]")),MATCH(vp.tbl[[#This Row],[SDate]],weather.tbl[Date],0))</f>
        <v>4.5</v>
      </c>
      <c r="Q362" s="2">
        <f ca="1">INDEX(INDIRECT(_xlfn.CONCAT("weather.tbl[",Q$1,"]")),MATCH(vp.tbl[[#This Row],[SDate]],weather.tbl[Date],0))</f>
        <v>0.8</v>
      </c>
      <c r="R362" s="2">
        <f ca="1">INDEX(INDIRECT(_xlfn.CONCAT("weather.tbl[",R$1,"]")),MATCH(vp.tbl[[#This Row],[SDate]],weather.tbl[Date],0))</f>
        <v>5.8</v>
      </c>
      <c r="S362" s="2">
        <f ca="1">INDEX(INDIRECT(_xlfn.CONCAT("weather.tbl[",S$1,"]")),MATCH(vp.tbl[[#This Row],[SDate]],weather.tbl[Date],0))</f>
        <v>3</v>
      </c>
      <c r="T362" s="2">
        <f ca="1">INDEX(INDIRECT(_xlfn.CONCAT("weather.tbl[",T$1,"]")),MATCH(vp.tbl[[#This Row],[SDate]],weather.tbl[Date],0))</f>
        <v>7.2</v>
      </c>
      <c r="U362" s="2">
        <f ca="1">INDEX(INDIRECT(_xlfn.CONCAT("weather.tbl[",U$1,"]")),MATCH(vp.tbl[[#This Row],[SDate]],weather.tbl[Date],0))</f>
        <v>3.5</v>
      </c>
      <c r="V362" s="2">
        <v>1318.99</v>
      </c>
      <c r="W362" t="s">
        <v>48</v>
      </c>
      <c r="X362">
        <f>IF(OR(vp.tbl[[#This Row],[Sulf]]="",vp.tbl[[#This Row],[Dens]]=""),1,0)</f>
        <v>0</v>
      </c>
      <c r="Y362">
        <f>IF(vp.tbl[[#This Row],[CrudeType]]="C5+",1,0)</f>
        <v>0</v>
      </c>
      <c r="Z362">
        <f>IF(AND(vp.tbl[[#This Row],[CrudeType]]="Crude",vp.tbl[[#This Row],[Dens]]&lt;=825,vp.tbl[[#This Row],[Sulf]]&gt;0.5,vp.tbl[[#This Row],[Unknown]]=0),1,0)</f>
        <v>0</v>
      </c>
      <c r="AA362">
        <f>IF(AND(vp.tbl[[#This Row],[CrudeType]]="Crude",vp.tbl[[#This Row],[Dens]]&lt;=825,vp.tbl[[#This Row],[Sulf]]&lt;=0.5,vp.tbl[[#This Row],[Unknown]]=0),1,0)</f>
        <v>0</v>
      </c>
      <c r="AB362">
        <f>IF(AND(vp.tbl[[#This Row],[CrudeType]]="Crude",vp.tbl[[#This Row],[Dens]]&gt;825,vp.tbl[[#This Row],[Dens]]&lt;=870,vp.tbl[[#This Row],[Sulf]]&gt;0.5,vp.tbl[[#This Row],[Unknown]]=0),1,0)</f>
        <v>1</v>
      </c>
      <c r="AC362">
        <f>IF(AND(vp.tbl[[#This Row],[CrudeType]]="Crude",vp.tbl[[#This Row],[Dens]]&gt;825,vp.tbl[[#This Row],[Dens]]&lt;=900,vp.tbl[[#This Row],[Sulf]]&lt;=0.5,vp.tbl[[#This Row],[Unknown]]=0),1,0)</f>
        <v>0</v>
      </c>
      <c r="AD362">
        <f>IF(AND(vp.tbl[[#This Row],[CrudeType]]="Crude",vp.tbl[[#This Row],[Dens]]&gt;870,vp.tbl[[#This Row],[Dens]]&lt;=900,vp.tbl[[#This Row],[Sulf]]&gt;0.5,vp.tbl[[#This Row],[Unknown]]=0),1,0)</f>
        <v>0</v>
      </c>
      <c r="AE362">
        <f>IF(AND(vp.tbl[[#This Row],[CrudeType]]="Crude",vp.tbl[[#This Row],[Dens]]&gt;900,vp.tbl[[#This Row],[Sulf]]&lt;=0.5,vp.tbl[[#This Row],[Unknown]]=0),1,0)</f>
        <v>0</v>
      </c>
      <c r="AF362">
        <f>IF(AND(vp.tbl[[#This Row],[CrudeType]]="Crude",vp.tbl[[#This Row],[Dens]]&gt;900,vp.tbl[[#This Row],[Sulf]]&lt;=0.5,vp.tbl[[#This Row],[Unknown]]=0),1,0)</f>
        <v>0</v>
      </c>
      <c r="AG362" t="str">
        <f>INDEX(vp.tbl[[#Headers],[Unknown]:[Heavy_SW]],MATCH(1,vp.tbl[[#This Row],[Unknown]:[Heavy_SW]],0))</f>
        <v>Medium_LSB</v>
      </c>
      <c r="AH362" t="e">
        <f>INDEX([1]!crudeBD.lkup[Number],MATCH(vp.tbl[[#This Row],[Crude_Breakdown]],[1]!crudeBD.lkup[Crude Breakdown],0))</f>
        <v>#REF!</v>
      </c>
      <c r="AI362">
        <f>MONTH(vp.tbl[[#This Row],[SDate]])</f>
        <v>11</v>
      </c>
      <c r="AJ362" s="5">
        <f>IFERROR(vp.tbl[[#This Row],[Sulf]]*vp.tbl[[#This Row],[Net Dens]],"")</f>
        <v>1894787.1705600002</v>
      </c>
      <c r="AK362" s="5">
        <f>IFERROR(vp.tbl[[#This Row],[Dens]]*vp.tbl[[#This Row],[VolumeM3]],"")</f>
        <v>1088958.1440000001</v>
      </c>
      <c r="AL362" s="5">
        <f>IFERROR(vp.tbl[[#This Row],[VP]]*vp.tbl[[#This Row],[VolumeM3]],"")</f>
        <v>114356.433</v>
      </c>
      <c r="AM362" s="4">
        <f>IFERROR((vp.tbl[[#This Row],[VP]]-INDEX(crudeBD.lkup.complete[Mean_VP],MATCH(vp.tbl[[#This Row],[Crude_Breakdown]],crudeBD.lkup.complete[Crude Breakdown],0)))^2,"")</f>
        <v>42.593963050152738</v>
      </c>
      <c r="AN362" s="4">
        <f>IFERROR((vp.tbl[[#This Row],[Dens]]-INDEX(crudeBD.lkup.complete[Mean_Dens],MATCH(vp.tbl[[#This Row],[Crude_Breakdown]],crudeBD.lkup.complete[Crude Breakdown],0)))^2,"")</f>
        <v>387.76788458832755</v>
      </c>
      <c r="AO362" s="4">
        <f>IFERROR((vp.tbl[[#This Row],[Sulf]]-INDEX(crudeBD.lkup.complete[Mean_Sulf],MATCH(vp.tbl[[#This Row],[Crude_Breakdown]],crudeBD.lkup.complete[Crude Breakdown],0)))^2,"")</f>
        <v>8.1264984286600811E-2</v>
      </c>
      <c r="AP362">
        <f>IF(AND(vp.tbl[[#This Row],[SDate]]&gt;=DATE(YEAR(vp.tbl[[#This Row],[SDate]]),5,1),vp.tbl[[#This Row],[SDate]]&lt;=DATE(YEAR(vp.tbl[[#This Row],[SDate]]),9,15)),1,0)</f>
        <v>0</v>
      </c>
      <c r="AQ362" s="15">
        <f>IF(vp.tbl[[#This Row],[SDate]]&lt;DATE(2016,12,1),0,1)</f>
        <v>0</v>
      </c>
    </row>
    <row r="363" spans="1:43" x14ac:dyDescent="0.25">
      <c r="A363">
        <v>362</v>
      </c>
      <c r="B363" t="s">
        <v>60</v>
      </c>
      <c r="C363" t="s">
        <v>60</v>
      </c>
      <c r="D363" t="s">
        <v>61</v>
      </c>
      <c r="E363" t="s">
        <v>73</v>
      </c>
      <c r="F363" s="1">
        <v>42696</v>
      </c>
      <c r="G363" s="2">
        <v>67.900000000000006</v>
      </c>
      <c r="H363" s="2"/>
      <c r="I363" s="2">
        <v>0.95</v>
      </c>
      <c r="J363" s="2"/>
      <c r="K363" s="2"/>
      <c r="L363" s="2"/>
      <c r="M363" s="2">
        <v>824.1</v>
      </c>
      <c r="N363" s="2">
        <f ca="1">INDEX(INDIRECT(_xlfn.CONCAT("weather.tbl[",N$1,"]")),MATCH(vp.tbl[[#This Row],[SDate]],weather.tbl[Date],0))</f>
        <v>-2.3000000000000003</v>
      </c>
      <c r="O363" s="2">
        <f ca="1">INDEX(INDIRECT(_xlfn.CONCAT("weather.tbl[",O$1,"]")),MATCH(vp.tbl[[#This Row],[SDate]],weather.tbl[Date],0))</f>
        <v>-2.3595238095238096</v>
      </c>
      <c r="P363" s="2">
        <f ca="1">INDEX(INDIRECT(_xlfn.CONCAT("weather.tbl[",P$1,"]")),MATCH(vp.tbl[[#This Row],[SDate]],weather.tbl[Date],0))</f>
        <v>-1.9</v>
      </c>
      <c r="Q363" s="2">
        <f ca="1">INDEX(INDIRECT(_xlfn.CONCAT("weather.tbl[",Q$1,"]")),MATCH(vp.tbl[[#This Row],[SDate]],weather.tbl[Date],0))</f>
        <v>-2.6</v>
      </c>
      <c r="R363" s="2">
        <f ca="1">INDEX(INDIRECT(_xlfn.CONCAT("weather.tbl[",R$1,"]")),MATCH(vp.tbl[[#This Row],[SDate]],weather.tbl[Date],0))</f>
        <v>-2.8</v>
      </c>
      <c r="S363" s="2">
        <f ca="1">INDEX(INDIRECT(_xlfn.CONCAT("weather.tbl[",S$1,"]")),MATCH(vp.tbl[[#This Row],[SDate]],weather.tbl[Date],0))</f>
        <v>-2.5</v>
      </c>
      <c r="T363" s="2">
        <f ca="1">INDEX(INDIRECT(_xlfn.CONCAT("weather.tbl[",T$1,"]")),MATCH(vp.tbl[[#This Row],[SDate]],weather.tbl[Date],0))</f>
        <v>-1.7</v>
      </c>
      <c r="U363" s="2">
        <f ca="1">INDEX(INDIRECT(_xlfn.CONCAT("weather.tbl[",U$1,"]")),MATCH(vp.tbl[[#This Row],[SDate]],weather.tbl[Date],0))</f>
        <v>-2.2999999999999998</v>
      </c>
      <c r="V363" s="2">
        <v>106235.251</v>
      </c>
      <c r="W363" t="s">
        <v>48</v>
      </c>
      <c r="X363">
        <f>IF(OR(vp.tbl[[#This Row],[Sulf]]="",vp.tbl[[#This Row],[Dens]]=""),1,0)</f>
        <v>0</v>
      </c>
      <c r="Y363">
        <f>IF(vp.tbl[[#This Row],[CrudeType]]="C5+",1,0)</f>
        <v>0</v>
      </c>
      <c r="Z363">
        <f>IF(AND(vp.tbl[[#This Row],[CrudeType]]="Crude",vp.tbl[[#This Row],[Dens]]&lt;=825,vp.tbl[[#This Row],[Sulf]]&gt;0.5,vp.tbl[[#This Row],[Unknown]]=0),1,0)</f>
        <v>1</v>
      </c>
      <c r="AA363">
        <f>IF(AND(vp.tbl[[#This Row],[CrudeType]]="Crude",vp.tbl[[#This Row],[Dens]]&lt;=825,vp.tbl[[#This Row],[Sulf]]&lt;=0.5,vp.tbl[[#This Row],[Unknown]]=0),1,0)</f>
        <v>0</v>
      </c>
      <c r="AB363">
        <f>IF(AND(vp.tbl[[#This Row],[CrudeType]]="Crude",vp.tbl[[#This Row],[Dens]]&gt;825,vp.tbl[[#This Row],[Dens]]&lt;=870,vp.tbl[[#This Row],[Sulf]]&gt;0.5,vp.tbl[[#This Row],[Unknown]]=0),1,0)</f>
        <v>0</v>
      </c>
      <c r="AC363">
        <f>IF(AND(vp.tbl[[#This Row],[CrudeType]]="Crude",vp.tbl[[#This Row],[Dens]]&gt;825,vp.tbl[[#This Row],[Dens]]&lt;=900,vp.tbl[[#This Row],[Sulf]]&lt;=0.5,vp.tbl[[#This Row],[Unknown]]=0),1,0)</f>
        <v>0</v>
      </c>
      <c r="AD363">
        <f>IF(AND(vp.tbl[[#This Row],[CrudeType]]="Crude",vp.tbl[[#This Row],[Dens]]&gt;870,vp.tbl[[#This Row],[Dens]]&lt;=900,vp.tbl[[#This Row],[Sulf]]&gt;0.5,vp.tbl[[#This Row],[Unknown]]=0),1,0)</f>
        <v>0</v>
      </c>
      <c r="AE363">
        <f>IF(AND(vp.tbl[[#This Row],[CrudeType]]="Crude",vp.tbl[[#This Row],[Dens]]&gt;900,vp.tbl[[#This Row],[Sulf]]&lt;=0.5,vp.tbl[[#This Row],[Unknown]]=0),1,0)</f>
        <v>0</v>
      </c>
      <c r="AF363">
        <f>IF(AND(vp.tbl[[#This Row],[CrudeType]]="Crude",vp.tbl[[#This Row],[Dens]]&gt;900,vp.tbl[[#This Row],[Sulf]]&lt;=0.5,vp.tbl[[#This Row],[Unknown]]=0),1,0)</f>
        <v>0</v>
      </c>
      <c r="AG363" t="str">
        <f>INDEX(vp.tbl[[#Headers],[Unknown]:[Heavy_SW]],MATCH(1,vp.tbl[[#This Row],[Unknown]:[Heavy_SW]],0))</f>
        <v>Light_LSB</v>
      </c>
      <c r="AH363" t="e">
        <f>INDEX([1]!crudeBD.lkup[Number],MATCH(vp.tbl[[#This Row],[Crude_Breakdown]],[1]!crudeBD.lkup[Crude Breakdown],0))</f>
        <v>#REF!</v>
      </c>
      <c r="AI363">
        <f>MONTH(vp.tbl[[#This Row],[SDate]])</f>
        <v>11</v>
      </c>
      <c r="AJ363" s="5">
        <f>IFERROR(vp.tbl[[#This Row],[Sulf]]*vp.tbl[[#This Row],[Net Dens]],"")</f>
        <v>83171046.831644997</v>
      </c>
      <c r="AK363" s="5">
        <f>IFERROR(vp.tbl[[#This Row],[Dens]]*vp.tbl[[#This Row],[VolumeM3]],"")</f>
        <v>87548470.349100009</v>
      </c>
      <c r="AL363" s="5">
        <f>IFERROR(vp.tbl[[#This Row],[VP]]*vp.tbl[[#This Row],[VolumeM3]],"")</f>
        <v>7213373.5429000007</v>
      </c>
      <c r="AM363" s="4">
        <f>IFERROR((vp.tbl[[#This Row],[VP]]-INDEX(crudeBD.lkup.complete[Mean_VP],MATCH(vp.tbl[[#This Row],[Crude_Breakdown]],crudeBD.lkup.complete[Crude Breakdown],0)))^2,"")</f>
        <v>559.1420918694879</v>
      </c>
      <c r="AN363" s="4">
        <f>IFERROR((vp.tbl[[#This Row],[Dens]]-INDEX(crudeBD.lkup.complete[Mean_Dens],MATCH(vp.tbl[[#This Row],[Crude_Breakdown]],crudeBD.lkup.complete[Crude Breakdown],0)))^2,"")</f>
        <v>31.172459918993855</v>
      </c>
      <c r="AO363" s="4">
        <f>IFERROR((vp.tbl[[#This Row],[Sulf]]-INDEX(crudeBD.lkup.complete[Mean_Sulf],MATCH(vp.tbl[[#This Row],[Crude_Breakdown]],crudeBD.lkup.complete[Crude Breakdown],0)))^2,"")</f>
        <v>7.3055773847853663E-4</v>
      </c>
      <c r="AP363">
        <f>IF(AND(vp.tbl[[#This Row],[SDate]]&gt;=DATE(YEAR(vp.tbl[[#This Row],[SDate]]),5,1),vp.tbl[[#This Row],[SDate]]&lt;=DATE(YEAR(vp.tbl[[#This Row],[SDate]]),9,15)),1,0)</f>
        <v>0</v>
      </c>
      <c r="AQ363" s="15">
        <f>IF(vp.tbl[[#This Row],[SDate]]&lt;DATE(2016,12,1),0,1)</f>
        <v>0</v>
      </c>
    </row>
    <row r="364" spans="1:43" x14ac:dyDescent="0.25">
      <c r="A364">
        <v>363</v>
      </c>
      <c r="B364" t="s">
        <v>60</v>
      </c>
      <c r="C364" t="s">
        <v>60</v>
      </c>
      <c r="D364" t="s">
        <v>61</v>
      </c>
      <c r="E364" t="s">
        <v>55</v>
      </c>
      <c r="F364" s="1">
        <v>42696</v>
      </c>
      <c r="G364" s="2">
        <v>74.3</v>
      </c>
      <c r="H364" s="2"/>
      <c r="I364" s="2">
        <v>0.95</v>
      </c>
      <c r="J364" s="2"/>
      <c r="K364" s="2"/>
      <c r="L364" s="2">
        <v>843</v>
      </c>
      <c r="M364" s="2">
        <v>843</v>
      </c>
      <c r="N364" s="2">
        <f ca="1">INDEX(INDIRECT(_xlfn.CONCAT("weather.tbl[",N$1,"]")),MATCH(vp.tbl[[#This Row],[SDate]],weather.tbl[Date],0))</f>
        <v>-2.3000000000000003</v>
      </c>
      <c r="O364" s="2">
        <f ca="1">INDEX(INDIRECT(_xlfn.CONCAT("weather.tbl[",O$1,"]")),MATCH(vp.tbl[[#This Row],[SDate]],weather.tbl[Date],0))</f>
        <v>-2.3595238095238096</v>
      </c>
      <c r="P364" s="2">
        <f ca="1">INDEX(INDIRECT(_xlfn.CONCAT("weather.tbl[",P$1,"]")),MATCH(vp.tbl[[#This Row],[SDate]],weather.tbl[Date],0))</f>
        <v>-1.9</v>
      </c>
      <c r="Q364" s="2">
        <f ca="1">INDEX(INDIRECT(_xlfn.CONCAT("weather.tbl[",Q$1,"]")),MATCH(vp.tbl[[#This Row],[SDate]],weather.tbl[Date],0))</f>
        <v>-2.6</v>
      </c>
      <c r="R364" s="2">
        <f ca="1">INDEX(INDIRECT(_xlfn.CONCAT("weather.tbl[",R$1,"]")),MATCH(vp.tbl[[#This Row],[SDate]],weather.tbl[Date],0))</f>
        <v>-2.8</v>
      </c>
      <c r="S364" s="2">
        <f ca="1">INDEX(INDIRECT(_xlfn.CONCAT("weather.tbl[",S$1,"]")),MATCH(vp.tbl[[#This Row],[SDate]],weather.tbl[Date],0))</f>
        <v>-2.5</v>
      </c>
      <c r="T364" s="2">
        <f ca="1">INDEX(INDIRECT(_xlfn.CONCAT("weather.tbl[",T$1,"]")),MATCH(vp.tbl[[#This Row],[SDate]],weather.tbl[Date],0))</f>
        <v>-1.7</v>
      </c>
      <c r="U364" s="2">
        <f ca="1">INDEX(INDIRECT(_xlfn.CONCAT("weather.tbl[",U$1,"]")),MATCH(vp.tbl[[#This Row],[SDate]],weather.tbl[Date],0))</f>
        <v>-2.2999999999999998</v>
      </c>
      <c r="V364" s="2">
        <v>106235.251</v>
      </c>
      <c r="W364" t="s">
        <v>48</v>
      </c>
      <c r="X364">
        <f>IF(OR(vp.tbl[[#This Row],[Sulf]]="",vp.tbl[[#This Row],[Dens]]=""),1,0)</f>
        <v>0</v>
      </c>
      <c r="Y364">
        <f>IF(vp.tbl[[#This Row],[CrudeType]]="C5+",1,0)</f>
        <v>0</v>
      </c>
      <c r="Z364">
        <f>IF(AND(vp.tbl[[#This Row],[CrudeType]]="Crude",vp.tbl[[#This Row],[Dens]]&lt;=825,vp.tbl[[#This Row],[Sulf]]&gt;0.5,vp.tbl[[#This Row],[Unknown]]=0),1,0)</f>
        <v>0</v>
      </c>
      <c r="AA364">
        <f>IF(AND(vp.tbl[[#This Row],[CrudeType]]="Crude",vp.tbl[[#This Row],[Dens]]&lt;=825,vp.tbl[[#This Row],[Sulf]]&lt;=0.5,vp.tbl[[#This Row],[Unknown]]=0),1,0)</f>
        <v>0</v>
      </c>
      <c r="AB364">
        <f>IF(AND(vp.tbl[[#This Row],[CrudeType]]="Crude",vp.tbl[[#This Row],[Dens]]&gt;825,vp.tbl[[#This Row],[Dens]]&lt;=870,vp.tbl[[#This Row],[Sulf]]&gt;0.5,vp.tbl[[#This Row],[Unknown]]=0),1,0)</f>
        <v>1</v>
      </c>
      <c r="AC364">
        <f>IF(AND(vp.tbl[[#This Row],[CrudeType]]="Crude",vp.tbl[[#This Row],[Dens]]&gt;825,vp.tbl[[#This Row],[Dens]]&lt;=900,vp.tbl[[#This Row],[Sulf]]&lt;=0.5,vp.tbl[[#This Row],[Unknown]]=0),1,0)</f>
        <v>0</v>
      </c>
      <c r="AD364">
        <f>IF(AND(vp.tbl[[#This Row],[CrudeType]]="Crude",vp.tbl[[#This Row],[Dens]]&gt;870,vp.tbl[[#This Row],[Dens]]&lt;=900,vp.tbl[[#This Row],[Sulf]]&gt;0.5,vp.tbl[[#This Row],[Unknown]]=0),1,0)</f>
        <v>0</v>
      </c>
      <c r="AE364">
        <f>IF(AND(vp.tbl[[#This Row],[CrudeType]]="Crude",vp.tbl[[#This Row],[Dens]]&gt;900,vp.tbl[[#This Row],[Sulf]]&lt;=0.5,vp.tbl[[#This Row],[Unknown]]=0),1,0)</f>
        <v>0</v>
      </c>
      <c r="AF364">
        <f>IF(AND(vp.tbl[[#This Row],[CrudeType]]="Crude",vp.tbl[[#This Row],[Dens]]&gt;900,vp.tbl[[#This Row],[Sulf]]&lt;=0.5,vp.tbl[[#This Row],[Unknown]]=0),1,0)</f>
        <v>0</v>
      </c>
      <c r="AG364" t="str">
        <f>INDEX(vp.tbl[[#Headers],[Unknown]:[Heavy_SW]],MATCH(1,vp.tbl[[#This Row],[Unknown]:[Heavy_SW]],0))</f>
        <v>Medium_LSB</v>
      </c>
      <c r="AH364" t="e">
        <f>INDEX([1]!crudeBD.lkup[Number],MATCH(vp.tbl[[#This Row],[Crude_Breakdown]],[1]!crudeBD.lkup[Crude Breakdown],0))</f>
        <v>#REF!</v>
      </c>
      <c r="AI364">
        <f>MONTH(vp.tbl[[#This Row],[SDate]])</f>
        <v>11</v>
      </c>
      <c r="AJ364" s="5">
        <f>IFERROR(vp.tbl[[#This Row],[Sulf]]*vp.tbl[[#This Row],[Net Dens]],"")</f>
        <v>85078500.76335001</v>
      </c>
      <c r="AK364" s="5">
        <f>IFERROR(vp.tbl[[#This Row],[Dens]]*vp.tbl[[#This Row],[VolumeM3]],"")</f>
        <v>89556316.59300001</v>
      </c>
      <c r="AL364" s="5">
        <f>IFERROR(vp.tbl[[#This Row],[VP]]*vp.tbl[[#This Row],[VolumeM3]],"")</f>
        <v>7893279.1492999997</v>
      </c>
      <c r="AM364" s="4">
        <f>IFERROR((vp.tbl[[#This Row],[VP]]-INDEX(crudeBD.lkup.complete[Mean_VP],MATCH(vp.tbl[[#This Row],[Crude_Breakdown]],crudeBD.lkup.complete[Crude Breakdown],0)))^2,"")</f>
        <v>34.499117480531567</v>
      </c>
      <c r="AN364" s="4">
        <f>IFERROR((vp.tbl[[#This Row],[Dens]]-INDEX(crudeBD.lkup.complete[Mean_Dens],MATCH(vp.tbl[[#This Row],[Crude_Breakdown]],crudeBD.lkup.complete[Crude Breakdown],0)))^2,"")</f>
        <v>5.2524516769703302</v>
      </c>
      <c r="AO364" s="4">
        <f>IFERROR((vp.tbl[[#This Row],[Sulf]]-INDEX(crudeBD.lkup.complete[Mean_Sulf],MATCH(vp.tbl[[#This Row],[Crude_Breakdown]],crudeBD.lkup.complete[Crude Breakdown],0)))^2,"")</f>
        <v>0.25495416428660322</v>
      </c>
      <c r="AP364">
        <f>IF(AND(vp.tbl[[#This Row],[SDate]]&gt;=DATE(YEAR(vp.tbl[[#This Row],[SDate]]),5,1),vp.tbl[[#This Row],[SDate]]&lt;=DATE(YEAR(vp.tbl[[#This Row],[SDate]]),9,15)),1,0)</f>
        <v>0</v>
      </c>
      <c r="AQ364" s="15">
        <f>IF(vp.tbl[[#This Row],[SDate]]&lt;DATE(2016,12,1),0,1)</f>
        <v>0</v>
      </c>
    </row>
    <row r="365" spans="1:43" x14ac:dyDescent="0.25">
      <c r="A365">
        <v>364</v>
      </c>
      <c r="B365" t="s">
        <v>53</v>
      </c>
      <c r="C365" t="s">
        <v>53</v>
      </c>
      <c r="D365" t="s">
        <v>54</v>
      </c>
      <c r="E365" t="s">
        <v>55</v>
      </c>
      <c r="F365" s="1">
        <v>42697</v>
      </c>
      <c r="G365" s="2">
        <v>78.7</v>
      </c>
      <c r="H365" s="2"/>
      <c r="I365" s="2">
        <v>1.7</v>
      </c>
      <c r="J365" s="2"/>
      <c r="K365" s="2"/>
      <c r="L365" s="2">
        <v>829</v>
      </c>
      <c r="M365" s="2">
        <v>829</v>
      </c>
      <c r="N365" s="2">
        <f ca="1">INDEX(INDIRECT(_xlfn.CONCAT("weather.tbl[",N$1,"]")),MATCH(vp.tbl[[#This Row],[SDate]],weather.tbl[Date],0))</f>
        <v>-0.98333333333333328</v>
      </c>
      <c r="O365" s="2">
        <f ca="1">INDEX(INDIRECT(_xlfn.CONCAT("weather.tbl[",O$1,"]")),MATCH(vp.tbl[[#This Row],[SDate]],weather.tbl[Date],0))</f>
        <v>-3.090476190476191</v>
      </c>
      <c r="P365" s="2">
        <f ca="1">INDEX(INDIRECT(_xlfn.CONCAT("weather.tbl[",P$1,"]")),MATCH(vp.tbl[[#This Row],[SDate]],weather.tbl[Date],0))</f>
        <v>-0.9</v>
      </c>
      <c r="Q365" s="2">
        <f ca="1">INDEX(INDIRECT(_xlfn.CONCAT("weather.tbl[",Q$1,"]")),MATCH(vp.tbl[[#This Row],[SDate]],weather.tbl[Date],0))</f>
        <v>-1.3</v>
      </c>
      <c r="R365" s="2">
        <f ca="1">INDEX(INDIRECT(_xlfn.CONCAT("weather.tbl[",R$1,"]")),MATCH(vp.tbl[[#This Row],[SDate]],weather.tbl[Date],0))</f>
        <v>-0.8</v>
      </c>
      <c r="S365" s="2">
        <f ca="1">INDEX(INDIRECT(_xlfn.CONCAT("weather.tbl[",S$1,"]")),MATCH(vp.tbl[[#This Row],[SDate]],weather.tbl[Date],0))</f>
        <v>-1.8</v>
      </c>
      <c r="T365" s="2">
        <f ca="1">INDEX(INDIRECT(_xlfn.CONCAT("weather.tbl[",T$1,"]")),MATCH(vp.tbl[[#This Row],[SDate]],weather.tbl[Date],0))</f>
        <v>-0.1</v>
      </c>
      <c r="U365" s="2">
        <f ca="1">INDEX(INDIRECT(_xlfn.CONCAT("weather.tbl[",U$1,"]")),MATCH(vp.tbl[[#This Row],[SDate]],weather.tbl[Date],0))</f>
        <v>-1</v>
      </c>
      <c r="V365" s="2">
        <v>55218.54</v>
      </c>
      <c r="W365" t="s">
        <v>48</v>
      </c>
      <c r="X365">
        <f>IF(OR(vp.tbl[[#This Row],[Sulf]]="",vp.tbl[[#This Row],[Dens]]=""),1,0)</f>
        <v>0</v>
      </c>
      <c r="Y365">
        <f>IF(vp.tbl[[#This Row],[CrudeType]]="C5+",1,0)</f>
        <v>0</v>
      </c>
      <c r="Z365">
        <f>IF(AND(vp.tbl[[#This Row],[CrudeType]]="Crude",vp.tbl[[#This Row],[Dens]]&lt;=825,vp.tbl[[#This Row],[Sulf]]&gt;0.5,vp.tbl[[#This Row],[Unknown]]=0),1,0)</f>
        <v>0</v>
      </c>
      <c r="AA365">
        <f>IF(AND(vp.tbl[[#This Row],[CrudeType]]="Crude",vp.tbl[[#This Row],[Dens]]&lt;=825,vp.tbl[[#This Row],[Sulf]]&lt;=0.5,vp.tbl[[#This Row],[Unknown]]=0),1,0)</f>
        <v>0</v>
      </c>
      <c r="AB365">
        <f>IF(AND(vp.tbl[[#This Row],[CrudeType]]="Crude",vp.tbl[[#This Row],[Dens]]&gt;825,vp.tbl[[#This Row],[Dens]]&lt;=870,vp.tbl[[#This Row],[Sulf]]&gt;0.5,vp.tbl[[#This Row],[Unknown]]=0),1,0)</f>
        <v>1</v>
      </c>
      <c r="AC365">
        <f>IF(AND(vp.tbl[[#This Row],[CrudeType]]="Crude",vp.tbl[[#This Row],[Dens]]&gt;825,vp.tbl[[#This Row],[Dens]]&lt;=900,vp.tbl[[#This Row],[Sulf]]&lt;=0.5,vp.tbl[[#This Row],[Unknown]]=0),1,0)</f>
        <v>0</v>
      </c>
      <c r="AD365">
        <f>IF(AND(vp.tbl[[#This Row],[CrudeType]]="Crude",vp.tbl[[#This Row],[Dens]]&gt;870,vp.tbl[[#This Row],[Dens]]&lt;=900,vp.tbl[[#This Row],[Sulf]]&gt;0.5,vp.tbl[[#This Row],[Unknown]]=0),1,0)</f>
        <v>0</v>
      </c>
      <c r="AE365">
        <f>IF(AND(vp.tbl[[#This Row],[CrudeType]]="Crude",vp.tbl[[#This Row],[Dens]]&gt;900,vp.tbl[[#This Row],[Sulf]]&lt;=0.5,vp.tbl[[#This Row],[Unknown]]=0),1,0)</f>
        <v>0</v>
      </c>
      <c r="AF365">
        <f>IF(AND(vp.tbl[[#This Row],[CrudeType]]="Crude",vp.tbl[[#This Row],[Dens]]&gt;900,vp.tbl[[#This Row],[Sulf]]&lt;=0.5,vp.tbl[[#This Row],[Unknown]]=0),1,0)</f>
        <v>0</v>
      </c>
      <c r="AG365" t="str">
        <f>INDEX(vp.tbl[[#Headers],[Unknown]:[Heavy_SW]],MATCH(1,vp.tbl[[#This Row],[Unknown]:[Heavy_SW]],0))</f>
        <v>Medium_LSB</v>
      </c>
      <c r="AH365" t="e">
        <f>INDEX([1]!crudeBD.lkup[Number],MATCH(vp.tbl[[#This Row],[Crude_Breakdown]],[1]!crudeBD.lkup[Crude Breakdown],0))</f>
        <v>#REF!</v>
      </c>
      <c r="AI365">
        <f>MONTH(vp.tbl[[#This Row],[SDate]])</f>
        <v>11</v>
      </c>
      <c r="AJ365" s="5">
        <f>IFERROR(vp.tbl[[#This Row],[Sulf]]*vp.tbl[[#This Row],[Net Dens]],"")</f>
        <v>77819488.422000006</v>
      </c>
      <c r="AK365" s="5">
        <f>IFERROR(vp.tbl[[#This Row],[Dens]]*vp.tbl[[#This Row],[VolumeM3]],"")</f>
        <v>45776169.660000004</v>
      </c>
      <c r="AL365" s="5">
        <f>IFERROR(vp.tbl[[#This Row],[VP]]*vp.tbl[[#This Row],[VolumeM3]],"")</f>
        <v>4345699.0980000002</v>
      </c>
      <c r="AM365" s="4">
        <f>IFERROR((vp.tbl[[#This Row],[VP]]-INDEX(crudeBD.lkup.complete[Mean_VP],MATCH(vp.tbl[[#This Row],[Crude_Breakdown]],crudeBD.lkup.complete[Crude Breakdown],0)))^2,"")</f>
        <v>2.1714820374938744</v>
      </c>
      <c r="AN365" s="4">
        <f>IFERROR((vp.tbl[[#This Row],[Dens]]-INDEX(crudeBD.lkup.complete[Mean_Dens],MATCH(vp.tbl[[#This Row],[Crude_Breakdown]],crudeBD.lkup.complete[Crude Breakdown],0)))^2,"")</f>
        <v>265.42348965162631</v>
      </c>
      <c r="AO365" s="4">
        <f>IFERROR((vp.tbl[[#This Row],[Sulf]]-INDEX(crudeBD.lkup.complete[Mean_Sulf],MATCH(vp.tbl[[#This Row],[Crude_Breakdown]],crudeBD.lkup.complete[Crude Breakdown],0)))^2,"")</f>
        <v>6.0059373147360415E-2</v>
      </c>
      <c r="AP365">
        <f>IF(AND(vp.tbl[[#This Row],[SDate]]&gt;=DATE(YEAR(vp.tbl[[#This Row],[SDate]]),5,1),vp.tbl[[#This Row],[SDate]]&lt;=DATE(YEAR(vp.tbl[[#This Row],[SDate]]),9,15)),1,0)</f>
        <v>0</v>
      </c>
      <c r="AQ365" s="15">
        <f>IF(vp.tbl[[#This Row],[SDate]]&lt;DATE(2016,12,1),0,1)</f>
        <v>0</v>
      </c>
    </row>
    <row r="366" spans="1:43" x14ac:dyDescent="0.25">
      <c r="A366">
        <v>365</v>
      </c>
      <c r="B366" t="s">
        <v>49</v>
      </c>
      <c r="C366" t="s">
        <v>49</v>
      </c>
      <c r="D366" t="s">
        <v>50</v>
      </c>
      <c r="F366" s="1">
        <v>42697</v>
      </c>
      <c r="G366" s="2">
        <v>73.2</v>
      </c>
      <c r="H366" s="2"/>
      <c r="I366" s="2">
        <v>2.81</v>
      </c>
      <c r="J366" s="2"/>
      <c r="K366" s="2"/>
      <c r="L366" s="2">
        <v>863.9</v>
      </c>
      <c r="M366" s="2">
        <v>863.9</v>
      </c>
      <c r="N366" s="2">
        <f ca="1">INDEX(INDIRECT(_xlfn.CONCAT("weather.tbl[",N$1,"]")),MATCH(vp.tbl[[#This Row],[SDate]],weather.tbl[Date],0))</f>
        <v>-0.98333333333333328</v>
      </c>
      <c r="O366" s="2">
        <f ca="1">INDEX(INDIRECT(_xlfn.CONCAT("weather.tbl[",O$1,"]")),MATCH(vp.tbl[[#This Row],[SDate]],weather.tbl[Date],0))</f>
        <v>-3.090476190476191</v>
      </c>
      <c r="P366" s="2">
        <f ca="1">INDEX(INDIRECT(_xlfn.CONCAT("weather.tbl[",P$1,"]")),MATCH(vp.tbl[[#This Row],[SDate]],weather.tbl[Date],0))</f>
        <v>-0.9</v>
      </c>
      <c r="Q366" s="2">
        <f ca="1">INDEX(INDIRECT(_xlfn.CONCAT("weather.tbl[",Q$1,"]")),MATCH(vp.tbl[[#This Row],[SDate]],weather.tbl[Date],0))</f>
        <v>-1.3</v>
      </c>
      <c r="R366" s="2">
        <f ca="1">INDEX(INDIRECT(_xlfn.CONCAT("weather.tbl[",R$1,"]")),MATCH(vp.tbl[[#This Row],[SDate]],weather.tbl[Date],0))</f>
        <v>-0.8</v>
      </c>
      <c r="S366" s="2">
        <f ca="1">INDEX(INDIRECT(_xlfn.CONCAT("weather.tbl[",S$1,"]")),MATCH(vp.tbl[[#This Row],[SDate]],weather.tbl[Date],0))</f>
        <v>-1.8</v>
      </c>
      <c r="T366" s="2">
        <f ca="1">INDEX(INDIRECT(_xlfn.CONCAT("weather.tbl[",T$1,"]")),MATCH(vp.tbl[[#This Row],[SDate]],weather.tbl[Date],0))</f>
        <v>-0.1</v>
      </c>
      <c r="U366" s="2">
        <f ca="1">INDEX(INDIRECT(_xlfn.CONCAT("weather.tbl[",U$1,"]")),MATCH(vp.tbl[[#This Row],[SDate]],weather.tbl[Date],0))</f>
        <v>-1</v>
      </c>
      <c r="V366" s="2">
        <v>5829.4459999999999</v>
      </c>
      <c r="W366" t="s">
        <v>48</v>
      </c>
      <c r="X366">
        <f>IF(OR(vp.tbl[[#This Row],[Sulf]]="",vp.tbl[[#This Row],[Dens]]=""),1,0)</f>
        <v>0</v>
      </c>
      <c r="Y366">
        <f>IF(vp.tbl[[#This Row],[CrudeType]]="C5+",1,0)</f>
        <v>0</v>
      </c>
      <c r="Z366">
        <f>IF(AND(vp.tbl[[#This Row],[CrudeType]]="Crude",vp.tbl[[#This Row],[Dens]]&lt;=825,vp.tbl[[#This Row],[Sulf]]&gt;0.5,vp.tbl[[#This Row],[Unknown]]=0),1,0)</f>
        <v>0</v>
      </c>
      <c r="AA366">
        <f>IF(AND(vp.tbl[[#This Row],[CrudeType]]="Crude",vp.tbl[[#This Row],[Dens]]&lt;=825,vp.tbl[[#This Row],[Sulf]]&lt;=0.5,vp.tbl[[#This Row],[Unknown]]=0),1,0)</f>
        <v>0</v>
      </c>
      <c r="AB366">
        <f>IF(AND(vp.tbl[[#This Row],[CrudeType]]="Crude",vp.tbl[[#This Row],[Dens]]&gt;825,vp.tbl[[#This Row],[Dens]]&lt;=870,vp.tbl[[#This Row],[Sulf]]&gt;0.5,vp.tbl[[#This Row],[Unknown]]=0),1,0)</f>
        <v>1</v>
      </c>
      <c r="AC366">
        <f>IF(AND(vp.tbl[[#This Row],[CrudeType]]="Crude",vp.tbl[[#This Row],[Dens]]&gt;825,vp.tbl[[#This Row],[Dens]]&lt;=900,vp.tbl[[#This Row],[Sulf]]&lt;=0.5,vp.tbl[[#This Row],[Unknown]]=0),1,0)</f>
        <v>0</v>
      </c>
      <c r="AD366">
        <f>IF(AND(vp.tbl[[#This Row],[CrudeType]]="Crude",vp.tbl[[#This Row],[Dens]]&gt;870,vp.tbl[[#This Row],[Dens]]&lt;=900,vp.tbl[[#This Row],[Sulf]]&gt;0.5,vp.tbl[[#This Row],[Unknown]]=0),1,0)</f>
        <v>0</v>
      </c>
      <c r="AE366">
        <f>IF(AND(vp.tbl[[#This Row],[CrudeType]]="Crude",vp.tbl[[#This Row],[Dens]]&gt;900,vp.tbl[[#This Row],[Sulf]]&lt;=0.5,vp.tbl[[#This Row],[Unknown]]=0),1,0)</f>
        <v>0</v>
      </c>
      <c r="AF366">
        <f>IF(AND(vp.tbl[[#This Row],[CrudeType]]="Crude",vp.tbl[[#This Row],[Dens]]&gt;900,vp.tbl[[#This Row],[Sulf]]&lt;=0.5,vp.tbl[[#This Row],[Unknown]]=0),1,0)</f>
        <v>0</v>
      </c>
      <c r="AG366" t="str">
        <f>INDEX(vp.tbl[[#Headers],[Unknown]:[Heavy_SW]],MATCH(1,vp.tbl[[#This Row],[Unknown]:[Heavy_SW]],0))</f>
        <v>Medium_LSB</v>
      </c>
      <c r="AH366" t="e">
        <f>INDEX([1]!crudeBD.lkup[Number],MATCH(vp.tbl[[#This Row],[Crude_Breakdown]],[1]!crudeBD.lkup[Crude Breakdown],0))</f>
        <v>#REF!</v>
      </c>
      <c r="AI366">
        <f>MONTH(vp.tbl[[#This Row],[SDate]])</f>
        <v>11</v>
      </c>
      <c r="AJ366" s="5">
        <f>IFERROR(vp.tbl[[#This Row],[Sulf]]*vp.tbl[[#This Row],[Net Dens]],"")</f>
        <v>14151324.102313999</v>
      </c>
      <c r="AK366" s="5">
        <f>IFERROR(vp.tbl[[#This Row],[Dens]]*vp.tbl[[#This Row],[VolumeM3]],"")</f>
        <v>5036058.3993999995</v>
      </c>
      <c r="AL366" s="5">
        <f>IFERROR(vp.tbl[[#This Row],[VP]]*vp.tbl[[#This Row],[VolumeM3]],"")</f>
        <v>426715.4472</v>
      </c>
      <c r="AM366" s="4">
        <f>IFERROR((vp.tbl[[#This Row],[VP]]-INDEX(crudeBD.lkup.complete[Mean_VP],MATCH(vp.tbl[[#This Row],[Crude_Breakdown]],crudeBD.lkup.complete[Crude Breakdown],0)))^2,"")</f>
        <v>48.631026341290905</v>
      </c>
      <c r="AN366" s="4">
        <f>IFERROR((vp.tbl[[#This Row],[Dens]]-INDEX(crudeBD.lkup.complete[Mean_Dens],MATCH(vp.tbl[[#This Row],[Crude_Breakdown]],crudeBD.lkup.complete[Crude Breakdown],0)))^2,"")</f>
        <v>346.26425927194737</v>
      </c>
      <c r="AO366" s="4">
        <f>IFERROR((vp.tbl[[#This Row],[Sulf]]-INDEX(crudeBD.lkup.complete[Mean_Sulf],MATCH(vp.tbl[[#This Row],[Crude_Breakdown]],crudeBD.lkup.complete[Crude Breakdown],0)))^2,"")</f>
        <v>1.8362150822612813</v>
      </c>
      <c r="AP366">
        <f>IF(AND(vp.tbl[[#This Row],[SDate]]&gt;=DATE(YEAR(vp.tbl[[#This Row],[SDate]]),5,1),vp.tbl[[#This Row],[SDate]]&lt;=DATE(YEAR(vp.tbl[[#This Row],[SDate]]),9,15)),1,0)</f>
        <v>0</v>
      </c>
      <c r="AQ366" s="15">
        <f>IF(vp.tbl[[#This Row],[SDate]]&lt;DATE(2016,12,1),0,1)</f>
        <v>0</v>
      </c>
    </row>
    <row r="367" spans="1:43" x14ac:dyDescent="0.25">
      <c r="A367">
        <v>366</v>
      </c>
      <c r="B367" t="s">
        <v>46</v>
      </c>
      <c r="C367" t="s">
        <v>46</v>
      </c>
      <c r="D367" t="s">
        <v>47</v>
      </c>
      <c r="F367" s="1">
        <v>42697</v>
      </c>
      <c r="G367" s="2">
        <v>78</v>
      </c>
      <c r="H367" s="2"/>
      <c r="I367" s="2">
        <v>2.31</v>
      </c>
      <c r="J367" s="2"/>
      <c r="K367" s="2"/>
      <c r="L367" s="2">
        <v>867.9</v>
      </c>
      <c r="M367" s="2">
        <v>867.9</v>
      </c>
      <c r="N367" s="2">
        <f ca="1">INDEX(INDIRECT(_xlfn.CONCAT("weather.tbl[",N$1,"]")),MATCH(vp.tbl[[#This Row],[SDate]],weather.tbl[Date],0))</f>
        <v>-0.98333333333333328</v>
      </c>
      <c r="O367" s="2">
        <f ca="1">INDEX(INDIRECT(_xlfn.CONCAT("weather.tbl[",O$1,"]")),MATCH(vp.tbl[[#This Row],[SDate]],weather.tbl[Date],0))</f>
        <v>-3.090476190476191</v>
      </c>
      <c r="P367" s="2">
        <f ca="1">INDEX(INDIRECT(_xlfn.CONCAT("weather.tbl[",P$1,"]")),MATCH(vp.tbl[[#This Row],[SDate]],weather.tbl[Date],0))</f>
        <v>-0.9</v>
      </c>
      <c r="Q367" s="2">
        <f ca="1">INDEX(INDIRECT(_xlfn.CONCAT("weather.tbl[",Q$1,"]")),MATCH(vp.tbl[[#This Row],[SDate]],weather.tbl[Date],0))</f>
        <v>-1.3</v>
      </c>
      <c r="R367" s="2">
        <f ca="1">INDEX(INDIRECT(_xlfn.CONCAT("weather.tbl[",R$1,"]")),MATCH(vp.tbl[[#This Row],[SDate]],weather.tbl[Date],0))</f>
        <v>-0.8</v>
      </c>
      <c r="S367" s="2">
        <f ca="1">INDEX(INDIRECT(_xlfn.CONCAT("weather.tbl[",S$1,"]")),MATCH(vp.tbl[[#This Row],[SDate]],weather.tbl[Date],0))</f>
        <v>-1.8</v>
      </c>
      <c r="T367" s="2">
        <f ca="1">INDEX(INDIRECT(_xlfn.CONCAT("weather.tbl[",T$1,"]")),MATCH(vp.tbl[[#This Row],[SDate]],weather.tbl[Date],0))</f>
        <v>-0.1</v>
      </c>
      <c r="U367" s="2">
        <f ca="1">INDEX(INDIRECT(_xlfn.CONCAT("weather.tbl[",U$1,"]")),MATCH(vp.tbl[[#This Row],[SDate]],weather.tbl[Date],0))</f>
        <v>-1</v>
      </c>
      <c r="V367" s="2">
        <v>115186.371</v>
      </c>
      <c r="W367" t="s">
        <v>48</v>
      </c>
      <c r="X367">
        <f>IF(OR(vp.tbl[[#This Row],[Sulf]]="",vp.tbl[[#This Row],[Dens]]=""),1,0)</f>
        <v>0</v>
      </c>
      <c r="Y367">
        <f>IF(vp.tbl[[#This Row],[CrudeType]]="C5+",1,0)</f>
        <v>0</v>
      </c>
      <c r="Z367">
        <f>IF(AND(vp.tbl[[#This Row],[CrudeType]]="Crude",vp.tbl[[#This Row],[Dens]]&lt;=825,vp.tbl[[#This Row],[Sulf]]&gt;0.5,vp.tbl[[#This Row],[Unknown]]=0),1,0)</f>
        <v>0</v>
      </c>
      <c r="AA367">
        <f>IF(AND(vp.tbl[[#This Row],[CrudeType]]="Crude",vp.tbl[[#This Row],[Dens]]&lt;=825,vp.tbl[[#This Row],[Sulf]]&lt;=0.5,vp.tbl[[#This Row],[Unknown]]=0),1,0)</f>
        <v>0</v>
      </c>
      <c r="AB367">
        <f>IF(AND(vp.tbl[[#This Row],[CrudeType]]="Crude",vp.tbl[[#This Row],[Dens]]&gt;825,vp.tbl[[#This Row],[Dens]]&lt;=870,vp.tbl[[#This Row],[Sulf]]&gt;0.5,vp.tbl[[#This Row],[Unknown]]=0),1,0)</f>
        <v>1</v>
      </c>
      <c r="AC367">
        <f>IF(AND(vp.tbl[[#This Row],[CrudeType]]="Crude",vp.tbl[[#This Row],[Dens]]&gt;825,vp.tbl[[#This Row],[Dens]]&lt;=900,vp.tbl[[#This Row],[Sulf]]&lt;=0.5,vp.tbl[[#This Row],[Unknown]]=0),1,0)</f>
        <v>0</v>
      </c>
      <c r="AD367">
        <f>IF(AND(vp.tbl[[#This Row],[CrudeType]]="Crude",vp.tbl[[#This Row],[Dens]]&gt;870,vp.tbl[[#This Row],[Dens]]&lt;=900,vp.tbl[[#This Row],[Sulf]]&gt;0.5,vp.tbl[[#This Row],[Unknown]]=0),1,0)</f>
        <v>0</v>
      </c>
      <c r="AE367">
        <f>IF(AND(vp.tbl[[#This Row],[CrudeType]]="Crude",vp.tbl[[#This Row],[Dens]]&gt;900,vp.tbl[[#This Row],[Sulf]]&lt;=0.5,vp.tbl[[#This Row],[Unknown]]=0),1,0)</f>
        <v>0</v>
      </c>
      <c r="AF367">
        <f>IF(AND(vp.tbl[[#This Row],[CrudeType]]="Crude",vp.tbl[[#This Row],[Dens]]&gt;900,vp.tbl[[#This Row],[Sulf]]&lt;=0.5,vp.tbl[[#This Row],[Unknown]]=0),1,0)</f>
        <v>0</v>
      </c>
      <c r="AG367" t="str">
        <f>INDEX(vp.tbl[[#Headers],[Unknown]:[Heavy_SW]],MATCH(1,vp.tbl[[#This Row],[Unknown]:[Heavy_SW]],0))</f>
        <v>Medium_LSB</v>
      </c>
      <c r="AH367" t="e">
        <f>INDEX([1]!crudeBD.lkup[Number],MATCH(vp.tbl[[#This Row],[Crude_Breakdown]],[1]!crudeBD.lkup[Crude Breakdown],0))</f>
        <v>#REF!</v>
      </c>
      <c r="AI367">
        <f>MONTH(vp.tbl[[#This Row],[SDate]])</f>
        <v>11</v>
      </c>
      <c r="AJ367" s="5">
        <f>IFERROR(vp.tbl[[#This Row],[Sulf]]*vp.tbl[[#This Row],[Net Dens]],"")</f>
        <v>230931280.71297902</v>
      </c>
      <c r="AK367" s="5">
        <f>IFERROR(vp.tbl[[#This Row],[Dens]]*vp.tbl[[#This Row],[VolumeM3]],"")</f>
        <v>99970251.390900001</v>
      </c>
      <c r="AL367" s="5">
        <f>IFERROR(vp.tbl[[#This Row],[VP]]*vp.tbl[[#This Row],[VolumeM3]],"")</f>
        <v>8984536.9379999992</v>
      </c>
      <c r="AM367" s="4">
        <f>IFERROR((vp.tbl[[#This Row],[VP]]-INDEX(crudeBD.lkup.complete[Mean_VP],MATCH(vp.tbl[[#This Row],[Crude_Breakdown]],crudeBD.lkup.complete[Crude Breakdown],0)))^2,"")</f>
        <v>4.7245149488862364</v>
      </c>
      <c r="AN367" s="4">
        <f>IFERROR((vp.tbl[[#This Row],[Dens]]-INDEX(crudeBD.lkup.complete[Mean_Dens],MATCH(vp.tbl[[#This Row],[Crude_Breakdown]],crudeBD.lkup.complete[Crude Breakdown],0)))^2,"")</f>
        <v>511.12967699347405</v>
      </c>
      <c r="AO367" s="4">
        <f>IFERROR((vp.tbl[[#This Row],[Sulf]]-INDEX(crudeBD.lkup.complete[Mean_Sulf],MATCH(vp.tbl[[#This Row],[Crude_Breakdown]],crudeBD.lkup.complete[Crude Breakdown],0)))^2,"")</f>
        <v>0.73114494302077648</v>
      </c>
      <c r="AP367">
        <f>IF(AND(vp.tbl[[#This Row],[SDate]]&gt;=DATE(YEAR(vp.tbl[[#This Row],[SDate]]),5,1),vp.tbl[[#This Row],[SDate]]&lt;=DATE(YEAR(vp.tbl[[#This Row],[SDate]]),9,15)),1,0)</f>
        <v>0</v>
      </c>
      <c r="AQ367" s="15">
        <f>IF(vp.tbl[[#This Row],[SDate]]&lt;DATE(2016,12,1),0,1)</f>
        <v>0</v>
      </c>
    </row>
    <row r="368" spans="1:43" x14ac:dyDescent="0.25">
      <c r="A368">
        <v>367</v>
      </c>
      <c r="B368" t="s">
        <v>51</v>
      </c>
      <c r="C368" t="s">
        <v>51</v>
      </c>
      <c r="D368" t="s">
        <v>52</v>
      </c>
      <c r="F368" s="1">
        <v>42697</v>
      </c>
      <c r="G368" s="2">
        <v>72.2</v>
      </c>
      <c r="H368" s="2"/>
      <c r="I368" s="2">
        <v>2.27</v>
      </c>
      <c r="J368" s="2"/>
      <c r="K368" s="2"/>
      <c r="L368" s="2">
        <v>868.8</v>
      </c>
      <c r="M368" s="2">
        <v>868.8</v>
      </c>
      <c r="N368" s="2">
        <f ca="1">INDEX(INDIRECT(_xlfn.CONCAT("weather.tbl[",N$1,"]")),MATCH(vp.tbl[[#This Row],[SDate]],weather.tbl[Date],0))</f>
        <v>-0.98333333333333328</v>
      </c>
      <c r="O368" s="2">
        <f ca="1">INDEX(INDIRECT(_xlfn.CONCAT("weather.tbl[",O$1,"]")),MATCH(vp.tbl[[#This Row],[SDate]],weather.tbl[Date],0))</f>
        <v>-3.090476190476191</v>
      </c>
      <c r="P368" s="2">
        <f ca="1">INDEX(INDIRECT(_xlfn.CONCAT("weather.tbl[",P$1,"]")),MATCH(vp.tbl[[#This Row],[SDate]],weather.tbl[Date],0))</f>
        <v>-0.9</v>
      </c>
      <c r="Q368" s="2">
        <f ca="1">INDEX(INDIRECT(_xlfn.CONCAT("weather.tbl[",Q$1,"]")),MATCH(vp.tbl[[#This Row],[SDate]],weather.tbl[Date],0))</f>
        <v>-1.3</v>
      </c>
      <c r="R368" s="2">
        <f ca="1">INDEX(INDIRECT(_xlfn.CONCAT("weather.tbl[",R$1,"]")),MATCH(vp.tbl[[#This Row],[SDate]],weather.tbl[Date],0))</f>
        <v>-0.8</v>
      </c>
      <c r="S368" s="2">
        <f ca="1">INDEX(INDIRECT(_xlfn.CONCAT("weather.tbl[",S$1,"]")),MATCH(vp.tbl[[#This Row],[SDate]],weather.tbl[Date],0))</f>
        <v>-1.8</v>
      </c>
      <c r="T368" s="2">
        <f ca="1">INDEX(INDIRECT(_xlfn.CONCAT("weather.tbl[",T$1,"]")),MATCH(vp.tbl[[#This Row],[SDate]],weather.tbl[Date],0))</f>
        <v>-0.1</v>
      </c>
      <c r="U368" s="2">
        <f ca="1">INDEX(INDIRECT(_xlfn.CONCAT("weather.tbl[",U$1,"]")),MATCH(vp.tbl[[#This Row],[SDate]],weather.tbl[Date],0))</f>
        <v>-1</v>
      </c>
      <c r="V368" s="2">
        <v>7337.21</v>
      </c>
      <c r="W368" t="s">
        <v>48</v>
      </c>
      <c r="X368">
        <f>IF(OR(vp.tbl[[#This Row],[Sulf]]="",vp.tbl[[#This Row],[Dens]]=""),1,0)</f>
        <v>0</v>
      </c>
      <c r="Y368">
        <f>IF(vp.tbl[[#This Row],[CrudeType]]="C5+",1,0)</f>
        <v>0</v>
      </c>
      <c r="Z368">
        <f>IF(AND(vp.tbl[[#This Row],[CrudeType]]="Crude",vp.tbl[[#This Row],[Dens]]&lt;=825,vp.tbl[[#This Row],[Sulf]]&gt;0.5,vp.tbl[[#This Row],[Unknown]]=0),1,0)</f>
        <v>0</v>
      </c>
      <c r="AA368">
        <f>IF(AND(vp.tbl[[#This Row],[CrudeType]]="Crude",vp.tbl[[#This Row],[Dens]]&lt;=825,vp.tbl[[#This Row],[Sulf]]&lt;=0.5,vp.tbl[[#This Row],[Unknown]]=0),1,0)</f>
        <v>0</v>
      </c>
      <c r="AB368">
        <f>IF(AND(vp.tbl[[#This Row],[CrudeType]]="Crude",vp.tbl[[#This Row],[Dens]]&gt;825,vp.tbl[[#This Row],[Dens]]&lt;=870,vp.tbl[[#This Row],[Sulf]]&gt;0.5,vp.tbl[[#This Row],[Unknown]]=0),1,0)</f>
        <v>1</v>
      </c>
      <c r="AC368">
        <f>IF(AND(vp.tbl[[#This Row],[CrudeType]]="Crude",vp.tbl[[#This Row],[Dens]]&gt;825,vp.tbl[[#This Row],[Dens]]&lt;=900,vp.tbl[[#This Row],[Sulf]]&lt;=0.5,vp.tbl[[#This Row],[Unknown]]=0),1,0)</f>
        <v>0</v>
      </c>
      <c r="AD368">
        <f>IF(AND(vp.tbl[[#This Row],[CrudeType]]="Crude",vp.tbl[[#This Row],[Dens]]&gt;870,vp.tbl[[#This Row],[Dens]]&lt;=900,vp.tbl[[#This Row],[Sulf]]&gt;0.5,vp.tbl[[#This Row],[Unknown]]=0),1,0)</f>
        <v>0</v>
      </c>
      <c r="AE368">
        <f>IF(AND(vp.tbl[[#This Row],[CrudeType]]="Crude",vp.tbl[[#This Row],[Dens]]&gt;900,vp.tbl[[#This Row],[Sulf]]&lt;=0.5,vp.tbl[[#This Row],[Unknown]]=0),1,0)</f>
        <v>0</v>
      </c>
      <c r="AF368">
        <f>IF(AND(vp.tbl[[#This Row],[CrudeType]]="Crude",vp.tbl[[#This Row],[Dens]]&gt;900,vp.tbl[[#This Row],[Sulf]]&lt;=0.5,vp.tbl[[#This Row],[Unknown]]=0),1,0)</f>
        <v>0</v>
      </c>
      <c r="AG368" t="str">
        <f>INDEX(vp.tbl[[#Headers],[Unknown]:[Heavy_SW]],MATCH(1,vp.tbl[[#This Row],[Unknown]:[Heavy_SW]],0))</f>
        <v>Medium_LSB</v>
      </c>
      <c r="AH368" t="e">
        <f>INDEX([1]!crudeBD.lkup[Number],MATCH(vp.tbl[[#This Row],[Crude_Breakdown]],[1]!crudeBD.lkup[Crude Breakdown],0))</f>
        <v>#REF!</v>
      </c>
      <c r="AI368">
        <f>MONTH(vp.tbl[[#This Row],[SDate]])</f>
        <v>11</v>
      </c>
      <c r="AJ368" s="5">
        <f>IFERROR(vp.tbl[[#This Row],[Sulf]]*vp.tbl[[#This Row],[Net Dens]],"")</f>
        <v>14470269.468959998</v>
      </c>
      <c r="AK368" s="5">
        <f>IFERROR(vp.tbl[[#This Row],[Dens]]*vp.tbl[[#This Row],[VolumeM3]],"")</f>
        <v>6374568.0479999995</v>
      </c>
      <c r="AL368" s="5">
        <f>IFERROR(vp.tbl[[#This Row],[VP]]*vp.tbl[[#This Row],[VolumeM3]],"")</f>
        <v>529746.56200000003</v>
      </c>
      <c r="AM368" s="4">
        <f>IFERROR((vp.tbl[[#This Row],[VP]]-INDEX(crudeBD.lkup.complete[Mean_VP],MATCH(vp.tbl[[#This Row],[Crude_Breakdown]],crudeBD.lkup.complete[Crude Breakdown],0)))^2,"")</f>
        <v>63.578216214708547</v>
      </c>
      <c r="AN368" s="4">
        <f>IFERROR((vp.tbl[[#This Row],[Dens]]-INDEX(crudeBD.lkup.complete[Mean_Dens],MATCH(vp.tbl[[#This Row],[Crude_Breakdown]],crudeBD.lkup.complete[Crude Breakdown],0)))^2,"")</f>
        <v>552.63439598081652</v>
      </c>
      <c r="AO368" s="4">
        <f>IFERROR((vp.tbl[[#This Row],[Sulf]]-INDEX(crudeBD.lkup.complete[Mean_Sulf],MATCH(vp.tbl[[#This Row],[Crude_Breakdown]],crudeBD.lkup.complete[Crude Breakdown],0)))^2,"")</f>
        <v>0.66433933188153604</v>
      </c>
      <c r="AP368">
        <f>IF(AND(vp.tbl[[#This Row],[SDate]]&gt;=DATE(YEAR(vp.tbl[[#This Row],[SDate]]),5,1),vp.tbl[[#This Row],[SDate]]&lt;=DATE(YEAR(vp.tbl[[#This Row],[SDate]]),9,15)),1,0)</f>
        <v>0</v>
      </c>
      <c r="AQ368" s="15">
        <f>IF(vp.tbl[[#This Row],[SDate]]&lt;DATE(2016,12,1),0,1)</f>
        <v>0</v>
      </c>
    </row>
    <row r="369" spans="1:43" x14ac:dyDescent="0.25">
      <c r="A369">
        <v>368</v>
      </c>
      <c r="B369" t="s">
        <v>64</v>
      </c>
      <c r="C369" t="s">
        <v>64</v>
      </c>
      <c r="D369" t="s">
        <v>65</v>
      </c>
      <c r="F369" s="1">
        <v>42697</v>
      </c>
      <c r="G369" s="2">
        <v>68.599999999999994</v>
      </c>
      <c r="H369" s="2"/>
      <c r="I369" s="2">
        <v>2.09</v>
      </c>
      <c r="J369" s="2"/>
      <c r="K369" s="2"/>
      <c r="L369" s="2">
        <v>878.5</v>
      </c>
      <c r="M369" s="2">
        <v>878.5</v>
      </c>
      <c r="N369" s="2">
        <f ca="1">INDEX(INDIRECT(_xlfn.CONCAT("weather.tbl[",N$1,"]")),MATCH(vp.tbl[[#This Row],[SDate]],weather.tbl[Date],0))</f>
        <v>-0.98333333333333328</v>
      </c>
      <c r="O369" s="2">
        <f ca="1">INDEX(INDIRECT(_xlfn.CONCAT("weather.tbl[",O$1,"]")),MATCH(vp.tbl[[#This Row],[SDate]],weather.tbl[Date],0))</f>
        <v>-3.090476190476191</v>
      </c>
      <c r="P369" s="2">
        <f ca="1">INDEX(INDIRECT(_xlfn.CONCAT("weather.tbl[",P$1,"]")),MATCH(vp.tbl[[#This Row],[SDate]],weather.tbl[Date],0))</f>
        <v>-0.9</v>
      </c>
      <c r="Q369" s="2">
        <f ca="1">INDEX(INDIRECT(_xlfn.CONCAT("weather.tbl[",Q$1,"]")),MATCH(vp.tbl[[#This Row],[SDate]],weather.tbl[Date],0))</f>
        <v>-1.3</v>
      </c>
      <c r="R369" s="2">
        <f ca="1">INDEX(INDIRECT(_xlfn.CONCAT("weather.tbl[",R$1,"]")),MATCH(vp.tbl[[#This Row],[SDate]],weather.tbl[Date],0))</f>
        <v>-0.8</v>
      </c>
      <c r="S369" s="2">
        <f ca="1">INDEX(INDIRECT(_xlfn.CONCAT("weather.tbl[",S$1,"]")),MATCH(vp.tbl[[#This Row],[SDate]],weather.tbl[Date],0))</f>
        <v>-1.8</v>
      </c>
      <c r="T369" s="2">
        <f ca="1">INDEX(INDIRECT(_xlfn.CONCAT("weather.tbl[",T$1,"]")),MATCH(vp.tbl[[#This Row],[SDate]],weather.tbl[Date],0))</f>
        <v>-0.1</v>
      </c>
      <c r="U369" s="2">
        <f ca="1">INDEX(INDIRECT(_xlfn.CONCAT("weather.tbl[",U$1,"]")),MATCH(vp.tbl[[#This Row],[SDate]],weather.tbl[Date],0))</f>
        <v>-1</v>
      </c>
      <c r="V369" s="2">
        <v>21099.701000000001</v>
      </c>
      <c r="W369" t="s">
        <v>48</v>
      </c>
      <c r="X369">
        <f>IF(OR(vp.tbl[[#This Row],[Sulf]]="",vp.tbl[[#This Row],[Dens]]=""),1,0)</f>
        <v>0</v>
      </c>
      <c r="Y369">
        <f>IF(vp.tbl[[#This Row],[CrudeType]]="C5+",1,0)</f>
        <v>0</v>
      </c>
      <c r="Z369">
        <f>IF(AND(vp.tbl[[#This Row],[CrudeType]]="Crude",vp.tbl[[#This Row],[Dens]]&lt;=825,vp.tbl[[#This Row],[Sulf]]&gt;0.5,vp.tbl[[#This Row],[Unknown]]=0),1,0)</f>
        <v>0</v>
      </c>
      <c r="AA369">
        <f>IF(AND(vp.tbl[[#This Row],[CrudeType]]="Crude",vp.tbl[[#This Row],[Dens]]&lt;=825,vp.tbl[[#This Row],[Sulf]]&lt;=0.5,vp.tbl[[#This Row],[Unknown]]=0),1,0)</f>
        <v>0</v>
      </c>
      <c r="AB369">
        <f>IF(AND(vp.tbl[[#This Row],[CrudeType]]="Crude",vp.tbl[[#This Row],[Dens]]&gt;825,vp.tbl[[#This Row],[Dens]]&lt;=870,vp.tbl[[#This Row],[Sulf]]&gt;0.5,vp.tbl[[#This Row],[Unknown]]=0),1,0)</f>
        <v>0</v>
      </c>
      <c r="AC369">
        <f>IF(AND(vp.tbl[[#This Row],[CrudeType]]="Crude",vp.tbl[[#This Row],[Dens]]&gt;825,vp.tbl[[#This Row],[Dens]]&lt;=900,vp.tbl[[#This Row],[Sulf]]&lt;=0.5,vp.tbl[[#This Row],[Unknown]]=0),1,0)</f>
        <v>0</v>
      </c>
      <c r="AD369">
        <f>IF(AND(vp.tbl[[#This Row],[CrudeType]]="Crude",vp.tbl[[#This Row],[Dens]]&gt;870,vp.tbl[[#This Row],[Dens]]&lt;=900,vp.tbl[[#This Row],[Sulf]]&gt;0.5,vp.tbl[[#This Row],[Unknown]]=0),1,0)</f>
        <v>1</v>
      </c>
      <c r="AE369">
        <f>IF(AND(vp.tbl[[#This Row],[CrudeType]]="Crude",vp.tbl[[#This Row],[Dens]]&gt;900,vp.tbl[[#This Row],[Sulf]]&lt;=0.5,vp.tbl[[#This Row],[Unknown]]=0),1,0)</f>
        <v>0</v>
      </c>
      <c r="AF369">
        <f>IF(AND(vp.tbl[[#This Row],[CrudeType]]="Crude",vp.tbl[[#This Row],[Dens]]&gt;900,vp.tbl[[#This Row],[Sulf]]&lt;=0.5,vp.tbl[[#This Row],[Unknown]]=0),1,0)</f>
        <v>0</v>
      </c>
      <c r="AG369" t="str">
        <f>INDEX(vp.tbl[[#Headers],[Unknown]:[Heavy_SW]],MATCH(1,vp.tbl[[#This Row],[Unknown]:[Heavy_SW]],0))</f>
        <v>Midale</v>
      </c>
      <c r="AH369" t="e">
        <f>INDEX([1]!crudeBD.lkup[Number],MATCH(vp.tbl[[#This Row],[Crude_Breakdown]],[1]!crudeBD.lkup[Crude Breakdown],0))</f>
        <v>#REF!</v>
      </c>
      <c r="AI369">
        <f>MONTH(vp.tbl[[#This Row],[SDate]])</f>
        <v>11</v>
      </c>
      <c r="AJ369" s="5">
        <f>IFERROR(vp.tbl[[#This Row],[Sulf]]*vp.tbl[[#This Row],[Net Dens]],"")</f>
        <v>38740422.516565003</v>
      </c>
      <c r="AK369" s="5">
        <f>IFERROR(vp.tbl[[#This Row],[Dens]]*vp.tbl[[#This Row],[VolumeM3]],"")</f>
        <v>18536087.328500003</v>
      </c>
      <c r="AL369" s="5">
        <f>IFERROR(vp.tbl[[#This Row],[VP]]*vp.tbl[[#This Row],[VolumeM3]],"")</f>
        <v>1447439.4886</v>
      </c>
      <c r="AM369" s="4">
        <f>IFERROR((vp.tbl[[#This Row],[VP]]-INDEX(crudeBD.lkup.complete[Mean_VP],MATCH(vp.tbl[[#This Row],[Crude_Breakdown]],crudeBD.lkup.complete[Crude Breakdown],0)))^2,"")</f>
        <v>0.13078626383935588</v>
      </c>
      <c r="AN369" s="4">
        <f>IFERROR((vp.tbl[[#This Row],[Dens]]-INDEX(crudeBD.lkup.complete[Mean_Dens],MATCH(vp.tbl[[#This Row],[Crude_Breakdown]],crudeBD.lkup.complete[Crude Breakdown],0)))^2,"")</f>
        <v>0.89860011259205452</v>
      </c>
      <c r="AO369" s="4">
        <f>IFERROR((vp.tbl[[#This Row],[Sulf]]-INDEX(crudeBD.lkup.complete[Mean_Sulf],MATCH(vp.tbl[[#This Row],[Crude_Breakdown]],crudeBD.lkup.complete[Crude Breakdown],0)))^2,"")</f>
        <v>0.10584620473426462</v>
      </c>
      <c r="AP369">
        <f>IF(AND(vp.tbl[[#This Row],[SDate]]&gt;=DATE(YEAR(vp.tbl[[#This Row],[SDate]]),5,1),vp.tbl[[#This Row],[SDate]]&lt;=DATE(YEAR(vp.tbl[[#This Row],[SDate]]),9,15)),1,0)</f>
        <v>0</v>
      </c>
      <c r="AQ369" s="15">
        <f>IF(vp.tbl[[#This Row],[SDate]]&lt;DATE(2016,12,1),0,1)</f>
        <v>0</v>
      </c>
    </row>
    <row r="370" spans="1:43" x14ac:dyDescent="0.25">
      <c r="A370">
        <v>369</v>
      </c>
      <c r="B370" t="s">
        <v>49</v>
      </c>
      <c r="C370" t="s">
        <v>49</v>
      </c>
      <c r="D370" t="s">
        <v>67</v>
      </c>
      <c r="F370" s="1">
        <v>42702</v>
      </c>
      <c r="G370" s="2">
        <v>98.6</v>
      </c>
      <c r="H370" s="2"/>
      <c r="I370" s="2">
        <v>0.2</v>
      </c>
      <c r="J370" s="2"/>
      <c r="K370" s="2"/>
      <c r="L370" s="2">
        <v>807.2</v>
      </c>
      <c r="M370" s="2">
        <v>807.2</v>
      </c>
      <c r="N370" s="2">
        <f ca="1">INDEX(INDIRECT(_xlfn.CONCAT("weather.tbl[",N$1,"]")),MATCH(vp.tbl[[#This Row],[SDate]],weather.tbl[Date],0))</f>
        <v>-2.583333333333333</v>
      </c>
      <c r="O370" s="2">
        <f ca="1">INDEX(INDIRECT(_xlfn.CONCAT("weather.tbl[",O$1,"]")),MATCH(vp.tbl[[#This Row],[SDate]],weather.tbl[Date],0))</f>
        <v>-0.82857142857142863</v>
      </c>
      <c r="P370" s="2">
        <f ca="1">INDEX(INDIRECT(_xlfn.CONCAT("weather.tbl[",P$1,"]")),MATCH(vp.tbl[[#This Row],[SDate]],weather.tbl[Date],0))</f>
        <v>-2.6</v>
      </c>
      <c r="Q370" s="2">
        <f ca="1">INDEX(INDIRECT(_xlfn.CONCAT("weather.tbl[",Q$1,"]")),MATCH(vp.tbl[[#This Row],[SDate]],weather.tbl[Date],0))</f>
        <v>-2.5</v>
      </c>
      <c r="R370" s="2">
        <f ca="1">INDEX(INDIRECT(_xlfn.CONCAT("weather.tbl[",R$1,"]")),MATCH(vp.tbl[[#This Row],[SDate]],weather.tbl[Date],0))</f>
        <v>-2.8</v>
      </c>
      <c r="S370" s="2">
        <f ca="1">INDEX(INDIRECT(_xlfn.CONCAT("weather.tbl[",S$1,"]")),MATCH(vp.tbl[[#This Row],[SDate]],weather.tbl[Date],0))</f>
        <v>-2.5</v>
      </c>
      <c r="T370" s="2">
        <f ca="1">INDEX(INDIRECT(_xlfn.CONCAT("weather.tbl[",T$1,"]")),MATCH(vp.tbl[[#This Row],[SDate]],weather.tbl[Date],0))</f>
        <v>-1.6</v>
      </c>
      <c r="U370" s="2">
        <f ca="1">INDEX(INDIRECT(_xlfn.CONCAT("weather.tbl[",U$1,"]")),MATCH(vp.tbl[[#This Row],[SDate]],weather.tbl[Date],0))</f>
        <v>-3.5</v>
      </c>
      <c r="V370" s="2">
        <v>52233.78</v>
      </c>
      <c r="W370" t="s">
        <v>48</v>
      </c>
      <c r="X370">
        <f>IF(OR(vp.tbl[[#This Row],[Sulf]]="",vp.tbl[[#This Row],[Dens]]=""),1,0)</f>
        <v>0</v>
      </c>
      <c r="Y370">
        <f>IF(vp.tbl[[#This Row],[CrudeType]]="C5+",1,0)</f>
        <v>0</v>
      </c>
      <c r="Z370">
        <f>IF(AND(vp.tbl[[#This Row],[CrudeType]]="Crude",vp.tbl[[#This Row],[Dens]]&lt;=825,vp.tbl[[#This Row],[Sulf]]&gt;0.5,vp.tbl[[#This Row],[Unknown]]=0),1,0)</f>
        <v>0</v>
      </c>
      <c r="AA370">
        <f>IF(AND(vp.tbl[[#This Row],[CrudeType]]="Crude",vp.tbl[[#This Row],[Dens]]&lt;=825,vp.tbl[[#This Row],[Sulf]]&lt;=0.5,vp.tbl[[#This Row],[Unknown]]=0),1,0)</f>
        <v>1</v>
      </c>
      <c r="AB370">
        <f>IF(AND(vp.tbl[[#This Row],[CrudeType]]="Crude",vp.tbl[[#This Row],[Dens]]&gt;825,vp.tbl[[#This Row],[Dens]]&lt;=870,vp.tbl[[#This Row],[Sulf]]&gt;0.5,vp.tbl[[#This Row],[Unknown]]=0),1,0)</f>
        <v>0</v>
      </c>
      <c r="AC370">
        <f>IF(AND(vp.tbl[[#This Row],[CrudeType]]="Crude",vp.tbl[[#This Row],[Dens]]&gt;825,vp.tbl[[#This Row],[Dens]]&lt;=900,vp.tbl[[#This Row],[Sulf]]&lt;=0.5,vp.tbl[[#This Row],[Unknown]]=0),1,0)</f>
        <v>0</v>
      </c>
      <c r="AD370">
        <f>IF(AND(vp.tbl[[#This Row],[CrudeType]]="Crude",vp.tbl[[#This Row],[Dens]]&gt;870,vp.tbl[[#This Row],[Dens]]&lt;=900,vp.tbl[[#This Row],[Sulf]]&gt;0.5,vp.tbl[[#This Row],[Unknown]]=0),1,0)</f>
        <v>0</v>
      </c>
      <c r="AE370">
        <f>IF(AND(vp.tbl[[#This Row],[CrudeType]]="Crude",vp.tbl[[#This Row],[Dens]]&gt;900,vp.tbl[[#This Row],[Sulf]]&lt;=0.5,vp.tbl[[#This Row],[Unknown]]=0),1,0)</f>
        <v>0</v>
      </c>
      <c r="AF370">
        <f>IF(AND(vp.tbl[[#This Row],[CrudeType]]="Crude",vp.tbl[[#This Row],[Dens]]&gt;900,vp.tbl[[#This Row],[Sulf]]&lt;=0.5,vp.tbl[[#This Row],[Unknown]]=0),1,0)</f>
        <v>0</v>
      </c>
      <c r="AG370" t="str">
        <f>INDEX(vp.tbl[[#Headers],[Unknown]:[Heavy_SW]],MATCH(1,vp.tbl[[#This Row],[Unknown]:[Heavy_SW]],0))</f>
        <v>Light_SW</v>
      </c>
      <c r="AH370" t="e">
        <f>INDEX([1]!crudeBD.lkup[Number],MATCH(vp.tbl[[#This Row],[Crude_Breakdown]],[1]!crudeBD.lkup[Crude Breakdown],0))</f>
        <v>#REF!</v>
      </c>
      <c r="AI370">
        <f>MONTH(vp.tbl[[#This Row],[SDate]])</f>
        <v>11</v>
      </c>
      <c r="AJ370" s="5">
        <f>IFERROR(vp.tbl[[#This Row],[Sulf]]*vp.tbl[[#This Row],[Net Dens]],"")</f>
        <v>8432621.4431999996</v>
      </c>
      <c r="AK370" s="5">
        <f>IFERROR(vp.tbl[[#This Row],[Dens]]*vp.tbl[[#This Row],[VolumeM3]],"")</f>
        <v>42163107.215999998</v>
      </c>
      <c r="AL370" s="5">
        <f>IFERROR(vp.tbl[[#This Row],[VP]]*vp.tbl[[#This Row],[VolumeM3]],"")</f>
        <v>5150250.7079999996</v>
      </c>
      <c r="AM370" s="4">
        <f>IFERROR((vp.tbl[[#This Row],[VP]]-INDEX(crudeBD.lkup.complete[Mean_VP],MATCH(vp.tbl[[#This Row],[Crude_Breakdown]],crudeBD.lkup.complete[Crude Breakdown],0)))^2,"")</f>
        <v>36.598705673251146</v>
      </c>
      <c r="AN370" s="4">
        <f>IFERROR((vp.tbl[[#This Row],[Dens]]-INDEX(crudeBD.lkup.complete[Mean_Dens],MATCH(vp.tbl[[#This Row],[Crude_Breakdown]],crudeBD.lkup.complete[Crude Breakdown],0)))^2,"")</f>
        <v>1.2354283771801491</v>
      </c>
      <c r="AO370" s="4">
        <f>IFERROR((vp.tbl[[#This Row],[Sulf]]-INDEX(crudeBD.lkup.complete[Mean_Sulf],MATCH(vp.tbl[[#This Row],[Crude_Breakdown]],crudeBD.lkup.complete[Crude Breakdown],0)))^2,"")</f>
        <v>1.3134689259308601E-3</v>
      </c>
      <c r="AP370">
        <f>IF(AND(vp.tbl[[#This Row],[SDate]]&gt;=DATE(YEAR(vp.tbl[[#This Row],[SDate]]),5,1),vp.tbl[[#This Row],[SDate]]&lt;=DATE(YEAR(vp.tbl[[#This Row],[SDate]]),9,15)),1,0)</f>
        <v>0</v>
      </c>
      <c r="AQ370" s="15">
        <f>IF(vp.tbl[[#This Row],[SDate]]&lt;DATE(2016,12,1),0,1)</f>
        <v>0</v>
      </c>
    </row>
    <row r="371" spans="1:43" x14ac:dyDescent="0.25">
      <c r="A371">
        <v>370</v>
      </c>
      <c r="B371" t="s">
        <v>49</v>
      </c>
      <c r="C371" t="s">
        <v>49</v>
      </c>
      <c r="D371" t="s">
        <v>88</v>
      </c>
      <c r="F371" s="1">
        <v>42702</v>
      </c>
      <c r="G371" s="2">
        <v>87.8</v>
      </c>
      <c r="H371" s="2"/>
      <c r="I371" s="2">
        <v>1.59</v>
      </c>
      <c r="J371" s="2"/>
      <c r="K371" s="2"/>
      <c r="L371" s="2">
        <v>831.4</v>
      </c>
      <c r="M371" s="2">
        <v>831.4</v>
      </c>
      <c r="N371" s="2">
        <f ca="1">INDEX(INDIRECT(_xlfn.CONCAT("weather.tbl[",N$1,"]")),MATCH(vp.tbl[[#This Row],[SDate]],weather.tbl[Date],0))</f>
        <v>-2.583333333333333</v>
      </c>
      <c r="O371" s="2">
        <f ca="1">INDEX(INDIRECT(_xlfn.CONCAT("weather.tbl[",O$1,"]")),MATCH(vp.tbl[[#This Row],[SDate]],weather.tbl[Date],0))</f>
        <v>-0.82857142857142863</v>
      </c>
      <c r="P371" s="2">
        <f ca="1">INDEX(INDIRECT(_xlfn.CONCAT("weather.tbl[",P$1,"]")),MATCH(vp.tbl[[#This Row],[SDate]],weather.tbl[Date],0))</f>
        <v>-2.6</v>
      </c>
      <c r="Q371" s="2">
        <f ca="1">INDEX(INDIRECT(_xlfn.CONCAT("weather.tbl[",Q$1,"]")),MATCH(vp.tbl[[#This Row],[SDate]],weather.tbl[Date],0))</f>
        <v>-2.5</v>
      </c>
      <c r="R371" s="2">
        <f ca="1">INDEX(INDIRECT(_xlfn.CONCAT("weather.tbl[",R$1,"]")),MATCH(vp.tbl[[#This Row],[SDate]],weather.tbl[Date],0))</f>
        <v>-2.8</v>
      </c>
      <c r="S371" s="2">
        <f ca="1">INDEX(INDIRECT(_xlfn.CONCAT("weather.tbl[",S$1,"]")),MATCH(vp.tbl[[#This Row],[SDate]],weather.tbl[Date],0))</f>
        <v>-2.5</v>
      </c>
      <c r="T371" s="2">
        <f ca="1">INDEX(INDIRECT(_xlfn.CONCAT("weather.tbl[",T$1,"]")),MATCH(vp.tbl[[#This Row],[SDate]],weather.tbl[Date],0))</f>
        <v>-1.6</v>
      </c>
      <c r="U371" s="2">
        <f ca="1">INDEX(INDIRECT(_xlfn.CONCAT("weather.tbl[",U$1,"]")),MATCH(vp.tbl[[#This Row],[SDate]],weather.tbl[Date],0))</f>
        <v>-3.5</v>
      </c>
      <c r="V371" s="2">
        <v>4275.634</v>
      </c>
      <c r="W371" t="s">
        <v>48</v>
      </c>
      <c r="X371">
        <f>IF(OR(vp.tbl[[#This Row],[Sulf]]="",vp.tbl[[#This Row],[Dens]]=""),1,0)</f>
        <v>0</v>
      </c>
      <c r="Y371">
        <f>IF(vp.tbl[[#This Row],[CrudeType]]="C5+",1,0)</f>
        <v>0</v>
      </c>
      <c r="Z371">
        <f>IF(AND(vp.tbl[[#This Row],[CrudeType]]="Crude",vp.tbl[[#This Row],[Dens]]&lt;=825,vp.tbl[[#This Row],[Sulf]]&gt;0.5,vp.tbl[[#This Row],[Unknown]]=0),1,0)</f>
        <v>0</v>
      </c>
      <c r="AA371">
        <f>IF(AND(vp.tbl[[#This Row],[CrudeType]]="Crude",vp.tbl[[#This Row],[Dens]]&lt;=825,vp.tbl[[#This Row],[Sulf]]&lt;=0.5,vp.tbl[[#This Row],[Unknown]]=0),1,0)</f>
        <v>0</v>
      </c>
      <c r="AB371">
        <f>IF(AND(vp.tbl[[#This Row],[CrudeType]]="Crude",vp.tbl[[#This Row],[Dens]]&gt;825,vp.tbl[[#This Row],[Dens]]&lt;=870,vp.tbl[[#This Row],[Sulf]]&gt;0.5,vp.tbl[[#This Row],[Unknown]]=0),1,0)</f>
        <v>1</v>
      </c>
      <c r="AC371">
        <f>IF(AND(vp.tbl[[#This Row],[CrudeType]]="Crude",vp.tbl[[#This Row],[Dens]]&gt;825,vp.tbl[[#This Row],[Dens]]&lt;=900,vp.tbl[[#This Row],[Sulf]]&lt;=0.5,vp.tbl[[#This Row],[Unknown]]=0),1,0)</f>
        <v>0</v>
      </c>
      <c r="AD371">
        <f>IF(AND(vp.tbl[[#This Row],[CrudeType]]="Crude",vp.tbl[[#This Row],[Dens]]&gt;870,vp.tbl[[#This Row],[Dens]]&lt;=900,vp.tbl[[#This Row],[Sulf]]&gt;0.5,vp.tbl[[#This Row],[Unknown]]=0),1,0)</f>
        <v>0</v>
      </c>
      <c r="AE371">
        <f>IF(AND(vp.tbl[[#This Row],[CrudeType]]="Crude",vp.tbl[[#This Row],[Dens]]&gt;900,vp.tbl[[#This Row],[Sulf]]&lt;=0.5,vp.tbl[[#This Row],[Unknown]]=0),1,0)</f>
        <v>0</v>
      </c>
      <c r="AF371">
        <f>IF(AND(vp.tbl[[#This Row],[CrudeType]]="Crude",vp.tbl[[#This Row],[Dens]]&gt;900,vp.tbl[[#This Row],[Sulf]]&lt;=0.5,vp.tbl[[#This Row],[Unknown]]=0),1,0)</f>
        <v>0</v>
      </c>
      <c r="AG371" t="str">
        <f>INDEX(vp.tbl[[#Headers],[Unknown]:[Heavy_SW]],MATCH(1,vp.tbl[[#This Row],[Unknown]:[Heavy_SW]],0))</f>
        <v>Medium_LSB</v>
      </c>
      <c r="AH371" t="e">
        <f>INDEX([1]!crudeBD.lkup[Number],MATCH(vp.tbl[[#This Row],[Crude_Breakdown]],[1]!crudeBD.lkup[Crude Breakdown],0))</f>
        <v>#REF!</v>
      </c>
      <c r="AI371">
        <f>MONTH(vp.tbl[[#This Row],[SDate]])</f>
        <v>11</v>
      </c>
      <c r="AJ371" s="5">
        <f>IFERROR(vp.tbl[[#This Row],[Sulf]]*vp.tbl[[#This Row],[Net Dens]],"")</f>
        <v>5652071.7510839999</v>
      </c>
      <c r="AK371" s="5">
        <f>IFERROR(vp.tbl[[#This Row],[Dens]]*vp.tbl[[#This Row],[VolumeM3]],"")</f>
        <v>3554762.1075999998</v>
      </c>
      <c r="AL371" s="5">
        <f>IFERROR(vp.tbl[[#This Row],[VP]]*vp.tbl[[#This Row],[VolumeM3]],"")</f>
        <v>375400.66519999999</v>
      </c>
      <c r="AM371" s="4">
        <f>IFERROR((vp.tbl[[#This Row],[VP]]-INDEX(crudeBD.lkup.complete[Mean_VP],MATCH(vp.tbl[[#This Row],[Crude_Breakdown]],crudeBD.lkup.complete[Crude Breakdown],0)))^2,"")</f>
        <v>58.162054189393245</v>
      </c>
      <c r="AN371" s="4">
        <f>IFERROR((vp.tbl[[#This Row],[Dens]]-INDEX(crudeBD.lkup.complete[Mean_Dens],MATCH(vp.tbl[[#This Row],[Crude_Breakdown]],crudeBD.lkup.complete[Crude Breakdown],0)))^2,"")</f>
        <v>192.98274028454304</v>
      </c>
      <c r="AO371" s="4">
        <f>IFERROR((vp.tbl[[#This Row],[Sulf]]-INDEX(crudeBD.lkup.complete[Mean_Sulf],MATCH(vp.tbl[[#This Row],[Crude_Breakdown]],crudeBD.lkup.complete[Crude Breakdown],0)))^2,"")</f>
        <v>1.8243942514449388E-2</v>
      </c>
      <c r="AP371">
        <f>IF(AND(vp.tbl[[#This Row],[SDate]]&gt;=DATE(YEAR(vp.tbl[[#This Row],[SDate]]),5,1),vp.tbl[[#This Row],[SDate]]&lt;=DATE(YEAR(vp.tbl[[#This Row],[SDate]]),9,15)),1,0)</f>
        <v>0</v>
      </c>
      <c r="AQ371" s="15">
        <f>IF(vp.tbl[[#This Row],[SDate]]&lt;DATE(2016,12,1),0,1)</f>
        <v>0</v>
      </c>
    </row>
    <row r="372" spans="1:43" x14ac:dyDescent="0.25">
      <c r="A372">
        <v>371</v>
      </c>
      <c r="B372" t="s">
        <v>51</v>
      </c>
      <c r="C372" t="s">
        <v>51</v>
      </c>
      <c r="D372" t="s">
        <v>72</v>
      </c>
      <c r="F372" s="1">
        <v>42703</v>
      </c>
      <c r="G372" s="2">
        <v>95.2</v>
      </c>
      <c r="H372" s="2"/>
      <c r="I372" s="2">
        <v>1.31</v>
      </c>
      <c r="J372" s="2"/>
      <c r="K372" s="2"/>
      <c r="L372" s="2">
        <v>839.5</v>
      </c>
      <c r="M372" s="2">
        <v>839.5</v>
      </c>
      <c r="N372" s="2">
        <f ca="1">INDEX(INDIRECT(_xlfn.CONCAT("weather.tbl[",N$1,"]")),MATCH(vp.tbl[[#This Row],[SDate]],weather.tbl[Date],0))</f>
        <v>-3.2333333333333329</v>
      </c>
      <c r="O372" s="2">
        <f ca="1">INDEX(INDIRECT(_xlfn.CONCAT("weather.tbl[",O$1,"]")),MATCH(vp.tbl[[#This Row],[SDate]],weather.tbl[Date],0))</f>
        <v>-0.96190476190476182</v>
      </c>
      <c r="P372" s="2">
        <f ca="1">INDEX(INDIRECT(_xlfn.CONCAT("weather.tbl[",P$1,"]")),MATCH(vp.tbl[[#This Row],[SDate]],weather.tbl[Date],0))</f>
        <v>-3.7</v>
      </c>
      <c r="Q372" s="2">
        <f ca="1">INDEX(INDIRECT(_xlfn.CONCAT("weather.tbl[",Q$1,"]")),MATCH(vp.tbl[[#This Row],[SDate]],weather.tbl[Date],0))</f>
        <v>-3.7</v>
      </c>
      <c r="R372" s="2">
        <f ca="1">INDEX(INDIRECT(_xlfn.CONCAT("weather.tbl[",R$1,"]")),MATCH(vp.tbl[[#This Row],[SDate]],weather.tbl[Date],0))</f>
        <v>-2.8</v>
      </c>
      <c r="S372" s="2">
        <f ca="1">INDEX(INDIRECT(_xlfn.CONCAT("weather.tbl[",S$1,"]")),MATCH(vp.tbl[[#This Row],[SDate]],weather.tbl[Date],0))</f>
        <v>-3.5</v>
      </c>
      <c r="T372" s="2">
        <f ca="1">INDEX(INDIRECT(_xlfn.CONCAT("weather.tbl[",T$1,"]")),MATCH(vp.tbl[[#This Row],[SDate]],weather.tbl[Date],0))</f>
        <v>-1.4</v>
      </c>
      <c r="U372" s="2">
        <f ca="1">INDEX(INDIRECT(_xlfn.CONCAT("weather.tbl[",U$1,"]")),MATCH(vp.tbl[[#This Row],[SDate]],weather.tbl[Date],0))</f>
        <v>-4.3</v>
      </c>
      <c r="V372" s="2">
        <v>14400.835999999999</v>
      </c>
      <c r="W372" t="s">
        <v>48</v>
      </c>
      <c r="X372">
        <f>IF(OR(vp.tbl[[#This Row],[Sulf]]="",vp.tbl[[#This Row],[Dens]]=""),1,0)</f>
        <v>0</v>
      </c>
      <c r="Y372">
        <f>IF(vp.tbl[[#This Row],[CrudeType]]="C5+",1,0)</f>
        <v>0</v>
      </c>
      <c r="Z372">
        <f>IF(AND(vp.tbl[[#This Row],[CrudeType]]="Crude",vp.tbl[[#This Row],[Dens]]&lt;=825,vp.tbl[[#This Row],[Sulf]]&gt;0.5,vp.tbl[[#This Row],[Unknown]]=0),1,0)</f>
        <v>0</v>
      </c>
      <c r="AA372">
        <f>IF(AND(vp.tbl[[#This Row],[CrudeType]]="Crude",vp.tbl[[#This Row],[Dens]]&lt;=825,vp.tbl[[#This Row],[Sulf]]&lt;=0.5,vp.tbl[[#This Row],[Unknown]]=0),1,0)</f>
        <v>0</v>
      </c>
      <c r="AB372">
        <f>IF(AND(vp.tbl[[#This Row],[CrudeType]]="Crude",vp.tbl[[#This Row],[Dens]]&gt;825,vp.tbl[[#This Row],[Dens]]&lt;=870,vp.tbl[[#This Row],[Sulf]]&gt;0.5,vp.tbl[[#This Row],[Unknown]]=0),1,0)</f>
        <v>1</v>
      </c>
      <c r="AC372">
        <f>IF(AND(vp.tbl[[#This Row],[CrudeType]]="Crude",vp.tbl[[#This Row],[Dens]]&gt;825,vp.tbl[[#This Row],[Dens]]&lt;=900,vp.tbl[[#This Row],[Sulf]]&lt;=0.5,vp.tbl[[#This Row],[Unknown]]=0),1,0)</f>
        <v>0</v>
      </c>
      <c r="AD372">
        <f>IF(AND(vp.tbl[[#This Row],[CrudeType]]="Crude",vp.tbl[[#This Row],[Dens]]&gt;870,vp.tbl[[#This Row],[Dens]]&lt;=900,vp.tbl[[#This Row],[Sulf]]&gt;0.5,vp.tbl[[#This Row],[Unknown]]=0),1,0)</f>
        <v>0</v>
      </c>
      <c r="AE372">
        <f>IF(AND(vp.tbl[[#This Row],[CrudeType]]="Crude",vp.tbl[[#This Row],[Dens]]&gt;900,vp.tbl[[#This Row],[Sulf]]&lt;=0.5,vp.tbl[[#This Row],[Unknown]]=0),1,0)</f>
        <v>0</v>
      </c>
      <c r="AF372">
        <f>IF(AND(vp.tbl[[#This Row],[CrudeType]]="Crude",vp.tbl[[#This Row],[Dens]]&gt;900,vp.tbl[[#This Row],[Sulf]]&lt;=0.5,vp.tbl[[#This Row],[Unknown]]=0),1,0)</f>
        <v>0</v>
      </c>
      <c r="AG372" t="str">
        <f>INDEX(vp.tbl[[#Headers],[Unknown]:[Heavy_SW]],MATCH(1,vp.tbl[[#This Row],[Unknown]:[Heavy_SW]],0))</f>
        <v>Medium_LSB</v>
      </c>
      <c r="AH372" t="e">
        <f>INDEX([1]!crudeBD.lkup[Number],MATCH(vp.tbl[[#This Row],[Crude_Breakdown]],[1]!crudeBD.lkup[Crude Breakdown],0))</f>
        <v>#REF!</v>
      </c>
      <c r="AI372">
        <f>MONTH(vp.tbl[[#This Row],[SDate]])</f>
        <v>11</v>
      </c>
      <c r="AJ372" s="5">
        <f>IFERROR(vp.tbl[[#This Row],[Sulf]]*vp.tbl[[#This Row],[Net Dens]],"")</f>
        <v>15837247.38682</v>
      </c>
      <c r="AK372" s="5">
        <f>IFERROR(vp.tbl[[#This Row],[Dens]]*vp.tbl[[#This Row],[VolumeM3]],"")</f>
        <v>12089501.821999999</v>
      </c>
      <c r="AL372" s="5">
        <f>IFERROR(vp.tbl[[#This Row],[VP]]*vp.tbl[[#This Row],[VolumeM3]],"")</f>
        <v>1370959.5872</v>
      </c>
      <c r="AM372" s="4">
        <f>IFERROR((vp.tbl[[#This Row],[VP]]-INDEX(crudeBD.lkup.complete[Mean_VP],MATCH(vp.tbl[[#This Row],[Crude_Breakdown]],crudeBD.lkup.complete[Crude Breakdown],0)))^2,"")</f>
        <v>225.79284912610279</v>
      </c>
      <c r="AN372" s="4">
        <f>IFERROR((vp.tbl[[#This Row],[Dens]]-INDEX(crudeBD.lkup.complete[Mean_Dens],MATCH(vp.tbl[[#This Row],[Crude_Breakdown]],crudeBD.lkup.complete[Crude Breakdown],0)))^2,"")</f>
        <v>33.545211170634325</v>
      </c>
      <c r="AO372" s="4">
        <f>IFERROR((vp.tbl[[#This Row],[Sulf]]-INDEX(crudeBD.lkup.complete[Mean_Sulf],MATCH(vp.tbl[[#This Row],[Crude_Breakdown]],crudeBD.lkup.complete[Crude Breakdown],0)))^2,"")</f>
        <v>2.1004664539766637E-2</v>
      </c>
      <c r="AP372">
        <f>IF(AND(vp.tbl[[#This Row],[SDate]]&gt;=DATE(YEAR(vp.tbl[[#This Row],[SDate]]),5,1),vp.tbl[[#This Row],[SDate]]&lt;=DATE(YEAR(vp.tbl[[#This Row],[SDate]]),9,15)),1,0)</f>
        <v>0</v>
      </c>
      <c r="AQ372" s="15">
        <f>IF(vp.tbl[[#This Row],[SDate]]&lt;DATE(2016,12,1),0,1)</f>
        <v>0</v>
      </c>
    </row>
    <row r="373" spans="1:43" x14ac:dyDescent="0.25">
      <c r="A373">
        <v>372</v>
      </c>
      <c r="B373" t="s">
        <v>49</v>
      </c>
      <c r="C373" t="s">
        <v>49</v>
      </c>
      <c r="D373" t="s">
        <v>75</v>
      </c>
      <c r="F373" s="1">
        <v>42704</v>
      </c>
      <c r="G373" s="2">
        <v>109.5</v>
      </c>
      <c r="H373" s="2"/>
      <c r="I373" s="2">
        <v>0.13</v>
      </c>
      <c r="J373" s="2"/>
      <c r="K373" s="2"/>
      <c r="L373" s="2">
        <v>802.4</v>
      </c>
      <c r="M373" s="2">
        <v>802.4</v>
      </c>
      <c r="N373" s="2">
        <f ca="1">INDEX(INDIRECT(_xlfn.CONCAT("weather.tbl[",N$1,"]")),MATCH(vp.tbl[[#This Row],[SDate]],weather.tbl[Date],0))</f>
        <v>-3.6833333333333331</v>
      </c>
      <c r="O373" s="2">
        <f ca="1">INDEX(INDIRECT(_xlfn.CONCAT("weather.tbl[",O$1,"]")),MATCH(vp.tbl[[#This Row],[SDate]],weather.tbl[Date],0))</f>
        <v>-1.3476190476190477</v>
      </c>
      <c r="P373" s="2">
        <f ca="1">INDEX(INDIRECT(_xlfn.CONCAT("weather.tbl[",P$1,"]")),MATCH(vp.tbl[[#This Row],[SDate]],weather.tbl[Date],0))</f>
        <v>-4.0999999999999996</v>
      </c>
      <c r="Q373" s="2">
        <f ca="1">INDEX(INDIRECT(_xlfn.CONCAT("weather.tbl[",Q$1,"]")),MATCH(vp.tbl[[#This Row],[SDate]],weather.tbl[Date],0))</f>
        <v>-4</v>
      </c>
      <c r="R373" s="2">
        <f ca="1">INDEX(INDIRECT(_xlfn.CONCAT("weather.tbl[",R$1,"]")),MATCH(vp.tbl[[#This Row],[SDate]],weather.tbl[Date],0))</f>
        <v>-3.5</v>
      </c>
      <c r="S373" s="2">
        <f ca="1">INDEX(INDIRECT(_xlfn.CONCAT("weather.tbl[",S$1,"]")),MATCH(vp.tbl[[#This Row],[SDate]],weather.tbl[Date],0))</f>
        <v>-3.8</v>
      </c>
      <c r="T373" s="2">
        <f ca="1">INDEX(INDIRECT(_xlfn.CONCAT("weather.tbl[",T$1,"]")),MATCH(vp.tbl[[#This Row],[SDate]],weather.tbl[Date],0))</f>
        <v>-2.2000000000000002</v>
      </c>
      <c r="U373" s="2">
        <f ca="1">INDEX(INDIRECT(_xlfn.CONCAT("weather.tbl[",U$1,"]")),MATCH(vp.tbl[[#This Row],[SDate]],weather.tbl[Date],0))</f>
        <v>-4.5</v>
      </c>
      <c r="V373" s="2">
        <v>21292.120999999999</v>
      </c>
      <c r="W373" t="s">
        <v>48</v>
      </c>
      <c r="X373">
        <f>IF(OR(vp.tbl[[#This Row],[Sulf]]="",vp.tbl[[#This Row],[Dens]]=""),1,0)</f>
        <v>0</v>
      </c>
      <c r="Y373">
        <f>IF(vp.tbl[[#This Row],[CrudeType]]="C5+",1,0)</f>
        <v>0</v>
      </c>
      <c r="Z373">
        <f>IF(AND(vp.tbl[[#This Row],[CrudeType]]="Crude",vp.tbl[[#This Row],[Dens]]&lt;=825,vp.tbl[[#This Row],[Sulf]]&gt;0.5,vp.tbl[[#This Row],[Unknown]]=0),1,0)</f>
        <v>0</v>
      </c>
      <c r="AA373">
        <f>IF(AND(vp.tbl[[#This Row],[CrudeType]]="Crude",vp.tbl[[#This Row],[Dens]]&lt;=825,vp.tbl[[#This Row],[Sulf]]&lt;=0.5,vp.tbl[[#This Row],[Unknown]]=0),1,0)</f>
        <v>1</v>
      </c>
      <c r="AB373">
        <f>IF(AND(vp.tbl[[#This Row],[CrudeType]]="Crude",vp.tbl[[#This Row],[Dens]]&gt;825,vp.tbl[[#This Row],[Dens]]&lt;=870,vp.tbl[[#This Row],[Sulf]]&gt;0.5,vp.tbl[[#This Row],[Unknown]]=0),1,0)</f>
        <v>0</v>
      </c>
      <c r="AC373">
        <f>IF(AND(vp.tbl[[#This Row],[CrudeType]]="Crude",vp.tbl[[#This Row],[Dens]]&gt;825,vp.tbl[[#This Row],[Dens]]&lt;=900,vp.tbl[[#This Row],[Sulf]]&lt;=0.5,vp.tbl[[#This Row],[Unknown]]=0),1,0)</f>
        <v>0</v>
      </c>
      <c r="AD373">
        <f>IF(AND(vp.tbl[[#This Row],[CrudeType]]="Crude",vp.tbl[[#This Row],[Dens]]&gt;870,vp.tbl[[#This Row],[Dens]]&lt;=900,vp.tbl[[#This Row],[Sulf]]&gt;0.5,vp.tbl[[#This Row],[Unknown]]=0),1,0)</f>
        <v>0</v>
      </c>
      <c r="AE373">
        <f>IF(AND(vp.tbl[[#This Row],[CrudeType]]="Crude",vp.tbl[[#This Row],[Dens]]&gt;900,vp.tbl[[#This Row],[Sulf]]&lt;=0.5,vp.tbl[[#This Row],[Unknown]]=0),1,0)</f>
        <v>0</v>
      </c>
      <c r="AF373">
        <f>IF(AND(vp.tbl[[#This Row],[CrudeType]]="Crude",vp.tbl[[#This Row],[Dens]]&gt;900,vp.tbl[[#This Row],[Sulf]]&lt;=0.5,vp.tbl[[#This Row],[Unknown]]=0),1,0)</f>
        <v>0</v>
      </c>
      <c r="AG373" t="str">
        <f>INDEX(vp.tbl[[#Headers],[Unknown]:[Heavy_SW]],MATCH(1,vp.tbl[[#This Row],[Unknown]:[Heavy_SW]],0))</f>
        <v>Light_SW</v>
      </c>
      <c r="AH373" t="e">
        <f>INDEX([1]!crudeBD.lkup[Number],MATCH(vp.tbl[[#This Row],[Crude_Breakdown]],[1]!crudeBD.lkup[Crude Breakdown],0))</f>
        <v>#REF!</v>
      </c>
      <c r="AI373">
        <f>MONTH(vp.tbl[[#This Row],[SDate]])</f>
        <v>11</v>
      </c>
      <c r="AJ373" s="5">
        <f>IFERROR(vp.tbl[[#This Row],[Sulf]]*vp.tbl[[#This Row],[Net Dens]],"")</f>
        <v>2221023.7257520002</v>
      </c>
      <c r="AK373" s="5">
        <f>IFERROR(vp.tbl[[#This Row],[Dens]]*vp.tbl[[#This Row],[VolumeM3]],"")</f>
        <v>17084797.8904</v>
      </c>
      <c r="AL373" s="5">
        <f>IFERROR(vp.tbl[[#This Row],[VP]]*vp.tbl[[#This Row],[VolumeM3]],"")</f>
        <v>2331487.2494999999</v>
      </c>
      <c r="AM373" s="4">
        <f>IFERROR((vp.tbl[[#This Row],[VP]]-INDEX(crudeBD.lkup.complete[Mean_VP],MATCH(vp.tbl[[#This Row],[Crude_Breakdown]],crudeBD.lkup.complete[Crude Breakdown],0)))^2,"")</f>
        <v>287.29186943631805</v>
      </c>
      <c r="AN373" s="4">
        <f>IFERROR((vp.tbl[[#This Row],[Dens]]-INDEX(crudeBD.lkup.complete[Mean_Dens],MATCH(vp.tbl[[#This Row],[Crude_Breakdown]],crudeBD.lkup.complete[Crude Breakdown],0)))^2,"")</f>
        <v>34.945811652439744</v>
      </c>
      <c r="AO373" s="4">
        <f>IFERROR((vp.tbl[[#This Row],[Sulf]]-INDEX(crudeBD.lkup.complete[Mean_Sulf],MATCH(vp.tbl[[#This Row],[Crude_Breakdown]],crudeBD.lkup.complete[Crude Breakdown],0)))^2,"")</f>
        <v>1.1287322584467423E-2</v>
      </c>
      <c r="AP373">
        <f>IF(AND(vp.tbl[[#This Row],[SDate]]&gt;=DATE(YEAR(vp.tbl[[#This Row],[SDate]]),5,1),vp.tbl[[#This Row],[SDate]]&lt;=DATE(YEAR(vp.tbl[[#This Row],[SDate]]),9,15)),1,0)</f>
        <v>0</v>
      </c>
      <c r="AQ373" s="15">
        <f>IF(vp.tbl[[#This Row],[SDate]]&lt;DATE(2016,12,1),0,1)</f>
        <v>0</v>
      </c>
    </row>
    <row r="374" spans="1:43" x14ac:dyDescent="0.25">
      <c r="A374">
        <v>373</v>
      </c>
      <c r="B374" t="s">
        <v>62</v>
      </c>
      <c r="C374" t="s">
        <v>62</v>
      </c>
      <c r="D374" t="s">
        <v>83</v>
      </c>
      <c r="F374" s="1">
        <v>42704</v>
      </c>
      <c r="G374" s="2">
        <v>96.3</v>
      </c>
      <c r="H374" s="2"/>
      <c r="I374" s="2">
        <v>0.17</v>
      </c>
      <c r="J374" s="2"/>
      <c r="K374" s="2"/>
      <c r="L374" s="2">
        <v>808</v>
      </c>
      <c r="M374" s="2">
        <v>808</v>
      </c>
      <c r="N374" s="2">
        <f ca="1">INDEX(INDIRECT(_xlfn.CONCAT("weather.tbl[",N$1,"]")),MATCH(vp.tbl[[#This Row],[SDate]],weather.tbl[Date],0))</f>
        <v>-3.6833333333333331</v>
      </c>
      <c r="O374" s="2">
        <f ca="1">INDEX(INDIRECT(_xlfn.CONCAT("weather.tbl[",O$1,"]")),MATCH(vp.tbl[[#This Row],[SDate]],weather.tbl[Date],0))</f>
        <v>-1.3476190476190477</v>
      </c>
      <c r="P374" s="2">
        <f ca="1">INDEX(INDIRECT(_xlfn.CONCAT("weather.tbl[",P$1,"]")),MATCH(vp.tbl[[#This Row],[SDate]],weather.tbl[Date],0))</f>
        <v>-4.0999999999999996</v>
      </c>
      <c r="Q374" s="2">
        <f ca="1">INDEX(INDIRECT(_xlfn.CONCAT("weather.tbl[",Q$1,"]")),MATCH(vp.tbl[[#This Row],[SDate]],weather.tbl[Date],0))</f>
        <v>-4</v>
      </c>
      <c r="R374" s="2">
        <f ca="1">INDEX(INDIRECT(_xlfn.CONCAT("weather.tbl[",R$1,"]")),MATCH(vp.tbl[[#This Row],[SDate]],weather.tbl[Date],0))</f>
        <v>-3.5</v>
      </c>
      <c r="S374" s="2">
        <f ca="1">INDEX(INDIRECT(_xlfn.CONCAT("weather.tbl[",S$1,"]")),MATCH(vp.tbl[[#This Row],[SDate]],weather.tbl[Date],0))</f>
        <v>-3.8</v>
      </c>
      <c r="T374" s="2">
        <f ca="1">INDEX(INDIRECT(_xlfn.CONCAT("weather.tbl[",T$1,"]")),MATCH(vp.tbl[[#This Row],[SDate]],weather.tbl[Date],0))</f>
        <v>-2.2000000000000002</v>
      </c>
      <c r="U374" s="2">
        <f ca="1">INDEX(INDIRECT(_xlfn.CONCAT("weather.tbl[",U$1,"]")),MATCH(vp.tbl[[#This Row],[SDate]],weather.tbl[Date],0))</f>
        <v>-4.5</v>
      </c>
      <c r="V374" s="2">
        <v>9944.7690000000002</v>
      </c>
      <c r="W374" t="s">
        <v>48</v>
      </c>
      <c r="X374">
        <f>IF(OR(vp.tbl[[#This Row],[Sulf]]="",vp.tbl[[#This Row],[Dens]]=""),1,0)</f>
        <v>0</v>
      </c>
      <c r="Y374">
        <f>IF(vp.tbl[[#This Row],[CrudeType]]="C5+",1,0)</f>
        <v>0</v>
      </c>
      <c r="Z374">
        <f>IF(AND(vp.tbl[[#This Row],[CrudeType]]="Crude",vp.tbl[[#This Row],[Dens]]&lt;=825,vp.tbl[[#This Row],[Sulf]]&gt;0.5,vp.tbl[[#This Row],[Unknown]]=0),1,0)</f>
        <v>0</v>
      </c>
      <c r="AA374">
        <f>IF(AND(vp.tbl[[#This Row],[CrudeType]]="Crude",vp.tbl[[#This Row],[Dens]]&lt;=825,vp.tbl[[#This Row],[Sulf]]&lt;=0.5,vp.tbl[[#This Row],[Unknown]]=0),1,0)</f>
        <v>1</v>
      </c>
      <c r="AB374">
        <f>IF(AND(vp.tbl[[#This Row],[CrudeType]]="Crude",vp.tbl[[#This Row],[Dens]]&gt;825,vp.tbl[[#This Row],[Dens]]&lt;=870,vp.tbl[[#This Row],[Sulf]]&gt;0.5,vp.tbl[[#This Row],[Unknown]]=0),1,0)</f>
        <v>0</v>
      </c>
      <c r="AC374">
        <f>IF(AND(vp.tbl[[#This Row],[CrudeType]]="Crude",vp.tbl[[#This Row],[Dens]]&gt;825,vp.tbl[[#This Row],[Dens]]&lt;=900,vp.tbl[[#This Row],[Sulf]]&lt;=0.5,vp.tbl[[#This Row],[Unknown]]=0),1,0)</f>
        <v>0</v>
      </c>
      <c r="AD374">
        <f>IF(AND(vp.tbl[[#This Row],[CrudeType]]="Crude",vp.tbl[[#This Row],[Dens]]&gt;870,vp.tbl[[#This Row],[Dens]]&lt;=900,vp.tbl[[#This Row],[Sulf]]&gt;0.5,vp.tbl[[#This Row],[Unknown]]=0),1,0)</f>
        <v>0</v>
      </c>
      <c r="AE374">
        <f>IF(AND(vp.tbl[[#This Row],[CrudeType]]="Crude",vp.tbl[[#This Row],[Dens]]&gt;900,vp.tbl[[#This Row],[Sulf]]&lt;=0.5,vp.tbl[[#This Row],[Unknown]]=0),1,0)</f>
        <v>0</v>
      </c>
      <c r="AF374">
        <f>IF(AND(vp.tbl[[#This Row],[CrudeType]]="Crude",vp.tbl[[#This Row],[Dens]]&gt;900,vp.tbl[[#This Row],[Sulf]]&lt;=0.5,vp.tbl[[#This Row],[Unknown]]=0),1,0)</f>
        <v>0</v>
      </c>
      <c r="AG374" t="str">
        <f>INDEX(vp.tbl[[#Headers],[Unknown]:[Heavy_SW]],MATCH(1,vp.tbl[[#This Row],[Unknown]:[Heavy_SW]],0))</f>
        <v>Light_SW</v>
      </c>
      <c r="AH374" t="e">
        <f>INDEX([1]!crudeBD.lkup[Number],MATCH(vp.tbl[[#This Row],[Crude_Breakdown]],[1]!crudeBD.lkup[Crude Breakdown],0))</f>
        <v>#REF!</v>
      </c>
      <c r="AI374">
        <f>MONTH(vp.tbl[[#This Row],[SDate]])</f>
        <v>11</v>
      </c>
      <c r="AJ374" s="5">
        <f>IFERROR(vp.tbl[[#This Row],[Sulf]]*vp.tbl[[#This Row],[Net Dens]],"")</f>
        <v>1366013.4698400002</v>
      </c>
      <c r="AK374" s="5">
        <f>IFERROR(vp.tbl[[#This Row],[Dens]]*vp.tbl[[#This Row],[VolumeM3]],"")</f>
        <v>8035373.352</v>
      </c>
      <c r="AL374" s="5">
        <f>IFERROR(vp.tbl[[#This Row],[VP]]*vp.tbl[[#This Row],[VolumeM3]],"")</f>
        <v>957681.25470000005</v>
      </c>
      <c r="AM374" s="4">
        <f>IFERROR((vp.tbl[[#This Row],[VP]]-INDEX(crudeBD.lkup.complete[Mean_VP],MATCH(vp.tbl[[#This Row],[Crude_Breakdown]],crudeBD.lkup.complete[Crude Breakdown],0)))^2,"")</f>
        <v>14.060148181961861</v>
      </c>
      <c r="AN374" s="4">
        <f>IFERROR((vp.tbl[[#This Row],[Dens]]-INDEX(crudeBD.lkup.complete[Mean_Dens],MATCH(vp.tbl[[#This Row],[Crude_Breakdown]],crudeBD.lkup.complete[Crude Breakdown],0)))^2,"")</f>
        <v>9.7031164637045433E-2</v>
      </c>
      <c r="AO374" s="4">
        <f>IFERROR((vp.tbl[[#This Row],[Sulf]]-INDEX(crudeBD.lkup.complete[Mean_Sulf],MATCH(vp.tbl[[#This Row],[Crude_Breakdown]],crudeBD.lkup.complete[Crude Breakdown],0)))^2,"")</f>
        <v>4.3879776367322437E-3</v>
      </c>
      <c r="AP374">
        <f>IF(AND(vp.tbl[[#This Row],[SDate]]&gt;=DATE(YEAR(vp.tbl[[#This Row],[SDate]]),5,1),vp.tbl[[#This Row],[SDate]]&lt;=DATE(YEAR(vp.tbl[[#This Row],[SDate]]),9,15)),1,0)</f>
        <v>0</v>
      </c>
      <c r="AQ374" s="15">
        <f>IF(vp.tbl[[#This Row],[SDate]]&lt;DATE(2016,12,1),0,1)</f>
        <v>0</v>
      </c>
    </row>
    <row r="375" spans="1:43" x14ac:dyDescent="0.25">
      <c r="A375">
        <v>374</v>
      </c>
      <c r="B375" t="s">
        <v>62</v>
      </c>
      <c r="C375" t="s">
        <v>62</v>
      </c>
      <c r="D375" t="s">
        <v>63</v>
      </c>
      <c r="F375" s="1">
        <v>42704</v>
      </c>
      <c r="G375" s="2">
        <v>89.4</v>
      </c>
      <c r="H375" s="2"/>
      <c r="I375" s="2">
        <v>1.52</v>
      </c>
      <c r="J375" s="2"/>
      <c r="K375" s="2"/>
      <c r="L375" s="2">
        <v>833</v>
      </c>
      <c r="M375" s="2">
        <v>833</v>
      </c>
      <c r="N375" s="2">
        <f ca="1">INDEX(INDIRECT(_xlfn.CONCAT("weather.tbl[",N$1,"]")),MATCH(vp.tbl[[#This Row],[SDate]],weather.tbl[Date],0))</f>
        <v>-3.6833333333333331</v>
      </c>
      <c r="O375" s="2">
        <f ca="1">INDEX(INDIRECT(_xlfn.CONCAT("weather.tbl[",O$1,"]")),MATCH(vp.tbl[[#This Row],[SDate]],weather.tbl[Date],0))</f>
        <v>-1.3476190476190477</v>
      </c>
      <c r="P375" s="2">
        <f ca="1">INDEX(INDIRECT(_xlfn.CONCAT("weather.tbl[",P$1,"]")),MATCH(vp.tbl[[#This Row],[SDate]],weather.tbl[Date],0))</f>
        <v>-4.0999999999999996</v>
      </c>
      <c r="Q375" s="2">
        <f ca="1">INDEX(INDIRECT(_xlfn.CONCAT("weather.tbl[",Q$1,"]")),MATCH(vp.tbl[[#This Row],[SDate]],weather.tbl[Date],0))</f>
        <v>-4</v>
      </c>
      <c r="R375" s="2">
        <f ca="1">INDEX(INDIRECT(_xlfn.CONCAT("weather.tbl[",R$1,"]")),MATCH(vp.tbl[[#This Row],[SDate]],weather.tbl[Date],0))</f>
        <v>-3.5</v>
      </c>
      <c r="S375" s="2">
        <f ca="1">INDEX(INDIRECT(_xlfn.CONCAT("weather.tbl[",S$1,"]")),MATCH(vp.tbl[[#This Row],[SDate]],weather.tbl[Date],0))</f>
        <v>-3.8</v>
      </c>
      <c r="T375" s="2">
        <f ca="1">INDEX(INDIRECT(_xlfn.CONCAT("weather.tbl[",T$1,"]")),MATCH(vp.tbl[[#This Row],[SDate]],weather.tbl[Date],0))</f>
        <v>-2.2000000000000002</v>
      </c>
      <c r="U375" s="2">
        <f ca="1">INDEX(INDIRECT(_xlfn.CONCAT("weather.tbl[",U$1,"]")),MATCH(vp.tbl[[#This Row],[SDate]],weather.tbl[Date],0))</f>
        <v>-4.5</v>
      </c>
      <c r="V375" s="2">
        <v>5210.0280000000002</v>
      </c>
      <c r="W375" t="s">
        <v>48</v>
      </c>
      <c r="X375">
        <f>IF(OR(vp.tbl[[#This Row],[Sulf]]="",vp.tbl[[#This Row],[Dens]]=""),1,0)</f>
        <v>0</v>
      </c>
      <c r="Y375">
        <f>IF(vp.tbl[[#This Row],[CrudeType]]="C5+",1,0)</f>
        <v>0</v>
      </c>
      <c r="Z375">
        <f>IF(AND(vp.tbl[[#This Row],[CrudeType]]="Crude",vp.tbl[[#This Row],[Dens]]&lt;=825,vp.tbl[[#This Row],[Sulf]]&gt;0.5,vp.tbl[[#This Row],[Unknown]]=0),1,0)</f>
        <v>0</v>
      </c>
      <c r="AA375">
        <f>IF(AND(vp.tbl[[#This Row],[CrudeType]]="Crude",vp.tbl[[#This Row],[Dens]]&lt;=825,vp.tbl[[#This Row],[Sulf]]&lt;=0.5,vp.tbl[[#This Row],[Unknown]]=0),1,0)</f>
        <v>0</v>
      </c>
      <c r="AB375">
        <f>IF(AND(vp.tbl[[#This Row],[CrudeType]]="Crude",vp.tbl[[#This Row],[Dens]]&gt;825,vp.tbl[[#This Row],[Dens]]&lt;=870,vp.tbl[[#This Row],[Sulf]]&gt;0.5,vp.tbl[[#This Row],[Unknown]]=0),1,0)</f>
        <v>1</v>
      </c>
      <c r="AC375">
        <f>IF(AND(vp.tbl[[#This Row],[CrudeType]]="Crude",vp.tbl[[#This Row],[Dens]]&gt;825,vp.tbl[[#This Row],[Dens]]&lt;=900,vp.tbl[[#This Row],[Sulf]]&lt;=0.5,vp.tbl[[#This Row],[Unknown]]=0),1,0)</f>
        <v>0</v>
      </c>
      <c r="AD375">
        <f>IF(AND(vp.tbl[[#This Row],[CrudeType]]="Crude",vp.tbl[[#This Row],[Dens]]&gt;870,vp.tbl[[#This Row],[Dens]]&lt;=900,vp.tbl[[#This Row],[Sulf]]&gt;0.5,vp.tbl[[#This Row],[Unknown]]=0),1,0)</f>
        <v>0</v>
      </c>
      <c r="AE375">
        <f>IF(AND(vp.tbl[[#This Row],[CrudeType]]="Crude",vp.tbl[[#This Row],[Dens]]&gt;900,vp.tbl[[#This Row],[Sulf]]&lt;=0.5,vp.tbl[[#This Row],[Unknown]]=0),1,0)</f>
        <v>0</v>
      </c>
      <c r="AF375">
        <f>IF(AND(vp.tbl[[#This Row],[CrudeType]]="Crude",vp.tbl[[#This Row],[Dens]]&gt;900,vp.tbl[[#This Row],[Sulf]]&lt;=0.5,vp.tbl[[#This Row],[Unknown]]=0),1,0)</f>
        <v>0</v>
      </c>
      <c r="AG375" t="str">
        <f>INDEX(vp.tbl[[#Headers],[Unknown]:[Heavy_SW]],MATCH(1,vp.tbl[[#This Row],[Unknown]:[Heavy_SW]],0))</f>
        <v>Medium_LSB</v>
      </c>
      <c r="AH375" t="e">
        <f>INDEX([1]!crudeBD.lkup[Number],MATCH(vp.tbl[[#This Row],[Crude_Breakdown]],[1]!crudeBD.lkup[Crude Breakdown],0))</f>
        <v>#REF!</v>
      </c>
      <c r="AI375">
        <f>MONTH(vp.tbl[[#This Row],[SDate]])</f>
        <v>11</v>
      </c>
      <c r="AJ375" s="5">
        <f>IFERROR(vp.tbl[[#This Row],[Sulf]]*vp.tbl[[#This Row],[Net Dens]],"")</f>
        <v>6596729.0524800001</v>
      </c>
      <c r="AK375" s="5">
        <f>IFERROR(vp.tbl[[#This Row],[Dens]]*vp.tbl[[#This Row],[VolumeM3]],"")</f>
        <v>4339953.324</v>
      </c>
      <c r="AL375" s="5">
        <f>IFERROR(vp.tbl[[#This Row],[VP]]*vp.tbl[[#This Row],[VolumeM3]],"")</f>
        <v>465776.50320000004</v>
      </c>
      <c r="AM375" s="4">
        <f>IFERROR((vp.tbl[[#This Row],[VP]]-INDEX(crudeBD.lkup.complete[Mean_VP],MATCH(vp.tbl[[#This Row],[Crude_Breakdown]],crudeBD.lkup.complete[Crude Breakdown],0)))^2,"")</f>
        <v>85.12655039192515</v>
      </c>
      <c r="AN375" s="4">
        <f>IFERROR((vp.tbl[[#This Row],[Dens]]-INDEX(crudeBD.lkup.complete[Mean_Dens],MATCH(vp.tbl[[#This Row],[Crude_Breakdown]],crudeBD.lkup.complete[Crude Breakdown],0)))^2,"")</f>
        <v>151.08890737315318</v>
      </c>
      <c r="AO375" s="4">
        <f>IFERROR((vp.tbl[[#This Row],[Sulf]]-INDEX(crudeBD.lkup.complete[Mean_Sulf],MATCH(vp.tbl[[#This Row],[Crude_Breakdown]],crudeBD.lkup.complete[Crude Breakdown],0)))^2,"")</f>
        <v>4.2341230207786906E-3</v>
      </c>
      <c r="AP375">
        <f>IF(AND(vp.tbl[[#This Row],[SDate]]&gt;=DATE(YEAR(vp.tbl[[#This Row],[SDate]]),5,1),vp.tbl[[#This Row],[SDate]]&lt;=DATE(YEAR(vp.tbl[[#This Row],[SDate]]),9,15)),1,0)</f>
        <v>0</v>
      </c>
      <c r="AQ375" s="15">
        <f>IF(vp.tbl[[#This Row],[SDate]]&lt;DATE(2016,12,1),0,1)</f>
        <v>0</v>
      </c>
    </row>
    <row r="376" spans="1:43" x14ac:dyDescent="0.25">
      <c r="A376">
        <v>375</v>
      </c>
      <c r="B376" t="s">
        <v>49</v>
      </c>
      <c r="C376" t="s">
        <v>49</v>
      </c>
      <c r="D376" t="s">
        <v>74</v>
      </c>
      <c r="F376" s="1">
        <v>42704</v>
      </c>
      <c r="G376" s="2">
        <v>110.5</v>
      </c>
      <c r="H376" s="2"/>
      <c r="I376" s="2">
        <v>0.15</v>
      </c>
      <c r="J376" s="2"/>
      <c r="K376" s="2"/>
      <c r="L376" s="2">
        <v>863.6</v>
      </c>
      <c r="M376" s="2">
        <v>863.6</v>
      </c>
      <c r="N376" s="2">
        <f ca="1">INDEX(INDIRECT(_xlfn.CONCAT("weather.tbl[",N$1,"]")),MATCH(vp.tbl[[#This Row],[SDate]],weather.tbl[Date],0))</f>
        <v>-3.6833333333333331</v>
      </c>
      <c r="O376" s="2">
        <f ca="1">INDEX(INDIRECT(_xlfn.CONCAT("weather.tbl[",O$1,"]")),MATCH(vp.tbl[[#This Row],[SDate]],weather.tbl[Date],0))</f>
        <v>-1.3476190476190477</v>
      </c>
      <c r="P376" s="2">
        <f ca="1">INDEX(INDIRECT(_xlfn.CONCAT("weather.tbl[",P$1,"]")),MATCH(vp.tbl[[#This Row],[SDate]],weather.tbl[Date],0))</f>
        <v>-4.0999999999999996</v>
      </c>
      <c r="Q376" s="2">
        <f ca="1">INDEX(INDIRECT(_xlfn.CONCAT("weather.tbl[",Q$1,"]")),MATCH(vp.tbl[[#This Row],[SDate]],weather.tbl[Date],0))</f>
        <v>-4</v>
      </c>
      <c r="R376" s="2">
        <f ca="1">INDEX(INDIRECT(_xlfn.CONCAT("weather.tbl[",R$1,"]")),MATCH(vp.tbl[[#This Row],[SDate]],weather.tbl[Date],0))</f>
        <v>-3.5</v>
      </c>
      <c r="S376" s="2">
        <f ca="1">INDEX(INDIRECT(_xlfn.CONCAT("weather.tbl[",S$1,"]")),MATCH(vp.tbl[[#This Row],[SDate]],weather.tbl[Date],0))</f>
        <v>-3.8</v>
      </c>
      <c r="T376" s="2">
        <f ca="1">INDEX(INDIRECT(_xlfn.CONCAT("weather.tbl[",T$1,"]")),MATCH(vp.tbl[[#This Row],[SDate]],weather.tbl[Date],0))</f>
        <v>-2.2000000000000002</v>
      </c>
      <c r="U376" s="2">
        <f ca="1">INDEX(INDIRECT(_xlfn.CONCAT("weather.tbl[",U$1,"]")),MATCH(vp.tbl[[#This Row],[SDate]],weather.tbl[Date],0))</f>
        <v>-4.5</v>
      </c>
      <c r="V376" s="2">
        <v>41352.192999999999</v>
      </c>
      <c r="W376" t="s">
        <v>48</v>
      </c>
      <c r="X376">
        <f>IF(OR(vp.tbl[[#This Row],[Sulf]]="",vp.tbl[[#This Row],[Dens]]=""),1,0)</f>
        <v>0</v>
      </c>
      <c r="Y376">
        <f>IF(vp.tbl[[#This Row],[CrudeType]]="C5+",1,0)</f>
        <v>0</v>
      </c>
      <c r="Z376">
        <f>IF(AND(vp.tbl[[#This Row],[CrudeType]]="Crude",vp.tbl[[#This Row],[Dens]]&lt;=825,vp.tbl[[#This Row],[Sulf]]&gt;0.5,vp.tbl[[#This Row],[Unknown]]=0),1,0)</f>
        <v>0</v>
      </c>
      <c r="AA376">
        <f>IF(AND(vp.tbl[[#This Row],[CrudeType]]="Crude",vp.tbl[[#This Row],[Dens]]&lt;=825,vp.tbl[[#This Row],[Sulf]]&lt;=0.5,vp.tbl[[#This Row],[Unknown]]=0),1,0)</f>
        <v>0</v>
      </c>
      <c r="AB376">
        <f>IF(AND(vp.tbl[[#This Row],[CrudeType]]="Crude",vp.tbl[[#This Row],[Dens]]&gt;825,vp.tbl[[#This Row],[Dens]]&lt;=870,vp.tbl[[#This Row],[Sulf]]&gt;0.5,vp.tbl[[#This Row],[Unknown]]=0),1,0)</f>
        <v>0</v>
      </c>
      <c r="AC376">
        <f>IF(AND(vp.tbl[[#This Row],[CrudeType]]="Crude",vp.tbl[[#This Row],[Dens]]&gt;825,vp.tbl[[#This Row],[Dens]]&lt;=900,vp.tbl[[#This Row],[Sulf]]&lt;=0.5,vp.tbl[[#This Row],[Unknown]]=0),1,0)</f>
        <v>1</v>
      </c>
      <c r="AD376">
        <f>IF(AND(vp.tbl[[#This Row],[CrudeType]]="Crude",vp.tbl[[#This Row],[Dens]]&gt;870,vp.tbl[[#This Row],[Dens]]&lt;=900,vp.tbl[[#This Row],[Sulf]]&gt;0.5,vp.tbl[[#This Row],[Unknown]]=0),1,0)</f>
        <v>0</v>
      </c>
      <c r="AE376">
        <f>IF(AND(vp.tbl[[#This Row],[CrudeType]]="Crude",vp.tbl[[#This Row],[Dens]]&gt;900,vp.tbl[[#This Row],[Sulf]]&lt;=0.5,vp.tbl[[#This Row],[Unknown]]=0),1,0)</f>
        <v>0</v>
      </c>
      <c r="AF376">
        <f>IF(AND(vp.tbl[[#This Row],[CrudeType]]="Crude",vp.tbl[[#This Row],[Dens]]&gt;900,vp.tbl[[#This Row],[Sulf]]&lt;=0.5,vp.tbl[[#This Row],[Unknown]]=0),1,0)</f>
        <v>0</v>
      </c>
      <c r="AG376" t="str">
        <f>INDEX(vp.tbl[[#Headers],[Unknown]:[Heavy_SW]],MATCH(1,vp.tbl[[#This Row],[Unknown]:[Heavy_SW]],0))</f>
        <v>Medium_SW</v>
      </c>
      <c r="AH376" t="e">
        <f>INDEX([1]!crudeBD.lkup[Number],MATCH(vp.tbl[[#This Row],[Crude_Breakdown]],[1]!crudeBD.lkup[Crude Breakdown],0))</f>
        <v>#REF!</v>
      </c>
      <c r="AI376">
        <f>MONTH(vp.tbl[[#This Row],[SDate]])</f>
        <v>11</v>
      </c>
      <c r="AJ376" s="5">
        <f>IFERROR(vp.tbl[[#This Row],[Sulf]]*vp.tbl[[#This Row],[Net Dens]],"")</f>
        <v>5356763.0812199991</v>
      </c>
      <c r="AK376" s="5">
        <f>IFERROR(vp.tbl[[#This Row],[Dens]]*vp.tbl[[#This Row],[VolumeM3]],"")</f>
        <v>35711753.874799997</v>
      </c>
      <c r="AL376" s="5">
        <f>IFERROR(vp.tbl[[#This Row],[VP]]*vp.tbl[[#This Row],[VolumeM3]],"")</f>
        <v>4569417.3264999995</v>
      </c>
      <c r="AM376" s="4">
        <f>IFERROR((vp.tbl[[#This Row],[VP]]-INDEX(crudeBD.lkup.complete[Mean_VP],MATCH(vp.tbl[[#This Row],[Crude_Breakdown]],crudeBD.lkup.complete[Crude Breakdown],0)))^2,"")</f>
        <v>685.56694444444395</v>
      </c>
      <c r="AN376" s="4">
        <f>IFERROR((vp.tbl[[#This Row],[Dens]]-INDEX(crudeBD.lkup.complete[Mean_Dens],MATCH(vp.tbl[[#This Row],[Crude_Breakdown]],crudeBD.lkup.complete[Crude Breakdown],0)))^2,"")</f>
        <v>39.689999999999429</v>
      </c>
      <c r="AO376" s="4">
        <f>IFERROR((vp.tbl[[#This Row],[Sulf]]-INDEX(crudeBD.lkup.complete[Mean_Sulf],MATCH(vp.tbl[[#This Row],[Crude_Breakdown]],crudeBD.lkup.complete[Crude Breakdown],0)))^2,"")</f>
        <v>8.1301968224999988E-4</v>
      </c>
      <c r="AP376">
        <f>IF(AND(vp.tbl[[#This Row],[SDate]]&gt;=DATE(YEAR(vp.tbl[[#This Row],[SDate]]),5,1),vp.tbl[[#This Row],[SDate]]&lt;=DATE(YEAR(vp.tbl[[#This Row],[SDate]]),9,15)),1,0)</f>
        <v>0</v>
      </c>
      <c r="AQ376" s="15">
        <f>IF(vp.tbl[[#This Row],[SDate]]&lt;DATE(2016,12,1),0,1)</f>
        <v>0</v>
      </c>
    </row>
    <row r="377" spans="1:43" x14ac:dyDescent="0.25">
      <c r="A377">
        <v>376</v>
      </c>
      <c r="B377" t="s">
        <v>49</v>
      </c>
      <c r="C377" t="s">
        <v>49</v>
      </c>
      <c r="D377" t="s">
        <v>74</v>
      </c>
      <c r="F377" s="1">
        <v>42706</v>
      </c>
      <c r="G377" s="2">
        <v>107.7</v>
      </c>
      <c r="H377" s="2"/>
      <c r="I377" s="2">
        <v>0.15</v>
      </c>
      <c r="J377" s="2"/>
      <c r="K377" s="2"/>
      <c r="L377" s="2">
        <v>803.6</v>
      </c>
      <c r="M377" s="2">
        <v>803.6</v>
      </c>
      <c r="N377" s="2">
        <f ca="1">INDEX(INDIRECT(_xlfn.CONCAT("weather.tbl[",N$1,"]")),MATCH(vp.tbl[[#This Row],[SDate]],weather.tbl[Date],0))</f>
        <v>-3.3166666666666669</v>
      </c>
      <c r="O377" s="2">
        <f ca="1">INDEX(INDIRECT(_xlfn.CONCAT("weather.tbl[",O$1,"]")),MATCH(vp.tbl[[#This Row],[SDate]],weather.tbl[Date],0))</f>
        <v>-2.0714285714285716</v>
      </c>
      <c r="P377" s="2">
        <f ca="1">INDEX(INDIRECT(_xlfn.CONCAT("weather.tbl[",P$1,"]")),MATCH(vp.tbl[[#This Row],[SDate]],weather.tbl[Date],0))</f>
        <v>-2.7</v>
      </c>
      <c r="Q377" s="2">
        <f ca="1">INDEX(INDIRECT(_xlfn.CONCAT("weather.tbl[",Q$1,"]")),MATCH(vp.tbl[[#This Row],[SDate]],weather.tbl[Date],0))</f>
        <v>-3.4</v>
      </c>
      <c r="R377" s="2">
        <f ca="1">INDEX(INDIRECT(_xlfn.CONCAT("weather.tbl[",R$1,"]")),MATCH(vp.tbl[[#This Row],[SDate]],weather.tbl[Date],0))</f>
        <v>-4</v>
      </c>
      <c r="S377" s="2">
        <f ca="1">INDEX(INDIRECT(_xlfn.CONCAT("weather.tbl[",S$1,"]")),MATCH(vp.tbl[[#This Row],[SDate]],weather.tbl[Date],0))</f>
        <v>-3.5</v>
      </c>
      <c r="T377" s="2">
        <f ca="1">INDEX(INDIRECT(_xlfn.CONCAT("weather.tbl[",T$1,"]")),MATCH(vp.tbl[[#This Row],[SDate]],weather.tbl[Date],0))</f>
        <v>-3</v>
      </c>
      <c r="U377" s="2">
        <f ca="1">INDEX(INDIRECT(_xlfn.CONCAT("weather.tbl[",U$1,"]")),MATCH(vp.tbl[[#This Row],[SDate]],weather.tbl[Date],0))</f>
        <v>-3.3</v>
      </c>
      <c r="V377" s="2">
        <v>30199.411</v>
      </c>
      <c r="W377" t="s">
        <v>48</v>
      </c>
      <c r="X377">
        <f>IF(OR(vp.tbl[[#This Row],[Sulf]]="",vp.tbl[[#This Row],[Dens]]=""),1,0)</f>
        <v>0</v>
      </c>
      <c r="Y377">
        <f>IF(vp.tbl[[#This Row],[CrudeType]]="C5+",1,0)</f>
        <v>0</v>
      </c>
      <c r="Z377">
        <f>IF(AND(vp.tbl[[#This Row],[CrudeType]]="Crude",vp.tbl[[#This Row],[Dens]]&lt;=825,vp.tbl[[#This Row],[Sulf]]&gt;0.5,vp.tbl[[#This Row],[Unknown]]=0),1,0)</f>
        <v>0</v>
      </c>
      <c r="AA377">
        <f>IF(AND(vp.tbl[[#This Row],[CrudeType]]="Crude",vp.tbl[[#This Row],[Dens]]&lt;=825,vp.tbl[[#This Row],[Sulf]]&lt;=0.5,vp.tbl[[#This Row],[Unknown]]=0),1,0)</f>
        <v>1</v>
      </c>
      <c r="AB377">
        <f>IF(AND(vp.tbl[[#This Row],[CrudeType]]="Crude",vp.tbl[[#This Row],[Dens]]&gt;825,vp.tbl[[#This Row],[Dens]]&lt;=870,vp.tbl[[#This Row],[Sulf]]&gt;0.5,vp.tbl[[#This Row],[Unknown]]=0),1,0)</f>
        <v>0</v>
      </c>
      <c r="AC377">
        <f>IF(AND(vp.tbl[[#This Row],[CrudeType]]="Crude",vp.tbl[[#This Row],[Dens]]&gt;825,vp.tbl[[#This Row],[Dens]]&lt;=900,vp.tbl[[#This Row],[Sulf]]&lt;=0.5,vp.tbl[[#This Row],[Unknown]]=0),1,0)</f>
        <v>0</v>
      </c>
      <c r="AD377">
        <f>IF(AND(vp.tbl[[#This Row],[CrudeType]]="Crude",vp.tbl[[#This Row],[Dens]]&gt;870,vp.tbl[[#This Row],[Dens]]&lt;=900,vp.tbl[[#This Row],[Sulf]]&gt;0.5,vp.tbl[[#This Row],[Unknown]]=0),1,0)</f>
        <v>0</v>
      </c>
      <c r="AE377">
        <f>IF(AND(vp.tbl[[#This Row],[CrudeType]]="Crude",vp.tbl[[#This Row],[Dens]]&gt;900,vp.tbl[[#This Row],[Sulf]]&lt;=0.5,vp.tbl[[#This Row],[Unknown]]=0),1,0)</f>
        <v>0</v>
      </c>
      <c r="AF377">
        <f>IF(AND(vp.tbl[[#This Row],[CrudeType]]="Crude",vp.tbl[[#This Row],[Dens]]&gt;900,vp.tbl[[#This Row],[Sulf]]&lt;=0.5,vp.tbl[[#This Row],[Unknown]]=0),1,0)</f>
        <v>0</v>
      </c>
      <c r="AG377" t="str">
        <f>INDEX(vp.tbl[[#Headers],[Unknown]:[Heavy_SW]],MATCH(1,vp.tbl[[#This Row],[Unknown]:[Heavy_SW]],0))</f>
        <v>Light_SW</v>
      </c>
      <c r="AH377" t="e">
        <f>INDEX([1]!crudeBD.lkup[Number],MATCH(vp.tbl[[#This Row],[Crude_Breakdown]],[1]!crudeBD.lkup[Crude Breakdown],0))</f>
        <v>#REF!</v>
      </c>
      <c r="AI377">
        <f>MONTH(vp.tbl[[#This Row],[SDate]])</f>
        <v>12</v>
      </c>
      <c r="AJ377" s="5">
        <f>IFERROR(vp.tbl[[#This Row],[Sulf]]*vp.tbl[[#This Row],[Net Dens]],"")</f>
        <v>3640237.0019399999</v>
      </c>
      <c r="AK377" s="5">
        <f>IFERROR(vp.tbl[[#This Row],[Dens]]*vp.tbl[[#This Row],[VolumeM3]],"")</f>
        <v>24268246.6796</v>
      </c>
      <c r="AL377" s="5">
        <f>IFERROR(vp.tbl[[#This Row],[VP]]*vp.tbl[[#This Row],[VolumeM3]],"")</f>
        <v>3252476.5647</v>
      </c>
      <c r="AM377" s="4">
        <f>IFERROR((vp.tbl[[#This Row],[VP]]-INDEX(crudeBD.lkup.complete[Mean_VP],MATCH(vp.tbl[[#This Row],[Crude_Breakdown]],crudeBD.lkup.complete[Crude Breakdown],0)))^2,"")</f>
        <v>229.51299835617866</v>
      </c>
      <c r="AN377" s="4">
        <f>IFERROR((vp.tbl[[#This Row],[Dens]]-INDEX(crudeBD.lkup.complete[Mean_Dens],MATCH(vp.tbl[[#This Row],[Crude_Breakdown]],crudeBD.lkup.complete[Crude Breakdown],0)))^2,"")</f>
        <v>22.198215833624456</v>
      </c>
      <c r="AO377" s="4">
        <f>IFERROR((vp.tbl[[#This Row],[Sulf]]-INDEX(crudeBD.lkup.complete[Mean_Sulf],MATCH(vp.tbl[[#This Row],[Crude_Breakdown]],crudeBD.lkup.complete[Crude Breakdown],0)))^2,"")</f>
        <v>7.4376501105998362E-3</v>
      </c>
      <c r="AP377">
        <f>IF(AND(vp.tbl[[#This Row],[SDate]]&gt;=DATE(YEAR(vp.tbl[[#This Row],[SDate]]),5,1),vp.tbl[[#This Row],[SDate]]&lt;=DATE(YEAR(vp.tbl[[#This Row],[SDate]]),9,15)),1,0)</f>
        <v>0</v>
      </c>
      <c r="AQ377" s="15">
        <f>IF(vp.tbl[[#This Row],[SDate]]&lt;DATE(2016,12,1),0,1)</f>
        <v>1</v>
      </c>
    </row>
    <row r="378" spans="1:43" x14ac:dyDescent="0.25">
      <c r="A378">
        <v>377</v>
      </c>
      <c r="B378" t="s">
        <v>49</v>
      </c>
      <c r="C378" t="s">
        <v>49</v>
      </c>
      <c r="D378" t="s">
        <v>75</v>
      </c>
      <c r="F378" s="1">
        <v>42710</v>
      </c>
      <c r="G378" s="2">
        <v>104.6</v>
      </c>
      <c r="H378" s="2"/>
      <c r="I378" s="2">
        <v>0.13</v>
      </c>
      <c r="J378" s="2"/>
      <c r="K378" s="2"/>
      <c r="L378" s="2">
        <v>795.5</v>
      </c>
      <c r="M378" s="2">
        <v>795.5</v>
      </c>
      <c r="N378" s="2">
        <f ca="1">INDEX(INDIRECT(_xlfn.CONCAT("weather.tbl[",N$1,"]")),MATCH(vp.tbl[[#This Row],[SDate]],weather.tbl[Date],0))</f>
        <v>-13.166666666666666</v>
      </c>
      <c r="O378" s="2">
        <f ca="1">INDEX(INDIRECT(_xlfn.CONCAT("weather.tbl[",O$1,"]")),MATCH(vp.tbl[[#This Row],[SDate]],weather.tbl[Date],0))</f>
        <v>-5.954761904761904</v>
      </c>
      <c r="P378" s="2">
        <f ca="1">INDEX(INDIRECT(_xlfn.CONCAT("weather.tbl[",P$1,"]")),MATCH(vp.tbl[[#This Row],[SDate]],weather.tbl[Date],0))</f>
        <v>-14.3</v>
      </c>
      <c r="Q378" s="2">
        <f ca="1">INDEX(INDIRECT(_xlfn.CONCAT("weather.tbl[",Q$1,"]")),MATCH(vp.tbl[[#This Row],[SDate]],weather.tbl[Date],0))</f>
        <v>-14.9</v>
      </c>
      <c r="R378" s="2">
        <f ca="1">INDEX(INDIRECT(_xlfn.CONCAT("weather.tbl[",R$1,"]")),MATCH(vp.tbl[[#This Row],[SDate]],weather.tbl[Date],0))</f>
        <v>-9.8000000000000007</v>
      </c>
      <c r="S378" s="2">
        <f ca="1">INDEX(INDIRECT(_xlfn.CONCAT("weather.tbl[",S$1,"]")),MATCH(vp.tbl[[#This Row],[SDate]],weather.tbl[Date],0))</f>
        <v>-15.5</v>
      </c>
      <c r="T378" s="2">
        <f ca="1">INDEX(INDIRECT(_xlfn.CONCAT("weather.tbl[",T$1,"]")),MATCH(vp.tbl[[#This Row],[SDate]],weather.tbl[Date],0))</f>
        <v>-9.5</v>
      </c>
      <c r="U378" s="2">
        <f ca="1">INDEX(INDIRECT(_xlfn.CONCAT("weather.tbl[",U$1,"]")),MATCH(vp.tbl[[#This Row],[SDate]],weather.tbl[Date],0))</f>
        <v>-15</v>
      </c>
      <c r="V378" s="2">
        <v>21635.382000000001</v>
      </c>
      <c r="W378" t="s">
        <v>48</v>
      </c>
      <c r="X378">
        <f>IF(OR(vp.tbl[[#This Row],[Sulf]]="",vp.tbl[[#This Row],[Dens]]=""),1,0)</f>
        <v>0</v>
      </c>
      <c r="Y378">
        <f>IF(vp.tbl[[#This Row],[CrudeType]]="C5+",1,0)</f>
        <v>0</v>
      </c>
      <c r="Z378">
        <f>IF(AND(vp.tbl[[#This Row],[CrudeType]]="Crude",vp.tbl[[#This Row],[Dens]]&lt;=825,vp.tbl[[#This Row],[Sulf]]&gt;0.5,vp.tbl[[#This Row],[Unknown]]=0),1,0)</f>
        <v>0</v>
      </c>
      <c r="AA378">
        <f>IF(AND(vp.tbl[[#This Row],[CrudeType]]="Crude",vp.tbl[[#This Row],[Dens]]&lt;=825,vp.tbl[[#This Row],[Sulf]]&lt;=0.5,vp.tbl[[#This Row],[Unknown]]=0),1,0)</f>
        <v>1</v>
      </c>
      <c r="AB378">
        <f>IF(AND(vp.tbl[[#This Row],[CrudeType]]="Crude",vp.tbl[[#This Row],[Dens]]&gt;825,vp.tbl[[#This Row],[Dens]]&lt;=870,vp.tbl[[#This Row],[Sulf]]&gt;0.5,vp.tbl[[#This Row],[Unknown]]=0),1,0)</f>
        <v>0</v>
      </c>
      <c r="AC378">
        <f>IF(AND(vp.tbl[[#This Row],[CrudeType]]="Crude",vp.tbl[[#This Row],[Dens]]&gt;825,vp.tbl[[#This Row],[Dens]]&lt;=900,vp.tbl[[#This Row],[Sulf]]&lt;=0.5,vp.tbl[[#This Row],[Unknown]]=0),1,0)</f>
        <v>0</v>
      </c>
      <c r="AD378">
        <f>IF(AND(vp.tbl[[#This Row],[CrudeType]]="Crude",vp.tbl[[#This Row],[Dens]]&gt;870,vp.tbl[[#This Row],[Dens]]&lt;=900,vp.tbl[[#This Row],[Sulf]]&gt;0.5,vp.tbl[[#This Row],[Unknown]]=0),1,0)</f>
        <v>0</v>
      </c>
      <c r="AE378">
        <f>IF(AND(vp.tbl[[#This Row],[CrudeType]]="Crude",vp.tbl[[#This Row],[Dens]]&gt;900,vp.tbl[[#This Row],[Sulf]]&lt;=0.5,vp.tbl[[#This Row],[Unknown]]=0),1,0)</f>
        <v>0</v>
      </c>
      <c r="AF378">
        <f>IF(AND(vp.tbl[[#This Row],[CrudeType]]="Crude",vp.tbl[[#This Row],[Dens]]&gt;900,vp.tbl[[#This Row],[Sulf]]&lt;=0.5,vp.tbl[[#This Row],[Unknown]]=0),1,0)</f>
        <v>0</v>
      </c>
      <c r="AG378" t="str">
        <f>INDEX(vp.tbl[[#Headers],[Unknown]:[Heavy_SW]],MATCH(1,vp.tbl[[#This Row],[Unknown]:[Heavy_SW]],0))</f>
        <v>Light_SW</v>
      </c>
      <c r="AH378" t="e">
        <f>INDEX([1]!crudeBD.lkup[Number],MATCH(vp.tbl[[#This Row],[Crude_Breakdown]],[1]!crudeBD.lkup[Crude Breakdown],0))</f>
        <v>#REF!</v>
      </c>
      <c r="AI378">
        <f>MONTH(vp.tbl[[#This Row],[SDate]])</f>
        <v>12</v>
      </c>
      <c r="AJ378" s="5">
        <f>IFERROR(vp.tbl[[#This Row],[Sulf]]*vp.tbl[[#This Row],[Net Dens]],"")</f>
        <v>2237423.0295300004</v>
      </c>
      <c r="AK378" s="5">
        <f>IFERROR(vp.tbl[[#This Row],[Dens]]*vp.tbl[[#This Row],[VolumeM3]],"")</f>
        <v>17210946.381000001</v>
      </c>
      <c r="AL378" s="5">
        <f>IFERROR(vp.tbl[[#This Row],[VP]]*vp.tbl[[#This Row],[VolumeM3]],"")</f>
        <v>2263060.9572000001</v>
      </c>
      <c r="AM378" s="4">
        <f>IFERROR((vp.tbl[[#This Row],[VP]]-INDEX(crudeBD.lkup.complete[Mean_VP],MATCH(vp.tbl[[#This Row],[Crude_Breakdown]],crudeBD.lkup.complete[Crude Breakdown],0)))^2,"")</f>
        <v>145.19494260704934</v>
      </c>
      <c r="AN378" s="4">
        <f>IFERROR((vp.tbl[[#This Row],[Dens]]-INDEX(crudeBD.lkup.complete[Mean_Dens],MATCH(vp.tbl[[#This Row],[Crude_Breakdown]],crudeBD.lkup.complete[Crude Breakdown],0)))^2,"")</f>
        <v>164.13448761062463</v>
      </c>
      <c r="AO378" s="4">
        <f>IFERROR((vp.tbl[[#This Row],[Sulf]]-INDEX(crudeBD.lkup.complete[Mean_Sulf],MATCH(vp.tbl[[#This Row],[Crude_Breakdown]],crudeBD.lkup.complete[Crude Breakdown],0)))^2,"")</f>
        <v>1.1287322584467423E-2</v>
      </c>
      <c r="AP378">
        <f>IF(AND(vp.tbl[[#This Row],[SDate]]&gt;=DATE(YEAR(vp.tbl[[#This Row],[SDate]]),5,1),vp.tbl[[#This Row],[SDate]]&lt;=DATE(YEAR(vp.tbl[[#This Row],[SDate]]),9,15)),1,0)</f>
        <v>0</v>
      </c>
      <c r="AQ378" s="15">
        <f>IF(vp.tbl[[#This Row],[SDate]]&lt;DATE(2016,12,1),0,1)</f>
        <v>1</v>
      </c>
    </row>
    <row r="379" spans="1:43" x14ac:dyDescent="0.25">
      <c r="A379">
        <v>378</v>
      </c>
      <c r="B379" t="s">
        <v>56</v>
      </c>
      <c r="C379" t="s">
        <v>56</v>
      </c>
      <c r="D379" t="s">
        <v>94</v>
      </c>
      <c r="F379" s="1">
        <v>42711</v>
      </c>
      <c r="G379" s="2">
        <v>76.400000000000006</v>
      </c>
      <c r="H379" s="2">
        <v>1.99624</v>
      </c>
      <c r="I379" s="2">
        <v>1.99624</v>
      </c>
      <c r="J379" s="2">
        <v>15.5</v>
      </c>
      <c r="K379" s="2">
        <v>-25</v>
      </c>
      <c r="L379" s="2">
        <v>867.7</v>
      </c>
      <c r="M379" s="2">
        <v>867.7</v>
      </c>
      <c r="N379" s="2">
        <f ca="1">INDEX(INDIRECT(_xlfn.CONCAT("weather.tbl[",N$1,"]")),MATCH(vp.tbl[[#This Row],[SDate]],weather.tbl[Date],0))</f>
        <v>-16.333333333333332</v>
      </c>
      <c r="O379" s="2">
        <f ca="1">INDEX(INDIRECT(_xlfn.CONCAT("weather.tbl[",O$1,"]")),MATCH(vp.tbl[[#This Row],[SDate]],weather.tbl[Date],0))</f>
        <v>-7.761904761904761</v>
      </c>
      <c r="P379" s="2">
        <f ca="1">INDEX(INDIRECT(_xlfn.CONCAT("weather.tbl[",P$1,"]")),MATCH(vp.tbl[[#This Row],[SDate]],weather.tbl[Date],0))</f>
        <v>-17.2</v>
      </c>
      <c r="Q379" s="2">
        <f ca="1">INDEX(INDIRECT(_xlfn.CONCAT("weather.tbl[",Q$1,"]")),MATCH(vp.tbl[[#This Row],[SDate]],weather.tbl[Date],0))</f>
        <v>-17.5</v>
      </c>
      <c r="R379" s="2">
        <f ca="1">INDEX(INDIRECT(_xlfn.CONCAT("weather.tbl[",R$1,"]")),MATCH(vp.tbl[[#This Row],[SDate]],weather.tbl[Date],0))</f>
        <v>-16.3</v>
      </c>
      <c r="S379" s="2">
        <f ca="1">INDEX(INDIRECT(_xlfn.CONCAT("weather.tbl[",S$1,"]")),MATCH(vp.tbl[[#This Row],[SDate]],weather.tbl[Date],0))</f>
        <v>-17</v>
      </c>
      <c r="T379" s="2">
        <f ca="1">INDEX(INDIRECT(_xlfn.CONCAT("weather.tbl[",T$1,"]")),MATCH(vp.tbl[[#This Row],[SDate]],weather.tbl[Date],0))</f>
        <v>-13.5</v>
      </c>
      <c r="U379" s="2">
        <f ca="1">INDEX(INDIRECT(_xlfn.CONCAT("weather.tbl[",U$1,"]")),MATCH(vp.tbl[[#This Row],[SDate]],weather.tbl[Date],0))</f>
        <v>-16.5</v>
      </c>
      <c r="V379" s="2">
        <v>3726.9639999999999</v>
      </c>
      <c r="W379" t="s">
        <v>48</v>
      </c>
      <c r="X379">
        <f>IF(OR(vp.tbl[[#This Row],[Sulf]]="",vp.tbl[[#This Row],[Dens]]=""),1,0)</f>
        <v>0</v>
      </c>
      <c r="Y379">
        <f>IF(vp.tbl[[#This Row],[CrudeType]]="C5+",1,0)</f>
        <v>0</v>
      </c>
      <c r="Z379">
        <f>IF(AND(vp.tbl[[#This Row],[CrudeType]]="Crude",vp.tbl[[#This Row],[Dens]]&lt;=825,vp.tbl[[#This Row],[Sulf]]&gt;0.5,vp.tbl[[#This Row],[Unknown]]=0),1,0)</f>
        <v>0</v>
      </c>
      <c r="AA379">
        <f>IF(AND(vp.tbl[[#This Row],[CrudeType]]="Crude",vp.tbl[[#This Row],[Dens]]&lt;=825,vp.tbl[[#This Row],[Sulf]]&lt;=0.5,vp.tbl[[#This Row],[Unknown]]=0),1,0)</f>
        <v>0</v>
      </c>
      <c r="AB379">
        <f>IF(AND(vp.tbl[[#This Row],[CrudeType]]="Crude",vp.tbl[[#This Row],[Dens]]&gt;825,vp.tbl[[#This Row],[Dens]]&lt;=870,vp.tbl[[#This Row],[Sulf]]&gt;0.5,vp.tbl[[#This Row],[Unknown]]=0),1,0)</f>
        <v>1</v>
      </c>
      <c r="AC379">
        <f>IF(AND(vp.tbl[[#This Row],[CrudeType]]="Crude",vp.tbl[[#This Row],[Dens]]&gt;825,vp.tbl[[#This Row],[Dens]]&lt;=900,vp.tbl[[#This Row],[Sulf]]&lt;=0.5,vp.tbl[[#This Row],[Unknown]]=0),1,0)</f>
        <v>0</v>
      </c>
      <c r="AD379">
        <f>IF(AND(vp.tbl[[#This Row],[CrudeType]]="Crude",vp.tbl[[#This Row],[Dens]]&gt;870,vp.tbl[[#This Row],[Dens]]&lt;=900,vp.tbl[[#This Row],[Sulf]]&gt;0.5,vp.tbl[[#This Row],[Unknown]]=0),1,0)</f>
        <v>0</v>
      </c>
      <c r="AE379">
        <f>IF(AND(vp.tbl[[#This Row],[CrudeType]]="Crude",vp.tbl[[#This Row],[Dens]]&gt;900,vp.tbl[[#This Row],[Sulf]]&lt;=0.5,vp.tbl[[#This Row],[Unknown]]=0),1,0)</f>
        <v>0</v>
      </c>
      <c r="AF379">
        <f>IF(AND(vp.tbl[[#This Row],[CrudeType]]="Crude",vp.tbl[[#This Row],[Dens]]&gt;900,vp.tbl[[#This Row],[Sulf]]&lt;=0.5,vp.tbl[[#This Row],[Unknown]]=0),1,0)</f>
        <v>0</v>
      </c>
      <c r="AG379" t="str">
        <f>INDEX(vp.tbl[[#Headers],[Unknown]:[Heavy_SW]],MATCH(1,vp.tbl[[#This Row],[Unknown]:[Heavy_SW]],0))</f>
        <v>Medium_LSB</v>
      </c>
      <c r="AH379" t="e">
        <f>INDEX([1]!crudeBD.lkup[Number],MATCH(vp.tbl[[#This Row],[Crude_Breakdown]],[1]!crudeBD.lkup[Crude Breakdown],0))</f>
        <v>#REF!</v>
      </c>
      <c r="AI379">
        <f>MONTH(vp.tbl[[#This Row],[SDate]])</f>
        <v>12</v>
      </c>
      <c r="AJ379" s="5">
        <f>IFERROR(vp.tbl[[#This Row],[Sulf]]*vp.tbl[[#This Row],[Net Dens]],"")</f>
        <v>6455613.9117478719</v>
      </c>
      <c r="AK379" s="5">
        <f>IFERROR(vp.tbl[[#This Row],[Dens]]*vp.tbl[[#This Row],[VolumeM3]],"")</f>
        <v>3233886.6628</v>
      </c>
      <c r="AL379" s="5">
        <f>IFERROR(vp.tbl[[#This Row],[VP]]*vp.tbl[[#This Row],[VolumeM3]],"")</f>
        <v>284740.04960000003</v>
      </c>
      <c r="AM379" s="4">
        <f>IFERROR((vp.tbl[[#This Row],[VP]]-INDEX(crudeBD.lkup.complete[Mean_VP],MATCH(vp.tbl[[#This Row],[Crude_Breakdown]],crudeBD.lkup.complete[Crude Breakdown],0)))^2,"")</f>
        <v>14.24001874635443</v>
      </c>
      <c r="AN379" s="4">
        <f>IFERROR((vp.tbl[[#This Row],[Dens]]-INDEX(crudeBD.lkup.complete[Mean_Dens],MATCH(vp.tbl[[#This Row],[Crude_Breakdown]],crudeBD.lkup.complete[Crude Breakdown],0)))^2,"")</f>
        <v>502.12640610740078</v>
      </c>
      <c r="AO379" s="4">
        <f>IFERROR((vp.tbl[[#This Row],[Sulf]]-INDEX(crudeBD.lkup.complete[Mean_Sulf],MATCH(vp.tbl[[#This Row],[Crude_Breakdown]],crudeBD.lkup.complete[Crude Breakdown],0)))^2,"")</f>
        <v>0.29301666684457478</v>
      </c>
      <c r="AP379">
        <f>IF(AND(vp.tbl[[#This Row],[SDate]]&gt;=DATE(YEAR(vp.tbl[[#This Row],[SDate]]),5,1),vp.tbl[[#This Row],[SDate]]&lt;=DATE(YEAR(vp.tbl[[#This Row],[SDate]]),9,15)),1,0)</f>
        <v>0</v>
      </c>
      <c r="AQ379" s="15">
        <f>IF(vp.tbl[[#This Row],[SDate]]&lt;DATE(2016,12,1),0,1)</f>
        <v>1</v>
      </c>
    </row>
    <row r="380" spans="1:43" x14ac:dyDescent="0.25">
      <c r="A380">
        <v>379</v>
      </c>
      <c r="B380" t="s">
        <v>46</v>
      </c>
      <c r="C380" t="s">
        <v>46</v>
      </c>
      <c r="D380" t="s">
        <v>47</v>
      </c>
      <c r="F380" s="1">
        <v>42711</v>
      </c>
      <c r="G380" s="2">
        <v>63.6</v>
      </c>
      <c r="H380" s="2">
        <v>2.3065000000000002</v>
      </c>
      <c r="I380" s="2">
        <v>2.3065000000000002</v>
      </c>
      <c r="J380" s="2">
        <v>27.1</v>
      </c>
      <c r="K380" s="2">
        <v>-20</v>
      </c>
      <c r="L380" s="2">
        <v>867.7</v>
      </c>
      <c r="M380" s="2">
        <v>867.7</v>
      </c>
      <c r="N380" s="2">
        <f ca="1">INDEX(INDIRECT(_xlfn.CONCAT("weather.tbl[",N$1,"]")),MATCH(vp.tbl[[#This Row],[SDate]],weather.tbl[Date],0))</f>
        <v>-16.333333333333332</v>
      </c>
      <c r="O380" s="2">
        <f ca="1">INDEX(INDIRECT(_xlfn.CONCAT("weather.tbl[",O$1,"]")),MATCH(vp.tbl[[#This Row],[SDate]],weather.tbl[Date],0))</f>
        <v>-7.761904761904761</v>
      </c>
      <c r="P380" s="2">
        <f ca="1">INDEX(INDIRECT(_xlfn.CONCAT("weather.tbl[",P$1,"]")),MATCH(vp.tbl[[#This Row],[SDate]],weather.tbl[Date],0))</f>
        <v>-17.2</v>
      </c>
      <c r="Q380" s="2">
        <f ca="1">INDEX(INDIRECT(_xlfn.CONCAT("weather.tbl[",Q$1,"]")),MATCH(vp.tbl[[#This Row],[SDate]],weather.tbl[Date],0))</f>
        <v>-17.5</v>
      </c>
      <c r="R380" s="2">
        <f ca="1">INDEX(INDIRECT(_xlfn.CONCAT("weather.tbl[",R$1,"]")),MATCH(vp.tbl[[#This Row],[SDate]],weather.tbl[Date],0))</f>
        <v>-16.3</v>
      </c>
      <c r="S380" s="2">
        <f ca="1">INDEX(INDIRECT(_xlfn.CONCAT("weather.tbl[",S$1,"]")),MATCH(vp.tbl[[#This Row],[SDate]],weather.tbl[Date],0))</f>
        <v>-17</v>
      </c>
      <c r="T380" s="2">
        <f ca="1">INDEX(INDIRECT(_xlfn.CONCAT("weather.tbl[",T$1,"]")),MATCH(vp.tbl[[#This Row],[SDate]],weather.tbl[Date],0))</f>
        <v>-13.5</v>
      </c>
      <c r="U380" s="2">
        <f ca="1">INDEX(INDIRECT(_xlfn.CONCAT("weather.tbl[",U$1,"]")),MATCH(vp.tbl[[#This Row],[SDate]],weather.tbl[Date],0))</f>
        <v>-16.5</v>
      </c>
      <c r="V380" s="2">
        <v>118264.61500000001</v>
      </c>
      <c r="W380" t="s">
        <v>48</v>
      </c>
      <c r="X380">
        <f>IF(OR(vp.tbl[[#This Row],[Sulf]]="",vp.tbl[[#This Row],[Dens]]=""),1,0)</f>
        <v>0</v>
      </c>
      <c r="Y380">
        <f>IF(vp.tbl[[#This Row],[CrudeType]]="C5+",1,0)</f>
        <v>0</v>
      </c>
      <c r="Z380">
        <f>IF(AND(vp.tbl[[#This Row],[CrudeType]]="Crude",vp.tbl[[#This Row],[Dens]]&lt;=825,vp.tbl[[#This Row],[Sulf]]&gt;0.5,vp.tbl[[#This Row],[Unknown]]=0),1,0)</f>
        <v>0</v>
      </c>
      <c r="AA380">
        <f>IF(AND(vp.tbl[[#This Row],[CrudeType]]="Crude",vp.tbl[[#This Row],[Dens]]&lt;=825,vp.tbl[[#This Row],[Sulf]]&lt;=0.5,vp.tbl[[#This Row],[Unknown]]=0),1,0)</f>
        <v>0</v>
      </c>
      <c r="AB380">
        <f>IF(AND(vp.tbl[[#This Row],[CrudeType]]="Crude",vp.tbl[[#This Row],[Dens]]&gt;825,vp.tbl[[#This Row],[Dens]]&lt;=870,vp.tbl[[#This Row],[Sulf]]&gt;0.5,vp.tbl[[#This Row],[Unknown]]=0),1,0)</f>
        <v>1</v>
      </c>
      <c r="AC380">
        <f>IF(AND(vp.tbl[[#This Row],[CrudeType]]="Crude",vp.tbl[[#This Row],[Dens]]&gt;825,vp.tbl[[#This Row],[Dens]]&lt;=900,vp.tbl[[#This Row],[Sulf]]&lt;=0.5,vp.tbl[[#This Row],[Unknown]]=0),1,0)</f>
        <v>0</v>
      </c>
      <c r="AD380">
        <f>IF(AND(vp.tbl[[#This Row],[CrudeType]]="Crude",vp.tbl[[#This Row],[Dens]]&gt;870,vp.tbl[[#This Row],[Dens]]&lt;=900,vp.tbl[[#This Row],[Sulf]]&gt;0.5,vp.tbl[[#This Row],[Unknown]]=0),1,0)</f>
        <v>0</v>
      </c>
      <c r="AE380">
        <f>IF(AND(vp.tbl[[#This Row],[CrudeType]]="Crude",vp.tbl[[#This Row],[Dens]]&gt;900,vp.tbl[[#This Row],[Sulf]]&lt;=0.5,vp.tbl[[#This Row],[Unknown]]=0),1,0)</f>
        <v>0</v>
      </c>
      <c r="AF380">
        <f>IF(AND(vp.tbl[[#This Row],[CrudeType]]="Crude",vp.tbl[[#This Row],[Dens]]&gt;900,vp.tbl[[#This Row],[Sulf]]&lt;=0.5,vp.tbl[[#This Row],[Unknown]]=0),1,0)</f>
        <v>0</v>
      </c>
      <c r="AG380" t="str">
        <f>INDEX(vp.tbl[[#Headers],[Unknown]:[Heavy_SW]],MATCH(1,vp.tbl[[#This Row],[Unknown]:[Heavy_SW]],0))</f>
        <v>Medium_LSB</v>
      </c>
      <c r="AH380" t="e">
        <f>INDEX([1]!crudeBD.lkup[Number],MATCH(vp.tbl[[#This Row],[Crude_Breakdown]],[1]!crudeBD.lkup[Crude Breakdown],0))</f>
        <v>#REF!</v>
      </c>
      <c r="AI380">
        <f>MONTH(vp.tbl[[#This Row],[SDate]])</f>
        <v>12</v>
      </c>
      <c r="AJ380" s="5">
        <f>IFERROR(vp.tbl[[#This Row],[Sulf]]*vp.tbl[[#This Row],[Net Dens]],"")</f>
        <v>236688893.14348081</v>
      </c>
      <c r="AK380" s="5">
        <f>IFERROR(vp.tbl[[#This Row],[Dens]]*vp.tbl[[#This Row],[VolumeM3]],"")</f>
        <v>102618206.43550001</v>
      </c>
      <c r="AL380" s="5">
        <f>IFERROR(vp.tbl[[#This Row],[VP]]*vp.tbl[[#This Row],[VolumeM3]],"")</f>
        <v>7521629.5140000004</v>
      </c>
      <c r="AM380" s="4">
        <f>IFERROR((vp.tbl[[#This Row],[VP]]-INDEX(crudeBD.lkup.complete[Mean_VP],MATCH(vp.tbl[[#This Row],[Crude_Breakdown]],crudeBD.lkup.complete[Crude Breakdown],0)))^2,"")</f>
        <v>274.68404912610032</v>
      </c>
      <c r="AN380" s="4">
        <f>IFERROR((vp.tbl[[#This Row],[Dens]]-INDEX(crudeBD.lkup.complete[Mean_Dens],MATCH(vp.tbl[[#This Row],[Crude_Breakdown]],crudeBD.lkup.complete[Crude Breakdown],0)))^2,"")</f>
        <v>502.12640610740078</v>
      </c>
      <c r="AO380" s="4">
        <f>IFERROR((vp.tbl[[#This Row],[Sulf]]-INDEX(crudeBD.lkup.complete[Mean_Sulf],MATCH(vp.tbl[[#This Row],[Crude_Breakdown]],crudeBD.lkup.complete[Crude Breakdown],0)))^2,"")</f>
        <v>0.72517170204609316</v>
      </c>
      <c r="AP380">
        <f>IF(AND(vp.tbl[[#This Row],[SDate]]&gt;=DATE(YEAR(vp.tbl[[#This Row],[SDate]]),5,1),vp.tbl[[#This Row],[SDate]]&lt;=DATE(YEAR(vp.tbl[[#This Row],[SDate]]),9,15)),1,0)</f>
        <v>0</v>
      </c>
      <c r="AQ380" s="15">
        <f>IF(vp.tbl[[#This Row],[SDate]]&lt;DATE(2016,12,1),0,1)</f>
        <v>1</v>
      </c>
    </row>
    <row r="381" spans="1:43" x14ac:dyDescent="0.25">
      <c r="A381">
        <v>380</v>
      </c>
      <c r="B381" t="s">
        <v>51</v>
      </c>
      <c r="C381" t="s">
        <v>51</v>
      </c>
      <c r="D381" t="s">
        <v>52</v>
      </c>
      <c r="F381" s="1">
        <v>42711</v>
      </c>
      <c r="G381" s="2">
        <v>74.099999999999994</v>
      </c>
      <c r="H381" s="2">
        <v>2.3452600000000001</v>
      </c>
      <c r="I381" s="2">
        <v>2.3452600000000001</v>
      </c>
      <c r="J381" s="2">
        <v>31</v>
      </c>
      <c r="K381" s="2">
        <v>-20</v>
      </c>
      <c r="L381" s="2">
        <v>868</v>
      </c>
      <c r="M381" s="2">
        <v>868</v>
      </c>
      <c r="N381" s="2">
        <f ca="1">INDEX(INDIRECT(_xlfn.CONCAT("weather.tbl[",N$1,"]")),MATCH(vp.tbl[[#This Row],[SDate]],weather.tbl[Date],0))</f>
        <v>-16.333333333333332</v>
      </c>
      <c r="O381" s="2">
        <f ca="1">INDEX(INDIRECT(_xlfn.CONCAT("weather.tbl[",O$1,"]")),MATCH(vp.tbl[[#This Row],[SDate]],weather.tbl[Date],0))</f>
        <v>-7.761904761904761</v>
      </c>
      <c r="P381" s="2">
        <f ca="1">INDEX(INDIRECT(_xlfn.CONCAT("weather.tbl[",P$1,"]")),MATCH(vp.tbl[[#This Row],[SDate]],weather.tbl[Date],0))</f>
        <v>-17.2</v>
      </c>
      <c r="Q381" s="2">
        <f ca="1">INDEX(INDIRECT(_xlfn.CONCAT("weather.tbl[",Q$1,"]")),MATCH(vp.tbl[[#This Row],[SDate]],weather.tbl[Date],0))</f>
        <v>-17.5</v>
      </c>
      <c r="R381" s="2">
        <f ca="1">INDEX(INDIRECT(_xlfn.CONCAT("weather.tbl[",R$1,"]")),MATCH(vp.tbl[[#This Row],[SDate]],weather.tbl[Date],0))</f>
        <v>-16.3</v>
      </c>
      <c r="S381" s="2">
        <f ca="1">INDEX(INDIRECT(_xlfn.CONCAT("weather.tbl[",S$1,"]")),MATCH(vp.tbl[[#This Row],[SDate]],weather.tbl[Date],0))</f>
        <v>-17</v>
      </c>
      <c r="T381" s="2">
        <f ca="1">INDEX(INDIRECT(_xlfn.CONCAT("weather.tbl[",T$1,"]")),MATCH(vp.tbl[[#This Row],[SDate]],weather.tbl[Date],0))</f>
        <v>-13.5</v>
      </c>
      <c r="U381" s="2">
        <f ca="1">INDEX(INDIRECT(_xlfn.CONCAT("weather.tbl[",U$1,"]")),MATCH(vp.tbl[[#This Row],[SDate]],weather.tbl[Date],0))</f>
        <v>-16.5</v>
      </c>
      <c r="V381" s="2">
        <v>7324.1409999999996</v>
      </c>
      <c r="W381" t="s">
        <v>48</v>
      </c>
      <c r="X381">
        <f>IF(OR(vp.tbl[[#This Row],[Sulf]]="",vp.tbl[[#This Row],[Dens]]=""),1,0)</f>
        <v>0</v>
      </c>
      <c r="Y381">
        <f>IF(vp.tbl[[#This Row],[CrudeType]]="C5+",1,0)</f>
        <v>0</v>
      </c>
      <c r="Z381">
        <f>IF(AND(vp.tbl[[#This Row],[CrudeType]]="Crude",vp.tbl[[#This Row],[Dens]]&lt;=825,vp.tbl[[#This Row],[Sulf]]&gt;0.5,vp.tbl[[#This Row],[Unknown]]=0),1,0)</f>
        <v>0</v>
      </c>
      <c r="AA381">
        <f>IF(AND(vp.tbl[[#This Row],[CrudeType]]="Crude",vp.tbl[[#This Row],[Dens]]&lt;=825,vp.tbl[[#This Row],[Sulf]]&lt;=0.5,vp.tbl[[#This Row],[Unknown]]=0),1,0)</f>
        <v>0</v>
      </c>
      <c r="AB381">
        <f>IF(AND(vp.tbl[[#This Row],[CrudeType]]="Crude",vp.tbl[[#This Row],[Dens]]&gt;825,vp.tbl[[#This Row],[Dens]]&lt;=870,vp.tbl[[#This Row],[Sulf]]&gt;0.5,vp.tbl[[#This Row],[Unknown]]=0),1,0)</f>
        <v>1</v>
      </c>
      <c r="AC381">
        <f>IF(AND(vp.tbl[[#This Row],[CrudeType]]="Crude",vp.tbl[[#This Row],[Dens]]&gt;825,vp.tbl[[#This Row],[Dens]]&lt;=900,vp.tbl[[#This Row],[Sulf]]&lt;=0.5,vp.tbl[[#This Row],[Unknown]]=0),1,0)</f>
        <v>0</v>
      </c>
      <c r="AD381">
        <f>IF(AND(vp.tbl[[#This Row],[CrudeType]]="Crude",vp.tbl[[#This Row],[Dens]]&gt;870,vp.tbl[[#This Row],[Dens]]&lt;=900,vp.tbl[[#This Row],[Sulf]]&gt;0.5,vp.tbl[[#This Row],[Unknown]]=0),1,0)</f>
        <v>0</v>
      </c>
      <c r="AE381">
        <f>IF(AND(vp.tbl[[#This Row],[CrudeType]]="Crude",vp.tbl[[#This Row],[Dens]]&gt;900,vp.tbl[[#This Row],[Sulf]]&lt;=0.5,vp.tbl[[#This Row],[Unknown]]=0),1,0)</f>
        <v>0</v>
      </c>
      <c r="AF381">
        <f>IF(AND(vp.tbl[[#This Row],[CrudeType]]="Crude",vp.tbl[[#This Row],[Dens]]&gt;900,vp.tbl[[#This Row],[Sulf]]&lt;=0.5,vp.tbl[[#This Row],[Unknown]]=0),1,0)</f>
        <v>0</v>
      </c>
      <c r="AG381" t="str">
        <f>INDEX(vp.tbl[[#Headers],[Unknown]:[Heavy_SW]],MATCH(1,vp.tbl[[#This Row],[Unknown]:[Heavy_SW]],0))</f>
        <v>Medium_LSB</v>
      </c>
      <c r="AH381" t="e">
        <f>INDEX([1]!crudeBD.lkup[Number],MATCH(vp.tbl[[#This Row],[Crude_Breakdown]],[1]!crudeBD.lkup[Crude Breakdown],0))</f>
        <v>#REF!</v>
      </c>
      <c r="AI381">
        <f>MONTH(vp.tbl[[#This Row],[SDate]])</f>
        <v>12</v>
      </c>
      <c r="AJ381" s="5">
        <f>IFERROR(vp.tbl[[#This Row],[Sulf]]*vp.tbl[[#This Row],[Net Dens]],"")</f>
        <v>14909648.952000879</v>
      </c>
      <c r="AK381" s="5">
        <f>IFERROR(vp.tbl[[#This Row],[Dens]]*vp.tbl[[#This Row],[VolumeM3]],"")</f>
        <v>6357354.3879999993</v>
      </c>
      <c r="AL381" s="5">
        <f>IFERROR(vp.tbl[[#This Row],[VP]]*vp.tbl[[#This Row],[VolumeM3]],"")</f>
        <v>542718.84809999994</v>
      </c>
      <c r="AM381" s="4">
        <f>IFERROR((vp.tbl[[#This Row],[VP]]-INDEX(crudeBD.lkup.complete[Mean_VP],MATCH(vp.tbl[[#This Row],[Crude_Breakdown]],crudeBD.lkup.complete[Crude Breakdown],0)))^2,"")</f>
        <v>36.888555455215133</v>
      </c>
      <c r="AN381" s="4">
        <f>IFERROR((vp.tbl[[#This Row],[Dens]]-INDEX(crudeBD.lkup.complete[Mean_Dens],MATCH(vp.tbl[[#This Row],[Crude_Breakdown]],crudeBD.lkup.complete[Crude Breakdown],0)))^2,"")</f>
        <v>515.66131243651319</v>
      </c>
      <c r="AO381" s="4">
        <f>IFERROR((vp.tbl[[#This Row],[Sulf]]-INDEX(crudeBD.lkup.complete[Mean_Sulf],MATCH(vp.tbl[[#This Row],[Crude_Breakdown]],crudeBD.lkup.complete[Crude Breakdown],0)))^2,"")</f>
        <v>0.79268775684001702</v>
      </c>
      <c r="AP381">
        <f>IF(AND(vp.tbl[[#This Row],[SDate]]&gt;=DATE(YEAR(vp.tbl[[#This Row],[SDate]]),5,1),vp.tbl[[#This Row],[SDate]]&lt;=DATE(YEAR(vp.tbl[[#This Row],[SDate]]),9,15)),1,0)</f>
        <v>0</v>
      </c>
      <c r="AQ381" s="15">
        <f>IF(vp.tbl[[#This Row],[SDate]]&lt;DATE(2016,12,1),0,1)</f>
        <v>1</v>
      </c>
    </row>
    <row r="382" spans="1:43" x14ac:dyDescent="0.25">
      <c r="A382">
        <v>381</v>
      </c>
      <c r="B382" t="s">
        <v>49</v>
      </c>
      <c r="C382" t="s">
        <v>49</v>
      </c>
      <c r="D382" t="s">
        <v>78</v>
      </c>
      <c r="F382" s="1">
        <v>42712</v>
      </c>
      <c r="G382" s="2">
        <v>112</v>
      </c>
      <c r="H382" s="2">
        <v>0.28571000000000002</v>
      </c>
      <c r="I382" s="2">
        <v>0.28571000000000002</v>
      </c>
      <c r="J382" s="2">
        <v>-1.5</v>
      </c>
      <c r="K382" s="2">
        <v>-25</v>
      </c>
      <c r="L382" s="2">
        <v>804</v>
      </c>
      <c r="M382" s="2">
        <v>804</v>
      </c>
      <c r="N382" s="2">
        <f ca="1">INDEX(INDIRECT(_xlfn.CONCAT("weather.tbl[",N$1,"]")),MATCH(vp.tbl[[#This Row],[SDate]],weather.tbl[Date],0))</f>
        <v>-21.183333333333334</v>
      </c>
      <c r="O382" s="2">
        <f ca="1">INDEX(INDIRECT(_xlfn.CONCAT("weather.tbl[",O$1,"]")),MATCH(vp.tbl[[#This Row],[SDate]],weather.tbl[Date],0))</f>
        <v>-10.37857142857143</v>
      </c>
      <c r="P382" s="2">
        <f ca="1">INDEX(INDIRECT(_xlfn.CONCAT("weather.tbl[",P$1,"]")),MATCH(vp.tbl[[#This Row],[SDate]],weather.tbl[Date],0))</f>
        <v>-22.7</v>
      </c>
      <c r="Q382" s="2">
        <f ca="1">INDEX(INDIRECT(_xlfn.CONCAT("weather.tbl[",Q$1,"]")),MATCH(vp.tbl[[#This Row],[SDate]],weather.tbl[Date],0))</f>
        <v>-23.3</v>
      </c>
      <c r="R382" s="2">
        <f ca="1">INDEX(INDIRECT(_xlfn.CONCAT("weather.tbl[",R$1,"]")),MATCH(vp.tbl[[#This Row],[SDate]],weather.tbl[Date],0))</f>
        <v>-20.5</v>
      </c>
      <c r="S382" s="2">
        <f ca="1">INDEX(INDIRECT(_xlfn.CONCAT("weather.tbl[",S$1,"]")),MATCH(vp.tbl[[#This Row],[SDate]],weather.tbl[Date],0))</f>
        <v>-20.5</v>
      </c>
      <c r="T382" s="2">
        <f ca="1">INDEX(INDIRECT(_xlfn.CONCAT("weather.tbl[",T$1,"]")),MATCH(vp.tbl[[#This Row],[SDate]],weather.tbl[Date],0))</f>
        <v>-20.3</v>
      </c>
      <c r="U382" s="2">
        <f ca="1">INDEX(INDIRECT(_xlfn.CONCAT("weather.tbl[",U$1,"]")),MATCH(vp.tbl[[#This Row],[SDate]],weather.tbl[Date],0))</f>
        <v>-19.8</v>
      </c>
      <c r="V382" s="2">
        <v>15481.353999999999</v>
      </c>
      <c r="W382" t="s">
        <v>48</v>
      </c>
      <c r="X382">
        <f>IF(OR(vp.tbl[[#This Row],[Sulf]]="",vp.tbl[[#This Row],[Dens]]=""),1,0)</f>
        <v>0</v>
      </c>
      <c r="Y382">
        <f>IF(vp.tbl[[#This Row],[CrudeType]]="C5+",1,0)</f>
        <v>0</v>
      </c>
      <c r="Z382">
        <f>IF(AND(vp.tbl[[#This Row],[CrudeType]]="Crude",vp.tbl[[#This Row],[Dens]]&lt;=825,vp.tbl[[#This Row],[Sulf]]&gt;0.5,vp.tbl[[#This Row],[Unknown]]=0),1,0)</f>
        <v>0</v>
      </c>
      <c r="AA382">
        <f>IF(AND(vp.tbl[[#This Row],[CrudeType]]="Crude",vp.tbl[[#This Row],[Dens]]&lt;=825,vp.tbl[[#This Row],[Sulf]]&lt;=0.5,vp.tbl[[#This Row],[Unknown]]=0),1,0)</f>
        <v>1</v>
      </c>
      <c r="AB382">
        <f>IF(AND(vp.tbl[[#This Row],[CrudeType]]="Crude",vp.tbl[[#This Row],[Dens]]&gt;825,vp.tbl[[#This Row],[Dens]]&lt;=870,vp.tbl[[#This Row],[Sulf]]&gt;0.5,vp.tbl[[#This Row],[Unknown]]=0),1,0)</f>
        <v>0</v>
      </c>
      <c r="AC382">
        <f>IF(AND(vp.tbl[[#This Row],[CrudeType]]="Crude",vp.tbl[[#This Row],[Dens]]&gt;825,vp.tbl[[#This Row],[Dens]]&lt;=900,vp.tbl[[#This Row],[Sulf]]&lt;=0.5,vp.tbl[[#This Row],[Unknown]]=0),1,0)</f>
        <v>0</v>
      </c>
      <c r="AD382">
        <f>IF(AND(vp.tbl[[#This Row],[CrudeType]]="Crude",vp.tbl[[#This Row],[Dens]]&gt;870,vp.tbl[[#This Row],[Dens]]&lt;=900,vp.tbl[[#This Row],[Sulf]]&gt;0.5,vp.tbl[[#This Row],[Unknown]]=0),1,0)</f>
        <v>0</v>
      </c>
      <c r="AE382">
        <f>IF(AND(vp.tbl[[#This Row],[CrudeType]]="Crude",vp.tbl[[#This Row],[Dens]]&gt;900,vp.tbl[[#This Row],[Sulf]]&lt;=0.5,vp.tbl[[#This Row],[Unknown]]=0),1,0)</f>
        <v>0</v>
      </c>
      <c r="AF382">
        <f>IF(AND(vp.tbl[[#This Row],[CrudeType]]="Crude",vp.tbl[[#This Row],[Dens]]&gt;900,vp.tbl[[#This Row],[Sulf]]&lt;=0.5,vp.tbl[[#This Row],[Unknown]]=0),1,0)</f>
        <v>0</v>
      </c>
      <c r="AG382" t="str">
        <f>INDEX(vp.tbl[[#Headers],[Unknown]:[Heavy_SW]],MATCH(1,vp.tbl[[#This Row],[Unknown]:[Heavy_SW]],0))</f>
        <v>Light_SW</v>
      </c>
      <c r="AH382" t="e">
        <f>INDEX([1]!crudeBD.lkup[Number],MATCH(vp.tbl[[#This Row],[Crude_Breakdown]],[1]!crudeBD.lkup[Crude Breakdown],0))</f>
        <v>#REF!</v>
      </c>
      <c r="AI382">
        <f>MONTH(vp.tbl[[#This Row],[SDate]])</f>
        <v>12</v>
      </c>
      <c r="AJ382" s="5">
        <f>IFERROR(vp.tbl[[#This Row],[Sulf]]*vp.tbl[[#This Row],[Net Dens]],"")</f>
        <v>3556234.8316773605</v>
      </c>
      <c r="AK382" s="5">
        <f>IFERROR(vp.tbl[[#This Row],[Dens]]*vp.tbl[[#This Row],[VolumeM3]],"")</f>
        <v>12447008.616</v>
      </c>
      <c r="AL382" s="5">
        <f>IFERROR(vp.tbl[[#This Row],[VP]]*vp.tbl[[#This Row],[VolumeM3]],"")</f>
        <v>1733911.648</v>
      </c>
      <c r="AM382" s="4">
        <f>IFERROR((vp.tbl[[#This Row],[VP]]-INDEX(crudeBD.lkup.complete[Mean_VP],MATCH(vp.tbl[[#This Row],[Crude_Breakdown]],crudeBD.lkup.complete[Crude Breakdown],0)))^2,"")</f>
        <v>378.29030149206733</v>
      </c>
      <c r="AN382" s="4">
        <f>IFERROR((vp.tbl[[#This Row],[Dens]]-INDEX(crudeBD.lkup.complete[Mean_Dens],MATCH(vp.tbl[[#This Row],[Crude_Breakdown]],crudeBD.lkup.complete[Crude Breakdown],0)))^2,"")</f>
        <v>18.589017227353068</v>
      </c>
      <c r="AO382" s="4">
        <f>IFERROR((vp.tbl[[#This Row],[Sulf]]-INDEX(crudeBD.lkup.complete[Mean_Sulf],MATCH(vp.tbl[[#This Row],[Crude_Breakdown]],crudeBD.lkup.complete[Crude Breakdown],0)))^2,"")</f>
        <v>2.4471016391713072E-3</v>
      </c>
      <c r="AP382">
        <f>IF(AND(vp.tbl[[#This Row],[SDate]]&gt;=DATE(YEAR(vp.tbl[[#This Row],[SDate]]),5,1),vp.tbl[[#This Row],[SDate]]&lt;=DATE(YEAR(vp.tbl[[#This Row],[SDate]]),9,15)),1,0)</f>
        <v>0</v>
      </c>
      <c r="AQ382" s="15">
        <f>IF(vp.tbl[[#This Row],[SDate]]&lt;DATE(2016,12,1),0,1)</f>
        <v>1</v>
      </c>
    </row>
    <row r="383" spans="1:43" x14ac:dyDescent="0.25">
      <c r="A383">
        <v>382</v>
      </c>
      <c r="B383" t="s">
        <v>49</v>
      </c>
      <c r="C383" t="s">
        <v>49</v>
      </c>
      <c r="D383" t="s">
        <v>92</v>
      </c>
      <c r="F383" s="1">
        <v>42712</v>
      </c>
      <c r="G383" s="2">
        <v>102.9</v>
      </c>
      <c r="H383" s="2">
        <v>0.39244000000000001</v>
      </c>
      <c r="I383" s="2">
        <v>0.39244000000000001</v>
      </c>
      <c r="J383" s="2">
        <v>7</v>
      </c>
      <c r="K383" s="2">
        <v>-25</v>
      </c>
      <c r="L383" s="2">
        <v>819</v>
      </c>
      <c r="M383" s="2">
        <v>819</v>
      </c>
      <c r="N383" s="2">
        <f ca="1">INDEX(INDIRECT(_xlfn.CONCAT("weather.tbl[",N$1,"]")),MATCH(vp.tbl[[#This Row],[SDate]],weather.tbl[Date],0))</f>
        <v>-21.183333333333334</v>
      </c>
      <c r="O383" s="2">
        <f ca="1">INDEX(INDIRECT(_xlfn.CONCAT("weather.tbl[",O$1,"]")),MATCH(vp.tbl[[#This Row],[SDate]],weather.tbl[Date],0))</f>
        <v>-10.37857142857143</v>
      </c>
      <c r="P383" s="2">
        <f ca="1">INDEX(INDIRECT(_xlfn.CONCAT("weather.tbl[",P$1,"]")),MATCH(vp.tbl[[#This Row],[SDate]],weather.tbl[Date],0))</f>
        <v>-22.7</v>
      </c>
      <c r="Q383" s="2">
        <f ca="1">INDEX(INDIRECT(_xlfn.CONCAT("weather.tbl[",Q$1,"]")),MATCH(vp.tbl[[#This Row],[SDate]],weather.tbl[Date],0))</f>
        <v>-23.3</v>
      </c>
      <c r="R383" s="2">
        <f ca="1">INDEX(INDIRECT(_xlfn.CONCAT("weather.tbl[",R$1,"]")),MATCH(vp.tbl[[#This Row],[SDate]],weather.tbl[Date],0))</f>
        <v>-20.5</v>
      </c>
      <c r="S383" s="2">
        <f ca="1">INDEX(INDIRECT(_xlfn.CONCAT("weather.tbl[",S$1,"]")),MATCH(vp.tbl[[#This Row],[SDate]],weather.tbl[Date],0))</f>
        <v>-20.5</v>
      </c>
      <c r="T383" s="2">
        <f ca="1">INDEX(INDIRECT(_xlfn.CONCAT("weather.tbl[",T$1,"]")),MATCH(vp.tbl[[#This Row],[SDate]],weather.tbl[Date],0))</f>
        <v>-20.3</v>
      </c>
      <c r="U383" s="2">
        <f ca="1">INDEX(INDIRECT(_xlfn.CONCAT("weather.tbl[",U$1,"]")),MATCH(vp.tbl[[#This Row],[SDate]],weather.tbl[Date],0))</f>
        <v>-19.8</v>
      </c>
      <c r="V383" s="2">
        <v>21171.823</v>
      </c>
      <c r="W383" t="s">
        <v>48</v>
      </c>
      <c r="X383">
        <f>IF(OR(vp.tbl[[#This Row],[Sulf]]="",vp.tbl[[#This Row],[Dens]]=""),1,0)</f>
        <v>0</v>
      </c>
      <c r="Y383">
        <f>IF(vp.tbl[[#This Row],[CrudeType]]="C5+",1,0)</f>
        <v>0</v>
      </c>
      <c r="Z383">
        <f>IF(AND(vp.tbl[[#This Row],[CrudeType]]="Crude",vp.tbl[[#This Row],[Dens]]&lt;=825,vp.tbl[[#This Row],[Sulf]]&gt;0.5,vp.tbl[[#This Row],[Unknown]]=0),1,0)</f>
        <v>0</v>
      </c>
      <c r="AA383">
        <f>IF(AND(vp.tbl[[#This Row],[CrudeType]]="Crude",vp.tbl[[#This Row],[Dens]]&lt;=825,vp.tbl[[#This Row],[Sulf]]&lt;=0.5,vp.tbl[[#This Row],[Unknown]]=0),1,0)</f>
        <v>1</v>
      </c>
      <c r="AB383">
        <f>IF(AND(vp.tbl[[#This Row],[CrudeType]]="Crude",vp.tbl[[#This Row],[Dens]]&gt;825,vp.tbl[[#This Row],[Dens]]&lt;=870,vp.tbl[[#This Row],[Sulf]]&gt;0.5,vp.tbl[[#This Row],[Unknown]]=0),1,0)</f>
        <v>0</v>
      </c>
      <c r="AC383">
        <f>IF(AND(vp.tbl[[#This Row],[CrudeType]]="Crude",vp.tbl[[#This Row],[Dens]]&gt;825,vp.tbl[[#This Row],[Dens]]&lt;=900,vp.tbl[[#This Row],[Sulf]]&lt;=0.5,vp.tbl[[#This Row],[Unknown]]=0),1,0)</f>
        <v>0</v>
      </c>
      <c r="AD383">
        <f>IF(AND(vp.tbl[[#This Row],[CrudeType]]="Crude",vp.tbl[[#This Row],[Dens]]&gt;870,vp.tbl[[#This Row],[Dens]]&lt;=900,vp.tbl[[#This Row],[Sulf]]&gt;0.5,vp.tbl[[#This Row],[Unknown]]=0),1,0)</f>
        <v>0</v>
      </c>
      <c r="AE383">
        <f>IF(AND(vp.tbl[[#This Row],[CrudeType]]="Crude",vp.tbl[[#This Row],[Dens]]&gt;900,vp.tbl[[#This Row],[Sulf]]&lt;=0.5,vp.tbl[[#This Row],[Unknown]]=0),1,0)</f>
        <v>0</v>
      </c>
      <c r="AF383">
        <f>IF(AND(vp.tbl[[#This Row],[CrudeType]]="Crude",vp.tbl[[#This Row],[Dens]]&gt;900,vp.tbl[[#This Row],[Sulf]]&lt;=0.5,vp.tbl[[#This Row],[Unknown]]=0),1,0)</f>
        <v>0</v>
      </c>
      <c r="AG383" t="str">
        <f>INDEX(vp.tbl[[#Headers],[Unknown]:[Heavy_SW]],MATCH(1,vp.tbl[[#This Row],[Unknown]:[Heavy_SW]],0))</f>
        <v>Light_SW</v>
      </c>
      <c r="AH383" t="e">
        <f>INDEX([1]!crudeBD.lkup[Number],MATCH(vp.tbl[[#This Row],[Crude_Breakdown]],[1]!crudeBD.lkup[Crude Breakdown],0))</f>
        <v>#REF!</v>
      </c>
      <c r="AI383">
        <f>MONTH(vp.tbl[[#This Row],[SDate]])</f>
        <v>12</v>
      </c>
      <c r="AJ383" s="5">
        <f>IFERROR(vp.tbl[[#This Row],[Sulf]]*vp.tbl[[#This Row],[Net Dens]],"")</f>
        <v>6804800.9086402804</v>
      </c>
      <c r="AK383" s="5">
        <f>IFERROR(vp.tbl[[#This Row],[Dens]]*vp.tbl[[#This Row],[VolumeM3]],"")</f>
        <v>17339723.037</v>
      </c>
      <c r="AL383" s="5">
        <f>IFERROR(vp.tbl[[#This Row],[VP]]*vp.tbl[[#This Row],[VolumeM3]],"")</f>
        <v>2178580.5867000003</v>
      </c>
      <c r="AM383" s="4">
        <f>IFERROR((vp.tbl[[#This Row],[VP]]-INDEX(crudeBD.lkup.complete[Mean_VP],MATCH(vp.tbl[[#This Row],[Crude_Breakdown]],crudeBD.lkup.complete[Crude Breakdown],0)))^2,"")</f>
        <v>107.11600880914008</v>
      </c>
      <c r="AN383" s="4">
        <f>IFERROR((vp.tbl[[#This Row],[Dens]]-INDEX(crudeBD.lkup.complete[Mean_Dens],MATCH(vp.tbl[[#This Row],[Crude_Breakdown]],crudeBD.lkup.complete[Crude Breakdown],0)))^2,"")</f>
        <v>114.24406949216798</v>
      </c>
      <c r="AO383" s="4">
        <f>IFERROR((vp.tbl[[#This Row],[Sulf]]-INDEX(crudeBD.lkup.complete[Mean_Sulf],MATCH(vp.tbl[[#This Row],[Crude_Breakdown]],crudeBD.lkup.complete[Crude Breakdown],0)))^2,"")</f>
        <v>2.4397873982376916E-2</v>
      </c>
      <c r="AP383">
        <f>IF(AND(vp.tbl[[#This Row],[SDate]]&gt;=DATE(YEAR(vp.tbl[[#This Row],[SDate]]),5,1),vp.tbl[[#This Row],[SDate]]&lt;=DATE(YEAR(vp.tbl[[#This Row],[SDate]]),9,15)),1,0)</f>
        <v>0</v>
      </c>
      <c r="AQ383" s="15">
        <f>IF(vp.tbl[[#This Row],[SDate]]&lt;DATE(2016,12,1),0,1)</f>
        <v>1</v>
      </c>
    </row>
    <row r="384" spans="1:43" x14ac:dyDescent="0.25">
      <c r="A384">
        <v>383</v>
      </c>
      <c r="B384" t="s">
        <v>51</v>
      </c>
      <c r="C384" t="s">
        <v>51</v>
      </c>
      <c r="D384" t="s">
        <v>58</v>
      </c>
      <c r="F384" s="1">
        <v>42712</v>
      </c>
      <c r="G384" s="2">
        <v>89.2</v>
      </c>
      <c r="H384" s="2">
        <v>1.5316399999999999</v>
      </c>
      <c r="I384" s="2">
        <v>1.5316399999999999</v>
      </c>
      <c r="J384" s="2">
        <v>21.7</v>
      </c>
      <c r="K384" s="2">
        <v>-25</v>
      </c>
      <c r="L384" s="2">
        <v>854.9</v>
      </c>
      <c r="M384" s="2">
        <v>854.9</v>
      </c>
      <c r="N384" s="2">
        <f ca="1">INDEX(INDIRECT(_xlfn.CONCAT("weather.tbl[",N$1,"]")),MATCH(vp.tbl[[#This Row],[SDate]],weather.tbl[Date],0))</f>
        <v>-21.183333333333334</v>
      </c>
      <c r="O384" s="2">
        <f ca="1">INDEX(INDIRECT(_xlfn.CONCAT("weather.tbl[",O$1,"]")),MATCH(vp.tbl[[#This Row],[SDate]],weather.tbl[Date],0))</f>
        <v>-10.37857142857143</v>
      </c>
      <c r="P384" s="2">
        <f ca="1">INDEX(INDIRECT(_xlfn.CONCAT("weather.tbl[",P$1,"]")),MATCH(vp.tbl[[#This Row],[SDate]],weather.tbl[Date],0))</f>
        <v>-22.7</v>
      </c>
      <c r="Q384" s="2">
        <f ca="1">INDEX(INDIRECT(_xlfn.CONCAT("weather.tbl[",Q$1,"]")),MATCH(vp.tbl[[#This Row],[SDate]],weather.tbl[Date],0))</f>
        <v>-23.3</v>
      </c>
      <c r="R384" s="2">
        <f ca="1">INDEX(INDIRECT(_xlfn.CONCAT("weather.tbl[",R$1,"]")),MATCH(vp.tbl[[#This Row],[SDate]],weather.tbl[Date],0))</f>
        <v>-20.5</v>
      </c>
      <c r="S384" s="2">
        <f ca="1">INDEX(INDIRECT(_xlfn.CONCAT("weather.tbl[",S$1,"]")),MATCH(vp.tbl[[#This Row],[SDate]],weather.tbl[Date],0))</f>
        <v>-20.5</v>
      </c>
      <c r="T384" s="2">
        <f ca="1">INDEX(INDIRECT(_xlfn.CONCAT("weather.tbl[",T$1,"]")),MATCH(vp.tbl[[#This Row],[SDate]],weather.tbl[Date],0))</f>
        <v>-20.3</v>
      </c>
      <c r="U384" s="2">
        <f ca="1">INDEX(INDIRECT(_xlfn.CONCAT("weather.tbl[",U$1,"]")),MATCH(vp.tbl[[#This Row],[SDate]],weather.tbl[Date],0))</f>
        <v>-19.8</v>
      </c>
      <c r="V384" s="2">
        <v>5257.84</v>
      </c>
      <c r="W384" t="s">
        <v>48</v>
      </c>
      <c r="X384">
        <f>IF(OR(vp.tbl[[#This Row],[Sulf]]="",vp.tbl[[#This Row],[Dens]]=""),1,0)</f>
        <v>0</v>
      </c>
      <c r="Y384">
        <f>IF(vp.tbl[[#This Row],[CrudeType]]="C5+",1,0)</f>
        <v>0</v>
      </c>
      <c r="Z384">
        <f>IF(AND(vp.tbl[[#This Row],[CrudeType]]="Crude",vp.tbl[[#This Row],[Dens]]&lt;=825,vp.tbl[[#This Row],[Sulf]]&gt;0.5,vp.tbl[[#This Row],[Unknown]]=0),1,0)</f>
        <v>0</v>
      </c>
      <c r="AA384">
        <f>IF(AND(vp.tbl[[#This Row],[CrudeType]]="Crude",vp.tbl[[#This Row],[Dens]]&lt;=825,vp.tbl[[#This Row],[Sulf]]&lt;=0.5,vp.tbl[[#This Row],[Unknown]]=0),1,0)</f>
        <v>0</v>
      </c>
      <c r="AB384">
        <f>IF(AND(vp.tbl[[#This Row],[CrudeType]]="Crude",vp.tbl[[#This Row],[Dens]]&gt;825,vp.tbl[[#This Row],[Dens]]&lt;=870,vp.tbl[[#This Row],[Sulf]]&gt;0.5,vp.tbl[[#This Row],[Unknown]]=0),1,0)</f>
        <v>1</v>
      </c>
      <c r="AC384">
        <f>IF(AND(vp.tbl[[#This Row],[CrudeType]]="Crude",vp.tbl[[#This Row],[Dens]]&gt;825,vp.tbl[[#This Row],[Dens]]&lt;=900,vp.tbl[[#This Row],[Sulf]]&lt;=0.5,vp.tbl[[#This Row],[Unknown]]=0),1,0)</f>
        <v>0</v>
      </c>
      <c r="AD384">
        <f>IF(AND(vp.tbl[[#This Row],[CrudeType]]="Crude",vp.tbl[[#This Row],[Dens]]&gt;870,vp.tbl[[#This Row],[Dens]]&lt;=900,vp.tbl[[#This Row],[Sulf]]&gt;0.5,vp.tbl[[#This Row],[Unknown]]=0),1,0)</f>
        <v>0</v>
      </c>
      <c r="AE384">
        <f>IF(AND(vp.tbl[[#This Row],[CrudeType]]="Crude",vp.tbl[[#This Row],[Dens]]&gt;900,vp.tbl[[#This Row],[Sulf]]&lt;=0.5,vp.tbl[[#This Row],[Unknown]]=0),1,0)</f>
        <v>0</v>
      </c>
      <c r="AF384">
        <f>IF(AND(vp.tbl[[#This Row],[CrudeType]]="Crude",vp.tbl[[#This Row],[Dens]]&gt;900,vp.tbl[[#This Row],[Sulf]]&lt;=0.5,vp.tbl[[#This Row],[Unknown]]=0),1,0)</f>
        <v>0</v>
      </c>
      <c r="AG384" t="str">
        <f>INDEX(vp.tbl[[#Headers],[Unknown]:[Heavy_SW]],MATCH(1,vp.tbl[[#This Row],[Unknown]:[Heavy_SW]],0))</f>
        <v>Medium_LSB</v>
      </c>
      <c r="AH384" t="e">
        <f>INDEX([1]!crudeBD.lkup[Number],MATCH(vp.tbl[[#This Row],[Crude_Breakdown]],[1]!crudeBD.lkup[Crude Breakdown],0))</f>
        <v>#REF!</v>
      </c>
      <c r="AI384">
        <f>MONTH(vp.tbl[[#This Row],[SDate]])</f>
        <v>12</v>
      </c>
      <c r="AJ384" s="5">
        <f>IFERROR(vp.tbl[[#This Row],[Sulf]]*vp.tbl[[#This Row],[Net Dens]],"")</f>
        <v>6884610.6274422398</v>
      </c>
      <c r="AK384" s="5">
        <f>IFERROR(vp.tbl[[#This Row],[Dens]]*vp.tbl[[#This Row],[VolumeM3]],"")</f>
        <v>4494927.4160000002</v>
      </c>
      <c r="AL384" s="5">
        <f>IFERROR(vp.tbl[[#This Row],[VP]]*vp.tbl[[#This Row],[VolumeM3]],"")</f>
        <v>468999.32800000004</v>
      </c>
      <c r="AM384" s="4">
        <f>IFERROR((vp.tbl[[#This Row],[VP]]-INDEX(crudeBD.lkup.complete[Mean_VP],MATCH(vp.tbl[[#This Row],[Crude_Breakdown]],crudeBD.lkup.complete[Crude Breakdown],0)))^2,"")</f>
        <v>81.475988366608632</v>
      </c>
      <c r="AN384" s="4">
        <f>IFERROR((vp.tbl[[#This Row],[Dens]]-INDEX(crudeBD.lkup.complete[Mean_Dens],MATCH(vp.tbl[[#This Row],[Crude_Breakdown]],crudeBD.lkup.complete[Crude Breakdown],0)))^2,"")</f>
        <v>92.317069398512317</v>
      </c>
      <c r="AO384" s="4">
        <f>IFERROR((vp.tbl[[#This Row],[Sulf]]-INDEX(crudeBD.lkup.complete[Mean_Sulf],MATCH(vp.tbl[[#This Row],[Crude_Breakdown]],crudeBD.lkup.complete[Crude Breakdown],0)))^2,"")</f>
        <v>5.884445462297625E-3</v>
      </c>
      <c r="AP384">
        <f>IF(AND(vp.tbl[[#This Row],[SDate]]&gt;=DATE(YEAR(vp.tbl[[#This Row],[SDate]]),5,1),vp.tbl[[#This Row],[SDate]]&lt;=DATE(YEAR(vp.tbl[[#This Row],[SDate]]),9,15)),1,0)</f>
        <v>0</v>
      </c>
      <c r="AQ384" s="15">
        <f>IF(vp.tbl[[#This Row],[SDate]]&lt;DATE(2016,12,1),0,1)</f>
        <v>1</v>
      </c>
    </row>
    <row r="385" spans="1:43" x14ac:dyDescent="0.25">
      <c r="A385">
        <v>384</v>
      </c>
      <c r="B385" t="s">
        <v>56</v>
      </c>
      <c r="C385" t="s">
        <v>56</v>
      </c>
      <c r="D385" t="s">
        <v>57</v>
      </c>
      <c r="F385" s="1">
        <v>42712</v>
      </c>
      <c r="G385" s="2">
        <v>116.4</v>
      </c>
      <c r="H385" s="2">
        <v>1.7058899999999999</v>
      </c>
      <c r="I385" s="2">
        <v>1.7058899999999999</v>
      </c>
      <c r="J385" s="2">
        <v>5.6</v>
      </c>
      <c r="K385" s="2">
        <v>-25</v>
      </c>
      <c r="L385" s="2">
        <v>846.4</v>
      </c>
      <c r="M385" s="2">
        <v>846.4</v>
      </c>
      <c r="N385" s="2">
        <f ca="1">INDEX(INDIRECT(_xlfn.CONCAT("weather.tbl[",N$1,"]")),MATCH(vp.tbl[[#This Row],[SDate]],weather.tbl[Date],0))</f>
        <v>-21.183333333333334</v>
      </c>
      <c r="O385" s="2">
        <f ca="1">INDEX(INDIRECT(_xlfn.CONCAT("weather.tbl[",O$1,"]")),MATCH(vp.tbl[[#This Row],[SDate]],weather.tbl[Date],0))</f>
        <v>-10.37857142857143</v>
      </c>
      <c r="P385" s="2">
        <f ca="1">INDEX(INDIRECT(_xlfn.CONCAT("weather.tbl[",P$1,"]")),MATCH(vp.tbl[[#This Row],[SDate]],weather.tbl[Date],0))</f>
        <v>-22.7</v>
      </c>
      <c r="Q385" s="2">
        <f ca="1">INDEX(INDIRECT(_xlfn.CONCAT("weather.tbl[",Q$1,"]")),MATCH(vp.tbl[[#This Row],[SDate]],weather.tbl[Date],0))</f>
        <v>-23.3</v>
      </c>
      <c r="R385" s="2">
        <f ca="1">INDEX(INDIRECT(_xlfn.CONCAT("weather.tbl[",R$1,"]")),MATCH(vp.tbl[[#This Row],[SDate]],weather.tbl[Date],0))</f>
        <v>-20.5</v>
      </c>
      <c r="S385" s="2">
        <f ca="1">INDEX(INDIRECT(_xlfn.CONCAT("weather.tbl[",S$1,"]")),MATCH(vp.tbl[[#This Row],[SDate]],weather.tbl[Date],0))</f>
        <v>-20.5</v>
      </c>
      <c r="T385" s="2">
        <f ca="1">INDEX(INDIRECT(_xlfn.CONCAT("weather.tbl[",T$1,"]")),MATCH(vp.tbl[[#This Row],[SDate]],weather.tbl[Date],0))</f>
        <v>-20.3</v>
      </c>
      <c r="U385" s="2">
        <f ca="1">INDEX(INDIRECT(_xlfn.CONCAT("weather.tbl[",U$1,"]")),MATCH(vp.tbl[[#This Row],[SDate]],weather.tbl[Date],0))</f>
        <v>-19.8</v>
      </c>
      <c r="V385" s="2">
        <v>3105.3330000000001</v>
      </c>
      <c r="W385" t="s">
        <v>48</v>
      </c>
      <c r="X385">
        <f>IF(OR(vp.tbl[[#This Row],[Sulf]]="",vp.tbl[[#This Row],[Dens]]=""),1,0)</f>
        <v>0</v>
      </c>
      <c r="Y385">
        <f>IF(vp.tbl[[#This Row],[CrudeType]]="C5+",1,0)</f>
        <v>0</v>
      </c>
      <c r="Z385">
        <f>IF(AND(vp.tbl[[#This Row],[CrudeType]]="Crude",vp.tbl[[#This Row],[Dens]]&lt;=825,vp.tbl[[#This Row],[Sulf]]&gt;0.5,vp.tbl[[#This Row],[Unknown]]=0),1,0)</f>
        <v>0</v>
      </c>
      <c r="AA385">
        <f>IF(AND(vp.tbl[[#This Row],[CrudeType]]="Crude",vp.tbl[[#This Row],[Dens]]&lt;=825,vp.tbl[[#This Row],[Sulf]]&lt;=0.5,vp.tbl[[#This Row],[Unknown]]=0),1,0)</f>
        <v>0</v>
      </c>
      <c r="AB385">
        <f>IF(AND(vp.tbl[[#This Row],[CrudeType]]="Crude",vp.tbl[[#This Row],[Dens]]&gt;825,vp.tbl[[#This Row],[Dens]]&lt;=870,vp.tbl[[#This Row],[Sulf]]&gt;0.5,vp.tbl[[#This Row],[Unknown]]=0),1,0)</f>
        <v>1</v>
      </c>
      <c r="AC385">
        <f>IF(AND(vp.tbl[[#This Row],[CrudeType]]="Crude",vp.tbl[[#This Row],[Dens]]&gt;825,vp.tbl[[#This Row],[Dens]]&lt;=900,vp.tbl[[#This Row],[Sulf]]&lt;=0.5,vp.tbl[[#This Row],[Unknown]]=0),1,0)</f>
        <v>0</v>
      </c>
      <c r="AD385">
        <f>IF(AND(vp.tbl[[#This Row],[CrudeType]]="Crude",vp.tbl[[#This Row],[Dens]]&gt;870,vp.tbl[[#This Row],[Dens]]&lt;=900,vp.tbl[[#This Row],[Sulf]]&gt;0.5,vp.tbl[[#This Row],[Unknown]]=0),1,0)</f>
        <v>0</v>
      </c>
      <c r="AE385">
        <f>IF(AND(vp.tbl[[#This Row],[CrudeType]]="Crude",vp.tbl[[#This Row],[Dens]]&gt;900,vp.tbl[[#This Row],[Sulf]]&lt;=0.5,vp.tbl[[#This Row],[Unknown]]=0),1,0)</f>
        <v>0</v>
      </c>
      <c r="AF385">
        <f>IF(AND(vp.tbl[[#This Row],[CrudeType]]="Crude",vp.tbl[[#This Row],[Dens]]&gt;900,vp.tbl[[#This Row],[Sulf]]&lt;=0.5,vp.tbl[[#This Row],[Unknown]]=0),1,0)</f>
        <v>0</v>
      </c>
      <c r="AG385" t="str">
        <f>INDEX(vp.tbl[[#Headers],[Unknown]:[Heavy_SW]],MATCH(1,vp.tbl[[#This Row],[Unknown]:[Heavy_SW]],0))</f>
        <v>Medium_LSB</v>
      </c>
      <c r="AH385" t="e">
        <f>INDEX([1]!crudeBD.lkup[Number],MATCH(vp.tbl[[#This Row],[Crude_Breakdown]],[1]!crudeBD.lkup[Crude Breakdown],0))</f>
        <v>#REF!</v>
      </c>
      <c r="AI385">
        <f>MONTH(vp.tbl[[#This Row],[SDate]])</f>
        <v>12</v>
      </c>
      <c r="AJ385" s="5">
        <f>IFERROR(vp.tbl[[#This Row],[Sulf]]*vp.tbl[[#This Row],[Net Dens]],"")</f>
        <v>4483682.5512235677</v>
      </c>
      <c r="AK385" s="5">
        <f>IFERROR(vp.tbl[[#This Row],[Dens]]*vp.tbl[[#This Row],[VolumeM3]],"")</f>
        <v>2628353.8511999999</v>
      </c>
      <c r="AL385" s="5">
        <f>IFERROR(vp.tbl[[#This Row],[VP]]*vp.tbl[[#This Row],[VolumeM3]],"")</f>
        <v>361460.76120000001</v>
      </c>
      <c r="AM385" s="4">
        <f>IFERROR((vp.tbl[[#This Row],[VP]]-INDEX(crudeBD.lkup.complete[Mean_VP],MATCH(vp.tbl[[#This Row],[Crude_Breakdown]],crudeBD.lkup.complete[Crude Breakdown],0)))^2,"")</f>
        <v>1312.3524238096491</v>
      </c>
      <c r="AN385" s="4">
        <f>IFERROR((vp.tbl[[#This Row],[Dens]]-INDEX(crudeBD.lkup.complete[Mean_Dens],MATCH(vp.tbl[[#This Row],[Crude_Breakdown]],crudeBD.lkup.complete[Crude Breakdown],0)))^2,"")</f>
        <v>1.2280567402681151</v>
      </c>
      <c r="AO385" s="4">
        <f>IFERROR((vp.tbl[[#This Row],[Sulf]]-INDEX(crudeBD.lkup.complete[Mean_Sulf],MATCH(vp.tbl[[#This Row],[Crude_Breakdown]],crudeBD.lkup.complete[Crude Breakdown],0)))^2,"")</f>
        <v>6.2980991487613533E-2</v>
      </c>
      <c r="AP385">
        <f>IF(AND(vp.tbl[[#This Row],[SDate]]&gt;=DATE(YEAR(vp.tbl[[#This Row],[SDate]]),5,1),vp.tbl[[#This Row],[SDate]]&lt;=DATE(YEAR(vp.tbl[[#This Row],[SDate]]),9,15)),1,0)</f>
        <v>0</v>
      </c>
      <c r="AQ385" s="15">
        <f>IF(vp.tbl[[#This Row],[SDate]]&lt;DATE(2016,12,1),0,1)</f>
        <v>1</v>
      </c>
    </row>
    <row r="386" spans="1:43" x14ac:dyDescent="0.25">
      <c r="A386">
        <v>385</v>
      </c>
      <c r="B386" t="s">
        <v>49</v>
      </c>
      <c r="C386" t="s">
        <v>49</v>
      </c>
      <c r="D386" t="s">
        <v>50</v>
      </c>
      <c r="F386" s="1">
        <v>42712</v>
      </c>
      <c r="G386" s="2">
        <v>80.5</v>
      </c>
      <c r="H386" s="2">
        <v>2.88476</v>
      </c>
      <c r="I386" s="2">
        <v>2.88476</v>
      </c>
      <c r="J386" s="2">
        <v>20.5</v>
      </c>
      <c r="K386" s="2">
        <v>-25</v>
      </c>
      <c r="L386" s="2">
        <v>872</v>
      </c>
      <c r="M386" s="2">
        <v>872</v>
      </c>
      <c r="N386" s="2">
        <f ca="1">INDEX(INDIRECT(_xlfn.CONCAT("weather.tbl[",N$1,"]")),MATCH(vp.tbl[[#This Row],[SDate]],weather.tbl[Date],0))</f>
        <v>-21.183333333333334</v>
      </c>
      <c r="O386" s="2">
        <f ca="1">INDEX(INDIRECT(_xlfn.CONCAT("weather.tbl[",O$1,"]")),MATCH(vp.tbl[[#This Row],[SDate]],weather.tbl[Date],0))</f>
        <v>-10.37857142857143</v>
      </c>
      <c r="P386" s="2">
        <f ca="1">INDEX(INDIRECT(_xlfn.CONCAT("weather.tbl[",P$1,"]")),MATCH(vp.tbl[[#This Row],[SDate]],weather.tbl[Date],0))</f>
        <v>-22.7</v>
      </c>
      <c r="Q386" s="2">
        <f ca="1">INDEX(INDIRECT(_xlfn.CONCAT("weather.tbl[",Q$1,"]")),MATCH(vp.tbl[[#This Row],[SDate]],weather.tbl[Date],0))</f>
        <v>-23.3</v>
      </c>
      <c r="R386" s="2">
        <f ca="1">INDEX(INDIRECT(_xlfn.CONCAT("weather.tbl[",R$1,"]")),MATCH(vp.tbl[[#This Row],[SDate]],weather.tbl[Date],0))</f>
        <v>-20.5</v>
      </c>
      <c r="S386" s="2">
        <f ca="1">INDEX(INDIRECT(_xlfn.CONCAT("weather.tbl[",S$1,"]")),MATCH(vp.tbl[[#This Row],[SDate]],weather.tbl[Date],0))</f>
        <v>-20.5</v>
      </c>
      <c r="T386" s="2">
        <f ca="1">INDEX(INDIRECT(_xlfn.CONCAT("weather.tbl[",T$1,"]")),MATCH(vp.tbl[[#This Row],[SDate]],weather.tbl[Date],0))</f>
        <v>-20.3</v>
      </c>
      <c r="U386" s="2">
        <f ca="1">INDEX(INDIRECT(_xlfn.CONCAT("weather.tbl[",U$1,"]")),MATCH(vp.tbl[[#This Row],[SDate]],weather.tbl[Date],0))</f>
        <v>-19.8</v>
      </c>
      <c r="V386" s="2">
        <v>4517.9579999999996</v>
      </c>
      <c r="W386" t="s">
        <v>48</v>
      </c>
      <c r="X386">
        <f>IF(OR(vp.tbl[[#This Row],[Sulf]]="",vp.tbl[[#This Row],[Dens]]=""),1,0)</f>
        <v>0</v>
      </c>
      <c r="Y386">
        <f>IF(vp.tbl[[#This Row],[CrudeType]]="C5+",1,0)</f>
        <v>0</v>
      </c>
      <c r="Z386">
        <f>IF(AND(vp.tbl[[#This Row],[CrudeType]]="Crude",vp.tbl[[#This Row],[Dens]]&lt;=825,vp.tbl[[#This Row],[Sulf]]&gt;0.5,vp.tbl[[#This Row],[Unknown]]=0),1,0)</f>
        <v>0</v>
      </c>
      <c r="AA386">
        <f>IF(AND(vp.tbl[[#This Row],[CrudeType]]="Crude",vp.tbl[[#This Row],[Dens]]&lt;=825,vp.tbl[[#This Row],[Sulf]]&lt;=0.5,vp.tbl[[#This Row],[Unknown]]=0),1,0)</f>
        <v>0</v>
      </c>
      <c r="AB386">
        <f>IF(AND(vp.tbl[[#This Row],[CrudeType]]="Crude",vp.tbl[[#This Row],[Dens]]&gt;825,vp.tbl[[#This Row],[Dens]]&lt;=870,vp.tbl[[#This Row],[Sulf]]&gt;0.5,vp.tbl[[#This Row],[Unknown]]=0),1,0)</f>
        <v>0</v>
      </c>
      <c r="AC386">
        <f>IF(AND(vp.tbl[[#This Row],[CrudeType]]="Crude",vp.tbl[[#This Row],[Dens]]&gt;825,vp.tbl[[#This Row],[Dens]]&lt;=900,vp.tbl[[#This Row],[Sulf]]&lt;=0.5,vp.tbl[[#This Row],[Unknown]]=0),1,0)</f>
        <v>0</v>
      </c>
      <c r="AD386">
        <f>IF(AND(vp.tbl[[#This Row],[CrudeType]]="Crude",vp.tbl[[#This Row],[Dens]]&gt;870,vp.tbl[[#This Row],[Dens]]&lt;=900,vp.tbl[[#This Row],[Sulf]]&gt;0.5,vp.tbl[[#This Row],[Unknown]]=0),1,0)</f>
        <v>1</v>
      </c>
      <c r="AE386">
        <f>IF(AND(vp.tbl[[#This Row],[CrudeType]]="Crude",vp.tbl[[#This Row],[Dens]]&gt;900,vp.tbl[[#This Row],[Sulf]]&lt;=0.5,vp.tbl[[#This Row],[Unknown]]=0),1,0)</f>
        <v>0</v>
      </c>
      <c r="AF386">
        <f>IF(AND(vp.tbl[[#This Row],[CrudeType]]="Crude",vp.tbl[[#This Row],[Dens]]&gt;900,vp.tbl[[#This Row],[Sulf]]&lt;=0.5,vp.tbl[[#This Row],[Unknown]]=0),1,0)</f>
        <v>0</v>
      </c>
      <c r="AG386" t="str">
        <f>INDEX(vp.tbl[[#Headers],[Unknown]:[Heavy_SW]],MATCH(1,vp.tbl[[#This Row],[Unknown]:[Heavy_SW]],0))</f>
        <v>Midale</v>
      </c>
      <c r="AH386" t="e">
        <f>INDEX([1]!crudeBD.lkup[Number],MATCH(vp.tbl[[#This Row],[Crude_Breakdown]],[1]!crudeBD.lkup[Crude Breakdown],0))</f>
        <v>#REF!</v>
      </c>
      <c r="AI386">
        <f>MONTH(vp.tbl[[#This Row],[SDate]])</f>
        <v>12</v>
      </c>
      <c r="AJ386" s="5">
        <f>IFERROR(vp.tbl[[#This Row],[Sulf]]*vp.tbl[[#This Row],[Net Dens]],"")</f>
        <v>11364971.781509759</v>
      </c>
      <c r="AK386" s="5">
        <f>IFERROR(vp.tbl[[#This Row],[Dens]]*vp.tbl[[#This Row],[VolumeM3]],"")</f>
        <v>3939659.3759999997</v>
      </c>
      <c r="AL386" s="5">
        <f>IFERROR(vp.tbl[[#This Row],[VP]]*vp.tbl[[#This Row],[VolumeM3]],"")</f>
        <v>363695.61899999995</v>
      </c>
      <c r="AM386" s="4">
        <f>IFERROR((vp.tbl[[#This Row],[VP]]-INDEX(crudeBD.lkup.complete[Mean_VP],MATCH(vp.tbl[[#This Row],[Crude_Breakdown]],crudeBD.lkup.complete[Crude Breakdown],0)))^2,"")</f>
        <v>150.34790955151027</v>
      </c>
      <c r="AN386" s="4">
        <f>IFERROR((vp.tbl[[#This Row],[Dens]]-INDEX(crudeBD.lkup.complete[Mean_Dens],MATCH(vp.tbl[[#This Row],[Crude_Breakdown]],crudeBD.lkup.complete[Crude Breakdown],0)))^2,"")</f>
        <v>30.825312441355241</v>
      </c>
      <c r="AO386" s="4">
        <f>IFERROR((vp.tbl[[#This Row],[Sulf]]-INDEX(crudeBD.lkup.complete[Mean_Sulf],MATCH(vp.tbl[[#This Row],[Crude_Breakdown]],crudeBD.lkup.complete[Crude Breakdown],0)))^2,"")</f>
        <v>0.22035500779180076</v>
      </c>
      <c r="AP386">
        <f>IF(AND(vp.tbl[[#This Row],[SDate]]&gt;=DATE(YEAR(vp.tbl[[#This Row],[SDate]]),5,1),vp.tbl[[#This Row],[SDate]]&lt;=DATE(YEAR(vp.tbl[[#This Row],[SDate]]),9,15)),1,0)</f>
        <v>0</v>
      </c>
      <c r="AQ386" s="15">
        <f>IF(vp.tbl[[#This Row],[SDate]]&lt;DATE(2016,12,1),0,1)</f>
        <v>1</v>
      </c>
    </row>
    <row r="387" spans="1:43" x14ac:dyDescent="0.25">
      <c r="A387">
        <v>386</v>
      </c>
      <c r="B387" t="s">
        <v>60</v>
      </c>
      <c r="C387" t="s">
        <v>60</v>
      </c>
      <c r="D387" t="s">
        <v>61</v>
      </c>
      <c r="E387" t="s">
        <v>73</v>
      </c>
      <c r="F387" s="1">
        <v>42716</v>
      </c>
      <c r="G387" s="2">
        <v>82</v>
      </c>
      <c r="H387" s="2">
        <v>1.0085500000000001</v>
      </c>
      <c r="I387" s="2">
        <v>1.0085500000000001</v>
      </c>
      <c r="J387" s="2">
        <v>6</v>
      </c>
      <c r="K387" s="2">
        <v>-24</v>
      </c>
      <c r="L387" s="2">
        <v>839.7</v>
      </c>
      <c r="M387" s="2">
        <v>839.7</v>
      </c>
      <c r="N387" s="2">
        <f ca="1">INDEX(INDIRECT(_xlfn.CONCAT("weather.tbl[",N$1,"]")),MATCH(vp.tbl[[#This Row],[SDate]],weather.tbl[Date],0))</f>
        <v>-20.716666666666665</v>
      </c>
      <c r="O387" s="2">
        <f ca="1">INDEX(INDIRECT(_xlfn.CONCAT("weather.tbl[",O$1,"]")),MATCH(vp.tbl[[#This Row],[SDate]],weather.tbl[Date],0))</f>
        <v>-21.040476190476191</v>
      </c>
      <c r="P387" s="2">
        <f ca="1">INDEX(INDIRECT(_xlfn.CONCAT("weather.tbl[",P$1,"]")),MATCH(vp.tbl[[#This Row],[SDate]],weather.tbl[Date],0))</f>
        <v>-21.2</v>
      </c>
      <c r="Q387" s="2">
        <f ca="1">INDEX(INDIRECT(_xlfn.CONCAT("weather.tbl[",Q$1,"]")),MATCH(vp.tbl[[#This Row],[SDate]],weather.tbl[Date],0))</f>
        <v>-19.399999999999999</v>
      </c>
      <c r="R387" s="2">
        <f ca="1">INDEX(INDIRECT(_xlfn.CONCAT("weather.tbl[",R$1,"]")),MATCH(vp.tbl[[#This Row],[SDate]],weather.tbl[Date],0))</f>
        <v>-21.8</v>
      </c>
      <c r="S387" s="2">
        <f ca="1">INDEX(INDIRECT(_xlfn.CONCAT("weather.tbl[",S$1,"]")),MATCH(vp.tbl[[#This Row],[SDate]],weather.tbl[Date],0))</f>
        <v>-19.3</v>
      </c>
      <c r="T387" s="2">
        <f ca="1">INDEX(INDIRECT(_xlfn.CONCAT("weather.tbl[",T$1,"]")),MATCH(vp.tbl[[#This Row],[SDate]],weather.tbl[Date],0))</f>
        <v>-21.1</v>
      </c>
      <c r="U387" s="2">
        <f ca="1">INDEX(INDIRECT(_xlfn.CONCAT("weather.tbl[",U$1,"]")),MATCH(vp.tbl[[#This Row],[SDate]],weather.tbl[Date],0))</f>
        <v>-21.5</v>
      </c>
      <c r="V387" s="2">
        <v>106852.554</v>
      </c>
      <c r="W387" t="s">
        <v>48</v>
      </c>
      <c r="X387">
        <f>IF(OR(vp.tbl[[#This Row],[Sulf]]="",vp.tbl[[#This Row],[Dens]]=""),1,0)</f>
        <v>0</v>
      </c>
      <c r="Y387">
        <f>IF(vp.tbl[[#This Row],[CrudeType]]="C5+",1,0)</f>
        <v>0</v>
      </c>
      <c r="Z387">
        <f>IF(AND(vp.tbl[[#This Row],[CrudeType]]="Crude",vp.tbl[[#This Row],[Dens]]&lt;=825,vp.tbl[[#This Row],[Sulf]]&gt;0.5,vp.tbl[[#This Row],[Unknown]]=0),1,0)</f>
        <v>0</v>
      </c>
      <c r="AA387">
        <f>IF(AND(vp.tbl[[#This Row],[CrudeType]]="Crude",vp.tbl[[#This Row],[Dens]]&lt;=825,vp.tbl[[#This Row],[Sulf]]&lt;=0.5,vp.tbl[[#This Row],[Unknown]]=0),1,0)</f>
        <v>0</v>
      </c>
      <c r="AB387">
        <f>IF(AND(vp.tbl[[#This Row],[CrudeType]]="Crude",vp.tbl[[#This Row],[Dens]]&gt;825,vp.tbl[[#This Row],[Dens]]&lt;=870,vp.tbl[[#This Row],[Sulf]]&gt;0.5,vp.tbl[[#This Row],[Unknown]]=0),1,0)</f>
        <v>1</v>
      </c>
      <c r="AC387">
        <f>IF(AND(vp.tbl[[#This Row],[CrudeType]]="Crude",vp.tbl[[#This Row],[Dens]]&gt;825,vp.tbl[[#This Row],[Dens]]&lt;=900,vp.tbl[[#This Row],[Sulf]]&lt;=0.5,vp.tbl[[#This Row],[Unknown]]=0),1,0)</f>
        <v>0</v>
      </c>
      <c r="AD387">
        <f>IF(AND(vp.tbl[[#This Row],[CrudeType]]="Crude",vp.tbl[[#This Row],[Dens]]&gt;870,vp.tbl[[#This Row],[Dens]]&lt;=900,vp.tbl[[#This Row],[Sulf]]&gt;0.5,vp.tbl[[#This Row],[Unknown]]=0),1,0)</f>
        <v>0</v>
      </c>
      <c r="AE387">
        <f>IF(AND(vp.tbl[[#This Row],[CrudeType]]="Crude",vp.tbl[[#This Row],[Dens]]&gt;900,vp.tbl[[#This Row],[Sulf]]&lt;=0.5,vp.tbl[[#This Row],[Unknown]]=0),1,0)</f>
        <v>0</v>
      </c>
      <c r="AF387">
        <f>IF(AND(vp.tbl[[#This Row],[CrudeType]]="Crude",vp.tbl[[#This Row],[Dens]]&gt;900,vp.tbl[[#This Row],[Sulf]]&lt;=0.5,vp.tbl[[#This Row],[Unknown]]=0),1,0)</f>
        <v>0</v>
      </c>
      <c r="AG387" t="str">
        <f>INDEX(vp.tbl[[#Headers],[Unknown]:[Heavy_SW]],MATCH(1,vp.tbl[[#This Row],[Unknown]:[Heavy_SW]],0))</f>
        <v>Medium_LSB</v>
      </c>
      <c r="AH387" t="e">
        <f>INDEX([1]!crudeBD.lkup[Number],MATCH(vp.tbl[[#This Row],[Crude_Breakdown]],[1]!crudeBD.lkup[Crude Breakdown],0))</f>
        <v>#REF!</v>
      </c>
      <c r="AI387">
        <f>MONTH(vp.tbl[[#This Row],[SDate]])</f>
        <v>12</v>
      </c>
      <c r="AJ387" s="5">
        <f>IFERROR(vp.tbl[[#This Row],[Sulf]]*vp.tbl[[#This Row],[Net Dens]],"")</f>
        <v>90491230.559827</v>
      </c>
      <c r="AK387" s="5">
        <f>IFERROR(vp.tbl[[#This Row],[Dens]]*vp.tbl[[#This Row],[VolumeM3]],"")</f>
        <v>89724089.593800008</v>
      </c>
      <c r="AL387" s="5">
        <f>IFERROR(vp.tbl[[#This Row],[VP]]*vp.tbl[[#This Row],[VolumeM3]],"")</f>
        <v>8761909.4279999994</v>
      </c>
      <c r="AM387" s="4">
        <f>IFERROR((vp.tbl[[#This Row],[VP]]-INDEX(crudeBD.lkup.complete[Mean_VP],MATCH(vp.tbl[[#This Row],[Crude_Breakdown]],crudeBD.lkup.complete[Crude Breakdown],0)))^2,"")</f>
        <v>3.335755455215645</v>
      </c>
      <c r="AN387" s="4">
        <f>IFERROR((vp.tbl[[#This Row],[Dens]]-INDEX(crudeBD.lkup.complete[Mean_Dens],MATCH(vp.tbl[[#This Row],[Crude_Breakdown]],crudeBD.lkup.complete[Crude Breakdown],0)))^2,"")</f>
        <v>31.268482056710159</v>
      </c>
      <c r="AO387" s="4">
        <f>IFERROR((vp.tbl[[#This Row],[Sulf]]-INDEX(crudeBD.lkup.complete[Mean_Sulf],MATCH(vp.tbl[[#This Row],[Crude_Breakdown]],crudeBD.lkup.complete[Crude Breakdown],0)))^2,"")</f>
        <v>0.19925498009166623</v>
      </c>
      <c r="AP387">
        <f>IF(AND(vp.tbl[[#This Row],[SDate]]&gt;=DATE(YEAR(vp.tbl[[#This Row],[SDate]]),5,1),vp.tbl[[#This Row],[SDate]]&lt;=DATE(YEAR(vp.tbl[[#This Row],[SDate]]),9,15)),1,0)</f>
        <v>0</v>
      </c>
      <c r="AQ387" s="15">
        <f>IF(vp.tbl[[#This Row],[SDate]]&lt;DATE(2016,12,1),0,1)</f>
        <v>1</v>
      </c>
    </row>
    <row r="388" spans="1:43" x14ac:dyDescent="0.25">
      <c r="A388">
        <v>387</v>
      </c>
      <c r="B388" t="s">
        <v>62</v>
      </c>
      <c r="C388" t="s">
        <v>62</v>
      </c>
      <c r="D388" t="s">
        <v>87</v>
      </c>
      <c r="F388" s="1">
        <v>42716</v>
      </c>
      <c r="G388" s="2">
        <v>85.9</v>
      </c>
      <c r="H388" s="2">
        <v>0.16916999999999999</v>
      </c>
      <c r="I388" s="2">
        <v>0.16916999999999999</v>
      </c>
      <c r="J388" s="2">
        <v>20.399999999999999</v>
      </c>
      <c r="K388" s="2">
        <v>-24</v>
      </c>
      <c r="L388" s="2">
        <v>812</v>
      </c>
      <c r="M388" s="2">
        <v>812</v>
      </c>
      <c r="N388" s="2">
        <f ca="1">INDEX(INDIRECT(_xlfn.CONCAT("weather.tbl[",N$1,"]")),MATCH(vp.tbl[[#This Row],[SDate]],weather.tbl[Date],0))</f>
        <v>-20.716666666666665</v>
      </c>
      <c r="O388" s="2">
        <f ca="1">INDEX(INDIRECT(_xlfn.CONCAT("weather.tbl[",O$1,"]")),MATCH(vp.tbl[[#This Row],[SDate]],weather.tbl[Date],0))</f>
        <v>-21.040476190476191</v>
      </c>
      <c r="P388" s="2">
        <f ca="1">INDEX(INDIRECT(_xlfn.CONCAT("weather.tbl[",P$1,"]")),MATCH(vp.tbl[[#This Row],[SDate]],weather.tbl[Date],0))</f>
        <v>-21.2</v>
      </c>
      <c r="Q388" s="2">
        <f ca="1">INDEX(INDIRECT(_xlfn.CONCAT("weather.tbl[",Q$1,"]")),MATCH(vp.tbl[[#This Row],[SDate]],weather.tbl[Date],0))</f>
        <v>-19.399999999999999</v>
      </c>
      <c r="R388" s="2">
        <f ca="1">INDEX(INDIRECT(_xlfn.CONCAT("weather.tbl[",R$1,"]")),MATCH(vp.tbl[[#This Row],[SDate]],weather.tbl[Date],0))</f>
        <v>-21.8</v>
      </c>
      <c r="S388" s="2">
        <f ca="1">INDEX(INDIRECT(_xlfn.CONCAT("weather.tbl[",S$1,"]")),MATCH(vp.tbl[[#This Row],[SDate]],weather.tbl[Date],0))</f>
        <v>-19.3</v>
      </c>
      <c r="T388" s="2">
        <f ca="1">INDEX(INDIRECT(_xlfn.CONCAT("weather.tbl[",T$1,"]")),MATCH(vp.tbl[[#This Row],[SDate]],weather.tbl[Date],0))</f>
        <v>-21.1</v>
      </c>
      <c r="U388" s="2">
        <f ca="1">INDEX(INDIRECT(_xlfn.CONCAT("weather.tbl[",U$1,"]")),MATCH(vp.tbl[[#This Row],[SDate]],weather.tbl[Date],0))</f>
        <v>-21.5</v>
      </c>
      <c r="V388" s="2">
        <v>6988.2160000000003</v>
      </c>
      <c r="W388" t="s">
        <v>48</v>
      </c>
      <c r="X388">
        <f>IF(OR(vp.tbl[[#This Row],[Sulf]]="",vp.tbl[[#This Row],[Dens]]=""),1,0)</f>
        <v>0</v>
      </c>
      <c r="Y388">
        <f>IF(vp.tbl[[#This Row],[CrudeType]]="C5+",1,0)</f>
        <v>0</v>
      </c>
      <c r="Z388">
        <f>IF(AND(vp.tbl[[#This Row],[CrudeType]]="Crude",vp.tbl[[#This Row],[Dens]]&lt;=825,vp.tbl[[#This Row],[Sulf]]&gt;0.5,vp.tbl[[#This Row],[Unknown]]=0),1,0)</f>
        <v>0</v>
      </c>
      <c r="AA388">
        <f>IF(AND(vp.tbl[[#This Row],[CrudeType]]="Crude",vp.tbl[[#This Row],[Dens]]&lt;=825,vp.tbl[[#This Row],[Sulf]]&lt;=0.5,vp.tbl[[#This Row],[Unknown]]=0),1,0)</f>
        <v>1</v>
      </c>
      <c r="AB388">
        <f>IF(AND(vp.tbl[[#This Row],[CrudeType]]="Crude",vp.tbl[[#This Row],[Dens]]&gt;825,vp.tbl[[#This Row],[Dens]]&lt;=870,vp.tbl[[#This Row],[Sulf]]&gt;0.5,vp.tbl[[#This Row],[Unknown]]=0),1,0)</f>
        <v>0</v>
      </c>
      <c r="AC388">
        <f>IF(AND(vp.tbl[[#This Row],[CrudeType]]="Crude",vp.tbl[[#This Row],[Dens]]&gt;825,vp.tbl[[#This Row],[Dens]]&lt;=900,vp.tbl[[#This Row],[Sulf]]&lt;=0.5,vp.tbl[[#This Row],[Unknown]]=0),1,0)</f>
        <v>0</v>
      </c>
      <c r="AD388">
        <f>IF(AND(vp.tbl[[#This Row],[CrudeType]]="Crude",vp.tbl[[#This Row],[Dens]]&gt;870,vp.tbl[[#This Row],[Dens]]&lt;=900,vp.tbl[[#This Row],[Sulf]]&gt;0.5,vp.tbl[[#This Row],[Unknown]]=0),1,0)</f>
        <v>0</v>
      </c>
      <c r="AE388">
        <f>IF(AND(vp.tbl[[#This Row],[CrudeType]]="Crude",vp.tbl[[#This Row],[Dens]]&gt;900,vp.tbl[[#This Row],[Sulf]]&lt;=0.5,vp.tbl[[#This Row],[Unknown]]=0),1,0)</f>
        <v>0</v>
      </c>
      <c r="AF388">
        <f>IF(AND(vp.tbl[[#This Row],[CrudeType]]="Crude",vp.tbl[[#This Row],[Dens]]&gt;900,vp.tbl[[#This Row],[Sulf]]&lt;=0.5,vp.tbl[[#This Row],[Unknown]]=0),1,0)</f>
        <v>0</v>
      </c>
      <c r="AG388" t="str">
        <f>INDEX(vp.tbl[[#Headers],[Unknown]:[Heavy_SW]],MATCH(1,vp.tbl[[#This Row],[Unknown]:[Heavy_SW]],0))</f>
        <v>Light_SW</v>
      </c>
      <c r="AH388" t="e">
        <f>INDEX([1]!crudeBD.lkup[Number],MATCH(vp.tbl[[#This Row],[Crude_Breakdown]],[1]!crudeBD.lkup[Crude Breakdown],0))</f>
        <v>#REF!</v>
      </c>
      <c r="AI388">
        <f>MONTH(vp.tbl[[#This Row],[SDate]])</f>
        <v>12</v>
      </c>
      <c r="AJ388" s="5">
        <f>IFERROR(vp.tbl[[#This Row],[Sulf]]*vp.tbl[[#This Row],[Net Dens]],"")</f>
        <v>959943.55858463992</v>
      </c>
      <c r="AK388" s="5">
        <f>IFERROR(vp.tbl[[#This Row],[Dens]]*vp.tbl[[#This Row],[VolumeM3]],"")</f>
        <v>5674431.392</v>
      </c>
      <c r="AL388" s="5">
        <f>IFERROR(vp.tbl[[#This Row],[VP]]*vp.tbl[[#This Row],[VolumeM3]],"")</f>
        <v>600287.75440000009</v>
      </c>
      <c r="AM388" s="4">
        <f>IFERROR((vp.tbl[[#This Row],[VP]]-INDEX(crudeBD.lkup.complete[Mean_VP],MATCH(vp.tbl[[#This Row],[Crude_Breakdown]],crudeBD.lkup.complete[Crude Breakdown],0)))^2,"")</f>
        <v>44.226670830044817</v>
      </c>
      <c r="AN388" s="4">
        <f>IFERROR((vp.tbl[[#This Row],[Dens]]-INDEX(crudeBD.lkup.complete[Mean_Dens],MATCH(vp.tbl[[#This Row],[Crude_Breakdown]],crudeBD.lkup.complete[Crude Breakdown],0)))^2,"")</f>
        <v>13.605045101921021</v>
      </c>
      <c r="AO388" s="4">
        <f>IFERROR((vp.tbl[[#This Row],[Sulf]]-INDEX(crudeBD.lkup.complete[Mean_Sulf],MATCH(vp.tbl[[#This Row],[Crude_Breakdown]],crudeBD.lkup.complete[Crude Breakdown],0)))^2,"")</f>
        <v>4.4986279443977525E-3</v>
      </c>
      <c r="AP388">
        <f>IF(AND(vp.tbl[[#This Row],[SDate]]&gt;=DATE(YEAR(vp.tbl[[#This Row],[SDate]]),5,1),vp.tbl[[#This Row],[SDate]]&lt;=DATE(YEAR(vp.tbl[[#This Row],[SDate]]),9,15)),1,0)</f>
        <v>0</v>
      </c>
      <c r="AQ388" s="15">
        <f>IF(vp.tbl[[#This Row],[SDate]]&lt;DATE(2016,12,1),0,1)</f>
        <v>1</v>
      </c>
    </row>
    <row r="389" spans="1:43" x14ac:dyDescent="0.25">
      <c r="A389">
        <v>388</v>
      </c>
      <c r="B389" t="s">
        <v>49</v>
      </c>
      <c r="C389" t="s">
        <v>49</v>
      </c>
      <c r="D389" t="s">
        <v>74</v>
      </c>
      <c r="F389" s="1">
        <v>42716</v>
      </c>
      <c r="G389" s="2">
        <v>121.1</v>
      </c>
      <c r="H389" s="2">
        <v>0.19148999999999999</v>
      </c>
      <c r="I389" s="2">
        <v>0.19148999999999999</v>
      </c>
      <c r="J389" s="2">
        <v>5.7</v>
      </c>
      <c r="K389" s="2">
        <v>-24</v>
      </c>
      <c r="L389" s="2">
        <v>802</v>
      </c>
      <c r="M389" s="2">
        <v>802</v>
      </c>
      <c r="N389" s="2">
        <f ca="1">INDEX(INDIRECT(_xlfn.CONCAT("weather.tbl[",N$1,"]")),MATCH(vp.tbl[[#This Row],[SDate]],weather.tbl[Date],0))</f>
        <v>-20.716666666666665</v>
      </c>
      <c r="O389" s="2">
        <f ca="1">INDEX(INDIRECT(_xlfn.CONCAT("weather.tbl[",O$1,"]")),MATCH(vp.tbl[[#This Row],[SDate]],weather.tbl[Date],0))</f>
        <v>-21.040476190476191</v>
      </c>
      <c r="P389" s="2">
        <f ca="1">INDEX(INDIRECT(_xlfn.CONCAT("weather.tbl[",P$1,"]")),MATCH(vp.tbl[[#This Row],[SDate]],weather.tbl[Date],0))</f>
        <v>-21.2</v>
      </c>
      <c r="Q389" s="2">
        <f ca="1">INDEX(INDIRECT(_xlfn.CONCAT("weather.tbl[",Q$1,"]")),MATCH(vp.tbl[[#This Row],[SDate]],weather.tbl[Date],0))</f>
        <v>-19.399999999999999</v>
      </c>
      <c r="R389" s="2">
        <f ca="1">INDEX(INDIRECT(_xlfn.CONCAT("weather.tbl[",R$1,"]")),MATCH(vp.tbl[[#This Row],[SDate]],weather.tbl[Date],0))</f>
        <v>-21.8</v>
      </c>
      <c r="S389" s="2">
        <f ca="1">INDEX(INDIRECT(_xlfn.CONCAT("weather.tbl[",S$1,"]")),MATCH(vp.tbl[[#This Row],[SDate]],weather.tbl[Date],0))</f>
        <v>-19.3</v>
      </c>
      <c r="T389" s="2">
        <f ca="1">INDEX(INDIRECT(_xlfn.CONCAT("weather.tbl[",T$1,"]")),MATCH(vp.tbl[[#This Row],[SDate]],weather.tbl[Date],0))</f>
        <v>-21.1</v>
      </c>
      <c r="U389" s="2">
        <f ca="1">INDEX(INDIRECT(_xlfn.CONCAT("weather.tbl[",U$1,"]")),MATCH(vp.tbl[[#This Row],[SDate]],weather.tbl[Date],0))</f>
        <v>-21.5</v>
      </c>
      <c r="V389" s="2">
        <v>30199.411</v>
      </c>
      <c r="W389" t="s">
        <v>48</v>
      </c>
      <c r="X389">
        <f>IF(OR(vp.tbl[[#This Row],[Sulf]]="",vp.tbl[[#This Row],[Dens]]=""),1,0)</f>
        <v>0</v>
      </c>
      <c r="Y389">
        <f>IF(vp.tbl[[#This Row],[CrudeType]]="C5+",1,0)</f>
        <v>0</v>
      </c>
      <c r="Z389">
        <f>IF(AND(vp.tbl[[#This Row],[CrudeType]]="Crude",vp.tbl[[#This Row],[Dens]]&lt;=825,vp.tbl[[#This Row],[Sulf]]&gt;0.5,vp.tbl[[#This Row],[Unknown]]=0),1,0)</f>
        <v>0</v>
      </c>
      <c r="AA389">
        <f>IF(AND(vp.tbl[[#This Row],[CrudeType]]="Crude",vp.tbl[[#This Row],[Dens]]&lt;=825,vp.tbl[[#This Row],[Sulf]]&lt;=0.5,vp.tbl[[#This Row],[Unknown]]=0),1,0)</f>
        <v>1</v>
      </c>
      <c r="AB389">
        <f>IF(AND(vp.tbl[[#This Row],[CrudeType]]="Crude",vp.tbl[[#This Row],[Dens]]&gt;825,vp.tbl[[#This Row],[Dens]]&lt;=870,vp.tbl[[#This Row],[Sulf]]&gt;0.5,vp.tbl[[#This Row],[Unknown]]=0),1,0)</f>
        <v>0</v>
      </c>
      <c r="AC389">
        <f>IF(AND(vp.tbl[[#This Row],[CrudeType]]="Crude",vp.tbl[[#This Row],[Dens]]&gt;825,vp.tbl[[#This Row],[Dens]]&lt;=900,vp.tbl[[#This Row],[Sulf]]&lt;=0.5,vp.tbl[[#This Row],[Unknown]]=0),1,0)</f>
        <v>0</v>
      </c>
      <c r="AD389">
        <f>IF(AND(vp.tbl[[#This Row],[CrudeType]]="Crude",vp.tbl[[#This Row],[Dens]]&gt;870,vp.tbl[[#This Row],[Dens]]&lt;=900,vp.tbl[[#This Row],[Sulf]]&gt;0.5,vp.tbl[[#This Row],[Unknown]]=0),1,0)</f>
        <v>0</v>
      </c>
      <c r="AE389">
        <f>IF(AND(vp.tbl[[#This Row],[CrudeType]]="Crude",vp.tbl[[#This Row],[Dens]]&gt;900,vp.tbl[[#This Row],[Sulf]]&lt;=0.5,vp.tbl[[#This Row],[Unknown]]=0),1,0)</f>
        <v>0</v>
      </c>
      <c r="AF389">
        <f>IF(AND(vp.tbl[[#This Row],[CrudeType]]="Crude",vp.tbl[[#This Row],[Dens]]&gt;900,vp.tbl[[#This Row],[Sulf]]&lt;=0.5,vp.tbl[[#This Row],[Unknown]]=0),1,0)</f>
        <v>0</v>
      </c>
      <c r="AG389" t="str">
        <f>INDEX(vp.tbl[[#Headers],[Unknown]:[Heavy_SW]],MATCH(1,vp.tbl[[#This Row],[Unknown]:[Heavy_SW]],0))</f>
        <v>Light_SW</v>
      </c>
      <c r="AH389" t="e">
        <f>INDEX([1]!crudeBD.lkup[Number],MATCH(vp.tbl[[#This Row],[Crude_Breakdown]],[1]!crudeBD.lkup[Crude Breakdown],0))</f>
        <v>#REF!</v>
      </c>
      <c r="AI389">
        <f>MONTH(vp.tbl[[#This Row],[SDate]])</f>
        <v>12</v>
      </c>
      <c r="AJ389" s="5">
        <f>IFERROR(vp.tbl[[#This Row],[Sulf]]*vp.tbl[[#This Row],[Net Dens]],"")</f>
        <v>4637873.9403367797</v>
      </c>
      <c r="AK389" s="5">
        <f>IFERROR(vp.tbl[[#This Row],[Dens]]*vp.tbl[[#This Row],[VolumeM3]],"")</f>
        <v>24219927.622000001</v>
      </c>
      <c r="AL389" s="5">
        <f>IFERROR(vp.tbl[[#This Row],[VP]]*vp.tbl[[#This Row],[VolumeM3]],"")</f>
        <v>3657148.6720999996</v>
      </c>
      <c r="AM389" s="4">
        <f>IFERROR((vp.tbl[[#This Row],[VP]]-INDEX(crudeBD.lkup.complete[Mean_VP],MATCH(vp.tbl[[#This Row],[Crude_Breakdown]],crudeBD.lkup.complete[Crude Breakdown],0)))^2,"")</f>
        <v>815.08459417499444</v>
      </c>
      <c r="AN389" s="4">
        <f>IFERROR((vp.tbl[[#This Row],[Dens]]-INDEX(crudeBD.lkup.complete[Mean_Dens],MATCH(vp.tbl[[#This Row],[Crude_Breakdown]],crudeBD.lkup.complete[Crude Breakdown],0)))^2,"")</f>
        <v>39.83501025871108</v>
      </c>
      <c r="AO389" s="4">
        <f>IFERROR((vp.tbl[[#This Row],[Sulf]]-INDEX(crudeBD.lkup.complete[Mean_Sulf],MATCH(vp.tbl[[#This Row],[Crude_Breakdown]],crudeBD.lkup.complete[Crude Breakdown],0)))^2,"")</f>
        <v>2.0027246635615208E-3</v>
      </c>
      <c r="AP389">
        <f>IF(AND(vp.tbl[[#This Row],[SDate]]&gt;=DATE(YEAR(vp.tbl[[#This Row],[SDate]]),5,1),vp.tbl[[#This Row],[SDate]]&lt;=DATE(YEAR(vp.tbl[[#This Row],[SDate]]),9,15)),1,0)</f>
        <v>0</v>
      </c>
      <c r="AQ389" s="15">
        <f>IF(vp.tbl[[#This Row],[SDate]]&lt;DATE(2016,12,1),0,1)</f>
        <v>1</v>
      </c>
    </row>
    <row r="390" spans="1:43" x14ac:dyDescent="0.25">
      <c r="A390">
        <v>389</v>
      </c>
      <c r="B390" t="s">
        <v>49</v>
      </c>
      <c r="C390" t="s">
        <v>49</v>
      </c>
      <c r="D390" t="s">
        <v>67</v>
      </c>
      <c r="F390" s="1">
        <v>42716</v>
      </c>
      <c r="G390" s="2">
        <v>111.3</v>
      </c>
      <c r="H390" s="2">
        <v>0.27205000000000001</v>
      </c>
      <c r="I390" s="2">
        <v>0.27205000000000001</v>
      </c>
      <c r="J390" s="2">
        <v>-7</v>
      </c>
      <c r="K390" s="2">
        <v>-24</v>
      </c>
      <c r="L390" s="2">
        <v>807.2</v>
      </c>
      <c r="M390" s="2">
        <v>807.2</v>
      </c>
      <c r="N390" s="2">
        <f ca="1">INDEX(INDIRECT(_xlfn.CONCAT("weather.tbl[",N$1,"]")),MATCH(vp.tbl[[#This Row],[SDate]],weather.tbl[Date],0))</f>
        <v>-20.716666666666665</v>
      </c>
      <c r="O390" s="2">
        <f ca="1">INDEX(INDIRECT(_xlfn.CONCAT("weather.tbl[",O$1,"]")),MATCH(vp.tbl[[#This Row],[SDate]],weather.tbl[Date],0))</f>
        <v>-21.040476190476191</v>
      </c>
      <c r="P390" s="2">
        <f ca="1">INDEX(INDIRECT(_xlfn.CONCAT("weather.tbl[",P$1,"]")),MATCH(vp.tbl[[#This Row],[SDate]],weather.tbl[Date],0))</f>
        <v>-21.2</v>
      </c>
      <c r="Q390" s="2">
        <f ca="1">INDEX(INDIRECT(_xlfn.CONCAT("weather.tbl[",Q$1,"]")),MATCH(vp.tbl[[#This Row],[SDate]],weather.tbl[Date],0))</f>
        <v>-19.399999999999999</v>
      </c>
      <c r="R390" s="2">
        <f ca="1">INDEX(INDIRECT(_xlfn.CONCAT("weather.tbl[",R$1,"]")),MATCH(vp.tbl[[#This Row],[SDate]],weather.tbl[Date],0))</f>
        <v>-21.8</v>
      </c>
      <c r="S390" s="2">
        <f ca="1">INDEX(INDIRECT(_xlfn.CONCAT("weather.tbl[",S$1,"]")),MATCH(vp.tbl[[#This Row],[SDate]],weather.tbl[Date],0))</f>
        <v>-19.3</v>
      </c>
      <c r="T390" s="2">
        <f ca="1">INDEX(INDIRECT(_xlfn.CONCAT("weather.tbl[",T$1,"]")),MATCH(vp.tbl[[#This Row],[SDate]],weather.tbl[Date],0))</f>
        <v>-21.1</v>
      </c>
      <c r="U390" s="2">
        <f ca="1">INDEX(INDIRECT(_xlfn.CONCAT("weather.tbl[",U$1,"]")),MATCH(vp.tbl[[#This Row],[SDate]],weather.tbl[Date],0))</f>
        <v>-21.5</v>
      </c>
      <c r="V390" s="2">
        <v>75984.024999999994</v>
      </c>
      <c r="W390" t="s">
        <v>48</v>
      </c>
      <c r="X390">
        <f>IF(OR(vp.tbl[[#This Row],[Sulf]]="",vp.tbl[[#This Row],[Dens]]=""),1,0)</f>
        <v>0</v>
      </c>
      <c r="Y390">
        <f>IF(vp.tbl[[#This Row],[CrudeType]]="C5+",1,0)</f>
        <v>0</v>
      </c>
      <c r="Z390">
        <f>IF(AND(vp.tbl[[#This Row],[CrudeType]]="Crude",vp.tbl[[#This Row],[Dens]]&lt;=825,vp.tbl[[#This Row],[Sulf]]&gt;0.5,vp.tbl[[#This Row],[Unknown]]=0),1,0)</f>
        <v>0</v>
      </c>
      <c r="AA390">
        <f>IF(AND(vp.tbl[[#This Row],[CrudeType]]="Crude",vp.tbl[[#This Row],[Dens]]&lt;=825,vp.tbl[[#This Row],[Sulf]]&lt;=0.5,vp.tbl[[#This Row],[Unknown]]=0),1,0)</f>
        <v>1</v>
      </c>
      <c r="AB390">
        <f>IF(AND(vp.tbl[[#This Row],[CrudeType]]="Crude",vp.tbl[[#This Row],[Dens]]&gt;825,vp.tbl[[#This Row],[Dens]]&lt;=870,vp.tbl[[#This Row],[Sulf]]&gt;0.5,vp.tbl[[#This Row],[Unknown]]=0),1,0)</f>
        <v>0</v>
      </c>
      <c r="AC390">
        <f>IF(AND(vp.tbl[[#This Row],[CrudeType]]="Crude",vp.tbl[[#This Row],[Dens]]&gt;825,vp.tbl[[#This Row],[Dens]]&lt;=900,vp.tbl[[#This Row],[Sulf]]&lt;=0.5,vp.tbl[[#This Row],[Unknown]]=0),1,0)</f>
        <v>0</v>
      </c>
      <c r="AD390">
        <f>IF(AND(vp.tbl[[#This Row],[CrudeType]]="Crude",vp.tbl[[#This Row],[Dens]]&gt;870,vp.tbl[[#This Row],[Dens]]&lt;=900,vp.tbl[[#This Row],[Sulf]]&gt;0.5,vp.tbl[[#This Row],[Unknown]]=0),1,0)</f>
        <v>0</v>
      </c>
      <c r="AE390">
        <f>IF(AND(vp.tbl[[#This Row],[CrudeType]]="Crude",vp.tbl[[#This Row],[Dens]]&gt;900,vp.tbl[[#This Row],[Sulf]]&lt;=0.5,vp.tbl[[#This Row],[Unknown]]=0),1,0)</f>
        <v>0</v>
      </c>
      <c r="AF390">
        <f>IF(AND(vp.tbl[[#This Row],[CrudeType]]="Crude",vp.tbl[[#This Row],[Dens]]&gt;900,vp.tbl[[#This Row],[Sulf]]&lt;=0.5,vp.tbl[[#This Row],[Unknown]]=0),1,0)</f>
        <v>0</v>
      </c>
      <c r="AG390" t="str">
        <f>INDEX(vp.tbl[[#Headers],[Unknown]:[Heavy_SW]],MATCH(1,vp.tbl[[#This Row],[Unknown]:[Heavy_SW]],0))</f>
        <v>Light_SW</v>
      </c>
      <c r="AH390" t="e">
        <f>INDEX([1]!crudeBD.lkup[Number],MATCH(vp.tbl[[#This Row],[Crude_Breakdown]],[1]!crudeBD.lkup[Crude Breakdown],0))</f>
        <v>#REF!</v>
      </c>
      <c r="AI390">
        <f>MONTH(vp.tbl[[#This Row],[SDate]])</f>
        <v>12</v>
      </c>
      <c r="AJ390" s="5">
        <f>IFERROR(vp.tbl[[#This Row],[Sulf]]*vp.tbl[[#This Row],[Net Dens]],"")</f>
        <v>16685997.669809001</v>
      </c>
      <c r="AK390" s="5">
        <f>IFERROR(vp.tbl[[#This Row],[Dens]]*vp.tbl[[#This Row],[VolumeM3]],"")</f>
        <v>61334304.979999997</v>
      </c>
      <c r="AL390" s="5">
        <f>IFERROR(vp.tbl[[#This Row],[VP]]*vp.tbl[[#This Row],[VolumeM3]],"")</f>
        <v>8457021.9824999999</v>
      </c>
      <c r="AM390" s="4">
        <f>IFERROR((vp.tbl[[#This Row],[VP]]-INDEX(crudeBD.lkup.complete[Mean_VP],MATCH(vp.tbl[[#This Row],[Crude_Breakdown]],crudeBD.lkup.complete[Crude Breakdown],0)))^2,"")</f>
        <v>351.55074051645744</v>
      </c>
      <c r="AN390" s="4">
        <f>IFERROR((vp.tbl[[#This Row],[Dens]]-INDEX(crudeBD.lkup.complete[Mean_Dens],MATCH(vp.tbl[[#This Row],[Crude_Breakdown]],crudeBD.lkup.complete[Crude Breakdown],0)))^2,"")</f>
        <v>1.2354283771801491</v>
      </c>
      <c r="AO390" s="4">
        <f>IFERROR((vp.tbl[[#This Row],[Sulf]]-INDEX(crudeBD.lkup.complete[Mean_Sulf],MATCH(vp.tbl[[#This Row],[Crude_Breakdown]],crudeBD.lkup.complete[Crude Breakdown],0)))^2,"")</f>
        <v>1.2822263388228702E-3</v>
      </c>
      <c r="AP390">
        <f>IF(AND(vp.tbl[[#This Row],[SDate]]&gt;=DATE(YEAR(vp.tbl[[#This Row],[SDate]]),5,1),vp.tbl[[#This Row],[SDate]]&lt;=DATE(YEAR(vp.tbl[[#This Row],[SDate]]),9,15)),1,0)</f>
        <v>0</v>
      </c>
      <c r="AQ390" s="15">
        <f>IF(vp.tbl[[#This Row],[SDate]]&lt;DATE(2016,12,1),0,1)</f>
        <v>1</v>
      </c>
    </row>
    <row r="391" spans="1:43" x14ac:dyDescent="0.25">
      <c r="A391">
        <v>390</v>
      </c>
      <c r="B391" t="s">
        <v>62</v>
      </c>
      <c r="C391" t="s">
        <v>62</v>
      </c>
      <c r="D391" t="s">
        <v>79</v>
      </c>
      <c r="F391" s="1">
        <v>42716</v>
      </c>
      <c r="G391" s="2">
        <v>107.9</v>
      </c>
      <c r="H391" s="2">
        <v>0.34421000000000002</v>
      </c>
      <c r="I391" s="2">
        <v>0.34421000000000002</v>
      </c>
      <c r="J391" s="2">
        <v>8.9</v>
      </c>
      <c r="K391" s="2">
        <v>-24</v>
      </c>
      <c r="L391" s="2">
        <v>804.3</v>
      </c>
      <c r="M391" s="2">
        <v>804.3</v>
      </c>
      <c r="N391" s="2">
        <f ca="1">INDEX(INDIRECT(_xlfn.CONCAT("weather.tbl[",N$1,"]")),MATCH(vp.tbl[[#This Row],[SDate]],weather.tbl[Date],0))</f>
        <v>-20.716666666666665</v>
      </c>
      <c r="O391" s="2">
        <f ca="1">INDEX(INDIRECT(_xlfn.CONCAT("weather.tbl[",O$1,"]")),MATCH(vp.tbl[[#This Row],[SDate]],weather.tbl[Date],0))</f>
        <v>-21.040476190476191</v>
      </c>
      <c r="P391" s="2">
        <f ca="1">INDEX(INDIRECT(_xlfn.CONCAT("weather.tbl[",P$1,"]")),MATCH(vp.tbl[[#This Row],[SDate]],weather.tbl[Date],0))</f>
        <v>-21.2</v>
      </c>
      <c r="Q391" s="2">
        <f ca="1">INDEX(INDIRECT(_xlfn.CONCAT("weather.tbl[",Q$1,"]")),MATCH(vp.tbl[[#This Row],[SDate]],weather.tbl[Date],0))</f>
        <v>-19.399999999999999</v>
      </c>
      <c r="R391" s="2">
        <f ca="1">INDEX(INDIRECT(_xlfn.CONCAT("weather.tbl[",R$1,"]")),MATCH(vp.tbl[[#This Row],[SDate]],weather.tbl[Date],0))</f>
        <v>-21.8</v>
      </c>
      <c r="S391" s="2">
        <f ca="1">INDEX(INDIRECT(_xlfn.CONCAT("weather.tbl[",S$1,"]")),MATCH(vp.tbl[[#This Row],[SDate]],weather.tbl[Date],0))</f>
        <v>-19.3</v>
      </c>
      <c r="T391" s="2">
        <f ca="1">INDEX(INDIRECT(_xlfn.CONCAT("weather.tbl[",T$1,"]")),MATCH(vp.tbl[[#This Row],[SDate]],weather.tbl[Date],0))</f>
        <v>-21.1</v>
      </c>
      <c r="U391" s="2">
        <f ca="1">INDEX(INDIRECT(_xlfn.CONCAT("weather.tbl[",U$1,"]")),MATCH(vp.tbl[[#This Row],[SDate]],weather.tbl[Date],0))</f>
        <v>-21.5</v>
      </c>
      <c r="V391" s="2">
        <v>13104.25</v>
      </c>
      <c r="W391" t="s">
        <v>48</v>
      </c>
      <c r="X391">
        <f>IF(OR(vp.tbl[[#This Row],[Sulf]]="",vp.tbl[[#This Row],[Dens]]=""),1,0)</f>
        <v>0</v>
      </c>
      <c r="Y391">
        <f>IF(vp.tbl[[#This Row],[CrudeType]]="C5+",1,0)</f>
        <v>0</v>
      </c>
      <c r="Z391">
        <f>IF(AND(vp.tbl[[#This Row],[CrudeType]]="Crude",vp.tbl[[#This Row],[Dens]]&lt;=825,vp.tbl[[#This Row],[Sulf]]&gt;0.5,vp.tbl[[#This Row],[Unknown]]=0),1,0)</f>
        <v>0</v>
      </c>
      <c r="AA391">
        <f>IF(AND(vp.tbl[[#This Row],[CrudeType]]="Crude",vp.tbl[[#This Row],[Dens]]&lt;=825,vp.tbl[[#This Row],[Sulf]]&lt;=0.5,vp.tbl[[#This Row],[Unknown]]=0),1,0)</f>
        <v>1</v>
      </c>
      <c r="AB391">
        <f>IF(AND(vp.tbl[[#This Row],[CrudeType]]="Crude",vp.tbl[[#This Row],[Dens]]&gt;825,vp.tbl[[#This Row],[Dens]]&lt;=870,vp.tbl[[#This Row],[Sulf]]&gt;0.5,vp.tbl[[#This Row],[Unknown]]=0),1,0)</f>
        <v>0</v>
      </c>
      <c r="AC391">
        <f>IF(AND(vp.tbl[[#This Row],[CrudeType]]="Crude",vp.tbl[[#This Row],[Dens]]&gt;825,vp.tbl[[#This Row],[Dens]]&lt;=900,vp.tbl[[#This Row],[Sulf]]&lt;=0.5,vp.tbl[[#This Row],[Unknown]]=0),1,0)</f>
        <v>0</v>
      </c>
      <c r="AD391">
        <f>IF(AND(vp.tbl[[#This Row],[CrudeType]]="Crude",vp.tbl[[#This Row],[Dens]]&gt;870,vp.tbl[[#This Row],[Dens]]&lt;=900,vp.tbl[[#This Row],[Sulf]]&gt;0.5,vp.tbl[[#This Row],[Unknown]]=0),1,0)</f>
        <v>0</v>
      </c>
      <c r="AE391">
        <f>IF(AND(vp.tbl[[#This Row],[CrudeType]]="Crude",vp.tbl[[#This Row],[Dens]]&gt;900,vp.tbl[[#This Row],[Sulf]]&lt;=0.5,vp.tbl[[#This Row],[Unknown]]=0),1,0)</f>
        <v>0</v>
      </c>
      <c r="AF391">
        <f>IF(AND(vp.tbl[[#This Row],[CrudeType]]="Crude",vp.tbl[[#This Row],[Dens]]&gt;900,vp.tbl[[#This Row],[Sulf]]&lt;=0.5,vp.tbl[[#This Row],[Unknown]]=0),1,0)</f>
        <v>0</v>
      </c>
      <c r="AG391" t="str">
        <f>INDEX(vp.tbl[[#Headers],[Unknown]:[Heavy_SW]],MATCH(1,vp.tbl[[#This Row],[Unknown]:[Heavy_SW]],0))</f>
        <v>Light_SW</v>
      </c>
      <c r="AH391" t="e">
        <f>INDEX([1]!crudeBD.lkup[Number],MATCH(vp.tbl[[#This Row],[Crude_Breakdown]],[1]!crudeBD.lkup[Crude Breakdown],0))</f>
        <v>#REF!</v>
      </c>
      <c r="AI391">
        <f>MONTH(vp.tbl[[#This Row],[SDate]])</f>
        <v>12</v>
      </c>
      <c r="AJ391" s="5">
        <f>IFERROR(vp.tbl[[#This Row],[Sulf]]*vp.tbl[[#This Row],[Net Dens]],"")</f>
        <v>3627886.7537377495</v>
      </c>
      <c r="AK391" s="5">
        <f>IFERROR(vp.tbl[[#This Row],[Dens]]*vp.tbl[[#This Row],[VolumeM3]],"")</f>
        <v>10539748.274999999</v>
      </c>
      <c r="AL391" s="5">
        <f>IFERROR(vp.tbl[[#This Row],[VP]]*vp.tbl[[#This Row],[VolumeM3]],"")</f>
        <v>1413948.5750000002</v>
      </c>
      <c r="AM391" s="4">
        <f>IFERROR((vp.tbl[[#This Row],[VP]]-INDEX(crudeBD.lkup.complete[Mean_VP],MATCH(vp.tbl[[#This Row],[Crude_Breakdown]],crudeBD.lkup.complete[Crude Breakdown],0)))^2,"")</f>
        <v>235.61287292063869</v>
      </c>
      <c r="AN391" s="4">
        <f>IFERROR((vp.tbl[[#This Row],[Dens]]-INDEX(crudeBD.lkup.complete[Mean_Dens],MATCH(vp.tbl[[#This Row],[Crude_Breakdown]],crudeBD.lkup.complete[Crude Breakdown],0)))^2,"")</f>
        <v>16.092118272649731</v>
      </c>
      <c r="AO391" s="4">
        <f>IFERROR((vp.tbl[[#This Row],[Sulf]]-INDEX(crudeBD.lkup.complete[Mean_Sulf],MATCH(vp.tbl[[#This Row],[Crude_Breakdown]],crudeBD.lkup.complete[Crude Breakdown],0)))^2,"")</f>
        <v>1.1657129653108609E-2</v>
      </c>
      <c r="AP391">
        <f>IF(AND(vp.tbl[[#This Row],[SDate]]&gt;=DATE(YEAR(vp.tbl[[#This Row],[SDate]]),5,1),vp.tbl[[#This Row],[SDate]]&lt;=DATE(YEAR(vp.tbl[[#This Row],[SDate]]),9,15)),1,0)</f>
        <v>0</v>
      </c>
      <c r="AQ391" s="15">
        <f>IF(vp.tbl[[#This Row],[SDate]]&lt;DATE(2016,12,1),0,1)</f>
        <v>1</v>
      </c>
    </row>
    <row r="392" spans="1:43" x14ac:dyDescent="0.25">
      <c r="A392">
        <v>391</v>
      </c>
      <c r="B392" t="s">
        <v>49</v>
      </c>
      <c r="C392" t="s">
        <v>49</v>
      </c>
      <c r="D392" t="s">
        <v>67</v>
      </c>
      <c r="F392" s="1">
        <v>42716</v>
      </c>
      <c r="G392" s="2">
        <v>112</v>
      </c>
      <c r="H392" s="2">
        <v>0.37223000000000001</v>
      </c>
      <c r="I392" s="2">
        <v>0.37223000000000001</v>
      </c>
      <c r="J392" s="2">
        <v>-6.8</v>
      </c>
      <c r="K392" s="2">
        <v>-24</v>
      </c>
      <c r="L392" s="2">
        <v>807.1</v>
      </c>
      <c r="M392" s="2">
        <v>807.1</v>
      </c>
      <c r="N392" s="2">
        <f ca="1">INDEX(INDIRECT(_xlfn.CONCAT("weather.tbl[",N$1,"]")),MATCH(vp.tbl[[#This Row],[SDate]],weather.tbl[Date],0))</f>
        <v>-20.716666666666665</v>
      </c>
      <c r="O392" s="2">
        <f ca="1">INDEX(INDIRECT(_xlfn.CONCAT("weather.tbl[",O$1,"]")),MATCH(vp.tbl[[#This Row],[SDate]],weather.tbl[Date],0))</f>
        <v>-21.040476190476191</v>
      </c>
      <c r="P392" s="2">
        <f ca="1">INDEX(INDIRECT(_xlfn.CONCAT("weather.tbl[",P$1,"]")),MATCH(vp.tbl[[#This Row],[SDate]],weather.tbl[Date],0))</f>
        <v>-21.2</v>
      </c>
      <c r="Q392" s="2">
        <f ca="1">INDEX(INDIRECT(_xlfn.CONCAT("weather.tbl[",Q$1,"]")),MATCH(vp.tbl[[#This Row],[SDate]],weather.tbl[Date],0))</f>
        <v>-19.399999999999999</v>
      </c>
      <c r="R392" s="2">
        <f ca="1">INDEX(INDIRECT(_xlfn.CONCAT("weather.tbl[",R$1,"]")),MATCH(vp.tbl[[#This Row],[SDate]],weather.tbl[Date],0))</f>
        <v>-21.8</v>
      </c>
      <c r="S392" s="2">
        <f ca="1">INDEX(INDIRECT(_xlfn.CONCAT("weather.tbl[",S$1,"]")),MATCH(vp.tbl[[#This Row],[SDate]],weather.tbl[Date],0))</f>
        <v>-19.3</v>
      </c>
      <c r="T392" s="2">
        <f ca="1">INDEX(INDIRECT(_xlfn.CONCAT("weather.tbl[",T$1,"]")),MATCH(vp.tbl[[#This Row],[SDate]],weather.tbl[Date],0))</f>
        <v>-21.1</v>
      </c>
      <c r="U392" s="2">
        <f ca="1">INDEX(INDIRECT(_xlfn.CONCAT("weather.tbl[",U$1,"]")),MATCH(vp.tbl[[#This Row],[SDate]],weather.tbl[Date],0))</f>
        <v>-21.5</v>
      </c>
      <c r="V392" s="2">
        <v>75984.024999999994</v>
      </c>
      <c r="W392" t="s">
        <v>48</v>
      </c>
      <c r="X392">
        <f>IF(OR(vp.tbl[[#This Row],[Sulf]]="",vp.tbl[[#This Row],[Dens]]=""),1,0)</f>
        <v>0</v>
      </c>
      <c r="Y392">
        <f>IF(vp.tbl[[#This Row],[CrudeType]]="C5+",1,0)</f>
        <v>0</v>
      </c>
      <c r="Z392">
        <f>IF(AND(vp.tbl[[#This Row],[CrudeType]]="Crude",vp.tbl[[#This Row],[Dens]]&lt;=825,vp.tbl[[#This Row],[Sulf]]&gt;0.5,vp.tbl[[#This Row],[Unknown]]=0),1,0)</f>
        <v>0</v>
      </c>
      <c r="AA392">
        <f>IF(AND(vp.tbl[[#This Row],[CrudeType]]="Crude",vp.tbl[[#This Row],[Dens]]&lt;=825,vp.tbl[[#This Row],[Sulf]]&lt;=0.5,vp.tbl[[#This Row],[Unknown]]=0),1,0)</f>
        <v>1</v>
      </c>
      <c r="AB392">
        <f>IF(AND(vp.tbl[[#This Row],[CrudeType]]="Crude",vp.tbl[[#This Row],[Dens]]&gt;825,vp.tbl[[#This Row],[Dens]]&lt;=870,vp.tbl[[#This Row],[Sulf]]&gt;0.5,vp.tbl[[#This Row],[Unknown]]=0),1,0)</f>
        <v>0</v>
      </c>
      <c r="AC392">
        <f>IF(AND(vp.tbl[[#This Row],[CrudeType]]="Crude",vp.tbl[[#This Row],[Dens]]&gt;825,vp.tbl[[#This Row],[Dens]]&lt;=900,vp.tbl[[#This Row],[Sulf]]&lt;=0.5,vp.tbl[[#This Row],[Unknown]]=0),1,0)</f>
        <v>0</v>
      </c>
      <c r="AD392">
        <f>IF(AND(vp.tbl[[#This Row],[CrudeType]]="Crude",vp.tbl[[#This Row],[Dens]]&gt;870,vp.tbl[[#This Row],[Dens]]&lt;=900,vp.tbl[[#This Row],[Sulf]]&gt;0.5,vp.tbl[[#This Row],[Unknown]]=0),1,0)</f>
        <v>0</v>
      </c>
      <c r="AE392">
        <f>IF(AND(vp.tbl[[#This Row],[CrudeType]]="Crude",vp.tbl[[#This Row],[Dens]]&gt;900,vp.tbl[[#This Row],[Sulf]]&lt;=0.5,vp.tbl[[#This Row],[Unknown]]=0),1,0)</f>
        <v>0</v>
      </c>
      <c r="AF392">
        <f>IF(AND(vp.tbl[[#This Row],[CrudeType]]="Crude",vp.tbl[[#This Row],[Dens]]&gt;900,vp.tbl[[#This Row],[Sulf]]&lt;=0.5,vp.tbl[[#This Row],[Unknown]]=0),1,0)</f>
        <v>0</v>
      </c>
      <c r="AG392" t="str">
        <f>INDEX(vp.tbl[[#Headers],[Unknown]:[Heavy_SW]],MATCH(1,vp.tbl[[#This Row],[Unknown]:[Heavy_SW]],0))</f>
        <v>Light_SW</v>
      </c>
      <c r="AH392" t="e">
        <f>INDEX([1]!crudeBD.lkup[Number],MATCH(vp.tbl[[#This Row],[Crude_Breakdown]],[1]!crudeBD.lkup[Crude Breakdown],0))</f>
        <v>#REF!</v>
      </c>
      <c r="AI392">
        <f>MONTH(vp.tbl[[#This Row],[SDate]])</f>
        <v>12</v>
      </c>
      <c r="AJ392" s="5">
        <f>IFERROR(vp.tbl[[#This Row],[Sulf]]*vp.tbl[[#This Row],[Net Dens]],"")</f>
        <v>22827639.989342827</v>
      </c>
      <c r="AK392" s="5">
        <f>IFERROR(vp.tbl[[#This Row],[Dens]]*vp.tbl[[#This Row],[VolumeM3]],"")</f>
        <v>61326706.577500001</v>
      </c>
      <c r="AL392" s="5">
        <f>IFERROR(vp.tbl[[#This Row],[VP]]*vp.tbl[[#This Row],[VolumeM3]],"")</f>
        <v>8510210.7999999989</v>
      </c>
      <c r="AM392" s="4">
        <f>IFERROR((vp.tbl[[#This Row],[VP]]-INDEX(crudeBD.lkup.complete[Mean_VP],MATCH(vp.tbl[[#This Row],[Crude_Breakdown]],crudeBD.lkup.complete[Crude Breakdown],0)))^2,"")</f>
        <v>378.29030149206733</v>
      </c>
      <c r="AN392" s="4">
        <f>IFERROR((vp.tbl[[#This Row],[Dens]]-INDEX(crudeBD.lkup.complete[Mean_Dens],MATCH(vp.tbl[[#This Row],[Crude_Breakdown]],crudeBD.lkup.complete[Crude Breakdown],0)))^2,"")</f>
        <v>1.4677280287480956</v>
      </c>
      <c r="AO392" s="4">
        <f>IFERROR((vp.tbl[[#This Row],[Sulf]]-INDEX(crudeBD.lkup.complete[Mean_Sulf],MATCH(vp.tbl[[#This Row],[Crude_Breakdown]],crudeBD.lkup.complete[Crude Breakdown],0)))^2,"")</f>
        <v>1.8492787317220115E-2</v>
      </c>
      <c r="AP392">
        <f>IF(AND(vp.tbl[[#This Row],[SDate]]&gt;=DATE(YEAR(vp.tbl[[#This Row],[SDate]]),5,1),vp.tbl[[#This Row],[SDate]]&lt;=DATE(YEAR(vp.tbl[[#This Row],[SDate]]),9,15)),1,0)</f>
        <v>0</v>
      </c>
      <c r="AQ392" s="15">
        <f>IF(vp.tbl[[#This Row],[SDate]]&lt;DATE(2016,12,1),0,1)</f>
        <v>1</v>
      </c>
    </row>
    <row r="393" spans="1:43" x14ac:dyDescent="0.25">
      <c r="A393">
        <v>392</v>
      </c>
      <c r="B393" t="s">
        <v>49</v>
      </c>
      <c r="C393" t="s">
        <v>49</v>
      </c>
      <c r="D393" t="s">
        <v>67</v>
      </c>
      <c r="F393" s="1">
        <v>42716</v>
      </c>
      <c r="G393" s="2">
        <v>111.1</v>
      </c>
      <c r="H393" s="2">
        <v>0.37223000000000001</v>
      </c>
      <c r="I393" s="2">
        <v>0.37223000000000001</v>
      </c>
      <c r="J393" s="2">
        <v>-6.8</v>
      </c>
      <c r="K393" s="2">
        <v>-24</v>
      </c>
      <c r="L393" s="2">
        <v>807.8</v>
      </c>
      <c r="M393" s="2">
        <v>807.8</v>
      </c>
      <c r="N393" s="2">
        <f ca="1">INDEX(INDIRECT(_xlfn.CONCAT("weather.tbl[",N$1,"]")),MATCH(vp.tbl[[#This Row],[SDate]],weather.tbl[Date],0))</f>
        <v>-20.716666666666665</v>
      </c>
      <c r="O393" s="2">
        <f ca="1">INDEX(INDIRECT(_xlfn.CONCAT("weather.tbl[",O$1,"]")),MATCH(vp.tbl[[#This Row],[SDate]],weather.tbl[Date],0))</f>
        <v>-21.040476190476191</v>
      </c>
      <c r="P393" s="2">
        <f ca="1">INDEX(INDIRECT(_xlfn.CONCAT("weather.tbl[",P$1,"]")),MATCH(vp.tbl[[#This Row],[SDate]],weather.tbl[Date],0))</f>
        <v>-21.2</v>
      </c>
      <c r="Q393" s="2">
        <f ca="1">INDEX(INDIRECT(_xlfn.CONCAT("weather.tbl[",Q$1,"]")),MATCH(vp.tbl[[#This Row],[SDate]],weather.tbl[Date],0))</f>
        <v>-19.399999999999999</v>
      </c>
      <c r="R393" s="2">
        <f ca="1">INDEX(INDIRECT(_xlfn.CONCAT("weather.tbl[",R$1,"]")),MATCH(vp.tbl[[#This Row],[SDate]],weather.tbl[Date],0))</f>
        <v>-21.8</v>
      </c>
      <c r="S393" s="2">
        <f ca="1">INDEX(INDIRECT(_xlfn.CONCAT("weather.tbl[",S$1,"]")),MATCH(vp.tbl[[#This Row],[SDate]],weather.tbl[Date],0))</f>
        <v>-19.3</v>
      </c>
      <c r="T393" s="2">
        <f ca="1">INDEX(INDIRECT(_xlfn.CONCAT("weather.tbl[",T$1,"]")),MATCH(vp.tbl[[#This Row],[SDate]],weather.tbl[Date],0))</f>
        <v>-21.1</v>
      </c>
      <c r="U393" s="2">
        <f ca="1">INDEX(INDIRECT(_xlfn.CONCAT("weather.tbl[",U$1,"]")),MATCH(vp.tbl[[#This Row],[SDate]],weather.tbl[Date],0))</f>
        <v>-21.5</v>
      </c>
      <c r="V393" s="2">
        <v>75984.024999999994</v>
      </c>
      <c r="W393" t="s">
        <v>48</v>
      </c>
      <c r="X393">
        <f>IF(OR(vp.tbl[[#This Row],[Sulf]]="",vp.tbl[[#This Row],[Dens]]=""),1,0)</f>
        <v>0</v>
      </c>
      <c r="Y393">
        <f>IF(vp.tbl[[#This Row],[CrudeType]]="C5+",1,0)</f>
        <v>0</v>
      </c>
      <c r="Z393">
        <f>IF(AND(vp.tbl[[#This Row],[CrudeType]]="Crude",vp.tbl[[#This Row],[Dens]]&lt;=825,vp.tbl[[#This Row],[Sulf]]&gt;0.5,vp.tbl[[#This Row],[Unknown]]=0),1,0)</f>
        <v>0</v>
      </c>
      <c r="AA393">
        <f>IF(AND(vp.tbl[[#This Row],[CrudeType]]="Crude",vp.tbl[[#This Row],[Dens]]&lt;=825,vp.tbl[[#This Row],[Sulf]]&lt;=0.5,vp.tbl[[#This Row],[Unknown]]=0),1,0)</f>
        <v>1</v>
      </c>
      <c r="AB393">
        <f>IF(AND(vp.tbl[[#This Row],[CrudeType]]="Crude",vp.tbl[[#This Row],[Dens]]&gt;825,vp.tbl[[#This Row],[Dens]]&lt;=870,vp.tbl[[#This Row],[Sulf]]&gt;0.5,vp.tbl[[#This Row],[Unknown]]=0),1,0)</f>
        <v>0</v>
      </c>
      <c r="AC393">
        <f>IF(AND(vp.tbl[[#This Row],[CrudeType]]="Crude",vp.tbl[[#This Row],[Dens]]&gt;825,vp.tbl[[#This Row],[Dens]]&lt;=900,vp.tbl[[#This Row],[Sulf]]&lt;=0.5,vp.tbl[[#This Row],[Unknown]]=0),1,0)</f>
        <v>0</v>
      </c>
      <c r="AD393">
        <f>IF(AND(vp.tbl[[#This Row],[CrudeType]]="Crude",vp.tbl[[#This Row],[Dens]]&gt;870,vp.tbl[[#This Row],[Dens]]&lt;=900,vp.tbl[[#This Row],[Sulf]]&gt;0.5,vp.tbl[[#This Row],[Unknown]]=0),1,0)</f>
        <v>0</v>
      </c>
      <c r="AE393">
        <f>IF(AND(vp.tbl[[#This Row],[CrudeType]]="Crude",vp.tbl[[#This Row],[Dens]]&gt;900,vp.tbl[[#This Row],[Sulf]]&lt;=0.5,vp.tbl[[#This Row],[Unknown]]=0),1,0)</f>
        <v>0</v>
      </c>
      <c r="AF393">
        <f>IF(AND(vp.tbl[[#This Row],[CrudeType]]="Crude",vp.tbl[[#This Row],[Dens]]&gt;900,vp.tbl[[#This Row],[Sulf]]&lt;=0.5,vp.tbl[[#This Row],[Unknown]]=0),1,0)</f>
        <v>0</v>
      </c>
      <c r="AG393" t="str">
        <f>INDEX(vp.tbl[[#Headers],[Unknown]:[Heavy_SW]],MATCH(1,vp.tbl[[#This Row],[Unknown]:[Heavy_SW]],0))</f>
        <v>Light_SW</v>
      </c>
      <c r="AH393" t="e">
        <f>INDEX([1]!crudeBD.lkup[Number],MATCH(vp.tbl[[#This Row],[Crude_Breakdown]],[1]!crudeBD.lkup[Crude Breakdown],0))</f>
        <v>#REF!</v>
      </c>
      <c r="AI393">
        <f>MONTH(vp.tbl[[#This Row],[SDate]])</f>
        <v>12</v>
      </c>
      <c r="AJ393" s="5">
        <f>IFERROR(vp.tbl[[#This Row],[Sulf]]*vp.tbl[[#This Row],[Net Dens]],"")</f>
        <v>22847438.462880846</v>
      </c>
      <c r="AK393" s="5">
        <f>IFERROR(vp.tbl[[#This Row],[Dens]]*vp.tbl[[#This Row],[VolumeM3]],"")</f>
        <v>61379895.394999988</v>
      </c>
      <c r="AL393" s="5">
        <f>IFERROR(vp.tbl[[#This Row],[VP]]*vp.tbl[[#This Row],[VolumeM3]],"")</f>
        <v>8441825.1774999984</v>
      </c>
      <c r="AM393" s="4">
        <f>IFERROR((vp.tbl[[#This Row],[VP]]-INDEX(crudeBD.lkup.complete[Mean_VP],MATCH(vp.tbl[[#This Row],[Crude_Breakdown]],crudeBD.lkup.complete[Crude Breakdown],0)))^2,"")</f>
        <v>344.09086595199739</v>
      </c>
      <c r="AN393" s="4">
        <f>IFERROR((vp.tbl[[#This Row],[Dens]]-INDEX(crudeBD.lkup.complete[Mean_Dens],MATCH(vp.tbl[[#This Row],[Crude_Breakdown]],crudeBD.lkup.complete[Crude Breakdown],0)))^2,"")</f>
        <v>0.26163046777289312</v>
      </c>
      <c r="AO393" s="4">
        <f>IFERROR((vp.tbl[[#This Row],[Sulf]]-INDEX(crudeBD.lkup.complete[Mean_Sulf],MATCH(vp.tbl[[#This Row],[Crude_Breakdown]],crudeBD.lkup.complete[Crude Breakdown],0)))^2,"")</f>
        <v>1.8492787317220115E-2</v>
      </c>
      <c r="AP393">
        <f>IF(AND(vp.tbl[[#This Row],[SDate]]&gt;=DATE(YEAR(vp.tbl[[#This Row],[SDate]]),5,1),vp.tbl[[#This Row],[SDate]]&lt;=DATE(YEAR(vp.tbl[[#This Row],[SDate]]),9,15)),1,0)</f>
        <v>0</v>
      </c>
      <c r="AQ393" s="15">
        <f>IF(vp.tbl[[#This Row],[SDate]]&lt;DATE(2016,12,1),0,1)</f>
        <v>1</v>
      </c>
    </row>
    <row r="394" spans="1:43" x14ac:dyDescent="0.25">
      <c r="A394">
        <v>393</v>
      </c>
      <c r="B394" t="s">
        <v>62</v>
      </c>
      <c r="C394" t="s">
        <v>62</v>
      </c>
      <c r="D394" t="s">
        <v>83</v>
      </c>
      <c r="F394" s="1">
        <v>42716</v>
      </c>
      <c r="G394" s="2">
        <v>107</v>
      </c>
      <c r="H394" s="2">
        <v>0.56927000000000005</v>
      </c>
      <c r="I394" s="2">
        <v>0.56927000000000005</v>
      </c>
      <c r="J394" s="2">
        <v>-2</v>
      </c>
      <c r="K394" s="2">
        <v>-24</v>
      </c>
      <c r="L394" s="2">
        <v>805</v>
      </c>
      <c r="M394" s="2">
        <v>805</v>
      </c>
      <c r="N394" s="2">
        <f ca="1">INDEX(INDIRECT(_xlfn.CONCAT("weather.tbl[",N$1,"]")),MATCH(vp.tbl[[#This Row],[SDate]],weather.tbl[Date],0))</f>
        <v>-20.716666666666665</v>
      </c>
      <c r="O394" s="2">
        <f ca="1">INDEX(INDIRECT(_xlfn.CONCAT("weather.tbl[",O$1,"]")),MATCH(vp.tbl[[#This Row],[SDate]],weather.tbl[Date],0))</f>
        <v>-21.040476190476191</v>
      </c>
      <c r="P394" s="2">
        <f ca="1">INDEX(INDIRECT(_xlfn.CONCAT("weather.tbl[",P$1,"]")),MATCH(vp.tbl[[#This Row],[SDate]],weather.tbl[Date],0))</f>
        <v>-21.2</v>
      </c>
      <c r="Q394" s="2">
        <f ca="1">INDEX(INDIRECT(_xlfn.CONCAT("weather.tbl[",Q$1,"]")),MATCH(vp.tbl[[#This Row],[SDate]],weather.tbl[Date],0))</f>
        <v>-19.399999999999999</v>
      </c>
      <c r="R394" s="2">
        <f ca="1">INDEX(INDIRECT(_xlfn.CONCAT("weather.tbl[",R$1,"]")),MATCH(vp.tbl[[#This Row],[SDate]],weather.tbl[Date],0))</f>
        <v>-21.8</v>
      </c>
      <c r="S394" s="2">
        <f ca="1">INDEX(INDIRECT(_xlfn.CONCAT("weather.tbl[",S$1,"]")),MATCH(vp.tbl[[#This Row],[SDate]],weather.tbl[Date],0))</f>
        <v>-19.3</v>
      </c>
      <c r="T394" s="2">
        <f ca="1">INDEX(INDIRECT(_xlfn.CONCAT("weather.tbl[",T$1,"]")),MATCH(vp.tbl[[#This Row],[SDate]],weather.tbl[Date],0))</f>
        <v>-21.1</v>
      </c>
      <c r="U394" s="2">
        <f ca="1">INDEX(INDIRECT(_xlfn.CONCAT("weather.tbl[",U$1,"]")),MATCH(vp.tbl[[#This Row],[SDate]],weather.tbl[Date],0))</f>
        <v>-21.5</v>
      </c>
      <c r="V394" s="2">
        <v>9482.9609999999993</v>
      </c>
      <c r="W394" t="s">
        <v>48</v>
      </c>
      <c r="X394">
        <f>IF(OR(vp.tbl[[#This Row],[Sulf]]="",vp.tbl[[#This Row],[Dens]]=""),1,0)</f>
        <v>0</v>
      </c>
      <c r="Y394">
        <f>IF(vp.tbl[[#This Row],[CrudeType]]="C5+",1,0)</f>
        <v>0</v>
      </c>
      <c r="Z394">
        <f>IF(AND(vp.tbl[[#This Row],[CrudeType]]="Crude",vp.tbl[[#This Row],[Dens]]&lt;=825,vp.tbl[[#This Row],[Sulf]]&gt;0.5,vp.tbl[[#This Row],[Unknown]]=0),1,0)</f>
        <v>1</v>
      </c>
      <c r="AA394">
        <f>IF(AND(vp.tbl[[#This Row],[CrudeType]]="Crude",vp.tbl[[#This Row],[Dens]]&lt;=825,vp.tbl[[#This Row],[Sulf]]&lt;=0.5,vp.tbl[[#This Row],[Unknown]]=0),1,0)</f>
        <v>0</v>
      </c>
      <c r="AB394">
        <f>IF(AND(vp.tbl[[#This Row],[CrudeType]]="Crude",vp.tbl[[#This Row],[Dens]]&gt;825,vp.tbl[[#This Row],[Dens]]&lt;=870,vp.tbl[[#This Row],[Sulf]]&gt;0.5,vp.tbl[[#This Row],[Unknown]]=0),1,0)</f>
        <v>0</v>
      </c>
      <c r="AC394">
        <f>IF(AND(vp.tbl[[#This Row],[CrudeType]]="Crude",vp.tbl[[#This Row],[Dens]]&gt;825,vp.tbl[[#This Row],[Dens]]&lt;=900,vp.tbl[[#This Row],[Sulf]]&lt;=0.5,vp.tbl[[#This Row],[Unknown]]=0),1,0)</f>
        <v>0</v>
      </c>
      <c r="AD394">
        <f>IF(AND(vp.tbl[[#This Row],[CrudeType]]="Crude",vp.tbl[[#This Row],[Dens]]&gt;870,vp.tbl[[#This Row],[Dens]]&lt;=900,vp.tbl[[#This Row],[Sulf]]&gt;0.5,vp.tbl[[#This Row],[Unknown]]=0),1,0)</f>
        <v>0</v>
      </c>
      <c r="AE394">
        <f>IF(AND(vp.tbl[[#This Row],[CrudeType]]="Crude",vp.tbl[[#This Row],[Dens]]&gt;900,vp.tbl[[#This Row],[Sulf]]&lt;=0.5,vp.tbl[[#This Row],[Unknown]]=0),1,0)</f>
        <v>0</v>
      </c>
      <c r="AF394">
        <f>IF(AND(vp.tbl[[#This Row],[CrudeType]]="Crude",vp.tbl[[#This Row],[Dens]]&gt;900,vp.tbl[[#This Row],[Sulf]]&lt;=0.5,vp.tbl[[#This Row],[Unknown]]=0),1,0)</f>
        <v>0</v>
      </c>
      <c r="AG394" t="str">
        <f>INDEX(vp.tbl[[#Headers],[Unknown]:[Heavy_SW]],MATCH(1,vp.tbl[[#This Row],[Unknown]:[Heavy_SW]],0))</f>
        <v>Light_LSB</v>
      </c>
      <c r="AH394" t="e">
        <f>INDEX([1]!crudeBD.lkup[Number],MATCH(vp.tbl[[#This Row],[Crude_Breakdown]],[1]!crudeBD.lkup[Crude Breakdown],0))</f>
        <v>#REF!</v>
      </c>
      <c r="AI394">
        <f>MONTH(vp.tbl[[#This Row],[SDate]])</f>
        <v>12</v>
      </c>
      <c r="AJ394" s="5">
        <f>IFERROR(vp.tbl[[#This Row],[Sulf]]*vp.tbl[[#This Row],[Net Dens]],"")</f>
        <v>4345683.99281835</v>
      </c>
      <c r="AK394" s="5">
        <f>IFERROR(vp.tbl[[#This Row],[Dens]]*vp.tbl[[#This Row],[VolumeM3]],"")</f>
        <v>7633783.6049999995</v>
      </c>
      <c r="AL394" s="5">
        <f>IFERROR(vp.tbl[[#This Row],[VP]]*vp.tbl[[#This Row],[VolumeM3]],"")</f>
        <v>1014676.8269999999</v>
      </c>
      <c r="AM394" s="4">
        <f>IFERROR((vp.tbl[[#This Row],[VP]]-INDEX(crudeBD.lkup.complete[Mean_VP],MATCH(vp.tbl[[#This Row],[Crude_Breakdown]],crudeBD.lkup.complete[Crude Breakdown],0)))^2,"")</f>
        <v>238.8203805292795</v>
      </c>
      <c r="AN394" s="4">
        <f>IFERROR((vp.tbl[[#This Row],[Dens]]-INDEX(crudeBD.lkup.complete[Mean_Dens],MATCH(vp.tbl[[#This Row],[Crude_Breakdown]],crudeBD.lkup.complete[Crude Breakdown],0)))^2,"")</f>
        <v>182.70306472997817</v>
      </c>
      <c r="AO394" s="4">
        <f>IFERROR((vp.tbl[[#This Row],[Sulf]]-INDEX(crudeBD.lkup.complete[Mean_Sulf],MATCH(vp.tbl[[#This Row],[Crude_Breakdown]],crudeBD.lkup.complete[Crude Breakdown],0)))^2,"")</f>
        <v>0.12510451651682883</v>
      </c>
      <c r="AP394">
        <f>IF(AND(vp.tbl[[#This Row],[SDate]]&gt;=DATE(YEAR(vp.tbl[[#This Row],[SDate]]),5,1),vp.tbl[[#This Row],[SDate]]&lt;=DATE(YEAR(vp.tbl[[#This Row],[SDate]]),9,15)),1,0)</f>
        <v>0</v>
      </c>
      <c r="AQ394" s="15">
        <f>IF(vp.tbl[[#This Row],[SDate]]&lt;DATE(2016,12,1),0,1)</f>
        <v>1</v>
      </c>
    </row>
    <row r="395" spans="1:43" x14ac:dyDescent="0.25">
      <c r="A395">
        <v>394</v>
      </c>
      <c r="B395" t="s">
        <v>49</v>
      </c>
      <c r="C395" t="s">
        <v>49</v>
      </c>
      <c r="D395" t="s">
        <v>90</v>
      </c>
      <c r="F395" s="1">
        <v>42716</v>
      </c>
      <c r="G395" s="2">
        <v>81.099999999999994</v>
      </c>
      <c r="H395" s="2">
        <v>1.27773</v>
      </c>
      <c r="I395" s="2">
        <v>1.27773</v>
      </c>
      <c r="J395" s="2">
        <v>8</v>
      </c>
      <c r="K395" s="2">
        <v>-24</v>
      </c>
      <c r="L395" s="2">
        <v>850</v>
      </c>
      <c r="M395" s="2">
        <v>850</v>
      </c>
      <c r="N395" s="2">
        <f ca="1">INDEX(INDIRECT(_xlfn.CONCAT("weather.tbl[",N$1,"]")),MATCH(vp.tbl[[#This Row],[SDate]],weather.tbl[Date],0))</f>
        <v>-20.716666666666665</v>
      </c>
      <c r="O395" s="2">
        <f ca="1">INDEX(INDIRECT(_xlfn.CONCAT("weather.tbl[",O$1,"]")),MATCH(vp.tbl[[#This Row],[SDate]],weather.tbl[Date],0))</f>
        <v>-21.040476190476191</v>
      </c>
      <c r="P395" s="2">
        <f ca="1">INDEX(INDIRECT(_xlfn.CONCAT("weather.tbl[",P$1,"]")),MATCH(vp.tbl[[#This Row],[SDate]],weather.tbl[Date],0))</f>
        <v>-21.2</v>
      </c>
      <c r="Q395" s="2">
        <f ca="1">INDEX(INDIRECT(_xlfn.CONCAT("weather.tbl[",Q$1,"]")),MATCH(vp.tbl[[#This Row],[SDate]],weather.tbl[Date],0))</f>
        <v>-19.399999999999999</v>
      </c>
      <c r="R395" s="2">
        <f ca="1">INDEX(INDIRECT(_xlfn.CONCAT("weather.tbl[",R$1,"]")),MATCH(vp.tbl[[#This Row],[SDate]],weather.tbl[Date],0))</f>
        <v>-21.8</v>
      </c>
      <c r="S395" s="2">
        <f ca="1">INDEX(INDIRECT(_xlfn.CONCAT("weather.tbl[",S$1,"]")),MATCH(vp.tbl[[#This Row],[SDate]],weather.tbl[Date],0))</f>
        <v>-19.3</v>
      </c>
      <c r="T395" s="2">
        <f ca="1">INDEX(INDIRECT(_xlfn.CONCAT("weather.tbl[",T$1,"]")),MATCH(vp.tbl[[#This Row],[SDate]],weather.tbl[Date],0))</f>
        <v>-21.1</v>
      </c>
      <c r="U395" s="2">
        <f ca="1">INDEX(INDIRECT(_xlfn.CONCAT("weather.tbl[",U$1,"]")),MATCH(vp.tbl[[#This Row],[SDate]],weather.tbl[Date],0))</f>
        <v>-21.5</v>
      </c>
      <c r="V395" s="2">
        <v>4977.4170000000004</v>
      </c>
      <c r="W395" t="s">
        <v>48</v>
      </c>
      <c r="X395">
        <f>IF(OR(vp.tbl[[#This Row],[Sulf]]="",vp.tbl[[#This Row],[Dens]]=""),1,0)</f>
        <v>0</v>
      </c>
      <c r="Y395">
        <f>IF(vp.tbl[[#This Row],[CrudeType]]="C5+",1,0)</f>
        <v>0</v>
      </c>
      <c r="Z395">
        <f>IF(AND(vp.tbl[[#This Row],[CrudeType]]="Crude",vp.tbl[[#This Row],[Dens]]&lt;=825,vp.tbl[[#This Row],[Sulf]]&gt;0.5,vp.tbl[[#This Row],[Unknown]]=0),1,0)</f>
        <v>0</v>
      </c>
      <c r="AA395">
        <f>IF(AND(vp.tbl[[#This Row],[CrudeType]]="Crude",vp.tbl[[#This Row],[Dens]]&lt;=825,vp.tbl[[#This Row],[Sulf]]&lt;=0.5,vp.tbl[[#This Row],[Unknown]]=0),1,0)</f>
        <v>0</v>
      </c>
      <c r="AB395">
        <f>IF(AND(vp.tbl[[#This Row],[CrudeType]]="Crude",vp.tbl[[#This Row],[Dens]]&gt;825,vp.tbl[[#This Row],[Dens]]&lt;=870,vp.tbl[[#This Row],[Sulf]]&gt;0.5,vp.tbl[[#This Row],[Unknown]]=0),1,0)</f>
        <v>1</v>
      </c>
      <c r="AC395">
        <f>IF(AND(vp.tbl[[#This Row],[CrudeType]]="Crude",vp.tbl[[#This Row],[Dens]]&gt;825,vp.tbl[[#This Row],[Dens]]&lt;=900,vp.tbl[[#This Row],[Sulf]]&lt;=0.5,vp.tbl[[#This Row],[Unknown]]=0),1,0)</f>
        <v>0</v>
      </c>
      <c r="AD395">
        <f>IF(AND(vp.tbl[[#This Row],[CrudeType]]="Crude",vp.tbl[[#This Row],[Dens]]&gt;870,vp.tbl[[#This Row],[Dens]]&lt;=900,vp.tbl[[#This Row],[Sulf]]&gt;0.5,vp.tbl[[#This Row],[Unknown]]=0),1,0)</f>
        <v>0</v>
      </c>
      <c r="AE395">
        <f>IF(AND(vp.tbl[[#This Row],[CrudeType]]="Crude",vp.tbl[[#This Row],[Dens]]&gt;900,vp.tbl[[#This Row],[Sulf]]&lt;=0.5,vp.tbl[[#This Row],[Unknown]]=0),1,0)</f>
        <v>0</v>
      </c>
      <c r="AF395">
        <f>IF(AND(vp.tbl[[#This Row],[CrudeType]]="Crude",vp.tbl[[#This Row],[Dens]]&gt;900,vp.tbl[[#This Row],[Sulf]]&lt;=0.5,vp.tbl[[#This Row],[Unknown]]=0),1,0)</f>
        <v>0</v>
      </c>
      <c r="AG395" t="str">
        <f>INDEX(vp.tbl[[#Headers],[Unknown]:[Heavy_SW]],MATCH(1,vp.tbl[[#This Row],[Unknown]:[Heavy_SW]],0))</f>
        <v>Medium_LSB</v>
      </c>
      <c r="AH395" t="e">
        <f>INDEX([1]!crudeBD.lkup[Number],MATCH(vp.tbl[[#This Row],[Crude_Breakdown]],[1]!crudeBD.lkup[Crude Breakdown],0))</f>
        <v>#REF!</v>
      </c>
      <c r="AI395">
        <f>MONTH(vp.tbl[[#This Row],[SDate]])</f>
        <v>12</v>
      </c>
      <c r="AJ395" s="5">
        <f>IFERROR(vp.tbl[[#This Row],[Sulf]]*vp.tbl[[#This Row],[Net Dens]],"")</f>
        <v>5405825.7698985003</v>
      </c>
      <c r="AK395" s="5">
        <f>IFERROR(vp.tbl[[#This Row],[Dens]]*vp.tbl[[#This Row],[VolumeM3]],"")</f>
        <v>4230804.45</v>
      </c>
      <c r="AL395" s="5">
        <f>IFERROR(vp.tbl[[#This Row],[VP]]*vp.tbl[[#This Row],[VolumeM3]],"")</f>
        <v>403668.51870000002</v>
      </c>
      <c r="AM395" s="4">
        <f>IFERROR((vp.tbl[[#This Row],[VP]]-INDEX(crudeBD.lkup.complete[Mean_VP],MATCH(vp.tbl[[#This Row],[Crude_Breakdown]],crudeBD.lkup.complete[Crude Breakdown],0)))^2,"")</f>
        <v>0.85822634129151754</v>
      </c>
      <c r="AN395" s="4">
        <f>IFERROR((vp.tbl[[#This Row],[Dens]]-INDEX(crudeBD.lkup.complete[Mean_Dens],MATCH(vp.tbl[[#This Row],[Crude_Breakdown]],crudeBD.lkup.complete[Crude Breakdown],0)))^2,"")</f>
        <v>22.166932689642344</v>
      </c>
      <c r="AO395" s="4">
        <f>IFERROR((vp.tbl[[#This Row],[Sulf]]-INDEX(crudeBD.lkup.complete[Mean_Sulf],MATCH(vp.tbl[[#This Row],[Crude_Breakdown]],crudeBD.lkup.complete[Crude Breakdown],0)))^2,"")</f>
        <v>3.1399790653184462E-2</v>
      </c>
      <c r="AP395">
        <f>IF(AND(vp.tbl[[#This Row],[SDate]]&gt;=DATE(YEAR(vp.tbl[[#This Row],[SDate]]),5,1),vp.tbl[[#This Row],[SDate]]&lt;=DATE(YEAR(vp.tbl[[#This Row],[SDate]]),9,15)),1,0)</f>
        <v>0</v>
      </c>
      <c r="AQ395" s="15">
        <f>IF(vp.tbl[[#This Row],[SDate]]&lt;DATE(2016,12,1),0,1)</f>
        <v>1</v>
      </c>
    </row>
    <row r="396" spans="1:43" x14ac:dyDescent="0.25">
      <c r="A396">
        <v>395</v>
      </c>
      <c r="B396" t="s">
        <v>51</v>
      </c>
      <c r="C396" t="s">
        <v>51</v>
      </c>
      <c r="D396" t="s">
        <v>71</v>
      </c>
      <c r="F396" s="1">
        <v>42716</v>
      </c>
      <c r="G396" s="2">
        <v>86.3</v>
      </c>
      <c r="H396" s="2">
        <v>1.5715600000000001</v>
      </c>
      <c r="I396" s="2">
        <v>1.5715600000000001</v>
      </c>
      <c r="J396" s="2">
        <v>4.2</v>
      </c>
      <c r="K396" s="2">
        <v>-24</v>
      </c>
      <c r="L396" s="2">
        <v>852.7</v>
      </c>
      <c r="M396" s="2">
        <v>852.7</v>
      </c>
      <c r="N396" s="2">
        <f ca="1">INDEX(INDIRECT(_xlfn.CONCAT("weather.tbl[",N$1,"]")),MATCH(vp.tbl[[#This Row],[SDate]],weather.tbl[Date],0))</f>
        <v>-20.716666666666665</v>
      </c>
      <c r="O396" s="2">
        <f ca="1">INDEX(INDIRECT(_xlfn.CONCAT("weather.tbl[",O$1,"]")),MATCH(vp.tbl[[#This Row],[SDate]],weather.tbl[Date],0))</f>
        <v>-21.040476190476191</v>
      </c>
      <c r="P396" s="2">
        <f ca="1">INDEX(INDIRECT(_xlfn.CONCAT("weather.tbl[",P$1,"]")),MATCH(vp.tbl[[#This Row],[SDate]],weather.tbl[Date],0))</f>
        <v>-21.2</v>
      </c>
      <c r="Q396" s="2">
        <f ca="1">INDEX(INDIRECT(_xlfn.CONCAT("weather.tbl[",Q$1,"]")),MATCH(vp.tbl[[#This Row],[SDate]],weather.tbl[Date],0))</f>
        <v>-19.399999999999999</v>
      </c>
      <c r="R396" s="2">
        <f ca="1">INDEX(INDIRECT(_xlfn.CONCAT("weather.tbl[",R$1,"]")),MATCH(vp.tbl[[#This Row],[SDate]],weather.tbl[Date],0))</f>
        <v>-21.8</v>
      </c>
      <c r="S396" s="2">
        <f ca="1">INDEX(INDIRECT(_xlfn.CONCAT("weather.tbl[",S$1,"]")),MATCH(vp.tbl[[#This Row],[SDate]],weather.tbl[Date],0))</f>
        <v>-19.3</v>
      </c>
      <c r="T396" s="2">
        <f ca="1">INDEX(INDIRECT(_xlfn.CONCAT("weather.tbl[",T$1,"]")),MATCH(vp.tbl[[#This Row],[SDate]],weather.tbl[Date],0))</f>
        <v>-21.1</v>
      </c>
      <c r="U396" s="2">
        <f ca="1">INDEX(INDIRECT(_xlfn.CONCAT("weather.tbl[",U$1,"]")),MATCH(vp.tbl[[#This Row],[SDate]],weather.tbl[Date],0))</f>
        <v>-21.5</v>
      </c>
      <c r="V396" s="2">
        <v>7387.0110000000004</v>
      </c>
      <c r="W396" t="s">
        <v>48</v>
      </c>
      <c r="X396">
        <f>IF(OR(vp.tbl[[#This Row],[Sulf]]="",vp.tbl[[#This Row],[Dens]]=""),1,0)</f>
        <v>0</v>
      </c>
      <c r="Y396">
        <f>IF(vp.tbl[[#This Row],[CrudeType]]="C5+",1,0)</f>
        <v>0</v>
      </c>
      <c r="Z396">
        <f>IF(AND(vp.tbl[[#This Row],[CrudeType]]="Crude",vp.tbl[[#This Row],[Dens]]&lt;=825,vp.tbl[[#This Row],[Sulf]]&gt;0.5,vp.tbl[[#This Row],[Unknown]]=0),1,0)</f>
        <v>0</v>
      </c>
      <c r="AA396">
        <f>IF(AND(vp.tbl[[#This Row],[CrudeType]]="Crude",vp.tbl[[#This Row],[Dens]]&lt;=825,vp.tbl[[#This Row],[Sulf]]&lt;=0.5,vp.tbl[[#This Row],[Unknown]]=0),1,0)</f>
        <v>0</v>
      </c>
      <c r="AB396">
        <f>IF(AND(vp.tbl[[#This Row],[CrudeType]]="Crude",vp.tbl[[#This Row],[Dens]]&gt;825,vp.tbl[[#This Row],[Dens]]&lt;=870,vp.tbl[[#This Row],[Sulf]]&gt;0.5,vp.tbl[[#This Row],[Unknown]]=0),1,0)</f>
        <v>1</v>
      </c>
      <c r="AC396">
        <f>IF(AND(vp.tbl[[#This Row],[CrudeType]]="Crude",vp.tbl[[#This Row],[Dens]]&gt;825,vp.tbl[[#This Row],[Dens]]&lt;=900,vp.tbl[[#This Row],[Sulf]]&lt;=0.5,vp.tbl[[#This Row],[Unknown]]=0),1,0)</f>
        <v>0</v>
      </c>
      <c r="AD396">
        <f>IF(AND(vp.tbl[[#This Row],[CrudeType]]="Crude",vp.tbl[[#This Row],[Dens]]&gt;870,vp.tbl[[#This Row],[Dens]]&lt;=900,vp.tbl[[#This Row],[Sulf]]&gt;0.5,vp.tbl[[#This Row],[Unknown]]=0),1,0)</f>
        <v>0</v>
      </c>
      <c r="AE396">
        <f>IF(AND(vp.tbl[[#This Row],[CrudeType]]="Crude",vp.tbl[[#This Row],[Dens]]&gt;900,vp.tbl[[#This Row],[Sulf]]&lt;=0.5,vp.tbl[[#This Row],[Unknown]]=0),1,0)</f>
        <v>0</v>
      </c>
      <c r="AF396">
        <f>IF(AND(vp.tbl[[#This Row],[CrudeType]]="Crude",vp.tbl[[#This Row],[Dens]]&gt;900,vp.tbl[[#This Row],[Sulf]]&lt;=0.5,vp.tbl[[#This Row],[Unknown]]=0),1,0)</f>
        <v>0</v>
      </c>
      <c r="AG396" t="str">
        <f>INDEX(vp.tbl[[#Headers],[Unknown]:[Heavy_SW]],MATCH(1,vp.tbl[[#This Row],[Unknown]:[Heavy_SW]],0))</f>
        <v>Medium_LSB</v>
      </c>
      <c r="AH396" t="e">
        <f>INDEX([1]!crudeBD.lkup[Number],MATCH(vp.tbl[[#This Row],[Crude_Breakdown]],[1]!crudeBD.lkup[Crude Breakdown],0))</f>
        <v>#REF!</v>
      </c>
      <c r="AI396">
        <f>MONTH(vp.tbl[[#This Row],[SDate]])</f>
        <v>12</v>
      </c>
      <c r="AJ396" s="5">
        <f>IFERROR(vp.tbl[[#This Row],[Sulf]]*vp.tbl[[#This Row],[Net Dens]],"")</f>
        <v>9899106.0098053329</v>
      </c>
      <c r="AK396" s="5">
        <f>IFERROR(vp.tbl[[#This Row],[Dens]]*vp.tbl[[#This Row],[VolumeM3]],"")</f>
        <v>6298904.2797000008</v>
      </c>
      <c r="AL396" s="5">
        <f>IFERROR(vp.tbl[[#This Row],[VP]]*vp.tbl[[#This Row],[VolumeM3]],"")</f>
        <v>637499.04930000007</v>
      </c>
      <c r="AM396" s="4">
        <f>IFERROR((vp.tbl[[#This Row],[VP]]-INDEX(crudeBD.lkup.complete[Mean_VP],MATCH(vp.tbl[[#This Row],[Crude_Breakdown]],crudeBD.lkup.complete[Crude Breakdown],0)))^2,"")</f>
        <v>37.532838999519726</v>
      </c>
      <c r="AN396" s="4">
        <f>IFERROR((vp.tbl[[#This Row],[Dens]]-INDEX(crudeBD.lkup.complete[Mean_Dens],MATCH(vp.tbl[[#This Row],[Crude_Breakdown]],crudeBD.lkup.complete[Crude Breakdown],0)))^2,"")</f>
        <v>54.881089651673648</v>
      </c>
      <c r="AO396" s="4">
        <f>IFERROR((vp.tbl[[#This Row],[Sulf]]-INDEX(crudeBD.lkup.complete[Mean_Sulf],MATCH(vp.tbl[[#This Row],[Crude_Breakdown]],crudeBD.lkup.complete[Crude Breakdown],0)))^2,"")</f>
        <v>1.3602589379259565E-2</v>
      </c>
      <c r="AP396">
        <f>IF(AND(vp.tbl[[#This Row],[SDate]]&gt;=DATE(YEAR(vp.tbl[[#This Row],[SDate]]),5,1),vp.tbl[[#This Row],[SDate]]&lt;=DATE(YEAR(vp.tbl[[#This Row],[SDate]]),9,15)),1,0)</f>
        <v>0</v>
      </c>
      <c r="AQ396" s="15">
        <f>IF(vp.tbl[[#This Row],[SDate]]&lt;DATE(2016,12,1),0,1)</f>
        <v>1</v>
      </c>
    </row>
    <row r="397" spans="1:43" x14ac:dyDescent="0.25">
      <c r="A397">
        <v>396</v>
      </c>
      <c r="B397" t="s">
        <v>49</v>
      </c>
      <c r="C397" t="s">
        <v>49</v>
      </c>
      <c r="D397" t="s">
        <v>75</v>
      </c>
      <c r="F397" s="1">
        <v>42716</v>
      </c>
      <c r="G397" s="2">
        <v>129.1</v>
      </c>
      <c r="H397" s="2"/>
      <c r="I397" s="2">
        <v>0.13</v>
      </c>
      <c r="J397" s="2"/>
      <c r="K397" s="2"/>
      <c r="L397" s="2">
        <v>800</v>
      </c>
      <c r="M397" s="2">
        <v>800</v>
      </c>
      <c r="N397" s="2">
        <f ca="1">INDEX(INDIRECT(_xlfn.CONCAT("weather.tbl[",N$1,"]")),MATCH(vp.tbl[[#This Row],[SDate]],weather.tbl[Date],0))</f>
        <v>-20.716666666666665</v>
      </c>
      <c r="O397" s="2">
        <f ca="1">INDEX(INDIRECT(_xlfn.CONCAT("weather.tbl[",O$1,"]")),MATCH(vp.tbl[[#This Row],[SDate]],weather.tbl[Date],0))</f>
        <v>-21.040476190476191</v>
      </c>
      <c r="P397" s="2">
        <f ca="1">INDEX(INDIRECT(_xlfn.CONCAT("weather.tbl[",P$1,"]")),MATCH(vp.tbl[[#This Row],[SDate]],weather.tbl[Date],0))</f>
        <v>-21.2</v>
      </c>
      <c r="Q397" s="2">
        <f ca="1">INDEX(INDIRECT(_xlfn.CONCAT("weather.tbl[",Q$1,"]")),MATCH(vp.tbl[[#This Row],[SDate]],weather.tbl[Date],0))</f>
        <v>-19.399999999999999</v>
      </c>
      <c r="R397" s="2">
        <f ca="1">INDEX(INDIRECT(_xlfn.CONCAT("weather.tbl[",R$1,"]")),MATCH(vp.tbl[[#This Row],[SDate]],weather.tbl[Date],0))</f>
        <v>-21.8</v>
      </c>
      <c r="S397" s="2">
        <f ca="1">INDEX(INDIRECT(_xlfn.CONCAT("weather.tbl[",S$1,"]")),MATCH(vp.tbl[[#This Row],[SDate]],weather.tbl[Date],0))</f>
        <v>-19.3</v>
      </c>
      <c r="T397" s="2">
        <f ca="1">INDEX(INDIRECT(_xlfn.CONCAT("weather.tbl[",T$1,"]")),MATCH(vp.tbl[[#This Row],[SDate]],weather.tbl[Date],0))</f>
        <v>-21.1</v>
      </c>
      <c r="U397" s="2">
        <f ca="1">INDEX(INDIRECT(_xlfn.CONCAT("weather.tbl[",U$1,"]")),MATCH(vp.tbl[[#This Row],[SDate]],weather.tbl[Date],0))</f>
        <v>-21.5</v>
      </c>
      <c r="V397" s="2">
        <v>21635.382000000001</v>
      </c>
      <c r="W397" t="s">
        <v>48</v>
      </c>
      <c r="X397">
        <f>IF(OR(vp.tbl[[#This Row],[Sulf]]="",vp.tbl[[#This Row],[Dens]]=""),1,0)</f>
        <v>0</v>
      </c>
      <c r="Y397">
        <f>IF(vp.tbl[[#This Row],[CrudeType]]="C5+",1,0)</f>
        <v>0</v>
      </c>
      <c r="Z397">
        <f>IF(AND(vp.tbl[[#This Row],[CrudeType]]="Crude",vp.tbl[[#This Row],[Dens]]&lt;=825,vp.tbl[[#This Row],[Sulf]]&gt;0.5,vp.tbl[[#This Row],[Unknown]]=0),1,0)</f>
        <v>0</v>
      </c>
      <c r="AA397">
        <f>IF(AND(vp.tbl[[#This Row],[CrudeType]]="Crude",vp.tbl[[#This Row],[Dens]]&lt;=825,vp.tbl[[#This Row],[Sulf]]&lt;=0.5,vp.tbl[[#This Row],[Unknown]]=0),1,0)</f>
        <v>1</v>
      </c>
      <c r="AB397">
        <f>IF(AND(vp.tbl[[#This Row],[CrudeType]]="Crude",vp.tbl[[#This Row],[Dens]]&gt;825,vp.tbl[[#This Row],[Dens]]&lt;=870,vp.tbl[[#This Row],[Sulf]]&gt;0.5,vp.tbl[[#This Row],[Unknown]]=0),1,0)</f>
        <v>0</v>
      </c>
      <c r="AC397">
        <f>IF(AND(vp.tbl[[#This Row],[CrudeType]]="Crude",vp.tbl[[#This Row],[Dens]]&gt;825,vp.tbl[[#This Row],[Dens]]&lt;=900,vp.tbl[[#This Row],[Sulf]]&lt;=0.5,vp.tbl[[#This Row],[Unknown]]=0),1,0)</f>
        <v>0</v>
      </c>
      <c r="AD397">
        <f>IF(AND(vp.tbl[[#This Row],[CrudeType]]="Crude",vp.tbl[[#This Row],[Dens]]&gt;870,vp.tbl[[#This Row],[Dens]]&lt;=900,vp.tbl[[#This Row],[Sulf]]&gt;0.5,vp.tbl[[#This Row],[Unknown]]=0),1,0)</f>
        <v>0</v>
      </c>
      <c r="AE397">
        <f>IF(AND(vp.tbl[[#This Row],[CrudeType]]="Crude",vp.tbl[[#This Row],[Dens]]&gt;900,vp.tbl[[#This Row],[Sulf]]&lt;=0.5,vp.tbl[[#This Row],[Unknown]]=0),1,0)</f>
        <v>0</v>
      </c>
      <c r="AF397">
        <f>IF(AND(vp.tbl[[#This Row],[CrudeType]]="Crude",vp.tbl[[#This Row],[Dens]]&gt;900,vp.tbl[[#This Row],[Sulf]]&lt;=0.5,vp.tbl[[#This Row],[Unknown]]=0),1,0)</f>
        <v>0</v>
      </c>
      <c r="AG397" t="str">
        <f>INDEX(vp.tbl[[#Headers],[Unknown]:[Heavy_SW]],MATCH(1,vp.tbl[[#This Row],[Unknown]:[Heavy_SW]],0))</f>
        <v>Light_SW</v>
      </c>
      <c r="AH397" t="e">
        <f>INDEX([1]!crudeBD.lkup[Number],MATCH(vp.tbl[[#This Row],[Crude_Breakdown]],[1]!crudeBD.lkup[Crude Breakdown],0))</f>
        <v>#REF!</v>
      </c>
      <c r="AI397">
        <f>MONTH(vp.tbl[[#This Row],[SDate]])</f>
        <v>12</v>
      </c>
      <c r="AJ397" s="5">
        <f>IFERROR(vp.tbl[[#This Row],[Sulf]]*vp.tbl[[#This Row],[Net Dens]],"")</f>
        <v>2250079.7280000001</v>
      </c>
      <c r="AK397" s="5">
        <f>IFERROR(vp.tbl[[#This Row],[Dens]]*vp.tbl[[#This Row],[VolumeM3]],"")</f>
        <v>17308305.600000001</v>
      </c>
      <c r="AL397" s="5">
        <f>IFERROR(vp.tbl[[#This Row],[VP]]*vp.tbl[[#This Row],[VolumeM3]],"")</f>
        <v>2793127.8162000002</v>
      </c>
      <c r="AM397" s="4">
        <f>IFERROR((vp.tbl[[#This Row],[VP]]-INDEX(crudeBD.lkup.complete[Mean_VP],MATCH(vp.tbl[[#This Row],[Crude_Breakdown]],crudeBD.lkup.complete[Crude Breakdown],0)))^2,"")</f>
        <v>1335.879576753392</v>
      </c>
      <c r="AN397" s="4">
        <f>IFERROR((vp.tbl[[#This Row],[Dens]]-INDEX(crudeBD.lkup.complete[Mean_Dens],MATCH(vp.tbl[[#This Row],[Crude_Breakdown]],crudeBD.lkup.complete[Crude Breakdown],0)))^2,"")</f>
        <v>69.081003290069091</v>
      </c>
      <c r="AO397" s="4">
        <f>IFERROR((vp.tbl[[#This Row],[Sulf]]-INDEX(crudeBD.lkup.complete[Mean_Sulf],MATCH(vp.tbl[[#This Row],[Crude_Breakdown]],crudeBD.lkup.complete[Crude Breakdown],0)))^2,"")</f>
        <v>1.1287322584467423E-2</v>
      </c>
      <c r="AP397">
        <f>IF(AND(vp.tbl[[#This Row],[SDate]]&gt;=DATE(YEAR(vp.tbl[[#This Row],[SDate]]),5,1),vp.tbl[[#This Row],[SDate]]&lt;=DATE(YEAR(vp.tbl[[#This Row],[SDate]]),9,15)),1,0)</f>
        <v>0</v>
      </c>
      <c r="AQ397" s="15">
        <f>IF(vp.tbl[[#This Row],[SDate]]&lt;DATE(2016,12,1),0,1)</f>
        <v>1</v>
      </c>
    </row>
    <row r="398" spans="1:43" x14ac:dyDescent="0.25">
      <c r="A398">
        <v>397</v>
      </c>
      <c r="B398" t="s">
        <v>51</v>
      </c>
      <c r="C398" t="s">
        <v>51</v>
      </c>
      <c r="D398" t="s">
        <v>95</v>
      </c>
      <c r="F398" s="1">
        <v>42716</v>
      </c>
      <c r="G398" s="2">
        <v>76.2</v>
      </c>
      <c r="H398" s="2"/>
      <c r="I398" s="2">
        <v>1.19</v>
      </c>
      <c r="J398" s="2"/>
      <c r="K398" s="2"/>
      <c r="L398" s="2">
        <v>822</v>
      </c>
      <c r="M398" s="2">
        <v>822</v>
      </c>
      <c r="N398" s="2">
        <f ca="1">INDEX(INDIRECT(_xlfn.CONCAT("weather.tbl[",N$1,"]")),MATCH(vp.tbl[[#This Row],[SDate]],weather.tbl[Date],0))</f>
        <v>-20.716666666666665</v>
      </c>
      <c r="O398" s="2">
        <f ca="1">INDEX(INDIRECT(_xlfn.CONCAT("weather.tbl[",O$1,"]")),MATCH(vp.tbl[[#This Row],[SDate]],weather.tbl[Date],0))</f>
        <v>-21.040476190476191</v>
      </c>
      <c r="P398" s="2">
        <f ca="1">INDEX(INDIRECT(_xlfn.CONCAT("weather.tbl[",P$1,"]")),MATCH(vp.tbl[[#This Row],[SDate]],weather.tbl[Date],0))</f>
        <v>-21.2</v>
      </c>
      <c r="Q398" s="2">
        <f ca="1">INDEX(INDIRECT(_xlfn.CONCAT("weather.tbl[",Q$1,"]")),MATCH(vp.tbl[[#This Row],[SDate]],weather.tbl[Date],0))</f>
        <v>-19.399999999999999</v>
      </c>
      <c r="R398" s="2">
        <f ca="1">INDEX(INDIRECT(_xlfn.CONCAT("weather.tbl[",R$1,"]")),MATCH(vp.tbl[[#This Row],[SDate]],weather.tbl[Date],0))</f>
        <v>-21.8</v>
      </c>
      <c r="S398" s="2">
        <f ca="1">INDEX(INDIRECT(_xlfn.CONCAT("weather.tbl[",S$1,"]")),MATCH(vp.tbl[[#This Row],[SDate]],weather.tbl[Date],0))</f>
        <v>-19.3</v>
      </c>
      <c r="T398" s="2">
        <f ca="1">INDEX(INDIRECT(_xlfn.CONCAT("weather.tbl[",T$1,"]")),MATCH(vp.tbl[[#This Row],[SDate]],weather.tbl[Date],0))</f>
        <v>-21.1</v>
      </c>
      <c r="U398" s="2">
        <f ca="1">INDEX(INDIRECT(_xlfn.CONCAT("weather.tbl[",U$1,"]")),MATCH(vp.tbl[[#This Row],[SDate]],weather.tbl[Date],0))</f>
        <v>-21.5</v>
      </c>
      <c r="V398" s="2">
        <v>6459.1369999999997</v>
      </c>
      <c r="W398" t="s">
        <v>48</v>
      </c>
      <c r="X398">
        <f>IF(OR(vp.tbl[[#This Row],[Sulf]]="",vp.tbl[[#This Row],[Dens]]=""),1,0)</f>
        <v>0</v>
      </c>
      <c r="Y398">
        <f>IF(vp.tbl[[#This Row],[CrudeType]]="C5+",1,0)</f>
        <v>0</v>
      </c>
      <c r="Z398">
        <f>IF(AND(vp.tbl[[#This Row],[CrudeType]]="Crude",vp.tbl[[#This Row],[Dens]]&lt;=825,vp.tbl[[#This Row],[Sulf]]&gt;0.5,vp.tbl[[#This Row],[Unknown]]=0),1,0)</f>
        <v>1</v>
      </c>
      <c r="AA398">
        <f>IF(AND(vp.tbl[[#This Row],[CrudeType]]="Crude",vp.tbl[[#This Row],[Dens]]&lt;=825,vp.tbl[[#This Row],[Sulf]]&lt;=0.5,vp.tbl[[#This Row],[Unknown]]=0),1,0)</f>
        <v>0</v>
      </c>
      <c r="AB398">
        <f>IF(AND(vp.tbl[[#This Row],[CrudeType]]="Crude",vp.tbl[[#This Row],[Dens]]&gt;825,vp.tbl[[#This Row],[Dens]]&lt;=870,vp.tbl[[#This Row],[Sulf]]&gt;0.5,vp.tbl[[#This Row],[Unknown]]=0),1,0)</f>
        <v>0</v>
      </c>
      <c r="AC398">
        <f>IF(AND(vp.tbl[[#This Row],[CrudeType]]="Crude",vp.tbl[[#This Row],[Dens]]&gt;825,vp.tbl[[#This Row],[Dens]]&lt;=900,vp.tbl[[#This Row],[Sulf]]&lt;=0.5,vp.tbl[[#This Row],[Unknown]]=0),1,0)</f>
        <v>0</v>
      </c>
      <c r="AD398">
        <f>IF(AND(vp.tbl[[#This Row],[CrudeType]]="Crude",vp.tbl[[#This Row],[Dens]]&gt;870,vp.tbl[[#This Row],[Dens]]&lt;=900,vp.tbl[[#This Row],[Sulf]]&gt;0.5,vp.tbl[[#This Row],[Unknown]]=0),1,0)</f>
        <v>0</v>
      </c>
      <c r="AE398">
        <f>IF(AND(vp.tbl[[#This Row],[CrudeType]]="Crude",vp.tbl[[#This Row],[Dens]]&gt;900,vp.tbl[[#This Row],[Sulf]]&lt;=0.5,vp.tbl[[#This Row],[Unknown]]=0),1,0)</f>
        <v>0</v>
      </c>
      <c r="AF398">
        <f>IF(AND(vp.tbl[[#This Row],[CrudeType]]="Crude",vp.tbl[[#This Row],[Dens]]&gt;900,vp.tbl[[#This Row],[Sulf]]&lt;=0.5,vp.tbl[[#This Row],[Unknown]]=0),1,0)</f>
        <v>0</v>
      </c>
      <c r="AG398" t="str">
        <f>INDEX(vp.tbl[[#Headers],[Unknown]:[Heavy_SW]],MATCH(1,vp.tbl[[#This Row],[Unknown]:[Heavy_SW]],0))</f>
        <v>Light_LSB</v>
      </c>
      <c r="AH398" t="e">
        <f>INDEX([1]!crudeBD.lkup[Number],MATCH(vp.tbl[[#This Row],[Crude_Breakdown]],[1]!crudeBD.lkup[Crude Breakdown],0))</f>
        <v>#REF!</v>
      </c>
      <c r="AI398">
        <f>MONTH(vp.tbl[[#This Row],[SDate]])</f>
        <v>12</v>
      </c>
      <c r="AJ398" s="5">
        <f>IFERROR(vp.tbl[[#This Row],[Sulf]]*vp.tbl[[#This Row],[Net Dens]],"")</f>
        <v>6318198.6306599993</v>
      </c>
      <c r="AK398" s="5">
        <f>IFERROR(vp.tbl[[#This Row],[Dens]]*vp.tbl[[#This Row],[VolumeM3]],"")</f>
        <v>5309410.6140000001</v>
      </c>
      <c r="AL398" s="5">
        <f>IFERROR(vp.tbl[[#This Row],[VP]]*vp.tbl[[#This Row],[VolumeM3]],"")</f>
        <v>492186.23940000002</v>
      </c>
      <c r="AM398" s="4">
        <f>IFERROR((vp.tbl[[#This Row],[VP]]-INDEX(crudeBD.lkup.complete[Mean_VP],MATCH(vp.tbl[[#This Row],[Crude_Breakdown]],crudeBD.lkup.complete[Crude Breakdown],0)))^2,"")</f>
        <v>235.5054114571164</v>
      </c>
      <c r="AN398" s="4">
        <f>IFERROR((vp.tbl[[#This Row],[Dens]]-INDEX(crudeBD.lkup.complete[Mean_Dens],MATCH(vp.tbl[[#This Row],[Crude_Breakdown]],crudeBD.lkup.complete[Crude Breakdown],0)))^2,"")</f>
        <v>12.132892908683003</v>
      </c>
      <c r="AO398" s="4">
        <f>IFERROR((vp.tbl[[#This Row],[Sulf]]-INDEX(crudeBD.lkup.complete[Mean_Sulf],MATCH(vp.tbl[[#This Row],[Crude_Breakdown]],crudeBD.lkup.complete[Crude Breakdown],0)))^2,"")</f>
        <v>7.130439691373637E-2</v>
      </c>
      <c r="AP398">
        <f>IF(AND(vp.tbl[[#This Row],[SDate]]&gt;=DATE(YEAR(vp.tbl[[#This Row],[SDate]]),5,1),vp.tbl[[#This Row],[SDate]]&lt;=DATE(YEAR(vp.tbl[[#This Row],[SDate]]),9,15)),1,0)</f>
        <v>0</v>
      </c>
      <c r="AQ398" s="15">
        <f>IF(vp.tbl[[#This Row],[SDate]]&lt;DATE(2016,12,1),0,1)</f>
        <v>1</v>
      </c>
    </row>
    <row r="399" spans="1:43" x14ac:dyDescent="0.25">
      <c r="A399">
        <v>398</v>
      </c>
      <c r="B399" t="s">
        <v>51</v>
      </c>
      <c r="C399" t="s">
        <v>51</v>
      </c>
      <c r="D399" t="s">
        <v>71</v>
      </c>
      <c r="F399" s="1">
        <v>42716</v>
      </c>
      <c r="G399" s="2">
        <v>98.1</v>
      </c>
      <c r="H399" s="2"/>
      <c r="I399" s="2">
        <v>1.42</v>
      </c>
      <c r="J399" s="2"/>
      <c r="K399" s="2"/>
      <c r="L399" s="2">
        <v>849.9</v>
      </c>
      <c r="M399" s="2">
        <v>849.9</v>
      </c>
      <c r="N399" s="2">
        <f ca="1">INDEX(INDIRECT(_xlfn.CONCAT("weather.tbl[",N$1,"]")),MATCH(vp.tbl[[#This Row],[SDate]],weather.tbl[Date],0))</f>
        <v>-20.716666666666665</v>
      </c>
      <c r="O399" s="2">
        <f ca="1">INDEX(INDIRECT(_xlfn.CONCAT("weather.tbl[",O$1,"]")),MATCH(vp.tbl[[#This Row],[SDate]],weather.tbl[Date],0))</f>
        <v>-21.040476190476191</v>
      </c>
      <c r="P399" s="2">
        <f ca="1">INDEX(INDIRECT(_xlfn.CONCAT("weather.tbl[",P$1,"]")),MATCH(vp.tbl[[#This Row],[SDate]],weather.tbl[Date],0))</f>
        <v>-21.2</v>
      </c>
      <c r="Q399" s="2">
        <f ca="1">INDEX(INDIRECT(_xlfn.CONCAT("weather.tbl[",Q$1,"]")),MATCH(vp.tbl[[#This Row],[SDate]],weather.tbl[Date],0))</f>
        <v>-19.399999999999999</v>
      </c>
      <c r="R399" s="2">
        <f ca="1">INDEX(INDIRECT(_xlfn.CONCAT("weather.tbl[",R$1,"]")),MATCH(vp.tbl[[#This Row],[SDate]],weather.tbl[Date],0))</f>
        <v>-21.8</v>
      </c>
      <c r="S399" s="2">
        <f ca="1">INDEX(INDIRECT(_xlfn.CONCAT("weather.tbl[",S$1,"]")),MATCH(vp.tbl[[#This Row],[SDate]],weather.tbl[Date],0))</f>
        <v>-19.3</v>
      </c>
      <c r="T399" s="2">
        <f ca="1">INDEX(INDIRECT(_xlfn.CONCAT("weather.tbl[",T$1,"]")),MATCH(vp.tbl[[#This Row],[SDate]],weather.tbl[Date],0))</f>
        <v>-21.1</v>
      </c>
      <c r="U399" s="2">
        <f ca="1">INDEX(INDIRECT(_xlfn.CONCAT("weather.tbl[",U$1,"]")),MATCH(vp.tbl[[#This Row],[SDate]],weather.tbl[Date],0))</f>
        <v>-21.5</v>
      </c>
      <c r="V399" s="2">
        <v>7387.0110000000004</v>
      </c>
      <c r="W399" t="s">
        <v>48</v>
      </c>
      <c r="X399">
        <f>IF(OR(vp.tbl[[#This Row],[Sulf]]="",vp.tbl[[#This Row],[Dens]]=""),1,0)</f>
        <v>0</v>
      </c>
      <c r="Y399">
        <f>IF(vp.tbl[[#This Row],[CrudeType]]="C5+",1,0)</f>
        <v>0</v>
      </c>
      <c r="Z399">
        <f>IF(AND(vp.tbl[[#This Row],[CrudeType]]="Crude",vp.tbl[[#This Row],[Dens]]&lt;=825,vp.tbl[[#This Row],[Sulf]]&gt;0.5,vp.tbl[[#This Row],[Unknown]]=0),1,0)</f>
        <v>0</v>
      </c>
      <c r="AA399">
        <f>IF(AND(vp.tbl[[#This Row],[CrudeType]]="Crude",vp.tbl[[#This Row],[Dens]]&lt;=825,vp.tbl[[#This Row],[Sulf]]&lt;=0.5,vp.tbl[[#This Row],[Unknown]]=0),1,0)</f>
        <v>0</v>
      </c>
      <c r="AB399">
        <f>IF(AND(vp.tbl[[#This Row],[CrudeType]]="Crude",vp.tbl[[#This Row],[Dens]]&gt;825,vp.tbl[[#This Row],[Dens]]&lt;=870,vp.tbl[[#This Row],[Sulf]]&gt;0.5,vp.tbl[[#This Row],[Unknown]]=0),1,0)</f>
        <v>1</v>
      </c>
      <c r="AC399">
        <f>IF(AND(vp.tbl[[#This Row],[CrudeType]]="Crude",vp.tbl[[#This Row],[Dens]]&gt;825,vp.tbl[[#This Row],[Dens]]&lt;=900,vp.tbl[[#This Row],[Sulf]]&lt;=0.5,vp.tbl[[#This Row],[Unknown]]=0),1,0)</f>
        <v>0</v>
      </c>
      <c r="AD399">
        <f>IF(AND(vp.tbl[[#This Row],[CrudeType]]="Crude",vp.tbl[[#This Row],[Dens]]&gt;870,vp.tbl[[#This Row],[Dens]]&lt;=900,vp.tbl[[#This Row],[Sulf]]&gt;0.5,vp.tbl[[#This Row],[Unknown]]=0),1,0)</f>
        <v>0</v>
      </c>
      <c r="AE399">
        <f>IF(AND(vp.tbl[[#This Row],[CrudeType]]="Crude",vp.tbl[[#This Row],[Dens]]&gt;900,vp.tbl[[#This Row],[Sulf]]&lt;=0.5,vp.tbl[[#This Row],[Unknown]]=0),1,0)</f>
        <v>0</v>
      </c>
      <c r="AF399">
        <f>IF(AND(vp.tbl[[#This Row],[CrudeType]]="Crude",vp.tbl[[#This Row],[Dens]]&gt;900,vp.tbl[[#This Row],[Sulf]]&lt;=0.5,vp.tbl[[#This Row],[Unknown]]=0),1,0)</f>
        <v>0</v>
      </c>
      <c r="AG399" t="str">
        <f>INDEX(vp.tbl[[#Headers],[Unknown]:[Heavy_SW]],MATCH(1,vp.tbl[[#This Row],[Unknown]:[Heavy_SW]],0))</f>
        <v>Medium_LSB</v>
      </c>
      <c r="AH399" t="e">
        <f>INDEX([1]!crudeBD.lkup[Number],MATCH(vp.tbl[[#This Row],[Crude_Breakdown]],[1]!crudeBD.lkup[Crude Breakdown],0))</f>
        <v>#REF!</v>
      </c>
      <c r="AI399">
        <f>MONTH(vp.tbl[[#This Row],[SDate]])</f>
        <v>12</v>
      </c>
      <c r="AJ399" s="5">
        <f>IFERROR(vp.tbl[[#This Row],[Sulf]]*vp.tbl[[#This Row],[Net Dens]],"")</f>
        <v>8915073.3214379996</v>
      </c>
      <c r="AK399" s="5">
        <f>IFERROR(vp.tbl[[#This Row],[Dens]]*vp.tbl[[#This Row],[VolumeM3]],"")</f>
        <v>6278220.6489000004</v>
      </c>
      <c r="AL399" s="5">
        <f>IFERROR(vp.tbl[[#This Row],[VP]]*vp.tbl[[#This Row],[VolumeM3]],"")</f>
        <v>724665.77910000004</v>
      </c>
      <c r="AM399" s="4">
        <f>IFERROR((vp.tbl[[#This Row],[VP]]-INDEX(crudeBD.lkup.complete[Mean_VP],MATCH(vp.tbl[[#This Row],[Crude_Breakdown]],crudeBD.lkup.complete[Crude Breakdown],0)))^2,"")</f>
        <v>321.35599849319129</v>
      </c>
      <c r="AN399" s="4">
        <f>IFERROR((vp.tbl[[#This Row],[Dens]]-INDEX(crudeBD.lkup.complete[Mean_Dens],MATCH(vp.tbl[[#This Row],[Crude_Breakdown]],crudeBD.lkup.complete[Crude Breakdown],0)))^2,"")</f>
        <v>21.235297246603963</v>
      </c>
      <c r="AO399" s="4">
        <f>IFERROR((vp.tbl[[#This Row],[Sulf]]-INDEX(crudeBD.lkup.complete[Mean_Sulf],MATCH(vp.tbl[[#This Row],[Crude_Breakdown]],crudeBD.lkup.complete[Crude Breakdown],0)))^2,"")</f>
        <v>1.2200951726777241E-3</v>
      </c>
      <c r="AP399">
        <f>IF(AND(vp.tbl[[#This Row],[SDate]]&gt;=DATE(YEAR(vp.tbl[[#This Row],[SDate]]),5,1),vp.tbl[[#This Row],[SDate]]&lt;=DATE(YEAR(vp.tbl[[#This Row],[SDate]]),9,15)),1,0)</f>
        <v>0</v>
      </c>
      <c r="AQ399" s="15">
        <f>IF(vp.tbl[[#This Row],[SDate]]&lt;DATE(2016,12,1),0,1)</f>
        <v>1</v>
      </c>
    </row>
    <row r="400" spans="1:43" x14ac:dyDescent="0.25">
      <c r="A400">
        <v>399</v>
      </c>
      <c r="B400" t="s">
        <v>60</v>
      </c>
      <c r="C400" t="s">
        <v>60</v>
      </c>
      <c r="D400" t="s">
        <v>61</v>
      </c>
      <c r="E400" t="s">
        <v>55</v>
      </c>
      <c r="F400" s="1">
        <v>42716</v>
      </c>
      <c r="G400" s="2">
        <v>113.3</v>
      </c>
      <c r="H400" s="2">
        <v>1.2964</v>
      </c>
      <c r="I400" s="2">
        <v>1.2964</v>
      </c>
      <c r="J400" s="2">
        <v>4</v>
      </c>
      <c r="K400" s="2">
        <v>-24</v>
      </c>
      <c r="L400" s="2">
        <v>838.7</v>
      </c>
      <c r="M400" s="2">
        <v>838.7</v>
      </c>
      <c r="N400" s="2">
        <f ca="1">INDEX(INDIRECT(_xlfn.CONCAT("weather.tbl[",N$1,"]")),MATCH(vp.tbl[[#This Row],[SDate]],weather.tbl[Date],0))</f>
        <v>-20.716666666666665</v>
      </c>
      <c r="O400" s="2">
        <f ca="1">INDEX(INDIRECT(_xlfn.CONCAT("weather.tbl[",O$1,"]")),MATCH(vp.tbl[[#This Row],[SDate]],weather.tbl[Date],0))</f>
        <v>-21.040476190476191</v>
      </c>
      <c r="P400" s="2">
        <f ca="1">INDEX(INDIRECT(_xlfn.CONCAT("weather.tbl[",P$1,"]")),MATCH(vp.tbl[[#This Row],[SDate]],weather.tbl[Date],0))</f>
        <v>-21.2</v>
      </c>
      <c r="Q400" s="2">
        <f ca="1">INDEX(INDIRECT(_xlfn.CONCAT("weather.tbl[",Q$1,"]")),MATCH(vp.tbl[[#This Row],[SDate]],weather.tbl[Date],0))</f>
        <v>-19.399999999999999</v>
      </c>
      <c r="R400" s="2">
        <f ca="1">INDEX(INDIRECT(_xlfn.CONCAT("weather.tbl[",R$1,"]")),MATCH(vp.tbl[[#This Row],[SDate]],weather.tbl[Date],0))</f>
        <v>-21.8</v>
      </c>
      <c r="S400" s="2">
        <f ca="1">INDEX(INDIRECT(_xlfn.CONCAT("weather.tbl[",S$1,"]")),MATCH(vp.tbl[[#This Row],[SDate]],weather.tbl[Date],0))</f>
        <v>-19.3</v>
      </c>
      <c r="T400" s="2">
        <f ca="1">INDEX(INDIRECT(_xlfn.CONCAT("weather.tbl[",T$1,"]")),MATCH(vp.tbl[[#This Row],[SDate]],weather.tbl[Date],0))</f>
        <v>-21.1</v>
      </c>
      <c r="U400" s="2">
        <f ca="1">INDEX(INDIRECT(_xlfn.CONCAT("weather.tbl[",U$1,"]")),MATCH(vp.tbl[[#This Row],[SDate]],weather.tbl[Date],0))</f>
        <v>-21.5</v>
      </c>
      <c r="V400" s="2">
        <v>106852.554</v>
      </c>
      <c r="W400" t="s">
        <v>48</v>
      </c>
      <c r="X400">
        <f>IF(OR(vp.tbl[[#This Row],[Sulf]]="",vp.tbl[[#This Row],[Dens]]=""),1,0)</f>
        <v>0</v>
      </c>
      <c r="Y400">
        <f>IF(vp.tbl[[#This Row],[CrudeType]]="C5+",1,0)</f>
        <v>0</v>
      </c>
      <c r="Z400">
        <f>IF(AND(vp.tbl[[#This Row],[CrudeType]]="Crude",vp.tbl[[#This Row],[Dens]]&lt;=825,vp.tbl[[#This Row],[Sulf]]&gt;0.5,vp.tbl[[#This Row],[Unknown]]=0),1,0)</f>
        <v>0</v>
      </c>
      <c r="AA400">
        <f>IF(AND(vp.tbl[[#This Row],[CrudeType]]="Crude",vp.tbl[[#This Row],[Dens]]&lt;=825,vp.tbl[[#This Row],[Sulf]]&lt;=0.5,vp.tbl[[#This Row],[Unknown]]=0),1,0)</f>
        <v>0</v>
      </c>
      <c r="AB400">
        <f>IF(AND(vp.tbl[[#This Row],[CrudeType]]="Crude",vp.tbl[[#This Row],[Dens]]&gt;825,vp.tbl[[#This Row],[Dens]]&lt;=870,vp.tbl[[#This Row],[Sulf]]&gt;0.5,vp.tbl[[#This Row],[Unknown]]=0),1,0)</f>
        <v>1</v>
      </c>
      <c r="AC400">
        <f>IF(AND(vp.tbl[[#This Row],[CrudeType]]="Crude",vp.tbl[[#This Row],[Dens]]&gt;825,vp.tbl[[#This Row],[Dens]]&lt;=900,vp.tbl[[#This Row],[Sulf]]&lt;=0.5,vp.tbl[[#This Row],[Unknown]]=0),1,0)</f>
        <v>0</v>
      </c>
      <c r="AD400">
        <f>IF(AND(vp.tbl[[#This Row],[CrudeType]]="Crude",vp.tbl[[#This Row],[Dens]]&gt;870,vp.tbl[[#This Row],[Dens]]&lt;=900,vp.tbl[[#This Row],[Sulf]]&gt;0.5,vp.tbl[[#This Row],[Unknown]]=0),1,0)</f>
        <v>0</v>
      </c>
      <c r="AE400">
        <f>IF(AND(vp.tbl[[#This Row],[CrudeType]]="Crude",vp.tbl[[#This Row],[Dens]]&gt;900,vp.tbl[[#This Row],[Sulf]]&lt;=0.5,vp.tbl[[#This Row],[Unknown]]=0),1,0)</f>
        <v>0</v>
      </c>
      <c r="AF400">
        <f>IF(AND(vp.tbl[[#This Row],[CrudeType]]="Crude",vp.tbl[[#This Row],[Dens]]&gt;900,vp.tbl[[#This Row],[Sulf]]&lt;=0.5,vp.tbl[[#This Row],[Unknown]]=0),1,0)</f>
        <v>0</v>
      </c>
      <c r="AG400" t="str">
        <f>INDEX(vp.tbl[[#Headers],[Unknown]:[Heavy_SW]],MATCH(1,vp.tbl[[#This Row],[Unknown]:[Heavy_SW]],0))</f>
        <v>Medium_LSB</v>
      </c>
      <c r="AH400" t="e">
        <f>INDEX([1]!crudeBD.lkup[Number],MATCH(vp.tbl[[#This Row],[Crude_Breakdown]],[1]!crudeBD.lkup[Crude Breakdown],0))</f>
        <v>#REF!</v>
      </c>
      <c r="AI400">
        <f>MONTH(vp.tbl[[#This Row],[SDate]])</f>
        <v>12</v>
      </c>
      <c r="AJ400" s="5">
        <f>IFERROR(vp.tbl[[#This Row],[Sulf]]*vp.tbl[[#This Row],[Net Dens]],"")</f>
        <v>116179786.09839672</v>
      </c>
      <c r="AK400" s="5">
        <f>IFERROR(vp.tbl[[#This Row],[Dens]]*vp.tbl[[#This Row],[VolumeM3]],"")</f>
        <v>89617237.039800003</v>
      </c>
      <c r="AL400" s="5">
        <f>IFERROR(vp.tbl[[#This Row],[VP]]*vp.tbl[[#This Row],[VolumeM3]],"")</f>
        <v>12106394.3682</v>
      </c>
      <c r="AM400" s="4">
        <f>IFERROR((vp.tbl[[#This Row],[VP]]-INDEX(crudeBD.lkup.complete[Mean_VP],MATCH(vp.tbl[[#This Row],[Crude_Breakdown]],crudeBD.lkup.complete[Crude Breakdown],0)))^2,"")</f>
        <v>1097.3587124172432</v>
      </c>
      <c r="AN400" s="4">
        <f>IFERROR((vp.tbl[[#This Row],[Dens]]-INDEX(crudeBD.lkup.complete[Mean_Dens],MATCH(vp.tbl[[#This Row],[Crude_Breakdown]],crudeBD.lkup.complete[Crude Breakdown],0)))^2,"")</f>
        <v>43.452127626328348</v>
      </c>
      <c r="AO400" s="4">
        <f>IFERROR((vp.tbl[[#This Row],[Sulf]]-INDEX(crudeBD.lkup.complete[Mean_Sulf],MATCH(vp.tbl[[#This Row],[Crude_Breakdown]],crudeBD.lkup.complete[Crude Breakdown],0)))^2,"")</f>
        <v>2.5131716752424923E-2</v>
      </c>
      <c r="AP400">
        <f>IF(AND(vp.tbl[[#This Row],[SDate]]&gt;=DATE(YEAR(vp.tbl[[#This Row],[SDate]]),5,1),vp.tbl[[#This Row],[SDate]]&lt;=DATE(YEAR(vp.tbl[[#This Row],[SDate]]),9,15)),1,0)</f>
        <v>0</v>
      </c>
      <c r="AQ400" s="15">
        <f>IF(vp.tbl[[#This Row],[SDate]]&lt;DATE(2016,12,1),0,1)</f>
        <v>1</v>
      </c>
    </row>
    <row r="401" spans="1:43" x14ac:dyDescent="0.25">
      <c r="A401">
        <v>400</v>
      </c>
      <c r="B401" t="s">
        <v>49</v>
      </c>
      <c r="C401" t="s">
        <v>49</v>
      </c>
      <c r="D401" t="s">
        <v>81</v>
      </c>
      <c r="F401" s="1">
        <v>42717</v>
      </c>
      <c r="G401" s="2">
        <v>95.3</v>
      </c>
      <c r="H401" s="2">
        <v>0.50931999999999999</v>
      </c>
      <c r="I401" s="2">
        <v>0.50931999999999999</v>
      </c>
      <c r="J401" s="2">
        <v>1.9</v>
      </c>
      <c r="K401" s="2">
        <v>-25</v>
      </c>
      <c r="L401" s="2">
        <v>812</v>
      </c>
      <c r="M401" s="2">
        <v>812</v>
      </c>
      <c r="N401" s="2">
        <f ca="1">INDEX(INDIRECT(_xlfn.CONCAT("weather.tbl[",N$1,"]")),MATCH(vp.tbl[[#This Row],[SDate]],weather.tbl[Date],0))</f>
        <v>-17.95</v>
      </c>
      <c r="O401" s="2">
        <f ca="1">INDEX(INDIRECT(_xlfn.CONCAT("weather.tbl[",O$1,"]")),MATCH(vp.tbl[[#This Row],[SDate]],weather.tbl[Date],0))</f>
        <v>-21.723809523809525</v>
      </c>
      <c r="P401" s="2">
        <f ca="1">INDEX(INDIRECT(_xlfn.CONCAT("weather.tbl[",P$1,"]")),MATCH(vp.tbl[[#This Row],[SDate]],weather.tbl[Date],0))</f>
        <v>-18.100000000000001</v>
      </c>
      <c r="Q401" s="2">
        <f ca="1">INDEX(INDIRECT(_xlfn.CONCAT("weather.tbl[",Q$1,"]")),MATCH(vp.tbl[[#This Row],[SDate]],weather.tbl[Date],0))</f>
        <v>-17.8</v>
      </c>
      <c r="R401" s="2">
        <f ca="1">INDEX(INDIRECT(_xlfn.CONCAT("weather.tbl[",R$1,"]")),MATCH(vp.tbl[[#This Row],[SDate]],weather.tbl[Date],0))</f>
        <v>-18.3</v>
      </c>
      <c r="S401" s="2">
        <f ca="1">INDEX(INDIRECT(_xlfn.CONCAT("weather.tbl[",S$1,"]")),MATCH(vp.tbl[[#This Row],[SDate]],weather.tbl[Date],0))</f>
        <v>-17</v>
      </c>
      <c r="T401" s="2">
        <f ca="1">INDEX(INDIRECT(_xlfn.CONCAT("weather.tbl[",T$1,"]")),MATCH(vp.tbl[[#This Row],[SDate]],weather.tbl[Date],0))</f>
        <v>-18</v>
      </c>
      <c r="U401" s="2">
        <f ca="1">INDEX(INDIRECT(_xlfn.CONCAT("weather.tbl[",U$1,"]")),MATCH(vp.tbl[[#This Row],[SDate]],weather.tbl[Date],0))</f>
        <v>-18.5</v>
      </c>
      <c r="V401" s="2">
        <v>18538.562000000002</v>
      </c>
      <c r="W401" t="s">
        <v>48</v>
      </c>
      <c r="X401">
        <f>IF(OR(vp.tbl[[#This Row],[Sulf]]="",vp.tbl[[#This Row],[Dens]]=""),1,0)</f>
        <v>0</v>
      </c>
      <c r="Y401">
        <f>IF(vp.tbl[[#This Row],[CrudeType]]="C5+",1,0)</f>
        <v>0</v>
      </c>
      <c r="Z401">
        <f>IF(AND(vp.tbl[[#This Row],[CrudeType]]="Crude",vp.tbl[[#This Row],[Dens]]&lt;=825,vp.tbl[[#This Row],[Sulf]]&gt;0.5,vp.tbl[[#This Row],[Unknown]]=0),1,0)</f>
        <v>1</v>
      </c>
      <c r="AA401">
        <f>IF(AND(vp.tbl[[#This Row],[CrudeType]]="Crude",vp.tbl[[#This Row],[Dens]]&lt;=825,vp.tbl[[#This Row],[Sulf]]&lt;=0.5,vp.tbl[[#This Row],[Unknown]]=0),1,0)</f>
        <v>0</v>
      </c>
      <c r="AB401">
        <f>IF(AND(vp.tbl[[#This Row],[CrudeType]]="Crude",vp.tbl[[#This Row],[Dens]]&gt;825,vp.tbl[[#This Row],[Dens]]&lt;=870,vp.tbl[[#This Row],[Sulf]]&gt;0.5,vp.tbl[[#This Row],[Unknown]]=0),1,0)</f>
        <v>0</v>
      </c>
      <c r="AC401">
        <f>IF(AND(vp.tbl[[#This Row],[CrudeType]]="Crude",vp.tbl[[#This Row],[Dens]]&gt;825,vp.tbl[[#This Row],[Dens]]&lt;=900,vp.tbl[[#This Row],[Sulf]]&lt;=0.5,vp.tbl[[#This Row],[Unknown]]=0),1,0)</f>
        <v>0</v>
      </c>
      <c r="AD401">
        <f>IF(AND(vp.tbl[[#This Row],[CrudeType]]="Crude",vp.tbl[[#This Row],[Dens]]&gt;870,vp.tbl[[#This Row],[Dens]]&lt;=900,vp.tbl[[#This Row],[Sulf]]&gt;0.5,vp.tbl[[#This Row],[Unknown]]=0),1,0)</f>
        <v>0</v>
      </c>
      <c r="AE401">
        <f>IF(AND(vp.tbl[[#This Row],[CrudeType]]="Crude",vp.tbl[[#This Row],[Dens]]&gt;900,vp.tbl[[#This Row],[Sulf]]&lt;=0.5,vp.tbl[[#This Row],[Unknown]]=0),1,0)</f>
        <v>0</v>
      </c>
      <c r="AF401">
        <f>IF(AND(vp.tbl[[#This Row],[CrudeType]]="Crude",vp.tbl[[#This Row],[Dens]]&gt;900,vp.tbl[[#This Row],[Sulf]]&lt;=0.5,vp.tbl[[#This Row],[Unknown]]=0),1,0)</f>
        <v>0</v>
      </c>
      <c r="AG401" t="str">
        <f>INDEX(vp.tbl[[#Headers],[Unknown]:[Heavy_SW]],MATCH(1,vp.tbl[[#This Row],[Unknown]:[Heavy_SW]],0))</f>
        <v>Light_LSB</v>
      </c>
      <c r="AH401" t="e">
        <f>INDEX([1]!crudeBD.lkup[Number],MATCH(vp.tbl[[#This Row],[Crude_Breakdown]],[1]!crudeBD.lkup[Crude Breakdown],0))</f>
        <v>#REF!</v>
      </c>
      <c r="AI401">
        <f>MONTH(vp.tbl[[#This Row],[SDate]])</f>
        <v>12</v>
      </c>
      <c r="AJ401" s="5">
        <f>IFERROR(vp.tbl[[#This Row],[Sulf]]*vp.tbl[[#This Row],[Net Dens]],"")</f>
        <v>7666953.0430460805</v>
      </c>
      <c r="AK401" s="5">
        <f>IFERROR(vp.tbl[[#This Row],[Dens]]*vp.tbl[[#This Row],[VolumeM3]],"")</f>
        <v>15053312.344000001</v>
      </c>
      <c r="AL401" s="5">
        <f>IFERROR(vp.tbl[[#This Row],[VP]]*vp.tbl[[#This Row],[VolumeM3]],"")</f>
        <v>1766724.9586</v>
      </c>
      <c r="AM401" s="4">
        <f>IFERROR((vp.tbl[[#This Row],[VP]]-INDEX(crudeBD.lkup.complete[Mean_VP],MATCH(vp.tbl[[#This Row],[Crude_Breakdown]],crudeBD.lkup.complete[Crude Breakdown],0)))^2,"")</f>
        <v>14.091122797321459</v>
      </c>
      <c r="AN401" s="4">
        <f>IFERROR((vp.tbl[[#This Row],[Dens]]-INDEX(crudeBD.lkup.complete[Mean_Dens],MATCH(vp.tbl[[#This Row],[Crude_Breakdown]],crudeBD.lkup.complete[Crude Breakdown],0)))^2,"")</f>
        <v>42.468288097680158</v>
      </c>
      <c r="AO401" s="4">
        <f>IFERROR((vp.tbl[[#This Row],[Sulf]]-INDEX(crudeBD.lkup.complete[Mean_Sulf],MATCH(vp.tbl[[#This Row],[Crude_Breakdown]],crudeBD.lkup.complete[Crude Breakdown],0)))^2,"")</f>
        <v>0.17110728910617592</v>
      </c>
      <c r="AP401">
        <f>IF(AND(vp.tbl[[#This Row],[SDate]]&gt;=DATE(YEAR(vp.tbl[[#This Row],[SDate]]),5,1),vp.tbl[[#This Row],[SDate]]&lt;=DATE(YEAR(vp.tbl[[#This Row],[SDate]]),9,15)),1,0)</f>
        <v>0</v>
      </c>
      <c r="AQ401" s="15">
        <f>IF(vp.tbl[[#This Row],[SDate]]&lt;DATE(2016,12,1),0,1)</f>
        <v>1</v>
      </c>
    </row>
    <row r="402" spans="1:43" x14ac:dyDescent="0.25">
      <c r="A402">
        <v>401</v>
      </c>
      <c r="B402" t="s">
        <v>96</v>
      </c>
      <c r="C402" t="s">
        <v>96</v>
      </c>
      <c r="D402" t="s">
        <v>97</v>
      </c>
      <c r="F402" s="1">
        <v>42717</v>
      </c>
      <c r="G402" s="2">
        <v>93.9</v>
      </c>
      <c r="H402" s="2">
        <v>0.80218999999999996</v>
      </c>
      <c r="I402" s="2">
        <v>0.80218999999999996</v>
      </c>
      <c r="J402" s="2">
        <v>16</v>
      </c>
      <c r="K402" s="2">
        <v>-25</v>
      </c>
      <c r="L402" s="2">
        <v>825.7</v>
      </c>
      <c r="M402" s="2">
        <v>825.7</v>
      </c>
      <c r="N402" s="2">
        <f ca="1">INDEX(INDIRECT(_xlfn.CONCAT("weather.tbl[",N$1,"]")),MATCH(vp.tbl[[#This Row],[SDate]],weather.tbl[Date],0))</f>
        <v>-17.95</v>
      </c>
      <c r="O402" s="2">
        <f ca="1">INDEX(INDIRECT(_xlfn.CONCAT("weather.tbl[",O$1,"]")),MATCH(vp.tbl[[#This Row],[SDate]],weather.tbl[Date],0))</f>
        <v>-21.723809523809525</v>
      </c>
      <c r="P402" s="2">
        <f ca="1">INDEX(INDIRECT(_xlfn.CONCAT("weather.tbl[",P$1,"]")),MATCH(vp.tbl[[#This Row],[SDate]],weather.tbl[Date],0))</f>
        <v>-18.100000000000001</v>
      </c>
      <c r="Q402" s="2">
        <f ca="1">INDEX(INDIRECT(_xlfn.CONCAT("weather.tbl[",Q$1,"]")),MATCH(vp.tbl[[#This Row],[SDate]],weather.tbl[Date],0))</f>
        <v>-17.8</v>
      </c>
      <c r="R402" s="2">
        <f ca="1">INDEX(INDIRECT(_xlfn.CONCAT("weather.tbl[",R$1,"]")),MATCH(vp.tbl[[#This Row],[SDate]],weather.tbl[Date],0))</f>
        <v>-18.3</v>
      </c>
      <c r="S402" s="2">
        <f ca="1">INDEX(INDIRECT(_xlfn.CONCAT("weather.tbl[",S$1,"]")),MATCH(vp.tbl[[#This Row],[SDate]],weather.tbl[Date],0))</f>
        <v>-17</v>
      </c>
      <c r="T402" s="2">
        <f ca="1">INDEX(INDIRECT(_xlfn.CONCAT("weather.tbl[",T$1,"]")),MATCH(vp.tbl[[#This Row],[SDate]],weather.tbl[Date],0))</f>
        <v>-18</v>
      </c>
      <c r="U402" s="2">
        <f ca="1">INDEX(INDIRECT(_xlfn.CONCAT("weather.tbl[",U$1,"]")),MATCH(vp.tbl[[#This Row],[SDate]],weather.tbl[Date],0))</f>
        <v>-18.5</v>
      </c>
      <c r="V402" s="2">
        <v>8019.8959999999997</v>
      </c>
      <c r="W402" t="s">
        <v>48</v>
      </c>
      <c r="X402">
        <f>IF(OR(vp.tbl[[#This Row],[Sulf]]="",vp.tbl[[#This Row],[Dens]]=""),1,0)</f>
        <v>0</v>
      </c>
      <c r="Y402">
        <f>IF(vp.tbl[[#This Row],[CrudeType]]="C5+",1,0)</f>
        <v>0</v>
      </c>
      <c r="Z402">
        <f>IF(AND(vp.tbl[[#This Row],[CrudeType]]="Crude",vp.tbl[[#This Row],[Dens]]&lt;=825,vp.tbl[[#This Row],[Sulf]]&gt;0.5,vp.tbl[[#This Row],[Unknown]]=0),1,0)</f>
        <v>0</v>
      </c>
      <c r="AA402">
        <f>IF(AND(vp.tbl[[#This Row],[CrudeType]]="Crude",vp.tbl[[#This Row],[Dens]]&lt;=825,vp.tbl[[#This Row],[Sulf]]&lt;=0.5,vp.tbl[[#This Row],[Unknown]]=0),1,0)</f>
        <v>0</v>
      </c>
      <c r="AB402">
        <f>IF(AND(vp.tbl[[#This Row],[CrudeType]]="Crude",vp.tbl[[#This Row],[Dens]]&gt;825,vp.tbl[[#This Row],[Dens]]&lt;=870,vp.tbl[[#This Row],[Sulf]]&gt;0.5,vp.tbl[[#This Row],[Unknown]]=0),1,0)</f>
        <v>1</v>
      </c>
      <c r="AC402">
        <f>IF(AND(vp.tbl[[#This Row],[CrudeType]]="Crude",vp.tbl[[#This Row],[Dens]]&gt;825,vp.tbl[[#This Row],[Dens]]&lt;=900,vp.tbl[[#This Row],[Sulf]]&lt;=0.5,vp.tbl[[#This Row],[Unknown]]=0),1,0)</f>
        <v>0</v>
      </c>
      <c r="AD402">
        <f>IF(AND(vp.tbl[[#This Row],[CrudeType]]="Crude",vp.tbl[[#This Row],[Dens]]&gt;870,vp.tbl[[#This Row],[Dens]]&lt;=900,vp.tbl[[#This Row],[Sulf]]&gt;0.5,vp.tbl[[#This Row],[Unknown]]=0),1,0)</f>
        <v>0</v>
      </c>
      <c r="AE402">
        <f>IF(AND(vp.tbl[[#This Row],[CrudeType]]="Crude",vp.tbl[[#This Row],[Dens]]&gt;900,vp.tbl[[#This Row],[Sulf]]&lt;=0.5,vp.tbl[[#This Row],[Unknown]]=0),1,0)</f>
        <v>0</v>
      </c>
      <c r="AF402">
        <f>IF(AND(vp.tbl[[#This Row],[CrudeType]]="Crude",vp.tbl[[#This Row],[Dens]]&gt;900,vp.tbl[[#This Row],[Sulf]]&lt;=0.5,vp.tbl[[#This Row],[Unknown]]=0),1,0)</f>
        <v>0</v>
      </c>
      <c r="AG402" t="str">
        <f>INDEX(vp.tbl[[#Headers],[Unknown]:[Heavy_SW]],MATCH(1,vp.tbl[[#This Row],[Unknown]:[Heavy_SW]],0))</f>
        <v>Medium_LSB</v>
      </c>
      <c r="AH402" t="e">
        <f>INDEX([1]!crudeBD.lkup[Number],MATCH(vp.tbl[[#This Row],[Crude_Breakdown]],[1]!crudeBD.lkup[Crude Breakdown],0))</f>
        <v>#REF!</v>
      </c>
      <c r="AI402">
        <f>MONTH(vp.tbl[[#This Row],[SDate]])</f>
        <v>12</v>
      </c>
      <c r="AJ402" s="5">
        <f>IFERROR(vp.tbl[[#This Row],[Sulf]]*vp.tbl[[#This Row],[Net Dens]],"")</f>
        <v>5312124.7433585674</v>
      </c>
      <c r="AK402" s="5">
        <f>IFERROR(vp.tbl[[#This Row],[Dens]]*vp.tbl[[#This Row],[VolumeM3]],"")</f>
        <v>6622028.1272</v>
      </c>
      <c r="AL402" s="5">
        <f>IFERROR(vp.tbl[[#This Row],[VP]]*vp.tbl[[#This Row],[VolumeM3]],"")</f>
        <v>753068.23440000007</v>
      </c>
      <c r="AM402" s="4">
        <f>IFERROR((vp.tbl[[#This Row],[VP]]-INDEX(crudeBD.lkup.complete[Mean_VP],MATCH(vp.tbl[[#This Row],[Crude_Breakdown]],crudeBD.lkup.complete[Crude Breakdown],0)))^2,"")</f>
        <v>188.4141959615458</v>
      </c>
      <c r="AN402" s="4">
        <f>IFERROR((vp.tbl[[#This Row],[Dens]]-INDEX(crudeBD.lkup.complete[Mean_Dens],MATCH(vp.tbl[[#This Row],[Crude_Breakdown]],crudeBD.lkup.complete[Crude Breakdown],0)))^2,"")</f>
        <v>383.83952003136488</v>
      </c>
      <c r="AO402" s="4">
        <f>IFERROR((vp.tbl[[#This Row],[Sulf]]-INDEX(crudeBD.lkup.complete[Mean_Sulf],MATCH(vp.tbl[[#This Row],[Crude_Breakdown]],crudeBD.lkup.complete[Crude Breakdown],0)))^2,"")</f>
        <v>0.42606932582432516</v>
      </c>
      <c r="AP402">
        <f>IF(AND(vp.tbl[[#This Row],[SDate]]&gt;=DATE(YEAR(vp.tbl[[#This Row],[SDate]]),5,1),vp.tbl[[#This Row],[SDate]]&lt;=DATE(YEAR(vp.tbl[[#This Row],[SDate]]),9,15)),1,0)</f>
        <v>0</v>
      </c>
      <c r="AQ402" s="15">
        <f>IF(vp.tbl[[#This Row],[SDate]]&lt;DATE(2016,12,1),0,1)</f>
        <v>1</v>
      </c>
    </row>
    <row r="403" spans="1:43" x14ac:dyDescent="0.25">
      <c r="A403">
        <v>402</v>
      </c>
      <c r="B403" t="s">
        <v>51</v>
      </c>
      <c r="C403" t="s">
        <v>51</v>
      </c>
      <c r="D403" t="s">
        <v>72</v>
      </c>
      <c r="F403" s="1">
        <v>42717</v>
      </c>
      <c r="G403" s="2">
        <v>104.4</v>
      </c>
      <c r="H403" s="2">
        <v>0.97926999999999997</v>
      </c>
      <c r="I403" s="2">
        <v>0.97926999999999997</v>
      </c>
      <c r="J403" s="2">
        <v>10.7</v>
      </c>
      <c r="K403" s="2">
        <v>-25</v>
      </c>
      <c r="L403" s="2">
        <v>832</v>
      </c>
      <c r="M403" s="2">
        <v>832</v>
      </c>
      <c r="N403" s="2">
        <f ca="1">INDEX(INDIRECT(_xlfn.CONCAT("weather.tbl[",N$1,"]")),MATCH(vp.tbl[[#This Row],[SDate]],weather.tbl[Date],0))</f>
        <v>-17.95</v>
      </c>
      <c r="O403" s="2">
        <f ca="1">INDEX(INDIRECT(_xlfn.CONCAT("weather.tbl[",O$1,"]")),MATCH(vp.tbl[[#This Row],[SDate]],weather.tbl[Date],0))</f>
        <v>-21.723809523809525</v>
      </c>
      <c r="P403" s="2">
        <f ca="1">INDEX(INDIRECT(_xlfn.CONCAT("weather.tbl[",P$1,"]")),MATCH(vp.tbl[[#This Row],[SDate]],weather.tbl[Date],0))</f>
        <v>-18.100000000000001</v>
      </c>
      <c r="Q403" s="2">
        <f ca="1">INDEX(INDIRECT(_xlfn.CONCAT("weather.tbl[",Q$1,"]")),MATCH(vp.tbl[[#This Row],[SDate]],weather.tbl[Date],0))</f>
        <v>-17.8</v>
      </c>
      <c r="R403" s="2">
        <f ca="1">INDEX(INDIRECT(_xlfn.CONCAT("weather.tbl[",R$1,"]")),MATCH(vp.tbl[[#This Row],[SDate]],weather.tbl[Date],0))</f>
        <v>-18.3</v>
      </c>
      <c r="S403" s="2">
        <f ca="1">INDEX(INDIRECT(_xlfn.CONCAT("weather.tbl[",S$1,"]")),MATCH(vp.tbl[[#This Row],[SDate]],weather.tbl[Date],0))</f>
        <v>-17</v>
      </c>
      <c r="T403" s="2">
        <f ca="1">INDEX(INDIRECT(_xlfn.CONCAT("weather.tbl[",T$1,"]")),MATCH(vp.tbl[[#This Row],[SDate]],weather.tbl[Date],0))</f>
        <v>-18</v>
      </c>
      <c r="U403" s="2">
        <f ca="1">INDEX(INDIRECT(_xlfn.CONCAT("weather.tbl[",U$1,"]")),MATCH(vp.tbl[[#This Row],[SDate]],weather.tbl[Date],0))</f>
        <v>-18.5</v>
      </c>
      <c r="V403" s="2">
        <v>13705.843999999999</v>
      </c>
      <c r="W403" t="s">
        <v>48</v>
      </c>
      <c r="X403">
        <f>IF(OR(vp.tbl[[#This Row],[Sulf]]="",vp.tbl[[#This Row],[Dens]]=""),1,0)</f>
        <v>0</v>
      </c>
      <c r="Y403">
        <f>IF(vp.tbl[[#This Row],[CrudeType]]="C5+",1,0)</f>
        <v>0</v>
      </c>
      <c r="Z403">
        <f>IF(AND(vp.tbl[[#This Row],[CrudeType]]="Crude",vp.tbl[[#This Row],[Dens]]&lt;=825,vp.tbl[[#This Row],[Sulf]]&gt;0.5,vp.tbl[[#This Row],[Unknown]]=0),1,0)</f>
        <v>0</v>
      </c>
      <c r="AA403">
        <f>IF(AND(vp.tbl[[#This Row],[CrudeType]]="Crude",vp.tbl[[#This Row],[Dens]]&lt;=825,vp.tbl[[#This Row],[Sulf]]&lt;=0.5,vp.tbl[[#This Row],[Unknown]]=0),1,0)</f>
        <v>0</v>
      </c>
      <c r="AB403">
        <f>IF(AND(vp.tbl[[#This Row],[CrudeType]]="Crude",vp.tbl[[#This Row],[Dens]]&gt;825,vp.tbl[[#This Row],[Dens]]&lt;=870,vp.tbl[[#This Row],[Sulf]]&gt;0.5,vp.tbl[[#This Row],[Unknown]]=0),1,0)</f>
        <v>1</v>
      </c>
      <c r="AC403">
        <f>IF(AND(vp.tbl[[#This Row],[CrudeType]]="Crude",vp.tbl[[#This Row],[Dens]]&gt;825,vp.tbl[[#This Row],[Dens]]&lt;=900,vp.tbl[[#This Row],[Sulf]]&lt;=0.5,vp.tbl[[#This Row],[Unknown]]=0),1,0)</f>
        <v>0</v>
      </c>
      <c r="AD403">
        <f>IF(AND(vp.tbl[[#This Row],[CrudeType]]="Crude",vp.tbl[[#This Row],[Dens]]&gt;870,vp.tbl[[#This Row],[Dens]]&lt;=900,vp.tbl[[#This Row],[Sulf]]&gt;0.5,vp.tbl[[#This Row],[Unknown]]=0),1,0)</f>
        <v>0</v>
      </c>
      <c r="AE403">
        <f>IF(AND(vp.tbl[[#This Row],[CrudeType]]="Crude",vp.tbl[[#This Row],[Dens]]&gt;900,vp.tbl[[#This Row],[Sulf]]&lt;=0.5,vp.tbl[[#This Row],[Unknown]]=0),1,0)</f>
        <v>0</v>
      </c>
      <c r="AF403">
        <f>IF(AND(vp.tbl[[#This Row],[CrudeType]]="Crude",vp.tbl[[#This Row],[Dens]]&gt;900,vp.tbl[[#This Row],[Sulf]]&lt;=0.5,vp.tbl[[#This Row],[Unknown]]=0),1,0)</f>
        <v>0</v>
      </c>
      <c r="AG403" t="str">
        <f>INDEX(vp.tbl[[#Headers],[Unknown]:[Heavy_SW]],MATCH(1,vp.tbl[[#This Row],[Unknown]:[Heavy_SW]],0))</f>
        <v>Medium_LSB</v>
      </c>
      <c r="AH403" t="e">
        <f>INDEX([1]!crudeBD.lkup[Number],MATCH(vp.tbl[[#This Row],[Crude_Breakdown]],[1]!crudeBD.lkup[Crude Breakdown],0))</f>
        <v>#REF!</v>
      </c>
      <c r="AI403">
        <f>MONTH(vp.tbl[[#This Row],[SDate]])</f>
        <v>12</v>
      </c>
      <c r="AJ403" s="5">
        <f>IFERROR(vp.tbl[[#This Row],[Sulf]]*vp.tbl[[#This Row],[Net Dens]],"")</f>
        <v>11166872.582428159</v>
      </c>
      <c r="AK403" s="5">
        <f>IFERROR(vp.tbl[[#This Row],[Dens]]*vp.tbl[[#This Row],[VolumeM3]],"")</f>
        <v>11403262.207999999</v>
      </c>
      <c r="AL403" s="5">
        <f>IFERROR(vp.tbl[[#This Row],[VP]]*vp.tbl[[#This Row],[VolumeM3]],"")</f>
        <v>1430890.1136</v>
      </c>
      <c r="AM403" s="4">
        <f>IFERROR((vp.tbl[[#This Row],[VP]]-INDEX(crudeBD.lkup.complete[Mean_VP],MATCH(vp.tbl[[#This Row],[Crude_Breakdown]],crudeBD.lkup.complete[Crude Breakdown],0)))^2,"")</f>
        <v>586.91870229066058</v>
      </c>
      <c r="AN403" s="4">
        <f>IFERROR((vp.tbl[[#This Row],[Dens]]-INDEX(crudeBD.lkup.complete[Mean_Dens],MATCH(vp.tbl[[#This Row],[Crude_Breakdown]],crudeBD.lkup.complete[Crude Breakdown],0)))^2,"")</f>
        <v>176.67255294277146</v>
      </c>
      <c r="AO403" s="4">
        <f>IFERROR((vp.tbl[[#This Row],[Sulf]]-INDEX(crudeBD.lkup.complete[Mean_Sulf],MATCH(vp.tbl[[#This Row],[Crude_Breakdown]],crudeBD.lkup.complete[Crude Breakdown],0)))^2,"")</f>
        <v>0.22625230313774233</v>
      </c>
      <c r="AP403">
        <f>IF(AND(vp.tbl[[#This Row],[SDate]]&gt;=DATE(YEAR(vp.tbl[[#This Row],[SDate]]),5,1),vp.tbl[[#This Row],[SDate]]&lt;=DATE(YEAR(vp.tbl[[#This Row],[SDate]]),9,15)),1,0)</f>
        <v>0</v>
      </c>
      <c r="AQ403" s="15">
        <f>IF(vp.tbl[[#This Row],[SDate]]&lt;DATE(2016,12,1),0,1)</f>
        <v>1</v>
      </c>
    </row>
    <row r="404" spans="1:43" x14ac:dyDescent="0.25">
      <c r="A404">
        <v>403</v>
      </c>
      <c r="B404" t="s">
        <v>49</v>
      </c>
      <c r="C404" t="s">
        <v>49</v>
      </c>
      <c r="D404" t="s">
        <v>70</v>
      </c>
      <c r="F404" s="1">
        <v>42717</v>
      </c>
      <c r="G404" s="2">
        <v>88.9</v>
      </c>
      <c r="H404" s="2">
        <v>1.0921799999999999</v>
      </c>
      <c r="I404" s="2">
        <v>1.0921799999999999</v>
      </c>
      <c r="J404" s="2">
        <v>5</v>
      </c>
      <c r="K404" s="2">
        <v>-25</v>
      </c>
      <c r="L404" s="2">
        <v>834</v>
      </c>
      <c r="M404" s="2">
        <v>834</v>
      </c>
      <c r="N404" s="2">
        <f ca="1">INDEX(INDIRECT(_xlfn.CONCAT("weather.tbl[",N$1,"]")),MATCH(vp.tbl[[#This Row],[SDate]],weather.tbl[Date],0))</f>
        <v>-17.95</v>
      </c>
      <c r="O404" s="2">
        <f ca="1">INDEX(INDIRECT(_xlfn.CONCAT("weather.tbl[",O$1,"]")),MATCH(vp.tbl[[#This Row],[SDate]],weather.tbl[Date],0))</f>
        <v>-21.723809523809525</v>
      </c>
      <c r="P404" s="2">
        <f ca="1">INDEX(INDIRECT(_xlfn.CONCAT("weather.tbl[",P$1,"]")),MATCH(vp.tbl[[#This Row],[SDate]],weather.tbl[Date],0))</f>
        <v>-18.100000000000001</v>
      </c>
      <c r="Q404" s="2">
        <f ca="1">INDEX(INDIRECT(_xlfn.CONCAT("weather.tbl[",Q$1,"]")),MATCH(vp.tbl[[#This Row],[SDate]],weather.tbl[Date],0))</f>
        <v>-17.8</v>
      </c>
      <c r="R404" s="2">
        <f ca="1">INDEX(INDIRECT(_xlfn.CONCAT("weather.tbl[",R$1,"]")),MATCH(vp.tbl[[#This Row],[SDate]],weather.tbl[Date],0))</f>
        <v>-18.3</v>
      </c>
      <c r="S404" s="2">
        <f ca="1">INDEX(INDIRECT(_xlfn.CONCAT("weather.tbl[",S$1,"]")),MATCH(vp.tbl[[#This Row],[SDate]],weather.tbl[Date],0))</f>
        <v>-17</v>
      </c>
      <c r="T404" s="2">
        <f ca="1">INDEX(INDIRECT(_xlfn.CONCAT("weather.tbl[",T$1,"]")),MATCH(vp.tbl[[#This Row],[SDate]],weather.tbl[Date],0))</f>
        <v>-18</v>
      </c>
      <c r="U404" s="2">
        <f ca="1">INDEX(INDIRECT(_xlfn.CONCAT("weather.tbl[",U$1,"]")),MATCH(vp.tbl[[#This Row],[SDate]],weather.tbl[Date],0))</f>
        <v>-18.5</v>
      </c>
      <c r="V404" s="2">
        <v>3704.3679999999999</v>
      </c>
      <c r="W404" t="s">
        <v>48</v>
      </c>
      <c r="X404">
        <f>IF(OR(vp.tbl[[#This Row],[Sulf]]="",vp.tbl[[#This Row],[Dens]]=""),1,0)</f>
        <v>0</v>
      </c>
      <c r="Y404">
        <f>IF(vp.tbl[[#This Row],[CrudeType]]="C5+",1,0)</f>
        <v>0</v>
      </c>
      <c r="Z404">
        <f>IF(AND(vp.tbl[[#This Row],[CrudeType]]="Crude",vp.tbl[[#This Row],[Dens]]&lt;=825,vp.tbl[[#This Row],[Sulf]]&gt;0.5,vp.tbl[[#This Row],[Unknown]]=0),1,0)</f>
        <v>0</v>
      </c>
      <c r="AA404">
        <f>IF(AND(vp.tbl[[#This Row],[CrudeType]]="Crude",vp.tbl[[#This Row],[Dens]]&lt;=825,vp.tbl[[#This Row],[Sulf]]&lt;=0.5,vp.tbl[[#This Row],[Unknown]]=0),1,0)</f>
        <v>0</v>
      </c>
      <c r="AB404">
        <f>IF(AND(vp.tbl[[#This Row],[CrudeType]]="Crude",vp.tbl[[#This Row],[Dens]]&gt;825,vp.tbl[[#This Row],[Dens]]&lt;=870,vp.tbl[[#This Row],[Sulf]]&gt;0.5,vp.tbl[[#This Row],[Unknown]]=0),1,0)</f>
        <v>1</v>
      </c>
      <c r="AC404">
        <f>IF(AND(vp.tbl[[#This Row],[CrudeType]]="Crude",vp.tbl[[#This Row],[Dens]]&gt;825,vp.tbl[[#This Row],[Dens]]&lt;=900,vp.tbl[[#This Row],[Sulf]]&lt;=0.5,vp.tbl[[#This Row],[Unknown]]=0),1,0)</f>
        <v>0</v>
      </c>
      <c r="AD404">
        <f>IF(AND(vp.tbl[[#This Row],[CrudeType]]="Crude",vp.tbl[[#This Row],[Dens]]&gt;870,vp.tbl[[#This Row],[Dens]]&lt;=900,vp.tbl[[#This Row],[Sulf]]&gt;0.5,vp.tbl[[#This Row],[Unknown]]=0),1,0)</f>
        <v>0</v>
      </c>
      <c r="AE404">
        <f>IF(AND(vp.tbl[[#This Row],[CrudeType]]="Crude",vp.tbl[[#This Row],[Dens]]&gt;900,vp.tbl[[#This Row],[Sulf]]&lt;=0.5,vp.tbl[[#This Row],[Unknown]]=0),1,0)</f>
        <v>0</v>
      </c>
      <c r="AF404">
        <f>IF(AND(vp.tbl[[#This Row],[CrudeType]]="Crude",vp.tbl[[#This Row],[Dens]]&gt;900,vp.tbl[[#This Row],[Sulf]]&lt;=0.5,vp.tbl[[#This Row],[Unknown]]=0),1,0)</f>
        <v>0</v>
      </c>
      <c r="AG404" t="str">
        <f>INDEX(vp.tbl[[#Headers],[Unknown]:[Heavy_SW]],MATCH(1,vp.tbl[[#This Row],[Unknown]:[Heavy_SW]],0))</f>
        <v>Medium_LSB</v>
      </c>
      <c r="AH404" t="e">
        <f>INDEX([1]!crudeBD.lkup[Number],MATCH(vp.tbl[[#This Row],[Crude_Breakdown]],[1]!crudeBD.lkup[Crude Breakdown],0))</f>
        <v>#REF!</v>
      </c>
      <c r="AI404">
        <f>MONTH(vp.tbl[[#This Row],[SDate]])</f>
        <v>12</v>
      </c>
      <c r="AJ404" s="5">
        <f>IFERROR(vp.tbl[[#This Row],[Sulf]]*vp.tbl[[#This Row],[Net Dens]],"")</f>
        <v>3374227.7596281599</v>
      </c>
      <c r="AK404" s="5">
        <f>IFERROR(vp.tbl[[#This Row],[Dens]]*vp.tbl[[#This Row],[VolumeM3]],"")</f>
        <v>3089442.912</v>
      </c>
      <c r="AL404" s="5">
        <f>IFERROR(vp.tbl[[#This Row],[VP]]*vp.tbl[[#This Row],[VolumeM3]],"")</f>
        <v>329318.31520000001</v>
      </c>
      <c r="AM404" s="4">
        <f>IFERROR((vp.tbl[[#This Row],[VP]]-INDEX(crudeBD.lkup.complete[Mean_VP],MATCH(vp.tbl[[#This Row],[Crude_Breakdown]],crudeBD.lkup.complete[Crude Breakdown],0)))^2,"")</f>
        <v>76.150145328633968</v>
      </c>
      <c r="AN404" s="4">
        <f>IFERROR((vp.tbl[[#This Row],[Dens]]-INDEX(crudeBD.lkup.complete[Mean_Dens],MATCH(vp.tbl[[#This Row],[Crude_Breakdown]],crudeBD.lkup.complete[Crude Breakdown],0)))^2,"")</f>
        <v>127.50526180353488</v>
      </c>
      <c r="AO404" s="4">
        <f>IFERROR((vp.tbl[[#This Row],[Sulf]]-INDEX(crudeBD.lkup.complete[Mean_Sulf],MATCH(vp.tbl[[#This Row],[Crude_Breakdown]],crudeBD.lkup.complete[Crude Breakdown],0)))^2,"")</f>
        <v>0.13158746148103317</v>
      </c>
      <c r="AP404">
        <f>IF(AND(vp.tbl[[#This Row],[SDate]]&gt;=DATE(YEAR(vp.tbl[[#This Row],[SDate]]),5,1),vp.tbl[[#This Row],[SDate]]&lt;=DATE(YEAR(vp.tbl[[#This Row],[SDate]]),9,15)),1,0)</f>
        <v>0</v>
      </c>
      <c r="AQ404" s="15">
        <f>IF(vp.tbl[[#This Row],[SDate]]&lt;DATE(2016,12,1),0,1)</f>
        <v>1</v>
      </c>
    </row>
    <row r="405" spans="1:43" x14ac:dyDescent="0.25">
      <c r="A405">
        <v>404</v>
      </c>
      <c r="B405" t="s">
        <v>68</v>
      </c>
      <c r="C405" t="s">
        <v>68</v>
      </c>
      <c r="D405" t="s">
        <v>98</v>
      </c>
      <c r="F405" s="1">
        <v>42717</v>
      </c>
      <c r="G405" s="2">
        <v>64.900000000000006</v>
      </c>
      <c r="H405" s="2">
        <v>1.1419999999999999</v>
      </c>
      <c r="I405" s="2">
        <v>1.1419999999999999</v>
      </c>
      <c r="J405" s="2">
        <v>26</v>
      </c>
      <c r="K405" s="2">
        <v>-25</v>
      </c>
      <c r="L405" s="2">
        <v>849.4</v>
      </c>
      <c r="M405" s="2">
        <v>849.4</v>
      </c>
      <c r="N405" s="2">
        <f ca="1">INDEX(INDIRECT(_xlfn.CONCAT("weather.tbl[",N$1,"]")),MATCH(vp.tbl[[#This Row],[SDate]],weather.tbl[Date],0))</f>
        <v>-17.95</v>
      </c>
      <c r="O405" s="2">
        <f ca="1">INDEX(INDIRECT(_xlfn.CONCAT("weather.tbl[",O$1,"]")),MATCH(vp.tbl[[#This Row],[SDate]],weather.tbl[Date],0))</f>
        <v>-21.723809523809525</v>
      </c>
      <c r="P405" s="2">
        <f ca="1">INDEX(INDIRECT(_xlfn.CONCAT("weather.tbl[",P$1,"]")),MATCH(vp.tbl[[#This Row],[SDate]],weather.tbl[Date],0))</f>
        <v>-18.100000000000001</v>
      </c>
      <c r="Q405" s="2">
        <f ca="1">INDEX(INDIRECT(_xlfn.CONCAT("weather.tbl[",Q$1,"]")),MATCH(vp.tbl[[#This Row],[SDate]],weather.tbl[Date],0))</f>
        <v>-17.8</v>
      </c>
      <c r="R405" s="2">
        <f ca="1">INDEX(INDIRECT(_xlfn.CONCAT("weather.tbl[",R$1,"]")),MATCH(vp.tbl[[#This Row],[SDate]],weather.tbl[Date],0))</f>
        <v>-18.3</v>
      </c>
      <c r="S405" s="2">
        <f ca="1">INDEX(INDIRECT(_xlfn.CONCAT("weather.tbl[",S$1,"]")),MATCH(vp.tbl[[#This Row],[SDate]],weather.tbl[Date],0))</f>
        <v>-17</v>
      </c>
      <c r="T405" s="2">
        <f ca="1">INDEX(INDIRECT(_xlfn.CONCAT("weather.tbl[",T$1,"]")),MATCH(vp.tbl[[#This Row],[SDate]],weather.tbl[Date],0))</f>
        <v>-18</v>
      </c>
      <c r="U405" s="2">
        <f ca="1">INDEX(INDIRECT(_xlfn.CONCAT("weather.tbl[",U$1,"]")),MATCH(vp.tbl[[#This Row],[SDate]],weather.tbl[Date],0))</f>
        <v>-18.5</v>
      </c>
      <c r="V405" s="2">
        <v>6151.0479999999998</v>
      </c>
      <c r="W405" t="s">
        <v>48</v>
      </c>
      <c r="X405">
        <f>IF(OR(vp.tbl[[#This Row],[Sulf]]="",vp.tbl[[#This Row],[Dens]]=""),1,0)</f>
        <v>0</v>
      </c>
      <c r="Y405">
        <f>IF(vp.tbl[[#This Row],[CrudeType]]="C5+",1,0)</f>
        <v>0</v>
      </c>
      <c r="Z405">
        <f>IF(AND(vp.tbl[[#This Row],[CrudeType]]="Crude",vp.tbl[[#This Row],[Dens]]&lt;=825,vp.tbl[[#This Row],[Sulf]]&gt;0.5,vp.tbl[[#This Row],[Unknown]]=0),1,0)</f>
        <v>0</v>
      </c>
      <c r="AA405">
        <f>IF(AND(vp.tbl[[#This Row],[CrudeType]]="Crude",vp.tbl[[#This Row],[Dens]]&lt;=825,vp.tbl[[#This Row],[Sulf]]&lt;=0.5,vp.tbl[[#This Row],[Unknown]]=0),1,0)</f>
        <v>0</v>
      </c>
      <c r="AB405">
        <f>IF(AND(vp.tbl[[#This Row],[CrudeType]]="Crude",vp.tbl[[#This Row],[Dens]]&gt;825,vp.tbl[[#This Row],[Dens]]&lt;=870,vp.tbl[[#This Row],[Sulf]]&gt;0.5,vp.tbl[[#This Row],[Unknown]]=0),1,0)</f>
        <v>1</v>
      </c>
      <c r="AC405">
        <f>IF(AND(vp.tbl[[#This Row],[CrudeType]]="Crude",vp.tbl[[#This Row],[Dens]]&gt;825,vp.tbl[[#This Row],[Dens]]&lt;=900,vp.tbl[[#This Row],[Sulf]]&lt;=0.5,vp.tbl[[#This Row],[Unknown]]=0),1,0)</f>
        <v>0</v>
      </c>
      <c r="AD405">
        <f>IF(AND(vp.tbl[[#This Row],[CrudeType]]="Crude",vp.tbl[[#This Row],[Dens]]&gt;870,vp.tbl[[#This Row],[Dens]]&lt;=900,vp.tbl[[#This Row],[Sulf]]&gt;0.5,vp.tbl[[#This Row],[Unknown]]=0),1,0)</f>
        <v>0</v>
      </c>
      <c r="AE405">
        <f>IF(AND(vp.tbl[[#This Row],[CrudeType]]="Crude",vp.tbl[[#This Row],[Dens]]&gt;900,vp.tbl[[#This Row],[Sulf]]&lt;=0.5,vp.tbl[[#This Row],[Unknown]]=0),1,0)</f>
        <v>0</v>
      </c>
      <c r="AF405">
        <f>IF(AND(vp.tbl[[#This Row],[CrudeType]]="Crude",vp.tbl[[#This Row],[Dens]]&gt;900,vp.tbl[[#This Row],[Sulf]]&lt;=0.5,vp.tbl[[#This Row],[Unknown]]=0),1,0)</f>
        <v>0</v>
      </c>
      <c r="AG405" t="str">
        <f>INDEX(vp.tbl[[#Headers],[Unknown]:[Heavy_SW]],MATCH(1,vp.tbl[[#This Row],[Unknown]:[Heavy_SW]],0))</f>
        <v>Medium_LSB</v>
      </c>
      <c r="AH405" t="e">
        <f>INDEX([1]!crudeBD.lkup[Number],MATCH(vp.tbl[[#This Row],[Crude_Breakdown]],[1]!crudeBD.lkup[Crude Breakdown],0))</f>
        <v>#REF!</v>
      </c>
      <c r="AI405">
        <f>MONTH(vp.tbl[[#This Row],[SDate]])</f>
        <v>12</v>
      </c>
      <c r="AJ405" s="5">
        <f>IFERROR(vp.tbl[[#This Row],[Sulf]]*vp.tbl[[#This Row],[Net Dens]],"")</f>
        <v>5966607.595510399</v>
      </c>
      <c r="AK405" s="5">
        <f>IFERROR(vp.tbl[[#This Row],[Dens]]*vp.tbl[[#This Row],[VolumeM3]],"")</f>
        <v>5224700.1711999997</v>
      </c>
      <c r="AL405" s="5">
        <f>IFERROR(vp.tbl[[#This Row],[VP]]*vp.tbl[[#This Row],[VolumeM3]],"")</f>
        <v>399203.01520000002</v>
      </c>
      <c r="AM405" s="4">
        <f>IFERROR((vp.tbl[[#This Row],[VP]]-INDEX(crudeBD.lkup.complete[Mean_VP],MATCH(vp.tbl[[#This Row],[Crude_Breakdown]],crudeBD.lkup.complete[Crude Breakdown],0)))^2,"")</f>
        <v>233.28270229065726</v>
      </c>
      <c r="AN405" s="4">
        <f>IFERROR((vp.tbl[[#This Row],[Dens]]-INDEX(crudeBD.lkup.complete[Mean_Dens],MATCH(vp.tbl[[#This Row],[Crude_Breakdown]],crudeBD.lkup.complete[Crude Breakdown],0)))^2,"")</f>
        <v>16.877120031413128</v>
      </c>
      <c r="AO405" s="4">
        <f>IFERROR((vp.tbl[[#This Row],[Sulf]]-INDEX(crudeBD.lkup.complete[Mean_Sulf],MATCH(vp.tbl[[#This Row],[Crude_Breakdown]],crudeBD.lkup.complete[Crude Breakdown],0)))^2,"")</f>
        <v>9.7925097754957086E-2</v>
      </c>
      <c r="AP405">
        <f>IF(AND(vp.tbl[[#This Row],[SDate]]&gt;=DATE(YEAR(vp.tbl[[#This Row],[SDate]]),5,1),vp.tbl[[#This Row],[SDate]]&lt;=DATE(YEAR(vp.tbl[[#This Row],[SDate]]),9,15)),1,0)</f>
        <v>0</v>
      </c>
      <c r="AQ405" s="15">
        <f>IF(vp.tbl[[#This Row],[SDate]]&lt;DATE(2016,12,1),0,1)</f>
        <v>1</v>
      </c>
    </row>
    <row r="406" spans="1:43" x14ac:dyDescent="0.25">
      <c r="A406">
        <v>405</v>
      </c>
      <c r="B406" t="s">
        <v>49</v>
      </c>
      <c r="C406" t="s">
        <v>49</v>
      </c>
      <c r="D406" t="s">
        <v>59</v>
      </c>
      <c r="F406" s="1">
        <v>42717</v>
      </c>
      <c r="G406" s="2">
        <v>87.9</v>
      </c>
      <c r="H406" s="2">
        <v>1.4367700000000001</v>
      </c>
      <c r="I406" s="2">
        <v>1.4367700000000001</v>
      </c>
      <c r="J406" s="2">
        <v>18</v>
      </c>
      <c r="K406" s="2">
        <v>-25</v>
      </c>
      <c r="L406" s="2">
        <v>845</v>
      </c>
      <c r="M406" s="2">
        <v>845</v>
      </c>
      <c r="N406" s="2">
        <f ca="1">INDEX(INDIRECT(_xlfn.CONCAT("weather.tbl[",N$1,"]")),MATCH(vp.tbl[[#This Row],[SDate]],weather.tbl[Date],0))</f>
        <v>-17.95</v>
      </c>
      <c r="O406" s="2">
        <f ca="1">INDEX(INDIRECT(_xlfn.CONCAT("weather.tbl[",O$1,"]")),MATCH(vp.tbl[[#This Row],[SDate]],weather.tbl[Date],0))</f>
        <v>-21.723809523809525</v>
      </c>
      <c r="P406" s="2">
        <f ca="1">INDEX(INDIRECT(_xlfn.CONCAT("weather.tbl[",P$1,"]")),MATCH(vp.tbl[[#This Row],[SDate]],weather.tbl[Date],0))</f>
        <v>-18.100000000000001</v>
      </c>
      <c r="Q406" s="2">
        <f ca="1">INDEX(INDIRECT(_xlfn.CONCAT("weather.tbl[",Q$1,"]")),MATCH(vp.tbl[[#This Row],[SDate]],weather.tbl[Date],0))</f>
        <v>-17.8</v>
      </c>
      <c r="R406" s="2">
        <f ca="1">INDEX(INDIRECT(_xlfn.CONCAT("weather.tbl[",R$1,"]")),MATCH(vp.tbl[[#This Row],[SDate]],weather.tbl[Date],0))</f>
        <v>-18.3</v>
      </c>
      <c r="S406" s="2">
        <f ca="1">INDEX(INDIRECT(_xlfn.CONCAT("weather.tbl[",S$1,"]")),MATCH(vp.tbl[[#This Row],[SDate]],weather.tbl[Date],0))</f>
        <v>-17</v>
      </c>
      <c r="T406" s="2">
        <f ca="1">INDEX(INDIRECT(_xlfn.CONCAT("weather.tbl[",T$1,"]")),MATCH(vp.tbl[[#This Row],[SDate]],weather.tbl[Date],0))</f>
        <v>-18</v>
      </c>
      <c r="U406" s="2">
        <f ca="1">INDEX(INDIRECT(_xlfn.CONCAT("weather.tbl[",U$1,"]")),MATCH(vp.tbl[[#This Row],[SDate]],weather.tbl[Date],0))</f>
        <v>-18.5</v>
      </c>
      <c r="V406" s="2">
        <v>1579.0039999999999</v>
      </c>
      <c r="W406" t="s">
        <v>48</v>
      </c>
      <c r="X406">
        <f>IF(OR(vp.tbl[[#This Row],[Sulf]]="",vp.tbl[[#This Row],[Dens]]=""),1,0)</f>
        <v>0</v>
      </c>
      <c r="Y406">
        <f>IF(vp.tbl[[#This Row],[CrudeType]]="C5+",1,0)</f>
        <v>0</v>
      </c>
      <c r="Z406">
        <f>IF(AND(vp.tbl[[#This Row],[CrudeType]]="Crude",vp.tbl[[#This Row],[Dens]]&lt;=825,vp.tbl[[#This Row],[Sulf]]&gt;0.5,vp.tbl[[#This Row],[Unknown]]=0),1,0)</f>
        <v>0</v>
      </c>
      <c r="AA406">
        <f>IF(AND(vp.tbl[[#This Row],[CrudeType]]="Crude",vp.tbl[[#This Row],[Dens]]&lt;=825,vp.tbl[[#This Row],[Sulf]]&lt;=0.5,vp.tbl[[#This Row],[Unknown]]=0),1,0)</f>
        <v>0</v>
      </c>
      <c r="AB406">
        <f>IF(AND(vp.tbl[[#This Row],[CrudeType]]="Crude",vp.tbl[[#This Row],[Dens]]&gt;825,vp.tbl[[#This Row],[Dens]]&lt;=870,vp.tbl[[#This Row],[Sulf]]&gt;0.5,vp.tbl[[#This Row],[Unknown]]=0),1,0)</f>
        <v>1</v>
      </c>
      <c r="AC406">
        <f>IF(AND(vp.tbl[[#This Row],[CrudeType]]="Crude",vp.tbl[[#This Row],[Dens]]&gt;825,vp.tbl[[#This Row],[Dens]]&lt;=900,vp.tbl[[#This Row],[Sulf]]&lt;=0.5,vp.tbl[[#This Row],[Unknown]]=0),1,0)</f>
        <v>0</v>
      </c>
      <c r="AD406">
        <f>IF(AND(vp.tbl[[#This Row],[CrudeType]]="Crude",vp.tbl[[#This Row],[Dens]]&gt;870,vp.tbl[[#This Row],[Dens]]&lt;=900,vp.tbl[[#This Row],[Sulf]]&gt;0.5,vp.tbl[[#This Row],[Unknown]]=0),1,0)</f>
        <v>0</v>
      </c>
      <c r="AE406">
        <f>IF(AND(vp.tbl[[#This Row],[CrudeType]]="Crude",vp.tbl[[#This Row],[Dens]]&gt;900,vp.tbl[[#This Row],[Sulf]]&lt;=0.5,vp.tbl[[#This Row],[Unknown]]=0),1,0)</f>
        <v>0</v>
      </c>
      <c r="AF406">
        <f>IF(AND(vp.tbl[[#This Row],[CrudeType]]="Crude",vp.tbl[[#This Row],[Dens]]&gt;900,vp.tbl[[#This Row],[Sulf]]&lt;=0.5,vp.tbl[[#This Row],[Unknown]]=0),1,0)</f>
        <v>0</v>
      </c>
      <c r="AG406" t="str">
        <f>INDEX(vp.tbl[[#Headers],[Unknown]:[Heavy_SW]],MATCH(1,vp.tbl[[#This Row],[Unknown]:[Heavy_SW]],0))</f>
        <v>Medium_LSB</v>
      </c>
      <c r="AH406" t="e">
        <f>INDEX([1]!crudeBD.lkup[Number],MATCH(vp.tbl[[#This Row],[Crude_Breakdown]],[1]!crudeBD.lkup[Crude Breakdown],0))</f>
        <v>#REF!</v>
      </c>
      <c r="AI406">
        <f>MONTH(vp.tbl[[#This Row],[SDate]])</f>
        <v>12</v>
      </c>
      <c r="AJ406" s="5">
        <f>IFERROR(vp.tbl[[#This Row],[Sulf]]*vp.tbl[[#This Row],[Net Dens]],"")</f>
        <v>1917022.4126325999</v>
      </c>
      <c r="AK406" s="5">
        <f>IFERROR(vp.tbl[[#This Row],[Dens]]*vp.tbl[[#This Row],[VolumeM3]],"")</f>
        <v>1334258.3799999999</v>
      </c>
      <c r="AL406" s="5">
        <f>IFERROR(vp.tbl[[#This Row],[VP]]*vp.tbl[[#This Row],[VolumeM3]],"")</f>
        <v>138794.4516</v>
      </c>
      <c r="AM406" s="4">
        <f>IFERROR((vp.tbl[[#This Row],[VP]]-INDEX(crudeBD.lkup.complete[Mean_VP],MATCH(vp.tbl[[#This Row],[Crude_Breakdown]],crudeBD.lkup.complete[Crude Breakdown],0)))^2,"")</f>
        <v>59.697335202051612</v>
      </c>
      <c r="AN406" s="4">
        <f>IFERROR((vp.tbl[[#This Row],[Dens]]-INDEX(crudeBD.lkup.complete[Mean_Dens],MATCH(vp.tbl[[#This Row],[Crude_Breakdown]],crudeBD.lkup.complete[Crude Breakdown],0)))^2,"")</f>
        <v>8.5160537733762753E-2</v>
      </c>
      <c r="AO406" s="4">
        <f>IFERROR((vp.tbl[[#This Row],[Sulf]]-INDEX(crudeBD.lkup.complete[Mean_Sulf],MATCH(vp.tbl[[#This Row],[Crude_Breakdown]],crudeBD.lkup.complete[Crude Breakdown],0)))^2,"")</f>
        <v>3.2978054280424811E-4</v>
      </c>
      <c r="AP406">
        <f>IF(AND(vp.tbl[[#This Row],[SDate]]&gt;=DATE(YEAR(vp.tbl[[#This Row],[SDate]]),5,1),vp.tbl[[#This Row],[SDate]]&lt;=DATE(YEAR(vp.tbl[[#This Row],[SDate]]),9,15)),1,0)</f>
        <v>0</v>
      </c>
      <c r="AQ406" s="15">
        <f>IF(vp.tbl[[#This Row],[SDate]]&lt;DATE(2016,12,1),0,1)</f>
        <v>1</v>
      </c>
    </row>
    <row r="407" spans="1:43" x14ac:dyDescent="0.25">
      <c r="A407">
        <v>406</v>
      </c>
      <c r="B407" t="s">
        <v>51</v>
      </c>
      <c r="C407" t="s">
        <v>51</v>
      </c>
      <c r="D407" t="s">
        <v>66</v>
      </c>
      <c r="F407" s="1">
        <v>42717</v>
      </c>
      <c r="G407" s="2">
        <v>102.3</v>
      </c>
      <c r="H407" s="2">
        <v>1.70048</v>
      </c>
      <c r="I407" s="2">
        <v>1.70048</v>
      </c>
      <c r="J407" s="2">
        <v>-8.6999999999999993</v>
      </c>
      <c r="K407" s="2">
        <v>-25</v>
      </c>
      <c r="L407" s="2">
        <v>825</v>
      </c>
      <c r="M407" s="2">
        <v>825</v>
      </c>
      <c r="N407" s="2">
        <f ca="1">INDEX(INDIRECT(_xlfn.CONCAT("weather.tbl[",N$1,"]")),MATCH(vp.tbl[[#This Row],[SDate]],weather.tbl[Date],0))</f>
        <v>-17.95</v>
      </c>
      <c r="O407" s="2">
        <f ca="1">INDEX(INDIRECT(_xlfn.CONCAT("weather.tbl[",O$1,"]")),MATCH(vp.tbl[[#This Row],[SDate]],weather.tbl[Date],0))</f>
        <v>-21.723809523809525</v>
      </c>
      <c r="P407" s="2">
        <f ca="1">INDEX(INDIRECT(_xlfn.CONCAT("weather.tbl[",P$1,"]")),MATCH(vp.tbl[[#This Row],[SDate]],weather.tbl[Date],0))</f>
        <v>-18.100000000000001</v>
      </c>
      <c r="Q407" s="2">
        <f ca="1">INDEX(INDIRECT(_xlfn.CONCAT("weather.tbl[",Q$1,"]")),MATCH(vp.tbl[[#This Row],[SDate]],weather.tbl[Date],0))</f>
        <v>-17.8</v>
      </c>
      <c r="R407" s="2">
        <f ca="1">INDEX(INDIRECT(_xlfn.CONCAT("weather.tbl[",R$1,"]")),MATCH(vp.tbl[[#This Row],[SDate]],weather.tbl[Date],0))</f>
        <v>-18.3</v>
      </c>
      <c r="S407" s="2">
        <f ca="1">INDEX(INDIRECT(_xlfn.CONCAT("weather.tbl[",S$1,"]")),MATCH(vp.tbl[[#This Row],[SDate]],weather.tbl[Date],0))</f>
        <v>-17</v>
      </c>
      <c r="T407" s="2">
        <f ca="1">INDEX(INDIRECT(_xlfn.CONCAT("weather.tbl[",T$1,"]")),MATCH(vp.tbl[[#This Row],[SDate]],weather.tbl[Date],0))</f>
        <v>-18</v>
      </c>
      <c r="U407" s="2">
        <f ca="1">INDEX(INDIRECT(_xlfn.CONCAT("weather.tbl[",U$1,"]")),MATCH(vp.tbl[[#This Row],[SDate]],weather.tbl[Date],0))</f>
        <v>-18.5</v>
      </c>
      <c r="V407" s="2">
        <v>4410.2439999999997</v>
      </c>
      <c r="W407" t="s">
        <v>48</v>
      </c>
      <c r="X407">
        <f>IF(OR(vp.tbl[[#This Row],[Sulf]]="",vp.tbl[[#This Row],[Dens]]=""),1,0)</f>
        <v>0</v>
      </c>
      <c r="Y407">
        <f>IF(vp.tbl[[#This Row],[CrudeType]]="C5+",1,0)</f>
        <v>0</v>
      </c>
      <c r="Z407">
        <f>IF(AND(vp.tbl[[#This Row],[CrudeType]]="Crude",vp.tbl[[#This Row],[Dens]]&lt;=825,vp.tbl[[#This Row],[Sulf]]&gt;0.5,vp.tbl[[#This Row],[Unknown]]=0),1,0)</f>
        <v>1</v>
      </c>
      <c r="AA407">
        <f>IF(AND(vp.tbl[[#This Row],[CrudeType]]="Crude",vp.tbl[[#This Row],[Dens]]&lt;=825,vp.tbl[[#This Row],[Sulf]]&lt;=0.5,vp.tbl[[#This Row],[Unknown]]=0),1,0)</f>
        <v>0</v>
      </c>
      <c r="AB407">
        <f>IF(AND(vp.tbl[[#This Row],[CrudeType]]="Crude",vp.tbl[[#This Row],[Dens]]&gt;825,vp.tbl[[#This Row],[Dens]]&lt;=870,vp.tbl[[#This Row],[Sulf]]&gt;0.5,vp.tbl[[#This Row],[Unknown]]=0),1,0)</f>
        <v>0</v>
      </c>
      <c r="AC407">
        <f>IF(AND(vp.tbl[[#This Row],[CrudeType]]="Crude",vp.tbl[[#This Row],[Dens]]&gt;825,vp.tbl[[#This Row],[Dens]]&lt;=900,vp.tbl[[#This Row],[Sulf]]&lt;=0.5,vp.tbl[[#This Row],[Unknown]]=0),1,0)</f>
        <v>0</v>
      </c>
      <c r="AD407">
        <f>IF(AND(vp.tbl[[#This Row],[CrudeType]]="Crude",vp.tbl[[#This Row],[Dens]]&gt;870,vp.tbl[[#This Row],[Dens]]&lt;=900,vp.tbl[[#This Row],[Sulf]]&gt;0.5,vp.tbl[[#This Row],[Unknown]]=0),1,0)</f>
        <v>0</v>
      </c>
      <c r="AE407">
        <f>IF(AND(vp.tbl[[#This Row],[CrudeType]]="Crude",vp.tbl[[#This Row],[Dens]]&gt;900,vp.tbl[[#This Row],[Sulf]]&lt;=0.5,vp.tbl[[#This Row],[Unknown]]=0),1,0)</f>
        <v>0</v>
      </c>
      <c r="AF407">
        <f>IF(AND(vp.tbl[[#This Row],[CrudeType]]="Crude",vp.tbl[[#This Row],[Dens]]&gt;900,vp.tbl[[#This Row],[Sulf]]&lt;=0.5,vp.tbl[[#This Row],[Unknown]]=0),1,0)</f>
        <v>0</v>
      </c>
      <c r="AG407" t="str">
        <f>INDEX(vp.tbl[[#Headers],[Unknown]:[Heavy_SW]],MATCH(1,vp.tbl[[#This Row],[Unknown]:[Heavy_SW]],0))</f>
        <v>Light_LSB</v>
      </c>
      <c r="AH407" t="e">
        <f>INDEX([1]!crudeBD.lkup[Number],MATCH(vp.tbl[[#This Row],[Crude_Breakdown]],[1]!crudeBD.lkup[Crude Breakdown],0))</f>
        <v>#REF!</v>
      </c>
      <c r="AI407">
        <f>MONTH(vp.tbl[[#This Row],[SDate]])</f>
        <v>12</v>
      </c>
      <c r="AJ407" s="5">
        <f>IFERROR(vp.tbl[[#This Row],[Sulf]]*vp.tbl[[#This Row],[Net Dens]],"")</f>
        <v>6187113.6666239994</v>
      </c>
      <c r="AK407" s="5">
        <f>IFERROR(vp.tbl[[#This Row],[Dens]]*vp.tbl[[#This Row],[VolumeM3]],"")</f>
        <v>3638451.3</v>
      </c>
      <c r="AL407" s="5">
        <f>IFERROR(vp.tbl[[#This Row],[VP]]*vp.tbl[[#This Row],[VolumeM3]],"")</f>
        <v>451167.96119999996</v>
      </c>
      <c r="AM407" s="4">
        <f>IFERROR((vp.tbl[[#This Row],[VP]]-INDEX(crudeBD.lkup.complete[Mean_VP],MATCH(vp.tbl[[#This Row],[Crude_Breakdown]],crudeBD.lkup.complete[Crude Breakdown],0)))^2,"")</f>
        <v>115.64452485917666</v>
      </c>
      <c r="AN407" s="4">
        <f>IFERROR((vp.tbl[[#This Row],[Dens]]-INDEX(crudeBD.lkup.complete[Mean_Dens],MATCH(vp.tbl[[#This Row],[Crude_Breakdown]],crudeBD.lkup.complete[Crude Breakdown],0)))^2,"")</f>
        <v>42.032274351983858</v>
      </c>
      <c r="AO407" s="4">
        <f>IFERROR((vp.tbl[[#This Row],[Sulf]]-INDEX(crudeBD.lkup.complete[Mean_Sulf],MATCH(vp.tbl[[#This Row],[Crude_Breakdown]],crudeBD.lkup.complete[Crude Breakdown],0)))^2,"")</f>
        <v>0.60451998323950984</v>
      </c>
      <c r="AP407">
        <f>IF(AND(vp.tbl[[#This Row],[SDate]]&gt;=DATE(YEAR(vp.tbl[[#This Row],[SDate]]),5,1),vp.tbl[[#This Row],[SDate]]&lt;=DATE(YEAR(vp.tbl[[#This Row],[SDate]]),9,15)),1,0)</f>
        <v>0</v>
      </c>
      <c r="AQ407" s="15">
        <f>IF(vp.tbl[[#This Row],[SDate]]&lt;DATE(2016,12,1),0,1)</f>
        <v>1</v>
      </c>
    </row>
    <row r="408" spans="1:43" x14ac:dyDescent="0.25">
      <c r="A408">
        <v>407</v>
      </c>
      <c r="B408" t="s">
        <v>68</v>
      </c>
      <c r="C408" t="s">
        <v>68</v>
      </c>
      <c r="D408" t="s">
        <v>69</v>
      </c>
      <c r="F408" s="1">
        <v>42717</v>
      </c>
      <c r="G408" s="2">
        <v>79.900000000000006</v>
      </c>
      <c r="H408" s="2">
        <v>1.7335700000000001</v>
      </c>
      <c r="I408" s="2">
        <v>1.7335700000000001</v>
      </c>
      <c r="J408" s="2">
        <v>6.7</v>
      </c>
      <c r="K408" s="2">
        <v>-25</v>
      </c>
      <c r="L408" s="2">
        <v>862.8</v>
      </c>
      <c r="M408" s="2">
        <v>862.8</v>
      </c>
      <c r="N408" s="2">
        <f ca="1">INDEX(INDIRECT(_xlfn.CONCAT("weather.tbl[",N$1,"]")),MATCH(vp.tbl[[#This Row],[SDate]],weather.tbl[Date],0))</f>
        <v>-17.95</v>
      </c>
      <c r="O408" s="2">
        <f ca="1">INDEX(INDIRECT(_xlfn.CONCAT("weather.tbl[",O$1,"]")),MATCH(vp.tbl[[#This Row],[SDate]],weather.tbl[Date],0))</f>
        <v>-21.723809523809525</v>
      </c>
      <c r="P408" s="2">
        <f ca="1">INDEX(INDIRECT(_xlfn.CONCAT("weather.tbl[",P$1,"]")),MATCH(vp.tbl[[#This Row],[SDate]],weather.tbl[Date],0))</f>
        <v>-18.100000000000001</v>
      </c>
      <c r="Q408" s="2">
        <f ca="1">INDEX(INDIRECT(_xlfn.CONCAT("weather.tbl[",Q$1,"]")),MATCH(vp.tbl[[#This Row],[SDate]],weather.tbl[Date],0))</f>
        <v>-17.8</v>
      </c>
      <c r="R408" s="2">
        <f ca="1">INDEX(INDIRECT(_xlfn.CONCAT("weather.tbl[",R$1,"]")),MATCH(vp.tbl[[#This Row],[SDate]],weather.tbl[Date],0))</f>
        <v>-18.3</v>
      </c>
      <c r="S408" s="2">
        <f ca="1">INDEX(INDIRECT(_xlfn.CONCAT("weather.tbl[",S$1,"]")),MATCH(vp.tbl[[#This Row],[SDate]],weather.tbl[Date],0))</f>
        <v>-17</v>
      </c>
      <c r="T408" s="2">
        <f ca="1">INDEX(INDIRECT(_xlfn.CONCAT("weather.tbl[",T$1,"]")),MATCH(vp.tbl[[#This Row],[SDate]],weather.tbl[Date],0))</f>
        <v>-18</v>
      </c>
      <c r="U408" s="2">
        <f ca="1">INDEX(INDIRECT(_xlfn.CONCAT("weather.tbl[",U$1,"]")),MATCH(vp.tbl[[#This Row],[SDate]],weather.tbl[Date],0))</f>
        <v>-18.5</v>
      </c>
      <c r="V408" s="2">
        <v>1520.0329999999999</v>
      </c>
      <c r="W408" t="s">
        <v>48</v>
      </c>
      <c r="X408">
        <f>IF(OR(vp.tbl[[#This Row],[Sulf]]="",vp.tbl[[#This Row],[Dens]]=""),1,0)</f>
        <v>0</v>
      </c>
      <c r="Y408">
        <f>IF(vp.tbl[[#This Row],[CrudeType]]="C5+",1,0)</f>
        <v>0</v>
      </c>
      <c r="Z408">
        <f>IF(AND(vp.tbl[[#This Row],[CrudeType]]="Crude",vp.tbl[[#This Row],[Dens]]&lt;=825,vp.tbl[[#This Row],[Sulf]]&gt;0.5,vp.tbl[[#This Row],[Unknown]]=0),1,0)</f>
        <v>0</v>
      </c>
      <c r="AA408">
        <f>IF(AND(vp.tbl[[#This Row],[CrudeType]]="Crude",vp.tbl[[#This Row],[Dens]]&lt;=825,vp.tbl[[#This Row],[Sulf]]&lt;=0.5,vp.tbl[[#This Row],[Unknown]]=0),1,0)</f>
        <v>0</v>
      </c>
      <c r="AB408">
        <f>IF(AND(vp.tbl[[#This Row],[CrudeType]]="Crude",vp.tbl[[#This Row],[Dens]]&gt;825,vp.tbl[[#This Row],[Dens]]&lt;=870,vp.tbl[[#This Row],[Sulf]]&gt;0.5,vp.tbl[[#This Row],[Unknown]]=0),1,0)</f>
        <v>1</v>
      </c>
      <c r="AC408">
        <f>IF(AND(vp.tbl[[#This Row],[CrudeType]]="Crude",vp.tbl[[#This Row],[Dens]]&gt;825,vp.tbl[[#This Row],[Dens]]&lt;=900,vp.tbl[[#This Row],[Sulf]]&lt;=0.5,vp.tbl[[#This Row],[Unknown]]=0),1,0)</f>
        <v>0</v>
      </c>
      <c r="AD408">
        <f>IF(AND(vp.tbl[[#This Row],[CrudeType]]="Crude",vp.tbl[[#This Row],[Dens]]&gt;870,vp.tbl[[#This Row],[Dens]]&lt;=900,vp.tbl[[#This Row],[Sulf]]&gt;0.5,vp.tbl[[#This Row],[Unknown]]=0),1,0)</f>
        <v>0</v>
      </c>
      <c r="AE408">
        <f>IF(AND(vp.tbl[[#This Row],[CrudeType]]="Crude",vp.tbl[[#This Row],[Dens]]&gt;900,vp.tbl[[#This Row],[Sulf]]&lt;=0.5,vp.tbl[[#This Row],[Unknown]]=0),1,0)</f>
        <v>0</v>
      </c>
      <c r="AF408">
        <f>IF(AND(vp.tbl[[#This Row],[CrudeType]]="Crude",vp.tbl[[#This Row],[Dens]]&gt;900,vp.tbl[[#This Row],[Sulf]]&lt;=0.5,vp.tbl[[#This Row],[Unknown]]=0),1,0)</f>
        <v>0</v>
      </c>
      <c r="AG408" t="str">
        <f>INDEX(vp.tbl[[#Headers],[Unknown]:[Heavy_SW]],MATCH(1,vp.tbl[[#This Row],[Unknown]:[Heavy_SW]],0))</f>
        <v>Medium_LSB</v>
      </c>
      <c r="AH408" t="e">
        <f>INDEX([1]!crudeBD.lkup[Number],MATCH(vp.tbl[[#This Row],[Crude_Breakdown]],[1]!crudeBD.lkup[Crude Breakdown],0))</f>
        <v>#REF!</v>
      </c>
      <c r="AI408">
        <f>MONTH(vp.tbl[[#This Row],[SDate]])</f>
        <v>12</v>
      </c>
      <c r="AJ408" s="5">
        <f>IFERROR(vp.tbl[[#This Row],[Sulf]]*vp.tbl[[#This Row],[Net Dens]],"")</f>
        <v>2273550.1368184676</v>
      </c>
      <c r="AK408" s="5">
        <f>IFERROR(vp.tbl[[#This Row],[Dens]]*vp.tbl[[#This Row],[VolumeM3]],"")</f>
        <v>1311484.4723999999</v>
      </c>
      <c r="AL408" s="5">
        <f>IFERROR(vp.tbl[[#This Row],[VP]]*vp.tbl[[#This Row],[VolumeM3]],"")</f>
        <v>121450.6367</v>
      </c>
      <c r="AM408" s="4">
        <f>IFERROR((vp.tbl[[#This Row],[VP]]-INDEX(crudeBD.lkup.complete[Mean_VP],MATCH(vp.tbl[[#This Row],[Crude_Breakdown]],crudeBD.lkup.complete[Crude Breakdown],0)))^2,"")</f>
        <v>7.4854189392702233E-2</v>
      </c>
      <c r="AN408" s="4">
        <f>IFERROR((vp.tbl[[#This Row],[Dens]]-INDEX(crudeBD.lkup.complete[Mean_Dens],MATCH(vp.tbl[[#This Row],[Crude_Breakdown]],crudeBD.lkup.complete[Crude Breakdown],0)))^2,"")</f>
        <v>306.53626939852671</v>
      </c>
      <c r="AO408" s="4">
        <f>IFERROR((vp.tbl[[#This Row],[Sulf]]-INDEX(crudeBD.lkup.complete[Mean_Sulf],MATCH(vp.tbl[[#This Row],[Crude_Breakdown]],crudeBD.lkup.complete[Crude Breakdown],0)))^2,"")</f>
        <v>7.7640327195967959E-2</v>
      </c>
      <c r="AP408">
        <f>IF(AND(vp.tbl[[#This Row],[SDate]]&gt;=DATE(YEAR(vp.tbl[[#This Row],[SDate]]),5,1),vp.tbl[[#This Row],[SDate]]&lt;=DATE(YEAR(vp.tbl[[#This Row],[SDate]]),9,15)),1,0)</f>
        <v>0</v>
      </c>
      <c r="AQ408" s="15">
        <f>IF(vp.tbl[[#This Row],[SDate]]&lt;DATE(2016,12,1),0,1)</f>
        <v>1</v>
      </c>
    </row>
    <row r="409" spans="1:43" x14ac:dyDescent="0.25">
      <c r="A409">
        <v>408</v>
      </c>
      <c r="B409" t="s">
        <v>68</v>
      </c>
      <c r="C409" t="s">
        <v>68</v>
      </c>
      <c r="D409" t="s">
        <v>69</v>
      </c>
      <c r="F409" s="1">
        <v>42717</v>
      </c>
      <c r="G409" s="2">
        <v>104.4</v>
      </c>
      <c r="H409" s="2"/>
      <c r="I409" s="2">
        <v>1.74</v>
      </c>
      <c r="J409" s="2"/>
      <c r="K409" s="2"/>
      <c r="L409" s="2">
        <v>864.4</v>
      </c>
      <c r="M409" s="2">
        <v>864.4</v>
      </c>
      <c r="N409" s="2">
        <f ca="1">INDEX(INDIRECT(_xlfn.CONCAT("weather.tbl[",N$1,"]")),MATCH(vp.tbl[[#This Row],[SDate]],weather.tbl[Date],0))</f>
        <v>-17.95</v>
      </c>
      <c r="O409" s="2">
        <f ca="1">INDEX(INDIRECT(_xlfn.CONCAT("weather.tbl[",O$1,"]")),MATCH(vp.tbl[[#This Row],[SDate]],weather.tbl[Date],0))</f>
        <v>-21.723809523809525</v>
      </c>
      <c r="P409" s="2">
        <f ca="1">INDEX(INDIRECT(_xlfn.CONCAT("weather.tbl[",P$1,"]")),MATCH(vp.tbl[[#This Row],[SDate]],weather.tbl[Date],0))</f>
        <v>-18.100000000000001</v>
      </c>
      <c r="Q409" s="2">
        <f ca="1">INDEX(INDIRECT(_xlfn.CONCAT("weather.tbl[",Q$1,"]")),MATCH(vp.tbl[[#This Row],[SDate]],weather.tbl[Date],0))</f>
        <v>-17.8</v>
      </c>
      <c r="R409" s="2">
        <f ca="1">INDEX(INDIRECT(_xlfn.CONCAT("weather.tbl[",R$1,"]")),MATCH(vp.tbl[[#This Row],[SDate]],weather.tbl[Date],0))</f>
        <v>-18.3</v>
      </c>
      <c r="S409" s="2">
        <f ca="1">INDEX(INDIRECT(_xlfn.CONCAT("weather.tbl[",S$1,"]")),MATCH(vp.tbl[[#This Row],[SDate]],weather.tbl[Date],0))</f>
        <v>-17</v>
      </c>
      <c r="T409" s="2">
        <f ca="1">INDEX(INDIRECT(_xlfn.CONCAT("weather.tbl[",T$1,"]")),MATCH(vp.tbl[[#This Row],[SDate]],weather.tbl[Date],0))</f>
        <v>-18</v>
      </c>
      <c r="U409" s="2">
        <f ca="1">INDEX(INDIRECT(_xlfn.CONCAT("weather.tbl[",U$1,"]")),MATCH(vp.tbl[[#This Row],[SDate]],weather.tbl[Date],0))</f>
        <v>-18.5</v>
      </c>
      <c r="V409" s="2">
        <v>1520.0329999999999</v>
      </c>
      <c r="W409" t="s">
        <v>48</v>
      </c>
      <c r="X409">
        <f>IF(OR(vp.tbl[[#This Row],[Sulf]]="",vp.tbl[[#This Row],[Dens]]=""),1,0)</f>
        <v>0</v>
      </c>
      <c r="Y409">
        <f>IF(vp.tbl[[#This Row],[CrudeType]]="C5+",1,0)</f>
        <v>0</v>
      </c>
      <c r="Z409">
        <f>IF(AND(vp.tbl[[#This Row],[CrudeType]]="Crude",vp.tbl[[#This Row],[Dens]]&lt;=825,vp.tbl[[#This Row],[Sulf]]&gt;0.5,vp.tbl[[#This Row],[Unknown]]=0),1,0)</f>
        <v>0</v>
      </c>
      <c r="AA409">
        <f>IF(AND(vp.tbl[[#This Row],[CrudeType]]="Crude",vp.tbl[[#This Row],[Dens]]&lt;=825,vp.tbl[[#This Row],[Sulf]]&lt;=0.5,vp.tbl[[#This Row],[Unknown]]=0),1,0)</f>
        <v>0</v>
      </c>
      <c r="AB409">
        <f>IF(AND(vp.tbl[[#This Row],[CrudeType]]="Crude",vp.tbl[[#This Row],[Dens]]&gt;825,vp.tbl[[#This Row],[Dens]]&lt;=870,vp.tbl[[#This Row],[Sulf]]&gt;0.5,vp.tbl[[#This Row],[Unknown]]=0),1,0)</f>
        <v>1</v>
      </c>
      <c r="AC409">
        <f>IF(AND(vp.tbl[[#This Row],[CrudeType]]="Crude",vp.tbl[[#This Row],[Dens]]&gt;825,vp.tbl[[#This Row],[Dens]]&lt;=900,vp.tbl[[#This Row],[Sulf]]&lt;=0.5,vp.tbl[[#This Row],[Unknown]]=0),1,0)</f>
        <v>0</v>
      </c>
      <c r="AD409">
        <f>IF(AND(vp.tbl[[#This Row],[CrudeType]]="Crude",vp.tbl[[#This Row],[Dens]]&gt;870,vp.tbl[[#This Row],[Dens]]&lt;=900,vp.tbl[[#This Row],[Sulf]]&gt;0.5,vp.tbl[[#This Row],[Unknown]]=0),1,0)</f>
        <v>0</v>
      </c>
      <c r="AE409">
        <f>IF(AND(vp.tbl[[#This Row],[CrudeType]]="Crude",vp.tbl[[#This Row],[Dens]]&gt;900,vp.tbl[[#This Row],[Sulf]]&lt;=0.5,vp.tbl[[#This Row],[Unknown]]=0),1,0)</f>
        <v>0</v>
      </c>
      <c r="AF409">
        <f>IF(AND(vp.tbl[[#This Row],[CrudeType]]="Crude",vp.tbl[[#This Row],[Dens]]&gt;900,vp.tbl[[#This Row],[Sulf]]&lt;=0.5,vp.tbl[[#This Row],[Unknown]]=0),1,0)</f>
        <v>0</v>
      </c>
      <c r="AG409" t="str">
        <f>INDEX(vp.tbl[[#Headers],[Unknown]:[Heavy_SW]],MATCH(1,vp.tbl[[#This Row],[Unknown]:[Heavy_SW]],0))</f>
        <v>Medium_LSB</v>
      </c>
      <c r="AH409" t="e">
        <f>INDEX([1]!crudeBD.lkup[Number],MATCH(vp.tbl[[#This Row],[Crude_Breakdown]],[1]!crudeBD.lkup[Crude Breakdown],0))</f>
        <v>#REF!</v>
      </c>
      <c r="AI409">
        <f>MONTH(vp.tbl[[#This Row],[SDate]])</f>
        <v>12</v>
      </c>
      <c r="AJ409" s="5">
        <f>IFERROR(vp.tbl[[#This Row],[Sulf]]*vp.tbl[[#This Row],[Net Dens]],"")</f>
        <v>2286214.7538479995</v>
      </c>
      <c r="AK409" s="5">
        <f>IFERROR(vp.tbl[[#This Row],[Dens]]*vp.tbl[[#This Row],[VolumeM3]],"")</f>
        <v>1313916.5251999998</v>
      </c>
      <c r="AL409" s="5">
        <f>IFERROR(vp.tbl[[#This Row],[VP]]*vp.tbl[[#This Row],[VolumeM3]],"")</f>
        <v>158691.44519999999</v>
      </c>
      <c r="AM409" s="4">
        <f>IFERROR((vp.tbl[[#This Row],[VP]]-INDEX(crudeBD.lkup.complete[Mean_VP],MATCH(vp.tbl[[#This Row],[Crude_Breakdown]],crudeBD.lkup.complete[Crude Breakdown],0)))^2,"")</f>
        <v>586.91870229066058</v>
      </c>
      <c r="AN409" s="4">
        <f>IFERROR((vp.tbl[[#This Row],[Dens]]-INDEX(crudeBD.lkup.complete[Mean_Dens],MATCH(vp.tbl[[#This Row],[Crude_Breakdown]],crudeBD.lkup.complete[Crude Breakdown],0)))^2,"")</f>
        <v>365.1224364871382</v>
      </c>
      <c r="AO409" s="4">
        <f>IFERROR((vp.tbl[[#This Row],[Sulf]]-INDEX(crudeBD.lkup.complete[Mean_Sulf],MATCH(vp.tbl[[#This Row],[Crude_Breakdown]],crudeBD.lkup.complete[Crude Breakdown],0)))^2,"")</f>
        <v>8.1264984286600811E-2</v>
      </c>
      <c r="AP409">
        <f>IF(AND(vp.tbl[[#This Row],[SDate]]&gt;=DATE(YEAR(vp.tbl[[#This Row],[SDate]]),5,1),vp.tbl[[#This Row],[SDate]]&lt;=DATE(YEAR(vp.tbl[[#This Row],[SDate]]),9,15)),1,0)</f>
        <v>0</v>
      </c>
      <c r="AQ409" s="15">
        <f>IF(vp.tbl[[#This Row],[SDate]]&lt;DATE(2016,12,1),0,1)</f>
        <v>1</v>
      </c>
    </row>
    <row r="410" spans="1:43" x14ac:dyDescent="0.25">
      <c r="A410">
        <v>409</v>
      </c>
      <c r="B410" t="s">
        <v>53</v>
      </c>
      <c r="C410" t="s">
        <v>53</v>
      </c>
      <c r="D410" t="s">
        <v>54</v>
      </c>
      <c r="E410" t="s">
        <v>73</v>
      </c>
      <c r="F410" s="1">
        <v>42718</v>
      </c>
      <c r="G410" s="2">
        <v>53.7</v>
      </c>
      <c r="H410" s="2">
        <v>0.35604999999999998</v>
      </c>
      <c r="I410" s="2">
        <v>0.35604999999999998</v>
      </c>
      <c r="J410" s="2">
        <v>3</v>
      </c>
      <c r="K410" s="2">
        <v>-25</v>
      </c>
      <c r="L410" s="2">
        <v>830</v>
      </c>
      <c r="M410" s="2">
        <v>830</v>
      </c>
      <c r="N410" s="2">
        <f ca="1">INDEX(INDIRECT(_xlfn.CONCAT("weather.tbl[",N$1,"]")),MATCH(vp.tbl[[#This Row],[SDate]],weather.tbl[Date],0))</f>
        <v>-23.216666666666669</v>
      </c>
      <c r="O410" s="2">
        <f ca="1">INDEX(INDIRECT(_xlfn.CONCAT("weather.tbl[",O$1,"]")),MATCH(vp.tbl[[#This Row],[SDate]],weather.tbl[Date],0))</f>
        <v>-22.707142857142859</v>
      </c>
      <c r="P410" s="2">
        <f ca="1">INDEX(INDIRECT(_xlfn.CONCAT("weather.tbl[",P$1,"]")),MATCH(vp.tbl[[#This Row],[SDate]],weather.tbl[Date],0))</f>
        <v>-24.1</v>
      </c>
      <c r="Q410" s="2">
        <f ca="1">INDEX(INDIRECT(_xlfn.CONCAT("weather.tbl[",Q$1,"]")),MATCH(vp.tbl[[#This Row],[SDate]],weather.tbl[Date],0))</f>
        <v>-24.3</v>
      </c>
      <c r="R410" s="2">
        <f ca="1">INDEX(INDIRECT(_xlfn.CONCAT("weather.tbl[",R$1,"]")),MATCH(vp.tbl[[#This Row],[SDate]],weather.tbl[Date],0))</f>
        <v>-23</v>
      </c>
      <c r="S410" s="2">
        <f ca="1">INDEX(INDIRECT(_xlfn.CONCAT("weather.tbl[",S$1,"]")),MATCH(vp.tbl[[#This Row],[SDate]],weather.tbl[Date],0))</f>
        <v>-20.8</v>
      </c>
      <c r="T410" s="2">
        <f ca="1">INDEX(INDIRECT(_xlfn.CONCAT("weather.tbl[",T$1,"]")),MATCH(vp.tbl[[#This Row],[SDate]],weather.tbl[Date],0))</f>
        <v>-23.6</v>
      </c>
      <c r="U410" s="2">
        <f ca="1">INDEX(INDIRECT(_xlfn.CONCAT("weather.tbl[",U$1,"]")),MATCH(vp.tbl[[#This Row],[SDate]],weather.tbl[Date],0))</f>
        <v>-23.5</v>
      </c>
      <c r="V410" s="2">
        <v>53327.86</v>
      </c>
      <c r="W410" t="s">
        <v>48</v>
      </c>
      <c r="X410">
        <f>IF(OR(vp.tbl[[#This Row],[Sulf]]="",vp.tbl[[#This Row],[Dens]]=""),1,0)</f>
        <v>0</v>
      </c>
      <c r="Y410">
        <f>IF(vp.tbl[[#This Row],[CrudeType]]="C5+",1,0)</f>
        <v>0</v>
      </c>
      <c r="Z410">
        <f>IF(AND(vp.tbl[[#This Row],[CrudeType]]="Crude",vp.tbl[[#This Row],[Dens]]&lt;=825,vp.tbl[[#This Row],[Sulf]]&gt;0.5,vp.tbl[[#This Row],[Unknown]]=0),1,0)</f>
        <v>0</v>
      </c>
      <c r="AA410">
        <f>IF(AND(vp.tbl[[#This Row],[CrudeType]]="Crude",vp.tbl[[#This Row],[Dens]]&lt;=825,vp.tbl[[#This Row],[Sulf]]&lt;=0.5,vp.tbl[[#This Row],[Unknown]]=0),1,0)</f>
        <v>0</v>
      </c>
      <c r="AB410">
        <f>IF(AND(vp.tbl[[#This Row],[CrudeType]]="Crude",vp.tbl[[#This Row],[Dens]]&gt;825,vp.tbl[[#This Row],[Dens]]&lt;=870,vp.tbl[[#This Row],[Sulf]]&gt;0.5,vp.tbl[[#This Row],[Unknown]]=0),1,0)</f>
        <v>0</v>
      </c>
      <c r="AC410">
        <f>IF(AND(vp.tbl[[#This Row],[CrudeType]]="Crude",vp.tbl[[#This Row],[Dens]]&gt;825,vp.tbl[[#This Row],[Dens]]&lt;=900,vp.tbl[[#This Row],[Sulf]]&lt;=0.5,vp.tbl[[#This Row],[Unknown]]=0),1,0)</f>
        <v>1</v>
      </c>
      <c r="AD410">
        <f>IF(AND(vp.tbl[[#This Row],[CrudeType]]="Crude",vp.tbl[[#This Row],[Dens]]&gt;870,vp.tbl[[#This Row],[Dens]]&lt;=900,vp.tbl[[#This Row],[Sulf]]&gt;0.5,vp.tbl[[#This Row],[Unknown]]=0),1,0)</f>
        <v>0</v>
      </c>
      <c r="AE410">
        <f>IF(AND(vp.tbl[[#This Row],[CrudeType]]="Crude",vp.tbl[[#This Row],[Dens]]&gt;900,vp.tbl[[#This Row],[Sulf]]&lt;=0.5,vp.tbl[[#This Row],[Unknown]]=0),1,0)</f>
        <v>0</v>
      </c>
      <c r="AF410">
        <f>IF(AND(vp.tbl[[#This Row],[CrudeType]]="Crude",vp.tbl[[#This Row],[Dens]]&gt;900,vp.tbl[[#This Row],[Sulf]]&lt;=0.5,vp.tbl[[#This Row],[Unknown]]=0),1,0)</f>
        <v>0</v>
      </c>
      <c r="AG410" t="str">
        <f>INDEX(vp.tbl[[#Headers],[Unknown]:[Heavy_SW]],MATCH(1,vp.tbl[[#This Row],[Unknown]:[Heavy_SW]],0))</f>
        <v>Medium_SW</v>
      </c>
      <c r="AH410" t="e">
        <f>INDEX([1]!crudeBD.lkup[Number],MATCH(vp.tbl[[#This Row],[Crude_Breakdown]],[1]!crudeBD.lkup[Crude Breakdown],0))</f>
        <v>#REF!</v>
      </c>
      <c r="AI410">
        <f>MONTH(vp.tbl[[#This Row],[SDate]])</f>
        <v>12</v>
      </c>
      <c r="AJ410" s="5">
        <f>IFERROR(vp.tbl[[#This Row],[Sulf]]*vp.tbl[[#This Row],[Net Dens]],"")</f>
        <v>15759529.178989997</v>
      </c>
      <c r="AK410" s="5">
        <f>IFERROR(vp.tbl[[#This Row],[Dens]]*vp.tbl[[#This Row],[VolumeM3]],"")</f>
        <v>44262123.799999997</v>
      </c>
      <c r="AL410" s="5">
        <f>IFERROR(vp.tbl[[#This Row],[VP]]*vp.tbl[[#This Row],[VolumeM3]],"")</f>
        <v>2863706.0820000004</v>
      </c>
      <c r="AM410" s="4">
        <f>IFERROR((vp.tbl[[#This Row],[VP]]-INDEX(crudeBD.lkup.complete[Mean_VP],MATCH(vp.tbl[[#This Row],[Crude_Breakdown]],crudeBD.lkup.complete[Crude Breakdown],0)))^2,"")</f>
        <v>937.38027777777825</v>
      </c>
      <c r="AN410" s="4">
        <f>IFERROR((vp.tbl[[#This Row],[Dens]]-INDEX(crudeBD.lkup.complete[Mean_Dens],MATCH(vp.tbl[[#This Row],[Crude_Breakdown]],crudeBD.lkup.complete[Crude Breakdown],0)))^2,"")</f>
        <v>745.29000000000372</v>
      </c>
      <c r="AO410" s="4">
        <f>IFERROR((vp.tbl[[#This Row],[Sulf]]-INDEX(crudeBD.lkup.complete[Mean_Sulf],MATCH(vp.tbl[[#This Row],[Crude_Breakdown]],crudeBD.lkup.complete[Crude Breakdown],0)))^2,"")</f>
        <v>3.1519208832249998E-2</v>
      </c>
      <c r="AP410">
        <f>IF(AND(vp.tbl[[#This Row],[SDate]]&gt;=DATE(YEAR(vp.tbl[[#This Row],[SDate]]),5,1),vp.tbl[[#This Row],[SDate]]&lt;=DATE(YEAR(vp.tbl[[#This Row],[SDate]]),9,15)),1,0)</f>
        <v>0</v>
      </c>
      <c r="AQ410" s="15">
        <f>IF(vp.tbl[[#This Row],[SDate]]&lt;DATE(2016,12,1),0,1)</f>
        <v>1</v>
      </c>
    </row>
    <row r="411" spans="1:43" x14ac:dyDescent="0.25">
      <c r="A411">
        <v>410</v>
      </c>
      <c r="B411" t="s">
        <v>53</v>
      </c>
      <c r="C411" t="s">
        <v>53</v>
      </c>
      <c r="D411" t="s">
        <v>54</v>
      </c>
      <c r="E411" t="s">
        <v>55</v>
      </c>
      <c r="F411" s="1">
        <v>42718</v>
      </c>
      <c r="G411" s="2">
        <v>97.5</v>
      </c>
      <c r="H411" s="2">
        <v>1.6127100000000001</v>
      </c>
      <c r="I411" s="2">
        <v>1.6127100000000001</v>
      </c>
      <c r="J411" s="2">
        <v>0.5</v>
      </c>
      <c r="K411" s="2">
        <v>-25</v>
      </c>
      <c r="L411" s="2">
        <v>833</v>
      </c>
      <c r="M411" s="2">
        <v>833</v>
      </c>
      <c r="N411" s="2">
        <f ca="1">INDEX(INDIRECT(_xlfn.CONCAT("weather.tbl[",N$1,"]")),MATCH(vp.tbl[[#This Row],[SDate]],weather.tbl[Date],0))</f>
        <v>-23.216666666666669</v>
      </c>
      <c r="O411" s="2">
        <f ca="1">INDEX(INDIRECT(_xlfn.CONCAT("weather.tbl[",O$1,"]")),MATCH(vp.tbl[[#This Row],[SDate]],weather.tbl[Date],0))</f>
        <v>-22.707142857142859</v>
      </c>
      <c r="P411" s="2">
        <f ca="1">INDEX(INDIRECT(_xlfn.CONCAT("weather.tbl[",P$1,"]")),MATCH(vp.tbl[[#This Row],[SDate]],weather.tbl[Date],0))</f>
        <v>-24.1</v>
      </c>
      <c r="Q411" s="2">
        <f ca="1">INDEX(INDIRECT(_xlfn.CONCAT("weather.tbl[",Q$1,"]")),MATCH(vp.tbl[[#This Row],[SDate]],weather.tbl[Date],0))</f>
        <v>-24.3</v>
      </c>
      <c r="R411" s="2">
        <f ca="1">INDEX(INDIRECT(_xlfn.CONCAT("weather.tbl[",R$1,"]")),MATCH(vp.tbl[[#This Row],[SDate]],weather.tbl[Date],0))</f>
        <v>-23</v>
      </c>
      <c r="S411" s="2">
        <f ca="1">INDEX(INDIRECT(_xlfn.CONCAT("weather.tbl[",S$1,"]")),MATCH(vp.tbl[[#This Row],[SDate]],weather.tbl[Date],0))</f>
        <v>-20.8</v>
      </c>
      <c r="T411" s="2">
        <f ca="1">INDEX(INDIRECT(_xlfn.CONCAT("weather.tbl[",T$1,"]")),MATCH(vp.tbl[[#This Row],[SDate]],weather.tbl[Date],0))</f>
        <v>-23.6</v>
      </c>
      <c r="U411" s="2">
        <f ca="1">INDEX(INDIRECT(_xlfn.CONCAT("weather.tbl[",U$1,"]")),MATCH(vp.tbl[[#This Row],[SDate]],weather.tbl[Date],0))</f>
        <v>-23.5</v>
      </c>
      <c r="V411" s="2">
        <v>53327.86</v>
      </c>
      <c r="W411" t="s">
        <v>48</v>
      </c>
      <c r="X411">
        <f>IF(OR(vp.tbl[[#This Row],[Sulf]]="",vp.tbl[[#This Row],[Dens]]=""),1,0)</f>
        <v>0</v>
      </c>
      <c r="Y411">
        <f>IF(vp.tbl[[#This Row],[CrudeType]]="C5+",1,0)</f>
        <v>0</v>
      </c>
      <c r="Z411">
        <f>IF(AND(vp.tbl[[#This Row],[CrudeType]]="Crude",vp.tbl[[#This Row],[Dens]]&lt;=825,vp.tbl[[#This Row],[Sulf]]&gt;0.5,vp.tbl[[#This Row],[Unknown]]=0),1,0)</f>
        <v>0</v>
      </c>
      <c r="AA411">
        <f>IF(AND(vp.tbl[[#This Row],[CrudeType]]="Crude",vp.tbl[[#This Row],[Dens]]&lt;=825,vp.tbl[[#This Row],[Sulf]]&lt;=0.5,vp.tbl[[#This Row],[Unknown]]=0),1,0)</f>
        <v>0</v>
      </c>
      <c r="AB411">
        <f>IF(AND(vp.tbl[[#This Row],[CrudeType]]="Crude",vp.tbl[[#This Row],[Dens]]&gt;825,vp.tbl[[#This Row],[Dens]]&lt;=870,vp.tbl[[#This Row],[Sulf]]&gt;0.5,vp.tbl[[#This Row],[Unknown]]=0),1,0)</f>
        <v>1</v>
      </c>
      <c r="AC411">
        <f>IF(AND(vp.tbl[[#This Row],[CrudeType]]="Crude",vp.tbl[[#This Row],[Dens]]&gt;825,vp.tbl[[#This Row],[Dens]]&lt;=900,vp.tbl[[#This Row],[Sulf]]&lt;=0.5,vp.tbl[[#This Row],[Unknown]]=0),1,0)</f>
        <v>0</v>
      </c>
      <c r="AD411">
        <f>IF(AND(vp.tbl[[#This Row],[CrudeType]]="Crude",vp.tbl[[#This Row],[Dens]]&gt;870,vp.tbl[[#This Row],[Dens]]&lt;=900,vp.tbl[[#This Row],[Sulf]]&gt;0.5,vp.tbl[[#This Row],[Unknown]]=0),1,0)</f>
        <v>0</v>
      </c>
      <c r="AE411">
        <f>IF(AND(vp.tbl[[#This Row],[CrudeType]]="Crude",vp.tbl[[#This Row],[Dens]]&gt;900,vp.tbl[[#This Row],[Sulf]]&lt;=0.5,vp.tbl[[#This Row],[Unknown]]=0),1,0)</f>
        <v>0</v>
      </c>
      <c r="AF411">
        <f>IF(AND(vp.tbl[[#This Row],[CrudeType]]="Crude",vp.tbl[[#This Row],[Dens]]&gt;900,vp.tbl[[#This Row],[Sulf]]&lt;=0.5,vp.tbl[[#This Row],[Unknown]]=0),1,0)</f>
        <v>0</v>
      </c>
      <c r="AG411" t="str">
        <f>INDEX(vp.tbl[[#Headers],[Unknown]:[Heavy_SW]],MATCH(1,vp.tbl[[#This Row],[Unknown]:[Heavy_SW]],0))</f>
        <v>Medium_LSB</v>
      </c>
      <c r="AH411" t="e">
        <f>INDEX([1]!crudeBD.lkup[Number],MATCH(vp.tbl[[#This Row],[Crude_Breakdown]],[1]!crudeBD.lkup[Crude Breakdown],0))</f>
        <v>#REF!</v>
      </c>
      <c r="AI411">
        <f>MONTH(vp.tbl[[#This Row],[SDate]])</f>
        <v>12</v>
      </c>
      <c r="AJ411" s="5">
        <f>IFERROR(vp.tbl[[#This Row],[Sulf]]*vp.tbl[[#This Row],[Net Dens]],"")</f>
        <v>71639976.792799816</v>
      </c>
      <c r="AK411" s="5">
        <f>IFERROR(vp.tbl[[#This Row],[Dens]]*vp.tbl[[#This Row],[VolumeM3]],"")</f>
        <v>44422107.380000003</v>
      </c>
      <c r="AL411" s="5">
        <f>IFERROR(vp.tbl[[#This Row],[VP]]*vp.tbl[[#This Row],[VolumeM3]],"")</f>
        <v>5199466.3499999996</v>
      </c>
      <c r="AM411" s="4">
        <f>IFERROR((vp.tbl[[#This Row],[VP]]-INDEX(crudeBD.lkup.complete[Mean_VP],MATCH(vp.tbl[[#This Row],[Crude_Breakdown]],crudeBD.lkup.complete[Crude Breakdown],0)))^2,"")</f>
        <v>300.20431241724208</v>
      </c>
      <c r="AN411" s="4">
        <f>IFERROR((vp.tbl[[#This Row],[Dens]]-INDEX(crudeBD.lkup.complete[Mean_Dens],MATCH(vp.tbl[[#This Row],[Crude_Breakdown]],crudeBD.lkup.complete[Crude Breakdown],0)))^2,"")</f>
        <v>151.08890737315318</v>
      </c>
      <c r="AO411" s="4">
        <f>IFERROR((vp.tbl[[#This Row],[Sulf]]-INDEX(crudeBD.lkup.complete[Mean_Sulf],MATCH(vp.tbl[[#This Row],[Crude_Breakdown]],crudeBD.lkup.complete[Crude Breakdown],0)))^2,"")</f>
        <v>2.4894572338753126E-2</v>
      </c>
      <c r="AP411">
        <f>IF(AND(vp.tbl[[#This Row],[SDate]]&gt;=DATE(YEAR(vp.tbl[[#This Row],[SDate]]),5,1),vp.tbl[[#This Row],[SDate]]&lt;=DATE(YEAR(vp.tbl[[#This Row],[SDate]]),9,15)),1,0)</f>
        <v>0</v>
      </c>
      <c r="AQ411" s="15">
        <f>IF(vp.tbl[[#This Row],[SDate]]&lt;DATE(2016,12,1),0,1)</f>
        <v>1</v>
      </c>
    </row>
    <row r="412" spans="1:43" x14ac:dyDescent="0.25">
      <c r="A412">
        <v>411</v>
      </c>
      <c r="B412" t="s">
        <v>49</v>
      </c>
      <c r="C412" t="s">
        <v>49</v>
      </c>
      <c r="D412" t="s">
        <v>89</v>
      </c>
      <c r="F412" s="1">
        <v>42718</v>
      </c>
      <c r="G412" s="2">
        <v>99.8</v>
      </c>
      <c r="H412" s="2">
        <v>0.23268</v>
      </c>
      <c r="I412" s="2">
        <v>0.23268</v>
      </c>
      <c r="J412" s="2">
        <v>-4</v>
      </c>
      <c r="K412" s="2">
        <v>-25</v>
      </c>
      <c r="L412" s="2">
        <v>822</v>
      </c>
      <c r="M412" s="2">
        <v>822</v>
      </c>
      <c r="N412" s="2">
        <f ca="1">INDEX(INDIRECT(_xlfn.CONCAT("weather.tbl[",N$1,"]")),MATCH(vp.tbl[[#This Row],[SDate]],weather.tbl[Date],0))</f>
        <v>-23.216666666666669</v>
      </c>
      <c r="O412" s="2">
        <f ca="1">INDEX(INDIRECT(_xlfn.CONCAT("weather.tbl[",O$1,"]")),MATCH(vp.tbl[[#This Row],[SDate]],weather.tbl[Date],0))</f>
        <v>-22.707142857142859</v>
      </c>
      <c r="P412" s="2">
        <f ca="1">INDEX(INDIRECT(_xlfn.CONCAT("weather.tbl[",P$1,"]")),MATCH(vp.tbl[[#This Row],[SDate]],weather.tbl[Date],0))</f>
        <v>-24.1</v>
      </c>
      <c r="Q412" s="2">
        <f ca="1">INDEX(INDIRECT(_xlfn.CONCAT("weather.tbl[",Q$1,"]")),MATCH(vp.tbl[[#This Row],[SDate]],weather.tbl[Date],0))</f>
        <v>-24.3</v>
      </c>
      <c r="R412" s="2">
        <f ca="1">INDEX(INDIRECT(_xlfn.CONCAT("weather.tbl[",R$1,"]")),MATCH(vp.tbl[[#This Row],[SDate]],weather.tbl[Date],0))</f>
        <v>-23</v>
      </c>
      <c r="S412" s="2">
        <f ca="1">INDEX(INDIRECT(_xlfn.CONCAT("weather.tbl[",S$1,"]")),MATCH(vp.tbl[[#This Row],[SDate]],weather.tbl[Date],0))</f>
        <v>-20.8</v>
      </c>
      <c r="T412" s="2">
        <f ca="1">INDEX(INDIRECT(_xlfn.CONCAT("weather.tbl[",T$1,"]")),MATCH(vp.tbl[[#This Row],[SDate]],weather.tbl[Date],0))</f>
        <v>-23.6</v>
      </c>
      <c r="U412" s="2">
        <f ca="1">INDEX(INDIRECT(_xlfn.CONCAT("weather.tbl[",U$1,"]")),MATCH(vp.tbl[[#This Row],[SDate]],weather.tbl[Date],0))</f>
        <v>-23.5</v>
      </c>
      <c r="V412" s="2">
        <v>5355.0209999999997</v>
      </c>
      <c r="W412" t="s">
        <v>48</v>
      </c>
      <c r="X412">
        <f>IF(OR(vp.tbl[[#This Row],[Sulf]]="",vp.tbl[[#This Row],[Dens]]=""),1,0)</f>
        <v>0</v>
      </c>
      <c r="Y412">
        <f>IF(vp.tbl[[#This Row],[CrudeType]]="C5+",1,0)</f>
        <v>0</v>
      </c>
      <c r="Z412">
        <f>IF(AND(vp.tbl[[#This Row],[CrudeType]]="Crude",vp.tbl[[#This Row],[Dens]]&lt;=825,vp.tbl[[#This Row],[Sulf]]&gt;0.5,vp.tbl[[#This Row],[Unknown]]=0),1,0)</f>
        <v>0</v>
      </c>
      <c r="AA412">
        <f>IF(AND(vp.tbl[[#This Row],[CrudeType]]="Crude",vp.tbl[[#This Row],[Dens]]&lt;=825,vp.tbl[[#This Row],[Sulf]]&lt;=0.5,vp.tbl[[#This Row],[Unknown]]=0),1,0)</f>
        <v>1</v>
      </c>
      <c r="AB412">
        <f>IF(AND(vp.tbl[[#This Row],[CrudeType]]="Crude",vp.tbl[[#This Row],[Dens]]&gt;825,vp.tbl[[#This Row],[Dens]]&lt;=870,vp.tbl[[#This Row],[Sulf]]&gt;0.5,vp.tbl[[#This Row],[Unknown]]=0),1,0)</f>
        <v>0</v>
      </c>
      <c r="AC412">
        <f>IF(AND(vp.tbl[[#This Row],[CrudeType]]="Crude",vp.tbl[[#This Row],[Dens]]&gt;825,vp.tbl[[#This Row],[Dens]]&lt;=900,vp.tbl[[#This Row],[Sulf]]&lt;=0.5,vp.tbl[[#This Row],[Unknown]]=0),1,0)</f>
        <v>0</v>
      </c>
      <c r="AD412">
        <f>IF(AND(vp.tbl[[#This Row],[CrudeType]]="Crude",vp.tbl[[#This Row],[Dens]]&gt;870,vp.tbl[[#This Row],[Dens]]&lt;=900,vp.tbl[[#This Row],[Sulf]]&gt;0.5,vp.tbl[[#This Row],[Unknown]]=0),1,0)</f>
        <v>0</v>
      </c>
      <c r="AE412">
        <f>IF(AND(vp.tbl[[#This Row],[CrudeType]]="Crude",vp.tbl[[#This Row],[Dens]]&gt;900,vp.tbl[[#This Row],[Sulf]]&lt;=0.5,vp.tbl[[#This Row],[Unknown]]=0),1,0)</f>
        <v>0</v>
      </c>
      <c r="AF412">
        <f>IF(AND(vp.tbl[[#This Row],[CrudeType]]="Crude",vp.tbl[[#This Row],[Dens]]&gt;900,vp.tbl[[#This Row],[Sulf]]&lt;=0.5,vp.tbl[[#This Row],[Unknown]]=0),1,0)</f>
        <v>0</v>
      </c>
      <c r="AG412" t="str">
        <f>INDEX(vp.tbl[[#Headers],[Unknown]:[Heavy_SW]],MATCH(1,vp.tbl[[#This Row],[Unknown]:[Heavy_SW]],0))</f>
        <v>Light_SW</v>
      </c>
      <c r="AH412" t="e">
        <f>INDEX([1]!crudeBD.lkup[Number],MATCH(vp.tbl[[#This Row],[Crude_Breakdown]],[1]!crudeBD.lkup[Crude Breakdown],0))</f>
        <v>#REF!</v>
      </c>
      <c r="AI412">
        <f>MONTH(vp.tbl[[#This Row],[SDate]])</f>
        <v>12</v>
      </c>
      <c r="AJ412" s="5">
        <f>IFERROR(vp.tbl[[#This Row],[Sulf]]*vp.tbl[[#This Row],[Net Dens]],"")</f>
        <v>1024217.16732216</v>
      </c>
      <c r="AK412" s="5">
        <f>IFERROR(vp.tbl[[#This Row],[Dens]]*vp.tbl[[#This Row],[VolumeM3]],"")</f>
        <v>4401827.2620000001</v>
      </c>
      <c r="AL412" s="5">
        <f>IFERROR(vp.tbl[[#This Row],[VP]]*vp.tbl[[#This Row],[VolumeM3]],"")</f>
        <v>534431.09580000001</v>
      </c>
      <c r="AM412" s="4">
        <f>IFERROR((vp.tbl[[#This Row],[VP]]-INDEX(crudeBD.lkup.complete[Mean_VP],MATCH(vp.tbl[[#This Row],[Crude_Breakdown]],crudeBD.lkup.complete[Crude Breakdown],0)))^2,"")</f>
        <v>52.557953060010824</v>
      </c>
      <c r="AN412" s="4">
        <f>IFERROR((vp.tbl[[#This Row],[Dens]]-INDEX(crudeBD.lkup.complete[Mean_Dens],MATCH(vp.tbl[[#This Row],[Crude_Breakdown]],crudeBD.lkup.complete[Crude Breakdown],0)))^2,"")</f>
        <v>187.37507994513098</v>
      </c>
      <c r="AO412" s="4">
        <f>IFERROR((vp.tbl[[#This Row],[Sulf]]-INDEX(crudeBD.lkup.complete[Mean_Sulf],MATCH(vp.tbl[[#This Row],[Crude_Breakdown]],crudeBD.lkup.complete[Crude Breakdown],0)))^2,"")</f>
        <v>1.2686503631219406E-5</v>
      </c>
      <c r="AP412">
        <f>IF(AND(vp.tbl[[#This Row],[SDate]]&gt;=DATE(YEAR(vp.tbl[[#This Row],[SDate]]),5,1),vp.tbl[[#This Row],[SDate]]&lt;=DATE(YEAR(vp.tbl[[#This Row],[SDate]]),9,15)),1,0)</f>
        <v>0</v>
      </c>
      <c r="AQ412" s="15">
        <f>IF(vp.tbl[[#This Row],[SDate]]&lt;DATE(2016,12,1),0,1)</f>
        <v>1</v>
      </c>
    </row>
    <row r="413" spans="1:43" x14ac:dyDescent="0.25">
      <c r="A413">
        <v>412</v>
      </c>
      <c r="B413" t="s">
        <v>49</v>
      </c>
      <c r="C413" t="s">
        <v>49</v>
      </c>
      <c r="D413" t="s">
        <v>99</v>
      </c>
      <c r="F413" s="1">
        <v>42718</v>
      </c>
      <c r="G413" s="2">
        <v>113.5</v>
      </c>
      <c r="H413" s="2">
        <v>0.38735000000000003</v>
      </c>
      <c r="I413" s="2">
        <v>0.38735000000000003</v>
      </c>
      <c r="J413" s="2">
        <v>-11</v>
      </c>
      <c r="K413" s="2">
        <v>-25</v>
      </c>
      <c r="L413" s="2">
        <v>815</v>
      </c>
      <c r="M413" s="2">
        <v>815</v>
      </c>
      <c r="N413" s="2">
        <f ca="1">INDEX(INDIRECT(_xlfn.CONCAT("weather.tbl[",N$1,"]")),MATCH(vp.tbl[[#This Row],[SDate]],weather.tbl[Date],0))</f>
        <v>-23.216666666666669</v>
      </c>
      <c r="O413" s="2">
        <f ca="1">INDEX(INDIRECT(_xlfn.CONCAT("weather.tbl[",O$1,"]")),MATCH(vp.tbl[[#This Row],[SDate]],weather.tbl[Date],0))</f>
        <v>-22.707142857142859</v>
      </c>
      <c r="P413" s="2">
        <f ca="1">INDEX(INDIRECT(_xlfn.CONCAT("weather.tbl[",P$1,"]")),MATCH(vp.tbl[[#This Row],[SDate]],weather.tbl[Date],0))</f>
        <v>-24.1</v>
      </c>
      <c r="Q413" s="2">
        <f ca="1">INDEX(INDIRECT(_xlfn.CONCAT("weather.tbl[",Q$1,"]")),MATCH(vp.tbl[[#This Row],[SDate]],weather.tbl[Date],0))</f>
        <v>-24.3</v>
      </c>
      <c r="R413" s="2">
        <f ca="1">INDEX(INDIRECT(_xlfn.CONCAT("weather.tbl[",R$1,"]")),MATCH(vp.tbl[[#This Row],[SDate]],weather.tbl[Date],0))</f>
        <v>-23</v>
      </c>
      <c r="S413" s="2">
        <f ca="1">INDEX(INDIRECT(_xlfn.CONCAT("weather.tbl[",S$1,"]")),MATCH(vp.tbl[[#This Row],[SDate]],weather.tbl[Date],0))</f>
        <v>-20.8</v>
      </c>
      <c r="T413" s="2">
        <f ca="1">INDEX(INDIRECT(_xlfn.CONCAT("weather.tbl[",T$1,"]")),MATCH(vp.tbl[[#This Row],[SDate]],weather.tbl[Date],0))</f>
        <v>-23.6</v>
      </c>
      <c r="U413" s="2">
        <f ca="1">INDEX(INDIRECT(_xlfn.CONCAT("weather.tbl[",U$1,"]")),MATCH(vp.tbl[[#This Row],[SDate]],weather.tbl[Date],0))</f>
        <v>-23.5</v>
      </c>
      <c r="V413" s="2">
        <v>2747.39</v>
      </c>
      <c r="W413" t="s">
        <v>48</v>
      </c>
      <c r="X413">
        <f>IF(OR(vp.tbl[[#This Row],[Sulf]]="",vp.tbl[[#This Row],[Dens]]=""),1,0)</f>
        <v>0</v>
      </c>
      <c r="Y413">
        <f>IF(vp.tbl[[#This Row],[CrudeType]]="C5+",1,0)</f>
        <v>0</v>
      </c>
      <c r="Z413">
        <f>IF(AND(vp.tbl[[#This Row],[CrudeType]]="Crude",vp.tbl[[#This Row],[Dens]]&lt;=825,vp.tbl[[#This Row],[Sulf]]&gt;0.5,vp.tbl[[#This Row],[Unknown]]=0),1,0)</f>
        <v>0</v>
      </c>
      <c r="AA413">
        <f>IF(AND(vp.tbl[[#This Row],[CrudeType]]="Crude",vp.tbl[[#This Row],[Dens]]&lt;=825,vp.tbl[[#This Row],[Sulf]]&lt;=0.5,vp.tbl[[#This Row],[Unknown]]=0),1,0)</f>
        <v>1</v>
      </c>
      <c r="AB413">
        <f>IF(AND(vp.tbl[[#This Row],[CrudeType]]="Crude",vp.tbl[[#This Row],[Dens]]&gt;825,vp.tbl[[#This Row],[Dens]]&lt;=870,vp.tbl[[#This Row],[Sulf]]&gt;0.5,vp.tbl[[#This Row],[Unknown]]=0),1,0)</f>
        <v>0</v>
      </c>
      <c r="AC413">
        <f>IF(AND(vp.tbl[[#This Row],[CrudeType]]="Crude",vp.tbl[[#This Row],[Dens]]&gt;825,vp.tbl[[#This Row],[Dens]]&lt;=900,vp.tbl[[#This Row],[Sulf]]&lt;=0.5,vp.tbl[[#This Row],[Unknown]]=0),1,0)</f>
        <v>0</v>
      </c>
      <c r="AD413">
        <f>IF(AND(vp.tbl[[#This Row],[CrudeType]]="Crude",vp.tbl[[#This Row],[Dens]]&gt;870,vp.tbl[[#This Row],[Dens]]&lt;=900,vp.tbl[[#This Row],[Sulf]]&gt;0.5,vp.tbl[[#This Row],[Unknown]]=0),1,0)</f>
        <v>0</v>
      </c>
      <c r="AE413">
        <f>IF(AND(vp.tbl[[#This Row],[CrudeType]]="Crude",vp.tbl[[#This Row],[Dens]]&gt;900,vp.tbl[[#This Row],[Sulf]]&lt;=0.5,vp.tbl[[#This Row],[Unknown]]=0),1,0)</f>
        <v>0</v>
      </c>
      <c r="AF413">
        <f>IF(AND(vp.tbl[[#This Row],[CrudeType]]="Crude",vp.tbl[[#This Row],[Dens]]&gt;900,vp.tbl[[#This Row],[Sulf]]&lt;=0.5,vp.tbl[[#This Row],[Unknown]]=0),1,0)</f>
        <v>0</v>
      </c>
      <c r="AG413" t="str">
        <f>INDEX(vp.tbl[[#Headers],[Unknown]:[Heavy_SW]],MATCH(1,vp.tbl[[#This Row],[Unknown]:[Heavy_SW]],0))</f>
        <v>Light_SW</v>
      </c>
      <c r="AH413" t="e">
        <f>INDEX([1]!crudeBD.lkup[Number],MATCH(vp.tbl[[#This Row],[Crude_Breakdown]],[1]!crudeBD.lkup[Crude Breakdown],0))</f>
        <v>#REF!</v>
      </c>
      <c r="AI413">
        <f>MONTH(vp.tbl[[#This Row],[SDate]])</f>
        <v>12</v>
      </c>
      <c r="AJ413" s="5">
        <f>IFERROR(vp.tbl[[#This Row],[Sulf]]*vp.tbl[[#This Row],[Net Dens]],"")</f>
        <v>867324.2359475001</v>
      </c>
      <c r="AK413" s="5">
        <f>IFERROR(vp.tbl[[#This Row],[Dens]]*vp.tbl[[#This Row],[VolumeM3]],"")</f>
        <v>2239122.85</v>
      </c>
      <c r="AL413" s="5">
        <f>IFERROR(vp.tbl[[#This Row],[VP]]*vp.tbl[[#This Row],[VolumeM3]],"")</f>
        <v>311828.76500000001</v>
      </c>
      <c r="AM413" s="4">
        <f>IFERROR((vp.tbl[[#This Row],[VP]]-INDEX(crudeBD.lkup.complete[Mean_VP],MATCH(vp.tbl[[#This Row],[Crude_Breakdown]],crudeBD.lkup.complete[Crude Breakdown],0)))^2,"")</f>
        <v>438.88936072551689</v>
      </c>
      <c r="AN413" s="4">
        <f>IFERROR((vp.tbl[[#This Row],[Dens]]-INDEX(crudeBD.lkup.complete[Mean_Dens],MATCH(vp.tbl[[#This Row],[Crude_Breakdown]],crudeBD.lkup.complete[Crude Breakdown],0)))^2,"")</f>
        <v>44.736055554884004</v>
      </c>
      <c r="AO413" s="4">
        <f>IFERROR((vp.tbl[[#This Row],[Sulf]]-INDEX(crudeBD.lkup.complete[Mean_Sulf],MATCH(vp.tbl[[#This Row],[Crude_Breakdown]],crudeBD.lkup.complete[Crude Breakdown],0)))^2,"")</f>
        <v>2.2833684526976223E-2</v>
      </c>
      <c r="AP413">
        <f>IF(AND(vp.tbl[[#This Row],[SDate]]&gt;=DATE(YEAR(vp.tbl[[#This Row],[SDate]]),5,1),vp.tbl[[#This Row],[SDate]]&lt;=DATE(YEAR(vp.tbl[[#This Row],[SDate]]),9,15)),1,0)</f>
        <v>0</v>
      </c>
      <c r="AQ413" s="15">
        <f>IF(vp.tbl[[#This Row],[SDate]]&lt;DATE(2016,12,1),0,1)</f>
        <v>1</v>
      </c>
    </row>
    <row r="414" spans="1:43" x14ac:dyDescent="0.25">
      <c r="A414">
        <v>413</v>
      </c>
      <c r="B414" t="s">
        <v>49</v>
      </c>
      <c r="C414" t="s">
        <v>49</v>
      </c>
      <c r="D414" t="s">
        <v>80</v>
      </c>
      <c r="F414" s="1">
        <v>42718</v>
      </c>
      <c r="G414" s="2">
        <v>118.4</v>
      </c>
      <c r="H414" s="2">
        <v>0.47223999999999999</v>
      </c>
      <c r="I414" s="2">
        <v>0.47223999999999999</v>
      </c>
      <c r="J414" s="2">
        <v>5</v>
      </c>
      <c r="K414" s="2">
        <v>-25</v>
      </c>
      <c r="L414" s="2">
        <v>803.1</v>
      </c>
      <c r="M414" s="2">
        <v>803.1</v>
      </c>
      <c r="N414" s="2">
        <f ca="1">INDEX(INDIRECT(_xlfn.CONCAT("weather.tbl[",N$1,"]")),MATCH(vp.tbl[[#This Row],[SDate]],weather.tbl[Date],0))</f>
        <v>-23.216666666666669</v>
      </c>
      <c r="O414" s="2">
        <f ca="1">INDEX(INDIRECT(_xlfn.CONCAT("weather.tbl[",O$1,"]")),MATCH(vp.tbl[[#This Row],[SDate]],weather.tbl[Date],0))</f>
        <v>-22.707142857142859</v>
      </c>
      <c r="P414" s="2">
        <f ca="1">INDEX(INDIRECT(_xlfn.CONCAT("weather.tbl[",P$1,"]")),MATCH(vp.tbl[[#This Row],[SDate]],weather.tbl[Date],0))</f>
        <v>-24.1</v>
      </c>
      <c r="Q414" s="2">
        <f ca="1">INDEX(INDIRECT(_xlfn.CONCAT("weather.tbl[",Q$1,"]")),MATCH(vp.tbl[[#This Row],[SDate]],weather.tbl[Date],0))</f>
        <v>-24.3</v>
      </c>
      <c r="R414" s="2">
        <f ca="1">INDEX(INDIRECT(_xlfn.CONCAT("weather.tbl[",R$1,"]")),MATCH(vp.tbl[[#This Row],[SDate]],weather.tbl[Date],0))</f>
        <v>-23</v>
      </c>
      <c r="S414" s="2">
        <f ca="1">INDEX(INDIRECT(_xlfn.CONCAT("weather.tbl[",S$1,"]")),MATCH(vp.tbl[[#This Row],[SDate]],weather.tbl[Date],0))</f>
        <v>-20.8</v>
      </c>
      <c r="T414" s="2">
        <f ca="1">INDEX(INDIRECT(_xlfn.CONCAT("weather.tbl[",T$1,"]")),MATCH(vp.tbl[[#This Row],[SDate]],weather.tbl[Date],0))</f>
        <v>-23.6</v>
      </c>
      <c r="U414" s="2">
        <f ca="1">INDEX(INDIRECT(_xlfn.CONCAT("weather.tbl[",U$1,"]")),MATCH(vp.tbl[[#This Row],[SDate]],weather.tbl[Date],0))</f>
        <v>-23.5</v>
      </c>
      <c r="V414" s="2">
        <v>22011.311000000002</v>
      </c>
      <c r="W414" t="s">
        <v>48</v>
      </c>
      <c r="X414">
        <f>IF(OR(vp.tbl[[#This Row],[Sulf]]="",vp.tbl[[#This Row],[Dens]]=""),1,0)</f>
        <v>0</v>
      </c>
      <c r="Y414">
        <f>IF(vp.tbl[[#This Row],[CrudeType]]="C5+",1,0)</f>
        <v>0</v>
      </c>
      <c r="Z414">
        <f>IF(AND(vp.tbl[[#This Row],[CrudeType]]="Crude",vp.tbl[[#This Row],[Dens]]&lt;=825,vp.tbl[[#This Row],[Sulf]]&gt;0.5,vp.tbl[[#This Row],[Unknown]]=0),1,0)</f>
        <v>0</v>
      </c>
      <c r="AA414">
        <f>IF(AND(vp.tbl[[#This Row],[CrudeType]]="Crude",vp.tbl[[#This Row],[Dens]]&lt;=825,vp.tbl[[#This Row],[Sulf]]&lt;=0.5,vp.tbl[[#This Row],[Unknown]]=0),1,0)</f>
        <v>1</v>
      </c>
      <c r="AB414">
        <f>IF(AND(vp.tbl[[#This Row],[CrudeType]]="Crude",vp.tbl[[#This Row],[Dens]]&gt;825,vp.tbl[[#This Row],[Dens]]&lt;=870,vp.tbl[[#This Row],[Sulf]]&gt;0.5,vp.tbl[[#This Row],[Unknown]]=0),1,0)</f>
        <v>0</v>
      </c>
      <c r="AC414">
        <f>IF(AND(vp.tbl[[#This Row],[CrudeType]]="Crude",vp.tbl[[#This Row],[Dens]]&gt;825,vp.tbl[[#This Row],[Dens]]&lt;=900,vp.tbl[[#This Row],[Sulf]]&lt;=0.5,vp.tbl[[#This Row],[Unknown]]=0),1,0)</f>
        <v>0</v>
      </c>
      <c r="AD414">
        <f>IF(AND(vp.tbl[[#This Row],[CrudeType]]="Crude",vp.tbl[[#This Row],[Dens]]&gt;870,vp.tbl[[#This Row],[Dens]]&lt;=900,vp.tbl[[#This Row],[Sulf]]&gt;0.5,vp.tbl[[#This Row],[Unknown]]=0),1,0)</f>
        <v>0</v>
      </c>
      <c r="AE414">
        <f>IF(AND(vp.tbl[[#This Row],[CrudeType]]="Crude",vp.tbl[[#This Row],[Dens]]&gt;900,vp.tbl[[#This Row],[Sulf]]&lt;=0.5,vp.tbl[[#This Row],[Unknown]]=0),1,0)</f>
        <v>0</v>
      </c>
      <c r="AF414">
        <f>IF(AND(vp.tbl[[#This Row],[CrudeType]]="Crude",vp.tbl[[#This Row],[Dens]]&gt;900,vp.tbl[[#This Row],[Sulf]]&lt;=0.5,vp.tbl[[#This Row],[Unknown]]=0),1,0)</f>
        <v>0</v>
      </c>
      <c r="AG414" t="str">
        <f>INDEX(vp.tbl[[#Headers],[Unknown]:[Heavy_SW]],MATCH(1,vp.tbl[[#This Row],[Unknown]:[Heavy_SW]],0))</f>
        <v>Light_SW</v>
      </c>
      <c r="AH414" t="e">
        <f>INDEX([1]!crudeBD.lkup[Number],MATCH(vp.tbl[[#This Row],[Crude_Breakdown]],[1]!crudeBD.lkup[Crude Breakdown],0))</f>
        <v>#REF!</v>
      </c>
      <c r="AI414">
        <f>MONTH(vp.tbl[[#This Row],[SDate]])</f>
        <v>12</v>
      </c>
      <c r="AJ414" s="5">
        <f>IFERROR(vp.tbl[[#This Row],[Sulf]]*vp.tbl[[#This Row],[Net Dens]],"")</f>
        <v>8347920.5319825849</v>
      </c>
      <c r="AK414" s="5">
        <f>IFERROR(vp.tbl[[#This Row],[Dens]]*vp.tbl[[#This Row],[VolumeM3]],"")</f>
        <v>17677283.864100002</v>
      </c>
      <c r="AL414" s="5">
        <f>IFERROR(vp.tbl[[#This Row],[VP]]*vp.tbl[[#This Row],[VolumeM3]],"")</f>
        <v>2606139.2224000003</v>
      </c>
      <c r="AM414" s="4">
        <f>IFERROR((vp.tbl[[#This Row],[VP]]-INDEX(crudeBD.lkup.complete[Mean_VP],MATCH(vp.tbl[[#This Row],[Crude_Breakdown]],crudeBD.lkup.complete[Crude Breakdown],0)))^2,"")</f>
        <v>668.20628755478583</v>
      </c>
      <c r="AN414" s="4">
        <f>IFERROR((vp.tbl[[#This Row],[Dens]]-INDEX(crudeBD.lkup.complete[Mean_Dens],MATCH(vp.tbl[[#This Row],[Crude_Breakdown]],crudeBD.lkup.complete[Crude Breakdown],0)))^2,"")</f>
        <v>27.159714091463936</v>
      </c>
      <c r="AO414" s="4">
        <f>IFERROR((vp.tbl[[#This Row],[Sulf]]-INDEX(crudeBD.lkup.complete[Mean_Sulf],MATCH(vp.tbl[[#This Row],[Crude_Breakdown]],crudeBD.lkup.complete[Crude Breakdown],0)))^2,"")</f>
        <v>5.5695144811645225E-2</v>
      </c>
      <c r="AP414">
        <f>IF(AND(vp.tbl[[#This Row],[SDate]]&gt;=DATE(YEAR(vp.tbl[[#This Row],[SDate]]),5,1),vp.tbl[[#This Row],[SDate]]&lt;=DATE(YEAR(vp.tbl[[#This Row],[SDate]]),9,15)),1,0)</f>
        <v>0</v>
      </c>
      <c r="AQ414" s="15">
        <f>IF(vp.tbl[[#This Row],[SDate]]&lt;DATE(2016,12,1),0,1)</f>
        <v>1</v>
      </c>
    </row>
    <row r="415" spans="1:43" x14ac:dyDescent="0.25">
      <c r="A415">
        <v>414</v>
      </c>
      <c r="B415" t="s">
        <v>49</v>
      </c>
      <c r="C415" t="s">
        <v>49</v>
      </c>
      <c r="D415" t="s">
        <v>100</v>
      </c>
      <c r="F415" s="1">
        <v>42718</v>
      </c>
      <c r="G415" s="2">
        <v>99.6</v>
      </c>
      <c r="H415" s="2">
        <v>0.56723999999999997</v>
      </c>
      <c r="I415" s="2">
        <v>0.56723999999999997</v>
      </c>
      <c r="J415" s="2">
        <v>-9</v>
      </c>
      <c r="K415" s="2">
        <v>-25</v>
      </c>
      <c r="L415" s="2">
        <v>803</v>
      </c>
      <c r="M415" s="2">
        <v>803</v>
      </c>
      <c r="N415" s="2">
        <f ca="1">INDEX(INDIRECT(_xlfn.CONCAT("weather.tbl[",N$1,"]")),MATCH(vp.tbl[[#This Row],[SDate]],weather.tbl[Date],0))</f>
        <v>-23.216666666666669</v>
      </c>
      <c r="O415" s="2">
        <f ca="1">INDEX(INDIRECT(_xlfn.CONCAT("weather.tbl[",O$1,"]")),MATCH(vp.tbl[[#This Row],[SDate]],weather.tbl[Date],0))</f>
        <v>-22.707142857142859</v>
      </c>
      <c r="P415" s="2">
        <f ca="1">INDEX(INDIRECT(_xlfn.CONCAT("weather.tbl[",P$1,"]")),MATCH(vp.tbl[[#This Row],[SDate]],weather.tbl[Date],0))</f>
        <v>-24.1</v>
      </c>
      <c r="Q415" s="2">
        <f ca="1">INDEX(INDIRECT(_xlfn.CONCAT("weather.tbl[",Q$1,"]")),MATCH(vp.tbl[[#This Row],[SDate]],weather.tbl[Date],0))</f>
        <v>-24.3</v>
      </c>
      <c r="R415" s="2">
        <f ca="1">INDEX(INDIRECT(_xlfn.CONCAT("weather.tbl[",R$1,"]")),MATCH(vp.tbl[[#This Row],[SDate]],weather.tbl[Date],0))</f>
        <v>-23</v>
      </c>
      <c r="S415" s="2">
        <f ca="1">INDEX(INDIRECT(_xlfn.CONCAT("weather.tbl[",S$1,"]")),MATCH(vp.tbl[[#This Row],[SDate]],weather.tbl[Date],0))</f>
        <v>-20.8</v>
      </c>
      <c r="T415" s="2">
        <f ca="1">INDEX(INDIRECT(_xlfn.CONCAT("weather.tbl[",T$1,"]")),MATCH(vp.tbl[[#This Row],[SDate]],weather.tbl[Date],0))</f>
        <v>-23.6</v>
      </c>
      <c r="U415" s="2">
        <f ca="1">INDEX(INDIRECT(_xlfn.CONCAT("weather.tbl[",U$1,"]")),MATCH(vp.tbl[[#This Row],[SDate]],weather.tbl[Date],0))</f>
        <v>-23.5</v>
      </c>
      <c r="V415" s="2">
        <v>9665.3340000000007</v>
      </c>
      <c r="W415" t="s">
        <v>48</v>
      </c>
      <c r="X415">
        <f>IF(OR(vp.tbl[[#This Row],[Sulf]]="",vp.tbl[[#This Row],[Dens]]=""),1,0)</f>
        <v>0</v>
      </c>
      <c r="Y415">
        <f>IF(vp.tbl[[#This Row],[CrudeType]]="C5+",1,0)</f>
        <v>0</v>
      </c>
      <c r="Z415">
        <f>IF(AND(vp.tbl[[#This Row],[CrudeType]]="Crude",vp.tbl[[#This Row],[Dens]]&lt;=825,vp.tbl[[#This Row],[Sulf]]&gt;0.5,vp.tbl[[#This Row],[Unknown]]=0),1,0)</f>
        <v>1</v>
      </c>
      <c r="AA415">
        <f>IF(AND(vp.tbl[[#This Row],[CrudeType]]="Crude",vp.tbl[[#This Row],[Dens]]&lt;=825,vp.tbl[[#This Row],[Sulf]]&lt;=0.5,vp.tbl[[#This Row],[Unknown]]=0),1,0)</f>
        <v>0</v>
      </c>
      <c r="AB415">
        <f>IF(AND(vp.tbl[[#This Row],[CrudeType]]="Crude",vp.tbl[[#This Row],[Dens]]&gt;825,vp.tbl[[#This Row],[Dens]]&lt;=870,vp.tbl[[#This Row],[Sulf]]&gt;0.5,vp.tbl[[#This Row],[Unknown]]=0),1,0)</f>
        <v>0</v>
      </c>
      <c r="AC415">
        <f>IF(AND(vp.tbl[[#This Row],[CrudeType]]="Crude",vp.tbl[[#This Row],[Dens]]&gt;825,vp.tbl[[#This Row],[Dens]]&lt;=900,vp.tbl[[#This Row],[Sulf]]&lt;=0.5,vp.tbl[[#This Row],[Unknown]]=0),1,0)</f>
        <v>0</v>
      </c>
      <c r="AD415">
        <f>IF(AND(vp.tbl[[#This Row],[CrudeType]]="Crude",vp.tbl[[#This Row],[Dens]]&gt;870,vp.tbl[[#This Row],[Dens]]&lt;=900,vp.tbl[[#This Row],[Sulf]]&gt;0.5,vp.tbl[[#This Row],[Unknown]]=0),1,0)</f>
        <v>0</v>
      </c>
      <c r="AE415">
        <f>IF(AND(vp.tbl[[#This Row],[CrudeType]]="Crude",vp.tbl[[#This Row],[Dens]]&gt;900,vp.tbl[[#This Row],[Sulf]]&lt;=0.5,vp.tbl[[#This Row],[Unknown]]=0),1,0)</f>
        <v>0</v>
      </c>
      <c r="AF415">
        <f>IF(AND(vp.tbl[[#This Row],[CrudeType]]="Crude",vp.tbl[[#This Row],[Dens]]&gt;900,vp.tbl[[#This Row],[Sulf]]&lt;=0.5,vp.tbl[[#This Row],[Unknown]]=0),1,0)</f>
        <v>0</v>
      </c>
      <c r="AG415" t="str">
        <f>INDEX(vp.tbl[[#Headers],[Unknown]:[Heavy_SW]],MATCH(1,vp.tbl[[#This Row],[Unknown]:[Heavy_SW]],0))</f>
        <v>Light_LSB</v>
      </c>
      <c r="AH415" t="e">
        <f>INDEX([1]!crudeBD.lkup[Number],MATCH(vp.tbl[[#This Row],[Crude_Breakdown]],[1]!crudeBD.lkup[Crude Breakdown],0))</f>
        <v>#REF!</v>
      </c>
      <c r="AI415">
        <f>MONTH(vp.tbl[[#This Row],[SDate]])</f>
        <v>12</v>
      </c>
      <c r="AJ415" s="5">
        <f>IFERROR(vp.tbl[[#This Row],[Sulf]]*vp.tbl[[#This Row],[Net Dens]],"")</f>
        <v>4402498.9387024799</v>
      </c>
      <c r="AK415" s="5">
        <f>IFERROR(vp.tbl[[#This Row],[Dens]]*vp.tbl[[#This Row],[VolumeM3]],"")</f>
        <v>7761263.2020000005</v>
      </c>
      <c r="AL415" s="5">
        <f>IFERROR(vp.tbl[[#This Row],[VP]]*vp.tbl[[#This Row],[VolumeM3]],"")</f>
        <v>962667.26639999996</v>
      </c>
      <c r="AM415" s="4">
        <f>IFERROR((vp.tbl[[#This Row],[VP]]-INDEX(crudeBD.lkup.complete[Mean_VP],MATCH(vp.tbl[[#This Row],[Crude_Breakdown]],crudeBD.lkup.complete[Crude Breakdown],0)))^2,"")</f>
        <v>64.863926921032458</v>
      </c>
      <c r="AN415" s="4">
        <f>IFERROR((vp.tbl[[#This Row],[Dens]]-INDEX(crudeBD.lkup.complete[Mean_Dens],MATCH(vp.tbl[[#This Row],[Crude_Breakdown]],crudeBD.lkup.complete[Crude Breakdown],0)))^2,"")</f>
        <v>240.7701437677776</v>
      </c>
      <c r="AO415" s="4">
        <f>IFERROR((vp.tbl[[#This Row],[Sulf]]-INDEX(crudeBD.lkup.complete[Mean_Sulf],MATCH(vp.tbl[[#This Row],[Crude_Breakdown]],crudeBD.lkup.complete[Crude Breakdown],0)))^2,"")</f>
        <v>0.1265446641604715</v>
      </c>
      <c r="AP415">
        <f>IF(AND(vp.tbl[[#This Row],[SDate]]&gt;=DATE(YEAR(vp.tbl[[#This Row],[SDate]]),5,1),vp.tbl[[#This Row],[SDate]]&lt;=DATE(YEAR(vp.tbl[[#This Row],[SDate]]),9,15)),1,0)</f>
        <v>0</v>
      </c>
      <c r="AQ415" s="15">
        <f>IF(vp.tbl[[#This Row],[SDate]]&lt;DATE(2016,12,1),0,1)</f>
        <v>1</v>
      </c>
    </row>
    <row r="416" spans="1:43" x14ac:dyDescent="0.25">
      <c r="A416">
        <v>415</v>
      </c>
      <c r="B416" t="s">
        <v>49</v>
      </c>
      <c r="C416" t="s">
        <v>49</v>
      </c>
      <c r="D416" t="s">
        <v>101</v>
      </c>
      <c r="F416" s="1">
        <v>42718</v>
      </c>
      <c r="G416" s="2">
        <v>44.3</v>
      </c>
      <c r="H416" s="2">
        <v>2.1169500000000001</v>
      </c>
      <c r="I416" s="2">
        <v>2.1169500000000001</v>
      </c>
      <c r="J416" s="2">
        <v>28.5</v>
      </c>
      <c r="K416" s="2">
        <v>-25</v>
      </c>
      <c r="L416" s="2">
        <v>873</v>
      </c>
      <c r="M416" s="2">
        <v>873</v>
      </c>
      <c r="N416" s="2">
        <f ca="1">INDEX(INDIRECT(_xlfn.CONCAT("weather.tbl[",N$1,"]")),MATCH(vp.tbl[[#This Row],[SDate]],weather.tbl[Date],0))</f>
        <v>-23.216666666666669</v>
      </c>
      <c r="O416" s="2">
        <f ca="1">INDEX(INDIRECT(_xlfn.CONCAT("weather.tbl[",O$1,"]")),MATCH(vp.tbl[[#This Row],[SDate]],weather.tbl[Date],0))</f>
        <v>-22.707142857142859</v>
      </c>
      <c r="P416" s="2">
        <f ca="1">INDEX(INDIRECT(_xlfn.CONCAT("weather.tbl[",P$1,"]")),MATCH(vp.tbl[[#This Row],[SDate]],weather.tbl[Date],0))</f>
        <v>-24.1</v>
      </c>
      <c r="Q416" s="2">
        <f ca="1">INDEX(INDIRECT(_xlfn.CONCAT("weather.tbl[",Q$1,"]")),MATCH(vp.tbl[[#This Row],[SDate]],weather.tbl[Date],0))</f>
        <v>-24.3</v>
      </c>
      <c r="R416" s="2">
        <f ca="1">INDEX(INDIRECT(_xlfn.CONCAT("weather.tbl[",R$1,"]")),MATCH(vp.tbl[[#This Row],[SDate]],weather.tbl[Date],0))</f>
        <v>-23</v>
      </c>
      <c r="S416" s="2">
        <f ca="1">INDEX(INDIRECT(_xlfn.CONCAT("weather.tbl[",S$1,"]")),MATCH(vp.tbl[[#This Row],[SDate]],weather.tbl[Date],0))</f>
        <v>-20.8</v>
      </c>
      <c r="T416" s="2">
        <f ca="1">INDEX(INDIRECT(_xlfn.CONCAT("weather.tbl[",T$1,"]")),MATCH(vp.tbl[[#This Row],[SDate]],weather.tbl[Date],0))</f>
        <v>-23.6</v>
      </c>
      <c r="U416" s="2">
        <f ca="1">INDEX(INDIRECT(_xlfn.CONCAT("weather.tbl[",U$1,"]")),MATCH(vp.tbl[[#This Row],[SDate]],weather.tbl[Date],0))</f>
        <v>-23.5</v>
      </c>
      <c r="V416" s="2">
        <v>411.43799999999999</v>
      </c>
      <c r="W416" t="s">
        <v>48</v>
      </c>
      <c r="X416">
        <f>IF(OR(vp.tbl[[#This Row],[Sulf]]="",vp.tbl[[#This Row],[Dens]]=""),1,0)</f>
        <v>0</v>
      </c>
      <c r="Y416">
        <f>IF(vp.tbl[[#This Row],[CrudeType]]="C5+",1,0)</f>
        <v>0</v>
      </c>
      <c r="Z416">
        <f>IF(AND(vp.tbl[[#This Row],[CrudeType]]="Crude",vp.tbl[[#This Row],[Dens]]&lt;=825,vp.tbl[[#This Row],[Sulf]]&gt;0.5,vp.tbl[[#This Row],[Unknown]]=0),1,0)</f>
        <v>0</v>
      </c>
      <c r="AA416">
        <f>IF(AND(vp.tbl[[#This Row],[CrudeType]]="Crude",vp.tbl[[#This Row],[Dens]]&lt;=825,vp.tbl[[#This Row],[Sulf]]&lt;=0.5,vp.tbl[[#This Row],[Unknown]]=0),1,0)</f>
        <v>0</v>
      </c>
      <c r="AB416">
        <f>IF(AND(vp.tbl[[#This Row],[CrudeType]]="Crude",vp.tbl[[#This Row],[Dens]]&gt;825,vp.tbl[[#This Row],[Dens]]&lt;=870,vp.tbl[[#This Row],[Sulf]]&gt;0.5,vp.tbl[[#This Row],[Unknown]]=0),1,0)</f>
        <v>0</v>
      </c>
      <c r="AC416">
        <f>IF(AND(vp.tbl[[#This Row],[CrudeType]]="Crude",vp.tbl[[#This Row],[Dens]]&gt;825,vp.tbl[[#This Row],[Dens]]&lt;=900,vp.tbl[[#This Row],[Sulf]]&lt;=0.5,vp.tbl[[#This Row],[Unknown]]=0),1,0)</f>
        <v>0</v>
      </c>
      <c r="AD416">
        <f>IF(AND(vp.tbl[[#This Row],[CrudeType]]="Crude",vp.tbl[[#This Row],[Dens]]&gt;870,vp.tbl[[#This Row],[Dens]]&lt;=900,vp.tbl[[#This Row],[Sulf]]&gt;0.5,vp.tbl[[#This Row],[Unknown]]=0),1,0)</f>
        <v>1</v>
      </c>
      <c r="AE416">
        <f>IF(AND(vp.tbl[[#This Row],[CrudeType]]="Crude",vp.tbl[[#This Row],[Dens]]&gt;900,vp.tbl[[#This Row],[Sulf]]&lt;=0.5,vp.tbl[[#This Row],[Unknown]]=0),1,0)</f>
        <v>0</v>
      </c>
      <c r="AF416">
        <f>IF(AND(vp.tbl[[#This Row],[CrudeType]]="Crude",vp.tbl[[#This Row],[Dens]]&gt;900,vp.tbl[[#This Row],[Sulf]]&lt;=0.5,vp.tbl[[#This Row],[Unknown]]=0),1,0)</f>
        <v>0</v>
      </c>
      <c r="AG416" t="str">
        <f>INDEX(vp.tbl[[#Headers],[Unknown]:[Heavy_SW]],MATCH(1,vp.tbl[[#This Row],[Unknown]:[Heavy_SW]],0))</f>
        <v>Midale</v>
      </c>
      <c r="AH416" t="e">
        <f>INDEX([1]!crudeBD.lkup[Number],MATCH(vp.tbl[[#This Row],[Crude_Breakdown]],[1]!crudeBD.lkup[Crude Breakdown],0))</f>
        <v>#REF!</v>
      </c>
      <c r="AI416">
        <f>MONTH(vp.tbl[[#This Row],[SDate]])</f>
        <v>12</v>
      </c>
      <c r="AJ416" s="5">
        <f>IFERROR(vp.tbl[[#This Row],[Sulf]]*vp.tbl[[#This Row],[Net Dens]],"")</f>
        <v>760377.47748930007</v>
      </c>
      <c r="AK416" s="5">
        <f>IFERROR(vp.tbl[[#This Row],[Dens]]*vp.tbl[[#This Row],[VolumeM3]],"")</f>
        <v>359185.37400000001</v>
      </c>
      <c r="AL416" s="5">
        <f>IFERROR(vp.tbl[[#This Row],[VP]]*vp.tbl[[#This Row],[VolumeM3]],"")</f>
        <v>18226.703399999999</v>
      </c>
      <c r="AM416" s="4">
        <f>IFERROR((vp.tbl[[#This Row],[VP]]-INDEX(crudeBD.lkup.complete[Mean_VP],MATCH(vp.tbl[[#This Row],[Crude_Breakdown]],crudeBD.lkup.complete[Crude Breakdown],0)))^2,"")</f>
        <v>573.04489585288127</v>
      </c>
      <c r="AN416" s="4">
        <f>IFERROR((vp.tbl[[#This Row],[Dens]]-INDEX(crudeBD.lkup.complete[Mean_Dens],MATCH(vp.tbl[[#This Row],[Crude_Breakdown]],crudeBD.lkup.complete[Crude Breakdown],0)))^2,"")</f>
        <v>20.72120285231475</v>
      </c>
      <c r="AO416" s="4">
        <f>IFERROR((vp.tbl[[#This Row],[Sulf]]-INDEX(crudeBD.lkup.complete[Mean_Sulf],MATCH(vp.tbl[[#This Row],[Crude_Breakdown]],crudeBD.lkup.complete[Crude Breakdown],0)))^2,"")</f>
        <v>8.9036673850702894E-2</v>
      </c>
      <c r="AP416">
        <f>IF(AND(vp.tbl[[#This Row],[SDate]]&gt;=DATE(YEAR(vp.tbl[[#This Row],[SDate]]),5,1),vp.tbl[[#This Row],[SDate]]&lt;=DATE(YEAR(vp.tbl[[#This Row],[SDate]]),9,15)),1,0)</f>
        <v>0</v>
      </c>
      <c r="AQ416" s="15">
        <f>IF(vp.tbl[[#This Row],[SDate]]&lt;DATE(2016,12,1),0,1)</f>
        <v>1</v>
      </c>
    </row>
    <row r="417" spans="1:43" x14ac:dyDescent="0.25">
      <c r="A417">
        <v>416</v>
      </c>
      <c r="B417" t="s">
        <v>64</v>
      </c>
      <c r="C417" t="s">
        <v>64</v>
      </c>
      <c r="D417" t="s">
        <v>65</v>
      </c>
      <c r="F417" s="1">
        <v>42718</v>
      </c>
      <c r="G417" s="2">
        <v>44.3</v>
      </c>
      <c r="H417" s="2">
        <v>2.1169500000000001</v>
      </c>
      <c r="I417" s="2">
        <v>2.1169500000000001</v>
      </c>
      <c r="J417" s="2">
        <v>28.5</v>
      </c>
      <c r="K417" s="2">
        <v>-25</v>
      </c>
      <c r="L417" s="2">
        <v>873</v>
      </c>
      <c r="M417" s="2">
        <v>873</v>
      </c>
      <c r="N417" s="2">
        <f ca="1">INDEX(INDIRECT(_xlfn.CONCAT("weather.tbl[",N$1,"]")),MATCH(vp.tbl[[#This Row],[SDate]],weather.tbl[Date],0))</f>
        <v>-23.216666666666669</v>
      </c>
      <c r="O417" s="2">
        <f ca="1">INDEX(INDIRECT(_xlfn.CONCAT("weather.tbl[",O$1,"]")),MATCH(vp.tbl[[#This Row],[SDate]],weather.tbl[Date],0))</f>
        <v>-22.707142857142859</v>
      </c>
      <c r="P417" s="2">
        <f ca="1">INDEX(INDIRECT(_xlfn.CONCAT("weather.tbl[",P$1,"]")),MATCH(vp.tbl[[#This Row],[SDate]],weather.tbl[Date],0))</f>
        <v>-24.1</v>
      </c>
      <c r="Q417" s="2">
        <f ca="1">INDEX(INDIRECT(_xlfn.CONCAT("weather.tbl[",Q$1,"]")),MATCH(vp.tbl[[#This Row],[SDate]],weather.tbl[Date],0))</f>
        <v>-24.3</v>
      </c>
      <c r="R417" s="2">
        <f ca="1">INDEX(INDIRECT(_xlfn.CONCAT("weather.tbl[",R$1,"]")),MATCH(vp.tbl[[#This Row],[SDate]],weather.tbl[Date],0))</f>
        <v>-23</v>
      </c>
      <c r="S417" s="2">
        <f ca="1">INDEX(INDIRECT(_xlfn.CONCAT("weather.tbl[",S$1,"]")),MATCH(vp.tbl[[#This Row],[SDate]],weather.tbl[Date],0))</f>
        <v>-20.8</v>
      </c>
      <c r="T417" s="2">
        <f ca="1">INDEX(INDIRECT(_xlfn.CONCAT("weather.tbl[",T$1,"]")),MATCH(vp.tbl[[#This Row],[SDate]],weather.tbl[Date],0))</f>
        <v>-23.6</v>
      </c>
      <c r="U417" s="2">
        <f ca="1">INDEX(INDIRECT(_xlfn.CONCAT("weather.tbl[",U$1,"]")),MATCH(vp.tbl[[#This Row],[SDate]],weather.tbl[Date],0))</f>
        <v>-23.5</v>
      </c>
      <c r="V417" s="2">
        <v>21372.330999999998</v>
      </c>
      <c r="W417" t="s">
        <v>48</v>
      </c>
      <c r="X417">
        <f>IF(OR(vp.tbl[[#This Row],[Sulf]]="",vp.tbl[[#This Row],[Dens]]=""),1,0)</f>
        <v>0</v>
      </c>
      <c r="Y417">
        <f>IF(vp.tbl[[#This Row],[CrudeType]]="C5+",1,0)</f>
        <v>0</v>
      </c>
      <c r="Z417">
        <f>IF(AND(vp.tbl[[#This Row],[CrudeType]]="Crude",vp.tbl[[#This Row],[Dens]]&lt;=825,vp.tbl[[#This Row],[Sulf]]&gt;0.5,vp.tbl[[#This Row],[Unknown]]=0),1,0)</f>
        <v>0</v>
      </c>
      <c r="AA417">
        <f>IF(AND(vp.tbl[[#This Row],[CrudeType]]="Crude",vp.tbl[[#This Row],[Dens]]&lt;=825,vp.tbl[[#This Row],[Sulf]]&lt;=0.5,vp.tbl[[#This Row],[Unknown]]=0),1,0)</f>
        <v>0</v>
      </c>
      <c r="AB417">
        <f>IF(AND(vp.tbl[[#This Row],[CrudeType]]="Crude",vp.tbl[[#This Row],[Dens]]&gt;825,vp.tbl[[#This Row],[Dens]]&lt;=870,vp.tbl[[#This Row],[Sulf]]&gt;0.5,vp.tbl[[#This Row],[Unknown]]=0),1,0)</f>
        <v>0</v>
      </c>
      <c r="AC417">
        <f>IF(AND(vp.tbl[[#This Row],[CrudeType]]="Crude",vp.tbl[[#This Row],[Dens]]&gt;825,vp.tbl[[#This Row],[Dens]]&lt;=900,vp.tbl[[#This Row],[Sulf]]&lt;=0.5,vp.tbl[[#This Row],[Unknown]]=0),1,0)</f>
        <v>0</v>
      </c>
      <c r="AD417">
        <f>IF(AND(vp.tbl[[#This Row],[CrudeType]]="Crude",vp.tbl[[#This Row],[Dens]]&gt;870,vp.tbl[[#This Row],[Dens]]&lt;=900,vp.tbl[[#This Row],[Sulf]]&gt;0.5,vp.tbl[[#This Row],[Unknown]]=0),1,0)</f>
        <v>1</v>
      </c>
      <c r="AE417">
        <f>IF(AND(vp.tbl[[#This Row],[CrudeType]]="Crude",vp.tbl[[#This Row],[Dens]]&gt;900,vp.tbl[[#This Row],[Sulf]]&lt;=0.5,vp.tbl[[#This Row],[Unknown]]=0),1,0)</f>
        <v>0</v>
      </c>
      <c r="AF417">
        <f>IF(AND(vp.tbl[[#This Row],[CrudeType]]="Crude",vp.tbl[[#This Row],[Dens]]&gt;900,vp.tbl[[#This Row],[Sulf]]&lt;=0.5,vp.tbl[[#This Row],[Unknown]]=0),1,0)</f>
        <v>0</v>
      </c>
      <c r="AG417" t="str">
        <f>INDEX(vp.tbl[[#Headers],[Unknown]:[Heavy_SW]],MATCH(1,vp.tbl[[#This Row],[Unknown]:[Heavy_SW]],0))</f>
        <v>Midale</v>
      </c>
      <c r="AH417" t="e">
        <f>INDEX([1]!crudeBD.lkup[Number],MATCH(vp.tbl[[#This Row],[Crude_Breakdown]],[1]!crudeBD.lkup[Crude Breakdown],0))</f>
        <v>#REF!</v>
      </c>
      <c r="AI417">
        <f>MONTH(vp.tbl[[#This Row],[SDate]])</f>
        <v>12</v>
      </c>
      <c r="AJ417" s="5">
        <f>IFERROR(vp.tbl[[#This Row],[Sulf]]*vp.tbl[[#This Row],[Net Dens]],"")</f>
        <v>39498148.284422852</v>
      </c>
      <c r="AK417" s="5">
        <f>IFERROR(vp.tbl[[#This Row],[Dens]]*vp.tbl[[#This Row],[VolumeM3]],"")</f>
        <v>18658044.963</v>
      </c>
      <c r="AL417" s="5">
        <f>IFERROR(vp.tbl[[#This Row],[VP]]*vp.tbl[[#This Row],[VolumeM3]],"")</f>
        <v>946794.26329999988</v>
      </c>
      <c r="AM417" s="4">
        <f>IFERROR((vp.tbl[[#This Row],[VP]]-INDEX(crudeBD.lkup.complete[Mean_VP],MATCH(vp.tbl[[#This Row],[Crude_Breakdown]],crudeBD.lkup.complete[Crude Breakdown],0)))^2,"")</f>
        <v>573.04489585288127</v>
      </c>
      <c r="AN417" s="4">
        <f>IFERROR((vp.tbl[[#This Row],[Dens]]-INDEX(crudeBD.lkup.complete[Mean_Dens],MATCH(vp.tbl[[#This Row],[Crude_Breakdown]],crudeBD.lkup.complete[Crude Breakdown],0)))^2,"")</f>
        <v>20.72120285231475</v>
      </c>
      <c r="AO417" s="4">
        <f>IFERROR((vp.tbl[[#This Row],[Sulf]]-INDEX(crudeBD.lkup.complete[Mean_Sulf],MATCH(vp.tbl[[#This Row],[Crude_Breakdown]],crudeBD.lkup.complete[Crude Breakdown],0)))^2,"")</f>
        <v>8.9036673850702894E-2</v>
      </c>
      <c r="AP417">
        <f>IF(AND(vp.tbl[[#This Row],[SDate]]&gt;=DATE(YEAR(vp.tbl[[#This Row],[SDate]]),5,1),vp.tbl[[#This Row],[SDate]]&lt;=DATE(YEAR(vp.tbl[[#This Row],[SDate]]),9,15)),1,0)</f>
        <v>0</v>
      </c>
      <c r="AQ417" s="15">
        <f>IF(vp.tbl[[#This Row],[SDate]]&lt;DATE(2016,12,1),0,1)</f>
        <v>1</v>
      </c>
    </row>
    <row r="418" spans="1:43" x14ac:dyDescent="0.25">
      <c r="A418">
        <v>417</v>
      </c>
      <c r="B418" t="s">
        <v>62</v>
      </c>
      <c r="C418" t="s">
        <v>62</v>
      </c>
      <c r="D418" t="s">
        <v>63</v>
      </c>
      <c r="F418" s="1">
        <v>42718</v>
      </c>
      <c r="G418" s="2">
        <v>83.2</v>
      </c>
      <c r="H418" s="2">
        <v>2.1859299999999999</v>
      </c>
      <c r="I418" s="2">
        <v>2.1859299999999999</v>
      </c>
      <c r="J418" s="2">
        <v>-2.5</v>
      </c>
      <c r="K418" s="2">
        <v>-25</v>
      </c>
      <c r="L418" s="2">
        <v>828</v>
      </c>
      <c r="M418" s="2">
        <v>828</v>
      </c>
      <c r="N418" s="2">
        <f ca="1">INDEX(INDIRECT(_xlfn.CONCAT("weather.tbl[",N$1,"]")),MATCH(vp.tbl[[#This Row],[SDate]],weather.tbl[Date],0))</f>
        <v>-23.216666666666669</v>
      </c>
      <c r="O418" s="2">
        <f ca="1">INDEX(INDIRECT(_xlfn.CONCAT("weather.tbl[",O$1,"]")),MATCH(vp.tbl[[#This Row],[SDate]],weather.tbl[Date],0))</f>
        <v>-22.707142857142859</v>
      </c>
      <c r="P418" s="2">
        <f ca="1">INDEX(INDIRECT(_xlfn.CONCAT("weather.tbl[",P$1,"]")),MATCH(vp.tbl[[#This Row],[SDate]],weather.tbl[Date],0))</f>
        <v>-24.1</v>
      </c>
      <c r="Q418" s="2">
        <f ca="1">INDEX(INDIRECT(_xlfn.CONCAT("weather.tbl[",Q$1,"]")),MATCH(vp.tbl[[#This Row],[SDate]],weather.tbl[Date],0))</f>
        <v>-24.3</v>
      </c>
      <c r="R418" s="2">
        <f ca="1">INDEX(INDIRECT(_xlfn.CONCAT("weather.tbl[",R$1,"]")),MATCH(vp.tbl[[#This Row],[SDate]],weather.tbl[Date],0))</f>
        <v>-23</v>
      </c>
      <c r="S418" s="2">
        <f ca="1">INDEX(INDIRECT(_xlfn.CONCAT("weather.tbl[",S$1,"]")),MATCH(vp.tbl[[#This Row],[SDate]],weather.tbl[Date],0))</f>
        <v>-20.8</v>
      </c>
      <c r="T418" s="2">
        <f ca="1">INDEX(INDIRECT(_xlfn.CONCAT("weather.tbl[",T$1,"]")),MATCH(vp.tbl[[#This Row],[SDate]],weather.tbl[Date],0))</f>
        <v>-23.6</v>
      </c>
      <c r="U418" s="2">
        <f ca="1">INDEX(INDIRECT(_xlfn.CONCAT("weather.tbl[",U$1,"]")),MATCH(vp.tbl[[#This Row],[SDate]],weather.tbl[Date],0))</f>
        <v>-23.5</v>
      </c>
      <c r="V418" s="2">
        <v>5268.48</v>
      </c>
      <c r="W418" t="s">
        <v>48</v>
      </c>
      <c r="X418">
        <f>IF(OR(vp.tbl[[#This Row],[Sulf]]="",vp.tbl[[#This Row],[Dens]]=""),1,0)</f>
        <v>0</v>
      </c>
      <c r="Y418">
        <f>IF(vp.tbl[[#This Row],[CrudeType]]="C5+",1,0)</f>
        <v>0</v>
      </c>
      <c r="Z418">
        <f>IF(AND(vp.tbl[[#This Row],[CrudeType]]="Crude",vp.tbl[[#This Row],[Dens]]&lt;=825,vp.tbl[[#This Row],[Sulf]]&gt;0.5,vp.tbl[[#This Row],[Unknown]]=0),1,0)</f>
        <v>0</v>
      </c>
      <c r="AA418">
        <f>IF(AND(vp.tbl[[#This Row],[CrudeType]]="Crude",vp.tbl[[#This Row],[Dens]]&lt;=825,vp.tbl[[#This Row],[Sulf]]&lt;=0.5,vp.tbl[[#This Row],[Unknown]]=0),1,0)</f>
        <v>0</v>
      </c>
      <c r="AB418">
        <f>IF(AND(vp.tbl[[#This Row],[CrudeType]]="Crude",vp.tbl[[#This Row],[Dens]]&gt;825,vp.tbl[[#This Row],[Dens]]&lt;=870,vp.tbl[[#This Row],[Sulf]]&gt;0.5,vp.tbl[[#This Row],[Unknown]]=0),1,0)</f>
        <v>1</v>
      </c>
      <c r="AC418">
        <f>IF(AND(vp.tbl[[#This Row],[CrudeType]]="Crude",vp.tbl[[#This Row],[Dens]]&gt;825,vp.tbl[[#This Row],[Dens]]&lt;=900,vp.tbl[[#This Row],[Sulf]]&lt;=0.5,vp.tbl[[#This Row],[Unknown]]=0),1,0)</f>
        <v>0</v>
      </c>
      <c r="AD418">
        <f>IF(AND(vp.tbl[[#This Row],[CrudeType]]="Crude",vp.tbl[[#This Row],[Dens]]&gt;870,vp.tbl[[#This Row],[Dens]]&lt;=900,vp.tbl[[#This Row],[Sulf]]&gt;0.5,vp.tbl[[#This Row],[Unknown]]=0),1,0)</f>
        <v>0</v>
      </c>
      <c r="AE418">
        <f>IF(AND(vp.tbl[[#This Row],[CrudeType]]="Crude",vp.tbl[[#This Row],[Dens]]&gt;900,vp.tbl[[#This Row],[Sulf]]&lt;=0.5,vp.tbl[[#This Row],[Unknown]]=0),1,0)</f>
        <v>0</v>
      </c>
      <c r="AF418">
        <f>IF(AND(vp.tbl[[#This Row],[CrudeType]]="Crude",vp.tbl[[#This Row],[Dens]]&gt;900,vp.tbl[[#This Row],[Sulf]]&lt;=0.5,vp.tbl[[#This Row],[Unknown]]=0),1,0)</f>
        <v>0</v>
      </c>
      <c r="AG418" t="str">
        <f>INDEX(vp.tbl[[#Headers],[Unknown]:[Heavy_SW]],MATCH(1,vp.tbl[[#This Row],[Unknown]:[Heavy_SW]],0))</f>
        <v>Medium_LSB</v>
      </c>
      <c r="AH418" t="e">
        <f>INDEX([1]!crudeBD.lkup[Number],MATCH(vp.tbl[[#This Row],[Crude_Breakdown]],[1]!crudeBD.lkup[Crude Breakdown],0))</f>
        <v>#REF!</v>
      </c>
      <c r="AI418">
        <f>MONTH(vp.tbl[[#This Row],[SDate]])</f>
        <v>12</v>
      </c>
      <c r="AJ418" s="5">
        <f>IFERROR(vp.tbl[[#This Row],[Sulf]]*vp.tbl[[#This Row],[Net Dens]],"")</f>
        <v>9535685.5867391992</v>
      </c>
      <c r="AK418" s="5">
        <f>IFERROR(vp.tbl[[#This Row],[Dens]]*vp.tbl[[#This Row],[VolumeM3]],"")</f>
        <v>4362301.4399999995</v>
      </c>
      <c r="AL418" s="5">
        <f>IFERROR(vp.tbl[[#This Row],[VP]]*vp.tbl[[#This Row],[VolumeM3]],"")</f>
        <v>438337.53599999996</v>
      </c>
      <c r="AM418" s="4">
        <f>IFERROR((vp.tbl[[#This Row],[VP]]-INDEX(crudeBD.lkup.complete[Mean_VP],MATCH(vp.tbl[[#This Row],[Crude_Breakdown]],crudeBD.lkup.complete[Crude Breakdown],0)))^2,"")</f>
        <v>9.1591276071144847</v>
      </c>
      <c r="AN418" s="4">
        <f>IFERROR((vp.tbl[[#This Row],[Dens]]-INDEX(crudeBD.lkup.complete[Mean_Dens],MATCH(vp.tbl[[#This Row],[Crude_Breakdown]],crudeBD.lkup.complete[Crude Breakdown],0)))^2,"")</f>
        <v>299.0071352212446</v>
      </c>
      <c r="AO418" s="4">
        <f>IFERROR((vp.tbl[[#This Row],[Sulf]]-INDEX(crudeBD.lkup.complete[Mean_Sulf],MATCH(vp.tbl[[#This Row],[Crude_Breakdown]],crudeBD.lkup.complete[Crude Breakdown],0)))^2,"")</f>
        <v>0.53436120356963734</v>
      </c>
      <c r="AP418">
        <f>IF(AND(vp.tbl[[#This Row],[SDate]]&gt;=DATE(YEAR(vp.tbl[[#This Row],[SDate]]),5,1),vp.tbl[[#This Row],[SDate]]&lt;=DATE(YEAR(vp.tbl[[#This Row],[SDate]]),9,15)),1,0)</f>
        <v>0</v>
      </c>
      <c r="AQ418" s="15">
        <f>IF(vp.tbl[[#This Row],[SDate]]&lt;DATE(2016,12,1),0,1)</f>
        <v>1</v>
      </c>
    </row>
    <row r="419" spans="1:43" x14ac:dyDescent="0.25">
      <c r="A419">
        <v>418</v>
      </c>
      <c r="B419" t="s">
        <v>51</v>
      </c>
      <c r="C419" t="s">
        <v>51</v>
      </c>
      <c r="D419" t="s">
        <v>72</v>
      </c>
      <c r="F419" s="1">
        <v>42718</v>
      </c>
      <c r="G419" s="2">
        <v>89.5</v>
      </c>
      <c r="H419" s="2"/>
      <c r="I419" s="2">
        <v>1.2</v>
      </c>
      <c r="J419" s="2"/>
      <c r="K419" s="2"/>
      <c r="L419" s="2">
        <v>836.3</v>
      </c>
      <c r="M419" s="2">
        <v>836.3</v>
      </c>
      <c r="N419" s="2">
        <f ca="1">INDEX(INDIRECT(_xlfn.CONCAT("weather.tbl[",N$1,"]")),MATCH(vp.tbl[[#This Row],[SDate]],weather.tbl[Date],0))</f>
        <v>-23.216666666666669</v>
      </c>
      <c r="O419" s="2">
        <f ca="1">INDEX(INDIRECT(_xlfn.CONCAT("weather.tbl[",O$1,"]")),MATCH(vp.tbl[[#This Row],[SDate]],weather.tbl[Date],0))</f>
        <v>-22.707142857142859</v>
      </c>
      <c r="P419" s="2">
        <f ca="1">INDEX(INDIRECT(_xlfn.CONCAT("weather.tbl[",P$1,"]")),MATCH(vp.tbl[[#This Row],[SDate]],weather.tbl[Date],0))</f>
        <v>-24.1</v>
      </c>
      <c r="Q419" s="2">
        <f ca="1">INDEX(INDIRECT(_xlfn.CONCAT("weather.tbl[",Q$1,"]")),MATCH(vp.tbl[[#This Row],[SDate]],weather.tbl[Date],0))</f>
        <v>-24.3</v>
      </c>
      <c r="R419" s="2">
        <f ca="1">INDEX(INDIRECT(_xlfn.CONCAT("weather.tbl[",R$1,"]")),MATCH(vp.tbl[[#This Row],[SDate]],weather.tbl[Date],0))</f>
        <v>-23</v>
      </c>
      <c r="S419" s="2">
        <f ca="1">INDEX(INDIRECT(_xlfn.CONCAT("weather.tbl[",S$1,"]")),MATCH(vp.tbl[[#This Row],[SDate]],weather.tbl[Date],0))</f>
        <v>-20.8</v>
      </c>
      <c r="T419" s="2">
        <f ca="1">INDEX(INDIRECT(_xlfn.CONCAT("weather.tbl[",T$1,"]")),MATCH(vp.tbl[[#This Row],[SDate]],weather.tbl[Date],0))</f>
        <v>-23.6</v>
      </c>
      <c r="U419" s="2">
        <f ca="1">INDEX(INDIRECT(_xlfn.CONCAT("weather.tbl[",U$1,"]")),MATCH(vp.tbl[[#This Row],[SDate]],weather.tbl[Date],0))</f>
        <v>-23.5</v>
      </c>
      <c r="V419" s="2">
        <v>13705.843999999999</v>
      </c>
      <c r="W419" t="s">
        <v>48</v>
      </c>
      <c r="X419">
        <f>IF(OR(vp.tbl[[#This Row],[Sulf]]="",vp.tbl[[#This Row],[Dens]]=""),1,0)</f>
        <v>0</v>
      </c>
      <c r="Y419">
        <f>IF(vp.tbl[[#This Row],[CrudeType]]="C5+",1,0)</f>
        <v>0</v>
      </c>
      <c r="Z419">
        <f>IF(AND(vp.tbl[[#This Row],[CrudeType]]="Crude",vp.tbl[[#This Row],[Dens]]&lt;=825,vp.tbl[[#This Row],[Sulf]]&gt;0.5,vp.tbl[[#This Row],[Unknown]]=0),1,0)</f>
        <v>0</v>
      </c>
      <c r="AA419">
        <f>IF(AND(vp.tbl[[#This Row],[CrudeType]]="Crude",vp.tbl[[#This Row],[Dens]]&lt;=825,vp.tbl[[#This Row],[Sulf]]&lt;=0.5,vp.tbl[[#This Row],[Unknown]]=0),1,0)</f>
        <v>0</v>
      </c>
      <c r="AB419">
        <f>IF(AND(vp.tbl[[#This Row],[CrudeType]]="Crude",vp.tbl[[#This Row],[Dens]]&gt;825,vp.tbl[[#This Row],[Dens]]&lt;=870,vp.tbl[[#This Row],[Sulf]]&gt;0.5,vp.tbl[[#This Row],[Unknown]]=0),1,0)</f>
        <v>1</v>
      </c>
      <c r="AC419">
        <f>IF(AND(vp.tbl[[#This Row],[CrudeType]]="Crude",vp.tbl[[#This Row],[Dens]]&gt;825,vp.tbl[[#This Row],[Dens]]&lt;=900,vp.tbl[[#This Row],[Sulf]]&lt;=0.5,vp.tbl[[#This Row],[Unknown]]=0),1,0)</f>
        <v>0</v>
      </c>
      <c r="AD419">
        <f>IF(AND(vp.tbl[[#This Row],[CrudeType]]="Crude",vp.tbl[[#This Row],[Dens]]&gt;870,vp.tbl[[#This Row],[Dens]]&lt;=900,vp.tbl[[#This Row],[Sulf]]&gt;0.5,vp.tbl[[#This Row],[Unknown]]=0),1,0)</f>
        <v>0</v>
      </c>
      <c r="AE419">
        <f>IF(AND(vp.tbl[[#This Row],[CrudeType]]="Crude",vp.tbl[[#This Row],[Dens]]&gt;900,vp.tbl[[#This Row],[Sulf]]&lt;=0.5,vp.tbl[[#This Row],[Unknown]]=0),1,0)</f>
        <v>0</v>
      </c>
      <c r="AF419">
        <f>IF(AND(vp.tbl[[#This Row],[CrudeType]]="Crude",vp.tbl[[#This Row],[Dens]]&gt;900,vp.tbl[[#This Row],[Sulf]]&lt;=0.5,vp.tbl[[#This Row],[Unknown]]=0),1,0)</f>
        <v>0</v>
      </c>
      <c r="AG419" t="str">
        <f>INDEX(vp.tbl[[#Headers],[Unknown]:[Heavy_SW]],MATCH(1,vp.tbl[[#This Row],[Unknown]:[Heavy_SW]],0))</f>
        <v>Medium_LSB</v>
      </c>
      <c r="AH419" t="e">
        <f>INDEX([1]!crudeBD.lkup[Number],MATCH(vp.tbl[[#This Row],[Crude_Breakdown]],[1]!crudeBD.lkup[Crude Breakdown],0))</f>
        <v>#REF!</v>
      </c>
      <c r="AI419">
        <f>MONTH(vp.tbl[[#This Row],[SDate]])</f>
        <v>12</v>
      </c>
      <c r="AJ419" s="5">
        <f>IFERROR(vp.tbl[[#This Row],[Sulf]]*vp.tbl[[#This Row],[Net Dens]],"")</f>
        <v>13754636.804639999</v>
      </c>
      <c r="AK419" s="5">
        <f>IFERROR(vp.tbl[[#This Row],[Dens]]*vp.tbl[[#This Row],[VolumeM3]],"")</f>
        <v>11462197.337199999</v>
      </c>
      <c r="AL419" s="5">
        <f>IFERROR(vp.tbl[[#This Row],[VP]]*vp.tbl[[#This Row],[VolumeM3]],"")</f>
        <v>1226673.0379999999</v>
      </c>
      <c r="AM419" s="4">
        <f>IFERROR((vp.tbl[[#This Row],[VP]]-INDEX(crudeBD.lkup.complete[Mean_VP],MATCH(vp.tbl[[#This Row],[Crude_Breakdown]],crudeBD.lkup.complete[Crude Breakdown],0)))^2,"")</f>
        <v>86.981831404583289</v>
      </c>
      <c r="AN419" s="4">
        <f>IFERROR((vp.tbl[[#This Row],[Dens]]-INDEX(crudeBD.lkup.complete[Mean_Dens],MATCH(vp.tbl[[#This Row],[Crude_Breakdown]],crudeBD.lkup.complete[Crude Breakdown],0)))^2,"")</f>
        <v>80.852876993413645</v>
      </c>
      <c r="AO419" s="4">
        <f>IFERROR((vp.tbl[[#This Row],[Sulf]]-INDEX(crudeBD.lkup.complete[Mean_Sulf],MATCH(vp.tbl[[#This Row],[Crude_Breakdown]],crudeBD.lkup.complete[Crude Breakdown],0)))^2,"")</f>
        <v>6.4989233906855612E-2</v>
      </c>
      <c r="AP419">
        <f>IF(AND(vp.tbl[[#This Row],[SDate]]&gt;=DATE(YEAR(vp.tbl[[#This Row],[SDate]]),5,1),vp.tbl[[#This Row],[SDate]]&lt;=DATE(YEAR(vp.tbl[[#This Row],[SDate]]),9,15)),1,0)</f>
        <v>0</v>
      </c>
      <c r="AQ419" s="15">
        <f>IF(vp.tbl[[#This Row],[SDate]]&lt;DATE(2016,12,1),0,1)</f>
        <v>1</v>
      </c>
    </row>
    <row r="420" spans="1:43" x14ac:dyDescent="0.25">
      <c r="A420">
        <v>419</v>
      </c>
      <c r="B420" t="s">
        <v>49</v>
      </c>
      <c r="C420" t="s">
        <v>49</v>
      </c>
      <c r="D420" t="s">
        <v>74</v>
      </c>
      <c r="F420" s="1">
        <v>42719</v>
      </c>
      <c r="G420" s="2">
        <v>111.3</v>
      </c>
      <c r="H420" s="2"/>
      <c r="I420" s="2">
        <v>0.15</v>
      </c>
      <c r="J420" s="2"/>
      <c r="K420" s="2"/>
      <c r="L420" s="2">
        <v>799.3</v>
      </c>
      <c r="M420" s="2">
        <v>799.3</v>
      </c>
      <c r="N420" s="2">
        <f ca="1">INDEX(INDIRECT(_xlfn.CONCAT("weather.tbl[",N$1,"]")),MATCH(vp.tbl[[#This Row],[SDate]],weather.tbl[Date],0))</f>
        <v>-23.349999999999998</v>
      </c>
      <c r="O420" s="2">
        <f ca="1">INDEX(INDIRECT(_xlfn.CONCAT("weather.tbl[",O$1,"]")),MATCH(vp.tbl[[#This Row],[SDate]],weather.tbl[Date],0))</f>
        <v>-23.016666666666669</v>
      </c>
      <c r="P420" s="2">
        <f ca="1">INDEX(INDIRECT(_xlfn.CONCAT("weather.tbl[",P$1,"]")),MATCH(vp.tbl[[#This Row],[SDate]],weather.tbl[Date],0))</f>
        <v>-22.4</v>
      </c>
      <c r="Q420" s="2">
        <f ca="1">INDEX(INDIRECT(_xlfn.CONCAT("weather.tbl[",Q$1,"]")),MATCH(vp.tbl[[#This Row],[SDate]],weather.tbl[Date],0))</f>
        <v>-24.1</v>
      </c>
      <c r="R420" s="2">
        <f ca="1">INDEX(INDIRECT(_xlfn.CONCAT("weather.tbl[",R$1,"]")),MATCH(vp.tbl[[#This Row],[SDate]],weather.tbl[Date],0))</f>
        <v>-25.3</v>
      </c>
      <c r="S420" s="2">
        <f ca="1">INDEX(INDIRECT(_xlfn.CONCAT("weather.tbl[",S$1,"]")),MATCH(vp.tbl[[#This Row],[SDate]],weather.tbl[Date],0))</f>
        <v>-21.5</v>
      </c>
      <c r="T420" s="2">
        <f ca="1">INDEX(INDIRECT(_xlfn.CONCAT("weather.tbl[",T$1,"]")),MATCH(vp.tbl[[#This Row],[SDate]],weather.tbl[Date],0))</f>
        <v>-24.5</v>
      </c>
      <c r="U420" s="2">
        <f ca="1">INDEX(INDIRECT(_xlfn.CONCAT("weather.tbl[",U$1,"]")),MATCH(vp.tbl[[#This Row],[SDate]],weather.tbl[Date],0))</f>
        <v>-22.3</v>
      </c>
      <c r="V420" s="2">
        <v>30199.411</v>
      </c>
      <c r="W420" t="s">
        <v>48</v>
      </c>
      <c r="X420">
        <f>IF(OR(vp.tbl[[#This Row],[Sulf]]="",vp.tbl[[#This Row],[Dens]]=""),1,0)</f>
        <v>0</v>
      </c>
      <c r="Y420">
        <f>IF(vp.tbl[[#This Row],[CrudeType]]="C5+",1,0)</f>
        <v>0</v>
      </c>
      <c r="Z420">
        <f>IF(AND(vp.tbl[[#This Row],[CrudeType]]="Crude",vp.tbl[[#This Row],[Dens]]&lt;=825,vp.tbl[[#This Row],[Sulf]]&gt;0.5,vp.tbl[[#This Row],[Unknown]]=0),1,0)</f>
        <v>0</v>
      </c>
      <c r="AA420">
        <f>IF(AND(vp.tbl[[#This Row],[CrudeType]]="Crude",vp.tbl[[#This Row],[Dens]]&lt;=825,vp.tbl[[#This Row],[Sulf]]&lt;=0.5,vp.tbl[[#This Row],[Unknown]]=0),1,0)</f>
        <v>1</v>
      </c>
      <c r="AB420">
        <f>IF(AND(vp.tbl[[#This Row],[CrudeType]]="Crude",vp.tbl[[#This Row],[Dens]]&gt;825,vp.tbl[[#This Row],[Dens]]&lt;=870,vp.tbl[[#This Row],[Sulf]]&gt;0.5,vp.tbl[[#This Row],[Unknown]]=0),1,0)</f>
        <v>0</v>
      </c>
      <c r="AC420">
        <f>IF(AND(vp.tbl[[#This Row],[CrudeType]]="Crude",vp.tbl[[#This Row],[Dens]]&gt;825,vp.tbl[[#This Row],[Dens]]&lt;=900,vp.tbl[[#This Row],[Sulf]]&lt;=0.5,vp.tbl[[#This Row],[Unknown]]=0),1,0)</f>
        <v>0</v>
      </c>
      <c r="AD420">
        <f>IF(AND(vp.tbl[[#This Row],[CrudeType]]="Crude",vp.tbl[[#This Row],[Dens]]&gt;870,vp.tbl[[#This Row],[Dens]]&lt;=900,vp.tbl[[#This Row],[Sulf]]&gt;0.5,vp.tbl[[#This Row],[Unknown]]=0),1,0)</f>
        <v>0</v>
      </c>
      <c r="AE420">
        <f>IF(AND(vp.tbl[[#This Row],[CrudeType]]="Crude",vp.tbl[[#This Row],[Dens]]&gt;900,vp.tbl[[#This Row],[Sulf]]&lt;=0.5,vp.tbl[[#This Row],[Unknown]]=0),1,0)</f>
        <v>0</v>
      </c>
      <c r="AF420">
        <f>IF(AND(vp.tbl[[#This Row],[CrudeType]]="Crude",vp.tbl[[#This Row],[Dens]]&gt;900,vp.tbl[[#This Row],[Sulf]]&lt;=0.5,vp.tbl[[#This Row],[Unknown]]=0),1,0)</f>
        <v>0</v>
      </c>
      <c r="AG420" t="str">
        <f>INDEX(vp.tbl[[#Headers],[Unknown]:[Heavy_SW]],MATCH(1,vp.tbl[[#This Row],[Unknown]:[Heavy_SW]],0))</f>
        <v>Light_SW</v>
      </c>
      <c r="AH420" t="e">
        <f>INDEX([1]!crudeBD.lkup[Number],MATCH(vp.tbl[[#This Row],[Crude_Breakdown]],[1]!crudeBD.lkup[Crude Breakdown],0))</f>
        <v>#REF!</v>
      </c>
      <c r="AI420">
        <f>MONTH(vp.tbl[[#This Row],[SDate]])</f>
        <v>12</v>
      </c>
      <c r="AJ420" s="5">
        <f>IFERROR(vp.tbl[[#This Row],[Sulf]]*vp.tbl[[#This Row],[Net Dens]],"")</f>
        <v>3620758.3818449997</v>
      </c>
      <c r="AK420" s="5">
        <f>IFERROR(vp.tbl[[#This Row],[Dens]]*vp.tbl[[#This Row],[VolumeM3]],"")</f>
        <v>24138389.212299999</v>
      </c>
      <c r="AL420" s="5">
        <f>IFERROR(vp.tbl[[#This Row],[VP]]*vp.tbl[[#This Row],[VolumeM3]],"")</f>
        <v>3361194.4443000001</v>
      </c>
      <c r="AM420" s="4">
        <f>IFERROR((vp.tbl[[#This Row],[VP]]-INDEX(crudeBD.lkup.complete[Mean_VP],MATCH(vp.tbl[[#This Row],[Crude_Breakdown]],crudeBD.lkup.complete[Crude Breakdown],0)))^2,"")</f>
        <v>351.55074051645744</v>
      </c>
      <c r="AN420" s="4">
        <f>IFERROR((vp.tbl[[#This Row],[Dens]]-INDEX(crudeBD.lkup.complete[Mean_Dens],MATCH(vp.tbl[[#This Row],[Crude_Breakdown]],crudeBD.lkup.complete[Crude Breakdown],0)))^2,"")</f>
        <v>81.207100851045212</v>
      </c>
      <c r="AO420" s="4">
        <f>IFERROR((vp.tbl[[#This Row],[Sulf]]-INDEX(crudeBD.lkup.complete[Mean_Sulf],MATCH(vp.tbl[[#This Row],[Crude_Breakdown]],crudeBD.lkup.complete[Crude Breakdown],0)))^2,"")</f>
        <v>7.4376501105998362E-3</v>
      </c>
      <c r="AP420">
        <f>IF(AND(vp.tbl[[#This Row],[SDate]]&gt;=DATE(YEAR(vp.tbl[[#This Row],[SDate]]),5,1),vp.tbl[[#This Row],[SDate]]&lt;=DATE(YEAR(vp.tbl[[#This Row],[SDate]]),9,15)),1,0)</f>
        <v>0</v>
      </c>
      <c r="AQ420" s="15">
        <f>IF(vp.tbl[[#This Row],[SDate]]&lt;DATE(2016,12,1),0,1)</f>
        <v>1</v>
      </c>
    </row>
    <row r="421" spans="1:43" x14ac:dyDescent="0.25">
      <c r="A421">
        <v>420</v>
      </c>
      <c r="B421" t="s">
        <v>62</v>
      </c>
      <c r="C421" t="s">
        <v>62</v>
      </c>
      <c r="D421" t="s">
        <v>79</v>
      </c>
      <c r="F421" s="1">
        <v>42719</v>
      </c>
      <c r="G421" s="2">
        <v>105.2</v>
      </c>
      <c r="H421" s="2"/>
      <c r="I421" s="2">
        <v>0.19</v>
      </c>
      <c r="J421" s="2"/>
      <c r="K421" s="2"/>
      <c r="L421" s="2">
        <v>805.1</v>
      </c>
      <c r="M421" s="2">
        <v>805.1</v>
      </c>
      <c r="N421" s="2">
        <f ca="1">INDEX(INDIRECT(_xlfn.CONCAT("weather.tbl[",N$1,"]")),MATCH(vp.tbl[[#This Row],[SDate]],weather.tbl[Date],0))</f>
        <v>-23.349999999999998</v>
      </c>
      <c r="O421" s="2">
        <f ca="1">INDEX(INDIRECT(_xlfn.CONCAT("weather.tbl[",O$1,"]")),MATCH(vp.tbl[[#This Row],[SDate]],weather.tbl[Date],0))</f>
        <v>-23.016666666666669</v>
      </c>
      <c r="P421" s="2">
        <f ca="1">INDEX(INDIRECT(_xlfn.CONCAT("weather.tbl[",P$1,"]")),MATCH(vp.tbl[[#This Row],[SDate]],weather.tbl[Date],0))</f>
        <v>-22.4</v>
      </c>
      <c r="Q421" s="2">
        <f ca="1">INDEX(INDIRECT(_xlfn.CONCAT("weather.tbl[",Q$1,"]")),MATCH(vp.tbl[[#This Row],[SDate]],weather.tbl[Date],0))</f>
        <v>-24.1</v>
      </c>
      <c r="R421" s="2">
        <f ca="1">INDEX(INDIRECT(_xlfn.CONCAT("weather.tbl[",R$1,"]")),MATCH(vp.tbl[[#This Row],[SDate]],weather.tbl[Date],0))</f>
        <v>-25.3</v>
      </c>
      <c r="S421" s="2">
        <f ca="1">INDEX(INDIRECT(_xlfn.CONCAT("weather.tbl[",S$1,"]")),MATCH(vp.tbl[[#This Row],[SDate]],weather.tbl[Date],0))</f>
        <v>-21.5</v>
      </c>
      <c r="T421" s="2">
        <f ca="1">INDEX(INDIRECT(_xlfn.CONCAT("weather.tbl[",T$1,"]")),MATCH(vp.tbl[[#This Row],[SDate]],weather.tbl[Date],0))</f>
        <v>-24.5</v>
      </c>
      <c r="U421" s="2">
        <f ca="1">INDEX(INDIRECT(_xlfn.CONCAT("weather.tbl[",U$1,"]")),MATCH(vp.tbl[[#This Row],[SDate]],weather.tbl[Date],0))</f>
        <v>-22.3</v>
      </c>
      <c r="V421" s="2">
        <v>13104.25</v>
      </c>
      <c r="W421" t="s">
        <v>48</v>
      </c>
      <c r="X421">
        <f>IF(OR(vp.tbl[[#This Row],[Sulf]]="",vp.tbl[[#This Row],[Dens]]=""),1,0)</f>
        <v>0</v>
      </c>
      <c r="Y421">
        <f>IF(vp.tbl[[#This Row],[CrudeType]]="C5+",1,0)</f>
        <v>0</v>
      </c>
      <c r="Z421">
        <f>IF(AND(vp.tbl[[#This Row],[CrudeType]]="Crude",vp.tbl[[#This Row],[Dens]]&lt;=825,vp.tbl[[#This Row],[Sulf]]&gt;0.5,vp.tbl[[#This Row],[Unknown]]=0),1,0)</f>
        <v>0</v>
      </c>
      <c r="AA421">
        <f>IF(AND(vp.tbl[[#This Row],[CrudeType]]="Crude",vp.tbl[[#This Row],[Dens]]&lt;=825,vp.tbl[[#This Row],[Sulf]]&lt;=0.5,vp.tbl[[#This Row],[Unknown]]=0),1,0)</f>
        <v>1</v>
      </c>
      <c r="AB421">
        <f>IF(AND(vp.tbl[[#This Row],[CrudeType]]="Crude",vp.tbl[[#This Row],[Dens]]&gt;825,vp.tbl[[#This Row],[Dens]]&lt;=870,vp.tbl[[#This Row],[Sulf]]&gt;0.5,vp.tbl[[#This Row],[Unknown]]=0),1,0)</f>
        <v>0</v>
      </c>
      <c r="AC421">
        <f>IF(AND(vp.tbl[[#This Row],[CrudeType]]="Crude",vp.tbl[[#This Row],[Dens]]&gt;825,vp.tbl[[#This Row],[Dens]]&lt;=900,vp.tbl[[#This Row],[Sulf]]&lt;=0.5,vp.tbl[[#This Row],[Unknown]]=0),1,0)</f>
        <v>0</v>
      </c>
      <c r="AD421">
        <f>IF(AND(vp.tbl[[#This Row],[CrudeType]]="Crude",vp.tbl[[#This Row],[Dens]]&gt;870,vp.tbl[[#This Row],[Dens]]&lt;=900,vp.tbl[[#This Row],[Sulf]]&gt;0.5,vp.tbl[[#This Row],[Unknown]]=0),1,0)</f>
        <v>0</v>
      </c>
      <c r="AE421">
        <f>IF(AND(vp.tbl[[#This Row],[CrudeType]]="Crude",vp.tbl[[#This Row],[Dens]]&gt;900,vp.tbl[[#This Row],[Sulf]]&lt;=0.5,vp.tbl[[#This Row],[Unknown]]=0),1,0)</f>
        <v>0</v>
      </c>
      <c r="AF421">
        <f>IF(AND(vp.tbl[[#This Row],[CrudeType]]="Crude",vp.tbl[[#This Row],[Dens]]&gt;900,vp.tbl[[#This Row],[Sulf]]&lt;=0.5,vp.tbl[[#This Row],[Unknown]]=0),1,0)</f>
        <v>0</v>
      </c>
      <c r="AG421" t="str">
        <f>INDEX(vp.tbl[[#Headers],[Unknown]:[Heavy_SW]],MATCH(1,vp.tbl[[#This Row],[Unknown]:[Heavy_SW]],0))</f>
        <v>Light_SW</v>
      </c>
      <c r="AH421" t="e">
        <f>INDEX([1]!crudeBD.lkup[Number],MATCH(vp.tbl[[#This Row],[Crude_Breakdown]],[1]!crudeBD.lkup[Crude Breakdown],0))</f>
        <v>#REF!</v>
      </c>
      <c r="AI421">
        <f>MONTH(vp.tbl[[#This Row],[SDate]])</f>
        <v>12</v>
      </c>
      <c r="AJ421" s="5">
        <f>IFERROR(vp.tbl[[#This Row],[Sulf]]*vp.tbl[[#This Row],[Net Dens]],"")</f>
        <v>2004544.0182500002</v>
      </c>
      <c r="AK421" s="5">
        <f>IFERROR(vp.tbl[[#This Row],[Dens]]*vp.tbl[[#This Row],[VolumeM3]],"")</f>
        <v>10550231.675000001</v>
      </c>
      <c r="AL421" s="5">
        <f>IFERROR(vp.tbl[[#This Row],[VP]]*vp.tbl[[#This Row],[VolumeM3]],"")</f>
        <v>1378567.1</v>
      </c>
      <c r="AM421" s="4">
        <f>IFERROR((vp.tbl[[#This Row],[VP]]-INDEX(crudeBD.lkup.complete[Mean_VP],MATCH(vp.tbl[[#This Row],[Crude_Breakdown]],crudeBD.lkup.complete[Crude Breakdown],0)))^2,"")</f>
        <v>160.01456630042938</v>
      </c>
      <c r="AN421" s="4">
        <f>IFERROR((vp.tbl[[#This Row],[Dens]]-INDEX(crudeBD.lkup.complete[Mean_Dens],MATCH(vp.tbl[[#This Row],[Crude_Breakdown]],crudeBD.lkup.complete[Crude Breakdown],0)))^2,"")</f>
        <v>10.313721060106015</v>
      </c>
      <c r="AO421" s="4">
        <f>IFERROR((vp.tbl[[#This Row],[Sulf]]-INDEX(crudeBD.lkup.complete[Mean_Sulf],MATCH(vp.tbl[[#This Row],[Crude_Breakdown]],crudeBD.lkup.complete[Crude Breakdown],0)))^2,"")</f>
        <v>2.1383051628646554E-3</v>
      </c>
      <c r="AP421">
        <f>IF(AND(vp.tbl[[#This Row],[SDate]]&gt;=DATE(YEAR(vp.tbl[[#This Row],[SDate]]),5,1),vp.tbl[[#This Row],[SDate]]&lt;=DATE(YEAR(vp.tbl[[#This Row],[SDate]]),9,15)),1,0)</f>
        <v>0</v>
      </c>
      <c r="AQ421" s="15">
        <f>IF(vp.tbl[[#This Row],[SDate]]&lt;DATE(2016,12,1),0,1)</f>
        <v>1</v>
      </c>
    </row>
    <row r="422" spans="1:43" x14ac:dyDescent="0.25">
      <c r="A422">
        <v>421</v>
      </c>
      <c r="B422" t="s">
        <v>62</v>
      </c>
      <c r="C422" t="s">
        <v>62</v>
      </c>
      <c r="D422" t="s">
        <v>83</v>
      </c>
      <c r="F422" s="1">
        <v>42719</v>
      </c>
      <c r="G422" s="2">
        <v>110</v>
      </c>
      <c r="H422" s="2"/>
      <c r="I422" s="2">
        <v>0.17</v>
      </c>
      <c r="J422" s="2"/>
      <c r="K422" s="2"/>
      <c r="L422" s="2">
        <v>805.5</v>
      </c>
      <c r="M422" s="2">
        <v>805.5</v>
      </c>
      <c r="N422" s="2">
        <f ca="1">INDEX(INDIRECT(_xlfn.CONCAT("weather.tbl[",N$1,"]")),MATCH(vp.tbl[[#This Row],[SDate]],weather.tbl[Date],0))</f>
        <v>-23.349999999999998</v>
      </c>
      <c r="O422" s="2">
        <f ca="1">INDEX(INDIRECT(_xlfn.CONCAT("weather.tbl[",O$1,"]")),MATCH(vp.tbl[[#This Row],[SDate]],weather.tbl[Date],0))</f>
        <v>-23.016666666666669</v>
      </c>
      <c r="P422" s="2">
        <f ca="1">INDEX(INDIRECT(_xlfn.CONCAT("weather.tbl[",P$1,"]")),MATCH(vp.tbl[[#This Row],[SDate]],weather.tbl[Date],0))</f>
        <v>-22.4</v>
      </c>
      <c r="Q422" s="2">
        <f ca="1">INDEX(INDIRECT(_xlfn.CONCAT("weather.tbl[",Q$1,"]")),MATCH(vp.tbl[[#This Row],[SDate]],weather.tbl[Date],0))</f>
        <v>-24.1</v>
      </c>
      <c r="R422" s="2">
        <f ca="1">INDEX(INDIRECT(_xlfn.CONCAT("weather.tbl[",R$1,"]")),MATCH(vp.tbl[[#This Row],[SDate]],weather.tbl[Date],0))</f>
        <v>-25.3</v>
      </c>
      <c r="S422" s="2">
        <f ca="1">INDEX(INDIRECT(_xlfn.CONCAT("weather.tbl[",S$1,"]")),MATCH(vp.tbl[[#This Row],[SDate]],weather.tbl[Date],0))</f>
        <v>-21.5</v>
      </c>
      <c r="T422" s="2">
        <f ca="1">INDEX(INDIRECT(_xlfn.CONCAT("weather.tbl[",T$1,"]")),MATCH(vp.tbl[[#This Row],[SDate]],weather.tbl[Date],0))</f>
        <v>-24.5</v>
      </c>
      <c r="U422" s="2">
        <f ca="1">INDEX(INDIRECT(_xlfn.CONCAT("weather.tbl[",U$1,"]")),MATCH(vp.tbl[[#This Row],[SDate]],weather.tbl[Date],0))</f>
        <v>-22.3</v>
      </c>
      <c r="V422" s="2">
        <v>9482.9609999999993</v>
      </c>
      <c r="W422" t="s">
        <v>48</v>
      </c>
      <c r="X422">
        <f>IF(OR(vp.tbl[[#This Row],[Sulf]]="",vp.tbl[[#This Row],[Dens]]=""),1,0)</f>
        <v>0</v>
      </c>
      <c r="Y422">
        <f>IF(vp.tbl[[#This Row],[CrudeType]]="C5+",1,0)</f>
        <v>0</v>
      </c>
      <c r="Z422">
        <f>IF(AND(vp.tbl[[#This Row],[CrudeType]]="Crude",vp.tbl[[#This Row],[Dens]]&lt;=825,vp.tbl[[#This Row],[Sulf]]&gt;0.5,vp.tbl[[#This Row],[Unknown]]=0),1,0)</f>
        <v>0</v>
      </c>
      <c r="AA422">
        <f>IF(AND(vp.tbl[[#This Row],[CrudeType]]="Crude",vp.tbl[[#This Row],[Dens]]&lt;=825,vp.tbl[[#This Row],[Sulf]]&lt;=0.5,vp.tbl[[#This Row],[Unknown]]=0),1,0)</f>
        <v>1</v>
      </c>
      <c r="AB422">
        <f>IF(AND(vp.tbl[[#This Row],[CrudeType]]="Crude",vp.tbl[[#This Row],[Dens]]&gt;825,vp.tbl[[#This Row],[Dens]]&lt;=870,vp.tbl[[#This Row],[Sulf]]&gt;0.5,vp.tbl[[#This Row],[Unknown]]=0),1,0)</f>
        <v>0</v>
      </c>
      <c r="AC422">
        <f>IF(AND(vp.tbl[[#This Row],[CrudeType]]="Crude",vp.tbl[[#This Row],[Dens]]&gt;825,vp.tbl[[#This Row],[Dens]]&lt;=900,vp.tbl[[#This Row],[Sulf]]&lt;=0.5,vp.tbl[[#This Row],[Unknown]]=0),1,0)</f>
        <v>0</v>
      </c>
      <c r="AD422">
        <f>IF(AND(vp.tbl[[#This Row],[CrudeType]]="Crude",vp.tbl[[#This Row],[Dens]]&gt;870,vp.tbl[[#This Row],[Dens]]&lt;=900,vp.tbl[[#This Row],[Sulf]]&gt;0.5,vp.tbl[[#This Row],[Unknown]]=0),1,0)</f>
        <v>0</v>
      </c>
      <c r="AE422">
        <f>IF(AND(vp.tbl[[#This Row],[CrudeType]]="Crude",vp.tbl[[#This Row],[Dens]]&gt;900,vp.tbl[[#This Row],[Sulf]]&lt;=0.5,vp.tbl[[#This Row],[Unknown]]=0),1,0)</f>
        <v>0</v>
      </c>
      <c r="AF422">
        <f>IF(AND(vp.tbl[[#This Row],[CrudeType]]="Crude",vp.tbl[[#This Row],[Dens]]&gt;900,vp.tbl[[#This Row],[Sulf]]&lt;=0.5,vp.tbl[[#This Row],[Unknown]]=0),1,0)</f>
        <v>0</v>
      </c>
      <c r="AG422" t="str">
        <f>INDEX(vp.tbl[[#Headers],[Unknown]:[Heavy_SW]],MATCH(1,vp.tbl[[#This Row],[Unknown]:[Heavy_SW]],0))</f>
        <v>Light_SW</v>
      </c>
      <c r="AH422" t="e">
        <f>INDEX([1]!crudeBD.lkup[Number],MATCH(vp.tbl[[#This Row],[Crude_Breakdown]],[1]!crudeBD.lkup[Crude Breakdown],0))</f>
        <v>#REF!</v>
      </c>
      <c r="AI422">
        <f>MONTH(vp.tbl[[#This Row],[SDate]])</f>
        <v>12</v>
      </c>
      <c r="AJ422" s="5">
        <f>IFERROR(vp.tbl[[#This Row],[Sulf]]*vp.tbl[[#This Row],[Net Dens]],"")</f>
        <v>1298549.2645349998</v>
      </c>
      <c r="AK422" s="5">
        <f>IFERROR(vp.tbl[[#This Row],[Dens]]*vp.tbl[[#This Row],[VolumeM3]],"")</f>
        <v>7638525.0854999991</v>
      </c>
      <c r="AL422" s="5">
        <f>IFERROR(vp.tbl[[#This Row],[VP]]*vp.tbl[[#This Row],[VolumeM3]],"")</f>
        <v>1043125.71</v>
      </c>
      <c r="AM422" s="4">
        <f>IFERROR((vp.tbl[[#This Row],[VP]]-INDEX(crudeBD.lkup.complete[Mean_VP],MATCH(vp.tbl[[#This Row],[Crude_Breakdown]],crudeBD.lkup.complete[Crude Breakdown],0)))^2,"")</f>
        <v>304.49155584746791</v>
      </c>
      <c r="AN422" s="4">
        <f>IFERROR((vp.tbl[[#This Row],[Dens]]-INDEX(crudeBD.lkup.complete[Mean_Dens],MATCH(vp.tbl[[#This Row],[Crude_Breakdown]],crudeBD.lkup.complete[Crude Breakdown],0)))^2,"")</f>
        <v>7.9045224538345602</v>
      </c>
      <c r="AO422" s="4">
        <f>IFERROR((vp.tbl[[#This Row],[Sulf]]-INDEX(crudeBD.lkup.complete[Mean_Sulf],MATCH(vp.tbl[[#This Row],[Crude_Breakdown]],crudeBD.lkup.complete[Crude Breakdown],0)))^2,"")</f>
        <v>4.3879776367322437E-3</v>
      </c>
      <c r="AP422">
        <f>IF(AND(vp.tbl[[#This Row],[SDate]]&gt;=DATE(YEAR(vp.tbl[[#This Row],[SDate]]),5,1),vp.tbl[[#This Row],[SDate]]&lt;=DATE(YEAR(vp.tbl[[#This Row],[SDate]]),9,15)),1,0)</f>
        <v>0</v>
      </c>
      <c r="AQ422" s="15">
        <f>IF(vp.tbl[[#This Row],[SDate]]&lt;DATE(2016,12,1),0,1)</f>
        <v>1</v>
      </c>
    </row>
    <row r="423" spans="1:43" x14ac:dyDescent="0.25">
      <c r="A423">
        <v>422</v>
      </c>
      <c r="B423" t="s">
        <v>49</v>
      </c>
      <c r="C423" t="s">
        <v>49</v>
      </c>
      <c r="D423" t="s">
        <v>75</v>
      </c>
      <c r="F423" s="1">
        <v>42719</v>
      </c>
      <c r="G423" s="2">
        <v>116.8</v>
      </c>
      <c r="H423" s="2"/>
      <c r="I423" s="2">
        <v>0.13</v>
      </c>
      <c r="J423" s="2"/>
      <c r="K423" s="2"/>
      <c r="L423" s="2">
        <v>809.1</v>
      </c>
      <c r="M423" s="2">
        <v>809.1</v>
      </c>
      <c r="N423" s="2">
        <f ca="1">INDEX(INDIRECT(_xlfn.CONCAT("weather.tbl[",N$1,"]")),MATCH(vp.tbl[[#This Row],[SDate]],weather.tbl[Date],0))</f>
        <v>-23.349999999999998</v>
      </c>
      <c r="O423" s="2">
        <f ca="1">INDEX(INDIRECT(_xlfn.CONCAT("weather.tbl[",O$1,"]")),MATCH(vp.tbl[[#This Row],[SDate]],weather.tbl[Date],0))</f>
        <v>-23.016666666666669</v>
      </c>
      <c r="P423" s="2">
        <f ca="1">INDEX(INDIRECT(_xlfn.CONCAT("weather.tbl[",P$1,"]")),MATCH(vp.tbl[[#This Row],[SDate]],weather.tbl[Date],0))</f>
        <v>-22.4</v>
      </c>
      <c r="Q423" s="2">
        <f ca="1">INDEX(INDIRECT(_xlfn.CONCAT("weather.tbl[",Q$1,"]")),MATCH(vp.tbl[[#This Row],[SDate]],weather.tbl[Date],0))</f>
        <v>-24.1</v>
      </c>
      <c r="R423" s="2">
        <f ca="1">INDEX(INDIRECT(_xlfn.CONCAT("weather.tbl[",R$1,"]")),MATCH(vp.tbl[[#This Row],[SDate]],weather.tbl[Date],0))</f>
        <v>-25.3</v>
      </c>
      <c r="S423" s="2">
        <f ca="1">INDEX(INDIRECT(_xlfn.CONCAT("weather.tbl[",S$1,"]")),MATCH(vp.tbl[[#This Row],[SDate]],weather.tbl[Date],0))</f>
        <v>-21.5</v>
      </c>
      <c r="T423" s="2">
        <f ca="1">INDEX(INDIRECT(_xlfn.CONCAT("weather.tbl[",T$1,"]")),MATCH(vp.tbl[[#This Row],[SDate]],weather.tbl[Date],0))</f>
        <v>-24.5</v>
      </c>
      <c r="U423" s="2">
        <f ca="1">INDEX(INDIRECT(_xlfn.CONCAT("weather.tbl[",U$1,"]")),MATCH(vp.tbl[[#This Row],[SDate]],weather.tbl[Date],0))</f>
        <v>-22.3</v>
      </c>
      <c r="V423" s="2">
        <v>21635.382000000001</v>
      </c>
      <c r="W423" t="s">
        <v>48</v>
      </c>
      <c r="X423">
        <f>IF(OR(vp.tbl[[#This Row],[Sulf]]="",vp.tbl[[#This Row],[Dens]]=""),1,0)</f>
        <v>0</v>
      </c>
      <c r="Y423">
        <f>IF(vp.tbl[[#This Row],[CrudeType]]="C5+",1,0)</f>
        <v>0</v>
      </c>
      <c r="Z423">
        <f>IF(AND(vp.tbl[[#This Row],[CrudeType]]="Crude",vp.tbl[[#This Row],[Dens]]&lt;=825,vp.tbl[[#This Row],[Sulf]]&gt;0.5,vp.tbl[[#This Row],[Unknown]]=0),1,0)</f>
        <v>0</v>
      </c>
      <c r="AA423">
        <f>IF(AND(vp.tbl[[#This Row],[CrudeType]]="Crude",vp.tbl[[#This Row],[Dens]]&lt;=825,vp.tbl[[#This Row],[Sulf]]&lt;=0.5,vp.tbl[[#This Row],[Unknown]]=0),1,0)</f>
        <v>1</v>
      </c>
      <c r="AB423">
        <f>IF(AND(vp.tbl[[#This Row],[CrudeType]]="Crude",vp.tbl[[#This Row],[Dens]]&gt;825,vp.tbl[[#This Row],[Dens]]&lt;=870,vp.tbl[[#This Row],[Sulf]]&gt;0.5,vp.tbl[[#This Row],[Unknown]]=0),1,0)</f>
        <v>0</v>
      </c>
      <c r="AC423">
        <f>IF(AND(vp.tbl[[#This Row],[CrudeType]]="Crude",vp.tbl[[#This Row],[Dens]]&gt;825,vp.tbl[[#This Row],[Dens]]&lt;=900,vp.tbl[[#This Row],[Sulf]]&lt;=0.5,vp.tbl[[#This Row],[Unknown]]=0),1,0)</f>
        <v>0</v>
      </c>
      <c r="AD423">
        <f>IF(AND(vp.tbl[[#This Row],[CrudeType]]="Crude",vp.tbl[[#This Row],[Dens]]&gt;870,vp.tbl[[#This Row],[Dens]]&lt;=900,vp.tbl[[#This Row],[Sulf]]&gt;0.5,vp.tbl[[#This Row],[Unknown]]=0),1,0)</f>
        <v>0</v>
      </c>
      <c r="AE423">
        <f>IF(AND(vp.tbl[[#This Row],[CrudeType]]="Crude",vp.tbl[[#This Row],[Dens]]&gt;900,vp.tbl[[#This Row],[Sulf]]&lt;=0.5,vp.tbl[[#This Row],[Unknown]]=0),1,0)</f>
        <v>0</v>
      </c>
      <c r="AF423">
        <f>IF(AND(vp.tbl[[#This Row],[CrudeType]]="Crude",vp.tbl[[#This Row],[Dens]]&gt;900,vp.tbl[[#This Row],[Sulf]]&lt;=0.5,vp.tbl[[#This Row],[Unknown]]=0),1,0)</f>
        <v>0</v>
      </c>
      <c r="AG423" t="str">
        <f>INDEX(vp.tbl[[#Headers],[Unknown]:[Heavy_SW]],MATCH(1,vp.tbl[[#This Row],[Unknown]:[Heavy_SW]],0))</f>
        <v>Light_SW</v>
      </c>
      <c r="AH423" t="e">
        <f>INDEX([1]!crudeBD.lkup[Number],MATCH(vp.tbl[[#This Row],[Crude_Breakdown]],[1]!crudeBD.lkup[Crude Breakdown],0))</f>
        <v>#REF!</v>
      </c>
      <c r="AI423">
        <f>MONTH(vp.tbl[[#This Row],[SDate]])</f>
        <v>12</v>
      </c>
      <c r="AJ423" s="5">
        <f>IFERROR(vp.tbl[[#This Row],[Sulf]]*vp.tbl[[#This Row],[Net Dens]],"")</f>
        <v>2275674.384906</v>
      </c>
      <c r="AK423" s="5">
        <f>IFERROR(vp.tbl[[#This Row],[Dens]]*vp.tbl[[#This Row],[VolumeM3]],"")</f>
        <v>17505187.576200001</v>
      </c>
      <c r="AL423" s="5">
        <f>IFERROR(vp.tbl[[#This Row],[VP]]*vp.tbl[[#This Row],[VolumeM3]],"")</f>
        <v>2527012.6176</v>
      </c>
      <c r="AM423" s="4">
        <f>IFERROR((vp.tbl[[#This Row],[VP]]-INDEX(crudeBD.lkup.complete[Mean_VP],MATCH(vp.tbl[[#This Row],[Crude_Breakdown]],crudeBD.lkup.complete[Crude Breakdown],0)))^2,"")</f>
        <v>588.04729103910586</v>
      </c>
      <c r="AN423" s="4">
        <f>IFERROR((vp.tbl[[#This Row],[Dens]]-INDEX(crudeBD.lkup.complete[Mean_Dens],MATCH(vp.tbl[[#This Row],[Crude_Breakdown]],crudeBD.lkup.complete[Crude Breakdown],0)))^2,"")</f>
        <v>0.6217349973901749</v>
      </c>
      <c r="AO423" s="4">
        <f>IFERROR((vp.tbl[[#This Row],[Sulf]]-INDEX(crudeBD.lkup.complete[Mean_Sulf],MATCH(vp.tbl[[#This Row],[Crude_Breakdown]],crudeBD.lkup.complete[Crude Breakdown],0)))^2,"")</f>
        <v>1.1287322584467423E-2</v>
      </c>
      <c r="AP423">
        <f>IF(AND(vp.tbl[[#This Row],[SDate]]&gt;=DATE(YEAR(vp.tbl[[#This Row],[SDate]]),5,1),vp.tbl[[#This Row],[SDate]]&lt;=DATE(YEAR(vp.tbl[[#This Row],[SDate]]),9,15)),1,0)</f>
        <v>0</v>
      </c>
      <c r="AQ423" s="15">
        <f>IF(vp.tbl[[#This Row],[SDate]]&lt;DATE(2016,12,1),0,1)</f>
        <v>1</v>
      </c>
    </row>
    <row r="424" spans="1:43" x14ac:dyDescent="0.25">
      <c r="A424">
        <v>423</v>
      </c>
      <c r="B424" t="s">
        <v>56</v>
      </c>
      <c r="C424" t="s">
        <v>56</v>
      </c>
      <c r="D424" t="s">
        <v>57</v>
      </c>
      <c r="F424" s="1">
        <v>42719</v>
      </c>
      <c r="G424" s="2">
        <v>81.599999999999994</v>
      </c>
      <c r="H424" s="2"/>
      <c r="I424" s="2">
        <v>1.63</v>
      </c>
      <c r="J424" s="2"/>
      <c r="K424" s="2"/>
      <c r="L424" s="2">
        <v>832.7</v>
      </c>
      <c r="M424" s="2">
        <v>832.7</v>
      </c>
      <c r="N424" s="2">
        <f ca="1">INDEX(INDIRECT(_xlfn.CONCAT("weather.tbl[",N$1,"]")),MATCH(vp.tbl[[#This Row],[SDate]],weather.tbl[Date],0))</f>
        <v>-23.349999999999998</v>
      </c>
      <c r="O424" s="2">
        <f ca="1">INDEX(INDIRECT(_xlfn.CONCAT("weather.tbl[",O$1,"]")),MATCH(vp.tbl[[#This Row],[SDate]],weather.tbl[Date],0))</f>
        <v>-23.016666666666669</v>
      </c>
      <c r="P424" s="2">
        <f ca="1">INDEX(INDIRECT(_xlfn.CONCAT("weather.tbl[",P$1,"]")),MATCH(vp.tbl[[#This Row],[SDate]],weather.tbl[Date],0))</f>
        <v>-22.4</v>
      </c>
      <c r="Q424" s="2">
        <f ca="1">INDEX(INDIRECT(_xlfn.CONCAT("weather.tbl[",Q$1,"]")),MATCH(vp.tbl[[#This Row],[SDate]],weather.tbl[Date],0))</f>
        <v>-24.1</v>
      </c>
      <c r="R424" s="2">
        <f ca="1">INDEX(INDIRECT(_xlfn.CONCAT("weather.tbl[",R$1,"]")),MATCH(vp.tbl[[#This Row],[SDate]],weather.tbl[Date],0))</f>
        <v>-25.3</v>
      </c>
      <c r="S424" s="2">
        <f ca="1">INDEX(INDIRECT(_xlfn.CONCAT("weather.tbl[",S$1,"]")),MATCH(vp.tbl[[#This Row],[SDate]],weather.tbl[Date],0))</f>
        <v>-21.5</v>
      </c>
      <c r="T424" s="2">
        <f ca="1">INDEX(INDIRECT(_xlfn.CONCAT("weather.tbl[",T$1,"]")),MATCH(vp.tbl[[#This Row],[SDate]],weather.tbl[Date],0))</f>
        <v>-24.5</v>
      </c>
      <c r="U424" s="2">
        <f ca="1">INDEX(INDIRECT(_xlfn.CONCAT("weather.tbl[",U$1,"]")),MATCH(vp.tbl[[#This Row],[SDate]],weather.tbl[Date],0))</f>
        <v>-22.3</v>
      </c>
      <c r="V424" s="2">
        <v>3105.3330000000001</v>
      </c>
      <c r="W424" t="s">
        <v>48</v>
      </c>
      <c r="X424">
        <f>IF(OR(vp.tbl[[#This Row],[Sulf]]="",vp.tbl[[#This Row],[Dens]]=""),1,0)</f>
        <v>0</v>
      </c>
      <c r="Y424">
        <f>IF(vp.tbl[[#This Row],[CrudeType]]="C5+",1,0)</f>
        <v>0</v>
      </c>
      <c r="Z424">
        <f>IF(AND(vp.tbl[[#This Row],[CrudeType]]="Crude",vp.tbl[[#This Row],[Dens]]&lt;=825,vp.tbl[[#This Row],[Sulf]]&gt;0.5,vp.tbl[[#This Row],[Unknown]]=0),1,0)</f>
        <v>0</v>
      </c>
      <c r="AA424">
        <f>IF(AND(vp.tbl[[#This Row],[CrudeType]]="Crude",vp.tbl[[#This Row],[Dens]]&lt;=825,vp.tbl[[#This Row],[Sulf]]&lt;=0.5,vp.tbl[[#This Row],[Unknown]]=0),1,0)</f>
        <v>0</v>
      </c>
      <c r="AB424">
        <f>IF(AND(vp.tbl[[#This Row],[CrudeType]]="Crude",vp.tbl[[#This Row],[Dens]]&gt;825,vp.tbl[[#This Row],[Dens]]&lt;=870,vp.tbl[[#This Row],[Sulf]]&gt;0.5,vp.tbl[[#This Row],[Unknown]]=0),1,0)</f>
        <v>1</v>
      </c>
      <c r="AC424">
        <f>IF(AND(vp.tbl[[#This Row],[CrudeType]]="Crude",vp.tbl[[#This Row],[Dens]]&gt;825,vp.tbl[[#This Row],[Dens]]&lt;=900,vp.tbl[[#This Row],[Sulf]]&lt;=0.5,vp.tbl[[#This Row],[Unknown]]=0),1,0)</f>
        <v>0</v>
      </c>
      <c r="AD424">
        <f>IF(AND(vp.tbl[[#This Row],[CrudeType]]="Crude",vp.tbl[[#This Row],[Dens]]&gt;870,vp.tbl[[#This Row],[Dens]]&lt;=900,vp.tbl[[#This Row],[Sulf]]&gt;0.5,vp.tbl[[#This Row],[Unknown]]=0),1,0)</f>
        <v>0</v>
      </c>
      <c r="AE424">
        <f>IF(AND(vp.tbl[[#This Row],[CrudeType]]="Crude",vp.tbl[[#This Row],[Dens]]&gt;900,vp.tbl[[#This Row],[Sulf]]&lt;=0.5,vp.tbl[[#This Row],[Unknown]]=0),1,0)</f>
        <v>0</v>
      </c>
      <c r="AF424">
        <f>IF(AND(vp.tbl[[#This Row],[CrudeType]]="Crude",vp.tbl[[#This Row],[Dens]]&gt;900,vp.tbl[[#This Row],[Sulf]]&lt;=0.5,vp.tbl[[#This Row],[Unknown]]=0),1,0)</f>
        <v>0</v>
      </c>
      <c r="AG424" t="str">
        <f>INDEX(vp.tbl[[#Headers],[Unknown]:[Heavy_SW]],MATCH(1,vp.tbl[[#This Row],[Unknown]:[Heavy_SW]],0))</f>
        <v>Medium_LSB</v>
      </c>
      <c r="AH424" t="e">
        <f>INDEX([1]!crudeBD.lkup[Number],MATCH(vp.tbl[[#This Row],[Crude_Breakdown]],[1]!crudeBD.lkup[Crude Breakdown],0))</f>
        <v>#REF!</v>
      </c>
      <c r="AI424">
        <f>MONTH(vp.tbl[[#This Row],[SDate]])</f>
        <v>12</v>
      </c>
      <c r="AJ424" s="5">
        <f>IFERROR(vp.tbl[[#This Row],[Sulf]]*vp.tbl[[#This Row],[Net Dens]],"")</f>
        <v>4214871.5862330003</v>
      </c>
      <c r="AK424" s="5">
        <f>IFERROR(vp.tbl[[#This Row],[Dens]]*vp.tbl[[#This Row],[VolumeM3]],"")</f>
        <v>2585810.7891000002</v>
      </c>
      <c r="AL424" s="5">
        <f>IFERROR(vp.tbl[[#This Row],[VP]]*vp.tbl[[#This Row],[VolumeM3]],"")</f>
        <v>253395.1728</v>
      </c>
      <c r="AM424" s="4">
        <f>IFERROR((vp.tbl[[#This Row],[VP]]-INDEX(crudeBD.lkup.complete[Mean_VP],MATCH(vp.tbl[[#This Row],[Crude_Breakdown]],crudeBD.lkup.complete[Crude Breakdown],0)))^2,"")</f>
        <v>2.0346314045826879</v>
      </c>
      <c r="AN424" s="4">
        <f>IFERROR((vp.tbl[[#This Row],[Dens]]-INDEX(crudeBD.lkup.complete[Mean_Dens],MATCH(vp.tbl[[#This Row],[Crude_Breakdown]],crudeBD.lkup.complete[Crude Breakdown],0)))^2,"")</f>
        <v>158.55400104403751</v>
      </c>
      <c r="AO424" s="4">
        <f>IFERROR((vp.tbl[[#This Row],[Sulf]]-INDEX(crudeBD.lkup.complete[Mean_Sulf],MATCH(vp.tbl[[#This Row],[Crude_Breakdown]],crudeBD.lkup.complete[Crude Breakdown],0)))^2,"")</f>
        <v>3.0649553653689716E-2</v>
      </c>
      <c r="AP424">
        <f>IF(AND(vp.tbl[[#This Row],[SDate]]&gt;=DATE(YEAR(vp.tbl[[#This Row],[SDate]]),5,1),vp.tbl[[#This Row],[SDate]]&lt;=DATE(YEAR(vp.tbl[[#This Row],[SDate]]),9,15)),1,0)</f>
        <v>0</v>
      </c>
      <c r="AQ424" s="15">
        <f>IF(vp.tbl[[#This Row],[SDate]]&lt;DATE(2016,12,1),0,1)</f>
        <v>1</v>
      </c>
    </row>
    <row r="425" spans="1:43" x14ac:dyDescent="0.25">
      <c r="A425">
        <v>424</v>
      </c>
      <c r="B425" t="s">
        <v>56</v>
      </c>
      <c r="C425" t="s">
        <v>56</v>
      </c>
      <c r="D425" t="s">
        <v>94</v>
      </c>
      <c r="F425" s="1">
        <v>42719</v>
      </c>
      <c r="G425" s="2">
        <v>92.2</v>
      </c>
      <c r="H425" s="2"/>
      <c r="I425" s="2">
        <v>2.04</v>
      </c>
      <c r="J425" s="2"/>
      <c r="K425" s="2"/>
      <c r="L425" s="2">
        <v>861.5</v>
      </c>
      <c r="M425" s="2">
        <v>861.5</v>
      </c>
      <c r="N425" s="2">
        <f ca="1">INDEX(INDIRECT(_xlfn.CONCAT("weather.tbl[",N$1,"]")),MATCH(vp.tbl[[#This Row],[SDate]],weather.tbl[Date],0))</f>
        <v>-23.349999999999998</v>
      </c>
      <c r="O425" s="2">
        <f ca="1">INDEX(INDIRECT(_xlfn.CONCAT("weather.tbl[",O$1,"]")),MATCH(vp.tbl[[#This Row],[SDate]],weather.tbl[Date],0))</f>
        <v>-23.016666666666669</v>
      </c>
      <c r="P425" s="2">
        <f ca="1">INDEX(INDIRECT(_xlfn.CONCAT("weather.tbl[",P$1,"]")),MATCH(vp.tbl[[#This Row],[SDate]],weather.tbl[Date],0))</f>
        <v>-22.4</v>
      </c>
      <c r="Q425" s="2">
        <f ca="1">INDEX(INDIRECT(_xlfn.CONCAT("weather.tbl[",Q$1,"]")),MATCH(vp.tbl[[#This Row],[SDate]],weather.tbl[Date],0))</f>
        <v>-24.1</v>
      </c>
      <c r="R425" s="2">
        <f ca="1">INDEX(INDIRECT(_xlfn.CONCAT("weather.tbl[",R$1,"]")),MATCH(vp.tbl[[#This Row],[SDate]],weather.tbl[Date],0))</f>
        <v>-25.3</v>
      </c>
      <c r="S425" s="2">
        <f ca="1">INDEX(INDIRECT(_xlfn.CONCAT("weather.tbl[",S$1,"]")),MATCH(vp.tbl[[#This Row],[SDate]],weather.tbl[Date],0))</f>
        <v>-21.5</v>
      </c>
      <c r="T425" s="2">
        <f ca="1">INDEX(INDIRECT(_xlfn.CONCAT("weather.tbl[",T$1,"]")),MATCH(vp.tbl[[#This Row],[SDate]],weather.tbl[Date],0))</f>
        <v>-24.5</v>
      </c>
      <c r="U425" s="2">
        <f ca="1">INDEX(INDIRECT(_xlfn.CONCAT("weather.tbl[",U$1,"]")),MATCH(vp.tbl[[#This Row],[SDate]],weather.tbl[Date],0))</f>
        <v>-22.3</v>
      </c>
      <c r="V425" s="2">
        <v>3726.9639999999999</v>
      </c>
      <c r="W425" t="s">
        <v>48</v>
      </c>
      <c r="X425">
        <f>IF(OR(vp.tbl[[#This Row],[Sulf]]="",vp.tbl[[#This Row],[Dens]]=""),1,0)</f>
        <v>0</v>
      </c>
      <c r="Y425">
        <f>IF(vp.tbl[[#This Row],[CrudeType]]="C5+",1,0)</f>
        <v>0</v>
      </c>
      <c r="Z425">
        <f>IF(AND(vp.tbl[[#This Row],[CrudeType]]="Crude",vp.tbl[[#This Row],[Dens]]&lt;=825,vp.tbl[[#This Row],[Sulf]]&gt;0.5,vp.tbl[[#This Row],[Unknown]]=0),1,0)</f>
        <v>0</v>
      </c>
      <c r="AA425">
        <f>IF(AND(vp.tbl[[#This Row],[CrudeType]]="Crude",vp.tbl[[#This Row],[Dens]]&lt;=825,vp.tbl[[#This Row],[Sulf]]&lt;=0.5,vp.tbl[[#This Row],[Unknown]]=0),1,0)</f>
        <v>0</v>
      </c>
      <c r="AB425">
        <f>IF(AND(vp.tbl[[#This Row],[CrudeType]]="Crude",vp.tbl[[#This Row],[Dens]]&gt;825,vp.tbl[[#This Row],[Dens]]&lt;=870,vp.tbl[[#This Row],[Sulf]]&gt;0.5,vp.tbl[[#This Row],[Unknown]]=0),1,0)</f>
        <v>1</v>
      </c>
      <c r="AC425">
        <f>IF(AND(vp.tbl[[#This Row],[CrudeType]]="Crude",vp.tbl[[#This Row],[Dens]]&gt;825,vp.tbl[[#This Row],[Dens]]&lt;=900,vp.tbl[[#This Row],[Sulf]]&lt;=0.5,vp.tbl[[#This Row],[Unknown]]=0),1,0)</f>
        <v>0</v>
      </c>
      <c r="AD425">
        <f>IF(AND(vp.tbl[[#This Row],[CrudeType]]="Crude",vp.tbl[[#This Row],[Dens]]&gt;870,vp.tbl[[#This Row],[Dens]]&lt;=900,vp.tbl[[#This Row],[Sulf]]&gt;0.5,vp.tbl[[#This Row],[Unknown]]=0),1,0)</f>
        <v>0</v>
      </c>
      <c r="AE425">
        <f>IF(AND(vp.tbl[[#This Row],[CrudeType]]="Crude",vp.tbl[[#This Row],[Dens]]&gt;900,vp.tbl[[#This Row],[Sulf]]&lt;=0.5,vp.tbl[[#This Row],[Unknown]]=0),1,0)</f>
        <v>0</v>
      </c>
      <c r="AF425">
        <f>IF(AND(vp.tbl[[#This Row],[CrudeType]]="Crude",vp.tbl[[#This Row],[Dens]]&gt;900,vp.tbl[[#This Row],[Sulf]]&lt;=0.5,vp.tbl[[#This Row],[Unknown]]=0),1,0)</f>
        <v>0</v>
      </c>
      <c r="AG425" t="str">
        <f>INDEX(vp.tbl[[#Headers],[Unknown]:[Heavy_SW]],MATCH(1,vp.tbl[[#This Row],[Unknown]:[Heavy_SW]],0))</f>
        <v>Medium_LSB</v>
      </c>
      <c r="AH425" t="e">
        <f>INDEX([1]!crudeBD.lkup[Number],MATCH(vp.tbl[[#This Row],[Crude_Breakdown]],[1]!crudeBD.lkup[Crude Breakdown],0))</f>
        <v>#REF!</v>
      </c>
      <c r="AI425">
        <f>MONTH(vp.tbl[[#This Row],[SDate]])</f>
        <v>12</v>
      </c>
      <c r="AJ425" s="5">
        <f>IFERROR(vp.tbl[[#This Row],[Sulf]]*vp.tbl[[#This Row],[Net Dens]],"")</f>
        <v>6549990.1514400002</v>
      </c>
      <c r="AK425" s="5">
        <f>IFERROR(vp.tbl[[#This Row],[Dens]]*vp.tbl[[#This Row],[VolumeM3]],"")</f>
        <v>3210779.486</v>
      </c>
      <c r="AL425" s="5">
        <f>IFERROR(vp.tbl[[#This Row],[VP]]*vp.tbl[[#This Row],[VolumeM3]],"")</f>
        <v>343626.0808</v>
      </c>
      <c r="AM425" s="4">
        <f>IFERROR((vp.tbl[[#This Row],[VP]]-INDEX(crudeBD.lkup.complete[Mean_VP],MATCH(vp.tbl[[#This Row],[Crude_Breakdown]],crudeBD.lkup.complete[Crude Breakdown],0)))^2,"")</f>
        <v>144.63441874635572</v>
      </c>
      <c r="AN425" s="4">
        <f>IFERROR((vp.tbl[[#This Row],[Dens]]-INDEX(crudeBD.lkup.complete[Mean_Dens],MATCH(vp.tbl[[#This Row],[Crude_Breakdown]],crudeBD.lkup.complete[Crude Breakdown],0)))^2,"")</f>
        <v>262.70500863903209</v>
      </c>
      <c r="AO425" s="4">
        <f>IFERROR((vp.tbl[[#This Row],[Sulf]]-INDEX(crudeBD.lkup.complete[Mean_Sulf],MATCH(vp.tbl[[#This Row],[Crude_Breakdown]],crudeBD.lkup.complete[Crude Breakdown],0)))^2,"")</f>
        <v>0.34230706783090376</v>
      </c>
      <c r="AP425">
        <f>IF(AND(vp.tbl[[#This Row],[SDate]]&gt;=DATE(YEAR(vp.tbl[[#This Row],[SDate]]),5,1),vp.tbl[[#This Row],[SDate]]&lt;=DATE(YEAR(vp.tbl[[#This Row],[SDate]]),9,15)),1,0)</f>
        <v>0</v>
      </c>
      <c r="AQ425" s="15">
        <f>IF(vp.tbl[[#This Row],[SDate]]&lt;DATE(2016,12,1),0,1)</f>
        <v>1</v>
      </c>
    </row>
    <row r="426" spans="1:43" x14ac:dyDescent="0.25">
      <c r="A426">
        <v>425</v>
      </c>
      <c r="B426" t="s">
        <v>49</v>
      </c>
      <c r="C426" t="s">
        <v>49</v>
      </c>
      <c r="D426" t="s">
        <v>80</v>
      </c>
      <c r="F426" s="1">
        <v>42720</v>
      </c>
      <c r="G426" s="2">
        <v>102.1</v>
      </c>
      <c r="H426" s="2"/>
      <c r="I426" s="2">
        <v>0.37</v>
      </c>
      <c r="J426" s="2"/>
      <c r="K426" s="2"/>
      <c r="L426" s="2">
        <v>803.5</v>
      </c>
      <c r="M426" s="2">
        <v>803.5</v>
      </c>
      <c r="N426" s="2">
        <f ca="1">INDEX(INDIRECT(_xlfn.CONCAT("weather.tbl[",N$1,"]")),MATCH(vp.tbl[[#This Row],[SDate]],weather.tbl[Date],0))</f>
        <v>-24.566666666666666</v>
      </c>
      <c r="O426" s="2">
        <f ca="1">INDEX(INDIRECT(_xlfn.CONCAT("weather.tbl[",O$1,"]")),MATCH(vp.tbl[[#This Row],[SDate]],weather.tbl[Date],0))</f>
        <v>-22.690476190476193</v>
      </c>
      <c r="P426" s="2">
        <f ca="1">INDEX(INDIRECT(_xlfn.CONCAT("weather.tbl[",P$1,"]")),MATCH(vp.tbl[[#This Row],[SDate]],weather.tbl[Date],0))</f>
        <v>-24.6</v>
      </c>
      <c r="Q426" s="2">
        <f ca="1">INDEX(INDIRECT(_xlfn.CONCAT("weather.tbl[",Q$1,"]")),MATCH(vp.tbl[[#This Row],[SDate]],weather.tbl[Date],0))</f>
        <v>-25.7</v>
      </c>
      <c r="R426" s="2">
        <f ca="1">INDEX(INDIRECT(_xlfn.CONCAT("weather.tbl[",R$1,"]")),MATCH(vp.tbl[[#This Row],[SDate]],weather.tbl[Date],0))</f>
        <v>-24.3</v>
      </c>
      <c r="S426" s="2">
        <f ca="1">INDEX(INDIRECT(_xlfn.CONCAT("weather.tbl[",S$1,"]")),MATCH(vp.tbl[[#This Row],[SDate]],weather.tbl[Date],0))</f>
        <v>-23.5</v>
      </c>
      <c r="T426" s="2">
        <f ca="1">INDEX(INDIRECT(_xlfn.CONCAT("weather.tbl[",T$1,"]")),MATCH(vp.tbl[[#This Row],[SDate]],weather.tbl[Date],0))</f>
        <v>-24</v>
      </c>
      <c r="U426" s="2">
        <f ca="1">INDEX(INDIRECT(_xlfn.CONCAT("weather.tbl[",U$1,"]")),MATCH(vp.tbl[[#This Row],[SDate]],weather.tbl[Date],0))</f>
        <v>-25.3</v>
      </c>
      <c r="V426" s="2">
        <v>22011.311000000002</v>
      </c>
      <c r="W426" t="s">
        <v>48</v>
      </c>
      <c r="X426">
        <f>IF(OR(vp.tbl[[#This Row],[Sulf]]="",vp.tbl[[#This Row],[Dens]]=""),1,0)</f>
        <v>0</v>
      </c>
      <c r="Y426">
        <f>IF(vp.tbl[[#This Row],[CrudeType]]="C5+",1,0)</f>
        <v>0</v>
      </c>
      <c r="Z426">
        <f>IF(AND(vp.tbl[[#This Row],[CrudeType]]="Crude",vp.tbl[[#This Row],[Dens]]&lt;=825,vp.tbl[[#This Row],[Sulf]]&gt;0.5,vp.tbl[[#This Row],[Unknown]]=0),1,0)</f>
        <v>0</v>
      </c>
      <c r="AA426">
        <f>IF(AND(vp.tbl[[#This Row],[CrudeType]]="Crude",vp.tbl[[#This Row],[Dens]]&lt;=825,vp.tbl[[#This Row],[Sulf]]&lt;=0.5,vp.tbl[[#This Row],[Unknown]]=0),1,0)</f>
        <v>1</v>
      </c>
      <c r="AB426">
        <f>IF(AND(vp.tbl[[#This Row],[CrudeType]]="Crude",vp.tbl[[#This Row],[Dens]]&gt;825,vp.tbl[[#This Row],[Dens]]&lt;=870,vp.tbl[[#This Row],[Sulf]]&gt;0.5,vp.tbl[[#This Row],[Unknown]]=0),1,0)</f>
        <v>0</v>
      </c>
      <c r="AC426">
        <f>IF(AND(vp.tbl[[#This Row],[CrudeType]]="Crude",vp.tbl[[#This Row],[Dens]]&gt;825,vp.tbl[[#This Row],[Dens]]&lt;=900,vp.tbl[[#This Row],[Sulf]]&lt;=0.5,vp.tbl[[#This Row],[Unknown]]=0),1,0)</f>
        <v>0</v>
      </c>
      <c r="AD426">
        <f>IF(AND(vp.tbl[[#This Row],[CrudeType]]="Crude",vp.tbl[[#This Row],[Dens]]&gt;870,vp.tbl[[#This Row],[Dens]]&lt;=900,vp.tbl[[#This Row],[Sulf]]&gt;0.5,vp.tbl[[#This Row],[Unknown]]=0),1,0)</f>
        <v>0</v>
      </c>
      <c r="AE426">
        <f>IF(AND(vp.tbl[[#This Row],[CrudeType]]="Crude",vp.tbl[[#This Row],[Dens]]&gt;900,vp.tbl[[#This Row],[Sulf]]&lt;=0.5,vp.tbl[[#This Row],[Unknown]]=0),1,0)</f>
        <v>0</v>
      </c>
      <c r="AF426">
        <f>IF(AND(vp.tbl[[#This Row],[CrudeType]]="Crude",vp.tbl[[#This Row],[Dens]]&gt;900,vp.tbl[[#This Row],[Sulf]]&lt;=0.5,vp.tbl[[#This Row],[Unknown]]=0),1,0)</f>
        <v>0</v>
      </c>
      <c r="AG426" t="str">
        <f>INDEX(vp.tbl[[#Headers],[Unknown]:[Heavy_SW]],MATCH(1,vp.tbl[[#This Row],[Unknown]:[Heavy_SW]],0))</f>
        <v>Light_SW</v>
      </c>
      <c r="AH426" t="e">
        <f>INDEX([1]!crudeBD.lkup[Number],MATCH(vp.tbl[[#This Row],[Crude_Breakdown]],[1]!crudeBD.lkup[Crude Breakdown],0))</f>
        <v>#REF!</v>
      </c>
      <c r="AI426">
        <f>MONTH(vp.tbl[[#This Row],[SDate]])</f>
        <v>12</v>
      </c>
      <c r="AJ426" s="5">
        <f>IFERROR(vp.tbl[[#This Row],[Sulf]]*vp.tbl[[#This Row],[Net Dens]],"")</f>
        <v>6543852.7037450001</v>
      </c>
      <c r="AK426" s="5">
        <f>IFERROR(vp.tbl[[#This Row],[Dens]]*vp.tbl[[#This Row],[VolumeM3]],"")</f>
        <v>17686088.388500001</v>
      </c>
      <c r="AL426" s="5">
        <f>IFERROR(vp.tbl[[#This Row],[VP]]*vp.tbl[[#This Row],[VolumeM3]],"")</f>
        <v>2247354.8530999999</v>
      </c>
      <c r="AM426" s="4">
        <f>IFERROR((vp.tbl[[#This Row],[VP]]-INDEX(crudeBD.lkup.complete[Mean_VP],MATCH(vp.tbl[[#This Row],[Crude_Breakdown]],crudeBD.lkup.complete[Crude Breakdown],0)))^2,"")</f>
        <v>91.196510551300094</v>
      </c>
      <c r="AN426" s="4">
        <f>IFERROR((vp.tbl[[#This Row],[Dens]]-INDEX(crudeBD.lkup.complete[Mean_Dens],MATCH(vp.tbl[[#This Row],[Crude_Breakdown]],crudeBD.lkup.complete[Crude Breakdown],0)))^2,"")</f>
        <v>23.150515485192571</v>
      </c>
      <c r="AO426" s="4">
        <f>IFERROR((vp.tbl[[#This Row],[Sulf]]-INDEX(crudeBD.lkup.complete[Mean_Sulf],MATCH(vp.tbl[[#This Row],[Crude_Breakdown]],crudeBD.lkup.complete[Crude Breakdown],0)))^2,"")</f>
        <v>1.7891252898056348E-2</v>
      </c>
      <c r="AP426">
        <f>IF(AND(vp.tbl[[#This Row],[SDate]]&gt;=DATE(YEAR(vp.tbl[[#This Row],[SDate]]),5,1),vp.tbl[[#This Row],[SDate]]&lt;=DATE(YEAR(vp.tbl[[#This Row],[SDate]]),9,15)),1,0)</f>
        <v>0</v>
      </c>
      <c r="AQ426" s="15">
        <f>IF(vp.tbl[[#This Row],[SDate]]&lt;DATE(2016,12,1),0,1)</f>
        <v>1</v>
      </c>
    </row>
    <row r="427" spans="1:43" x14ac:dyDescent="0.25">
      <c r="A427">
        <v>426</v>
      </c>
      <c r="B427" t="s">
        <v>49</v>
      </c>
      <c r="C427" t="s">
        <v>49</v>
      </c>
      <c r="D427" t="s">
        <v>78</v>
      </c>
      <c r="F427" s="1">
        <v>42720</v>
      </c>
      <c r="G427" s="2">
        <v>84.2</v>
      </c>
      <c r="H427" s="2"/>
      <c r="I427" s="2">
        <v>0.14000000000000001</v>
      </c>
      <c r="J427" s="2"/>
      <c r="K427" s="2"/>
      <c r="L427" s="2">
        <v>808.4</v>
      </c>
      <c r="M427" s="2">
        <v>808.4</v>
      </c>
      <c r="N427" s="2">
        <f ca="1">INDEX(INDIRECT(_xlfn.CONCAT("weather.tbl[",N$1,"]")),MATCH(vp.tbl[[#This Row],[SDate]],weather.tbl[Date],0))</f>
        <v>-24.566666666666666</v>
      </c>
      <c r="O427" s="2">
        <f ca="1">INDEX(INDIRECT(_xlfn.CONCAT("weather.tbl[",O$1,"]")),MATCH(vp.tbl[[#This Row],[SDate]],weather.tbl[Date],0))</f>
        <v>-22.690476190476193</v>
      </c>
      <c r="P427" s="2">
        <f ca="1">INDEX(INDIRECT(_xlfn.CONCAT("weather.tbl[",P$1,"]")),MATCH(vp.tbl[[#This Row],[SDate]],weather.tbl[Date],0))</f>
        <v>-24.6</v>
      </c>
      <c r="Q427" s="2">
        <f ca="1">INDEX(INDIRECT(_xlfn.CONCAT("weather.tbl[",Q$1,"]")),MATCH(vp.tbl[[#This Row],[SDate]],weather.tbl[Date],0))</f>
        <v>-25.7</v>
      </c>
      <c r="R427" s="2">
        <f ca="1">INDEX(INDIRECT(_xlfn.CONCAT("weather.tbl[",R$1,"]")),MATCH(vp.tbl[[#This Row],[SDate]],weather.tbl[Date],0))</f>
        <v>-24.3</v>
      </c>
      <c r="S427" s="2">
        <f ca="1">INDEX(INDIRECT(_xlfn.CONCAT("weather.tbl[",S$1,"]")),MATCH(vp.tbl[[#This Row],[SDate]],weather.tbl[Date],0))</f>
        <v>-23.5</v>
      </c>
      <c r="T427" s="2">
        <f ca="1">INDEX(INDIRECT(_xlfn.CONCAT("weather.tbl[",T$1,"]")),MATCH(vp.tbl[[#This Row],[SDate]],weather.tbl[Date],0))</f>
        <v>-24</v>
      </c>
      <c r="U427" s="2">
        <f ca="1">INDEX(INDIRECT(_xlfn.CONCAT("weather.tbl[",U$1,"]")),MATCH(vp.tbl[[#This Row],[SDate]],weather.tbl[Date],0))</f>
        <v>-25.3</v>
      </c>
      <c r="V427" s="2">
        <v>15481.353999999999</v>
      </c>
      <c r="W427" t="s">
        <v>48</v>
      </c>
      <c r="X427">
        <f>IF(OR(vp.tbl[[#This Row],[Sulf]]="",vp.tbl[[#This Row],[Dens]]=""),1,0)</f>
        <v>0</v>
      </c>
      <c r="Y427">
        <f>IF(vp.tbl[[#This Row],[CrudeType]]="C5+",1,0)</f>
        <v>0</v>
      </c>
      <c r="Z427">
        <f>IF(AND(vp.tbl[[#This Row],[CrudeType]]="Crude",vp.tbl[[#This Row],[Dens]]&lt;=825,vp.tbl[[#This Row],[Sulf]]&gt;0.5,vp.tbl[[#This Row],[Unknown]]=0),1,0)</f>
        <v>0</v>
      </c>
      <c r="AA427">
        <f>IF(AND(vp.tbl[[#This Row],[CrudeType]]="Crude",vp.tbl[[#This Row],[Dens]]&lt;=825,vp.tbl[[#This Row],[Sulf]]&lt;=0.5,vp.tbl[[#This Row],[Unknown]]=0),1,0)</f>
        <v>1</v>
      </c>
      <c r="AB427">
        <f>IF(AND(vp.tbl[[#This Row],[CrudeType]]="Crude",vp.tbl[[#This Row],[Dens]]&gt;825,vp.tbl[[#This Row],[Dens]]&lt;=870,vp.tbl[[#This Row],[Sulf]]&gt;0.5,vp.tbl[[#This Row],[Unknown]]=0),1,0)</f>
        <v>0</v>
      </c>
      <c r="AC427">
        <f>IF(AND(vp.tbl[[#This Row],[CrudeType]]="Crude",vp.tbl[[#This Row],[Dens]]&gt;825,vp.tbl[[#This Row],[Dens]]&lt;=900,vp.tbl[[#This Row],[Sulf]]&lt;=0.5,vp.tbl[[#This Row],[Unknown]]=0),1,0)</f>
        <v>0</v>
      </c>
      <c r="AD427">
        <f>IF(AND(vp.tbl[[#This Row],[CrudeType]]="Crude",vp.tbl[[#This Row],[Dens]]&gt;870,vp.tbl[[#This Row],[Dens]]&lt;=900,vp.tbl[[#This Row],[Sulf]]&gt;0.5,vp.tbl[[#This Row],[Unknown]]=0),1,0)</f>
        <v>0</v>
      </c>
      <c r="AE427">
        <f>IF(AND(vp.tbl[[#This Row],[CrudeType]]="Crude",vp.tbl[[#This Row],[Dens]]&gt;900,vp.tbl[[#This Row],[Sulf]]&lt;=0.5,vp.tbl[[#This Row],[Unknown]]=0),1,0)</f>
        <v>0</v>
      </c>
      <c r="AF427">
        <f>IF(AND(vp.tbl[[#This Row],[CrudeType]]="Crude",vp.tbl[[#This Row],[Dens]]&gt;900,vp.tbl[[#This Row],[Sulf]]&lt;=0.5,vp.tbl[[#This Row],[Unknown]]=0),1,0)</f>
        <v>0</v>
      </c>
      <c r="AG427" t="str">
        <f>INDEX(vp.tbl[[#Headers],[Unknown]:[Heavy_SW]],MATCH(1,vp.tbl[[#This Row],[Unknown]:[Heavy_SW]],0))</f>
        <v>Light_SW</v>
      </c>
      <c r="AH427" t="e">
        <f>INDEX([1]!crudeBD.lkup[Number],MATCH(vp.tbl[[#This Row],[Crude_Breakdown]],[1]!crudeBD.lkup[Crude Breakdown],0))</f>
        <v>#REF!</v>
      </c>
      <c r="AI427">
        <f>MONTH(vp.tbl[[#This Row],[SDate]])</f>
        <v>12</v>
      </c>
      <c r="AJ427" s="5">
        <f>IFERROR(vp.tbl[[#This Row],[Sulf]]*vp.tbl[[#This Row],[Net Dens]],"")</f>
        <v>1752117.7203040002</v>
      </c>
      <c r="AK427" s="5">
        <f>IFERROR(vp.tbl[[#This Row],[Dens]]*vp.tbl[[#This Row],[VolumeM3]],"")</f>
        <v>12515126.5736</v>
      </c>
      <c r="AL427" s="5">
        <f>IFERROR(vp.tbl[[#This Row],[VP]]*vp.tbl[[#This Row],[VolumeM3]],"")</f>
        <v>1303530.0068000001</v>
      </c>
      <c r="AM427" s="4">
        <f>IFERROR((vp.tbl[[#This Row],[VP]]-INDEX(crudeBD.lkup.complete[Mean_VP],MATCH(vp.tbl[[#This Row],[Crude_Breakdown]],crudeBD.lkup.complete[Crude Breakdown],0)))^2,"")</f>
        <v>69.727737032135337</v>
      </c>
      <c r="AN427" s="4">
        <f>IFERROR((vp.tbl[[#This Row],[Dens]]-INDEX(crudeBD.lkup.complete[Mean_Dens],MATCH(vp.tbl[[#This Row],[Crude_Breakdown]],crudeBD.lkup.complete[Crude Breakdown],0)))^2,"")</f>
        <v>7.8325583654390834E-3</v>
      </c>
      <c r="AO427" s="4">
        <f>IFERROR((vp.tbl[[#This Row],[Sulf]]-INDEX(crudeBD.lkup.complete[Mean_Sulf],MATCH(vp.tbl[[#This Row],[Crude_Breakdown]],crudeBD.lkup.complete[Crude Breakdown],0)))^2,"")</f>
        <v>9.2624863475336272E-3</v>
      </c>
      <c r="AP427">
        <f>IF(AND(vp.tbl[[#This Row],[SDate]]&gt;=DATE(YEAR(vp.tbl[[#This Row],[SDate]]),5,1),vp.tbl[[#This Row],[SDate]]&lt;=DATE(YEAR(vp.tbl[[#This Row],[SDate]]),9,15)),1,0)</f>
        <v>0</v>
      </c>
      <c r="AQ427" s="15">
        <f>IF(vp.tbl[[#This Row],[SDate]]&lt;DATE(2016,12,1),0,1)</f>
        <v>1</v>
      </c>
    </row>
    <row r="428" spans="1:43" x14ac:dyDescent="0.25">
      <c r="A428">
        <v>427</v>
      </c>
      <c r="B428" t="s">
        <v>62</v>
      </c>
      <c r="C428" t="s">
        <v>62</v>
      </c>
      <c r="D428" t="s">
        <v>63</v>
      </c>
      <c r="F428" s="1">
        <v>42720</v>
      </c>
      <c r="G428" s="2">
        <v>130.19999999999999</v>
      </c>
      <c r="H428" s="2"/>
      <c r="I428" s="2">
        <v>1.52</v>
      </c>
      <c r="J428" s="2"/>
      <c r="K428" s="2"/>
      <c r="L428" s="2">
        <v>817</v>
      </c>
      <c r="M428" s="2">
        <v>817</v>
      </c>
      <c r="N428" s="2">
        <f ca="1">INDEX(INDIRECT(_xlfn.CONCAT("weather.tbl[",N$1,"]")),MATCH(vp.tbl[[#This Row],[SDate]],weather.tbl[Date],0))</f>
        <v>-24.566666666666666</v>
      </c>
      <c r="O428" s="2">
        <f ca="1">INDEX(INDIRECT(_xlfn.CONCAT("weather.tbl[",O$1,"]")),MATCH(vp.tbl[[#This Row],[SDate]],weather.tbl[Date],0))</f>
        <v>-22.690476190476193</v>
      </c>
      <c r="P428" s="2">
        <f ca="1">INDEX(INDIRECT(_xlfn.CONCAT("weather.tbl[",P$1,"]")),MATCH(vp.tbl[[#This Row],[SDate]],weather.tbl[Date],0))</f>
        <v>-24.6</v>
      </c>
      <c r="Q428" s="2">
        <f ca="1">INDEX(INDIRECT(_xlfn.CONCAT("weather.tbl[",Q$1,"]")),MATCH(vp.tbl[[#This Row],[SDate]],weather.tbl[Date],0))</f>
        <v>-25.7</v>
      </c>
      <c r="R428" s="2">
        <f ca="1">INDEX(INDIRECT(_xlfn.CONCAT("weather.tbl[",R$1,"]")),MATCH(vp.tbl[[#This Row],[SDate]],weather.tbl[Date],0))</f>
        <v>-24.3</v>
      </c>
      <c r="S428" s="2">
        <f ca="1">INDEX(INDIRECT(_xlfn.CONCAT("weather.tbl[",S$1,"]")),MATCH(vp.tbl[[#This Row],[SDate]],weather.tbl[Date],0))</f>
        <v>-23.5</v>
      </c>
      <c r="T428" s="2">
        <f ca="1">INDEX(INDIRECT(_xlfn.CONCAT("weather.tbl[",T$1,"]")),MATCH(vp.tbl[[#This Row],[SDate]],weather.tbl[Date],0))</f>
        <v>-24</v>
      </c>
      <c r="U428" s="2">
        <f ca="1">INDEX(INDIRECT(_xlfn.CONCAT("weather.tbl[",U$1,"]")),MATCH(vp.tbl[[#This Row],[SDate]],weather.tbl[Date],0))</f>
        <v>-25.3</v>
      </c>
      <c r="V428" s="2">
        <v>5268.48</v>
      </c>
      <c r="W428" t="s">
        <v>48</v>
      </c>
      <c r="X428">
        <f>IF(OR(vp.tbl[[#This Row],[Sulf]]="",vp.tbl[[#This Row],[Dens]]=""),1,0)</f>
        <v>0</v>
      </c>
      <c r="Y428">
        <f>IF(vp.tbl[[#This Row],[CrudeType]]="C5+",1,0)</f>
        <v>0</v>
      </c>
      <c r="Z428">
        <f>IF(AND(vp.tbl[[#This Row],[CrudeType]]="Crude",vp.tbl[[#This Row],[Dens]]&lt;=825,vp.tbl[[#This Row],[Sulf]]&gt;0.5,vp.tbl[[#This Row],[Unknown]]=0),1,0)</f>
        <v>1</v>
      </c>
      <c r="AA428">
        <f>IF(AND(vp.tbl[[#This Row],[CrudeType]]="Crude",vp.tbl[[#This Row],[Dens]]&lt;=825,vp.tbl[[#This Row],[Sulf]]&lt;=0.5,vp.tbl[[#This Row],[Unknown]]=0),1,0)</f>
        <v>0</v>
      </c>
      <c r="AB428">
        <f>IF(AND(vp.tbl[[#This Row],[CrudeType]]="Crude",vp.tbl[[#This Row],[Dens]]&gt;825,vp.tbl[[#This Row],[Dens]]&lt;=870,vp.tbl[[#This Row],[Sulf]]&gt;0.5,vp.tbl[[#This Row],[Unknown]]=0),1,0)</f>
        <v>0</v>
      </c>
      <c r="AC428">
        <f>IF(AND(vp.tbl[[#This Row],[CrudeType]]="Crude",vp.tbl[[#This Row],[Dens]]&gt;825,vp.tbl[[#This Row],[Dens]]&lt;=900,vp.tbl[[#This Row],[Sulf]]&lt;=0.5,vp.tbl[[#This Row],[Unknown]]=0),1,0)</f>
        <v>0</v>
      </c>
      <c r="AD428">
        <f>IF(AND(vp.tbl[[#This Row],[CrudeType]]="Crude",vp.tbl[[#This Row],[Dens]]&gt;870,vp.tbl[[#This Row],[Dens]]&lt;=900,vp.tbl[[#This Row],[Sulf]]&gt;0.5,vp.tbl[[#This Row],[Unknown]]=0),1,0)</f>
        <v>0</v>
      </c>
      <c r="AE428">
        <f>IF(AND(vp.tbl[[#This Row],[CrudeType]]="Crude",vp.tbl[[#This Row],[Dens]]&gt;900,vp.tbl[[#This Row],[Sulf]]&lt;=0.5,vp.tbl[[#This Row],[Unknown]]=0),1,0)</f>
        <v>0</v>
      </c>
      <c r="AF428">
        <f>IF(AND(vp.tbl[[#This Row],[CrudeType]]="Crude",vp.tbl[[#This Row],[Dens]]&gt;900,vp.tbl[[#This Row],[Sulf]]&lt;=0.5,vp.tbl[[#This Row],[Unknown]]=0),1,0)</f>
        <v>0</v>
      </c>
      <c r="AG428" t="str">
        <f>INDEX(vp.tbl[[#Headers],[Unknown]:[Heavy_SW]],MATCH(1,vp.tbl[[#This Row],[Unknown]:[Heavy_SW]],0))</f>
        <v>Light_LSB</v>
      </c>
      <c r="AH428" t="e">
        <f>INDEX([1]!crudeBD.lkup[Number],MATCH(vp.tbl[[#This Row],[Crude_Breakdown]],[1]!crudeBD.lkup[Crude Breakdown],0))</f>
        <v>#REF!</v>
      </c>
      <c r="AI428">
        <f>MONTH(vp.tbl[[#This Row],[SDate]])</f>
        <v>12</v>
      </c>
      <c r="AJ428" s="5">
        <f>IFERROR(vp.tbl[[#This Row],[Sulf]]*vp.tbl[[#This Row],[Net Dens]],"")</f>
        <v>6542609.2031999985</v>
      </c>
      <c r="AK428" s="5">
        <f>IFERROR(vp.tbl[[#This Row],[Dens]]*vp.tbl[[#This Row],[VolumeM3]],"")</f>
        <v>4304348.1599999992</v>
      </c>
      <c r="AL428" s="5">
        <f>IFERROR(vp.tbl[[#This Row],[VP]]*vp.tbl[[#This Row],[VolumeM3]],"")</f>
        <v>685956.0959999999</v>
      </c>
      <c r="AM428" s="4">
        <f>IFERROR((vp.tbl[[#This Row],[VP]]-INDEX(crudeBD.lkup.complete[Mean_VP],MATCH(vp.tbl[[#This Row],[Crude_Breakdown]],crudeBD.lkup.complete[Crude Breakdown],0)))^2,"")</f>
        <v>1494.1173702199987</v>
      </c>
      <c r="AN428" s="4">
        <f>IFERROR((vp.tbl[[#This Row],[Dens]]-INDEX(crudeBD.lkup.complete[Mean_Dens],MATCH(vp.tbl[[#This Row],[Crude_Breakdown]],crudeBD.lkup.complete[Crude Breakdown],0)))^2,"")</f>
        <v>2.3005905031815792</v>
      </c>
      <c r="AO428" s="4">
        <f>IFERROR((vp.tbl[[#This Row],[Sulf]]-INDEX(crudeBD.lkup.complete[Mean_Sulf],MATCH(vp.tbl[[#This Row],[Crude_Breakdown]],crudeBD.lkup.complete[Crude Breakdown],0)))^2,"")</f>
        <v>0.35644342577971594</v>
      </c>
      <c r="AP428">
        <f>IF(AND(vp.tbl[[#This Row],[SDate]]&gt;=DATE(YEAR(vp.tbl[[#This Row],[SDate]]),5,1),vp.tbl[[#This Row],[SDate]]&lt;=DATE(YEAR(vp.tbl[[#This Row],[SDate]]),9,15)),1,0)</f>
        <v>0</v>
      </c>
      <c r="AQ428" s="15">
        <f>IF(vp.tbl[[#This Row],[SDate]]&lt;DATE(2016,12,1),0,1)</f>
        <v>1</v>
      </c>
    </row>
    <row r="429" spans="1:43" x14ac:dyDescent="0.25">
      <c r="A429">
        <v>428</v>
      </c>
      <c r="B429" t="s">
        <v>51</v>
      </c>
      <c r="C429" t="s">
        <v>51</v>
      </c>
      <c r="D429" t="s">
        <v>66</v>
      </c>
      <c r="F429" s="1">
        <v>42720</v>
      </c>
      <c r="G429" s="2">
        <v>109</v>
      </c>
      <c r="H429" s="2"/>
      <c r="I429" s="2">
        <v>1.66</v>
      </c>
      <c r="J429" s="2"/>
      <c r="K429" s="2"/>
      <c r="L429" s="2">
        <v>825.3</v>
      </c>
      <c r="M429" s="2">
        <v>825.3</v>
      </c>
      <c r="N429" s="2">
        <f ca="1">INDEX(INDIRECT(_xlfn.CONCAT("weather.tbl[",N$1,"]")),MATCH(vp.tbl[[#This Row],[SDate]],weather.tbl[Date],0))</f>
        <v>-24.566666666666666</v>
      </c>
      <c r="O429" s="2">
        <f ca="1">INDEX(INDIRECT(_xlfn.CONCAT("weather.tbl[",O$1,"]")),MATCH(vp.tbl[[#This Row],[SDate]],weather.tbl[Date],0))</f>
        <v>-22.690476190476193</v>
      </c>
      <c r="P429" s="2">
        <f ca="1">INDEX(INDIRECT(_xlfn.CONCAT("weather.tbl[",P$1,"]")),MATCH(vp.tbl[[#This Row],[SDate]],weather.tbl[Date],0))</f>
        <v>-24.6</v>
      </c>
      <c r="Q429" s="2">
        <f ca="1">INDEX(INDIRECT(_xlfn.CONCAT("weather.tbl[",Q$1,"]")),MATCH(vp.tbl[[#This Row],[SDate]],weather.tbl[Date],0))</f>
        <v>-25.7</v>
      </c>
      <c r="R429" s="2">
        <f ca="1">INDEX(INDIRECT(_xlfn.CONCAT("weather.tbl[",R$1,"]")),MATCH(vp.tbl[[#This Row],[SDate]],weather.tbl[Date],0))</f>
        <v>-24.3</v>
      </c>
      <c r="S429" s="2">
        <f ca="1">INDEX(INDIRECT(_xlfn.CONCAT("weather.tbl[",S$1,"]")),MATCH(vp.tbl[[#This Row],[SDate]],weather.tbl[Date],0))</f>
        <v>-23.5</v>
      </c>
      <c r="T429" s="2">
        <f ca="1">INDEX(INDIRECT(_xlfn.CONCAT("weather.tbl[",T$1,"]")),MATCH(vp.tbl[[#This Row],[SDate]],weather.tbl[Date],0))</f>
        <v>-24</v>
      </c>
      <c r="U429" s="2">
        <f ca="1">INDEX(INDIRECT(_xlfn.CONCAT("weather.tbl[",U$1,"]")),MATCH(vp.tbl[[#This Row],[SDate]],weather.tbl[Date],0))</f>
        <v>-25.3</v>
      </c>
      <c r="V429" s="2">
        <v>4410.2439999999997</v>
      </c>
      <c r="W429" t="s">
        <v>48</v>
      </c>
      <c r="X429">
        <f>IF(OR(vp.tbl[[#This Row],[Sulf]]="",vp.tbl[[#This Row],[Dens]]=""),1,0)</f>
        <v>0</v>
      </c>
      <c r="Y429">
        <f>IF(vp.tbl[[#This Row],[CrudeType]]="C5+",1,0)</f>
        <v>0</v>
      </c>
      <c r="Z429">
        <f>IF(AND(vp.tbl[[#This Row],[CrudeType]]="Crude",vp.tbl[[#This Row],[Dens]]&lt;=825,vp.tbl[[#This Row],[Sulf]]&gt;0.5,vp.tbl[[#This Row],[Unknown]]=0),1,0)</f>
        <v>0</v>
      </c>
      <c r="AA429">
        <f>IF(AND(vp.tbl[[#This Row],[CrudeType]]="Crude",vp.tbl[[#This Row],[Dens]]&lt;=825,vp.tbl[[#This Row],[Sulf]]&lt;=0.5,vp.tbl[[#This Row],[Unknown]]=0),1,0)</f>
        <v>0</v>
      </c>
      <c r="AB429">
        <f>IF(AND(vp.tbl[[#This Row],[CrudeType]]="Crude",vp.tbl[[#This Row],[Dens]]&gt;825,vp.tbl[[#This Row],[Dens]]&lt;=870,vp.tbl[[#This Row],[Sulf]]&gt;0.5,vp.tbl[[#This Row],[Unknown]]=0),1,0)</f>
        <v>1</v>
      </c>
      <c r="AC429">
        <f>IF(AND(vp.tbl[[#This Row],[CrudeType]]="Crude",vp.tbl[[#This Row],[Dens]]&gt;825,vp.tbl[[#This Row],[Dens]]&lt;=900,vp.tbl[[#This Row],[Sulf]]&lt;=0.5,vp.tbl[[#This Row],[Unknown]]=0),1,0)</f>
        <v>0</v>
      </c>
      <c r="AD429">
        <f>IF(AND(vp.tbl[[#This Row],[CrudeType]]="Crude",vp.tbl[[#This Row],[Dens]]&gt;870,vp.tbl[[#This Row],[Dens]]&lt;=900,vp.tbl[[#This Row],[Sulf]]&gt;0.5,vp.tbl[[#This Row],[Unknown]]=0),1,0)</f>
        <v>0</v>
      </c>
      <c r="AE429">
        <f>IF(AND(vp.tbl[[#This Row],[CrudeType]]="Crude",vp.tbl[[#This Row],[Dens]]&gt;900,vp.tbl[[#This Row],[Sulf]]&lt;=0.5,vp.tbl[[#This Row],[Unknown]]=0),1,0)</f>
        <v>0</v>
      </c>
      <c r="AF429">
        <f>IF(AND(vp.tbl[[#This Row],[CrudeType]]="Crude",vp.tbl[[#This Row],[Dens]]&gt;900,vp.tbl[[#This Row],[Sulf]]&lt;=0.5,vp.tbl[[#This Row],[Unknown]]=0),1,0)</f>
        <v>0</v>
      </c>
      <c r="AG429" t="str">
        <f>INDEX(vp.tbl[[#Headers],[Unknown]:[Heavy_SW]],MATCH(1,vp.tbl[[#This Row],[Unknown]:[Heavy_SW]],0))</f>
        <v>Medium_LSB</v>
      </c>
      <c r="AH429" t="e">
        <f>INDEX([1]!crudeBD.lkup[Number],MATCH(vp.tbl[[#This Row],[Crude_Breakdown]],[1]!crudeBD.lkup[Crude Breakdown],0))</f>
        <v>#REF!</v>
      </c>
      <c r="AI429">
        <f>MONTH(vp.tbl[[#This Row],[SDate]])</f>
        <v>12</v>
      </c>
      <c r="AJ429" s="5">
        <f>IFERROR(vp.tbl[[#This Row],[Sulf]]*vp.tbl[[#This Row],[Net Dens]],"")</f>
        <v>6042025.459511999</v>
      </c>
      <c r="AK429" s="5">
        <f>IFERROR(vp.tbl[[#This Row],[Dens]]*vp.tbl[[#This Row],[VolumeM3]],"")</f>
        <v>3639774.3731999993</v>
      </c>
      <c r="AL429" s="5">
        <f>IFERROR(vp.tbl[[#This Row],[VP]]*vp.tbl[[#This Row],[VolumeM3]],"")</f>
        <v>480716.59599999996</v>
      </c>
      <c r="AM429" s="4">
        <f>IFERROR((vp.tbl[[#This Row],[VP]]-INDEX(crudeBD.lkup.complete[Mean_VP],MATCH(vp.tbl[[#This Row],[Crude_Breakdown]],crudeBD.lkup.complete[Crude Breakdown],0)))^2,"")</f>
        <v>830.96162887293917</v>
      </c>
      <c r="AN429" s="4">
        <f>IFERROR((vp.tbl[[#This Row],[Dens]]-INDEX(crudeBD.lkup.complete[Mean_Dens],MATCH(vp.tbl[[#This Row],[Crude_Breakdown]],crudeBD.lkup.complete[Crude Breakdown],0)))^2,"")</f>
        <v>399.67297825921577</v>
      </c>
      <c r="AO429" s="4">
        <f>IFERROR((vp.tbl[[#This Row],[Sulf]]-INDEX(crudeBD.lkup.complete[Mean_Sulf],MATCH(vp.tbl[[#This Row],[Crude_Breakdown]],crudeBD.lkup.complete[Crude Breakdown],0)))^2,"")</f>
        <v>4.2053762008120013E-2</v>
      </c>
      <c r="AP429">
        <f>IF(AND(vp.tbl[[#This Row],[SDate]]&gt;=DATE(YEAR(vp.tbl[[#This Row],[SDate]]),5,1),vp.tbl[[#This Row],[SDate]]&lt;=DATE(YEAR(vp.tbl[[#This Row],[SDate]]),9,15)),1,0)</f>
        <v>0</v>
      </c>
      <c r="AQ429" s="15">
        <f>IF(vp.tbl[[#This Row],[SDate]]&lt;DATE(2016,12,1),0,1)</f>
        <v>1</v>
      </c>
    </row>
    <row r="430" spans="1:43" x14ac:dyDescent="0.25">
      <c r="A430">
        <v>429</v>
      </c>
      <c r="B430" t="s">
        <v>51</v>
      </c>
      <c r="C430" t="s">
        <v>51</v>
      </c>
      <c r="D430" t="s">
        <v>58</v>
      </c>
      <c r="F430" s="1">
        <v>42720</v>
      </c>
      <c r="G430" s="2">
        <v>102</v>
      </c>
      <c r="H430" s="2"/>
      <c r="I430" s="2">
        <v>1.57</v>
      </c>
      <c r="J430" s="2"/>
      <c r="K430" s="2"/>
      <c r="L430" s="2">
        <v>841</v>
      </c>
      <c r="M430" s="2">
        <v>841</v>
      </c>
      <c r="N430" s="2">
        <f ca="1">INDEX(INDIRECT(_xlfn.CONCAT("weather.tbl[",N$1,"]")),MATCH(vp.tbl[[#This Row],[SDate]],weather.tbl[Date],0))</f>
        <v>-24.566666666666666</v>
      </c>
      <c r="O430" s="2">
        <f ca="1">INDEX(INDIRECT(_xlfn.CONCAT("weather.tbl[",O$1,"]")),MATCH(vp.tbl[[#This Row],[SDate]],weather.tbl[Date],0))</f>
        <v>-22.690476190476193</v>
      </c>
      <c r="P430" s="2">
        <f ca="1">INDEX(INDIRECT(_xlfn.CONCAT("weather.tbl[",P$1,"]")),MATCH(vp.tbl[[#This Row],[SDate]],weather.tbl[Date],0))</f>
        <v>-24.6</v>
      </c>
      <c r="Q430" s="2">
        <f ca="1">INDEX(INDIRECT(_xlfn.CONCAT("weather.tbl[",Q$1,"]")),MATCH(vp.tbl[[#This Row],[SDate]],weather.tbl[Date],0))</f>
        <v>-25.7</v>
      </c>
      <c r="R430" s="2">
        <f ca="1">INDEX(INDIRECT(_xlfn.CONCAT("weather.tbl[",R$1,"]")),MATCH(vp.tbl[[#This Row],[SDate]],weather.tbl[Date],0))</f>
        <v>-24.3</v>
      </c>
      <c r="S430" s="2">
        <f ca="1">INDEX(INDIRECT(_xlfn.CONCAT("weather.tbl[",S$1,"]")),MATCH(vp.tbl[[#This Row],[SDate]],weather.tbl[Date],0))</f>
        <v>-23.5</v>
      </c>
      <c r="T430" s="2">
        <f ca="1">INDEX(INDIRECT(_xlfn.CONCAT("weather.tbl[",T$1,"]")),MATCH(vp.tbl[[#This Row],[SDate]],weather.tbl[Date],0))</f>
        <v>-24</v>
      </c>
      <c r="U430" s="2">
        <f ca="1">INDEX(INDIRECT(_xlfn.CONCAT("weather.tbl[",U$1,"]")),MATCH(vp.tbl[[#This Row],[SDate]],weather.tbl[Date],0))</f>
        <v>-25.3</v>
      </c>
      <c r="V430" s="2">
        <v>5257.84</v>
      </c>
      <c r="W430" t="s">
        <v>48</v>
      </c>
      <c r="X430">
        <f>IF(OR(vp.tbl[[#This Row],[Sulf]]="",vp.tbl[[#This Row],[Dens]]=""),1,0)</f>
        <v>0</v>
      </c>
      <c r="Y430">
        <f>IF(vp.tbl[[#This Row],[CrudeType]]="C5+",1,0)</f>
        <v>0</v>
      </c>
      <c r="Z430">
        <f>IF(AND(vp.tbl[[#This Row],[CrudeType]]="Crude",vp.tbl[[#This Row],[Dens]]&lt;=825,vp.tbl[[#This Row],[Sulf]]&gt;0.5,vp.tbl[[#This Row],[Unknown]]=0),1,0)</f>
        <v>0</v>
      </c>
      <c r="AA430">
        <f>IF(AND(vp.tbl[[#This Row],[CrudeType]]="Crude",vp.tbl[[#This Row],[Dens]]&lt;=825,vp.tbl[[#This Row],[Sulf]]&lt;=0.5,vp.tbl[[#This Row],[Unknown]]=0),1,0)</f>
        <v>0</v>
      </c>
      <c r="AB430">
        <f>IF(AND(vp.tbl[[#This Row],[CrudeType]]="Crude",vp.tbl[[#This Row],[Dens]]&gt;825,vp.tbl[[#This Row],[Dens]]&lt;=870,vp.tbl[[#This Row],[Sulf]]&gt;0.5,vp.tbl[[#This Row],[Unknown]]=0),1,0)</f>
        <v>1</v>
      </c>
      <c r="AC430">
        <f>IF(AND(vp.tbl[[#This Row],[CrudeType]]="Crude",vp.tbl[[#This Row],[Dens]]&gt;825,vp.tbl[[#This Row],[Dens]]&lt;=900,vp.tbl[[#This Row],[Sulf]]&lt;=0.5,vp.tbl[[#This Row],[Unknown]]=0),1,0)</f>
        <v>0</v>
      </c>
      <c r="AD430">
        <f>IF(AND(vp.tbl[[#This Row],[CrudeType]]="Crude",vp.tbl[[#This Row],[Dens]]&gt;870,vp.tbl[[#This Row],[Dens]]&lt;=900,vp.tbl[[#This Row],[Sulf]]&gt;0.5,vp.tbl[[#This Row],[Unknown]]=0),1,0)</f>
        <v>0</v>
      </c>
      <c r="AE430">
        <f>IF(AND(vp.tbl[[#This Row],[CrudeType]]="Crude",vp.tbl[[#This Row],[Dens]]&gt;900,vp.tbl[[#This Row],[Sulf]]&lt;=0.5,vp.tbl[[#This Row],[Unknown]]=0),1,0)</f>
        <v>0</v>
      </c>
      <c r="AF430">
        <f>IF(AND(vp.tbl[[#This Row],[CrudeType]]="Crude",vp.tbl[[#This Row],[Dens]]&gt;900,vp.tbl[[#This Row],[Sulf]]&lt;=0.5,vp.tbl[[#This Row],[Unknown]]=0),1,0)</f>
        <v>0</v>
      </c>
      <c r="AG430" t="str">
        <f>INDEX(vp.tbl[[#Headers],[Unknown]:[Heavy_SW]],MATCH(1,vp.tbl[[#This Row],[Unknown]:[Heavy_SW]],0))</f>
        <v>Medium_LSB</v>
      </c>
      <c r="AH430" t="e">
        <f>INDEX([1]!crudeBD.lkup[Number],MATCH(vp.tbl[[#This Row],[Crude_Breakdown]],[1]!crudeBD.lkup[Crude Breakdown],0))</f>
        <v>#REF!</v>
      </c>
      <c r="AI430">
        <f>MONTH(vp.tbl[[#This Row],[SDate]])</f>
        <v>12</v>
      </c>
      <c r="AJ430" s="5">
        <f>IFERROR(vp.tbl[[#This Row],[Sulf]]*vp.tbl[[#This Row],[Net Dens]],"")</f>
        <v>6942294.2008000007</v>
      </c>
      <c r="AK430" s="5">
        <f>IFERROR(vp.tbl[[#This Row],[Dens]]*vp.tbl[[#This Row],[VolumeM3]],"")</f>
        <v>4421843.4400000004</v>
      </c>
      <c r="AL430" s="5">
        <f>IFERROR(vp.tbl[[#This Row],[VP]]*vp.tbl[[#This Row],[VolumeM3]],"")</f>
        <v>536299.68000000005</v>
      </c>
      <c r="AM430" s="4">
        <f>IFERROR((vp.tbl[[#This Row],[VP]]-INDEX(crudeBD.lkup.complete[Mean_VP],MATCH(vp.tbl[[#This Row],[Crude_Breakdown]],crudeBD.lkup.complete[Crude Breakdown],0)))^2,"")</f>
        <v>476.39195798686268</v>
      </c>
      <c r="AN430" s="4">
        <f>IFERROR((vp.tbl[[#This Row],[Dens]]-INDEX(crudeBD.lkup.complete[Mean_Dens],MATCH(vp.tbl[[#This Row],[Crude_Breakdown]],crudeBD.lkup.complete[Crude Breakdown],0)))^2,"")</f>
        <v>18.419742816206899</v>
      </c>
      <c r="AO430" s="4">
        <f>IFERROR((vp.tbl[[#This Row],[Sulf]]-INDEX(crudeBD.lkup.complete[Mean_Sulf],MATCH(vp.tbl[[#This Row],[Crude_Breakdown]],crudeBD.lkup.complete[Crude Breakdown],0)))^2,"")</f>
        <v>1.3241136944829188E-2</v>
      </c>
      <c r="AP430">
        <f>IF(AND(vp.tbl[[#This Row],[SDate]]&gt;=DATE(YEAR(vp.tbl[[#This Row],[SDate]]),5,1),vp.tbl[[#This Row],[SDate]]&lt;=DATE(YEAR(vp.tbl[[#This Row],[SDate]]),9,15)),1,0)</f>
        <v>0</v>
      </c>
      <c r="AQ430" s="15">
        <f>IF(vp.tbl[[#This Row],[SDate]]&lt;DATE(2016,12,1),0,1)</f>
        <v>1</v>
      </c>
    </row>
    <row r="431" spans="1:43" x14ac:dyDescent="0.25">
      <c r="A431">
        <v>430</v>
      </c>
      <c r="B431" t="s">
        <v>60</v>
      </c>
      <c r="C431" t="s">
        <v>60</v>
      </c>
      <c r="D431" t="s">
        <v>61</v>
      </c>
      <c r="E431" t="s">
        <v>55</v>
      </c>
      <c r="F431" s="1">
        <v>42720</v>
      </c>
      <c r="G431" s="2">
        <v>96.1</v>
      </c>
      <c r="H431" s="2"/>
      <c r="I431" s="2">
        <v>0.97</v>
      </c>
      <c r="J431" s="2"/>
      <c r="K431" s="2"/>
      <c r="L431" s="2">
        <v>836.6</v>
      </c>
      <c r="M431" s="2">
        <v>836.6</v>
      </c>
      <c r="N431" s="2">
        <f ca="1">INDEX(INDIRECT(_xlfn.CONCAT("weather.tbl[",N$1,"]")),MATCH(vp.tbl[[#This Row],[SDate]],weather.tbl[Date],0))</f>
        <v>-24.566666666666666</v>
      </c>
      <c r="O431" s="2">
        <f ca="1">INDEX(INDIRECT(_xlfn.CONCAT("weather.tbl[",O$1,"]")),MATCH(vp.tbl[[#This Row],[SDate]],weather.tbl[Date],0))</f>
        <v>-22.690476190476193</v>
      </c>
      <c r="P431" s="2">
        <f ca="1">INDEX(INDIRECT(_xlfn.CONCAT("weather.tbl[",P$1,"]")),MATCH(vp.tbl[[#This Row],[SDate]],weather.tbl[Date],0))</f>
        <v>-24.6</v>
      </c>
      <c r="Q431" s="2">
        <f ca="1">INDEX(INDIRECT(_xlfn.CONCAT("weather.tbl[",Q$1,"]")),MATCH(vp.tbl[[#This Row],[SDate]],weather.tbl[Date],0))</f>
        <v>-25.7</v>
      </c>
      <c r="R431" s="2">
        <f ca="1">INDEX(INDIRECT(_xlfn.CONCAT("weather.tbl[",R$1,"]")),MATCH(vp.tbl[[#This Row],[SDate]],weather.tbl[Date],0))</f>
        <v>-24.3</v>
      </c>
      <c r="S431" s="2">
        <f ca="1">INDEX(INDIRECT(_xlfn.CONCAT("weather.tbl[",S$1,"]")),MATCH(vp.tbl[[#This Row],[SDate]],weather.tbl[Date],0))</f>
        <v>-23.5</v>
      </c>
      <c r="T431" s="2">
        <f ca="1">INDEX(INDIRECT(_xlfn.CONCAT("weather.tbl[",T$1,"]")),MATCH(vp.tbl[[#This Row],[SDate]],weather.tbl[Date],0))</f>
        <v>-24</v>
      </c>
      <c r="U431" s="2">
        <f ca="1">INDEX(INDIRECT(_xlfn.CONCAT("weather.tbl[",U$1,"]")),MATCH(vp.tbl[[#This Row],[SDate]],weather.tbl[Date],0))</f>
        <v>-25.3</v>
      </c>
      <c r="V431" s="2">
        <v>106852.554</v>
      </c>
      <c r="W431" t="s">
        <v>48</v>
      </c>
      <c r="X431">
        <f>IF(OR(vp.tbl[[#This Row],[Sulf]]="",vp.tbl[[#This Row],[Dens]]=""),1,0)</f>
        <v>0</v>
      </c>
      <c r="Y431">
        <f>IF(vp.tbl[[#This Row],[CrudeType]]="C5+",1,0)</f>
        <v>0</v>
      </c>
      <c r="Z431">
        <f>IF(AND(vp.tbl[[#This Row],[CrudeType]]="Crude",vp.tbl[[#This Row],[Dens]]&lt;=825,vp.tbl[[#This Row],[Sulf]]&gt;0.5,vp.tbl[[#This Row],[Unknown]]=0),1,0)</f>
        <v>0</v>
      </c>
      <c r="AA431">
        <f>IF(AND(vp.tbl[[#This Row],[CrudeType]]="Crude",vp.tbl[[#This Row],[Dens]]&lt;=825,vp.tbl[[#This Row],[Sulf]]&lt;=0.5,vp.tbl[[#This Row],[Unknown]]=0),1,0)</f>
        <v>0</v>
      </c>
      <c r="AB431">
        <f>IF(AND(vp.tbl[[#This Row],[CrudeType]]="Crude",vp.tbl[[#This Row],[Dens]]&gt;825,vp.tbl[[#This Row],[Dens]]&lt;=870,vp.tbl[[#This Row],[Sulf]]&gt;0.5,vp.tbl[[#This Row],[Unknown]]=0),1,0)</f>
        <v>1</v>
      </c>
      <c r="AC431">
        <f>IF(AND(vp.tbl[[#This Row],[CrudeType]]="Crude",vp.tbl[[#This Row],[Dens]]&gt;825,vp.tbl[[#This Row],[Dens]]&lt;=900,vp.tbl[[#This Row],[Sulf]]&lt;=0.5,vp.tbl[[#This Row],[Unknown]]=0),1,0)</f>
        <v>0</v>
      </c>
      <c r="AD431">
        <f>IF(AND(vp.tbl[[#This Row],[CrudeType]]="Crude",vp.tbl[[#This Row],[Dens]]&gt;870,vp.tbl[[#This Row],[Dens]]&lt;=900,vp.tbl[[#This Row],[Sulf]]&gt;0.5,vp.tbl[[#This Row],[Unknown]]=0),1,0)</f>
        <v>0</v>
      </c>
      <c r="AE431">
        <f>IF(AND(vp.tbl[[#This Row],[CrudeType]]="Crude",vp.tbl[[#This Row],[Dens]]&gt;900,vp.tbl[[#This Row],[Sulf]]&lt;=0.5,vp.tbl[[#This Row],[Unknown]]=0),1,0)</f>
        <v>0</v>
      </c>
      <c r="AF431">
        <f>IF(AND(vp.tbl[[#This Row],[CrudeType]]="Crude",vp.tbl[[#This Row],[Dens]]&gt;900,vp.tbl[[#This Row],[Sulf]]&lt;=0.5,vp.tbl[[#This Row],[Unknown]]=0),1,0)</f>
        <v>0</v>
      </c>
      <c r="AG431" t="str">
        <f>INDEX(vp.tbl[[#Headers],[Unknown]:[Heavy_SW]],MATCH(1,vp.tbl[[#This Row],[Unknown]:[Heavy_SW]],0))</f>
        <v>Medium_LSB</v>
      </c>
      <c r="AH431" t="e">
        <f>INDEX([1]!crudeBD.lkup[Number],MATCH(vp.tbl[[#This Row],[Crude_Breakdown]],[1]!crudeBD.lkup[Crude Breakdown],0))</f>
        <v>#REF!</v>
      </c>
      <c r="AI431">
        <f>MONTH(vp.tbl[[#This Row],[SDate]])</f>
        <v>12</v>
      </c>
      <c r="AJ431" s="5">
        <f>IFERROR(vp.tbl[[#This Row],[Sulf]]*vp.tbl[[#This Row],[Net Dens]],"")</f>
        <v>86711061.276107997</v>
      </c>
      <c r="AK431" s="5">
        <f>IFERROR(vp.tbl[[#This Row],[Dens]]*vp.tbl[[#This Row],[VolumeM3]],"")</f>
        <v>89392846.676400006</v>
      </c>
      <c r="AL431" s="5">
        <f>IFERROR(vp.tbl[[#This Row],[VP]]*vp.tbl[[#This Row],[VolumeM3]],"")</f>
        <v>10268530.4394</v>
      </c>
      <c r="AM431" s="4">
        <f>IFERROR((vp.tbl[[#This Row],[VP]]-INDEX(crudeBD.lkup.complete[Mean_VP],MATCH(vp.tbl[[#This Row],[Crude_Breakdown]],crudeBD.lkup.complete[Crude Breakdown],0)))^2,"")</f>
        <v>253.65037824002664</v>
      </c>
      <c r="AN431" s="4">
        <f>IFERROR((vp.tbl[[#This Row],[Dens]]-INDEX(crudeBD.lkup.complete[Mean_Dens],MATCH(vp.tbl[[#This Row],[Crude_Breakdown]],crudeBD.lkup.complete[Crude Breakdown],0)))^2,"")</f>
        <v>75.547783322526953</v>
      </c>
      <c r="AO431" s="4">
        <f>IFERROR((vp.tbl[[#This Row],[Sulf]]-INDEX(crudeBD.lkup.complete[Mean_Sulf],MATCH(vp.tbl[[#This Row],[Crude_Breakdown]],crudeBD.lkup.complete[Crude Breakdown],0)))^2,"")</f>
        <v>0.23515696985622339</v>
      </c>
      <c r="AP431">
        <f>IF(AND(vp.tbl[[#This Row],[SDate]]&gt;=DATE(YEAR(vp.tbl[[#This Row],[SDate]]),5,1),vp.tbl[[#This Row],[SDate]]&lt;=DATE(YEAR(vp.tbl[[#This Row],[SDate]]),9,15)),1,0)</f>
        <v>0</v>
      </c>
      <c r="AQ431" s="15">
        <f>IF(vp.tbl[[#This Row],[SDate]]&lt;DATE(2016,12,1),0,1)</f>
        <v>1</v>
      </c>
    </row>
    <row r="432" spans="1:43" x14ac:dyDescent="0.25">
      <c r="A432">
        <v>431</v>
      </c>
      <c r="B432" t="s">
        <v>49</v>
      </c>
      <c r="C432" t="s">
        <v>49</v>
      </c>
      <c r="D432" t="s">
        <v>78</v>
      </c>
      <c r="F432" s="1">
        <v>42723</v>
      </c>
      <c r="G432" s="2">
        <v>98.3</v>
      </c>
      <c r="H432" s="2"/>
      <c r="I432" s="2">
        <v>0.14000000000000001</v>
      </c>
      <c r="J432" s="2">
        <v>-3</v>
      </c>
      <c r="K432" s="2">
        <v>-10</v>
      </c>
      <c r="L432" s="2">
        <v>810.3</v>
      </c>
      <c r="M432" s="2">
        <v>810.3</v>
      </c>
      <c r="N432" s="2">
        <f ca="1">INDEX(INDIRECT(_xlfn.CONCAT("weather.tbl[",N$1,"]")),MATCH(vp.tbl[[#This Row],[SDate]],weather.tbl[Date],0))</f>
        <v>-3.65</v>
      </c>
      <c r="O432" s="2">
        <f ca="1">INDEX(INDIRECT(_xlfn.CONCAT("weather.tbl[",O$1,"]")),MATCH(vp.tbl[[#This Row],[SDate]],weather.tbl[Date],0))</f>
        <v>-20.095238095238095</v>
      </c>
      <c r="P432" s="2">
        <f ca="1">INDEX(INDIRECT(_xlfn.CONCAT("weather.tbl[",P$1,"]")),MATCH(vp.tbl[[#This Row],[SDate]],weather.tbl[Date],0))</f>
        <v>-3.3</v>
      </c>
      <c r="Q432" s="2">
        <f ca="1">INDEX(INDIRECT(_xlfn.CONCAT("weather.tbl[",Q$1,"]")),MATCH(vp.tbl[[#This Row],[SDate]],weather.tbl[Date],0))</f>
        <v>-1.8</v>
      </c>
      <c r="R432" s="2">
        <f ca="1">INDEX(INDIRECT(_xlfn.CONCAT("weather.tbl[",R$1,"]")),MATCH(vp.tbl[[#This Row],[SDate]],weather.tbl[Date],0))</f>
        <v>-7.3</v>
      </c>
      <c r="S432" s="2">
        <f ca="1">INDEX(INDIRECT(_xlfn.CONCAT("weather.tbl[",S$1,"]")),MATCH(vp.tbl[[#This Row],[SDate]],weather.tbl[Date],0))</f>
        <v>-1.5</v>
      </c>
      <c r="T432" s="2">
        <f ca="1">INDEX(INDIRECT(_xlfn.CONCAT("weather.tbl[",T$1,"]")),MATCH(vp.tbl[[#This Row],[SDate]],weather.tbl[Date],0))</f>
        <v>-2.5</v>
      </c>
      <c r="U432" s="2">
        <f ca="1">INDEX(INDIRECT(_xlfn.CONCAT("weather.tbl[",U$1,"]")),MATCH(vp.tbl[[#This Row],[SDate]],weather.tbl[Date],0))</f>
        <v>-5.5</v>
      </c>
      <c r="V432" s="2">
        <v>15481.353999999999</v>
      </c>
      <c r="W432" t="s">
        <v>48</v>
      </c>
      <c r="X432">
        <f>IF(OR(vp.tbl[[#This Row],[Sulf]]="",vp.tbl[[#This Row],[Dens]]=""),1,0)</f>
        <v>0</v>
      </c>
      <c r="Y432">
        <f>IF(vp.tbl[[#This Row],[CrudeType]]="C5+",1,0)</f>
        <v>0</v>
      </c>
      <c r="Z432">
        <f>IF(AND(vp.tbl[[#This Row],[CrudeType]]="Crude",vp.tbl[[#This Row],[Dens]]&lt;=825,vp.tbl[[#This Row],[Sulf]]&gt;0.5,vp.tbl[[#This Row],[Unknown]]=0),1,0)</f>
        <v>0</v>
      </c>
      <c r="AA432">
        <f>IF(AND(vp.tbl[[#This Row],[CrudeType]]="Crude",vp.tbl[[#This Row],[Dens]]&lt;=825,vp.tbl[[#This Row],[Sulf]]&lt;=0.5,vp.tbl[[#This Row],[Unknown]]=0),1,0)</f>
        <v>1</v>
      </c>
      <c r="AB432">
        <f>IF(AND(vp.tbl[[#This Row],[CrudeType]]="Crude",vp.tbl[[#This Row],[Dens]]&gt;825,vp.tbl[[#This Row],[Dens]]&lt;=870,vp.tbl[[#This Row],[Sulf]]&gt;0.5,vp.tbl[[#This Row],[Unknown]]=0),1,0)</f>
        <v>0</v>
      </c>
      <c r="AC432">
        <f>IF(AND(vp.tbl[[#This Row],[CrudeType]]="Crude",vp.tbl[[#This Row],[Dens]]&gt;825,vp.tbl[[#This Row],[Dens]]&lt;=900,vp.tbl[[#This Row],[Sulf]]&lt;=0.5,vp.tbl[[#This Row],[Unknown]]=0),1,0)</f>
        <v>0</v>
      </c>
      <c r="AD432">
        <f>IF(AND(vp.tbl[[#This Row],[CrudeType]]="Crude",vp.tbl[[#This Row],[Dens]]&gt;870,vp.tbl[[#This Row],[Dens]]&lt;=900,vp.tbl[[#This Row],[Sulf]]&gt;0.5,vp.tbl[[#This Row],[Unknown]]=0),1,0)</f>
        <v>0</v>
      </c>
      <c r="AE432">
        <f>IF(AND(vp.tbl[[#This Row],[CrudeType]]="Crude",vp.tbl[[#This Row],[Dens]]&gt;900,vp.tbl[[#This Row],[Sulf]]&lt;=0.5,vp.tbl[[#This Row],[Unknown]]=0),1,0)</f>
        <v>0</v>
      </c>
      <c r="AF432">
        <f>IF(AND(vp.tbl[[#This Row],[CrudeType]]="Crude",vp.tbl[[#This Row],[Dens]]&gt;900,vp.tbl[[#This Row],[Sulf]]&lt;=0.5,vp.tbl[[#This Row],[Unknown]]=0),1,0)</f>
        <v>0</v>
      </c>
      <c r="AG432" t="str">
        <f>INDEX(vp.tbl[[#Headers],[Unknown]:[Heavy_SW]],MATCH(1,vp.tbl[[#This Row],[Unknown]:[Heavy_SW]],0))</f>
        <v>Light_SW</v>
      </c>
      <c r="AH432" t="e">
        <f>INDEX([1]!crudeBD.lkup[Number],MATCH(vp.tbl[[#This Row],[Crude_Breakdown]],[1]!crudeBD.lkup[Crude Breakdown],0))</f>
        <v>#REF!</v>
      </c>
      <c r="AI432">
        <f>MONTH(vp.tbl[[#This Row],[SDate]])</f>
        <v>12</v>
      </c>
      <c r="AJ432" s="5">
        <f>IFERROR(vp.tbl[[#This Row],[Sulf]]*vp.tbl[[#This Row],[Net Dens]],"")</f>
        <v>1756235.7604680001</v>
      </c>
      <c r="AK432" s="5">
        <f>IFERROR(vp.tbl[[#This Row],[Dens]]*vp.tbl[[#This Row],[VolumeM3]],"")</f>
        <v>12544541.146199999</v>
      </c>
      <c r="AL432" s="5">
        <f>IFERROR(vp.tbl[[#This Row],[VP]]*vp.tbl[[#This Row],[VolumeM3]],"")</f>
        <v>1521817.0981999999</v>
      </c>
      <c r="AM432" s="4">
        <f>IFERROR((vp.tbl[[#This Row],[VP]]-INDEX(crudeBD.lkup.complete[Mean_VP],MATCH(vp.tbl[[#This Row],[Crude_Breakdown]],crudeBD.lkup.complete[Crude Breakdown],0)))^2,"")</f>
        <v>33.058893826561267</v>
      </c>
      <c r="AN432" s="4">
        <f>IFERROR((vp.tbl[[#This Row],[Dens]]-INDEX(crudeBD.lkup.complete[Mean_Dens],MATCH(vp.tbl[[#This Row],[Crude_Breakdown]],crudeBD.lkup.complete[Crude Breakdown],0)))^2,"")</f>
        <v>3.9541391785751512</v>
      </c>
      <c r="AO432" s="4">
        <f>IFERROR((vp.tbl[[#This Row],[Sulf]]-INDEX(crudeBD.lkup.complete[Mean_Sulf],MATCH(vp.tbl[[#This Row],[Crude_Breakdown]],crudeBD.lkup.complete[Crude Breakdown],0)))^2,"")</f>
        <v>9.2624863475336272E-3</v>
      </c>
      <c r="AP432">
        <f>IF(AND(vp.tbl[[#This Row],[SDate]]&gt;=DATE(YEAR(vp.tbl[[#This Row],[SDate]]),5,1),vp.tbl[[#This Row],[SDate]]&lt;=DATE(YEAR(vp.tbl[[#This Row],[SDate]]),9,15)),1,0)</f>
        <v>0</v>
      </c>
      <c r="AQ432" s="15">
        <f>IF(vp.tbl[[#This Row],[SDate]]&lt;DATE(2016,12,1),0,1)</f>
        <v>1</v>
      </c>
    </row>
    <row r="433" spans="1:43" x14ac:dyDescent="0.25">
      <c r="A433">
        <v>432</v>
      </c>
      <c r="B433" t="s">
        <v>49</v>
      </c>
      <c r="C433" t="s">
        <v>49</v>
      </c>
      <c r="D433" t="s">
        <v>92</v>
      </c>
      <c r="F433" s="1">
        <v>42723</v>
      </c>
      <c r="G433" s="2">
        <v>90.5</v>
      </c>
      <c r="H433" s="2"/>
      <c r="I433" s="2">
        <v>0.12</v>
      </c>
      <c r="J433" s="2">
        <v>14</v>
      </c>
      <c r="K433" s="2">
        <v>-10</v>
      </c>
      <c r="L433" s="2">
        <v>816.4</v>
      </c>
      <c r="M433" s="2">
        <v>816.4</v>
      </c>
      <c r="N433" s="2">
        <f ca="1">INDEX(INDIRECT(_xlfn.CONCAT("weather.tbl[",N$1,"]")),MATCH(vp.tbl[[#This Row],[SDate]],weather.tbl[Date],0))</f>
        <v>-3.65</v>
      </c>
      <c r="O433" s="2">
        <f ca="1">INDEX(INDIRECT(_xlfn.CONCAT("weather.tbl[",O$1,"]")),MATCH(vp.tbl[[#This Row],[SDate]],weather.tbl[Date],0))</f>
        <v>-20.095238095238095</v>
      </c>
      <c r="P433" s="2">
        <f ca="1">INDEX(INDIRECT(_xlfn.CONCAT("weather.tbl[",P$1,"]")),MATCH(vp.tbl[[#This Row],[SDate]],weather.tbl[Date],0))</f>
        <v>-3.3</v>
      </c>
      <c r="Q433" s="2">
        <f ca="1">INDEX(INDIRECT(_xlfn.CONCAT("weather.tbl[",Q$1,"]")),MATCH(vp.tbl[[#This Row],[SDate]],weather.tbl[Date],0))</f>
        <v>-1.8</v>
      </c>
      <c r="R433" s="2">
        <f ca="1">INDEX(INDIRECT(_xlfn.CONCAT("weather.tbl[",R$1,"]")),MATCH(vp.tbl[[#This Row],[SDate]],weather.tbl[Date],0))</f>
        <v>-7.3</v>
      </c>
      <c r="S433" s="2">
        <f ca="1">INDEX(INDIRECT(_xlfn.CONCAT("weather.tbl[",S$1,"]")),MATCH(vp.tbl[[#This Row],[SDate]],weather.tbl[Date],0))</f>
        <v>-1.5</v>
      </c>
      <c r="T433" s="2">
        <f ca="1">INDEX(INDIRECT(_xlfn.CONCAT("weather.tbl[",T$1,"]")),MATCH(vp.tbl[[#This Row],[SDate]],weather.tbl[Date],0))</f>
        <v>-2.5</v>
      </c>
      <c r="U433" s="2">
        <f ca="1">INDEX(INDIRECT(_xlfn.CONCAT("weather.tbl[",U$1,"]")),MATCH(vp.tbl[[#This Row],[SDate]],weather.tbl[Date],0))</f>
        <v>-5.5</v>
      </c>
      <c r="V433" s="2">
        <v>21171.823</v>
      </c>
      <c r="W433" t="s">
        <v>48</v>
      </c>
      <c r="X433">
        <f>IF(OR(vp.tbl[[#This Row],[Sulf]]="",vp.tbl[[#This Row],[Dens]]=""),1,0)</f>
        <v>0</v>
      </c>
      <c r="Y433">
        <f>IF(vp.tbl[[#This Row],[CrudeType]]="C5+",1,0)</f>
        <v>0</v>
      </c>
      <c r="Z433">
        <f>IF(AND(vp.tbl[[#This Row],[CrudeType]]="Crude",vp.tbl[[#This Row],[Dens]]&lt;=825,vp.tbl[[#This Row],[Sulf]]&gt;0.5,vp.tbl[[#This Row],[Unknown]]=0),1,0)</f>
        <v>0</v>
      </c>
      <c r="AA433">
        <f>IF(AND(vp.tbl[[#This Row],[CrudeType]]="Crude",vp.tbl[[#This Row],[Dens]]&lt;=825,vp.tbl[[#This Row],[Sulf]]&lt;=0.5,vp.tbl[[#This Row],[Unknown]]=0),1,0)</f>
        <v>1</v>
      </c>
      <c r="AB433">
        <f>IF(AND(vp.tbl[[#This Row],[CrudeType]]="Crude",vp.tbl[[#This Row],[Dens]]&gt;825,vp.tbl[[#This Row],[Dens]]&lt;=870,vp.tbl[[#This Row],[Sulf]]&gt;0.5,vp.tbl[[#This Row],[Unknown]]=0),1,0)</f>
        <v>0</v>
      </c>
      <c r="AC433">
        <f>IF(AND(vp.tbl[[#This Row],[CrudeType]]="Crude",vp.tbl[[#This Row],[Dens]]&gt;825,vp.tbl[[#This Row],[Dens]]&lt;=900,vp.tbl[[#This Row],[Sulf]]&lt;=0.5,vp.tbl[[#This Row],[Unknown]]=0),1,0)</f>
        <v>0</v>
      </c>
      <c r="AD433">
        <f>IF(AND(vp.tbl[[#This Row],[CrudeType]]="Crude",vp.tbl[[#This Row],[Dens]]&gt;870,vp.tbl[[#This Row],[Dens]]&lt;=900,vp.tbl[[#This Row],[Sulf]]&gt;0.5,vp.tbl[[#This Row],[Unknown]]=0),1,0)</f>
        <v>0</v>
      </c>
      <c r="AE433">
        <f>IF(AND(vp.tbl[[#This Row],[CrudeType]]="Crude",vp.tbl[[#This Row],[Dens]]&gt;900,vp.tbl[[#This Row],[Sulf]]&lt;=0.5,vp.tbl[[#This Row],[Unknown]]=0),1,0)</f>
        <v>0</v>
      </c>
      <c r="AF433">
        <f>IF(AND(vp.tbl[[#This Row],[CrudeType]]="Crude",vp.tbl[[#This Row],[Dens]]&gt;900,vp.tbl[[#This Row],[Sulf]]&lt;=0.5,vp.tbl[[#This Row],[Unknown]]=0),1,0)</f>
        <v>0</v>
      </c>
      <c r="AG433" t="str">
        <f>INDEX(vp.tbl[[#Headers],[Unknown]:[Heavy_SW]],MATCH(1,vp.tbl[[#This Row],[Unknown]:[Heavy_SW]],0))</f>
        <v>Light_SW</v>
      </c>
      <c r="AH433" t="e">
        <f>INDEX([1]!crudeBD.lkup[Number],MATCH(vp.tbl[[#This Row],[Crude_Breakdown]],[1]!crudeBD.lkup[Crude Breakdown],0))</f>
        <v>#REF!</v>
      </c>
      <c r="AI433">
        <f>MONTH(vp.tbl[[#This Row],[SDate]])</f>
        <v>12</v>
      </c>
      <c r="AJ433" s="5">
        <f>IFERROR(vp.tbl[[#This Row],[Sulf]]*vp.tbl[[#This Row],[Net Dens]],"")</f>
        <v>2074161.1556639997</v>
      </c>
      <c r="AK433" s="5">
        <f>IFERROR(vp.tbl[[#This Row],[Dens]]*vp.tbl[[#This Row],[VolumeM3]],"")</f>
        <v>17284676.297199998</v>
      </c>
      <c r="AL433" s="5">
        <f>IFERROR(vp.tbl[[#This Row],[VP]]*vp.tbl[[#This Row],[VolumeM3]],"")</f>
        <v>1916049.9815</v>
      </c>
      <c r="AM433" s="4">
        <f>IFERROR((vp.tbl[[#This Row],[VP]]-INDEX(crudeBD.lkup.complete[Mean_VP],MATCH(vp.tbl[[#This Row],[Crude_Breakdown]],crudeBD.lkup.complete[Crude Breakdown],0)))^2,"")</f>
        <v>4.2037858126235603</v>
      </c>
      <c r="AN433" s="4">
        <f>IFERROR((vp.tbl[[#This Row],[Dens]]-INDEX(crudeBD.lkup.complete[Mean_Dens],MATCH(vp.tbl[[#This Row],[Crude_Breakdown]],crudeBD.lkup.complete[Crude Breakdown],0)))^2,"")</f>
        <v>65.423860432933026</v>
      </c>
      <c r="AO433" s="4">
        <f>IFERROR((vp.tbl[[#This Row],[Sulf]]-INDEX(crudeBD.lkup.complete[Mean_Sulf],MATCH(vp.tbl[[#This Row],[Crude_Breakdown]],crudeBD.lkup.complete[Crude Breakdown],0)))^2,"")</f>
        <v>1.3512158821401221E-2</v>
      </c>
      <c r="AP433">
        <f>IF(AND(vp.tbl[[#This Row],[SDate]]&gt;=DATE(YEAR(vp.tbl[[#This Row],[SDate]]),5,1),vp.tbl[[#This Row],[SDate]]&lt;=DATE(YEAR(vp.tbl[[#This Row],[SDate]]),9,15)),1,0)</f>
        <v>0</v>
      </c>
      <c r="AQ433" s="15">
        <f>IF(vp.tbl[[#This Row],[SDate]]&lt;DATE(2016,12,1),0,1)</f>
        <v>1</v>
      </c>
    </row>
    <row r="434" spans="1:43" x14ac:dyDescent="0.25">
      <c r="A434">
        <v>433</v>
      </c>
      <c r="B434" t="s">
        <v>49</v>
      </c>
      <c r="C434" t="s">
        <v>49</v>
      </c>
      <c r="D434" t="s">
        <v>92</v>
      </c>
      <c r="F434" s="1">
        <v>42723</v>
      </c>
      <c r="G434" s="2">
        <v>73.2</v>
      </c>
      <c r="H434" s="2"/>
      <c r="I434" s="2">
        <v>0.12</v>
      </c>
      <c r="J434" s="2"/>
      <c r="K434" s="2"/>
      <c r="L434" s="2">
        <v>816.6</v>
      </c>
      <c r="M434" s="2">
        <v>816.6</v>
      </c>
      <c r="N434" s="2">
        <f ca="1">INDEX(INDIRECT(_xlfn.CONCAT("weather.tbl[",N$1,"]")),MATCH(vp.tbl[[#This Row],[SDate]],weather.tbl[Date],0))</f>
        <v>-3.65</v>
      </c>
      <c r="O434" s="2">
        <f ca="1">INDEX(INDIRECT(_xlfn.CONCAT("weather.tbl[",O$1,"]")),MATCH(vp.tbl[[#This Row],[SDate]],weather.tbl[Date],0))</f>
        <v>-20.095238095238095</v>
      </c>
      <c r="P434" s="2">
        <f ca="1">INDEX(INDIRECT(_xlfn.CONCAT("weather.tbl[",P$1,"]")),MATCH(vp.tbl[[#This Row],[SDate]],weather.tbl[Date],0))</f>
        <v>-3.3</v>
      </c>
      <c r="Q434" s="2">
        <f ca="1">INDEX(INDIRECT(_xlfn.CONCAT("weather.tbl[",Q$1,"]")),MATCH(vp.tbl[[#This Row],[SDate]],weather.tbl[Date],0))</f>
        <v>-1.8</v>
      </c>
      <c r="R434" s="2">
        <f ca="1">INDEX(INDIRECT(_xlfn.CONCAT("weather.tbl[",R$1,"]")),MATCH(vp.tbl[[#This Row],[SDate]],weather.tbl[Date],0))</f>
        <v>-7.3</v>
      </c>
      <c r="S434" s="2">
        <f ca="1">INDEX(INDIRECT(_xlfn.CONCAT("weather.tbl[",S$1,"]")),MATCH(vp.tbl[[#This Row],[SDate]],weather.tbl[Date],0))</f>
        <v>-1.5</v>
      </c>
      <c r="T434" s="2">
        <f ca="1">INDEX(INDIRECT(_xlfn.CONCAT("weather.tbl[",T$1,"]")),MATCH(vp.tbl[[#This Row],[SDate]],weather.tbl[Date],0))</f>
        <v>-2.5</v>
      </c>
      <c r="U434" s="2">
        <f ca="1">INDEX(INDIRECT(_xlfn.CONCAT("weather.tbl[",U$1,"]")),MATCH(vp.tbl[[#This Row],[SDate]],weather.tbl[Date],0))</f>
        <v>-5.5</v>
      </c>
      <c r="V434" s="2">
        <v>21171.823</v>
      </c>
      <c r="W434" t="s">
        <v>48</v>
      </c>
      <c r="X434">
        <f>IF(OR(vp.tbl[[#This Row],[Sulf]]="",vp.tbl[[#This Row],[Dens]]=""),1,0)</f>
        <v>0</v>
      </c>
      <c r="Y434">
        <f>IF(vp.tbl[[#This Row],[CrudeType]]="C5+",1,0)</f>
        <v>0</v>
      </c>
      <c r="Z434">
        <f>IF(AND(vp.tbl[[#This Row],[CrudeType]]="Crude",vp.tbl[[#This Row],[Dens]]&lt;=825,vp.tbl[[#This Row],[Sulf]]&gt;0.5,vp.tbl[[#This Row],[Unknown]]=0),1,0)</f>
        <v>0</v>
      </c>
      <c r="AA434">
        <f>IF(AND(vp.tbl[[#This Row],[CrudeType]]="Crude",vp.tbl[[#This Row],[Dens]]&lt;=825,vp.tbl[[#This Row],[Sulf]]&lt;=0.5,vp.tbl[[#This Row],[Unknown]]=0),1,0)</f>
        <v>1</v>
      </c>
      <c r="AB434">
        <f>IF(AND(vp.tbl[[#This Row],[CrudeType]]="Crude",vp.tbl[[#This Row],[Dens]]&gt;825,vp.tbl[[#This Row],[Dens]]&lt;=870,vp.tbl[[#This Row],[Sulf]]&gt;0.5,vp.tbl[[#This Row],[Unknown]]=0),1,0)</f>
        <v>0</v>
      </c>
      <c r="AC434">
        <f>IF(AND(vp.tbl[[#This Row],[CrudeType]]="Crude",vp.tbl[[#This Row],[Dens]]&gt;825,vp.tbl[[#This Row],[Dens]]&lt;=900,vp.tbl[[#This Row],[Sulf]]&lt;=0.5,vp.tbl[[#This Row],[Unknown]]=0),1,0)</f>
        <v>0</v>
      </c>
      <c r="AD434">
        <f>IF(AND(vp.tbl[[#This Row],[CrudeType]]="Crude",vp.tbl[[#This Row],[Dens]]&gt;870,vp.tbl[[#This Row],[Dens]]&lt;=900,vp.tbl[[#This Row],[Sulf]]&gt;0.5,vp.tbl[[#This Row],[Unknown]]=0),1,0)</f>
        <v>0</v>
      </c>
      <c r="AE434">
        <f>IF(AND(vp.tbl[[#This Row],[CrudeType]]="Crude",vp.tbl[[#This Row],[Dens]]&gt;900,vp.tbl[[#This Row],[Sulf]]&lt;=0.5,vp.tbl[[#This Row],[Unknown]]=0),1,0)</f>
        <v>0</v>
      </c>
      <c r="AF434">
        <f>IF(AND(vp.tbl[[#This Row],[CrudeType]]="Crude",vp.tbl[[#This Row],[Dens]]&gt;900,vp.tbl[[#This Row],[Sulf]]&lt;=0.5,vp.tbl[[#This Row],[Unknown]]=0),1,0)</f>
        <v>0</v>
      </c>
      <c r="AG434" t="str">
        <f>INDEX(vp.tbl[[#Headers],[Unknown]:[Heavy_SW]],MATCH(1,vp.tbl[[#This Row],[Unknown]:[Heavy_SW]],0))</f>
        <v>Light_SW</v>
      </c>
      <c r="AH434" t="e">
        <f>INDEX([1]!crudeBD.lkup[Number],MATCH(vp.tbl[[#This Row],[Crude_Breakdown]],[1]!crudeBD.lkup[Crude Breakdown],0))</f>
        <v>#REF!</v>
      </c>
      <c r="AI434">
        <f>MONTH(vp.tbl[[#This Row],[SDate]])</f>
        <v>12</v>
      </c>
      <c r="AJ434" s="5">
        <f>IFERROR(vp.tbl[[#This Row],[Sulf]]*vp.tbl[[#This Row],[Net Dens]],"")</f>
        <v>2074669.279416</v>
      </c>
      <c r="AK434" s="5">
        <f>IFERROR(vp.tbl[[#This Row],[Dens]]*vp.tbl[[#This Row],[VolumeM3]],"")</f>
        <v>17288910.661800001</v>
      </c>
      <c r="AL434" s="5">
        <f>IFERROR(vp.tbl[[#This Row],[VP]]*vp.tbl[[#This Row],[VolumeM3]],"")</f>
        <v>1549777.4436000001</v>
      </c>
      <c r="AM434" s="4">
        <f>IFERROR((vp.tbl[[#This Row],[VP]]-INDEX(crudeBD.lkup.complete[Mean_VP],MATCH(vp.tbl[[#This Row],[Crude_Breakdown]],crudeBD.lkup.complete[Crude Breakdown],0)))^2,"")</f>
        <v>374.43463598683843</v>
      </c>
      <c r="AN434" s="4">
        <f>IFERROR((vp.tbl[[#This Row],[Dens]]-INDEX(crudeBD.lkup.complete[Mean_Dens],MATCH(vp.tbl[[#This Row],[Crude_Breakdown]],crudeBD.lkup.complete[Crude Breakdown],0)))^2,"")</f>
        <v>68.699261129797975</v>
      </c>
      <c r="AO434" s="4">
        <f>IFERROR((vp.tbl[[#This Row],[Sulf]]-INDEX(crudeBD.lkup.complete[Mean_Sulf],MATCH(vp.tbl[[#This Row],[Crude_Breakdown]],crudeBD.lkup.complete[Crude Breakdown],0)))^2,"")</f>
        <v>1.3512158821401221E-2</v>
      </c>
      <c r="AP434">
        <f>IF(AND(vp.tbl[[#This Row],[SDate]]&gt;=DATE(YEAR(vp.tbl[[#This Row],[SDate]]),5,1),vp.tbl[[#This Row],[SDate]]&lt;=DATE(YEAR(vp.tbl[[#This Row],[SDate]]),9,15)),1,0)</f>
        <v>0</v>
      </c>
      <c r="AQ434" s="15">
        <f>IF(vp.tbl[[#This Row],[SDate]]&lt;DATE(2016,12,1),0,1)</f>
        <v>1</v>
      </c>
    </row>
    <row r="435" spans="1:43" x14ac:dyDescent="0.25">
      <c r="A435">
        <v>434</v>
      </c>
      <c r="B435" t="s">
        <v>49</v>
      </c>
      <c r="C435" t="s">
        <v>49</v>
      </c>
      <c r="D435" t="s">
        <v>86</v>
      </c>
      <c r="F435" s="1">
        <v>42724</v>
      </c>
      <c r="G435" s="2">
        <v>72.900000000000006</v>
      </c>
      <c r="H435" s="2">
        <v>2.5031000000000001E-2</v>
      </c>
      <c r="I435" s="2">
        <v>2.5031000000000001E-2</v>
      </c>
      <c r="J435" s="2">
        <v>28</v>
      </c>
      <c r="K435" s="2">
        <v>-6</v>
      </c>
      <c r="L435" s="2">
        <v>892.7</v>
      </c>
      <c r="M435" s="2">
        <v>892.7</v>
      </c>
      <c r="N435" s="2">
        <f ca="1">INDEX(INDIRECT(_xlfn.CONCAT("weather.tbl[",N$1,"]")),MATCH(vp.tbl[[#This Row],[SDate]],weather.tbl[Date],0))</f>
        <v>-5.416666666666667</v>
      </c>
      <c r="O435" s="2">
        <f ca="1">INDEX(INDIRECT(_xlfn.CONCAT("weather.tbl[",O$1,"]")),MATCH(vp.tbl[[#This Row],[SDate]],weather.tbl[Date],0))</f>
        <v>-18.304761904761904</v>
      </c>
      <c r="P435" s="2">
        <f ca="1">INDEX(INDIRECT(_xlfn.CONCAT("weather.tbl[",P$1,"]")),MATCH(vp.tbl[[#This Row],[SDate]],weather.tbl[Date],0))</f>
        <v>-6</v>
      </c>
      <c r="Q435" s="2">
        <f ca="1">INDEX(INDIRECT(_xlfn.CONCAT("weather.tbl[",Q$1,"]")),MATCH(vp.tbl[[#This Row],[SDate]],weather.tbl[Date],0))</f>
        <v>-5.2</v>
      </c>
      <c r="R435" s="2">
        <f ca="1">INDEX(INDIRECT(_xlfn.CONCAT("weather.tbl[",R$1,"]")),MATCH(vp.tbl[[#This Row],[SDate]],weather.tbl[Date],0))</f>
        <v>-5.5</v>
      </c>
      <c r="S435" s="2">
        <f ca="1">INDEX(INDIRECT(_xlfn.CONCAT("weather.tbl[",S$1,"]")),MATCH(vp.tbl[[#This Row],[SDate]],weather.tbl[Date],0))</f>
        <v>-3.8</v>
      </c>
      <c r="T435" s="2">
        <f ca="1">INDEX(INDIRECT(_xlfn.CONCAT("weather.tbl[",T$1,"]")),MATCH(vp.tbl[[#This Row],[SDate]],weather.tbl[Date],0))</f>
        <v>-5.5</v>
      </c>
      <c r="U435" s="2">
        <f ca="1">INDEX(INDIRECT(_xlfn.CONCAT("weather.tbl[",U$1,"]")),MATCH(vp.tbl[[#This Row],[SDate]],weather.tbl[Date],0))</f>
        <v>-6.5</v>
      </c>
      <c r="V435" s="2">
        <v>4638.45</v>
      </c>
      <c r="W435" t="s">
        <v>48</v>
      </c>
      <c r="X435">
        <f>IF(OR(vp.tbl[[#This Row],[Sulf]]="",vp.tbl[[#This Row],[Dens]]=""),1,0)</f>
        <v>0</v>
      </c>
      <c r="Y435">
        <f>IF(vp.tbl[[#This Row],[CrudeType]]="C5+",1,0)</f>
        <v>0</v>
      </c>
      <c r="Z435">
        <f>IF(AND(vp.tbl[[#This Row],[CrudeType]]="Crude",vp.tbl[[#This Row],[Dens]]&lt;=825,vp.tbl[[#This Row],[Sulf]]&gt;0.5,vp.tbl[[#This Row],[Unknown]]=0),1,0)</f>
        <v>0</v>
      </c>
      <c r="AA435">
        <f>IF(AND(vp.tbl[[#This Row],[CrudeType]]="Crude",vp.tbl[[#This Row],[Dens]]&lt;=825,vp.tbl[[#This Row],[Sulf]]&lt;=0.5,vp.tbl[[#This Row],[Unknown]]=0),1,0)</f>
        <v>0</v>
      </c>
      <c r="AB435">
        <f>IF(AND(vp.tbl[[#This Row],[CrudeType]]="Crude",vp.tbl[[#This Row],[Dens]]&gt;825,vp.tbl[[#This Row],[Dens]]&lt;=870,vp.tbl[[#This Row],[Sulf]]&gt;0.5,vp.tbl[[#This Row],[Unknown]]=0),1,0)</f>
        <v>0</v>
      </c>
      <c r="AC435">
        <f>IF(AND(vp.tbl[[#This Row],[CrudeType]]="Crude",vp.tbl[[#This Row],[Dens]]&gt;825,vp.tbl[[#This Row],[Dens]]&lt;=900,vp.tbl[[#This Row],[Sulf]]&lt;=0.5,vp.tbl[[#This Row],[Unknown]]=0),1,0)</f>
        <v>1</v>
      </c>
      <c r="AD435">
        <f>IF(AND(vp.tbl[[#This Row],[CrudeType]]="Crude",vp.tbl[[#This Row],[Dens]]&gt;870,vp.tbl[[#This Row],[Dens]]&lt;=900,vp.tbl[[#This Row],[Sulf]]&gt;0.5,vp.tbl[[#This Row],[Unknown]]=0),1,0)</f>
        <v>0</v>
      </c>
      <c r="AE435">
        <f>IF(AND(vp.tbl[[#This Row],[CrudeType]]="Crude",vp.tbl[[#This Row],[Dens]]&gt;900,vp.tbl[[#This Row],[Sulf]]&lt;=0.5,vp.tbl[[#This Row],[Unknown]]=0),1,0)</f>
        <v>0</v>
      </c>
      <c r="AF435">
        <f>IF(AND(vp.tbl[[#This Row],[CrudeType]]="Crude",vp.tbl[[#This Row],[Dens]]&gt;900,vp.tbl[[#This Row],[Sulf]]&lt;=0.5,vp.tbl[[#This Row],[Unknown]]=0),1,0)</f>
        <v>0</v>
      </c>
      <c r="AG435" t="str">
        <f>INDEX(vp.tbl[[#Headers],[Unknown]:[Heavy_SW]],MATCH(1,vp.tbl[[#This Row],[Unknown]:[Heavy_SW]],0))</f>
        <v>Medium_SW</v>
      </c>
      <c r="AH435" t="e">
        <f>INDEX([1]!crudeBD.lkup[Number],MATCH(vp.tbl[[#This Row],[Crude_Breakdown]],[1]!crudeBD.lkup[Crude Breakdown],0))</f>
        <v>#REF!</v>
      </c>
      <c r="AI435">
        <f>MONTH(vp.tbl[[#This Row],[SDate]])</f>
        <v>12</v>
      </c>
      <c r="AJ435" s="5">
        <f>IFERROR(vp.tbl[[#This Row],[Sulf]]*vp.tbl[[#This Row],[Net Dens]],"")</f>
        <v>103646.97094876501</v>
      </c>
      <c r="AK435" s="5">
        <f>IFERROR(vp.tbl[[#This Row],[Dens]]*vp.tbl[[#This Row],[VolumeM3]],"")</f>
        <v>4140744.3149999999</v>
      </c>
      <c r="AL435" s="5">
        <f>IFERROR(vp.tbl[[#This Row],[VP]]*vp.tbl[[#This Row],[VolumeM3]],"")</f>
        <v>338143.005</v>
      </c>
      <c r="AM435" s="4">
        <f>IFERROR((vp.tbl[[#This Row],[VP]]-INDEX(crudeBD.lkup.complete[Mean_VP],MATCH(vp.tbl[[#This Row],[Crude_Breakdown]],crudeBD.lkup.complete[Crude Breakdown],0)))^2,"")</f>
        <v>130.34027777777789</v>
      </c>
      <c r="AN435" s="4">
        <f>IFERROR((vp.tbl[[#This Row],[Dens]]-INDEX(crudeBD.lkup.complete[Mean_Dens],MATCH(vp.tbl[[#This Row],[Crude_Breakdown]],crudeBD.lkup.complete[Crude Breakdown],0)))^2,"")</f>
        <v>1253.1599999999985</v>
      </c>
      <c r="AO435" s="4">
        <f>IFERROR((vp.tbl[[#This Row],[Sulf]]-INDEX(crudeBD.lkup.complete[Mean_Sulf],MATCH(vp.tbl[[#This Row],[Crude_Breakdown]],crudeBD.lkup.complete[Crude Breakdown],0)))^2,"")</f>
        <v>2.3556877806249998E-2</v>
      </c>
      <c r="AP435">
        <f>IF(AND(vp.tbl[[#This Row],[SDate]]&gt;=DATE(YEAR(vp.tbl[[#This Row],[SDate]]),5,1),vp.tbl[[#This Row],[SDate]]&lt;=DATE(YEAR(vp.tbl[[#This Row],[SDate]]),9,15)),1,0)</f>
        <v>0</v>
      </c>
      <c r="AQ435" s="15">
        <f>IF(vp.tbl[[#This Row],[SDate]]&lt;DATE(2016,12,1),0,1)</f>
        <v>1</v>
      </c>
    </row>
    <row r="436" spans="1:43" x14ac:dyDescent="0.25">
      <c r="A436">
        <v>435</v>
      </c>
      <c r="B436" t="s">
        <v>49</v>
      </c>
      <c r="C436" t="s">
        <v>49</v>
      </c>
      <c r="D436" t="s">
        <v>75</v>
      </c>
      <c r="F436" s="1">
        <v>42724</v>
      </c>
      <c r="G436" s="2">
        <v>125.9</v>
      </c>
      <c r="H436" s="2"/>
      <c r="I436" s="2">
        <v>0.13</v>
      </c>
      <c r="J436" s="2">
        <v>13</v>
      </c>
      <c r="K436" s="2">
        <v>-6</v>
      </c>
      <c r="L436" s="2">
        <v>801.5</v>
      </c>
      <c r="M436" s="2">
        <v>801.5</v>
      </c>
      <c r="N436" s="2">
        <f ca="1">INDEX(INDIRECT(_xlfn.CONCAT("weather.tbl[",N$1,"]")),MATCH(vp.tbl[[#This Row],[SDate]],weather.tbl[Date],0))</f>
        <v>-5.416666666666667</v>
      </c>
      <c r="O436" s="2">
        <f ca="1">INDEX(INDIRECT(_xlfn.CONCAT("weather.tbl[",O$1,"]")),MATCH(vp.tbl[[#This Row],[SDate]],weather.tbl[Date],0))</f>
        <v>-18.304761904761904</v>
      </c>
      <c r="P436" s="2">
        <f ca="1">INDEX(INDIRECT(_xlfn.CONCAT("weather.tbl[",P$1,"]")),MATCH(vp.tbl[[#This Row],[SDate]],weather.tbl[Date],0))</f>
        <v>-6</v>
      </c>
      <c r="Q436" s="2">
        <f ca="1">INDEX(INDIRECT(_xlfn.CONCAT("weather.tbl[",Q$1,"]")),MATCH(vp.tbl[[#This Row],[SDate]],weather.tbl[Date],0))</f>
        <v>-5.2</v>
      </c>
      <c r="R436" s="2">
        <f ca="1">INDEX(INDIRECT(_xlfn.CONCAT("weather.tbl[",R$1,"]")),MATCH(vp.tbl[[#This Row],[SDate]],weather.tbl[Date],0))</f>
        <v>-5.5</v>
      </c>
      <c r="S436" s="2">
        <f ca="1">INDEX(INDIRECT(_xlfn.CONCAT("weather.tbl[",S$1,"]")),MATCH(vp.tbl[[#This Row],[SDate]],weather.tbl[Date],0))</f>
        <v>-3.8</v>
      </c>
      <c r="T436" s="2">
        <f ca="1">INDEX(INDIRECT(_xlfn.CONCAT("weather.tbl[",T$1,"]")),MATCH(vp.tbl[[#This Row],[SDate]],weather.tbl[Date],0))</f>
        <v>-5.5</v>
      </c>
      <c r="U436" s="2">
        <f ca="1">INDEX(INDIRECT(_xlfn.CONCAT("weather.tbl[",U$1,"]")),MATCH(vp.tbl[[#This Row],[SDate]],weather.tbl[Date],0))</f>
        <v>-6.5</v>
      </c>
      <c r="V436" s="2">
        <v>21635.382000000001</v>
      </c>
      <c r="W436" t="s">
        <v>48</v>
      </c>
      <c r="X436">
        <f>IF(OR(vp.tbl[[#This Row],[Sulf]]="",vp.tbl[[#This Row],[Dens]]=""),1,0)</f>
        <v>0</v>
      </c>
      <c r="Y436">
        <f>IF(vp.tbl[[#This Row],[CrudeType]]="C5+",1,0)</f>
        <v>0</v>
      </c>
      <c r="Z436">
        <f>IF(AND(vp.tbl[[#This Row],[CrudeType]]="Crude",vp.tbl[[#This Row],[Dens]]&lt;=825,vp.tbl[[#This Row],[Sulf]]&gt;0.5,vp.tbl[[#This Row],[Unknown]]=0),1,0)</f>
        <v>0</v>
      </c>
      <c r="AA436">
        <f>IF(AND(vp.tbl[[#This Row],[CrudeType]]="Crude",vp.tbl[[#This Row],[Dens]]&lt;=825,vp.tbl[[#This Row],[Sulf]]&lt;=0.5,vp.tbl[[#This Row],[Unknown]]=0),1,0)</f>
        <v>1</v>
      </c>
      <c r="AB436">
        <f>IF(AND(vp.tbl[[#This Row],[CrudeType]]="Crude",vp.tbl[[#This Row],[Dens]]&gt;825,vp.tbl[[#This Row],[Dens]]&lt;=870,vp.tbl[[#This Row],[Sulf]]&gt;0.5,vp.tbl[[#This Row],[Unknown]]=0),1,0)</f>
        <v>0</v>
      </c>
      <c r="AC436">
        <f>IF(AND(vp.tbl[[#This Row],[CrudeType]]="Crude",vp.tbl[[#This Row],[Dens]]&gt;825,vp.tbl[[#This Row],[Dens]]&lt;=900,vp.tbl[[#This Row],[Sulf]]&lt;=0.5,vp.tbl[[#This Row],[Unknown]]=0),1,0)</f>
        <v>0</v>
      </c>
      <c r="AD436">
        <f>IF(AND(vp.tbl[[#This Row],[CrudeType]]="Crude",vp.tbl[[#This Row],[Dens]]&gt;870,vp.tbl[[#This Row],[Dens]]&lt;=900,vp.tbl[[#This Row],[Sulf]]&gt;0.5,vp.tbl[[#This Row],[Unknown]]=0),1,0)</f>
        <v>0</v>
      </c>
      <c r="AE436">
        <f>IF(AND(vp.tbl[[#This Row],[CrudeType]]="Crude",vp.tbl[[#This Row],[Dens]]&gt;900,vp.tbl[[#This Row],[Sulf]]&lt;=0.5,vp.tbl[[#This Row],[Unknown]]=0),1,0)</f>
        <v>0</v>
      </c>
      <c r="AF436">
        <f>IF(AND(vp.tbl[[#This Row],[CrudeType]]="Crude",vp.tbl[[#This Row],[Dens]]&gt;900,vp.tbl[[#This Row],[Sulf]]&lt;=0.5,vp.tbl[[#This Row],[Unknown]]=0),1,0)</f>
        <v>0</v>
      </c>
      <c r="AG436" t="str">
        <f>INDEX(vp.tbl[[#Headers],[Unknown]:[Heavy_SW]],MATCH(1,vp.tbl[[#This Row],[Unknown]:[Heavy_SW]],0))</f>
        <v>Light_SW</v>
      </c>
      <c r="AH436" t="e">
        <f>INDEX([1]!crudeBD.lkup[Number],MATCH(vp.tbl[[#This Row],[Crude_Breakdown]],[1]!crudeBD.lkup[Crude Breakdown],0))</f>
        <v>#REF!</v>
      </c>
      <c r="AI436">
        <f>MONTH(vp.tbl[[#This Row],[SDate]])</f>
        <v>12</v>
      </c>
      <c r="AJ436" s="5">
        <f>IFERROR(vp.tbl[[#This Row],[Sulf]]*vp.tbl[[#This Row],[Net Dens]],"")</f>
        <v>2254298.6274900003</v>
      </c>
      <c r="AK436" s="5">
        <f>IFERROR(vp.tbl[[#This Row],[Dens]]*vp.tbl[[#This Row],[VolumeM3]],"")</f>
        <v>17340758.673</v>
      </c>
      <c r="AL436" s="5">
        <f>IFERROR(vp.tbl[[#This Row],[VP]]*vp.tbl[[#This Row],[VolumeM3]],"")</f>
        <v>2723894.5938000004</v>
      </c>
      <c r="AM436" s="4">
        <f>IFERROR((vp.tbl[[#This Row],[VP]]-INDEX(crudeBD.lkup.complete[Mean_VP],MATCH(vp.tbl[[#This Row],[Crude_Breakdown]],crudeBD.lkup.complete[Crude Breakdown],0)))^2,"")</f>
        <v>1112.2015837220338</v>
      </c>
      <c r="AN436" s="4">
        <f>IFERROR((vp.tbl[[#This Row],[Dens]]-INDEX(crudeBD.lkup.complete[Mean_Dens],MATCH(vp.tbl[[#This Row],[Crude_Breakdown]],crudeBD.lkup.complete[Crude Breakdown],0)))^2,"")</f>
        <v>46.396508516550583</v>
      </c>
      <c r="AO436" s="4">
        <f>IFERROR((vp.tbl[[#This Row],[Sulf]]-INDEX(crudeBD.lkup.complete[Mean_Sulf],MATCH(vp.tbl[[#This Row],[Crude_Breakdown]],crudeBD.lkup.complete[Crude Breakdown],0)))^2,"")</f>
        <v>1.1287322584467423E-2</v>
      </c>
      <c r="AP436">
        <f>IF(AND(vp.tbl[[#This Row],[SDate]]&gt;=DATE(YEAR(vp.tbl[[#This Row],[SDate]]),5,1),vp.tbl[[#This Row],[SDate]]&lt;=DATE(YEAR(vp.tbl[[#This Row],[SDate]]),9,15)),1,0)</f>
        <v>0</v>
      </c>
      <c r="AQ436" s="15">
        <f>IF(vp.tbl[[#This Row],[SDate]]&lt;DATE(2016,12,1),0,1)</f>
        <v>1</v>
      </c>
    </row>
    <row r="437" spans="1:43" x14ac:dyDescent="0.25">
      <c r="A437">
        <v>436</v>
      </c>
      <c r="B437" t="s">
        <v>49</v>
      </c>
      <c r="C437" t="s">
        <v>49</v>
      </c>
      <c r="D437" t="s">
        <v>74</v>
      </c>
      <c r="F437" s="1">
        <v>42724</v>
      </c>
      <c r="G437" s="2">
        <v>123.4</v>
      </c>
      <c r="H437" s="2"/>
      <c r="I437" s="2">
        <v>0.15</v>
      </c>
      <c r="J437" s="2">
        <v>10</v>
      </c>
      <c r="K437" s="2">
        <v>-8</v>
      </c>
      <c r="L437" s="2">
        <v>802.6</v>
      </c>
      <c r="M437" s="2">
        <v>802.6</v>
      </c>
      <c r="N437" s="2">
        <f ca="1">INDEX(INDIRECT(_xlfn.CONCAT("weather.tbl[",N$1,"]")),MATCH(vp.tbl[[#This Row],[SDate]],weather.tbl[Date],0))</f>
        <v>-5.416666666666667</v>
      </c>
      <c r="O437" s="2">
        <f ca="1">INDEX(INDIRECT(_xlfn.CONCAT("weather.tbl[",O$1,"]")),MATCH(vp.tbl[[#This Row],[SDate]],weather.tbl[Date],0))</f>
        <v>-18.304761904761904</v>
      </c>
      <c r="P437" s="2">
        <f ca="1">INDEX(INDIRECT(_xlfn.CONCAT("weather.tbl[",P$1,"]")),MATCH(vp.tbl[[#This Row],[SDate]],weather.tbl[Date],0))</f>
        <v>-6</v>
      </c>
      <c r="Q437" s="2">
        <f ca="1">INDEX(INDIRECT(_xlfn.CONCAT("weather.tbl[",Q$1,"]")),MATCH(vp.tbl[[#This Row],[SDate]],weather.tbl[Date],0))</f>
        <v>-5.2</v>
      </c>
      <c r="R437" s="2">
        <f ca="1">INDEX(INDIRECT(_xlfn.CONCAT("weather.tbl[",R$1,"]")),MATCH(vp.tbl[[#This Row],[SDate]],weather.tbl[Date],0))</f>
        <v>-5.5</v>
      </c>
      <c r="S437" s="2">
        <f ca="1">INDEX(INDIRECT(_xlfn.CONCAT("weather.tbl[",S$1,"]")),MATCH(vp.tbl[[#This Row],[SDate]],weather.tbl[Date],0))</f>
        <v>-3.8</v>
      </c>
      <c r="T437" s="2">
        <f ca="1">INDEX(INDIRECT(_xlfn.CONCAT("weather.tbl[",T$1,"]")),MATCH(vp.tbl[[#This Row],[SDate]],weather.tbl[Date],0))</f>
        <v>-5.5</v>
      </c>
      <c r="U437" s="2">
        <f ca="1">INDEX(INDIRECT(_xlfn.CONCAT("weather.tbl[",U$1,"]")),MATCH(vp.tbl[[#This Row],[SDate]],weather.tbl[Date],0))</f>
        <v>-6.5</v>
      </c>
      <c r="V437" s="2">
        <v>30199.411</v>
      </c>
      <c r="W437" t="s">
        <v>48</v>
      </c>
      <c r="X437">
        <f>IF(OR(vp.tbl[[#This Row],[Sulf]]="",vp.tbl[[#This Row],[Dens]]=""),1,0)</f>
        <v>0</v>
      </c>
      <c r="Y437">
        <f>IF(vp.tbl[[#This Row],[CrudeType]]="C5+",1,0)</f>
        <v>0</v>
      </c>
      <c r="Z437">
        <f>IF(AND(vp.tbl[[#This Row],[CrudeType]]="Crude",vp.tbl[[#This Row],[Dens]]&lt;=825,vp.tbl[[#This Row],[Sulf]]&gt;0.5,vp.tbl[[#This Row],[Unknown]]=0),1,0)</f>
        <v>0</v>
      </c>
      <c r="AA437">
        <f>IF(AND(vp.tbl[[#This Row],[CrudeType]]="Crude",vp.tbl[[#This Row],[Dens]]&lt;=825,vp.tbl[[#This Row],[Sulf]]&lt;=0.5,vp.tbl[[#This Row],[Unknown]]=0),1,0)</f>
        <v>1</v>
      </c>
      <c r="AB437">
        <f>IF(AND(vp.tbl[[#This Row],[CrudeType]]="Crude",vp.tbl[[#This Row],[Dens]]&gt;825,vp.tbl[[#This Row],[Dens]]&lt;=870,vp.tbl[[#This Row],[Sulf]]&gt;0.5,vp.tbl[[#This Row],[Unknown]]=0),1,0)</f>
        <v>0</v>
      </c>
      <c r="AC437">
        <f>IF(AND(vp.tbl[[#This Row],[CrudeType]]="Crude",vp.tbl[[#This Row],[Dens]]&gt;825,vp.tbl[[#This Row],[Dens]]&lt;=900,vp.tbl[[#This Row],[Sulf]]&lt;=0.5,vp.tbl[[#This Row],[Unknown]]=0),1,0)</f>
        <v>0</v>
      </c>
      <c r="AD437">
        <f>IF(AND(vp.tbl[[#This Row],[CrudeType]]="Crude",vp.tbl[[#This Row],[Dens]]&gt;870,vp.tbl[[#This Row],[Dens]]&lt;=900,vp.tbl[[#This Row],[Sulf]]&gt;0.5,vp.tbl[[#This Row],[Unknown]]=0),1,0)</f>
        <v>0</v>
      </c>
      <c r="AE437">
        <f>IF(AND(vp.tbl[[#This Row],[CrudeType]]="Crude",vp.tbl[[#This Row],[Dens]]&gt;900,vp.tbl[[#This Row],[Sulf]]&lt;=0.5,vp.tbl[[#This Row],[Unknown]]=0),1,0)</f>
        <v>0</v>
      </c>
      <c r="AF437">
        <f>IF(AND(vp.tbl[[#This Row],[CrudeType]]="Crude",vp.tbl[[#This Row],[Dens]]&gt;900,vp.tbl[[#This Row],[Sulf]]&lt;=0.5,vp.tbl[[#This Row],[Unknown]]=0),1,0)</f>
        <v>0</v>
      </c>
      <c r="AG437" t="str">
        <f>INDEX(vp.tbl[[#Headers],[Unknown]:[Heavy_SW]],MATCH(1,vp.tbl[[#This Row],[Unknown]:[Heavy_SW]],0))</f>
        <v>Light_SW</v>
      </c>
      <c r="AH437" t="e">
        <f>INDEX([1]!crudeBD.lkup[Number],MATCH(vp.tbl[[#This Row],[Crude_Breakdown]],[1]!crudeBD.lkup[Crude Breakdown],0))</f>
        <v>#REF!</v>
      </c>
      <c r="AI437">
        <f>MONTH(vp.tbl[[#This Row],[SDate]])</f>
        <v>12</v>
      </c>
      <c r="AJ437" s="5">
        <f>IFERROR(vp.tbl[[#This Row],[Sulf]]*vp.tbl[[#This Row],[Net Dens]],"")</f>
        <v>3635707.0902900002</v>
      </c>
      <c r="AK437" s="5">
        <f>IFERROR(vp.tbl[[#This Row],[Dens]]*vp.tbl[[#This Row],[VolumeM3]],"")</f>
        <v>24238047.268600002</v>
      </c>
      <c r="AL437" s="5">
        <f>IFERROR(vp.tbl[[#This Row],[VP]]*vp.tbl[[#This Row],[VolumeM3]],"")</f>
        <v>3726607.3174000001</v>
      </c>
      <c r="AM437" s="4">
        <f>IFERROR((vp.tbl[[#This Row],[VP]]-INDEX(crudeBD.lkup.complete[Mean_VP],MATCH(vp.tbl[[#This Row],[Crude_Breakdown]],crudeBD.lkup.complete[Crude Breakdown],0)))^2,"")</f>
        <v>951.70315166628438</v>
      </c>
      <c r="AN437" s="4">
        <f>IFERROR((vp.tbl[[#This Row],[Dens]]-INDEX(crudeBD.lkup.complete[Mean_Dens],MATCH(vp.tbl[[#This Row],[Crude_Breakdown]],crudeBD.lkup.complete[Crude Breakdown],0)))^2,"")</f>
        <v>32.62121234930342</v>
      </c>
      <c r="AO437" s="4">
        <f>IFERROR((vp.tbl[[#This Row],[Sulf]]-INDEX(crudeBD.lkup.complete[Mean_Sulf],MATCH(vp.tbl[[#This Row],[Crude_Breakdown]],crudeBD.lkup.complete[Crude Breakdown],0)))^2,"")</f>
        <v>7.4376501105998362E-3</v>
      </c>
      <c r="AP437">
        <f>IF(AND(vp.tbl[[#This Row],[SDate]]&gt;=DATE(YEAR(vp.tbl[[#This Row],[SDate]]),5,1),vp.tbl[[#This Row],[SDate]]&lt;=DATE(YEAR(vp.tbl[[#This Row],[SDate]]),9,15)),1,0)</f>
        <v>0</v>
      </c>
      <c r="AQ437" s="15">
        <f>IF(vp.tbl[[#This Row],[SDate]]&lt;DATE(2016,12,1),0,1)</f>
        <v>1</v>
      </c>
    </row>
    <row r="438" spans="1:43" x14ac:dyDescent="0.25">
      <c r="A438">
        <v>437</v>
      </c>
      <c r="B438" t="s">
        <v>49</v>
      </c>
      <c r="C438" t="s">
        <v>49</v>
      </c>
      <c r="D438" t="s">
        <v>80</v>
      </c>
      <c r="F438" s="1">
        <v>42724</v>
      </c>
      <c r="G438" s="2">
        <v>99.8</v>
      </c>
      <c r="H438" s="2"/>
      <c r="I438" s="2">
        <v>0.37</v>
      </c>
      <c r="J438" s="2">
        <v>12</v>
      </c>
      <c r="K438" s="2">
        <v>-6</v>
      </c>
      <c r="L438" s="2">
        <v>803.1</v>
      </c>
      <c r="M438" s="2">
        <v>803.1</v>
      </c>
      <c r="N438" s="2">
        <f ca="1">INDEX(INDIRECT(_xlfn.CONCAT("weather.tbl[",N$1,"]")),MATCH(vp.tbl[[#This Row],[SDate]],weather.tbl[Date],0))</f>
        <v>-5.416666666666667</v>
      </c>
      <c r="O438" s="2">
        <f ca="1">INDEX(INDIRECT(_xlfn.CONCAT("weather.tbl[",O$1,"]")),MATCH(vp.tbl[[#This Row],[SDate]],weather.tbl[Date],0))</f>
        <v>-18.304761904761904</v>
      </c>
      <c r="P438" s="2">
        <f ca="1">INDEX(INDIRECT(_xlfn.CONCAT("weather.tbl[",P$1,"]")),MATCH(vp.tbl[[#This Row],[SDate]],weather.tbl[Date],0))</f>
        <v>-6</v>
      </c>
      <c r="Q438" s="2">
        <f ca="1">INDEX(INDIRECT(_xlfn.CONCAT("weather.tbl[",Q$1,"]")),MATCH(vp.tbl[[#This Row],[SDate]],weather.tbl[Date],0))</f>
        <v>-5.2</v>
      </c>
      <c r="R438" s="2">
        <f ca="1">INDEX(INDIRECT(_xlfn.CONCAT("weather.tbl[",R$1,"]")),MATCH(vp.tbl[[#This Row],[SDate]],weather.tbl[Date],0))</f>
        <v>-5.5</v>
      </c>
      <c r="S438" s="2">
        <f ca="1">INDEX(INDIRECT(_xlfn.CONCAT("weather.tbl[",S$1,"]")),MATCH(vp.tbl[[#This Row],[SDate]],weather.tbl[Date],0))</f>
        <v>-3.8</v>
      </c>
      <c r="T438" s="2">
        <f ca="1">INDEX(INDIRECT(_xlfn.CONCAT("weather.tbl[",T$1,"]")),MATCH(vp.tbl[[#This Row],[SDate]],weather.tbl[Date],0))</f>
        <v>-5.5</v>
      </c>
      <c r="U438" s="2">
        <f ca="1">INDEX(INDIRECT(_xlfn.CONCAT("weather.tbl[",U$1,"]")),MATCH(vp.tbl[[#This Row],[SDate]],weather.tbl[Date],0))</f>
        <v>-6.5</v>
      </c>
      <c r="V438" s="2">
        <v>22011.311000000002</v>
      </c>
      <c r="W438" t="s">
        <v>48</v>
      </c>
      <c r="X438">
        <f>IF(OR(vp.tbl[[#This Row],[Sulf]]="",vp.tbl[[#This Row],[Dens]]=""),1,0)</f>
        <v>0</v>
      </c>
      <c r="Y438">
        <f>IF(vp.tbl[[#This Row],[CrudeType]]="C5+",1,0)</f>
        <v>0</v>
      </c>
      <c r="Z438">
        <f>IF(AND(vp.tbl[[#This Row],[CrudeType]]="Crude",vp.tbl[[#This Row],[Dens]]&lt;=825,vp.tbl[[#This Row],[Sulf]]&gt;0.5,vp.tbl[[#This Row],[Unknown]]=0),1,0)</f>
        <v>0</v>
      </c>
      <c r="AA438">
        <f>IF(AND(vp.tbl[[#This Row],[CrudeType]]="Crude",vp.tbl[[#This Row],[Dens]]&lt;=825,vp.tbl[[#This Row],[Sulf]]&lt;=0.5,vp.tbl[[#This Row],[Unknown]]=0),1,0)</f>
        <v>1</v>
      </c>
      <c r="AB438">
        <f>IF(AND(vp.tbl[[#This Row],[CrudeType]]="Crude",vp.tbl[[#This Row],[Dens]]&gt;825,vp.tbl[[#This Row],[Dens]]&lt;=870,vp.tbl[[#This Row],[Sulf]]&gt;0.5,vp.tbl[[#This Row],[Unknown]]=0),1,0)</f>
        <v>0</v>
      </c>
      <c r="AC438">
        <f>IF(AND(vp.tbl[[#This Row],[CrudeType]]="Crude",vp.tbl[[#This Row],[Dens]]&gt;825,vp.tbl[[#This Row],[Dens]]&lt;=900,vp.tbl[[#This Row],[Sulf]]&lt;=0.5,vp.tbl[[#This Row],[Unknown]]=0),1,0)</f>
        <v>0</v>
      </c>
      <c r="AD438">
        <f>IF(AND(vp.tbl[[#This Row],[CrudeType]]="Crude",vp.tbl[[#This Row],[Dens]]&gt;870,vp.tbl[[#This Row],[Dens]]&lt;=900,vp.tbl[[#This Row],[Sulf]]&gt;0.5,vp.tbl[[#This Row],[Unknown]]=0),1,0)</f>
        <v>0</v>
      </c>
      <c r="AE438">
        <f>IF(AND(vp.tbl[[#This Row],[CrudeType]]="Crude",vp.tbl[[#This Row],[Dens]]&gt;900,vp.tbl[[#This Row],[Sulf]]&lt;=0.5,vp.tbl[[#This Row],[Unknown]]=0),1,0)</f>
        <v>0</v>
      </c>
      <c r="AF438">
        <f>IF(AND(vp.tbl[[#This Row],[CrudeType]]="Crude",vp.tbl[[#This Row],[Dens]]&gt;900,vp.tbl[[#This Row],[Sulf]]&lt;=0.5,vp.tbl[[#This Row],[Unknown]]=0),1,0)</f>
        <v>0</v>
      </c>
      <c r="AG438" t="str">
        <f>INDEX(vp.tbl[[#Headers],[Unknown]:[Heavy_SW]],MATCH(1,vp.tbl[[#This Row],[Unknown]:[Heavy_SW]],0))</f>
        <v>Light_SW</v>
      </c>
      <c r="AH438" t="e">
        <f>INDEX([1]!crudeBD.lkup[Number],MATCH(vp.tbl[[#This Row],[Crude_Breakdown]],[1]!crudeBD.lkup[Crude Breakdown],0))</f>
        <v>#REF!</v>
      </c>
      <c r="AI438">
        <f>MONTH(vp.tbl[[#This Row],[SDate]])</f>
        <v>12</v>
      </c>
      <c r="AJ438" s="5">
        <f>IFERROR(vp.tbl[[#This Row],[Sulf]]*vp.tbl[[#This Row],[Net Dens]],"")</f>
        <v>6540595.0297170002</v>
      </c>
      <c r="AK438" s="5">
        <f>IFERROR(vp.tbl[[#This Row],[Dens]]*vp.tbl[[#This Row],[VolumeM3]],"")</f>
        <v>17677283.864100002</v>
      </c>
      <c r="AL438" s="5">
        <f>IFERROR(vp.tbl[[#This Row],[VP]]*vp.tbl[[#This Row],[VolumeM3]],"")</f>
        <v>2196728.8377999999</v>
      </c>
      <c r="AM438" s="4">
        <f>IFERROR((vp.tbl[[#This Row],[VP]]-INDEX(crudeBD.lkup.complete[Mean_VP],MATCH(vp.tbl[[#This Row],[Crude_Breakdown]],crudeBD.lkup.complete[Crude Breakdown],0)))^2,"")</f>
        <v>52.557953060010824</v>
      </c>
      <c r="AN438" s="4">
        <f>IFERROR((vp.tbl[[#This Row],[Dens]]-INDEX(crudeBD.lkup.complete[Mean_Dens],MATCH(vp.tbl[[#This Row],[Crude_Breakdown]],crudeBD.lkup.complete[Crude Breakdown],0)))^2,"")</f>
        <v>27.159714091463936</v>
      </c>
      <c r="AO438" s="4">
        <f>IFERROR((vp.tbl[[#This Row],[Sulf]]-INDEX(crudeBD.lkup.complete[Mean_Sulf],MATCH(vp.tbl[[#This Row],[Crude_Breakdown]],crudeBD.lkup.complete[Crude Breakdown],0)))^2,"")</f>
        <v>1.7891252898056348E-2</v>
      </c>
      <c r="AP438">
        <f>IF(AND(vp.tbl[[#This Row],[SDate]]&gt;=DATE(YEAR(vp.tbl[[#This Row],[SDate]]),5,1),vp.tbl[[#This Row],[SDate]]&lt;=DATE(YEAR(vp.tbl[[#This Row],[SDate]]),9,15)),1,0)</f>
        <v>0</v>
      </c>
      <c r="AQ438" s="15">
        <f>IF(vp.tbl[[#This Row],[SDate]]&lt;DATE(2016,12,1),0,1)</f>
        <v>1</v>
      </c>
    </row>
    <row r="439" spans="1:43" x14ac:dyDescent="0.25">
      <c r="A439">
        <v>438</v>
      </c>
      <c r="B439" t="s">
        <v>62</v>
      </c>
      <c r="C439" t="s">
        <v>62</v>
      </c>
      <c r="D439" t="s">
        <v>79</v>
      </c>
      <c r="F439" s="1">
        <v>42724</v>
      </c>
      <c r="G439" s="2">
        <v>101</v>
      </c>
      <c r="H439" s="2"/>
      <c r="I439" s="2">
        <v>0.19</v>
      </c>
      <c r="J439" s="2">
        <v>12</v>
      </c>
      <c r="K439" s="2">
        <v>-6</v>
      </c>
      <c r="L439" s="2">
        <v>804.3</v>
      </c>
      <c r="M439" s="2">
        <v>804.3</v>
      </c>
      <c r="N439" s="2">
        <f ca="1">INDEX(INDIRECT(_xlfn.CONCAT("weather.tbl[",N$1,"]")),MATCH(vp.tbl[[#This Row],[SDate]],weather.tbl[Date],0))</f>
        <v>-5.416666666666667</v>
      </c>
      <c r="O439" s="2">
        <f ca="1">INDEX(INDIRECT(_xlfn.CONCAT("weather.tbl[",O$1,"]")),MATCH(vp.tbl[[#This Row],[SDate]],weather.tbl[Date],0))</f>
        <v>-18.304761904761904</v>
      </c>
      <c r="P439" s="2">
        <f ca="1">INDEX(INDIRECT(_xlfn.CONCAT("weather.tbl[",P$1,"]")),MATCH(vp.tbl[[#This Row],[SDate]],weather.tbl[Date],0))</f>
        <v>-6</v>
      </c>
      <c r="Q439" s="2">
        <f ca="1">INDEX(INDIRECT(_xlfn.CONCAT("weather.tbl[",Q$1,"]")),MATCH(vp.tbl[[#This Row],[SDate]],weather.tbl[Date],0))</f>
        <v>-5.2</v>
      </c>
      <c r="R439" s="2">
        <f ca="1">INDEX(INDIRECT(_xlfn.CONCAT("weather.tbl[",R$1,"]")),MATCH(vp.tbl[[#This Row],[SDate]],weather.tbl[Date],0))</f>
        <v>-5.5</v>
      </c>
      <c r="S439" s="2">
        <f ca="1">INDEX(INDIRECT(_xlfn.CONCAT("weather.tbl[",S$1,"]")),MATCH(vp.tbl[[#This Row],[SDate]],weather.tbl[Date],0))</f>
        <v>-3.8</v>
      </c>
      <c r="T439" s="2">
        <f ca="1">INDEX(INDIRECT(_xlfn.CONCAT("weather.tbl[",T$1,"]")),MATCH(vp.tbl[[#This Row],[SDate]],weather.tbl[Date],0))</f>
        <v>-5.5</v>
      </c>
      <c r="U439" s="2">
        <f ca="1">INDEX(INDIRECT(_xlfn.CONCAT("weather.tbl[",U$1,"]")),MATCH(vp.tbl[[#This Row],[SDate]],weather.tbl[Date],0))</f>
        <v>-6.5</v>
      </c>
      <c r="V439" s="2">
        <v>13104.25</v>
      </c>
      <c r="W439" t="s">
        <v>48</v>
      </c>
      <c r="X439">
        <f>IF(OR(vp.tbl[[#This Row],[Sulf]]="",vp.tbl[[#This Row],[Dens]]=""),1,0)</f>
        <v>0</v>
      </c>
      <c r="Y439">
        <f>IF(vp.tbl[[#This Row],[CrudeType]]="C5+",1,0)</f>
        <v>0</v>
      </c>
      <c r="Z439">
        <f>IF(AND(vp.tbl[[#This Row],[CrudeType]]="Crude",vp.tbl[[#This Row],[Dens]]&lt;=825,vp.tbl[[#This Row],[Sulf]]&gt;0.5,vp.tbl[[#This Row],[Unknown]]=0),1,0)</f>
        <v>0</v>
      </c>
      <c r="AA439">
        <f>IF(AND(vp.tbl[[#This Row],[CrudeType]]="Crude",vp.tbl[[#This Row],[Dens]]&lt;=825,vp.tbl[[#This Row],[Sulf]]&lt;=0.5,vp.tbl[[#This Row],[Unknown]]=0),1,0)</f>
        <v>1</v>
      </c>
      <c r="AB439">
        <f>IF(AND(vp.tbl[[#This Row],[CrudeType]]="Crude",vp.tbl[[#This Row],[Dens]]&gt;825,vp.tbl[[#This Row],[Dens]]&lt;=870,vp.tbl[[#This Row],[Sulf]]&gt;0.5,vp.tbl[[#This Row],[Unknown]]=0),1,0)</f>
        <v>0</v>
      </c>
      <c r="AC439">
        <f>IF(AND(vp.tbl[[#This Row],[CrudeType]]="Crude",vp.tbl[[#This Row],[Dens]]&gt;825,vp.tbl[[#This Row],[Dens]]&lt;=900,vp.tbl[[#This Row],[Sulf]]&lt;=0.5,vp.tbl[[#This Row],[Unknown]]=0),1,0)</f>
        <v>0</v>
      </c>
      <c r="AD439">
        <f>IF(AND(vp.tbl[[#This Row],[CrudeType]]="Crude",vp.tbl[[#This Row],[Dens]]&gt;870,vp.tbl[[#This Row],[Dens]]&lt;=900,vp.tbl[[#This Row],[Sulf]]&gt;0.5,vp.tbl[[#This Row],[Unknown]]=0),1,0)</f>
        <v>0</v>
      </c>
      <c r="AE439">
        <f>IF(AND(vp.tbl[[#This Row],[CrudeType]]="Crude",vp.tbl[[#This Row],[Dens]]&gt;900,vp.tbl[[#This Row],[Sulf]]&lt;=0.5,vp.tbl[[#This Row],[Unknown]]=0),1,0)</f>
        <v>0</v>
      </c>
      <c r="AF439">
        <f>IF(AND(vp.tbl[[#This Row],[CrudeType]]="Crude",vp.tbl[[#This Row],[Dens]]&gt;900,vp.tbl[[#This Row],[Sulf]]&lt;=0.5,vp.tbl[[#This Row],[Unknown]]=0),1,0)</f>
        <v>0</v>
      </c>
      <c r="AG439" t="str">
        <f>INDEX(vp.tbl[[#Headers],[Unknown]:[Heavy_SW]],MATCH(1,vp.tbl[[#This Row],[Unknown]:[Heavy_SW]],0))</f>
        <v>Light_SW</v>
      </c>
      <c r="AH439" t="e">
        <f>INDEX([1]!crudeBD.lkup[Number],MATCH(vp.tbl[[#This Row],[Crude_Breakdown]],[1]!crudeBD.lkup[Crude Breakdown],0))</f>
        <v>#REF!</v>
      </c>
      <c r="AI439">
        <f>MONTH(vp.tbl[[#This Row],[SDate]])</f>
        <v>12</v>
      </c>
      <c r="AJ439" s="5">
        <f>IFERROR(vp.tbl[[#This Row],[Sulf]]*vp.tbl[[#This Row],[Net Dens]],"")</f>
        <v>2002552.1722499998</v>
      </c>
      <c r="AK439" s="5">
        <f>IFERROR(vp.tbl[[#This Row],[Dens]]*vp.tbl[[#This Row],[VolumeM3]],"")</f>
        <v>10539748.274999999</v>
      </c>
      <c r="AL439" s="5">
        <f>IFERROR(vp.tbl[[#This Row],[VP]]*vp.tbl[[#This Row],[VolumeM3]],"")</f>
        <v>1323529.25</v>
      </c>
      <c r="AM439" s="4">
        <f>IFERROR((vp.tbl[[#This Row],[VP]]-INDEX(crudeBD.lkup.complete[Mean_VP],MATCH(vp.tbl[[#This Row],[Crude_Breakdown]],crudeBD.lkup.complete[Crude Breakdown],0)))^2,"")</f>
        <v>71.397200446770526</v>
      </c>
      <c r="AN439" s="4">
        <f>IFERROR((vp.tbl[[#This Row],[Dens]]-INDEX(crudeBD.lkup.complete[Mean_Dens],MATCH(vp.tbl[[#This Row],[Crude_Breakdown]],crudeBD.lkup.complete[Crude Breakdown],0)))^2,"")</f>
        <v>16.092118272649731</v>
      </c>
      <c r="AO439" s="4">
        <f>IFERROR((vp.tbl[[#This Row],[Sulf]]-INDEX(crudeBD.lkup.complete[Mean_Sulf],MATCH(vp.tbl[[#This Row],[Crude_Breakdown]],crudeBD.lkup.complete[Crude Breakdown],0)))^2,"")</f>
        <v>2.1383051628646554E-3</v>
      </c>
      <c r="AP439">
        <f>IF(AND(vp.tbl[[#This Row],[SDate]]&gt;=DATE(YEAR(vp.tbl[[#This Row],[SDate]]),5,1),vp.tbl[[#This Row],[SDate]]&lt;=DATE(YEAR(vp.tbl[[#This Row],[SDate]]),9,15)),1,0)</f>
        <v>0</v>
      </c>
      <c r="AQ439" s="15">
        <f>IF(vp.tbl[[#This Row],[SDate]]&lt;DATE(2016,12,1),0,1)</f>
        <v>1</v>
      </c>
    </row>
    <row r="440" spans="1:43" x14ac:dyDescent="0.25">
      <c r="A440">
        <v>439</v>
      </c>
      <c r="B440" t="s">
        <v>62</v>
      </c>
      <c r="C440" t="s">
        <v>62</v>
      </c>
      <c r="D440" t="s">
        <v>83</v>
      </c>
      <c r="F440" s="1">
        <v>42724</v>
      </c>
      <c r="G440" s="2">
        <v>102.4</v>
      </c>
      <c r="H440" s="2"/>
      <c r="I440" s="2">
        <v>0.17</v>
      </c>
      <c r="J440" s="2">
        <v>1.5</v>
      </c>
      <c r="K440" s="2">
        <v>-8</v>
      </c>
      <c r="L440" s="2">
        <v>805</v>
      </c>
      <c r="M440" s="2">
        <v>805</v>
      </c>
      <c r="N440" s="2">
        <f ca="1">INDEX(INDIRECT(_xlfn.CONCAT("weather.tbl[",N$1,"]")),MATCH(vp.tbl[[#This Row],[SDate]],weather.tbl[Date],0))</f>
        <v>-5.416666666666667</v>
      </c>
      <c r="O440" s="2">
        <f ca="1">INDEX(INDIRECT(_xlfn.CONCAT("weather.tbl[",O$1,"]")),MATCH(vp.tbl[[#This Row],[SDate]],weather.tbl[Date],0))</f>
        <v>-18.304761904761904</v>
      </c>
      <c r="P440" s="2">
        <f ca="1">INDEX(INDIRECT(_xlfn.CONCAT("weather.tbl[",P$1,"]")),MATCH(vp.tbl[[#This Row],[SDate]],weather.tbl[Date],0))</f>
        <v>-6</v>
      </c>
      <c r="Q440" s="2">
        <f ca="1">INDEX(INDIRECT(_xlfn.CONCAT("weather.tbl[",Q$1,"]")),MATCH(vp.tbl[[#This Row],[SDate]],weather.tbl[Date],0))</f>
        <v>-5.2</v>
      </c>
      <c r="R440" s="2">
        <f ca="1">INDEX(INDIRECT(_xlfn.CONCAT("weather.tbl[",R$1,"]")),MATCH(vp.tbl[[#This Row],[SDate]],weather.tbl[Date],0))</f>
        <v>-5.5</v>
      </c>
      <c r="S440" s="2">
        <f ca="1">INDEX(INDIRECT(_xlfn.CONCAT("weather.tbl[",S$1,"]")),MATCH(vp.tbl[[#This Row],[SDate]],weather.tbl[Date],0))</f>
        <v>-3.8</v>
      </c>
      <c r="T440" s="2">
        <f ca="1">INDEX(INDIRECT(_xlfn.CONCAT("weather.tbl[",T$1,"]")),MATCH(vp.tbl[[#This Row],[SDate]],weather.tbl[Date],0))</f>
        <v>-5.5</v>
      </c>
      <c r="U440" s="2">
        <f ca="1">INDEX(INDIRECT(_xlfn.CONCAT("weather.tbl[",U$1,"]")),MATCH(vp.tbl[[#This Row],[SDate]],weather.tbl[Date],0))</f>
        <v>-6.5</v>
      </c>
      <c r="V440" s="2">
        <v>9482.9609999999993</v>
      </c>
      <c r="W440" t="s">
        <v>48</v>
      </c>
      <c r="X440">
        <f>IF(OR(vp.tbl[[#This Row],[Sulf]]="",vp.tbl[[#This Row],[Dens]]=""),1,0)</f>
        <v>0</v>
      </c>
      <c r="Y440">
        <f>IF(vp.tbl[[#This Row],[CrudeType]]="C5+",1,0)</f>
        <v>0</v>
      </c>
      <c r="Z440">
        <f>IF(AND(vp.tbl[[#This Row],[CrudeType]]="Crude",vp.tbl[[#This Row],[Dens]]&lt;=825,vp.tbl[[#This Row],[Sulf]]&gt;0.5,vp.tbl[[#This Row],[Unknown]]=0),1,0)</f>
        <v>0</v>
      </c>
      <c r="AA440">
        <f>IF(AND(vp.tbl[[#This Row],[CrudeType]]="Crude",vp.tbl[[#This Row],[Dens]]&lt;=825,vp.tbl[[#This Row],[Sulf]]&lt;=0.5,vp.tbl[[#This Row],[Unknown]]=0),1,0)</f>
        <v>1</v>
      </c>
      <c r="AB440">
        <f>IF(AND(vp.tbl[[#This Row],[CrudeType]]="Crude",vp.tbl[[#This Row],[Dens]]&gt;825,vp.tbl[[#This Row],[Dens]]&lt;=870,vp.tbl[[#This Row],[Sulf]]&gt;0.5,vp.tbl[[#This Row],[Unknown]]=0),1,0)</f>
        <v>0</v>
      </c>
      <c r="AC440">
        <f>IF(AND(vp.tbl[[#This Row],[CrudeType]]="Crude",vp.tbl[[#This Row],[Dens]]&gt;825,vp.tbl[[#This Row],[Dens]]&lt;=900,vp.tbl[[#This Row],[Sulf]]&lt;=0.5,vp.tbl[[#This Row],[Unknown]]=0),1,0)</f>
        <v>0</v>
      </c>
      <c r="AD440">
        <f>IF(AND(vp.tbl[[#This Row],[CrudeType]]="Crude",vp.tbl[[#This Row],[Dens]]&gt;870,vp.tbl[[#This Row],[Dens]]&lt;=900,vp.tbl[[#This Row],[Sulf]]&gt;0.5,vp.tbl[[#This Row],[Unknown]]=0),1,0)</f>
        <v>0</v>
      </c>
      <c r="AE440">
        <f>IF(AND(vp.tbl[[#This Row],[CrudeType]]="Crude",vp.tbl[[#This Row],[Dens]]&gt;900,vp.tbl[[#This Row],[Sulf]]&lt;=0.5,vp.tbl[[#This Row],[Unknown]]=0),1,0)</f>
        <v>0</v>
      </c>
      <c r="AF440">
        <f>IF(AND(vp.tbl[[#This Row],[CrudeType]]="Crude",vp.tbl[[#This Row],[Dens]]&gt;900,vp.tbl[[#This Row],[Sulf]]&lt;=0.5,vp.tbl[[#This Row],[Unknown]]=0),1,0)</f>
        <v>0</v>
      </c>
      <c r="AG440" t="str">
        <f>INDEX(vp.tbl[[#Headers],[Unknown]:[Heavy_SW]],MATCH(1,vp.tbl[[#This Row],[Unknown]:[Heavy_SW]],0))</f>
        <v>Light_SW</v>
      </c>
      <c r="AH440" t="e">
        <f>INDEX([1]!crudeBD.lkup[Number],MATCH(vp.tbl[[#This Row],[Crude_Breakdown]],[1]!crudeBD.lkup[Crude Breakdown],0))</f>
        <v>#REF!</v>
      </c>
      <c r="AI440">
        <f>MONTH(vp.tbl[[#This Row],[SDate]])</f>
        <v>12</v>
      </c>
      <c r="AJ440" s="5">
        <f>IFERROR(vp.tbl[[#This Row],[Sulf]]*vp.tbl[[#This Row],[Net Dens]],"")</f>
        <v>1297743.21285</v>
      </c>
      <c r="AK440" s="5">
        <f>IFERROR(vp.tbl[[#This Row],[Dens]]*vp.tbl[[#This Row],[VolumeM3]],"")</f>
        <v>7633783.6049999995</v>
      </c>
      <c r="AL440" s="5">
        <f>IFERROR(vp.tbl[[#This Row],[VP]]*vp.tbl[[#This Row],[VolumeM3]],"")</f>
        <v>971055.20640000002</v>
      </c>
      <c r="AM440" s="4">
        <f>IFERROR((vp.tbl[[#This Row],[VP]]-INDEX(crudeBD.lkup.complete[Mean_VP],MATCH(vp.tbl[[#This Row],[Crude_Breakdown]],crudeBD.lkup.complete[Crude Breakdown],0)))^2,"")</f>
        <v>97.016322397990223</v>
      </c>
      <c r="AN440" s="4">
        <f>IFERROR((vp.tbl[[#This Row],[Dens]]-INDEX(crudeBD.lkup.complete[Mean_Dens],MATCH(vp.tbl[[#This Row],[Crude_Breakdown]],crudeBD.lkup.complete[Crude Breakdown],0)))^2,"")</f>
        <v>10.966020711674062</v>
      </c>
      <c r="AO440" s="4">
        <f>IFERROR((vp.tbl[[#This Row],[Sulf]]-INDEX(crudeBD.lkup.complete[Mean_Sulf],MATCH(vp.tbl[[#This Row],[Crude_Breakdown]],crudeBD.lkup.complete[Crude Breakdown],0)))^2,"")</f>
        <v>4.3879776367322437E-3</v>
      </c>
      <c r="AP440">
        <f>IF(AND(vp.tbl[[#This Row],[SDate]]&gt;=DATE(YEAR(vp.tbl[[#This Row],[SDate]]),5,1),vp.tbl[[#This Row],[SDate]]&lt;=DATE(YEAR(vp.tbl[[#This Row],[SDate]]),9,15)),1,0)</f>
        <v>0</v>
      </c>
      <c r="AQ440" s="15">
        <f>IF(vp.tbl[[#This Row],[SDate]]&lt;DATE(2016,12,1),0,1)</f>
        <v>1</v>
      </c>
    </row>
    <row r="441" spans="1:43" x14ac:dyDescent="0.25">
      <c r="A441">
        <v>440</v>
      </c>
      <c r="B441" t="s">
        <v>49</v>
      </c>
      <c r="C441" t="s">
        <v>49</v>
      </c>
      <c r="D441" t="s">
        <v>67</v>
      </c>
      <c r="F441" s="1">
        <v>42724</v>
      </c>
      <c r="G441" s="2">
        <v>110.8</v>
      </c>
      <c r="H441" s="2"/>
      <c r="I441" s="2">
        <v>0.2</v>
      </c>
      <c r="J441" s="2">
        <v>0</v>
      </c>
      <c r="K441" s="2">
        <v>-6</v>
      </c>
      <c r="L441" s="2">
        <v>806.4</v>
      </c>
      <c r="M441" s="2">
        <v>806.4</v>
      </c>
      <c r="N441" s="2">
        <f ca="1">INDEX(INDIRECT(_xlfn.CONCAT("weather.tbl[",N$1,"]")),MATCH(vp.tbl[[#This Row],[SDate]],weather.tbl[Date],0))</f>
        <v>-5.416666666666667</v>
      </c>
      <c r="O441" s="2">
        <f ca="1">INDEX(INDIRECT(_xlfn.CONCAT("weather.tbl[",O$1,"]")),MATCH(vp.tbl[[#This Row],[SDate]],weather.tbl[Date],0))</f>
        <v>-18.304761904761904</v>
      </c>
      <c r="P441" s="2">
        <f ca="1">INDEX(INDIRECT(_xlfn.CONCAT("weather.tbl[",P$1,"]")),MATCH(vp.tbl[[#This Row],[SDate]],weather.tbl[Date],0))</f>
        <v>-6</v>
      </c>
      <c r="Q441" s="2">
        <f ca="1">INDEX(INDIRECT(_xlfn.CONCAT("weather.tbl[",Q$1,"]")),MATCH(vp.tbl[[#This Row],[SDate]],weather.tbl[Date],0))</f>
        <v>-5.2</v>
      </c>
      <c r="R441" s="2">
        <f ca="1">INDEX(INDIRECT(_xlfn.CONCAT("weather.tbl[",R$1,"]")),MATCH(vp.tbl[[#This Row],[SDate]],weather.tbl[Date],0))</f>
        <v>-5.5</v>
      </c>
      <c r="S441" s="2">
        <f ca="1">INDEX(INDIRECT(_xlfn.CONCAT("weather.tbl[",S$1,"]")),MATCH(vp.tbl[[#This Row],[SDate]],weather.tbl[Date],0))</f>
        <v>-3.8</v>
      </c>
      <c r="T441" s="2">
        <f ca="1">INDEX(INDIRECT(_xlfn.CONCAT("weather.tbl[",T$1,"]")),MATCH(vp.tbl[[#This Row],[SDate]],weather.tbl[Date],0))</f>
        <v>-5.5</v>
      </c>
      <c r="U441" s="2">
        <f ca="1">INDEX(INDIRECT(_xlfn.CONCAT("weather.tbl[",U$1,"]")),MATCH(vp.tbl[[#This Row],[SDate]],weather.tbl[Date],0))</f>
        <v>-6.5</v>
      </c>
      <c r="V441" s="2">
        <v>75984.024999999994</v>
      </c>
      <c r="W441" t="s">
        <v>48</v>
      </c>
      <c r="X441">
        <f>IF(OR(vp.tbl[[#This Row],[Sulf]]="",vp.tbl[[#This Row],[Dens]]=""),1,0)</f>
        <v>0</v>
      </c>
      <c r="Y441">
        <f>IF(vp.tbl[[#This Row],[CrudeType]]="C5+",1,0)</f>
        <v>0</v>
      </c>
      <c r="Z441">
        <f>IF(AND(vp.tbl[[#This Row],[CrudeType]]="Crude",vp.tbl[[#This Row],[Dens]]&lt;=825,vp.tbl[[#This Row],[Sulf]]&gt;0.5,vp.tbl[[#This Row],[Unknown]]=0),1,0)</f>
        <v>0</v>
      </c>
      <c r="AA441">
        <f>IF(AND(vp.tbl[[#This Row],[CrudeType]]="Crude",vp.tbl[[#This Row],[Dens]]&lt;=825,vp.tbl[[#This Row],[Sulf]]&lt;=0.5,vp.tbl[[#This Row],[Unknown]]=0),1,0)</f>
        <v>1</v>
      </c>
      <c r="AB441">
        <f>IF(AND(vp.tbl[[#This Row],[CrudeType]]="Crude",vp.tbl[[#This Row],[Dens]]&gt;825,vp.tbl[[#This Row],[Dens]]&lt;=870,vp.tbl[[#This Row],[Sulf]]&gt;0.5,vp.tbl[[#This Row],[Unknown]]=0),1,0)</f>
        <v>0</v>
      </c>
      <c r="AC441">
        <f>IF(AND(vp.tbl[[#This Row],[CrudeType]]="Crude",vp.tbl[[#This Row],[Dens]]&gt;825,vp.tbl[[#This Row],[Dens]]&lt;=900,vp.tbl[[#This Row],[Sulf]]&lt;=0.5,vp.tbl[[#This Row],[Unknown]]=0),1,0)</f>
        <v>0</v>
      </c>
      <c r="AD441">
        <f>IF(AND(vp.tbl[[#This Row],[CrudeType]]="Crude",vp.tbl[[#This Row],[Dens]]&gt;870,vp.tbl[[#This Row],[Dens]]&lt;=900,vp.tbl[[#This Row],[Sulf]]&gt;0.5,vp.tbl[[#This Row],[Unknown]]=0),1,0)</f>
        <v>0</v>
      </c>
      <c r="AE441">
        <f>IF(AND(vp.tbl[[#This Row],[CrudeType]]="Crude",vp.tbl[[#This Row],[Dens]]&gt;900,vp.tbl[[#This Row],[Sulf]]&lt;=0.5,vp.tbl[[#This Row],[Unknown]]=0),1,0)</f>
        <v>0</v>
      </c>
      <c r="AF441">
        <f>IF(AND(vp.tbl[[#This Row],[CrudeType]]="Crude",vp.tbl[[#This Row],[Dens]]&gt;900,vp.tbl[[#This Row],[Sulf]]&lt;=0.5,vp.tbl[[#This Row],[Unknown]]=0),1,0)</f>
        <v>0</v>
      </c>
      <c r="AG441" t="str">
        <f>INDEX(vp.tbl[[#Headers],[Unknown]:[Heavy_SW]],MATCH(1,vp.tbl[[#This Row],[Unknown]:[Heavy_SW]],0))</f>
        <v>Light_SW</v>
      </c>
      <c r="AH441" t="e">
        <f>INDEX([1]!crudeBD.lkup[Number],MATCH(vp.tbl[[#This Row],[Crude_Breakdown]],[1]!crudeBD.lkup[Crude Breakdown],0))</f>
        <v>#REF!</v>
      </c>
      <c r="AI441">
        <f>MONTH(vp.tbl[[#This Row],[SDate]])</f>
        <v>12</v>
      </c>
      <c r="AJ441" s="5">
        <f>IFERROR(vp.tbl[[#This Row],[Sulf]]*vp.tbl[[#This Row],[Net Dens]],"")</f>
        <v>12254703.551999999</v>
      </c>
      <c r="AK441" s="5">
        <f>IFERROR(vp.tbl[[#This Row],[Dens]]*vp.tbl[[#This Row],[VolumeM3]],"")</f>
        <v>61273517.75999999</v>
      </c>
      <c r="AL441" s="5">
        <f>IFERROR(vp.tbl[[#This Row],[VP]]*vp.tbl[[#This Row],[VolumeM3]],"")</f>
        <v>8419029.9699999988</v>
      </c>
      <c r="AM441" s="4">
        <f>IFERROR((vp.tbl[[#This Row],[VP]]-INDEX(crudeBD.lkup.complete[Mean_VP],MATCH(vp.tbl[[#This Row],[Crude_Breakdown]],crudeBD.lkup.complete[Crude Breakdown],0)))^2,"")</f>
        <v>333.05105410530757</v>
      </c>
      <c r="AN441" s="4">
        <f>IFERROR((vp.tbl[[#This Row],[Dens]]-INDEX(crudeBD.lkup.complete[Mean_Dens],MATCH(vp.tbl[[#This Row],[Crude_Breakdown]],crudeBD.lkup.complete[Crude Breakdown],0)))^2,"")</f>
        <v>3.6538255897235419</v>
      </c>
      <c r="AO441" s="4">
        <f>IFERROR((vp.tbl[[#This Row],[Sulf]]-INDEX(crudeBD.lkup.complete[Mean_Sulf],MATCH(vp.tbl[[#This Row],[Crude_Breakdown]],crudeBD.lkup.complete[Crude Breakdown],0)))^2,"")</f>
        <v>1.3134689259308601E-3</v>
      </c>
      <c r="AP441">
        <f>IF(AND(vp.tbl[[#This Row],[SDate]]&gt;=DATE(YEAR(vp.tbl[[#This Row],[SDate]]),5,1),vp.tbl[[#This Row],[SDate]]&lt;=DATE(YEAR(vp.tbl[[#This Row],[SDate]]),9,15)),1,0)</f>
        <v>0</v>
      </c>
      <c r="AQ441" s="15">
        <f>IF(vp.tbl[[#This Row],[SDate]]&lt;DATE(2016,12,1),0,1)</f>
        <v>1</v>
      </c>
    </row>
    <row r="442" spans="1:43" x14ac:dyDescent="0.25">
      <c r="A442">
        <v>441</v>
      </c>
      <c r="B442" t="s">
        <v>49</v>
      </c>
      <c r="C442" t="s">
        <v>49</v>
      </c>
      <c r="D442" t="s">
        <v>89</v>
      </c>
      <c r="F442" s="1">
        <v>42724</v>
      </c>
      <c r="G442" s="2">
        <v>103.5</v>
      </c>
      <c r="H442" s="2"/>
      <c r="I442" s="2">
        <v>0.55000000000000004</v>
      </c>
      <c r="J442" s="2">
        <v>4</v>
      </c>
      <c r="K442" s="2">
        <v>-6</v>
      </c>
      <c r="L442" s="2">
        <v>822.4</v>
      </c>
      <c r="M442" s="2">
        <v>822.4</v>
      </c>
      <c r="N442" s="2">
        <f ca="1">INDEX(INDIRECT(_xlfn.CONCAT("weather.tbl[",N$1,"]")),MATCH(vp.tbl[[#This Row],[SDate]],weather.tbl[Date],0))</f>
        <v>-5.416666666666667</v>
      </c>
      <c r="O442" s="2">
        <f ca="1">INDEX(INDIRECT(_xlfn.CONCAT("weather.tbl[",O$1,"]")),MATCH(vp.tbl[[#This Row],[SDate]],weather.tbl[Date],0))</f>
        <v>-18.304761904761904</v>
      </c>
      <c r="P442" s="2">
        <f ca="1">INDEX(INDIRECT(_xlfn.CONCAT("weather.tbl[",P$1,"]")),MATCH(vp.tbl[[#This Row],[SDate]],weather.tbl[Date],0))</f>
        <v>-6</v>
      </c>
      <c r="Q442" s="2">
        <f ca="1">INDEX(INDIRECT(_xlfn.CONCAT("weather.tbl[",Q$1,"]")),MATCH(vp.tbl[[#This Row],[SDate]],weather.tbl[Date],0))</f>
        <v>-5.2</v>
      </c>
      <c r="R442" s="2">
        <f ca="1">INDEX(INDIRECT(_xlfn.CONCAT("weather.tbl[",R$1,"]")),MATCH(vp.tbl[[#This Row],[SDate]],weather.tbl[Date],0))</f>
        <v>-5.5</v>
      </c>
      <c r="S442" s="2">
        <f ca="1">INDEX(INDIRECT(_xlfn.CONCAT("weather.tbl[",S$1,"]")),MATCH(vp.tbl[[#This Row],[SDate]],weather.tbl[Date],0))</f>
        <v>-3.8</v>
      </c>
      <c r="T442" s="2">
        <f ca="1">INDEX(INDIRECT(_xlfn.CONCAT("weather.tbl[",T$1,"]")),MATCH(vp.tbl[[#This Row],[SDate]],weather.tbl[Date],0))</f>
        <v>-5.5</v>
      </c>
      <c r="U442" s="2">
        <f ca="1">INDEX(INDIRECT(_xlfn.CONCAT("weather.tbl[",U$1,"]")),MATCH(vp.tbl[[#This Row],[SDate]],weather.tbl[Date],0))</f>
        <v>-6.5</v>
      </c>
      <c r="V442" s="2">
        <v>5355.0209999999997</v>
      </c>
      <c r="W442" t="s">
        <v>48</v>
      </c>
      <c r="X442">
        <f>IF(OR(vp.tbl[[#This Row],[Sulf]]="",vp.tbl[[#This Row],[Dens]]=""),1,0)</f>
        <v>0</v>
      </c>
      <c r="Y442">
        <f>IF(vp.tbl[[#This Row],[CrudeType]]="C5+",1,0)</f>
        <v>0</v>
      </c>
      <c r="Z442">
        <f>IF(AND(vp.tbl[[#This Row],[CrudeType]]="Crude",vp.tbl[[#This Row],[Dens]]&lt;=825,vp.tbl[[#This Row],[Sulf]]&gt;0.5,vp.tbl[[#This Row],[Unknown]]=0),1,0)</f>
        <v>1</v>
      </c>
      <c r="AA442">
        <f>IF(AND(vp.tbl[[#This Row],[CrudeType]]="Crude",vp.tbl[[#This Row],[Dens]]&lt;=825,vp.tbl[[#This Row],[Sulf]]&lt;=0.5,vp.tbl[[#This Row],[Unknown]]=0),1,0)</f>
        <v>0</v>
      </c>
      <c r="AB442">
        <f>IF(AND(vp.tbl[[#This Row],[CrudeType]]="Crude",vp.tbl[[#This Row],[Dens]]&gt;825,vp.tbl[[#This Row],[Dens]]&lt;=870,vp.tbl[[#This Row],[Sulf]]&gt;0.5,vp.tbl[[#This Row],[Unknown]]=0),1,0)</f>
        <v>0</v>
      </c>
      <c r="AC442">
        <f>IF(AND(vp.tbl[[#This Row],[CrudeType]]="Crude",vp.tbl[[#This Row],[Dens]]&gt;825,vp.tbl[[#This Row],[Dens]]&lt;=900,vp.tbl[[#This Row],[Sulf]]&lt;=0.5,vp.tbl[[#This Row],[Unknown]]=0),1,0)</f>
        <v>0</v>
      </c>
      <c r="AD442">
        <f>IF(AND(vp.tbl[[#This Row],[CrudeType]]="Crude",vp.tbl[[#This Row],[Dens]]&gt;870,vp.tbl[[#This Row],[Dens]]&lt;=900,vp.tbl[[#This Row],[Sulf]]&gt;0.5,vp.tbl[[#This Row],[Unknown]]=0),1,0)</f>
        <v>0</v>
      </c>
      <c r="AE442">
        <f>IF(AND(vp.tbl[[#This Row],[CrudeType]]="Crude",vp.tbl[[#This Row],[Dens]]&gt;900,vp.tbl[[#This Row],[Sulf]]&lt;=0.5,vp.tbl[[#This Row],[Unknown]]=0),1,0)</f>
        <v>0</v>
      </c>
      <c r="AF442">
        <f>IF(AND(vp.tbl[[#This Row],[CrudeType]]="Crude",vp.tbl[[#This Row],[Dens]]&gt;900,vp.tbl[[#This Row],[Sulf]]&lt;=0.5,vp.tbl[[#This Row],[Unknown]]=0),1,0)</f>
        <v>0</v>
      </c>
      <c r="AG442" t="str">
        <f>INDEX(vp.tbl[[#Headers],[Unknown]:[Heavy_SW]],MATCH(1,vp.tbl[[#This Row],[Unknown]:[Heavy_SW]],0))</f>
        <v>Light_LSB</v>
      </c>
      <c r="AH442" t="e">
        <f>INDEX([1]!crudeBD.lkup[Number],MATCH(vp.tbl[[#This Row],[Crude_Breakdown]],[1]!crudeBD.lkup[Crude Breakdown],0))</f>
        <v>#REF!</v>
      </c>
      <c r="AI442">
        <f>MONTH(vp.tbl[[#This Row],[SDate]])</f>
        <v>12</v>
      </c>
      <c r="AJ442" s="5">
        <f>IFERROR(vp.tbl[[#This Row],[Sulf]]*vp.tbl[[#This Row],[Net Dens]],"")</f>
        <v>2422183.0987200001</v>
      </c>
      <c r="AK442" s="5">
        <f>IFERROR(vp.tbl[[#This Row],[Dens]]*vp.tbl[[#This Row],[VolumeM3]],"")</f>
        <v>4403969.2703999998</v>
      </c>
      <c r="AL442" s="5">
        <f>IFERROR(vp.tbl[[#This Row],[VP]]*vp.tbl[[#This Row],[VolumeM3]],"")</f>
        <v>554244.67349999992</v>
      </c>
      <c r="AM442" s="4">
        <f>IFERROR((vp.tbl[[#This Row],[VP]]-INDEX(crudeBD.lkup.complete[Mean_VP],MATCH(vp.tbl[[#This Row],[Crude_Breakdown]],crudeBD.lkup.complete[Crude Breakdown],0)))^2,"")</f>
        <v>142.8936794983519</v>
      </c>
      <c r="AN442" s="4">
        <f>IFERROR((vp.tbl[[#This Row],[Dens]]-INDEX(crudeBD.lkup.complete[Mean_Dens],MATCH(vp.tbl[[#This Row],[Crude_Breakdown]],crudeBD.lkup.complete[Crude Breakdown],0)))^2,"")</f>
        <v>15.07947710112294</v>
      </c>
      <c r="AO442" s="4">
        <f>IFERROR((vp.tbl[[#This Row],[Sulf]]-INDEX(crudeBD.lkup.complete[Mean_Sulf],MATCH(vp.tbl[[#This Row],[Crude_Breakdown]],crudeBD.lkup.complete[Crude Breakdown],0)))^2,"")</f>
        <v>0.13910749244638207</v>
      </c>
      <c r="AP442">
        <f>IF(AND(vp.tbl[[#This Row],[SDate]]&gt;=DATE(YEAR(vp.tbl[[#This Row],[SDate]]),5,1),vp.tbl[[#This Row],[SDate]]&lt;=DATE(YEAR(vp.tbl[[#This Row],[SDate]]),9,15)),1,0)</f>
        <v>0</v>
      </c>
      <c r="AQ442" s="15">
        <f>IF(vp.tbl[[#This Row],[SDate]]&lt;DATE(2016,12,1),0,1)</f>
        <v>1</v>
      </c>
    </row>
    <row r="443" spans="1:43" x14ac:dyDescent="0.25">
      <c r="A443">
        <v>442</v>
      </c>
      <c r="B443" t="s">
        <v>56</v>
      </c>
      <c r="C443" t="s">
        <v>56</v>
      </c>
      <c r="D443" t="s">
        <v>57</v>
      </c>
      <c r="F443" s="1">
        <v>42724</v>
      </c>
      <c r="G443" s="2">
        <v>114.4</v>
      </c>
      <c r="H443" s="2"/>
      <c r="I443" s="2">
        <v>1.63</v>
      </c>
      <c r="J443" s="2">
        <v>7</v>
      </c>
      <c r="K443" s="2">
        <v>-6</v>
      </c>
      <c r="L443" s="2">
        <v>833.8</v>
      </c>
      <c r="M443" s="2">
        <v>833.8</v>
      </c>
      <c r="N443" s="2">
        <f ca="1">INDEX(INDIRECT(_xlfn.CONCAT("weather.tbl[",N$1,"]")),MATCH(vp.tbl[[#This Row],[SDate]],weather.tbl[Date],0))</f>
        <v>-5.416666666666667</v>
      </c>
      <c r="O443" s="2">
        <f ca="1">INDEX(INDIRECT(_xlfn.CONCAT("weather.tbl[",O$1,"]")),MATCH(vp.tbl[[#This Row],[SDate]],weather.tbl[Date],0))</f>
        <v>-18.304761904761904</v>
      </c>
      <c r="P443" s="2">
        <f ca="1">INDEX(INDIRECT(_xlfn.CONCAT("weather.tbl[",P$1,"]")),MATCH(vp.tbl[[#This Row],[SDate]],weather.tbl[Date],0))</f>
        <v>-6</v>
      </c>
      <c r="Q443" s="2">
        <f ca="1">INDEX(INDIRECT(_xlfn.CONCAT("weather.tbl[",Q$1,"]")),MATCH(vp.tbl[[#This Row],[SDate]],weather.tbl[Date],0))</f>
        <v>-5.2</v>
      </c>
      <c r="R443" s="2">
        <f ca="1">INDEX(INDIRECT(_xlfn.CONCAT("weather.tbl[",R$1,"]")),MATCH(vp.tbl[[#This Row],[SDate]],weather.tbl[Date],0))</f>
        <v>-5.5</v>
      </c>
      <c r="S443" s="2">
        <f ca="1">INDEX(INDIRECT(_xlfn.CONCAT("weather.tbl[",S$1,"]")),MATCH(vp.tbl[[#This Row],[SDate]],weather.tbl[Date],0))</f>
        <v>-3.8</v>
      </c>
      <c r="T443" s="2">
        <f ca="1">INDEX(INDIRECT(_xlfn.CONCAT("weather.tbl[",T$1,"]")),MATCH(vp.tbl[[#This Row],[SDate]],weather.tbl[Date],0))</f>
        <v>-5.5</v>
      </c>
      <c r="U443" s="2">
        <f ca="1">INDEX(INDIRECT(_xlfn.CONCAT("weather.tbl[",U$1,"]")),MATCH(vp.tbl[[#This Row],[SDate]],weather.tbl[Date],0))</f>
        <v>-6.5</v>
      </c>
      <c r="V443" s="2">
        <v>3105.3330000000001</v>
      </c>
      <c r="W443" t="s">
        <v>48</v>
      </c>
      <c r="X443">
        <f>IF(OR(vp.tbl[[#This Row],[Sulf]]="",vp.tbl[[#This Row],[Dens]]=""),1,0)</f>
        <v>0</v>
      </c>
      <c r="Y443">
        <f>IF(vp.tbl[[#This Row],[CrudeType]]="C5+",1,0)</f>
        <v>0</v>
      </c>
      <c r="Z443">
        <f>IF(AND(vp.tbl[[#This Row],[CrudeType]]="Crude",vp.tbl[[#This Row],[Dens]]&lt;=825,vp.tbl[[#This Row],[Sulf]]&gt;0.5,vp.tbl[[#This Row],[Unknown]]=0),1,0)</f>
        <v>0</v>
      </c>
      <c r="AA443">
        <f>IF(AND(vp.tbl[[#This Row],[CrudeType]]="Crude",vp.tbl[[#This Row],[Dens]]&lt;=825,vp.tbl[[#This Row],[Sulf]]&lt;=0.5,vp.tbl[[#This Row],[Unknown]]=0),1,0)</f>
        <v>0</v>
      </c>
      <c r="AB443">
        <f>IF(AND(vp.tbl[[#This Row],[CrudeType]]="Crude",vp.tbl[[#This Row],[Dens]]&gt;825,vp.tbl[[#This Row],[Dens]]&lt;=870,vp.tbl[[#This Row],[Sulf]]&gt;0.5,vp.tbl[[#This Row],[Unknown]]=0),1,0)</f>
        <v>1</v>
      </c>
      <c r="AC443">
        <f>IF(AND(vp.tbl[[#This Row],[CrudeType]]="Crude",vp.tbl[[#This Row],[Dens]]&gt;825,vp.tbl[[#This Row],[Dens]]&lt;=900,vp.tbl[[#This Row],[Sulf]]&lt;=0.5,vp.tbl[[#This Row],[Unknown]]=0),1,0)</f>
        <v>0</v>
      </c>
      <c r="AD443">
        <f>IF(AND(vp.tbl[[#This Row],[CrudeType]]="Crude",vp.tbl[[#This Row],[Dens]]&gt;870,vp.tbl[[#This Row],[Dens]]&lt;=900,vp.tbl[[#This Row],[Sulf]]&gt;0.5,vp.tbl[[#This Row],[Unknown]]=0),1,0)</f>
        <v>0</v>
      </c>
      <c r="AE443">
        <f>IF(AND(vp.tbl[[#This Row],[CrudeType]]="Crude",vp.tbl[[#This Row],[Dens]]&gt;900,vp.tbl[[#This Row],[Sulf]]&lt;=0.5,vp.tbl[[#This Row],[Unknown]]=0),1,0)</f>
        <v>0</v>
      </c>
      <c r="AF443">
        <f>IF(AND(vp.tbl[[#This Row],[CrudeType]]="Crude",vp.tbl[[#This Row],[Dens]]&gt;900,vp.tbl[[#This Row],[Sulf]]&lt;=0.5,vp.tbl[[#This Row],[Unknown]]=0),1,0)</f>
        <v>0</v>
      </c>
      <c r="AG443" t="str">
        <f>INDEX(vp.tbl[[#Headers],[Unknown]:[Heavy_SW]],MATCH(1,vp.tbl[[#This Row],[Unknown]:[Heavy_SW]],0))</f>
        <v>Medium_LSB</v>
      </c>
      <c r="AH443" t="e">
        <f>INDEX([1]!crudeBD.lkup[Number],MATCH(vp.tbl[[#This Row],[Crude_Breakdown]],[1]!crudeBD.lkup[Crude Breakdown],0))</f>
        <v>#REF!</v>
      </c>
      <c r="AI443">
        <f>MONTH(vp.tbl[[#This Row],[SDate]])</f>
        <v>12</v>
      </c>
      <c r="AJ443" s="5">
        <f>IFERROR(vp.tbl[[#This Row],[Sulf]]*vp.tbl[[#This Row],[Net Dens]],"")</f>
        <v>4220439.4483019998</v>
      </c>
      <c r="AK443" s="5">
        <f>IFERROR(vp.tbl[[#This Row],[Dens]]*vp.tbl[[#This Row],[VolumeM3]],"")</f>
        <v>2589226.6554</v>
      </c>
      <c r="AL443" s="5">
        <f>IFERROR(vp.tbl[[#This Row],[VP]]*vp.tbl[[#This Row],[VolumeM3]],"")</f>
        <v>355250.09520000004</v>
      </c>
      <c r="AM443" s="4">
        <f>IFERROR((vp.tbl[[#This Row],[VP]]-INDEX(crudeBD.lkup.complete[Mean_VP],MATCH(vp.tbl[[#This Row],[Crude_Breakdown]],crudeBD.lkup.complete[Crude Breakdown],0)))^2,"")</f>
        <v>1171.4468035564842</v>
      </c>
      <c r="AN443" s="4">
        <f>IFERROR((vp.tbl[[#This Row],[Dens]]-INDEX(crudeBD.lkup.complete[Mean_Dens],MATCH(vp.tbl[[#This Row],[Crude_Breakdown]],crudeBD.lkup.complete[Crude Breakdown],0)))^2,"")</f>
        <v>132.06199091745958</v>
      </c>
      <c r="AO443" s="4">
        <f>IFERROR((vp.tbl[[#This Row],[Sulf]]-INDEX(crudeBD.lkup.complete[Mean_Sulf],MATCH(vp.tbl[[#This Row],[Crude_Breakdown]],crudeBD.lkup.complete[Crude Breakdown],0)))^2,"")</f>
        <v>3.0649553653689716E-2</v>
      </c>
      <c r="AP443">
        <f>IF(AND(vp.tbl[[#This Row],[SDate]]&gt;=DATE(YEAR(vp.tbl[[#This Row],[SDate]]),5,1),vp.tbl[[#This Row],[SDate]]&lt;=DATE(YEAR(vp.tbl[[#This Row],[SDate]]),9,15)),1,0)</f>
        <v>0</v>
      </c>
      <c r="AQ443" s="15">
        <f>IF(vp.tbl[[#This Row],[SDate]]&lt;DATE(2016,12,1),0,1)</f>
        <v>1</v>
      </c>
    </row>
    <row r="444" spans="1:43" x14ac:dyDescent="0.25">
      <c r="A444">
        <v>443</v>
      </c>
      <c r="B444" t="s">
        <v>60</v>
      </c>
      <c r="C444" t="s">
        <v>60</v>
      </c>
      <c r="D444" t="s">
        <v>61</v>
      </c>
      <c r="E444" t="s">
        <v>73</v>
      </c>
      <c r="F444" s="1">
        <v>42725</v>
      </c>
      <c r="G444" s="2">
        <v>77</v>
      </c>
      <c r="H444" s="2"/>
      <c r="I444" s="2">
        <v>0.97</v>
      </c>
      <c r="J444" s="2">
        <v>8</v>
      </c>
      <c r="K444" s="2">
        <v>-8</v>
      </c>
      <c r="L444" s="2">
        <v>848.1</v>
      </c>
      <c r="M444" s="2">
        <v>848.1</v>
      </c>
      <c r="N444" s="2">
        <f ca="1">INDEX(INDIRECT(_xlfn.CONCAT("weather.tbl[",N$1,"]")),MATCH(vp.tbl[[#This Row],[SDate]],weather.tbl[Date],0))</f>
        <v>-6.1166666666666671</v>
      </c>
      <c r="O444" s="2">
        <f ca="1">INDEX(INDIRECT(_xlfn.CONCAT("weather.tbl[",O$1,"]")),MATCH(vp.tbl[[#This Row],[SDate]],weather.tbl[Date],0))</f>
        <v>-15.861904761904766</v>
      </c>
      <c r="P444" s="2">
        <f ca="1">INDEX(INDIRECT(_xlfn.CONCAT("weather.tbl[",P$1,"]")),MATCH(vp.tbl[[#This Row],[SDate]],weather.tbl[Date],0))</f>
        <v>-4.5</v>
      </c>
      <c r="Q444" s="2">
        <f ca="1">INDEX(INDIRECT(_xlfn.CONCAT("weather.tbl[",Q$1,"]")),MATCH(vp.tbl[[#This Row],[SDate]],weather.tbl[Date],0))</f>
        <v>-5.8</v>
      </c>
      <c r="R444" s="2">
        <f ca="1">INDEX(INDIRECT(_xlfn.CONCAT("weather.tbl[",R$1,"]")),MATCH(vp.tbl[[#This Row],[SDate]],weather.tbl[Date],0))</f>
        <v>-8</v>
      </c>
      <c r="S444" s="2">
        <f ca="1">INDEX(INDIRECT(_xlfn.CONCAT("weather.tbl[",S$1,"]")),MATCH(vp.tbl[[#This Row],[SDate]],weather.tbl[Date],0))</f>
        <v>-6</v>
      </c>
      <c r="T444" s="2">
        <f ca="1">INDEX(INDIRECT(_xlfn.CONCAT("weather.tbl[",T$1,"]")),MATCH(vp.tbl[[#This Row],[SDate]],weather.tbl[Date],0))</f>
        <v>-4.9000000000000004</v>
      </c>
      <c r="U444" s="2">
        <f ca="1">INDEX(INDIRECT(_xlfn.CONCAT("weather.tbl[",U$1,"]")),MATCH(vp.tbl[[#This Row],[SDate]],weather.tbl[Date],0))</f>
        <v>-7.5</v>
      </c>
      <c r="V444" s="2">
        <v>106852.554</v>
      </c>
      <c r="W444" t="s">
        <v>48</v>
      </c>
      <c r="X444">
        <f>IF(OR(vp.tbl[[#This Row],[Sulf]]="",vp.tbl[[#This Row],[Dens]]=""),1,0)</f>
        <v>0</v>
      </c>
      <c r="Y444">
        <f>IF(vp.tbl[[#This Row],[CrudeType]]="C5+",1,0)</f>
        <v>0</v>
      </c>
      <c r="Z444">
        <f>IF(AND(vp.tbl[[#This Row],[CrudeType]]="Crude",vp.tbl[[#This Row],[Dens]]&lt;=825,vp.tbl[[#This Row],[Sulf]]&gt;0.5,vp.tbl[[#This Row],[Unknown]]=0),1,0)</f>
        <v>0</v>
      </c>
      <c r="AA444">
        <f>IF(AND(vp.tbl[[#This Row],[CrudeType]]="Crude",vp.tbl[[#This Row],[Dens]]&lt;=825,vp.tbl[[#This Row],[Sulf]]&lt;=0.5,vp.tbl[[#This Row],[Unknown]]=0),1,0)</f>
        <v>0</v>
      </c>
      <c r="AB444">
        <f>IF(AND(vp.tbl[[#This Row],[CrudeType]]="Crude",vp.tbl[[#This Row],[Dens]]&gt;825,vp.tbl[[#This Row],[Dens]]&lt;=870,vp.tbl[[#This Row],[Sulf]]&gt;0.5,vp.tbl[[#This Row],[Unknown]]=0),1,0)</f>
        <v>1</v>
      </c>
      <c r="AC444">
        <f>IF(AND(vp.tbl[[#This Row],[CrudeType]]="Crude",vp.tbl[[#This Row],[Dens]]&gt;825,vp.tbl[[#This Row],[Dens]]&lt;=900,vp.tbl[[#This Row],[Sulf]]&lt;=0.5,vp.tbl[[#This Row],[Unknown]]=0),1,0)</f>
        <v>0</v>
      </c>
      <c r="AD444">
        <f>IF(AND(vp.tbl[[#This Row],[CrudeType]]="Crude",vp.tbl[[#This Row],[Dens]]&gt;870,vp.tbl[[#This Row],[Dens]]&lt;=900,vp.tbl[[#This Row],[Sulf]]&gt;0.5,vp.tbl[[#This Row],[Unknown]]=0),1,0)</f>
        <v>0</v>
      </c>
      <c r="AE444">
        <f>IF(AND(vp.tbl[[#This Row],[CrudeType]]="Crude",vp.tbl[[#This Row],[Dens]]&gt;900,vp.tbl[[#This Row],[Sulf]]&lt;=0.5,vp.tbl[[#This Row],[Unknown]]=0),1,0)</f>
        <v>0</v>
      </c>
      <c r="AF444">
        <f>IF(AND(vp.tbl[[#This Row],[CrudeType]]="Crude",vp.tbl[[#This Row],[Dens]]&gt;900,vp.tbl[[#This Row],[Sulf]]&lt;=0.5,vp.tbl[[#This Row],[Unknown]]=0),1,0)</f>
        <v>0</v>
      </c>
      <c r="AG444" t="str">
        <f>INDEX(vp.tbl[[#Headers],[Unknown]:[Heavy_SW]],MATCH(1,vp.tbl[[#This Row],[Unknown]:[Heavy_SW]],0))</f>
        <v>Medium_LSB</v>
      </c>
      <c r="AH444" t="e">
        <f>INDEX([1]!crudeBD.lkup[Number],MATCH(vp.tbl[[#This Row],[Crude_Breakdown]],[1]!crudeBD.lkup[Crude Breakdown],0))</f>
        <v>#REF!</v>
      </c>
      <c r="AI444">
        <f>MONTH(vp.tbl[[#This Row],[SDate]])</f>
        <v>12</v>
      </c>
      <c r="AJ444" s="5">
        <f>IFERROR(vp.tbl[[#This Row],[Sulf]]*vp.tbl[[#This Row],[Net Dens]],"")</f>
        <v>87903001.515978009</v>
      </c>
      <c r="AK444" s="5">
        <f>IFERROR(vp.tbl[[#This Row],[Dens]]*vp.tbl[[#This Row],[VolumeM3]],"")</f>
        <v>90621651.047400013</v>
      </c>
      <c r="AL444" s="5">
        <f>IFERROR(vp.tbl[[#This Row],[VP]]*vp.tbl[[#This Row],[VolumeM3]],"")</f>
        <v>8227646.6579999998</v>
      </c>
      <c r="AM444" s="4">
        <f>IFERROR((vp.tbl[[#This Row],[VP]]-INDEX(crudeBD.lkup.complete[Mean_VP],MATCH(vp.tbl[[#This Row],[Crude_Breakdown]],crudeBD.lkup.complete[Crude Breakdown],0)))^2,"")</f>
        <v>10.071704822303884</v>
      </c>
      <c r="AN444" s="4">
        <f>IFERROR((vp.tbl[[#This Row],[Dens]]-INDEX(crudeBD.lkup.complete[Mean_Dens],MATCH(vp.tbl[[#This Row],[Crude_Breakdown]],crudeBD.lkup.complete[Crude Breakdown],0)))^2,"")</f>
        <v>7.8858592719172105</v>
      </c>
      <c r="AO444" s="4">
        <f>IFERROR((vp.tbl[[#This Row],[Sulf]]-INDEX(crudeBD.lkup.complete[Mean_Sulf],MATCH(vp.tbl[[#This Row],[Crude_Breakdown]],crudeBD.lkup.complete[Crude Breakdown],0)))^2,"")</f>
        <v>0.23515696985622339</v>
      </c>
      <c r="AP444">
        <f>IF(AND(vp.tbl[[#This Row],[SDate]]&gt;=DATE(YEAR(vp.tbl[[#This Row],[SDate]]),5,1),vp.tbl[[#This Row],[SDate]]&lt;=DATE(YEAR(vp.tbl[[#This Row],[SDate]]),9,15)),1,0)</f>
        <v>0</v>
      </c>
      <c r="AQ444" s="15">
        <f>IF(vp.tbl[[#This Row],[SDate]]&lt;DATE(2016,12,1),0,1)</f>
        <v>1</v>
      </c>
    </row>
    <row r="445" spans="1:43" x14ac:dyDescent="0.25">
      <c r="A445">
        <v>444</v>
      </c>
      <c r="B445" t="s">
        <v>49</v>
      </c>
      <c r="C445" t="s">
        <v>49</v>
      </c>
      <c r="D445" t="s">
        <v>99</v>
      </c>
      <c r="F445" s="1">
        <v>42725</v>
      </c>
      <c r="G445" s="2">
        <v>86.4</v>
      </c>
      <c r="H445" s="2"/>
      <c r="I445" s="2">
        <v>0.33</v>
      </c>
      <c r="J445" s="2">
        <v>7</v>
      </c>
      <c r="K445" s="2">
        <v>-5</v>
      </c>
      <c r="L445" s="2">
        <v>812.8</v>
      </c>
      <c r="M445" s="2">
        <v>812.8</v>
      </c>
      <c r="N445" s="2">
        <f ca="1">INDEX(INDIRECT(_xlfn.CONCAT("weather.tbl[",N$1,"]")),MATCH(vp.tbl[[#This Row],[SDate]],weather.tbl[Date],0))</f>
        <v>-6.1166666666666671</v>
      </c>
      <c r="O445" s="2">
        <f ca="1">INDEX(INDIRECT(_xlfn.CONCAT("weather.tbl[",O$1,"]")),MATCH(vp.tbl[[#This Row],[SDate]],weather.tbl[Date],0))</f>
        <v>-15.861904761904766</v>
      </c>
      <c r="P445" s="2">
        <f ca="1">INDEX(INDIRECT(_xlfn.CONCAT("weather.tbl[",P$1,"]")),MATCH(vp.tbl[[#This Row],[SDate]],weather.tbl[Date],0))</f>
        <v>-4.5</v>
      </c>
      <c r="Q445" s="2">
        <f ca="1">INDEX(INDIRECT(_xlfn.CONCAT("weather.tbl[",Q$1,"]")),MATCH(vp.tbl[[#This Row],[SDate]],weather.tbl[Date],0))</f>
        <v>-5.8</v>
      </c>
      <c r="R445" s="2">
        <f ca="1">INDEX(INDIRECT(_xlfn.CONCAT("weather.tbl[",R$1,"]")),MATCH(vp.tbl[[#This Row],[SDate]],weather.tbl[Date],0))</f>
        <v>-8</v>
      </c>
      <c r="S445" s="2">
        <f ca="1">INDEX(INDIRECT(_xlfn.CONCAT("weather.tbl[",S$1,"]")),MATCH(vp.tbl[[#This Row],[SDate]],weather.tbl[Date],0))</f>
        <v>-6</v>
      </c>
      <c r="T445" s="2">
        <f ca="1">INDEX(INDIRECT(_xlfn.CONCAT("weather.tbl[",T$1,"]")),MATCH(vp.tbl[[#This Row],[SDate]],weather.tbl[Date],0))</f>
        <v>-4.9000000000000004</v>
      </c>
      <c r="U445" s="2">
        <f ca="1">INDEX(INDIRECT(_xlfn.CONCAT("weather.tbl[",U$1,"]")),MATCH(vp.tbl[[#This Row],[SDate]],weather.tbl[Date],0))</f>
        <v>-7.5</v>
      </c>
      <c r="V445" s="2">
        <v>2747.39</v>
      </c>
      <c r="W445" t="s">
        <v>48</v>
      </c>
      <c r="X445">
        <f>IF(OR(vp.tbl[[#This Row],[Sulf]]="",vp.tbl[[#This Row],[Dens]]=""),1,0)</f>
        <v>0</v>
      </c>
      <c r="Y445">
        <f>IF(vp.tbl[[#This Row],[CrudeType]]="C5+",1,0)</f>
        <v>0</v>
      </c>
      <c r="Z445">
        <f>IF(AND(vp.tbl[[#This Row],[CrudeType]]="Crude",vp.tbl[[#This Row],[Dens]]&lt;=825,vp.tbl[[#This Row],[Sulf]]&gt;0.5,vp.tbl[[#This Row],[Unknown]]=0),1,0)</f>
        <v>0</v>
      </c>
      <c r="AA445">
        <f>IF(AND(vp.tbl[[#This Row],[CrudeType]]="Crude",vp.tbl[[#This Row],[Dens]]&lt;=825,vp.tbl[[#This Row],[Sulf]]&lt;=0.5,vp.tbl[[#This Row],[Unknown]]=0),1,0)</f>
        <v>1</v>
      </c>
      <c r="AB445">
        <f>IF(AND(vp.tbl[[#This Row],[CrudeType]]="Crude",vp.tbl[[#This Row],[Dens]]&gt;825,vp.tbl[[#This Row],[Dens]]&lt;=870,vp.tbl[[#This Row],[Sulf]]&gt;0.5,vp.tbl[[#This Row],[Unknown]]=0),1,0)</f>
        <v>0</v>
      </c>
      <c r="AC445">
        <f>IF(AND(vp.tbl[[#This Row],[CrudeType]]="Crude",vp.tbl[[#This Row],[Dens]]&gt;825,vp.tbl[[#This Row],[Dens]]&lt;=900,vp.tbl[[#This Row],[Sulf]]&lt;=0.5,vp.tbl[[#This Row],[Unknown]]=0),1,0)</f>
        <v>0</v>
      </c>
      <c r="AD445">
        <f>IF(AND(vp.tbl[[#This Row],[CrudeType]]="Crude",vp.tbl[[#This Row],[Dens]]&gt;870,vp.tbl[[#This Row],[Dens]]&lt;=900,vp.tbl[[#This Row],[Sulf]]&gt;0.5,vp.tbl[[#This Row],[Unknown]]=0),1,0)</f>
        <v>0</v>
      </c>
      <c r="AE445">
        <f>IF(AND(vp.tbl[[#This Row],[CrudeType]]="Crude",vp.tbl[[#This Row],[Dens]]&gt;900,vp.tbl[[#This Row],[Sulf]]&lt;=0.5,vp.tbl[[#This Row],[Unknown]]=0),1,0)</f>
        <v>0</v>
      </c>
      <c r="AF445">
        <f>IF(AND(vp.tbl[[#This Row],[CrudeType]]="Crude",vp.tbl[[#This Row],[Dens]]&gt;900,vp.tbl[[#This Row],[Sulf]]&lt;=0.5,vp.tbl[[#This Row],[Unknown]]=0),1,0)</f>
        <v>0</v>
      </c>
      <c r="AG445" t="str">
        <f>INDEX(vp.tbl[[#Headers],[Unknown]:[Heavy_SW]],MATCH(1,vp.tbl[[#This Row],[Unknown]:[Heavy_SW]],0))</f>
        <v>Light_SW</v>
      </c>
      <c r="AH445" t="e">
        <f>INDEX([1]!crudeBD.lkup[Number],MATCH(vp.tbl[[#This Row],[Crude_Breakdown]],[1]!crudeBD.lkup[Crude Breakdown],0))</f>
        <v>#REF!</v>
      </c>
      <c r="AI445">
        <f>MONTH(vp.tbl[[#This Row],[SDate]])</f>
        <v>12</v>
      </c>
      <c r="AJ445" s="5">
        <f>IFERROR(vp.tbl[[#This Row],[Sulf]]*vp.tbl[[#This Row],[Net Dens]],"")</f>
        <v>736915.93535999989</v>
      </c>
      <c r="AK445" s="5">
        <f>IFERROR(vp.tbl[[#This Row],[Dens]]*vp.tbl[[#This Row],[VolumeM3]],"")</f>
        <v>2233078.5919999997</v>
      </c>
      <c r="AL445" s="5">
        <f>IFERROR(vp.tbl[[#This Row],[VP]]*vp.tbl[[#This Row],[VolumeM3]],"")</f>
        <v>237374.49600000001</v>
      </c>
      <c r="AM445" s="4">
        <f>IFERROR((vp.tbl[[#This Row],[VP]]-INDEX(crudeBD.lkup.complete[Mean_VP],MATCH(vp.tbl[[#This Row],[Crude_Breakdown]],crudeBD.lkup.complete[Crude Breakdown],0)))^2,"")</f>
        <v>37.826357241194678</v>
      </c>
      <c r="AN445" s="4">
        <f>IFERROR((vp.tbl[[#This Row],[Dens]]-INDEX(crudeBD.lkup.complete[Mean_Dens],MATCH(vp.tbl[[#This Row],[Crude_Breakdown]],crudeBD.lkup.complete[Crude Breakdown],0)))^2,"")</f>
        <v>20.146647889377409</v>
      </c>
      <c r="AO445" s="4">
        <f>IFERROR((vp.tbl[[#This Row],[Sulf]]-INDEX(crudeBD.lkup.complete[Mean_Sulf],MATCH(vp.tbl[[#This Row],[Crude_Breakdown]],crudeBD.lkup.complete[Crude Breakdown],0)))^2,"")</f>
        <v>8.7905978457915313E-3</v>
      </c>
      <c r="AP445">
        <f>IF(AND(vp.tbl[[#This Row],[SDate]]&gt;=DATE(YEAR(vp.tbl[[#This Row],[SDate]]),5,1),vp.tbl[[#This Row],[SDate]]&lt;=DATE(YEAR(vp.tbl[[#This Row],[SDate]]),9,15)),1,0)</f>
        <v>0</v>
      </c>
      <c r="AQ445" s="15">
        <f>IF(vp.tbl[[#This Row],[SDate]]&lt;DATE(2016,12,1),0,1)</f>
        <v>1</v>
      </c>
    </row>
    <row r="446" spans="1:43" x14ac:dyDescent="0.25">
      <c r="A446">
        <v>445</v>
      </c>
      <c r="B446" t="s">
        <v>51</v>
      </c>
      <c r="C446" t="s">
        <v>51</v>
      </c>
      <c r="D446" t="s">
        <v>72</v>
      </c>
      <c r="F446" s="1">
        <v>42725</v>
      </c>
      <c r="G446" s="2">
        <v>92.2</v>
      </c>
      <c r="H446" s="2"/>
      <c r="I446" s="2">
        <v>1.2</v>
      </c>
      <c r="J446" s="2">
        <v>24</v>
      </c>
      <c r="K446" s="2">
        <v>-8</v>
      </c>
      <c r="L446" s="2">
        <v>834.4</v>
      </c>
      <c r="M446" s="2">
        <v>834.4</v>
      </c>
      <c r="N446" s="2">
        <f ca="1">INDEX(INDIRECT(_xlfn.CONCAT("weather.tbl[",N$1,"]")),MATCH(vp.tbl[[#This Row],[SDate]],weather.tbl[Date],0))</f>
        <v>-6.1166666666666671</v>
      </c>
      <c r="O446" s="2">
        <f ca="1">INDEX(INDIRECT(_xlfn.CONCAT("weather.tbl[",O$1,"]")),MATCH(vp.tbl[[#This Row],[SDate]],weather.tbl[Date],0))</f>
        <v>-15.861904761904766</v>
      </c>
      <c r="P446" s="2">
        <f ca="1">INDEX(INDIRECT(_xlfn.CONCAT("weather.tbl[",P$1,"]")),MATCH(vp.tbl[[#This Row],[SDate]],weather.tbl[Date],0))</f>
        <v>-4.5</v>
      </c>
      <c r="Q446" s="2">
        <f ca="1">INDEX(INDIRECT(_xlfn.CONCAT("weather.tbl[",Q$1,"]")),MATCH(vp.tbl[[#This Row],[SDate]],weather.tbl[Date],0))</f>
        <v>-5.8</v>
      </c>
      <c r="R446" s="2">
        <f ca="1">INDEX(INDIRECT(_xlfn.CONCAT("weather.tbl[",R$1,"]")),MATCH(vp.tbl[[#This Row],[SDate]],weather.tbl[Date],0))</f>
        <v>-8</v>
      </c>
      <c r="S446" s="2">
        <f ca="1">INDEX(INDIRECT(_xlfn.CONCAT("weather.tbl[",S$1,"]")),MATCH(vp.tbl[[#This Row],[SDate]],weather.tbl[Date],0))</f>
        <v>-6</v>
      </c>
      <c r="T446" s="2">
        <f ca="1">INDEX(INDIRECT(_xlfn.CONCAT("weather.tbl[",T$1,"]")),MATCH(vp.tbl[[#This Row],[SDate]],weather.tbl[Date],0))</f>
        <v>-4.9000000000000004</v>
      </c>
      <c r="U446" s="2">
        <f ca="1">INDEX(INDIRECT(_xlfn.CONCAT("weather.tbl[",U$1,"]")),MATCH(vp.tbl[[#This Row],[SDate]],weather.tbl[Date],0))</f>
        <v>-7.5</v>
      </c>
      <c r="V446" s="2">
        <v>13705.843999999999</v>
      </c>
      <c r="W446" t="s">
        <v>48</v>
      </c>
      <c r="X446">
        <f>IF(OR(vp.tbl[[#This Row],[Sulf]]="",vp.tbl[[#This Row],[Dens]]=""),1,0)</f>
        <v>0</v>
      </c>
      <c r="Y446">
        <f>IF(vp.tbl[[#This Row],[CrudeType]]="C5+",1,0)</f>
        <v>0</v>
      </c>
      <c r="Z446">
        <f>IF(AND(vp.tbl[[#This Row],[CrudeType]]="Crude",vp.tbl[[#This Row],[Dens]]&lt;=825,vp.tbl[[#This Row],[Sulf]]&gt;0.5,vp.tbl[[#This Row],[Unknown]]=0),1,0)</f>
        <v>0</v>
      </c>
      <c r="AA446">
        <f>IF(AND(vp.tbl[[#This Row],[CrudeType]]="Crude",vp.tbl[[#This Row],[Dens]]&lt;=825,vp.tbl[[#This Row],[Sulf]]&lt;=0.5,vp.tbl[[#This Row],[Unknown]]=0),1,0)</f>
        <v>0</v>
      </c>
      <c r="AB446">
        <f>IF(AND(vp.tbl[[#This Row],[CrudeType]]="Crude",vp.tbl[[#This Row],[Dens]]&gt;825,vp.tbl[[#This Row],[Dens]]&lt;=870,vp.tbl[[#This Row],[Sulf]]&gt;0.5,vp.tbl[[#This Row],[Unknown]]=0),1,0)</f>
        <v>1</v>
      </c>
      <c r="AC446">
        <f>IF(AND(vp.tbl[[#This Row],[CrudeType]]="Crude",vp.tbl[[#This Row],[Dens]]&gt;825,vp.tbl[[#This Row],[Dens]]&lt;=900,vp.tbl[[#This Row],[Sulf]]&lt;=0.5,vp.tbl[[#This Row],[Unknown]]=0),1,0)</f>
        <v>0</v>
      </c>
      <c r="AD446">
        <f>IF(AND(vp.tbl[[#This Row],[CrudeType]]="Crude",vp.tbl[[#This Row],[Dens]]&gt;870,vp.tbl[[#This Row],[Dens]]&lt;=900,vp.tbl[[#This Row],[Sulf]]&gt;0.5,vp.tbl[[#This Row],[Unknown]]=0),1,0)</f>
        <v>0</v>
      </c>
      <c r="AE446">
        <f>IF(AND(vp.tbl[[#This Row],[CrudeType]]="Crude",vp.tbl[[#This Row],[Dens]]&gt;900,vp.tbl[[#This Row],[Sulf]]&lt;=0.5,vp.tbl[[#This Row],[Unknown]]=0),1,0)</f>
        <v>0</v>
      </c>
      <c r="AF446">
        <f>IF(AND(vp.tbl[[#This Row],[CrudeType]]="Crude",vp.tbl[[#This Row],[Dens]]&gt;900,vp.tbl[[#This Row],[Sulf]]&lt;=0.5,vp.tbl[[#This Row],[Unknown]]=0),1,0)</f>
        <v>0</v>
      </c>
      <c r="AG446" t="str">
        <f>INDEX(vp.tbl[[#Headers],[Unknown]:[Heavy_SW]],MATCH(1,vp.tbl[[#This Row],[Unknown]:[Heavy_SW]],0))</f>
        <v>Medium_LSB</v>
      </c>
      <c r="AH446" t="e">
        <f>INDEX([1]!crudeBD.lkup[Number],MATCH(vp.tbl[[#This Row],[Crude_Breakdown]],[1]!crudeBD.lkup[Crude Breakdown],0))</f>
        <v>#REF!</v>
      </c>
      <c r="AI446">
        <f>MONTH(vp.tbl[[#This Row],[SDate]])</f>
        <v>12</v>
      </c>
      <c r="AJ446" s="5">
        <f>IFERROR(vp.tbl[[#This Row],[Sulf]]*vp.tbl[[#This Row],[Net Dens]],"")</f>
        <v>13723387.480319997</v>
      </c>
      <c r="AK446" s="5">
        <f>IFERROR(vp.tbl[[#This Row],[Dens]]*vp.tbl[[#This Row],[VolumeM3]],"")</f>
        <v>11436156.233599998</v>
      </c>
      <c r="AL446" s="5">
        <f>IFERROR(vp.tbl[[#This Row],[VP]]*vp.tbl[[#This Row],[VolumeM3]],"")</f>
        <v>1263678.8167999999</v>
      </c>
      <c r="AM446" s="4">
        <f>IFERROR((vp.tbl[[#This Row],[VP]]-INDEX(crudeBD.lkup.complete[Mean_VP],MATCH(vp.tbl[[#This Row],[Crude_Breakdown]],crudeBD.lkup.complete[Crude Breakdown],0)))^2,"")</f>
        <v>144.63441874635572</v>
      </c>
      <c r="AN446" s="4">
        <f>IFERROR((vp.tbl[[#This Row],[Dens]]-INDEX(crudeBD.lkup.complete[Mean_Dens],MATCH(vp.tbl[[#This Row],[Crude_Breakdown]],crudeBD.lkup.complete[Crude Breakdown],0)))^2,"")</f>
        <v>118.63180357568807</v>
      </c>
      <c r="AO446" s="4">
        <f>IFERROR((vp.tbl[[#This Row],[Sulf]]-INDEX(crudeBD.lkup.complete[Mean_Sulf],MATCH(vp.tbl[[#This Row],[Crude_Breakdown]],crudeBD.lkup.complete[Crude Breakdown],0)))^2,"")</f>
        <v>6.4989233906855612E-2</v>
      </c>
      <c r="AP446">
        <f>IF(AND(vp.tbl[[#This Row],[SDate]]&gt;=DATE(YEAR(vp.tbl[[#This Row],[SDate]]),5,1),vp.tbl[[#This Row],[SDate]]&lt;=DATE(YEAR(vp.tbl[[#This Row],[SDate]]),9,15)),1,0)</f>
        <v>0</v>
      </c>
      <c r="AQ446" s="15">
        <f>IF(vp.tbl[[#This Row],[SDate]]&lt;DATE(2016,12,1),0,1)</f>
        <v>1</v>
      </c>
    </row>
    <row r="447" spans="1:43" x14ac:dyDescent="0.25">
      <c r="A447">
        <v>446</v>
      </c>
      <c r="B447" t="s">
        <v>49</v>
      </c>
      <c r="C447" t="s">
        <v>49</v>
      </c>
      <c r="D447" t="s">
        <v>59</v>
      </c>
      <c r="F447" s="1">
        <v>42725</v>
      </c>
      <c r="G447" s="2">
        <v>88.6</v>
      </c>
      <c r="H447" s="2"/>
      <c r="I447" s="2">
        <v>1.48</v>
      </c>
      <c r="J447" s="2">
        <v>20</v>
      </c>
      <c r="K447" s="2">
        <v>-8</v>
      </c>
      <c r="L447" s="2">
        <v>846</v>
      </c>
      <c r="M447" s="2">
        <v>846</v>
      </c>
      <c r="N447" s="2">
        <f ca="1">INDEX(INDIRECT(_xlfn.CONCAT("weather.tbl[",N$1,"]")),MATCH(vp.tbl[[#This Row],[SDate]],weather.tbl[Date],0))</f>
        <v>-6.1166666666666671</v>
      </c>
      <c r="O447" s="2">
        <f ca="1">INDEX(INDIRECT(_xlfn.CONCAT("weather.tbl[",O$1,"]")),MATCH(vp.tbl[[#This Row],[SDate]],weather.tbl[Date],0))</f>
        <v>-15.861904761904766</v>
      </c>
      <c r="P447" s="2">
        <f ca="1">INDEX(INDIRECT(_xlfn.CONCAT("weather.tbl[",P$1,"]")),MATCH(vp.tbl[[#This Row],[SDate]],weather.tbl[Date],0))</f>
        <v>-4.5</v>
      </c>
      <c r="Q447" s="2">
        <f ca="1">INDEX(INDIRECT(_xlfn.CONCAT("weather.tbl[",Q$1,"]")),MATCH(vp.tbl[[#This Row],[SDate]],weather.tbl[Date],0))</f>
        <v>-5.8</v>
      </c>
      <c r="R447" s="2">
        <f ca="1">INDEX(INDIRECT(_xlfn.CONCAT("weather.tbl[",R$1,"]")),MATCH(vp.tbl[[#This Row],[SDate]],weather.tbl[Date],0))</f>
        <v>-8</v>
      </c>
      <c r="S447" s="2">
        <f ca="1">INDEX(INDIRECT(_xlfn.CONCAT("weather.tbl[",S$1,"]")),MATCH(vp.tbl[[#This Row],[SDate]],weather.tbl[Date],0))</f>
        <v>-6</v>
      </c>
      <c r="T447" s="2">
        <f ca="1">INDEX(INDIRECT(_xlfn.CONCAT("weather.tbl[",T$1,"]")),MATCH(vp.tbl[[#This Row],[SDate]],weather.tbl[Date],0))</f>
        <v>-4.9000000000000004</v>
      </c>
      <c r="U447" s="2">
        <f ca="1">INDEX(INDIRECT(_xlfn.CONCAT("weather.tbl[",U$1,"]")),MATCH(vp.tbl[[#This Row],[SDate]],weather.tbl[Date],0))</f>
        <v>-7.5</v>
      </c>
      <c r="V447" s="2">
        <v>1579.0039999999999</v>
      </c>
      <c r="W447" t="s">
        <v>48</v>
      </c>
      <c r="X447">
        <f>IF(OR(vp.tbl[[#This Row],[Sulf]]="",vp.tbl[[#This Row],[Dens]]=""),1,0)</f>
        <v>0</v>
      </c>
      <c r="Y447">
        <f>IF(vp.tbl[[#This Row],[CrudeType]]="C5+",1,0)</f>
        <v>0</v>
      </c>
      <c r="Z447">
        <f>IF(AND(vp.tbl[[#This Row],[CrudeType]]="Crude",vp.tbl[[#This Row],[Dens]]&lt;=825,vp.tbl[[#This Row],[Sulf]]&gt;0.5,vp.tbl[[#This Row],[Unknown]]=0),1,0)</f>
        <v>0</v>
      </c>
      <c r="AA447">
        <f>IF(AND(vp.tbl[[#This Row],[CrudeType]]="Crude",vp.tbl[[#This Row],[Dens]]&lt;=825,vp.tbl[[#This Row],[Sulf]]&lt;=0.5,vp.tbl[[#This Row],[Unknown]]=0),1,0)</f>
        <v>0</v>
      </c>
      <c r="AB447">
        <f>IF(AND(vp.tbl[[#This Row],[CrudeType]]="Crude",vp.tbl[[#This Row],[Dens]]&gt;825,vp.tbl[[#This Row],[Dens]]&lt;=870,vp.tbl[[#This Row],[Sulf]]&gt;0.5,vp.tbl[[#This Row],[Unknown]]=0),1,0)</f>
        <v>1</v>
      </c>
      <c r="AC447">
        <f>IF(AND(vp.tbl[[#This Row],[CrudeType]]="Crude",vp.tbl[[#This Row],[Dens]]&gt;825,vp.tbl[[#This Row],[Dens]]&lt;=900,vp.tbl[[#This Row],[Sulf]]&lt;=0.5,vp.tbl[[#This Row],[Unknown]]=0),1,0)</f>
        <v>0</v>
      </c>
      <c r="AD447">
        <f>IF(AND(vp.tbl[[#This Row],[CrudeType]]="Crude",vp.tbl[[#This Row],[Dens]]&gt;870,vp.tbl[[#This Row],[Dens]]&lt;=900,vp.tbl[[#This Row],[Sulf]]&gt;0.5,vp.tbl[[#This Row],[Unknown]]=0),1,0)</f>
        <v>0</v>
      </c>
      <c r="AE447">
        <f>IF(AND(vp.tbl[[#This Row],[CrudeType]]="Crude",vp.tbl[[#This Row],[Dens]]&gt;900,vp.tbl[[#This Row],[Sulf]]&lt;=0.5,vp.tbl[[#This Row],[Unknown]]=0),1,0)</f>
        <v>0</v>
      </c>
      <c r="AF447">
        <f>IF(AND(vp.tbl[[#This Row],[CrudeType]]="Crude",vp.tbl[[#This Row],[Dens]]&gt;900,vp.tbl[[#This Row],[Sulf]]&lt;=0.5,vp.tbl[[#This Row],[Unknown]]=0),1,0)</f>
        <v>0</v>
      </c>
      <c r="AG447" t="str">
        <f>INDEX(vp.tbl[[#Headers],[Unknown]:[Heavy_SW]],MATCH(1,vp.tbl[[#This Row],[Unknown]:[Heavy_SW]],0))</f>
        <v>Medium_LSB</v>
      </c>
      <c r="AH447" t="e">
        <f>INDEX([1]!crudeBD.lkup[Number],MATCH(vp.tbl[[#This Row],[Crude_Breakdown]],[1]!crudeBD.lkup[Crude Breakdown],0))</f>
        <v>#REF!</v>
      </c>
      <c r="AI447">
        <f>MONTH(vp.tbl[[#This Row],[SDate]])</f>
        <v>12</v>
      </c>
      <c r="AJ447" s="5">
        <f>IFERROR(vp.tbl[[#This Row],[Sulf]]*vp.tbl[[#This Row],[Net Dens]],"")</f>
        <v>1977039.3283199999</v>
      </c>
      <c r="AK447" s="5">
        <f>IFERROR(vp.tbl[[#This Row],[Dens]]*vp.tbl[[#This Row],[VolumeM3]],"")</f>
        <v>1335837.3839999998</v>
      </c>
      <c r="AL447" s="5">
        <f>IFERROR(vp.tbl[[#This Row],[VP]]*vp.tbl[[#This Row],[VolumeM3]],"")</f>
        <v>139899.75439999998</v>
      </c>
      <c r="AM447" s="4">
        <f>IFERROR((vp.tbl[[#This Row],[VP]]-INDEX(crudeBD.lkup.complete[Mean_VP],MATCH(vp.tbl[[#This Row],[Crude_Breakdown]],crudeBD.lkup.complete[Crude Breakdown],0)))^2,"")</f>
        <v>71.004302290659069</v>
      </c>
      <c r="AN447" s="4">
        <f>IFERROR((vp.tbl[[#This Row],[Dens]]-INDEX(crudeBD.lkup.complete[Mean_Dens],MATCH(vp.tbl[[#This Row],[Crude_Breakdown]],crudeBD.lkup.complete[Crude Breakdown],0)))^2,"")</f>
        <v>0.50151496811547891</v>
      </c>
      <c r="AO447" s="4">
        <f>IFERROR((vp.tbl[[#This Row],[Sulf]]-INDEX(crudeBD.lkup.complete[Mean_Sulf],MATCH(vp.tbl[[#This Row],[Crude_Breakdown]],crudeBD.lkup.complete[Crude Breakdown],0)))^2,"")</f>
        <v>6.2851188153830004E-4</v>
      </c>
      <c r="AP447">
        <f>IF(AND(vp.tbl[[#This Row],[SDate]]&gt;=DATE(YEAR(vp.tbl[[#This Row],[SDate]]),5,1),vp.tbl[[#This Row],[SDate]]&lt;=DATE(YEAR(vp.tbl[[#This Row],[SDate]]),9,15)),1,0)</f>
        <v>0</v>
      </c>
      <c r="AQ447" s="15">
        <f>IF(vp.tbl[[#This Row],[SDate]]&lt;DATE(2016,12,1),0,1)</f>
        <v>1</v>
      </c>
    </row>
    <row r="448" spans="1:43" x14ac:dyDescent="0.25">
      <c r="A448">
        <v>447</v>
      </c>
      <c r="B448" t="s">
        <v>60</v>
      </c>
      <c r="C448" t="s">
        <v>60</v>
      </c>
      <c r="D448" t="s">
        <v>61</v>
      </c>
      <c r="E448" t="s">
        <v>55</v>
      </c>
      <c r="F448" s="1">
        <v>42725</v>
      </c>
      <c r="G448" s="2">
        <v>102.2</v>
      </c>
      <c r="H448" s="2"/>
      <c r="I448" s="2">
        <v>0.97</v>
      </c>
      <c r="J448" s="2">
        <v>7</v>
      </c>
      <c r="K448" s="2">
        <v>-8</v>
      </c>
      <c r="L448" s="2">
        <v>840.2</v>
      </c>
      <c r="M448" s="2">
        <v>840.2</v>
      </c>
      <c r="N448" s="2">
        <f ca="1">INDEX(INDIRECT(_xlfn.CONCAT("weather.tbl[",N$1,"]")),MATCH(vp.tbl[[#This Row],[SDate]],weather.tbl[Date],0))</f>
        <v>-6.1166666666666671</v>
      </c>
      <c r="O448" s="2">
        <f ca="1">INDEX(INDIRECT(_xlfn.CONCAT("weather.tbl[",O$1,"]")),MATCH(vp.tbl[[#This Row],[SDate]],weather.tbl[Date],0))</f>
        <v>-15.861904761904766</v>
      </c>
      <c r="P448" s="2">
        <f ca="1">INDEX(INDIRECT(_xlfn.CONCAT("weather.tbl[",P$1,"]")),MATCH(vp.tbl[[#This Row],[SDate]],weather.tbl[Date],0))</f>
        <v>-4.5</v>
      </c>
      <c r="Q448" s="2">
        <f ca="1">INDEX(INDIRECT(_xlfn.CONCAT("weather.tbl[",Q$1,"]")),MATCH(vp.tbl[[#This Row],[SDate]],weather.tbl[Date],0))</f>
        <v>-5.8</v>
      </c>
      <c r="R448" s="2">
        <f ca="1">INDEX(INDIRECT(_xlfn.CONCAT("weather.tbl[",R$1,"]")),MATCH(vp.tbl[[#This Row],[SDate]],weather.tbl[Date],0))</f>
        <v>-8</v>
      </c>
      <c r="S448" s="2">
        <f ca="1">INDEX(INDIRECT(_xlfn.CONCAT("weather.tbl[",S$1,"]")),MATCH(vp.tbl[[#This Row],[SDate]],weather.tbl[Date],0))</f>
        <v>-6</v>
      </c>
      <c r="T448" s="2">
        <f ca="1">INDEX(INDIRECT(_xlfn.CONCAT("weather.tbl[",T$1,"]")),MATCH(vp.tbl[[#This Row],[SDate]],weather.tbl[Date],0))</f>
        <v>-4.9000000000000004</v>
      </c>
      <c r="U448" s="2">
        <f ca="1">INDEX(INDIRECT(_xlfn.CONCAT("weather.tbl[",U$1,"]")),MATCH(vp.tbl[[#This Row],[SDate]],weather.tbl[Date],0))</f>
        <v>-7.5</v>
      </c>
      <c r="V448" s="2">
        <v>106852.554</v>
      </c>
      <c r="W448" t="s">
        <v>48</v>
      </c>
      <c r="X448">
        <f>IF(OR(vp.tbl[[#This Row],[Sulf]]="",vp.tbl[[#This Row],[Dens]]=""),1,0)</f>
        <v>0</v>
      </c>
      <c r="Y448">
        <f>IF(vp.tbl[[#This Row],[CrudeType]]="C5+",1,0)</f>
        <v>0</v>
      </c>
      <c r="Z448">
        <f>IF(AND(vp.tbl[[#This Row],[CrudeType]]="Crude",vp.tbl[[#This Row],[Dens]]&lt;=825,vp.tbl[[#This Row],[Sulf]]&gt;0.5,vp.tbl[[#This Row],[Unknown]]=0),1,0)</f>
        <v>0</v>
      </c>
      <c r="AA448">
        <f>IF(AND(vp.tbl[[#This Row],[CrudeType]]="Crude",vp.tbl[[#This Row],[Dens]]&lt;=825,vp.tbl[[#This Row],[Sulf]]&lt;=0.5,vp.tbl[[#This Row],[Unknown]]=0),1,0)</f>
        <v>0</v>
      </c>
      <c r="AB448">
        <f>IF(AND(vp.tbl[[#This Row],[CrudeType]]="Crude",vp.tbl[[#This Row],[Dens]]&gt;825,vp.tbl[[#This Row],[Dens]]&lt;=870,vp.tbl[[#This Row],[Sulf]]&gt;0.5,vp.tbl[[#This Row],[Unknown]]=0),1,0)</f>
        <v>1</v>
      </c>
      <c r="AC448">
        <f>IF(AND(vp.tbl[[#This Row],[CrudeType]]="Crude",vp.tbl[[#This Row],[Dens]]&gt;825,vp.tbl[[#This Row],[Dens]]&lt;=900,vp.tbl[[#This Row],[Sulf]]&lt;=0.5,vp.tbl[[#This Row],[Unknown]]=0),1,0)</f>
        <v>0</v>
      </c>
      <c r="AD448">
        <f>IF(AND(vp.tbl[[#This Row],[CrudeType]]="Crude",vp.tbl[[#This Row],[Dens]]&gt;870,vp.tbl[[#This Row],[Dens]]&lt;=900,vp.tbl[[#This Row],[Sulf]]&gt;0.5,vp.tbl[[#This Row],[Unknown]]=0),1,0)</f>
        <v>0</v>
      </c>
      <c r="AE448">
        <f>IF(AND(vp.tbl[[#This Row],[CrudeType]]="Crude",vp.tbl[[#This Row],[Dens]]&gt;900,vp.tbl[[#This Row],[Sulf]]&lt;=0.5,vp.tbl[[#This Row],[Unknown]]=0),1,0)</f>
        <v>0</v>
      </c>
      <c r="AF448">
        <f>IF(AND(vp.tbl[[#This Row],[CrudeType]]="Crude",vp.tbl[[#This Row],[Dens]]&gt;900,vp.tbl[[#This Row],[Sulf]]&lt;=0.5,vp.tbl[[#This Row],[Unknown]]=0),1,0)</f>
        <v>0</v>
      </c>
      <c r="AG448" t="str">
        <f>INDEX(vp.tbl[[#Headers],[Unknown]:[Heavy_SW]],MATCH(1,vp.tbl[[#This Row],[Unknown]:[Heavy_SW]],0))</f>
        <v>Medium_LSB</v>
      </c>
      <c r="AH448" t="e">
        <f>INDEX([1]!crudeBD.lkup[Number],MATCH(vp.tbl[[#This Row],[Crude_Breakdown]],[1]!crudeBD.lkup[Crude Breakdown],0))</f>
        <v>#REF!</v>
      </c>
      <c r="AI448">
        <f>MONTH(vp.tbl[[#This Row],[SDate]])</f>
        <v>12</v>
      </c>
      <c r="AJ448" s="5">
        <f>IFERROR(vp.tbl[[#This Row],[Sulf]]*vp.tbl[[#This Row],[Net Dens]],"")</f>
        <v>87084190.394676</v>
      </c>
      <c r="AK448" s="5">
        <f>IFERROR(vp.tbl[[#This Row],[Dens]]*vp.tbl[[#This Row],[VolumeM3]],"")</f>
        <v>89777515.870800003</v>
      </c>
      <c r="AL448" s="5">
        <f>IFERROR(vp.tbl[[#This Row],[VP]]*vp.tbl[[#This Row],[VolumeM3]],"")</f>
        <v>10920331.018800002</v>
      </c>
      <c r="AM448" s="4">
        <f>IFERROR((vp.tbl[[#This Row],[VP]]-INDEX(crudeBD.lkup.complete[Mean_VP],MATCH(vp.tbl[[#This Row],[Crude_Breakdown]],crudeBD.lkup.complete[Crude Breakdown],0)))^2,"")</f>
        <v>485.1625200121793</v>
      </c>
      <c r="AN448" s="4">
        <f>IFERROR((vp.tbl[[#This Row],[Dens]]-INDEX(crudeBD.lkup.complete[Mean_Dens],MATCH(vp.tbl[[#This Row],[Crude_Breakdown]],crudeBD.lkup.complete[Crude Breakdown],0)))^2,"")</f>
        <v>25.926659271901062</v>
      </c>
      <c r="AO448" s="4">
        <f>IFERROR((vp.tbl[[#This Row],[Sulf]]-INDEX(crudeBD.lkup.complete[Mean_Sulf],MATCH(vp.tbl[[#This Row],[Crude_Breakdown]],crudeBD.lkup.complete[Crude Breakdown],0)))^2,"")</f>
        <v>0.23515696985622339</v>
      </c>
      <c r="AP448">
        <f>IF(AND(vp.tbl[[#This Row],[SDate]]&gt;=DATE(YEAR(vp.tbl[[#This Row],[SDate]]),5,1),vp.tbl[[#This Row],[SDate]]&lt;=DATE(YEAR(vp.tbl[[#This Row],[SDate]]),9,15)),1,0)</f>
        <v>0</v>
      </c>
      <c r="AQ448" s="15">
        <f>IF(vp.tbl[[#This Row],[SDate]]&lt;DATE(2016,12,1),0,1)</f>
        <v>1</v>
      </c>
    </row>
    <row r="449" spans="1:43" x14ac:dyDescent="0.25">
      <c r="A449">
        <v>448</v>
      </c>
      <c r="B449" t="s">
        <v>60</v>
      </c>
      <c r="C449" t="s">
        <v>60</v>
      </c>
      <c r="D449" t="s">
        <v>61</v>
      </c>
      <c r="E449" t="s">
        <v>73</v>
      </c>
      <c r="F449" s="1">
        <v>42726</v>
      </c>
      <c r="G449" s="2">
        <v>76.2</v>
      </c>
      <c r="H449" s="2"/>
      <c r="I449" s="2">
        <v>0.97</v>
      </c>
      <c r="J449" s="2">
        <v>9.1</v>
      </c>
      <c r="K449" s="2">
        <v>-3</v>
      </c>
      <c r="L449" s="2">
        <v>843.5</v>
      </c>
      <c r="M449" s="2">
        <v>843.5</v>
      </c>
      <c r="N449" s="2">
        <f ca="1">INDEX(INDIRECT(_xlfn.CONCAT("weather.tbl[",N$1,"]")),MATCH(vp.tbl[[#This Row],[SDate]],weather.tbl[Date],0))</f>
        <v>-4.8833333333333337</v>
      </c>
      <c r="O449" s="2">
        <f ca="1">INDEX(INDIRECT(_xlfn.CONCAT("weather.tbl[",O$1,"]")),MATCH(vp.tbl[[#This Row],[SDate]],weather.tbl[Date],0))</f>
        <v>-13.223809523809525</v>
      </c>
      <c r="P449" s="2">
        <f ca="1">INDEX(INDIRECT(_xlfn.CONCAT("weather.tbl[",P$1,"]")),MATCH(vp.tbl[[#This Row],[SDate]],weather.tbl[Date],0))</f>
        <v>-5</v>
      </c>
      <c r="Q449" s="2">
        <f ca="1">INDEX(INDIRECT(_xlfn.CONCAT("weather.tbl[",Q$1,"]")),MATCH(vp.tbl[[#This Row],[SDate]],weather.tbl[Date],0))</f>
        <v>-5.5</v>
      </c>
      <c r="R449" s="2">
        <f ca="1">INDEX(INDIRECT(_xlfn.CONCAT("weather.tbl[",R$1,"]")),MATCH(vp.tbl[[#This Row],[SDate]],weather.tbl[Date],0))</f>
        <v>-4.8</v>
      </c>
      <c r="S449" s="2">
        <f ca="1">INDEX(INDIRECT(_xlfn.CONCAT("weather.tbl[",S$1,"]")),MATCH(vp.tbl[[#This Row],[SDate]],weather.tbl[Date],0))</f>
        <v>-2</v>
      </c>
      <c r="T449" s="2">
        <f ca="1">INDEX(INDIRECT(_xlfn.CONCAT("weather.tbl[",T$1,"]")),MATCH(vp.tbl[[#This Row],[SDate]],weather.tbl[Date],0))</f>
        <v>-6.2</v>
      </c>
      <c r="U449" s="2">
        <f ca="1">INDEX(INDIRECT(_xlfn.CONCAT("weather.tbl[",U$1,"]")),MATCH(vp.tbl[[#This Row],[SDate]],weather.tbl[Date],0))</f>
        <v>-5.8</v>
      </c>
      <c r="V449" s="2">
        <v>106852.554</v>
      </c>
      <c r="W449" t="s">
        <v>48</v>
      </c>
      <c r="X449">
        <f>IF(OR(vp.tbl[[#This Row],[Sulf]]="",vp.tbl[[#This Row],[Dens]]=""),1,0)</f>
        <v>0</v>
      </c>
      <c r="Y449">
        <f>IF(vp.tbl[[#This Row],[CrudeType]]="C5+",1,0)</f>
        <v>0</v>
      </c>
      <c r="Z449">
        <f>IF(AND(vp.tbl[[#This Row],[CrudeType]]="Crude",vp.tbl[[#This Row],[Dens]]&lt;=825,vp.tbl[[#This Row],[Sulf]]&gt;0.5,vp.tbl[[#This Row],[Unknown]]=0),1,0)</f>
        <v>0</v>
      </c>
      <c r="AA449">
        <f>IF(AND(vp.tbl[[#This Row],[CrudeType]]="Crude",vp.tbl[[#This Row],[Dens]]&lt;=825,vp.tbl[[#This Row],[Sulf]]&lt;=0.5,vp.tbl[[#This Row],[Unknown]]=0),1,0)</f>
        <v>0</v>
      </c>
      <c r="AB449">
        <f>IF(AND(vp.tbl[[#This Row],[CrudeType]]="Crude",vp.tbl[[#This Row],[Dens]]&gt;825,vp.tbl[[#This Row],[Dens]]&lt;=870,vp.tbl[[#This Row],[Sulf]]&gt;0.5,vp.tbl[[#This Row],[Unknown]]=0),1,0)</f>
        <v>1</v>
      </c>
      <c r="AC449">
        <f>IF(AND(vp.tbl[[#This Row],[CrudeType]]="Crude",vp.tbl[[#This Row],[Dens]]&gt;825,vp.tbl[[#This Row],[Dens]]&lt;=900,vp.tbl[[#This Row],[Sulf]]&lt;=0.5,vp.tbl[[#This Row],[Unknown]]=0),1,0)</f>
        <v>0</v>
      </c>
      <c r="AD449">
        <f>IF(AND(vp.tbl[[#This Row],[CrudeType]]="Crude",vp.tbl[[#This Row],[Dens]]&gt;870,vp.tbl[[#This Row],[Dens]]&lt;=900,vp.tbl[[#This Row],[Sulf]]&gt;0.5,vp.tbl[[#This Row],[Unknown]]=0),1,0)</f>
        <v>0</v>
      </c>
      <c r="AE449">
        <f>IF(AND(vp.tbl[[#This Row],[CrudeType]]="Crude",vp.tbl[[#This Row],[Dens]]&gt;900,vp.tbl[[#This Row],[Sulf]]&lt;=0.5,vp.tbl[[#This Row],[Unknown]]=0),1,0)</f>
        <v>0</v>
      </c>
      <c r="AF449">
        <f>IF(AND(vp.tbl[[#This Row],[CrudeType]]="Crude",vp.tbl[[#This Row],[Dens]]&gt;900,vp.tbl[[#This Row],[Sulf]]&lt;=0.5,vp.tbl[[#This Row],[Unknown]]=0),1,0)</f>
        <v>0</v>
      </c>
      <c r="AG449" t="str">
        <f>INDEX(vp.tbl[[#Headers],[Unknown]:[Heavy_SW]],MATCH(1,vp.tbl[[#This Row],[Unknown]:[Heavy_SW]],0))</f>
        <v>Medium_LSB</v>
      </c>
      <c r="AH449" t="e">
        <f>INDEX([1]!crudeBD.lkup[Number],MATCH(vp.tbl[[#This Row],[Crude_Breakdown]],[1]!crudeBD.lkup[Crude Breakdown],0))</f>
        <v>#REF!</v>
      </c>
      <c r="AI449">
        <f>MONTH(vp.tbl[[#This Row],[SDate]])</f>
        <v>12</v>
      </c>
      <c r="AJ449" s="5">
        <f>IFERROR(vp.tbl[[#This Row],[Sulf]]*vp.tbl[[#This Row],[Net Dens]],"")</f>
        <v>87426225.420030013</v>
      </c>
      <c r="AK449" s="5">
        <f>IFERROR(vp.tbl[[#This Row],[Dens]]*vp.tbl[[#This Row],[VolumeM3]],"")</f>
        <v>90130129.29900001</v>
      </c>
      <c r="AL449" s="5">
        <f>IFERROR(vp.tbl[[#This Row],[VP]]*vp.tbl[[#This Row],[VolumeM3]],"")</f>
        <v>8142164.6148000006</v>
      </c>
      <c r="AM449" s="4">
        <f>IFERROR((vp.tbl[[#This Row],[VP]]-INDEX(crudeBD.lkup.complete[Mean_VP],MATCH(vp.tbl[[#This Row],[Crude_Breakdown]],crudeBD.lkup.complete[Crude Breakdown],0)))^2,"")</f>
        <v>15.789456721037979</v>
      </c>
      <c r="AN449" s="4">
        <f>IFERROR((vp.tbl[[#This Row],[Dens]]-INDEX(crudeBD.lkup.complete[Mean_Dens],MATCH(vp.tbl[[#This Row],[Crude_Breakdown]],crudeBD.lkup.complete[Crude Breakdown],0)))^2,"")</f>
        <v>3.2106288921611883</v>
      </c>
      <c r="AO449" s="4">
        <f>IFERROR((vp.tbl[[#This Row],[Sulf]]-INDEX(crudeBD.lkup.complete[Mean_Sulf],MATCH(vp.tbl[[#This Row],[Crude_Breakdown]],crudeBD.lkup.complete[Crude Breakdown],0)))^2,"")</f>
        <v>0.23515696985622339</v>
      </c>
      <c r="AP449">
        <f>IF(AND(vp.tbl[[#This Row],[SDate]]&gt;=DATE(YEAR(vp.tbl[[#This Row],[SDate]]),5,1),vp.tbl[[#This Row],[SDate]]&lt;=DATE(YEAR(vp.tbl[[#This Row],[SDate]]),9,15)),1,0)</f>
        <v>0</v>
      </c>
      <c r="AQ449" s="15">
        <f>IF(vp.tbl[[#This Row],[SDate]]&lt;DATE(2016,12,1),0,1)</f>
        <v>1</v>
      </c>
    </row>
    <row r="450" spans="1:43" x14ac:dyDescent="0.25">
      <c r="A450">
        <v>449</v>
      </c>
      <c r="B450" t="s">
        <v>49</v>
      </c>
      <c r="C450" t="s">
        <v>49</v>
      </c>
      <c r="D450" t="s">
        <v>75</v>
      </c>
      <c r="F450" s="1">
        <v>42726</v>
      </c>
      <c r="G450" s="2">
        <v>123.8</v>
      </c>
      <c r="H450" s="2"/>
      <c r="I450" s="2">
        <v>0.13</v>
      </c>
      <c r="J450" s="2">
        <v>14.1</v>
      </c>
      <c r="K450" s="2">
        <v>-3</v>
      </c>
      <c r="L450" s="2">
        <v>795.3</v>
      </c>
      <c r="M450" s="2">
        <v>795.3</v>
      </c>
      <c r="N450" s="2">
        <f ca="1">INDEX(INDIRECT(_xlfn.CONCAT("weather.tbl[",N$1,"]")),MATCH(vp.tbl[[#This Row],[SDate]],weather.tbl[Date],0))</f>
        <v>-4.8833333333333337</v>
      </c>
      <c r="O450" s="2">
        <f ca="1">INDEX(INDIRECT(_xlfn.CONCAT("weather.tbl[",O$1,"]")),MATCH(vp.tbl[[#This Row],[SDate]],weather.tbl[Date],0))</f>
        <v>-13.223809523809525</v>
      </c>
      <c r="P450" s="2">
        <f ca="1">INDEX(INDIRECT(_xlfn.CONCAT("weather.tbl[",P$1,"]")),MATCH(vp.tbl[[#This Row],[SDate]],weather.tbl[Date],0))</f>
        <v>-5</v>
      </c>
      <c r="Q450" s="2">
        <f ca="1">INDEX(INDIRECT(_xlfn.CONCAT("weather.tbl[",Q$1,"]")),MATCH(vp.tbl[[#This Row],[SDate]],weather.tbl[Date],0))</f>
        <v>-5.5</v>
      </c>
      <c r="R450" s="2">
        <f ca="1">INDEX(INDIRECT(_xlfn.CONCAT("weather.tbl[",R$1,"]")),MATCH(vp.tbl[[#This Row],[SDate]],weather.tbl[Date],0))</f>
        <v>-4.8</v>
      </c>
      <c r="S450" s="2">
        <f ca="1">INDEX(INDIRECT(_xlfn.CONCAT("weather.tbl[",S$1,"]")),MATCH(vp.tbl[[#This Row],[SDate]],weather.tbl[Date],0))</f>
        <v>-2</v>
      </c>
      <c r="T450" s="2">
        <f ca="1">INDEX(INDIRECT(_xlfn.CONCAT("weather.tbl[",T$1,"]")),MATCH(vp.tbl[[#This Row],[SDate]],weather.tbl[Date],0))</f>
        <v>-6.2</v>
      </c>
      <c r="U450" s="2">
        <f ca="1">INDEX(INDIRECT(_xlfn.CONCAT("weather.tbl[",U$1,"]")),MATCH(vp.tbl[[#This Row],[SDate]],weather.tbl[Date],0))</f>
        <v>-5.8</v>
      </c>
      <c r="V450" s="2">
        <v>21635.382000000001</v>
      </c>
      <c r="W450" t="s">
        <v>48</v>
      </c>
      <c r="X450">
        <f>IF(OR(vp.tbl[[#This Row],[Sulf]]="",vp.tbl[[#This Row],[Dens]]=""),1,0)</f>
        <v>0</v>
      </c>
      <c r="Y450">
        <f>IF(vp.tbl[[#This Row],[CrudeType]]="C5+",1,0)</f>
        <v>0</v>
      </c>
      <c r="Z450">
        <f>IF(AND(vp.tbl[[#This Row],[CrudeType]]="Crude",vp.tbl[[#This Row],[Dens]]&lt;=825,vp.tbl[[#This Row],[Sulf]]&gt;0.5,vp.tbl[[#This Row],[Unknown]]=0),1,0)</f>
        <v>0</v>
      </c>
      <c r="AA450">
        <f>IF(AND(vp.tbl[[#This Row],[CrudeType]]="Crude",vp.tbl[[#This Row],[Dens]]&lt;=825,vp.tbl[[#This Row],[Sulf]]&lt;=0.5,vp.tbl[[#This Row],[Unknown]]=0),1,0)</f>
        <v>1</v>
      </c>
      <c r="AB450">
        <f>IF(AND(vp.tbl[[#This Row],[CrudeType]]="Crude",vp.tbl[[#This Row],[Dens]]&gt;825,vp.tbl[[#This Row],[Dens]]&lt;=870,vp.tbl[[#This Row],[Sulf]]&gt;0.5,vp.tbl[[#This Row],[Unknown]]=0),1,0)</f>
        <v>0</v>
      </c>
      <c r="AC450">
        <f>IF(AND(vp.tbl[[#This Row],[CrudeType]]="Crude",vp.tbl[[#This Row],[Dens]]&gt;825,vp.tbl[[#This Row],[Dens]]&lt;=900,vp.tbl[[#This Row],[Sulf]]&lt;=0.5,vp.tbl[[#This Row],[Unknown]]=0),1,0)</f>
        <v>0</v>
      </c>
      <c r="AD450">
        <f>IF(AND(vp.tbl[[#This Row],[CrudeType]]="Crude",vp.tbl[[#This Row],[Dens]]&gt;870,vp.tbl[[#This Row],[Dens]]&lt;=900,vp.tbl[[#This Row],[Sulf]]&gt;0.5,vp.tbl[[#This Row],[Unknown]]=0),1,0)</f>
        <v>0</v>
      </c>
      <c r="AE450">
        <f>IF(AND(vp.tbl[[#This Row],[CrudeType]]="Crude",vp.tbl[[#This Row],[Dens]]&gt;900,vp.tbl[[#This Row],[Sulf]]&lt;=0.5,vp.tbl[[#This Row],[Unknown]]=0),1,0)</f>
        <v>0</v>
      </c>
      <c r="AF450">
        <f>IF(AND(vp.tbl[[#This Row],[CrudeType]]="Crude",vp.tbl[[#This Row],[Dens]]&gt;900,vp.tbl[[#This Row],[Sulf]]&lt;=0.5,vp.tbl[[#This Row],[Unknown]]=0),1,0)</f>
        <v>0</v>
      </c>
      <c r="AG450" t="str">
        <f>INDEX(vp.tbl[[#Headers],[Unknown]:[Heavy_SW]],MATCH(1,vp.tbl[[#This Row],[Unknown]:[Heavy_SW]],0))</f>
        <v>Light_SW</v>
      </c>
      <c r="AH450" t="e">
        <f>INDEX([1]!crudeBD.lkup[Number],MATCH(vp.tbl[[#This Row],[Crude_Breakdown]],[1]!crudeBD.lkup[Crude Breakdown],0))</f>
        <v>#REF!</v>
      </c>
      <c r="AI450">
        <f>MONTH(vp.tbl[[#This Row],[SDate]])</f>
        <v>12</v>
      </c>
      <c r="AJ450" s="5">
        <f>IFERROR(vp.tbl[[#This Row],[Sulf]]*vp.tbl[[#This Row],[Net Dens]],"")</f>
        <v>2236860.509598</v>
      </c>
      <c r="AK450" s="5">
        <f>IFERROR(vp.tbl[[#This Row],[Dens]]*vp.tbl[[#This Row],[VolumeM3]],"")</f>
        <v>17206619.3046</v>
      </c>
      <c r="AL450" s="5">
        <f>IFERROR(vp.tbl[[#This Row],[VP]]*vp.tbl[[#This Row],[VolumeM3]],"")</f>
        <v>2678460.2916000001</v>
      </c>
      <c r="AM450" s="4">
        <f>IFERROR((vp.tbl[[#This Row],[VP]]-INDEX(crudeBD.lkup.complete[Mean_VP],MATCH(vp.tbl[[#This Row],[Crude_Breakdown]],crudeBD.lkup.complete[Crude Breakdown],0)))^2,"")</f>
        <v>976.54290079520376</v>
      </c>
      <c r="AN450" s="4">
        <f>IFERROR((vp.tbl[[#This Row],[Dens]]-INDEX(crudeBD.lkup.complete[Mean_Dens],MATCH(vp.tbl[[#This Row],[Crude_Breakdown]],crudeBD.lkup.complete[Crude Breakdown],0)))^2,"")</f>
        <v>169.29908691376161</v>
      </c>
      <c r="AO450" s="4">
        <f>IFERROR((vp.tbl[[#This Row],[Sulf]]-INDEX(crudeBD.lkup.complete[Mean_Sulf],MATCH(vp.tbl[[#This Row],[Crude_Breakdown]],crudeBD.lkup.complete[Crude Breakdown],0)))^2,"")</f>
        <v>1.1287322584467423E-2</v>
      </c>
      <c r="AP450">
        <f>IF(AND(vp.tbl[[#This Row],[SDate]]&gt;=DATE(YEAR(vp.tbl[[#This Row],[SDate]]),5,1),vp.tbl[[#This Row],[SDate]]&lt;=DATE(YEAR(vp.tbl[[#This Row],[SDate]]),9,15)),1,0)</f>
        <v>0</v>
      </c>
      <c r="AQ450" s="15">
        <f>IF(vp.tbl[[#This Row],[SDate]]&lt;DATE(2016,12,1),0,1)</f>
        <v>1</v>
      </c>
    </row>
    <row r="451" spans="1:43" x14ac:dyDescent="0.25">
      <c r="A451">
        <v>450</v>
      </c>
      <c r="B451" t="s">
        <v>49</v>
      </c>
      <c r="C451" t="s">
        <v>49</v>
      </c>
      <c r="D451" t="s">
        <v>74</v>
      </c>
      <c r="F451" s="1">
        <v>42726</v>
      </c>
      <c r="G451" s="2">
        <v>123.7</v>
      </c>
      <c r="H451" s="2"/>
      <c r="I451" s="2">
        <v>0.15</v>
      </c>
      <c r="J451" s="2">
        <v>10.9</v>
      </c>
      <c r="K451" s="2">
        <v>-3</v>
      </c>
      <c r="L451" s="2">
        <v>798.5</v>
      </c>
      <c r="M451" s="2">
        <v>798.5</v>
      </c>
      <c r="N451" s="2">
        <f ca="1">INDEX(INDIRECT(_xlfn.CONCAT("weather.tbl[",N$1,"]")),MATCH(vp.tbl[[#This Row],[SDate]],weather.tbl[Date],0))</f>
        <v>-4.8833333333333337</v>
      </c>
      <c r="O451" s="2">
        <f ca="1">INDEX(INDIRECT(_xlfn.CONCAT("weather.tbl[",O$1,"]")),MATCH(vp.tbl[[#This Row],[SDate]],weather.tbl[Date],0))</f>
        <v>-13.223809523809525</v>
      </c>
      <c r="P451" s="2">
        <f ca="1">INDEX(INDIRECT(_xlfn.CONCAT("weather.tbl[",P$1,"]")),MATCH(vp.tbl[[#This Row],[SDate]],weather.tbl[Date],0))</f>
        <v>-5</v>
      </c>
      <c r="Q451" s="2">
        <f ca="1">INDEX(INDIRECT(_xlfn.CONCAT("weather.tbl[",Q$1,"]")),MATCH(vp.tbl[[#This Row],[SDate]],weather.tbl[Date],0))</f>
        <v>-5.5</v>
      </c>
      <c r="R451" s="2">
        <f ca="1">INDEX(INDIRECT(_xlfn.CONCAT("weather.tbl[",R$1,"]")),MATCH(vp.tbl[[#This Row],[SDate]],weather.tbl[Date],0))</f>
        <v>-4.8</v>
      </c>
      <c r="S451" s="2">
        <f ca="1">INDEX(INDIRECT(_xlfn.CONCAT("weather.tbl[",S$1,"]")),MATCH(vp.tbl[[#This Row],[SDate]],weather.tbl[Date],0))</f>
        <v>-2</v>
      </c>
      <c r="T451" s="2">
        <f ca="1">INDEX(INDIRECT(_xlfn.CONCAT("weather.tbl[",T$1,"]")),MATCH(vp.tbl[[#This Row],[SDate]],weather.tbl[Date],0))</f>
        <v>-6.2</v>
      </c>
      <c r="U451" s="2">
        <f ca="1">INDEX(INDIRECT(_xlfn.CONCAT("weather.tbl[",U$1,"]")),MATCH(vp.tbl[[#This Row],[SDate]],weather.tbl[Date],0))</f>
        <v>-5.8</v>
      </c>
      <c r="V451" s="2">
        <v>30199.411</v>
      </c>
      <c r="W451" t="s">
        <v>48</v>
      </c>
      <c r="X451">
        <f>IF(OR(vp.tbl[[#This Row],[Sulf]]="",vp.tbl[[#This Row],[Dens]]=""),1,0)</f>
        <v>0</v>
      </c>
      <c r="Y451">
        <f>IF(vp.tbl[[#This Row],[CrudeType]]="C5+",1,0)</f>
        <v>0</v>
      </c>
      <c r="Z451">
        <f>IF(AND(vp.tbl[[#This Row],[CrudeType]]="Crude",vp.tbl[[#This Row],[Dens]]&lt;=825,vp.tbl[[#This Row],[Sulf]]&gt;0.5,vp.tbl[[#This Row],[Unknown]]=0),1,0)</f>
        <v>0</v>
      </c>
      <c r="AA451">
        <f>IF(AND(vp.tbl[[#This Row],[CrudeType]]="Crude",vp.tbl[[#This Row],[Dens]]&lt;=825,vp.tbl[[#This Row],[Sulf]]&lt;=0.5,vp.tbl[[#This Row],[Unknown]]=0),1,0)</f>
        <v>1</v>
      </c>
      <c r="AB451">
        <f>IF(AND(vp.tbl[[#This Row],[CrudeType]]="Crude",vp.tbl[[#This Row],[Dens]]&gt;825,vp.tbl[[#This Row],[Dens]]&lt;=870,vp.tbl[[#This Row],[Sulf]]&gt;0.5,vp.tbl[[#This Row],[Unknown]]=0),1,0)</f>
        <v>0</v>
      </c>
      <c r="AC451">
        <f>IF(AND(vp.tbl[[#This Row],[CrudeType]]="Crude",vp.tbl[[#This Row],[Dens]]&gt;825,vp.tbl[[#This Row],[Dens]]&lt;=900,vp.tbl[[#This Row],[Sulf]]&lt;=0.5,vp.tbl[[#This Row],[Unknown]]=0),1,0)</f>
        <v>0</v>
      </c>
      <c r="AD451">
        <f>IF(AND(vp.tbl[[#This Row],[CrudeType]]="Crude",vp.tbl[[#This Row],[Dens]]&gt;870,vp.tbl[[#This Row],[Dens]]&lt;=900,vp.tbl[[#This Row],[Sulf]]&gt;0.5,vp.tbl[[#This Row],[Unknown]]=0),1,0)</f>
        <v>0</v>
      </c>
      <c r="AE451">
        <f>IF(AND(vp.tbl[[#This Row],[CrudeType]]="Crude",vp.tbl[[#This Row],[Dens]]&gt;900,vp.tbl[[#This Row],[Sulf]]&lt;=0.5,vp.tbl[[#This Row],[Unknown]]=0),1,0)</f>
        <v>0</v>
      </c>
      <c r="AF451">
        <f>IF(AND(vp.tbl[[#This Row],[CrudeType]]="Crude",vp.tbl[[#This Row],[Dens]]&gt;900,vp.tbl[[#This Row],[Sulf]]&lt;=0.5,vp.tbl[[#This Row],[Unknown]]=0),1,0)</f>
        <v>0</v>
      </c>
      <c r="AG451" t="str">
        <f>INDEX(vp.tbl[[#Headers],[Unknown]:[Heavy_SW]],MATCH(1,vp.tbl[[#This Row],[Unknown]:[Heavy_SW]],0))</f>
        <v>Light_SW</v>
      </c>
      <c r="AH451" t="e">
        <f>INDEX([1]!crudeBD.lkup[Number],MATCH(vp.tbl[[#This Row],[Crude_Breakdown]],[1]!crudeBD.lkup[Crude Breakdown],0))</f>
        <v>#REF!</v>
      </c>
      <c r="AI451">
        <f>MONTH(vp.tbl[[#This Row],[SDate]])</f>
        <v>12</v>
      </c>
      <c r="AJ451" s="5">
        <f>IFERROR(vp.tbl[[#This Row],[Sulf]]*vp.tbl[[#This Row],[Net Dens]],"")</f>
        <v>3617134.4525249996</v>
      </c>
      <c r="AK451" s="5">
        <f>IFERROR(vp.tbl[[#This Row],[Dens]]*vp.tbl[[#This Row],[VolumeM3]],"")</f>
        <v>24114229.683499999</v>
      </c>
      <c r="AL451" s="5">
        <f>IFERROR(vp.tbl[[#This Row],[VP]]*vp.tbl[[#This Row],[VolumeM3]],"")</f>
        <v>3735667.1406999999</v>
      </c>
      <c r="AM451" s="4">
        <f>IFERROR((vp.tbl[[#This Row],[VP]]-INDEX(crudeBD.lkup.complete[Mean_VP],MATCH(vp.tbl[[#This Row],[Crude_Breakdown]],crudeBD.lkup.complete[Crude Breakdown],0)))^2,"")</f>
        <v>970.30296351297409</v>
      </c>
      <c r="AN451" s="4">
        <f>IFERROR((vp.tbl[[#This Row],[Dens]]-INDEX(crudeBD.lkup.complete[Mean_Dens],MATCH(vp.tbl[[#This Row],[Crude_Breakdown]],crudeBD.lkup.complete[Crude Breakdown],0)))^2,"")</f>
        <v>96.2654980635876</v>
      </c>
      <c r="AO451" s="4">
        <f>IFERROR((vp.tbl[[#This Row],[Sulf]]-INDEX(crudeBD.lkup.complete[Mean_Sulf],MATCH(vp.tbl[[#This Row],[Crude_Breakdown]],crudeBD.lkup.complete[Crude Breakdown],0)))^2,"")</f>
        <v>7.4376501105998362E-3</v>
      </c>
      <c r="AP451">
        <f>IF(AND(vp.tbl[[#This Row],[SDate]]&gt;=DATE(YEAR(vp.tbl[[#This Row],[SDate]]),5,1),vp.tbl[[#This Row],[SDate]]&lt;=DATE(YEAR(vp.tbl[[#This Row],[SDate]]),9,15)),1,0)</f>
        <v>0</v>
      </c>
      <c r="AQ451" s="15">
        <f>IF(vp.tbl[[#This Row],[SDate]]&lt;DATE(2016,12,1),0,1)</f>
        <v>1</v>
      </c>
    </row>
    <row r="452" spans="1:43" x14ac:dyDescent="0.25">
      <c r="A452">
        <v>451</v>
      </c>
      <c r="B452" t="s">
        <v>62</v>
      </c>
      <c r="C452" t="s">
        <v>62</v>
      </c>
      <c r="D452" t="s">
        <v>83</v>
      </c>
      <c r="F452" s="1">
        <v>42726</v>
      </c>
      <c r="G452" s="2">
        <v>112.2</v>
      </c>
      <c r="H452" s="2"/>
      <c r="I452" s="2">
        <v>0.17</v>
      </c>
      <c r="J452" s="2">
        <v>2.7</v>
      </c>
      <c r="K452" s="2">
        <v>-3</v>
      </c>
      <c r="L452" s="2">
        <v>803.3</v>
      </c>
      <c r="M452" s="2">
        <v>803.3</v>
      </c>
      <c r="N452" s="2">
        <f ca="1">INDEX(INDIRECT(_xlfn.CONCAT("weather.tbl[",N$1,"]")),MATCH(vp.tbl[[#This Row],[SDate]],weather.tbl[Date],0))</f>
        <v>-4.8833333333333337</v>
      </c>
      <c r="O452" s="2">
        <f ca="1">INDEX(INDIRECT(_xlfn.CONCAT("weather.tbl[",O$1,"]")),MATCH(vp.tbl[[#This Row],[SDate]],weather.tbl[Date],0))</f>
        <v>-13.223809523809525</v>
      </c>
      <c r="P452" s="2">
        <f ca="1">INDEX(INDIRECT(_xlfn.CONCAT("weather.tbl[",P$1,"]")),MATCH(vp.tbl[[#This Row],[SDate]],weather.tbl[Date],0))</f>
        <v>-5</v>
      </c>
      <c r="Q452" s="2">
        <f ca="1">INDEX(INDIRECT(_xlfn.CONCAT("weather.tbl[",Q$1,"]")),MATCH(vp.tbl[[#This Row],[SDate]],weather.tbl[Date],0))</f>
        <v>-5.5</v>
      </c>
      <c r="R452" s="2">
        <f ca="1">INDEX(INDIRECT(_xlfn.CONCAT("weather.tbl[",R$1,"]")),MATCH(vp.tbl[[#This Row],[SDate]],weather.tbl[Date],0))</f>
        <v>-4.8</v>
      </c>
      <c r="S452" s="2">
        <f ca="1">INDEX(INDIRECT(_xlfn.CONCAT("weather.tbl[",S$1,"]")),MATCH(vp.tbl[[#This Row],[SDate]],weather.tbl[Date],0))</f>
        <v>-2</v>
      </c>
      <c r="T452" s="2">
        <f ca="1">INDEX(INDIRECT(_xlfn.CONCAT("weather.tbl[",T$1,"]")),MATCH(vp.tbl[[#This Row],[SDate]],weather.tbl[Date],0))</f>
        <v>-6.2</v>
      </c>
      <c r="U452" s="2">
        <f ca="1">INDEX(INDIRECT(_xlfn.CONCAT("weather.tbl[",U$1,"]")),MATCH(vp.tbl[[#This Row],[SDate]],weather.tbl[Date],0))</f>
        <v>-5.8</v>
      </c>
      <c r="V452" s="2">
        <v>9482.9609999999993</v>
      </c>
      <c r="W452" t="s">
        <v>48</v>
      </c>
      <c r="X452">
        <f>IF(OR(vp.tbl[[#This Row],[Sulf]]="",vp.tbl[[#This Row],[Dens]]=""),1,0)</f>
        <v>0</v>
      </c>
      <c r="Y452">
        <f>IF(vp.tbl[[#This Row],[CrudeType]]="C5+",1,0)</f>
        <v>0</v>
      </c>
      <c r="Z452">
        <f>IF(AND(vp.tbl[[#This Row],[CrudeType]]="Crude",vp.tbl[[#This Row],[Dens]]&lt;=825,vp.tbl[[#This Row],[Sulf]]&gt;0.5,vp.tbl[[#This Row],[Unknown]]=0),1,0)</f>
        <v>0</v>
      </c>
      <c r="AA452">
        <f>IF(AND(vp.tbl[[#This Row],[CrudeType]]="Crude",vp.tbl[[#This Row],[Dens]]&lt;=825,vp.tbl[[#This Row],[Sulf]]&lt;=0.5,vp.tbl[[#This Row],[Unknown]]=0),1,0)</f>
        <v>1</v>
      </c>
      <c r="AB452">
        <f>IF(AND(vp.tbl[[#This Row],[CrudeType]]="Crude",vp.tbl[[#This Row],[Dens]]&gt;825,vp.tbl[[#This Row],[Dens]]&lt;=870,vp.tbl[[#This Row],[Sulf]]&gt;0.5,vp.tbl[[#This Row],[Unknown]]=0),1,0)</f>
        <v>0</v>
      </c>
      <c r="AC452">
        <f>IF(AND(vp.tbl[[#This Row],[CrudeType]]="Crude",vp.tbl[[#This Row],[Dens]]&gt;825,vp.tbl[[#This Row],[Dens]]&lt;=900,vp.tbl[[#This Row],[Sulf]]&lt;=0.5,vp.tbl[[#This Row],[Unknown]]=0),1,0)</f>
        <v>0</v>
      </c>
      <c r="AD452">
        <f>IF(AND(vp.tbl[[#This Row],[CrudeType]]="Crude",vp.tbl[[#This Row],[Dens]]&gt;870,vp.tbl[[#This Row],[Dens]]&lt;=900,vp.tbl[[#This Row],[Sulf]]&gt;0.5,vp.tbl[[#This Row],[Unknown]]=0),1,0)</f>
        <v>0</v>
      </c>
      <c r="AE452">
        <f>IF(AND(vp.tbl[[#This Row],[CrudeType]]="Crude",vp.tbl[[#This Row],[Dens]]&gt;900,vp.tbl[[#This Row],[Sulf]]&lt;=0.5,vp.tbl[[#This Row],[Unknown]]=0),1,0)</f>
        <v>0</v>
      </c>
      <c r="AF452">
        <f>IF(AND(vp.tbl[[#This Row],[CrudeType]]="Crude",vp.tbl[[#This Row],[Dens]]&gt;900,vp.tbl[[#This Row],[Sulf]]&lt;=0.5,vp.tbl[[#This Row],[Unknown]]=0),1,0)</f>
        <v>0</v>
      </c>
      <c r="AG452" t="str">
        <f>INDEX(vp.tbl[[#Headers],[Unknown]:[Heavy_SW]],MATCH(1,vp.tbl[[#This Row],[Unknown]:[Heavy_SW]],0))</f>
        <v>Light_SW</v>
      </c>
      <c r="AH452" t="e">
        <f>INDEX([1]!crudeBD.lkup[Number],MATCH(vp.tbl[[#This Row],[Crude_Breakdown]],[1]!crudeBD.lkup[Crude Breakdown],0))</f>
        <v>#REF!</v>
      </c>
      <c r="AI452">
        <f>MONTH(vp.tbl[[#This Row],[SDate]])</f>
        <v>12</v>
      </c>
      <c r="AJ452" s="5">
        <f>IFERROR(vp.tbl[[#This Row],[Sulf]]*vp.tbl[[#This Row],[Net Dens]],"")</f>
        <v>1295002.6371209999</v>
      </c>
      <c r="AK452" s="5">
        <f>IFERROR(vp.tbl[[#This Row],[Dens]]*vp.tbl[[#This Row],[VolumeM3]],"")</f>
        <v>7617662.571299999</v>
      </c>
      <c r="AL452" s="5">
        <f>IFERROR(vp.tbl[[#This Row],[VP]]*vp.tbl[[#This Row],[VolumeM3]],"")</f>
        <v>1063988.2242000001</v>
      </c>
      <c r="AM452" s="4">
        <f>IFERROR((vp.tbl[[#This Row],[VP]]-INDEX(crudeBD.lkup.complete[Mean_VP],MATCH(vp.tbl[[#This Row],[Crude_Breakdown]],crudeBD.lkup.complete[Crude Breakdown],0)))^2,"")</f>
        <v>386.11017605652739</v>
      </c>
      <c r="AN452" s="4">
        <f>IFERROR((vp.tbl[[#This Row],[Dens]]-INDEX(crudeBD.lkup.complete[Mean_Dens],MATCH(vp.tbl[[#This Row],[Crude_Breakdown]],crudeBD.lkup.complete[Crude Breakdown],0)))^2,"")</f>
        <v>25.115114788328828</v>
      </c>
      <c r="AO452" s="4">
        <f>IFERROR((vp.tbl[[#This Row],[Sulf]]-INDEX(crudeBD.lkup.complete[Mean_Sulf],MATCH(vp.tbl[[#This Row],[Crude_Breakdown]],crudeBD.lkup.complete[Crude Breakdown],0)))^2,"")</f>
        <v>4.3879776367322437E-3</v>
      </c>
      <c r="AP452">
        <f>IF(AND(vp.tbl[[#This Row],[SDate]]&gt;=DATE(YEAR(vp.tbl[[#This Row],[SDate]]),5,1),vp.tbl[[#This Row],[SDate]]&lt;=DATE(YEAR(vp.tbl[[#This Row],[SDate]]),9,15)),1,0)</f>
        <v>0</v>
      </c>
      <c r="AQ452" s="15">
        <f>IF(vp.tbl[[#This Row],[SDate]]&lt;DATE(2016,12,1),0,1)</f>
        <v>1</v>
      </c>
    </row>
    <row r="453" spans="1:43" x14ac:dyDescent="0.25">
      <c r="A453">
        <v>452</v>
      </c>
      <c r="B453" t="s">
        <v>62</v>
      </c>
      <c r="C453" t="s">
        <v>62</v>
      </c>
      <c r="D453" t="s">
        <v>79</v>
      </c>
      <c r="F453" s="1">
        <v>42726</v>
      </c>
      <c r="G453" s="2">
        <v>90.3</v>
      </c>
      <c r="H453" s="2"/>
      <c r="I453" s="2">
        <v>0.19</v>
      </c>
      <c r="J453" s="2">
        <v>19.600000000000001</v>
      </c>
      <c r="K453" s="2">
        <v>-3</v>
      </c>
      <c r="L453" s="2">
        <v>806.9</v>
      </c>
      <c r="M453" s="2">
        <v>806.9</v>
      </c>
      <c r="N453" s="2">
        <f ca="1">INDEX(INDIRECT(_xlfn.CONCAT("weather.tbl[",N$1,"]")),MATCH(vp.tbl[[#This Row],[SDate]],weather.tbl[Date],0))</f>
        <v>-4.8833333333333337</v>
      </c>
      <c r="O453" s="2">
        <f ca="1">INDEX(INDIRECT(_xlfn.CONCAT("weather.tbl[",O$1,"]")),MATCH(vp.tbl[[#This Row],[SDate]],weather.tbl[Date],0))</f>
        <v>-13.223809523809525</v>
      </c>
      <c r="P453" s="2">
        <f ca="1">INDEX(INDIRECT(_xlfn.CONCAT("weather.tbl[",P$1,"]")),MATCH(vp.tbl[[#This Row],[SDate]],weather.tbl[Date],0))</f>
        <v>-5</v>
      </c>
      <c r="Q453" s="2">
        <f ca="1">INDEX(INDIRECT(_xlfn.CONCAT("weather.tbl[",Q$1,"]")),MATCH(vp.tbl[[#This Row],[SDate]],weather.tbl[Date],0))</f>
        <v>-5.5</v>
      </c>
      <c r="R453" s="2">
        <f ca="1">INDEX(INDIRECT(_xlfn.CONCAT("weather.tbl[",R$1,"]")),MATCH(vp.tbl[[#This Row],[SDate]],weather.tbl[Date],0))</f>
        <v>-4.8</v>
      </c>
      <c r="S453" s="2">
        <f ca="1">INDEX(INDIRECT(_xlfn.CONCAT("weather.tbl[",S$1,"]")),MATCH(vp.tbl[[#This Row],[SDate]],weather.tbl[Date],0))</f>
        <v>-2</v>
      </c>
      <c r="T453" s="2">
        <f ca="1">INDEX(INDIRECT(_xlfn.CONCAT("weather.tbl[",T$1,"]")),MATCH(vp.tbl[[#This Row],[SDate]],weather.tbl[Date],0))</f>
        <v>-6.2</v>
      </c>
      <c r="U453" s="2">
        <f ca="1">INDEX(INDIRECT(_xlfn.CONCAT("weather.tbl[",U$1,"]")),MATCH(vp.tbl[[#This Row],[SDate]],weather.tbl[Date],0))</f>
        <v>-5.8</v>
      </c>
      <c r="V453" s="2">
        <v>13104.25</v>
      </c>
      <c r="W453" t="s">
        <v>48</v>
      </c>
      <c r="X453">
        <f>IF(OR(vp.tbl[[#This Row],[Sulf]]="",vp.tbl[[#This Row],[Dens]]=""),1,0)</f>
        <v>0</v>
      </c>
      <c r="Y453">
        <f>IF(vp.tbl[[#This Row],[CrudeType]]="C5+",1,0)</f>
        <v>0</v>
      </c>
      <c r="Z453">
        <f>IF(AND(vp.tbl[[#This Row],[CrudeType]]="Crude",vp.tbl[[#This Row],[Dens]]&lt;=825,vp.tbl[[#This Row],[Sulf]]&gt;0.5,vp.tbl[[#This Row],[Unknown]]=0),1,0)</f>
        <v>0</v>
      </c>
      <c r="AA453">
        <f>IF(AND(vp.tbl[[#This Row],[CrudeType]]="Crude",vp.tbl[[#This Row],[Dens]]&lt;=825,vp.tbl[[#This Row],[Sulf]]&lt;=0.5,vp.tbl[[#This Row],[Unknown]]=0),1,0)</f>
        <v>1</v>
      </c>
      <c r="AB453">
        <f>IF(AND(vp.tbl[[#This Row],[CrudeType]]="Crude",vp.tbl[[#This Row],[Dens]]&gt;825,vp.tbl[[#This Row],[Dens]]&lt;=870,vp.tbl[[#This Row],[Sulf]]&gt;0.5,vp.tbl[[#This Row],[Unknown]]=0),1,0)</f>
        <v>0</v>
      </c>
      <c r="AC453">
        <f>IF(AND(vp.tbl[[#This Row],[CrudeType]]="Crude",vp.tbl[[#This Row],[Dens]]&gt;825,vp.tbl[[#This Row],[Dens]]&lt;=900,vp.tbl[[#This Row],[Sulf]]&lt;=0.5,vp.tbl[[#This Row],[Unknown]]=0),1,0)</f>
        <v>0</v>
      </c>
      <c r="AD453">
        <f>IF(AND(vp.tbl[[#This Row],[CrudeType]]="Crude",vp.tbl[[#This Row],[Dens]]&gt;870,vp.tbl[[#This Row],[Dens]]&lt;=900,vp.tbl[[#This Row],[Sulf]]&gt;0.5,vp.tbl[[#This Row],[Unknown]]=0),1,0)</f>
        <v>0</v>
      </c>
      <c r="AE453">
        <f>IF(AND(vp.tbl[[#This Row],[CrudeType]]="Crude",vp.tbl[[#This Row],[Dens]]&gt;900,vp.tbl[[#This Row],[Sulf]]&lt;=0.5,vp.tbl[[#This Row],[Unknown]]=0),1,0)</f>
        <v>0</v>
      </c>
      <c r="AF453">
        <f>IF(AND(vp.tbl[[#This Row],[CrudeType]]="Crude",vp.tbl[[#This Row],[Dens]]&gt;900,vp.tbl[[#This Row],[Sulf]]&lt;=0.5,vp.tbl[[#This Row],[Unknown]]=0),1,0)</f>
        <v>0</v>
      </c>
      <c r="AG453" t="str">
        <f>INDEX(vp.tbl[[#Headers],[Unknown]:[Heavy_SW]],MATCH(1,vp.tbl[[#This Row],[Unknown]:[Heavy_SW]],0))</f>
        <v>Light_SW</v>
      </c>
      <c r="AH453" t="e">
        <f>INDEX([1]!crudeBD.lkup[Number],MATCH(vp.tbl[[#This Row],[Crude_Breakdown]],[1]!crudeBD.lkup[Crude Breakdown],0))</f>
        <v>#REF!</v>
      </c>
      <c r="AI453">
        <f>MONTH(vp.tbl[[#This Row],[SDate]])</f>
        <v>12</v>
      </c>
      <c r="AJ453" s="5">
        <f>IFERROR(vp.tbl[[#This Row],[Sulf]]*vp.tbl[[#This Row],[Net Dens]],"")</f>
        <v>2009025.67175</v>
      </c>
      <c r="AK453" s="5">
        <f>IFERROR(vp.tbl[[#This Row],[Dens]]*vp.tbl[[#This Row],[VolumeM3]],"")</f>
        <v>10573819.324999999</v>
      </c>
      <c r="AL453" s="5">
        <f>IFERROR(vp.tbl[[#This Row],[VP]]*vp.tbl[[#This Row],[VolumeM3]],"")</f>
        <v>1183313.7749999999</v>
      </c>
      <c r="AM453" s="4">
        <f>IFERROR((vp.tbl[[#This Row],[VP]]-INDEX(crudeBD.lkup.complete[Mean_VP],MATCH(vp.tbl[[#This Row],[Crude_Breakdown]],crudeBD.lkup.complete[Crude Breakdown],0)))^2,"")</f>
        <v>5.063911248163631</v>
      </c>
      <c r="AN453" s="4">
        <f>IFERROR((vp.tbl[[#This Row],[Dens]]-INDEX(crudeBD.lkup.complete[Mean_Dens],MATCH(vp.tbl[[#This Row],[Crude_Breakdown]],crudeBD.lkup.complete[Crude Breakdown],0)))^2,"")</f>
        <v>1.992327331884016</v>
      </c>
      <c r="AO453" s="4">
        <f>IFERROR((vp.tbl[[#This Row],[Sulf]]-INDEX(crudeBD.lkup.complete[Mean_Sulf],MATCH(vp.tbl[[#This Row],[Crude_Breakdown]],crudeBD.lkup.complete[Crude Breakdown],0)))^2,"")</f>
        <v>2.1383051628646554E-3</v>
      </c>
      <c r="AP453">
        <f>IF(AND(vp.tbl[[#This Row],[SDate]]&gt;=DATE(YEAR(vp.tbl[[#This Row],[SDate]]),5,1),vp.tbl[[#This Row],[SDate]]&lt;=DATE(YEAR(vp.tbl[[#This Row],[SDate]]),9,15)),1,0)</f>
        <v>0</v>
      </c>
      <c r="AQ453" s="15">
        <f>IF(vp.tbl[[#This Row],[SDate]]&lt;DATE(2016,12,1),0,1)</f>
        <v>1</v>
      </c>
    </row>
    <row r="454" spans="1:43" x14ac:dyDescent="0.25">
      <c r="A454">
        <v>453</v>
      </c>
      <c r="B454" t="s">
        <v>49</v>
      </c>
      <c r="C454" t="s">
        <v>49</v>
      </c>
      <c r="D454" t="s">
        <v>99</v>
      </c>
      <c r="F454" s="1">
        <v>42726</v>
      </c>
      <c r="G454" s="2">
        <v>84.9</v>
      </c>
      <c r="H454" s="2"/>
      <c r="I454" s="2">
        <v>0.33</v>
      </c>
      <c r="J454" s="2">
        <v>5.4</v>
      </c>
      <c r="K454" s="2">
        <v>-3</v>
      </c>
      <c r="L454" s="2">
        <v>807</v>
      </c>
      <c r="M454" s="2">
        <v>807</v>
      </c>
      <c r="N454" s="2">
        <f ca="1">INDEX(INDIRECT(_xlfn.CONCAT("weather.tbl[",N$1,"]")),MATCH(vp.tbl[[#This Row],[SDate]],weather.tbl[Date],0))</f>
        <v>-4.8833333333333337</v>
      </c>
      <c r="O454" s="2">
        <f ca="1">INDEX(INDIRECT(_xlfn.CONCAT("weather.tbl[",O$1,"]")),MATCH(vp.tbl[[#This Row],[SDate]],weather.tbl[Date],0))</f>
        <v>-13.223809523809525</v>
      </c>
      <c r="P454" s="2">
        <f ca="1">INDEX(INDIRECT(_xlfn.CONCAT("weather.tbl[",P$1,"]")),MATCH(vp.tbl[[#This Row],[SDate]],weather.tbl[Date],0))</f>
        <v>-5</v>
      </c>
      <c r="Q454" s="2">
        <f ca="1">INDEX(INDIRECT(_xlfn.CONCAT("weather.tbl[",Q$1,"]")),MATCH(vp.tbl[[#This Row],[SDate]],weather.tbl[Date],0))</f>
        <v>-5.5</v>
      </c>
      <c r="R454" s="2">
        <f ca="1">INDEX(INDIRECT(_xlfn.CONCAT("weather.tbl[",R$1,"]")),MATCH(vp.tbl[[#This Row],[SDate]],weather.tbl[Date],0))</f>
        <v>-4.8</v>
      </c>
      <c r="S454" s="2">
        <f ca="1">INDEX(INDIRECT(_xlfn.CONCAT("weather.tbl[",S$1,"]")),MATCH(vp.tbl[[#This Row],[SDate]],weather.tbl[Date],0))</f>
        <v>-2</v>
      </c>
      <c r="T454" s="2">
        <f ca="1">INDEX(INDIRECT(_xlfn.CONCAT("weather.tbl[",T$1,"]")),MATCH(vp.tbl[[#This Row],[SDate]],weather.tbl[Date],0))</f>
        <v>-6.2</v>
      </c>
      <c r="U454" s="2">
        <f ca="1">INDEX(INDIRECT(_xlfn.CONCAT("weather.tbl[",U$1,"]")),MATCH(vp.tbl[[#This Row],[SDate]],weather.tbl[Date],0))</f>
        <v>-5.8</v>
      </c>
      <c r="V454" s="2">
        <v>2747.39</v>
      </c>
      <c r="W454" t="s">
        <v>48</v>
      </c>
      <c r="X454">
        <f>IF(OR(vp.tbl[[#This Row],[Sulf]]="",vp.tbl[[#This Row],[Dens]]=""),1,0)</f>
        <v>0</v>
      </c>
      <c r="Y454">
        <f>IF(vp.tbl[[#This Row],[CrudeType]]="C5+",1,0)</f>
        <v>0</v>
      </c>
      <c r="Z454">
        <f>IF(AND(vp.tbl[[#This Row],[CrudeType]]="Crude",vp.tbl[[#This Row],[Dens]]&lt;=825,vp.tbl[[#This Row],[Sulf]]&gt;0.5,vp.tbl[[#This Row],[Unknown]]=0),1,0)</f>
        <v>0</v>
      </c>
      <c r="AA454">
        <f>IF(AND(vp.tbl[[#This Row],[CrudeType]]="Crude",vp.tbl[[#This Row],[Dens]]&lt;=825,vp.tbl[[#This Row],[Sulf]]&lt;=0.5,vp.tbl[[#This Row],[Unknown]]=0),1,0)</f>
        <v>1</v>
      </c>
      <c r="AB454">
        <f>IF(AND(vp.tbl[[#This Row],[CrudeType]]="Crude",vp.tbl[[#This Row],[Dens]]&gt;825,vp.tbl[[#This Row],[Dens]]&lt;=870,vp.tbl[[#This Row],[Sulf]]&gt;0.5,vp.tbl[[#This Row],[Unknown]]=0),1,0)</f>
        <v>0</v>
      </c>
      <c r="AC454">
        <f>IF(AND(vp.tbl[[#This Row],[CrudeType]]="Crude",vp.tbl[[#This Row],[Dens]]&gt;825,vp.tbl[[#This Row],[Dens]]&lt;=900,vp.tbl[[#This Row],[Sulf]]&lt;=0.5,vp.tbl[[#This Row],[Unknown]]=0),1,0)</f>
        <v>0</v>
      </c>
      <c r="AD454">
        <f>IF(AND(vp.tbl[[#This Row],[CrudeType]]="Crude",vp.tbl[[#This Row],[Dens]]&gt;870,vp.tbl[[#This Row],[Dens]]&lt;=900,vp.tbl[[#This Row],[Sulf]]&gt;0.5,vp.tbl[[#This Row],[Unknown]]=0),1,0)</f>
        <v>0</v>
      </c>
      <c r="AE454">
        <f>IF(AND(vp.tbl[[#This Row],[CrudeType]]="Crude",vp.tbl[[#This Row],[Dens]]&gt;900,vp.tbl[[#This Row],[Sulf]]&lt;=0.5,vp.tbl[[#This Row],[Unknown]]=0),1,0)</f>
        <v>0</v>
      </c>
      <c r="AF454">
        <f>IF(AND(vp.tbl[[#This Row],[CrudeType]]="Crude",vp.tbl[[#This Row],[Dens]]&gt;900,vp.tbl[[#This Row],[Sulf]]&lt;=0.5,vp.tbl[[#This Row],[Unknown]]=0),1,0)</f>
        <v>0</v>
      </c>
      <c r="AG454" t="str">
        <f>INDEX(vp.tbl[[#Headers],[Unknown]:[Heavy_SW]],MATCH(1,vp.tbl[[#This Row],[Unknown]:[Heavy_SW]],0))</f>
        <v>Light_SW</v>
      </c>
      <c r="AH454" t="e">
        <f>INDEX([1]!crudeBD.lkup[Number],MATCH(vp.tbl[[#This Row],[Crude_Breakdown]],[1]!crudeBD.lkup[Crude Breakdown],0))</f>
        <v>#REF!</v>
      </c>
      <c r="AI454">
        <f>MONTH(vp.tbl[[#This Row],[SDate]])</f>
        <v>12</v>
      </c>
      <c r="AJ454" s="5">
        <f>IFERROR(vp.tbl[[#This Row],[Sulf]]*vp.tbl[[#This Row],[Net Dens]],"")</f>
        <v>731657.43090000004</v>
      </c>
      <c r="AK454" s="5">
        <f>IFERROR(vp.tbl[[#This Row],[Dens]]*vp.tbl[[#This Row],[VolumeM3]],"")</f>
        <v>2217143.73</v>
      </c>
      <c r="AL454" s="5">
        <f>IFERROR(vp.tbl[[#This Row],[VP]]*vp.tbl[[#This Row],[VolumeM3]],"")</f>
        <v>233253.41099999999</v>
      </c>
      <c r="AM454" s="4">
        <f>IFERROR((vp.tbl[[#This Row],[VP]]-INDEX(crudeBD.lkup.complete[Mean_VP],MATCH(vp.tbl[[#This Row],[Crude_Breakdown]],crudeBD.lkup.complete[Crude Breakdown],0)))^2,"")</f>
        <v>58.527298007745095</v>
      </c>
      <c r="AN454" s="4">
        <f>IFERROR((vp.tbl[[#This Row],[Dens]]-INDEX(crudeBD.lkup.complete[Mean_Dens],MATCH(vp.tbl[[#This Row],[Crude_Breakdown]],crudeBD.lkup.complete[Crude Breakdown],0)))^2,"")</f>
        <v>1.7200276803160512</v>
      </c>
      <c r="AO454" s="4">
        <f>IFERROR((vp.tbl[[#This Row],[Sulf]]-INDEX(crudeBD.lkup.complete[Mean_Sulf],MATCH(vp.tbl[[#This Row],[Crude_Breakdown]],crudeBD.lkup.complete[Crude Breakdown],0)))^2,"")</f>
        <v>8.7905978457915313E-3</v>
      </c>
      <c r="AP454">
        <f>IF(AND(vp.tbl[[#This Row],[SDate]]&gt;=DATE(YEAR(vp.tbl[[#This Row],[SDate]]),5,1),vp.tbl[[#This Row],[SDate]]&lt;=DATE(YEAR(vp.tbl[[#This Row],[SDate]]),9,15)),1,0)</f>
        <v>0</v>
      </c>
      <c r="AQ454" s="15">
        <f>IF(vp.tbl[[#This Row],[SDate]]&lt;DATE(2016,12,1),0,1)</f>
        <v>1</v>
      </c>
    </row>
    <row r="455" spans="1:43" x14ac:dyDescent="0.25">
      <c r="A455">
        <v>454</v>
      </c>
      <c r="B455" t="s">
        <v>51</v>
      </c>
      <c r="C455" t="s">
        <v>51</v>
      </c>
      <c r="D455" t="s">
        <v>66</v>
      </c>
      <c r="F455" s="1">
        <v>42726</v>
      </c>
      <c r="G455" s="2">
        <v>84.4</v>
      </c>
      <c r="H455" s="2"/>
      <c r="I455" s="2">
        <v>1.66</v>
      </c>
      <c r="J455" s="2">
        <v>-1.49</v>
      </c>
      <c r="K455" s="2">
        <v>-3</v>
      </c>
      <c r="L455" s="2">
        <v>826.3</v>
      </c>
      <c r="M455" s="2">
        <v>826.3</v>
      </c>
      <c r="N455" s="2">
        <f ca="1">INDEX(INDIRECT(_xlfn.CONCAT("weather.tbl[",N$1,"]")),MATCH(vp.tbl[[#This Row],[SDate]],weather.tbl[Date],0))</f>
        <v>-4.8833333333333337</v>
      </c>
      <c r="O455" s="2">
        <f ca="1">INDEX(INDIRECT(_xlfn.CONCAT("weather.tbl[",O$1,"]")),MATCH(vp.tbl[[#This Row],[SDate]],weather.tbl[Date],0))</f>
        <v>-13.223809523809525</v>
      </c>
      <c r="P455" s="2">
        <f ca="1">INDEX(INDIRECT(_xlfn.CONCAT("weather.tbl[",P$1,"]")),MATCH(vp.tbl[[#This Row],[SDate]],weather.tbl[Date],0))</f>
        <v>-5</v>
      </c>
      <c r="Q455" s="2">
        <f ca="1">INDEX(INDIRECT(_xlfn.CONCAT("weather.tbl[",Q$1,"]")),MATCH(vp.tbl[[#This Row],[SDate]],weather.tbl[Date],0))</f>
        <v>-5.5</v>
      </c>
      <c r="R455" s="2">
        <f ca="1">INDEX(INDIRECT(_xlfn.CONCAT("weather.tbl[",R$1,"]")),MATCH(vp.tbl[[#This Row],[SDate]],weather.tbl[Date],0))</f>
        <v>-4.8</v>
      </c>
      <c r="S455" s="2">
        <f ca="1">INDEX(INDIRECT(_xlfn.CONCAT("weather.tbl[",S$1,"]")),MATCH(vp.tbl[[#This Row],[SDate]],weather.tbl[Date],0))</f>
        <v>-2</v>
      </c>
      <c r="T455" s="2">
        <f ca="1">INDEX(INDIRECT(_xlfn.CONCAT("weather.tbl[",T$1,"]")),MATCH(vp.tbl[[#This Row],[SDate]],weather.tbl[Date],0))</f>
        <v>-6.2</v>
      </c>
      <c r="U455" s="2">
        <f ca="1">INDEX(INDIRECT(_xlfn.CONCAT("weather.tbl[",U$1,"]")),MATCH(vp.tbl[[#This Row],[SDate]],weather.tbl[Date],0))</f>
        <v>-5.8</v>
      </c>
      <c r="V455" s="2">
        <v>4410.2439999999997</v>
      </c>
      <c r="W455" t="s">
        <v>48</v>
      </c>
      <c r="X455">
        <f>IF(OR(vp.tbl[[#This Row],[Sulf]]="",vp.tbl[[#This Row],[Dens]]=""),1,0)</f>
        <v>0</v>
      </c>
      <c r="Y455">
        <f>IF(vp.tbl[[#This Row],[CrudeType]]="C5+",1,0)</f>
        <v>0</v>
      </c>
      <c r="Z455">
        <f>IF(AND(vp.tbl[[#This Row],[CrudeType]]="Crude",vp.tbl[[#This Row],[Dens]]&lt;=825,vp.tbl[[#This Row],[Sulf]]&gt;0.5,vp.tbl[[#This Row],[Unknown]]=0),1,0)</f>
        <v>0</v>
      </c>
      <c r="AA455">
        <f>IF(AND(vp.tbl[[#This Row],[CrudeType]]="Crude",vp.tbl[[#This Row],[Dens]]&lt;=825,vp.tbl[[#This Row],[Sulf]]&lt;=0.5,vp.tbl[[#This Row],[Unknown]]=0),1,0)</f>
        <v>0</v>
      </c>
      <c r="AB455">
        <f>IF(AND(vp.tbl[[#This Row],[CrudeType]]="Crude",vp.tbl[[#This Row],[Dens]]&gt;825,vp.tbl[[#This Row],[Dens]]&lt;=870,vp.tbl[[#This Row],[Sulf]]&gt;0.5,vp.tbl[[#This Row],[Unknown]]=0),1,0)</f>
        <v>1</v>
      </c>
      <c r="AC455">
        <f>IF(AND(vp.tbl[[#This Row],[CrudeType]]="Crude",vp.tbl[[#This Row],[Dens]]&gt;825,vp.tbl[[#This Row],[Dens]]&lt;=900,vp.tbl[[#This Row],[Sulf]]&lt;=0.5,vp.tbl[[#This Row],[Unknown]]=0),1,0)</f>
        <v>0</v>
      </c>
      <c r="AD455">
        <f>IF(AND(vp.tbl[[#This Row],[CrudeType]]="Crude",vp.tbl[[#This Row],[Dens]]&gt;870,vp.tbl[[#This Row],[Dens]]&lt;=900,vp.tbl[[#This Row],[Sulf]]&gt;0.5,vp.tbl[[#This Row],[Unknown]]=0),1,0)</f>
        <v>0</v>
      </c>
      <c r="AE455">
        <f>IF(AND(vp.tbl[[#This Row],[CrudeType]]="Crude",vp.tbl[[#This Row],[Dens]]&gt;900,vp.tbl[[#This Row],[Sulf]]&lt;=0.5,vp.tbl[[#This Row],[Unknown]]=0),1,0)</f>
        <v>0</v>
      </c>
      <c r="AF455">
        <f>IF(AND(vp.tbl[[#This Row],[CrudeType]]="Crude",vp.tbl[[#This Row],[Dens]]&gt;900,vp.tbl[[#This Row],[Sulf]]&lt;=0.5,vp.tbl[[#This Row],[Unknown]]=0),1,0)</f>
        <v>0</v>
      </c>
      <c r="AG455" t="str">
        <f>INDEX(vp.tbl[[#Headers],[Unknown]:[Heavy_SW]],MATCH(1,vp.tbl[[#This Row],[Unknown]:[Heavy_SW]],0))</f>
        <v>Medium_LSB</v>
      </c>
      <c r="AH455" t="e">
        <f>INDEX([1]!crudeBD.lkup[Number],MATCH(vp.tbl[[#This Row],[Crude_Breakdown]],[1]!crudeBD.lkup[Crude Breakdown],0))</f>
        <v>#REF!</v>
      </c>
      <c r="AI455">
        <f>MONTH(vp.tbl[[#This Row],[SDate]])</f>
        <v>12</v>
      </c>
      <c r="AJ455" s="5">
        <f>IFERROR(vp.tbl[[#This Row],[Sulf]]*vp.tbl[[#This Row],[Net Dens]],"")</f>
        <v>6049346.4645519992</v>
      </c>
      <c r="AK455" s="5">
        <f>IFERROR(vp.tbl[[#This Row],[Dens]]*vp.tbl[[#This Row],[VolumeM3]],"")</f>
        <v>3644184.6171999997</v>
      </c>
      <c r="AL455" s="5">
        <f>IFERROR(vp.tbl[[#This Row],[VP]]*vp.tbl[[#This Row],[VolumeM3]],"")</f>
        <v>372224.59360000002</v>
      </c>
      <c r="AM455" s="4">
        <f>IFERROR((vp.tbl[[#This Row],[VP]]-INDEX(crudeBD.lkup.complete[Mean_VP],MATCH(vp.tbl[[#This Row],[Crude_Breakdown]],crudeBD.lkup.complete[Crude Breakdown],0)))^2,"")</f>
        <v>17.862499759013339</v>
      </c>
      <c r="AN455" s="4">
        <f>IFERROR((vp.tbl[[#This Row],[Dens]]-INDEX(crudeBD.lkup.complete[Mean_Dens],MATCH(vp.tbl[[#This Row],[Crude_Breakdown]],crudeBD.lkup.complete[Crude Breakdown],0)))^2,"")</f>
        <v>360.68933268959739</v>
      </c>
      <c r="AO455" s="4">
        <f>IFERROR((vp.tbl[[#This Row],[Sulf]]-INDEX(crudeBD.lkup.complete[Mean_Sulf],MATCH(vp.tbl[[#This Row],[Crude_Breakdown]],crudeBD.lkup.complete[Crude Breakdown],0)))^2,"")</f>
        <v>4.2053762008120013E-2</v>
      </c>
      <c r="AP455">
        <f>IF(AND(vp.tbl[[#This Row],[SDate]]&gt;=DATE(YEAR(vp.tbl[[#This Row],[SDate]]),5,1),vp.tbl[[#This Row],[SDate]]&lt;=DATE(YEAR(vp.tbl[[#This Row],[SDate]]),9,15)),1,0)</f>
        <v>0</v>
      </c>
      <c r="AQ455" s="15">
        <f>IF(vp.tbl[[#This Row],[SDate]]&lt;DATE(2016,12,1),0,1)</f>
        <v>1</v>
      </c>
    </row>
    <row r="456" spans="1:43" x14ac:dyDescent="0.25">
      <c r="A456">
        <v>455</v>
      </c>
      <c r="B456" t="s">
        <v>62</v>
      </c>
      <c r="C456" t="s">
        <v>62</v>
      </c>
      <c r="D456" t="s">
        <v>63</v>
      </c>
      <c r="F456" s="1">
        <v>42726</v>
      </c>
      <c r="G456" s="2">
        <v>106.3</v>
      </c>
      <c r="H456" s="2"/>
      <c r="I456" s="2">
        <v>1.52</v>
      </c>
      <c r="J456" s="2">
        <v>15.4</v>
      </c>
      <c r="K456" s="2">
        <v>-3</v>
      </c>
      <c r="L456" s="2">
        <v>828</v>
      </c>
      <c r="M456" s="2">
        <v>828</v>
      </c>
      <c r="N456" s="2">
        <f ca="1">INDEX(INDIRECT(_xlfn.CONCAT("weather.tbl[",N$1,"]")),MATCH(vp.tbl[[#This Row],[SDate]],weather.tbl[Date],0))</f>
        <v>-4.8833333333333337</v>
      </c>
      <c r="O456" s="2">
        <f ca="1">INDEX(INDIRECT(_xlfn.CONCAT("weather.tbl[",O$1,"]")),MATCH(vp.tbl[[#This Row],[SDate]],weather.tbl[Date],0))</f>
        <v>-13.223809523809525</v>
      </c>
      <c r="P456" s="2">
        <f ca="1">INDEX(INDIRECT(_xlfn.CONCAT("weather.tbl[",P$1,"]")),MATCH(vp.tbl[[#This Row],[SDate]],weather.tbl[Date],0))</f>
        <v>-5</v>
      </c>
      <c r="Q456" s="2">
        <f ca="1">INDEX(INDIRECT(_xlfn.CONCAT("weather.tbl[",Q$1,"]")),MATCH(vp.tbl[[#This Row],[SDate]],weather.tbl[Date],0))</f>
        <v>-5.5</v>
      </c>
      <c r="R456" s="2">
        <f ca="1">INDEX(INDIRECT(_xlfn.CONCAT("weather.tbl[",R$1,"]")),MATCH(vp.tbl[[#This Row],[SDate]],weather.tbl[Date],0))</f>
        <v>-4.8</v>
      </c>
      <c r="S456" s="2">
        <f ca="1">INDEX(INDIRECT(_xlfn.CONCAT("weather.tbl[",S$1,"]")),MATCH(vp.tbl[[#This Row],[SDate]],weather.tbl[Date],0))</f>
        <v>-2</v>
      </c>
      <c r="T456" s="2">
        <f ca="1">INDEX(INDIRECT(_xlfn.CONCAT("weather.tbl[",T$1,"]")),MATCH(vp.tbl[[#This Row],[SDate]],weather.tbl[Date],0))</f>
        <v>-6.2</v>
      </c>
      <c r="U456" s="2">
        <f ca="1">INDEX(INDIRECT(_xlfn.CONCAT("weather.tbl[",U$1,"]")),MATCH(vp.tbl[[#This Row],[SDate]],weather.tbl[Date],0))</f>
        <v>-5.8</v>
      </c>
      <c r="V456" s="2">
        <v>5268.48</v>
      </c>
      <c r="W456" t="s">
        <v>48</v>
      </c>
      <c r="X456">
        <f>IF(OR(vp.tbl[[#This Row],[Sulf]]="",vp.tbl[[#This Row],[Dens]]=""),1,0)</f>
        <v>0</v>
      </c>
      <c r="Y456">
        <f>IF(vp.tbl[[#This Row],[CrudeType]]="C5+",1,0)</f>
        <v>0</v>
      </c>
      <c r="Z456">
        <f>IF(AND(vp.tbl[[#This Row],[CrudeType]]="Crude",vp.tbl[[#This Row],[Dens]]&lt;=825,vp.tbl[[#This Row],[Sulf]]&gt;0.5,vp.tbl[[#This Row],[Unknown]]=0),1,0)</f>
        <v>0</v>
      </c>
      <c r="AA456">
        <f>IF(AND(vp.tbl[[#This Row],[CrudeType]]="Crude",vp.tbl[[#This Row],[Dens]]&lt;=825,vp.tbl[[#This Row],[Sulf]]&lt;=0.5,vp.tbl[[#This Row],[Unknown]]=0),1,0)</f>
        <v>0</v>
      </c>
      <c r="AB456">
        <f>IF(AND(vp.tbl[[#This Row],[CrudeType]]="Crude",vp.tbl[[#This Row],[Dens]]&gt;825,vp.tbl[[#This Row],[Dens]]&lt;=870,vp.tbl[[#This Row],[Sulf]]&gt;0.5,vp.tbl[[#This Row],[Unknown]]=0),1,0)</f>
        <v>1</v>
      </c>
      <c r="AC456">
        <f>IF(AND(vp.tbl[[#This Row],[CrudeType]]="Crude",vp.tbl[[#This Row],[Dens]]&gt;825,vp.tbl[[#This Row],[Dens]]&lt;=900,vp.tbl[[#This Row],[Sulf]]&lt;=0.5,vp.tbl[[#This Row],[Unknown]]=0),1,0)</f>
        <v>0</v>
      </c>
      <c r="AD456">
        <f>IF(AND(vp.tbl[[#This Row],[CrudeType]]="Crude",vp.tbl[[#This Row],[Dens]]&gt;870,vp.tbl[[#This Row],[Dens]]&lt;=900,vp.tbl[[#This Row],[Sulf]]&gt;0.5,vp.tbl[[#This Row],[Unknown]]=0),1,0)</f>
        <v>0</v>
      </c>
      <c r="AE456">
        <f>IF(AND(vp.tbl[[#This Row],[CrudeType]]="Crude",vp.tbl[[#This Row],[Dens]]&gt;900,vp.tbl[[#This Row],[Sulf]]&lt;=0.5,vp.tbl[[#This Row],[Unknown]]=0),1,0)</f>
        <v>0</v>
      </c>
      <c r="AF456">
        <f>IF(AND(vp.tbl[[#This Row],[CrudeType]]="Crude",vp.tbl[[#This Row],[Dens]]&gt;900,vp.tbl[[#This Row],[Sulf]]&lt;=0.5,vp.tbl[[#This Row],[Unknown]]=0),1,0)</f>
        <v>0</v>
      </c>
      <c r="AG456" t="str">
        <f>INDEX(vp.tbl[[#Headers],[Unknown]:[Heavy_SW]],MATCH(1,vp.tbl[[#This Row],[Unknown]:[Heavy_SW]],0))</f>
        <v>Medium_LSB</v>
      </c>
      <c r="AH456" t="e">
        <f>INDEX([1]!crudeBD.lkup[Number],MATCH(vp.tbl[[#This Row],[Crude_Breakdown]],[1]!crudeBD.lkup[Crude Breakdown],0))</f>
        <v>#REF!</v>
      </c>
      <c r="AI456">
        <f>MONTH(vp.tbl[[#This Row],[SDate]])</f>
        <v>12</v>
      </c>
      <c r="AJ456" s="5">
        <f>IFERROR(vp.tbl[[#This Row],[Sulf]]*vp.tbl[[#This Row],[Net Dens]],"")</f>
        <v>6630698.1887999997</v>
      </c>
      <c r="AK456" s="5">
        <f>IFERROR(vp.tbl[[#This Row],[Dens]]*vp.tbl[[#This Row],[VolumeM3]],"")</f>
        <v>4362301.4399999995</v>
      </c>
      <c r="AL456" s="5">
        <f>IFERROR(vp.tbl[[#This Row],[VP]]*vp.tbl[[#This Row],[VolumeM3]],"")</f>
        <v>560039.42399999988</v>
      </c>
      <c r="AM456" s="4">
        <f>IFERROR((vp.tbl[[#This Row],[VP]]-INDEX(crudeBD.lkup.complete[Mean_VP],MATCH(vp.tbl[[#This Row],[Crude_Breakdown]],crudeBD.lkup.complete[Crude Breakdown],0)))^2,"")</f>
        <v>682.58904153116669</v>
      </c>
      <c r="AN456" s="4">
        <f>IFERROR((vp.tbl[[#This Row],[Dens]]-INDEX(crudeBD.lkup.complete[Mean_Dens],MATCH(vp.tbl[[#This Row],[Crude_Breakdown]],crudeBD.lkup.complete[Crude Breakdown],0)))^2,"")</f>
        <v>299.0071352212446</v>
      </c>
      <c r="AO456" s="4">
        <f>IFERROR((vp.tbl[[#This Row],[Sulf]]-INDEX(crudeBD.lkup.complete[Mean_Sulf],MATCH(vp.tbl[[#This Row],[Crude_Breakdown]],crudeBD.lkup.complete[Crude Breakdown],0)))^2,"")</f>
        <v>4.2341230207786906E-3</v>
      </c>
      <c r="AP456">
        <f>IF(AND(vp.tbl[[#This Row],[SDate]]&gt;=DATE(YEAR(vp.tbl[[#This Row],[SDate]]),5,1),vp.tbl[[#This Row],[SDate]]&lt;=DATE(YEAR(vp.tbl[[#This Row],[SDate]]),9,15)),1,0)</f>
        <v>0</v>
      </c>
      <c r="AQ456" s="15">
        <f>IF(vp.tbl[[#This Row],[SDate]]&lt;DATE(2016,12,1),0,1)</f>
        <v>1</v>
      </c>
    </row>
    <row r="457" spans="1:43" x14ac:dyDescent="0.25">
      <c r="A457">
        <v>456</v>
      </c>
      <c r="B457" t="s">
        <v>51</v>
      </c>
      <c r="C457" t="s">
        <v>51</v>
      </c>
      <c r="D457" t="s">
        <v>72</v>
      </c>
      <c r="F457" s="1">
        <v>42726</v>
      </c>
      <c r="G457" s="2">
        <v>85.2</v>
      </c>
      <c r="H457" s="2"/>
      <c r="I457" s="2">
        <v>1.2</v>
      </c>
      <c r="J457" s="2">
        <v>25.9</v>
      </c>
      <c r="K457" s="2">
        <v>-3</v>
      </c>
      <c r="L457" s="2">
        <v>836.9</v>
      </c>
      <c r="M457" s="2">
        <v>836.9</v>
      </c>
      <c r="N457" s="2">
        <f ca="1">INDEX(INDIRECT(_xlfn.CONCAT("weather.tbl[",N$1,"]")),MATCH(vp.tbl[[#This Row],[SDate]],weather.tbl[Date],0))</f>
        <v>-4.8833333333333337</v>
      </c>
      <c r="O457" s="2">
        <f ca="1">INDEX(INDIRECT(_xlfn.CONCAT("weather.tbl[",O$1,"]")),MATCH(vp.tbl[[#This Row],[SDate]],weather.tbl[Date],0))</f>
        <v>-13.223809523809525</v>
      </c>
      <c r="P457" s="2">
        <f ca="1">INDEX(INDIRECT(_xlfn.CONCAT("weather.tbl[",P$1,"]")),MATCH(vp.tbl[[#This Row],[SDate]],weather.tbl[Date],0))</f>
        <v>-5</v>
      </c>
      <c r="Q457" s="2">
        <f ca="1">INDEX(INDIRECT(_xlfn.CONCAT("weather.tbl[",Q$1,"]")),MATCH(vp.tbl[[#This Row],[SDate]],weather.tbl[Date],0))</f>
        <v>-5.5</v>
      </c>
      <c r="R457" s="2">
        <f ca="1">INDEX(INDIRECT(_xlfn.CONCAT("weather.tbl[",R$1,"]")),MATCH(vp.tbl[[#This Row],[SDate]],weather.tbl[Date],0))</f>
        <v>-4.8</v>
      </c>
      <c r="S457" s="2">
        <f ca="1">INDEX(INDIRECT(_xlfn.CONCAT("weather.tbl[",S$1,"]")),MATCH(vp.tbl[[#This Row],[SDate]],weather.tbl[Date],0))</f>
        <v>-2</v>
      </c>
      <c r="T457" s="2">
        <f ca="1">INDEX(INDIRECT(_xlfn.CONCAT("weather.tbl[",T$1,"]")),MATCH(vp.tbl[[#This Row],[SDate]],weather.tbl[Date],0))</f>
        <v>-6.2</v>
      </c>
      <c r="U457" s="2">
        <f ca="1">INDEX(INDIRECT(_xlfn.CONCAT("weather.tbl[",U$1,"]")),MATCH(vp.tbl[[#This Row],[SDate]],weather.tbl[Date],0))</f>
        <v>-5.8</v>
      </c>
      <c r="V457" s="2">
        <v>13705.843999999999</v>
      </c>
      <c r="W457" t="s">
        <v>48</v>
      </c>
      <c r="X457">
        <f>IF(OR(vp.tbl[[#This Row],[Sulf]]="",vp.tbl[[#This Row],[Dens]]=""),1,0)</f>
        <v>0</v>
      </c>
      <c r="Y457">
        <f>IF(vp.tbl[[#This Row],[CrudeType]]="C5+",1,0)</f>
        <v>0</v>
      </c>
      <c r="Z457">
        <f>IF(AND(vp.tbl[[#This Row],[CrudeType]]="Crude",vp.tbl[[#This Row],[Dens]]&lt;=825,vp.tbl[[#This Row],[Sulf]]&gt;0.5,vp.tbl[[#This Row],[Unknown]]=0),1,0)</f>
        <v>0</v>
      </c>
      <c r="AA457">
        <f>IF(AND(vp.tbl[[#This Row],[CrudeType]]="Crude",vp.tbl[[#This Row],[Dens]]&lt;=825,vp.tbl[[#This Row],[Sulf]]&lt;=0.5,vp.tbl[[#This Row],[Unknown]]=0),1,0)</f>
        <v>0</v>
      </c>
      <c r="AB457">
        <f>IF(AND(vp.tbl[[#This Row],[CrudeType]]="Crude",vp.tbl[[#This Row],[Dens]]&gt;825,vp.tbl[[#This Row],[Dens]]&lt;=870,vp.tbl[[#This Row],[Sulf]]&gt;0.5,vp.tbl[[#This Row],[Unknown]]=0),1,0)</f>
        <v>1</v>
      </c>
      <c r="AC457">
        <f>IF(AND(vp.tbl[[#This Row],[CrudeType]]="Crude",vp.tbl[[#This Row],[Dens]]&gt;825,vp.tbl[[#This Row],[Dens]]&lt;=900,vp.tbl[[#This Row],[Sulf]]&lt;=0.5,vp.tbl[[#This Row],[Unknown]]=0),1,0)</f>
        <v>0</v>
      </c>
      <c r="AD457">
        <f>IF(AND(vp.tbl[[#This Row],[CrudeType]]="Crude",vp.tbl[[#This Row],[Dens]]&gt;870,vp.tbl[[#This Row],[Dens]]&lt;=900,vp.tbl[[#This Row],[Sulf]]&gt;0.5,vp.tbl[[#This Row],[Unknown]]=0),1,0)</f>
        <v>0</v>
      </c>
      <c r="AE457">
        <f>IF(AND(vp.tbl[[#This Row],[CrudeType]]="Crude",vp.tbl[[#This Row],[Dens]]&gt;900,vp.tbl[[#This Row],[Sulf]]&lt;=0.5,vp.tbl[[#This Row],[Unknown]]=0),1,0)</f>
        <v>0</v>
      </c>
      <c r="AF457">
        <f>IF(AND(vp.tbl[[#This Row],[CrudeType]]="Crude",vp.tbl[[#This Row],[Dens]]&gt;900,vp.tbl[[#This Row],[Sulf]]&lt;=0.5,vp.tbl[[#This Row],[Unknown]]=0),1,0)</f>
        <v>0</v>
      </c>
      <c r="AG457" t="str">
        <f>INDEX(vp.tbl[[#Headers],[Unknown]:[Heavy_SW]],MATCH(1,vp.tbl[[#This Row],[Unknown]:[Heavy_SW]],0))</f>
        <v>Medium_LSB</v>
      </c>
      <c r="AH457" t="e">
        <f>INDEX([1]!crudeBD.lkup[Number],MATCH(vp.tbl[[#This Row],[Crude_Breakdown]],[1]!crudeBD.lkup[Crude Breakdown],0))</f>
        <v>#REF!</v>
      </c>
      <c r="AI457">
        <f>MONTH(vp.tbl[[#This Row],[SDate]])</f>
        <v>12</v>
      </c>
      <c r="AJ457" s="5">
        <f>IFERROR(vp.tbl[[#This Row],[Sulf]]*vp.tbl[[#This Row],[Net Dens]],"")</f>
        <v>13764505.012319999</v>
      </c>
      <c r="AK457" s="5">
        <f>IFERROR(vp.tbl[[#This Row],[Dens]]*vp.tbl[[#This Row],[VolumeM3]],"")</f>
        <v>11470420.843599999</v>
      </c>
      <c r="AL457" s="5">
        <f>IFERROR(vp.tbl[[#This Row],[VP]]*vp.tbl[[#This Row],[VolumeM3]],"")</f>
        <v>1167737.9087999999</v>
      </c>
      <c r="AM457" s="4">
        <f>IFERROR((vp.tbl[[#This Row],[VP]]-INDEX(crudeBD.lkup.complete[Mean_VP],MATCH(vp.tbl[[#This Row],[Crude_Breakdown]],crudeBD.lkup.complete[Crude Breakdown],0)))^2,"")</f>
        <v>25.264747860279201</v>
      </c>
      <c r="AN457" s="4">
        <f>IFERROR((vp.tbl[[#This Row],[Dens]]-INDEX(crudeBD.lkup.complete[Mean_Dens],MATCH(vp.tbl[[#This Row],[Crude_Breakdown]],crudeBD.lkup.complete[Crude Breakdown],0)))^2,"")</f>
        <v>70.422689651642244</v>
      </c>
      <c r="AO457" s="4">
        <f>IFERROR((vp.tbl[[#This Row],[Sulf]]-INDEX(crudeBD.lkup.complete[Mean_Sulf],MATCH(vp.tbl[[#This Row],[Crude_Breakdown]],crudeBD.lkup.complete[Crude Breakdown],0)))^2,"")</f>
        <v>6.4989233906855612E-2</v>
      </c>
      <c r="AP457">
        <f>IF(AND(vp.tbl[[#This Row],[SDate]]&gt;=DATE(YEAR(vp.tbl[[#This Row],[SDate]]),5,1),vp.tbl[[#This Row],[SDate]]&lt;=DATE(YEAR(vp.tbl[[#This Row],[SDate]]),9,15)),1,0)</f>
        <v>0</v>
      </c>
      <c r="AQ457" s="15">
        <f>IF(vp.tbl[[#This Row],[SDate]]&lt;DATE(2016,12,1),0,1)</f>
        <v>1</v>
      </c>
    </row>
    <row r="458" spans="1:43" x14ac:dyDescent="0.25">
      <c r="A458">
        <v>457</v>
      </c>
      <c r="B458" t="s">
        <v>60</v>
      </c>
      <c r="C458" t="s">
        <v>60</v>
      </c>
      <c r="D458" t="s">
        <v>61</v>
      </c>
      <c r="E458" t="s">
        <v>55</v>
      </c>
      <c r="F458" s="1">
        <v>42726</v>
      </c>
      <c r="G458" s="2">
        <v>99.4</v>
      </c>
      <c r="H458" s="2"/>
      <c r="I458" s="2">
        <v>0.97</v>
      </c>
      <c r="J458" s="2">
        <v>10.7</v>
      </c>
      <c r="K458" s="2">
        <v>-3</v>
      </c>
      <c r="L458" s="2">
        <v>847.5</v>
      </c>
      <c r="M458" s="2">
        <v>847.5</v>
      </c>
      <c r="N458" s="2">
        <f ca="1">INDEX(INDIRECT(_xlfn.CONCAT("weather.tbl[",N$1,"]")),MATCH(vp.tbl[[#This Row],[SDate]],weather.tbl[Date],0))</f>
        <v>-4.8833333333333337</v>
      </c>
      <c r="O458" s="2">
        <f ca="1">INDEX(INDIRECT(_xlfn.CONCAT("weather.tbl[",O$1,"]")),MATCH(vp.tbl[[#This Row],[SDate]],weather.tbl[Date],0))</f>
        <v>-13.223809523809525</v>
      </c>
      <c r="P458" s="2">
        <f ca="1">INDEX(INDIRECT(_xlfn.CONCAT("weather.tbl[",P$1,"]")),MATCH(vp.tbl[[#This Row],[SDate]],weather.tbl[Date],0))</f>
        <v>-5</v>
      </c>
      <c r="Q458" s="2">
        <f ca="1">INDEX(INDIRECT(_xlfn.CONCAT("weather.tbl[",Q$1,"]")),MATCH(vp.tbl[[#This Row],[SDate]],weather.tbl[Date],0))</f>
        <v>-5.5</v>
      </c>
      <c r="R458" s="2">
        <f ca="1">INDEX(INDIRECT(_xlfn.CONCAT("weather.tbl[",R$1,"]")),MATCH(vp.tbl[[#This Row],[SDate]],weather.tbl[Date],0))</f>
        <v>-4.8</v>
      </c>
      <c r="S458" s="2">
        <f ca="1">INDEX(INDIRECT(_xlfn.CONCAT("weather.tbl[",S$1,"]")),MATCH(vp.tbl[[#This Row],[SDate]],weather.tbl[Date],0))</f>
        <v>-2</v>
      </c>
      <c r="T458" s="2">
        <f ca="1">INDEX(INDIRECT(_xlfn.CONCAT("weather.tbl[",T$1,"]")),MATCH(vp.tbl[[#This Row],[SDate]],weather.tbl[Date],0))</f>
        <v>-6.2</v>
      </c>
      <c r="U458" s="2">
        <f ca="1">INDEX(INDIRECT(_xlfn.CONCAT("weather.tbl[",U$1,"]")),MATCH(vp.tbl[[#This Row],[SDate]],weather.tbl[Date],0))</f>
        <v>-5.8</v>
      </c>
      <c r="V458" s="2">
        <v>106852.554</v>
      </c>
      <c r="W458" t="s">
        <v>48</v>
      </c>
      <c r="X458">
        <f>IF(OR(vp.tbl[[#This Row],[Sulf]]="",vp.tbl[[#This Row],[Dens]]=""),1,0)</f>
        <v>0</v>
      </c>
      <c r="Y458">
        <f>IF(vp.tbl[[#This Row],[CrudeType]]="C5+",1,0)</f>
        <v>0</v>
      </c>
      <c r="Z458">
        <f>IF(AND(vp.tbl[[#This Row],[CrudeType]]="Crude",vp.tbl[[#This Row],[Dens]]&lt;=825,vp.tbl[[#This Row],[Sulf]]&gt;0.5,vp.tbl[[#This Row],[Unknown]]=0),1,0)</f>
        <v>0</v>
      </c>
      <c r="AA458">
        <f>IF(AND(vp.tbl[[#This Row],[CrudeType]]="Crude",vp.tbl[[#This Row],[Dens]]&lt;=825,vp.tbl[[#This Row],[Sulf]]&lt;=0.5,vp.tbl[[#This Row],[Unknown]]=0),1,0)</f>
        <v>0</v>
      </c>
      <c r="AB458">
        <f>IF(AND(vp.tbl[[#This Row],[CrudeType]]="Crude",vp.tbl[[#This Row],[Dens]]&gt;825,vp.tbl[[#This Row],[Dens]]&lt;=870,vp.tbl[[#This Row],[Sulf]]&gt;0.5,vp.tbl[[#This Row],[Unknown]]=0),1,0)</f>
        <v>1</v>
      </c>
      <c r="AC458">
        <f>IF(AND(vp.tbl[[#This Row],[CrudeType]]="Crude",vp.tbl[[#This Row],[Dens]]&gt;825,vp.tbl[[#This Row],[Dens]]&lt;=900,vp.tbl[[#This Row],[Sulf]]&lt;=0.5,vp.tbl[[#This Row],[Unknown]]=0),1,0)</f>
        <v>0</v>
      </c>
      <c r="AD458">
        <f>IF(AND(vp.tbl[[#This Row],[CrudeType]]="Crude",vp.tbl[[#This Row],[Dens]]&gt;870,vp.tbl[[#This Row],[Dens]]&lt;=900,vp.tbl[[#This Row],[Sulf]]&gt;0.5,vp.tbl[[#This Row],[Unknown]]=0),1,0)</f>
        <v>0</v>
      </c>
      <c r="AE458">
        <f>IF(AND(vp.tbl[[#This Row],[CrudeType]]="Crude",vp.tbl[[#This Row],[Dens]]&gt;900,vp.tbl[[#This Row],[Sulf]]&lt;=0.5,vp.tbl[[#This Row],[Unknown]]=0),1,0)</f>
        <v>0</v>
      </c>
      <c r="AF458">
        <f>IF(AND(vp.tbl[[#This Row],[CrudeType]]="Crude",vp.tbl[[#This Row],[Dens]]&gt;900,vp.tbl[[#This Row],[Sulf]]&lt;=0.5,vp.tbl[[#This Row],[Unknown]]=0),1,0)</f>
        <v>0</v>
      </c>
      <c r="AG458" t="str">
        <f>INDEX(vp.tbl[[#Headers],[Unknown]:[Heavy_SW]],MATCH(1,vp.tbl[[#This Row],[Unknown]:[Heavy_SW]],0))</f>
        <v>Medium_LSB</v>
      </c>
      <c r="AH458" t="e">
        <f>INDEX([1]!crudeBD.lkup[Number],MATCH(vp.tbl[[#This Row],[Crude_Breakdown]],[1]!crudeBD.lkup[Crude Breakdown],0))</f>
        <v>#REF!</v>
      </c>
      <c r="AI458">
        <f>MONTH(vp.tbl[[#This Row],[SDate]])</f>
        <v>12</v>
      </c>
      <c r="AJ458" s="5">
        <f>IFERROR(vp.tbl[[#This Row],[Sulf]]*vp.tbl[[#This Row],[Net Dens]],"")</f>
        <v>87840813.329549998</v>
      </c>
      <c r="AK458" s="5">
        <f>IFERROR(vp.tbl[[#This Row],[Dens]]*vp.tbl[[#This Row],[VolumeM3]],"")</f>
        <v>90557539.515000001</v>
      </c>
      <c r="AL458" s="5">
        <f>IFERROR(vp.tbl[[#This Row],[VP]]*vp.tbl[[#This Row],[VolumeM3]],"")</f>
        <v>10621143.867600001</v>
      </c>
      <c r="AM458" s="4">
        <f>IFERROR((vp.tbl[[#This Row],[VP]]-INDEX(crudeBD.lkup.complete[Mean_VP],MATCH(vp.tbl[[#This Row],[Crude_Breakdown]],crudeBD.lkup.complete[Crude Breakdown],0)))^2,"")</f>
        <v>369.65465165774879</v>
      </c>
      <c r="AN458" s="4">
        <f>IFERROR((vp.tbl[[#This Row],[Dens]]-INDEX(crudeBD.lkup.complete[Mean_Dens],MATCH(vp.tbl[[#This Row],[Crude_Breakdown]],crudeBD.lkup.complete[Crude Breakdown],0)))^2,"")</f>
        <v>4.8760466136880529</v>
      </c>
      <c r="AO458" s="4">
        <f>IFERROR((vp.tbl[[#This Row],[Sulf]]-INDEX(crudeBD.lkup.complete[Mean_Sulf],MATCH(vp.tbl[[#This Row],[Crude_Breakdown]],crudeBD.lkup.complete[Crude Breakdown],0)))^2,"")</f>
        <v>0.23515696985622339</v>
      </c>
      <c r="AP458">
        <f>IF(AND(vp.tbl[[#This Row],[SDate]]&gt;=DATE(YEAR(vp.tbl[[#This Row],[SDate]]),5,1),vp.tbl[[#This Row],[SDate]]&lt;=DATE(YEAR(vp.tbl[[#This Row],[SDate]]),9,15)),1,0)</f>
        <v>0</v>
      </c>
      <c r="AQ458" s="15">
        <f>IF(vp.tbl[[#This Row],[SDate]]&lt;DATE(2016,12,1),0,1)</f>
        <v>1</v>
      </c>
    </row>
    <row r="459" spans="1:43" x14ac:dyDescent="0.25">
      <c r="A459">
        <v>458</v>
      </c>
      <c r="B459" t="s">
        <v>49</v>
      </c>
      <c r="C459" t="s">
        <v>49</v>
      </c>
      <c r="D459" t="s">
        <v>75</v>
      </c>
      <c r="F459" s="1">
        <v>42727</v>
      </c>
      <c r="G459" s="2">
        <v>120.9</v>
      </c>
      <c r="H459" s="2"/>
      <c r="I459" s="2">
        <v>0.13</v>
      </c>
      <c r="J459" s="2">
        <v>13.2</v>
      </c>
      <c r="K459" s="2">
        <v>-7</v>
      </c>
      <c r="L459" s="2">
        <v>801.5</v>
      </c>
      <c r="M459" s="2">
        <v>801.5</v>
      </c>
      <c r="N459" s="2">
        <f ca="1">INDEX(INDIRECT(_xlfn.CONCAT("weather.tbl[",N$1,"]")),MATCH(vp.tbl[[#This Row],[SDate]],weather.tbl[Date],0))</f>
        <v>-9.5500000000000025</v>
      </c>
      <c r="O459" s="2">
        <f ca="1">INDEX(INDIRECT(_xlfn.CONCAT("weather.tbl[",O$1,"]")),MATCH(vp.tbl[[#This Row],[SDate]],weather.tbl[Date],0))</f>
        <v>-11.078571428571427</v>
      </c>
      <c r="P459" s="2">
        <f ca="1">INDEX(INDIRECT(_xlfn.CONCAT("weather.tbl[",P$1,"]")),MATCH(vp.tbl[[#This Row],[SDate]],weather.tbl[Date],0))</f>
        <v>-10.8</v>
      </c>
      <c r="Q459" s="2">
        <f ca="1">INDEX(INDIRECT(_xlfn.CONCAT("weather.tbl[",Q$1,"]")),MATCH(vp.tbl[[#This Row],[SDate]],weather.tbl[Date],0))</f>
        <v>-9.8000000000000007</v>
      </c>
      <c r="R459" s="2">
        <f ca="1">INDEX(INDIRECT(_xlfn.CONCAT("weather.tbl[",R$1,"]")),MATCH(vp.tbl[[#This Row],[SDate]],weather.tbl[Date],0))</f>
        <v>-11.3</v>
      </c>
      <c r="S459" s="2">
        <f ca="1">INDEX(INDIRECT(_xlfn.CONCAT("weather.tbl[",S$1,"]")),MATCH(vp.tbl[[#This Row],[SDate]],weather.tbl[Date],0))</f>
        <v>-8</v>
      </c>
      <c r="T459" s="2">
        <f ca="1">INDEX(INDIRECT(_xlfn.CONCAT("weather.tbl[",T$1,"]")),MATCH(vp.tbl[[#This Row],[SDate]],weather.tbl[Date],0))</f>
        <v>-9.1</v>
      </c>
      <c r="U459" s="2">
        <f ca="1">INDEX(INDIRECT(_xlfn.CONCAT("weather.tbl[",U$1,"]")),MATCH(vp.tbl[[#This Row],[SDate]],weather.tbl[Date],0))</f>
        <v>-8.3000000000000007</v>
      </c>
      <c r="V459" s="2">
        <v>21635.382000000001</v>
      </c>
      <c r="W459" t="s">
        <v>48</v>
      </c>
      <c r="X459">
        <f>IF(OR(vp.tbl[[#This Row],[Sulf]]="",vp.tbl[[#This Row],[Dens]]=""),1,0)</f>
        <v>0</v>
      </c>
      <c r="Y459">
        <f>IF(vp.tbl[[#This Row],[CrudeType]]="C5+",1,0)</f>
        <v>0</v>
      </c>
      <c r="Z459">
        <f>IF(AND(vp.tbl[[#This Row],[CrudeType]]="Crude",vp.tbl[[#This Row],[Dens]]&lt;=825,vp.tbl[[#This Row],[Sulf]]&gt;0.5,vp.tbl[[#This Row],[Unknown]]=0),1,0)</f>
        <v>0</v>
      </c>
      <c r="AA459">
        <f>IF(AND(vp.tbl[[#This Row],[CrudeType]]="Crude",vp.tbl[[#This Row],[Dens]]&lt;=825,vp.tbl[[#This Row],[Sulf]]&lt;=0.5,vp.tbl[[#This Row],[Unknown]]=0),1,0)</f>
        <v>1</v>
      </c>
      <c r="AB459">
        <f>IF(AND(vp.tbl[[#This Row],[CrudeType]]="Crude",vp.tbl[[#This Row],[Dens]]&gt;825,vp.tbl[[#This Row],[Dens]]&lt;=870,vp.tbl[[#This Row],[Sulf]]&gt;0.5,vp.tbl[[#This Row],[Unknown]]=0),1,0)</f>
        <v>0</v>
      </c>
      <c r="AC459">
        <f>IF(AND(vp.tbl[[#This Row],[CrudeType]]="Crude",vp.tbl[[#This Row],[Dens]]&gt;825,vp.tbl[[#This Row],[Dens]]&lt;=900,vp.tbl[[#This Row],[Sulf]]&lt;=0.5,vp.tbl[[#This Row],[Unknown]]=0),1,0)</f>
        <v>0</v>
      </c>
      <c r="AD459">
        <f>IF(AND(vp.tbl[[#This Row],[CrudeType]]="Crude",vp.tbl[[#This Row],[Dens]]&gt;870,vp.tbl[[#This Row],[Dens]]&lt;=900,vp.tbl[[#This Row],[Sulf]]&gt;0.5,vp.tbl[[#This Row],[Unknown]]=0),1,0)</f>
        <v>0</v>
      </c>
      <c r="AE459">
        <f>IF(AND(vp.tbl[[#This Row],[CrudeType]]="Crude",vp.tbl[[#This Row],[Dens]]&gt;900,vp.tbl[[#This Row],[Sulf]]&lt;=0.5,vp.tbl[[#This Row],[Unknown]]=0),1,0)</f>
        <v>0</v>
      </c>
      <c r="AF459">
        <f>IF(AND(vp.tbl[[#This Row],[CrudeType]]="Crude",vp.tbl[[#This Row],[Dens]]&gt;900,vp.tbl[[#This Row],[Sulf]]&lt;=0.5,vp.tbl[[#This Row],[Unknown]]=0),1,0)</f>
        <v>0</v>
      </c>
      <c r="AG459" t="str">
        <f>INDEX(vp.tbl[[#Headers],[Unknown]:[Heavy_SW]],MATCH(1,vp.tbl[[#This Row],[Unknown]:[Heavy_SW]],0))</f>
        <v>Light_SW</v>
      </c>
      <c r="AH459" t="e">
        <f>INDEX([1]!crudeBD.lkup[Number],MATCH(vp.tbl[[#This Row],[Crude_Breakdown]],[1]!crudeBD.lkup[Crude Breakdown],0))</f>
        <v>#REF!</v>
      </c>
      <c r="AI459">
        <f>MONTH(vp.tbl[[#This Row],[SDate]])</f>
        <v>12</v>
      </c>
      <c r="AJ459" s="5">
        <f>IFERROR(vp.tbl[[#This Row],[Sulf]]*vp.tbl[[#This Row],[Net Dens]],"")</f>
        <v>2254298.6274900003</v>
      </c>
      <c r="AK459" s="5">
        <f>IFERROR(vp.tbl[[#This Row],[Dens]]*vp.tbl[[#This Row],[VolumeM3]],"")</f>
        <v>17340758.673</v>
      </c>
      <c r="AL459" s="5">
        <f>IFERROR(vp.tbl[[#This Row],[VP]]*vp.tbl[[#This Row],[VolumeM3]],"")</f>
        <v>2615717.6838000002</v>
      </c>
      <c r="AM459" s="4">
        <f>IFERROR((vp.tbl[[#This Row],[VP]]-INDEX(crudeBD.lkup.complete[Mean_VP],MATCH(vp.tbl[[#This Row],[Crude_Breakdown]],crudeBD.lkup.complete[Crude Breakdown],0)))^2,"")</f>
        <v>803.70471961053511</v>
      </c>
      <c r="AN459" s="4">
        <f>IFERROR((vp.tbl[[#This Row],[Dens]]-INDEX(crudeBD.lkup.complete[Mean_Dens],MATCH(vp.tbl[[#This Row],[Crude_Breakdown]],crudeBD.lkup.complete[Crude Breakdown],0)))^2,"")</f>
        <v>46.396508516550583</v>
      </c>
      <c r="AO459" s="4">
        <f>IFERROR((vp.tbl[[#This Row],[Sulf]]-INDEX(crudeBD.lkup.complete[Mean_Sulf],MATCH(vp.tbl[[#This Row],[Crude_Breakdown]],crudeBD.lkup.complete[Crude Breakdown],0)))^2,"")</f>
        <v>1.1287322584467423E-2</v>
      </c>
      <c r="AP459">
        <f>IF(AND(vp.tbl[[#This Row],[SDate]]&gt;=DATE(YEAR(vp.tbl[[#This Row],[SDate]]),5,1),vp.tbl[[#This Row],[SDate]]&lt;=DATE(YEAR(vp.tbl[[#This Row],[SDate]]),9,15)),1,0)</f>
        <v>0</v>
      </c>
      <c r="AQ459" s="15">
        <f>IF(vp.tbl[[#This Row],[SDate]]&lt;DATE(2016,12,1),0,1)</f>
        <v>1</v>
      </c>
    </row>
    <row r="460" spans="1:43" x14ac:dyDescent="0.25">
      <c r="A460">
        <v>459</v>
      </c>
      <c r="B460" t="s">
        <v>49</v>
      </c>
      <c r="C460" t="s">
        <v>49</v>
      </c>
      <c r="D460" t="s">
        <v>80</v>
      </c>
      <c r="F460" s="1">
        <v>42727</v>
      </c>
      <c r="G460" s="2">
        <v>96.6</v>
      </c>
      <c r="H460" s="2"/>
      <c r="I460" s="2">
        <v>0.37</v>
      </c>
      <c r="J460" s="2">
        <v>17.5</v>
      </c>
      <c r="K460" s="2">
        <v>-7</v>
      </c>
      <c r="L460" s="2">
        <v>803.1</v>
      </c>
      <c r="M460" s="2">
        <v>803.1</v>
      </c>
      <c r="N460" s="2">
        <f ca="1">INDEX(INDIRECT(_xlfn.CONCAT("weather.tbl[",N$1,"]")),MATCH(vp.tbl[[#This Row],[SDate]],weather.tbl[Date],0))</f>
        <v>-9.5500000000000025</v>
      </c>
      <c r="O460" s="2">
        <f ca="1">INDEX(INDIRECT(_xlfn.CONCAT("weather.tbl[",O$1,"]")),MATCH(vp.tbl[[#This Row],[SDate]],weather.tbl[Date],0))</f>
        <v>-11.078571428571427</v>
      </c>
      <c r="P460" s="2">
        <f ca="1">INDEX(INDIRECT(_xlfn.CONCAT("weather.tbl[",P$1,"]")),MATCH(vp.tbl[[#This Row],[SDate]],weather.tbl[Date],0))</f>
        <v>-10.8</v>
      </c>
      <c r="Q460" s="2">
        <f ca="1">INDEX(INDIRECT(_xlfn.CONCAT("weather.tbl[",Q$1,"]")),MATCH(vp.tbl[[#This Row],[SDate]],weather.tbl[Date],0))</f>
        <v>-9.8000000000000007</v>
      </c>
      <c r="R460" s="2">
        <f ca="1">INDEX(INDIRECT(_xlfn.CONCAT("weather.tbl[",R$1,"]")),MATCH(vp.tbl[[#This Row],[SDate]],weather.tbl[Date],0))</f>
        <v>-11.3</v>
      </c>
      <c r="S460" s="2">
        <f ca="1">INDEX(INDIRECT(_xlfn.CONCAT("weather.tbl[",S$1,"]")),MATCH(vp.tbl[[#This Row],[SDate]],weather.tbl[Date],0))</f>
        <v>-8</v>
      </c>
      <c r="T460" s="2">
        <f ca="1">INDEX(INDIRECT(_xlfn.CONCAT("weather.tbl[",T$1,"]")),MATCH(vp.tbl[[#This Row],[SDate]],weather.tbl[Date],0))</f>
        <v>-9.1</v>
      </c>
      <c r="U460" s="2">
        <f ca="1">INDEX(INDIRECT(_xlfn.CONCAT("weather.tbl[",U$1,"]")),MATCH(vp.tbl[[#This Row],[SDate]],weather.tbl[Date],0))</f>
        <v>-8.3000000000000007</v>
      </c>
      <c r="V460" s="2">
        <v>22011.311000000002</v>
      </c>
      <c r="W460" t="s">
        <v>48</v>
      </c>
      <c r="X460">
        <f>IF(OR(vp.tbl[[#This Row],[Sulf]]="",vp.tbl[[#This Row],[Dens]]=""),1,0)</f>
        <v>0</v>
      </c>
      <c r="Y460">
        <f>IF(vp.tbl[[#This Row],[CrudeType]]="C5+",1,0)</f>
        <v>0</v>
      </c>
      <c r="Z460">
        <f>IF(AND(vp.tbl[[#This Row],[CrudeType]]="Crude",vp.tbl[[#This Row],[Dens]]&lt;=825,vp.tbl[[#This Row],[Sulf]]&gt;0.5,vp.tbl[[#This Row],[Unknown]]=0),1,0)</f>
        <v>0</v>
      </c>
      <c r="AA460">
        <f>IF(AND(vp.tbl[[#This Row],[CrudeType]]="Crude",vp.tbl[[#This Row],[Dens]]&lt;=825,vp.tbl[[#This Row],[Sulf]]&lt;=0.5,vp.tbl[[#This Row],[Unknown]]=0),1,0)</f>
        <v>1</v>
      </c>
      <c r="AB460">
        <f>IF(AND(vp.tbl[[#This Row],[CrudeType]]="Crude",vp.tbl[[#This Row],[Dens]]&gt;825,vp.tbl[[#This Row],[Dens]]&lt;=870,vp.tbl[[#This Row],[Sulf]]&gt;0.5,vp.tbl[[#This Row],[Unknown]]=0),1,0)</f>
        <v>0</v>
      </c>
      <c r="AC460">
        <f>IF(AND(vp.tbl[[#This Row],[CrudeType]]="Crude",vp.tbl[[#This Row],[Dens]]&gt;825,vp.tbl[[#This Row],[Dens]]&lt;=900,vp.tbl[[#This Row],[Sulf]]&lt;=0.5,vp.tbl[[#This Row],[Unknown]]=0),1,0)</f>
        <v>0</v>
      </c>
      <c r="AD460">
        <f>IF(AND(vp.tbl[[#This Row],[CrudeType]]="Crude",vp.tbl[[#This Row],[Dens]]&gt;870,vp.tbl[[#This Row],[Dens]]&lt;=900,vp.tbl[[#This Row],[Sulf]]&gt;0.5,vp.tbl[[#This Row],[Unknown]]=0),1,0)</f>
        <v>0</v>
      </c>
      <c r="AE460">
        <f>IF(AND(vp.tbl[[#This Row],[CrudeType]]="Crude",vp.tbl[[#This Row],[Dens]]&gt;900,vp.tbl[[#This Row],[Sulf]]&lt;=0.5,vp.tbl[[#This Row],[Unknown]]=0),1,0)</f>
        <v>0</v>
      </c>
      <c r="AF460">
        <f>IF(AND(vp.tbl[[#This Row],[CrudeType]]="Crude",vp.tbl[[#This Row],[Dens]]&gt;900,vp.tbl[[#This Row],[Sulf]]&lt;=0.5,vp.tbl[[#This Row],[Unknown]]=0),1,0)</f>
        <v>0</v>
      </c>
      <c r="AG460" t="str">
        <f>INDEX(vp.tbl[[#Headers],[Unknown]:[Heavy_SW]],MATCH(1,vp.tbl[[#This Row],[Unknown]:[Heavy_SW]],0))</f>
        <v>Light_SW</v>
      </c>
      <c r="AH460" t="e">
        <f>INDEX([1]!crudeBD.lkup[Number],MATCH(vp.tbl[[#This Row],[Crude_Breakdown]],[1]!crudeBD.lkup[Crude Breakdown],0))</f>
        <v>#REF!</v>
      </c>
      <c r="AI460">
        <f>MONTH(vp.tbl[[#This Row],[SDate]])</f>
        <v>12</v>
      </c>
      <c r="AJ460" s="5">
        <f>IFERROR(vp.tbl[[#This Row],[Sulf]]*vp.tbl[[#This Row],[Net Dens]],"")</f>
        <v>6540595.0297170002</v>
      </c>
      <c r="AK460" s="5">
        <f>IFERROR(vp.tbl[[#This Row],[Dens]]*vp.tbl[[#This Row],[VolumeM3]],"")</f>
        <v>17677283.864100002</v>
      </c>
      <c r="AL460" s="5">
        <f>IFERROR(vp.tbl[[#This Row],[VP]]*vp.tbl[[#This Row],[VolumeM3]],"")</f>
        <v>2126292.6425999999</v>
      </c>
      <c r="AM460" s="4">
        <f>IFERROR((vp.tbl[[#This Row],[VP]]-INDEX(crudeBD.lkup.complete[Mean_VP],MATCH(vp.tbl[[#This Row],[Crude_Breakdown]],crudeBD.lkup.complete[Crude Breakdown],0)))^2,"")</f>
        <v>16.399960028651748</v>
      </c>
      <c r="AN460" s="4">
        <f>IFERROR((vp.tbl[[#This Row],[Dens]]-INDEX(crudeBD.lkup.complete[Mean_Dens],MATCH(vp.tbl[[#This Row],[Crude_Breakdown]],crudeBD.lkup.complete[Crude Breakdown],0)))^2,"")</f>
        <v>27.159714091463936</v>
      </c>
      <c r="AO460" s="4">
        <f>IFERROR((vp.tbl[[#This Row],[Sulf]]-INDEX(crudeBD.lkup.complete[Mean_Sulf],MATCH(vp.tbl[[#This Row],[Crude_Breakdown]],crudeBD.lkup.complete[Crude Breakdown],0)))^2,"")</f>
        <v>1.7891252898056348E-2</v>
      </c>
      <c r="AP460">
        <f>IF(AND(vp.tbl[[#This Row],[SDate]]&gt;=DATE(YEAR(vp.tbl[[#This Row],[SDate]]),5,1),vp.tbl[[#This Row],[SDate]]&lt;=DATE(YEAR(vp.tbl[[#This Row],[SDate]]),9,15)),1,0)</f>
        <v>0</v>
      </c>
      <c r="AQ460" s="15">
        <f>IF(vp.tbl[[#This Row],[SDate]]&lt;DATE(2016,12,1),0,1)</f>
        <v>1</v>
      </c>
    </row>
    <row r="461" spans="1:43" x14ac:dyDescent="0.25">
      <c r="A461">
        <v>460</v>
      </c>
      <c r="B461" t="s">
        <v>49</v>
      </c>
      <c r="C461" t="s">
        <v>49</v>
      </c>
      <c r="D461" t="s">
        <v>74</v>
      </c>
      <c r="F461" s="1">
        <v>42727</v>
      </c>
      <c r="G461" s="2">
        <v>120.1</v>
      </c>
      <c r="H461" s="2"/>
      <c r="I461" s="2">
        <v>0.15</v>
      </c>
      <c r="J461" s="2">
        <v>12.8</v>
      </c>
      <c r="K461" s="2">
        <v>-7</v>
      </c>
      <c r="L461" s="2">
        <v>805.2</v>
      </c>
      <c r="M461" s="2">
        <v>805.2</v>
      </c>
      <c r="N461" s="2">
        <f ca="1">INDEX(INDIRECT(_xlfn.CONCAT("weather.tbl[",N$1,"]")),MATCH(vp.tbl[[#This Row],[SDate]],weather.tbl[Date],0))</f>
        <v>-9.5500000000000025</v>
      </c>
      <c r="O461" s="2">
        <f ca="1">INDEX(INDIRECT(_xlfn.CONCAT("weather.tbl[",O$1,"]")),MATCH(vp.tbl[[#This Row],[SDate]],weather.tbl[Date],0))</f>
        <v>-11.078571428571427</v>
      </c>
      <c r="P461" s="2">
        <f ca="1">INDEX(INDIRECT(_xlfn.CONCAT("weather.tbl[",P$1,"]")),MATCH(vp.tbl[[#This Row],[SDate]],weather.tbl[Date],0))</f>
        <v>-10.8</v>
      </c>
      <c r="Q461" s="2">
        <f ca="1">INDEX(INDIRECT(_xlfn.CONCAT("weather.tbl[",Q$1,"]")),MATCH(vp.tbl[[#This Row],[SDate]],weather.tbl[Date],0))</f>
        <v>-9.8000000000000007</v>
      </c>
      <c r="R461" s="2">
        <f ca="1">INDEX(INDIRECT(_xlfn.CONCAT("weather.tbl[",R$1,"]")),MATCH(vp.tbl[[#This Row],[SDate]],weather.tbl[Date],0))</f>
        <v>-11.3</v>
      </c>
      <c r="S461" s="2">
        <f ca="1">INDEX(INDIRECT(_xlfn.CONCAT("weather.tbl[",S$1,"]")),MATCH(vp.tbl[[#This Row],[SDate]],weather.tbl[Date],0))</f>
        <v>-8</v>
      </c>
      <c r="T461" s="2">
        <f ca="1">INDEX(INDIRECT(_xlfn.CONCAT("weather.tbl[",T$1,"]")),MATCH(vp.tbl[[#This Row],[SDate]],weather.tbl[Date],0))</f>
        <v>-9.1</v>
      </c>
      <c r="U461" s="2">
        <f ca="1">INDEX(INDIRECT(_xlfn.CONCAT("weather.tbl[",U$1,"]")),MATCH(vp.tbl[[#This Row],[SDate]],weather.tbl[Date],0))</f>
        <v>-8.3000000000000007</v>
      </c>
      <c r="V461" s="2">
        <v>30199.411</v>
      </c>
      <c r="W461" t="s">
        <v>48</v>
      </c>
      <c r="X461">
        <f>IF(OR(vp.tbl[[#This Row],[Sulf]]="",vp.tbl[[#This Row],[Dens]]=""),1,0)</f>
        <v>0</v>
      </c>
      <c r="Y461">
        <f>IF(vp.tbl[[#This Row],[CrudeType]]="C5+",1,0)</f>
        <v>0</v>
      </c>
      <c r="Z461">
        <f>IF(AND(vp.tbl[[#This Row],[CrudeType]]="Crude",vp.tbl[[#This Row],[Dens]]&lt;=825,vp.tbl[[#This Row],[Sulf]]&gt;0.5,vp.tbl[[#This Row],[Unknown]]=0),1,0)</f>
        <v>0</v>
      </c>
      <c r="AA461">
        <f>IF(AND(vp.tbl[[#This Row],[CrudeType]]="Crude",vp.tbl[[#This Row],[Dens]]&lt;=825,vp.tbl[[#This Row],[Sulf]]&lt;=0.5,vp.tbl[[#This Row],[Unknown]]=0),1,0)</f>
        <v>1</v>
      </c>
      <c r="AB461">
        <f>IF(AND(vp.tbl[[#This Row],[CrudeType]]="Crude",vp.tbl[[#This Row],[Dens]]&gt;825,vp.tbl[[#This Row],[Dens]]&lt;=870,vp.tbl[[#This Row],[Sulf]]&gt;0.5,vp.tbl[[#This Row],[Unknown]]=0),1,0)</f>
        <v>0</v>
      </c>
      <c r="AC461">
        <f>IF(AND(vp.tbl[[#This Row],[CrudeType]]="Crude",vp.tbl[[#This Row],[Dens]]&gt;825,vp.tbl[[#This Row],[Dens]]&lt;=900,vp.tbl[[#This Row],[Sulf]]&lt;=0.5,vp.tbl[[#This Row],[Unknown]]=0),1,0)</f>
        <v>0</v>
      </c>
      <c r="AD461">
        <f>IF(AND(vp.tbl[[#This Row],[CrudeType]]="Crude",vp.tbl[[#This Row],[Dens]]&gt;870,vp.tbl[[#This Row],[Dens]]&lt;=900,vp.tbl[[#This Row],[Sulf]]&gt;0.5,vp.tbl[[#This Row],[Unknown]]=0),1,0)</f>
        <v>0</v>
      </c>
      <c r="AE461">
        <f>IF(AND(vp.tbl[[#This Row],[CrudeType]]="Crude",vp.tbl[[#This Row],[Dens]]&gt;900,vp.tbl[[#This Row],[Sulf]]&lt;=0.5,vp.tbl[[#This Row],[Unknown]]=0),1,0)</f>
        <v>0</v>
      </c>
      <c r="AF461">
        <f>IF(AND(vp.tbl[[#This Row],[CrudeType]]="Crude",vp.tbl[[#This Row],[Dens]]&gt;900,vp.tbl[[#This Row],[Sulf]]&lt;=0.5,vp.tbl[[#This Row],[Unknown]]=0),1,0)</f>
        <v>0</v>
      </c>
      <c r="AG461" t="str">
        <f>INDEX(vp.tbl[[#Headers],[Unknown]:[Heavy_SW]],MATCH(1,vp.tbl[[#This Row],[Unknown]:[Heavy_SW]],0))</f>
        <v>Light_SW</v>
      </c>
      <c r="AH461" t="e">
        <f>INDEX([1]!crudeBD.lkup[Number],MATCH(vp.tbl[[#This Row],[Crude_Breakdown]],[1]!crudeBD.lkup[Crude Breakdown],0))</f>
        <v>#REF!</v>
      </c>
      <c r="AI461">
        <f>MONTH(vp.tbl[[#This Row],[SDate]])</f>
        <v>12</v>
      </c>
      <c r="AJ461" s="5">
        <f>IFERROR(vp.tbl[[#This Row],[Sulf]]*vp.tbl[[#This Row],[Net Dens]],"")</f>
        <v>3647484.8605800006</v>
      </c>
      <c r="AK461" s="5">
        <f>IFERROR(vp.tbl[[#This Row],[Dens]]*vp.tbl[[#This Row],[VolumeM3]],"")</f>
        <v>24316565.737200003</v>
      </c>
      <c r="AL461" s="5">
        <f>IFERROR(vp.tbl[[#This Row],[VP]]*vp.tbl[[#This Row],[VolumeM3]],"")</f>
        <v>3626949.2610999998</v>
      </c>
      <c r="AM461" s="4">
        <f>IFERROR((vp.tbl[[#This Row],[VP]]-INDEX(crudeBD.lkup.complete[Mean_VP],MATCH(vp.tbl[[#This Row],[Crude_Breakdown]],crudeBD.lkup.complete[Crude Breakdown],0)))^2,"")</f>
        <v>758.98522135269468</v>
      </c>
      <c r="AN461" s="4">
        <f>IFERROR((vp.tbl[[#This Row],[Dens]]-INDEX(crudeBD.lkup.complete[Mean_Dens],MATCH(vp.tbl[[#This Row],[Crude_Breakdown]],crudeBD.lkup.complete[Crude Breakdown],0)))^2,"")</f>
        <v>9.6814214085379788</v>
      </c>
      <c r="AO461" s="4">
        <f>IFERROR((vp.tbl[[#This Row],[Sulf]]-INDEX(crudeBD.lkup.complete[Mean_Sulf],MATCH(vp.tbl[[#This Row],[Crude_Breakdown]],crudeBD.lkup.complete[Crude Breakdown],0)))^2,"")</f>
        <v>7.4376501105998362E-3</v>
      </c>
      <c r="AP461">
        <f>IF(AND(vp.tbl[[#This Row],[SDate]]&gt;=DATE(YEAR(vp.tbl[[#This Row],[SDate]]),5,1),vp.tbl[[#This Row],[SDate]]&lt;=DATE(YEAR(vp.tbl[[#This Row],[SDate]]),9,15)),1,0)</f>
        <v>0</v>
      </c>
      <c r="AQ461" s="15">
        <f>IF(vp.tbl[[#This Row],[SDate]]&lt;DATE(2016,12,1),0,1)</f>
        <v>1</v>
      </c>
    </row>
    <row r="462" spans="1:43" x14ac:dyDescent="0.25">
      <c r="A462">
        <v>461</v>
      </c>
      <c r="B462" t="s">
        <v>49</v>
      </c>
      <c r="C462" t="s">
        <v>49</v>
      </c>
      <c r="D462" t="s">
        <v>67</v>
      </c>
      <c r="F462" s="1">
        <v>42727</v>
      </c>
      <c r="G462" s="2">
        <v>105.6</v>
      </c>
      <c r="H462" s="2"/>
      <c r="I462" s="2">
        <v>0.2</v>
      </c>
      <c r="J462" s="2">
        <v>3.6</v>
      </c>
      <c r="K462" s="2">
        <v>-7</v>
      </c>
      <c r="L462" s="2">
        <v>818.8</v>
      </c>
      <c r="M462" s="2">
        <v>818.8</v>
      </c>
      <c r="N462" s="2">
        <f ca="1">INDEX(INDIRECT(_xlfn.CONCAT("weather.tbl[",N$1,"]")),MATCH(vp.tbl[[#This Row],[SDate]],weather.tbl[Date],0))</f>
        <v>-9.5500000000000025</v>
      </c>
      <c r="O462" s="2">
        <f ca="1">INDEX(INDIRECT(_xlfn.CONCAT("weather.tbl[",O$1,"]")),MATCH(vp.tbl[[#This Row],[SDate]],weather.tbl[Date],0))</f>
        <v>-11.078571428571427</v>
      </c>
      <c r="P462" s="2">
        <f ca="1">INDEX(INDIRECT(_xlfn.CONCAT("weather.tbl[",P$1,"]")),MATCH(vp.tbl[[#This Row],[SDate]],weather.tbl[Date],0))</f>
        <v>-10.8</v>
      </c>
      <c r="Q462" s="2">
        <f ca="1">INDEX(INDIRECT(_xlfn.CONCAT("weather.tbl[",Q$1,"]")),MATCH(vp.tbl[[#This Row],[SDate]],weather.tbl[Date],0))</f>
        <v>-9.8000000000000007</v>
      </c>
      <c r="R462" s="2">
        <f ca="1">INDEX(INDIRECT(_xlfn.CONCAT("weather.tbl[",R$1,"]")),MATCH(vp.tbl[[#This Row],[SDate]],weather.tbl[Date],0))</f>
        <v>-11.3</v>
      </c>
      <c r="S462" s="2">
        <f ca="1">INDEX(INDIRECT(_xlfn.CONCAT("weather.tbl[",S$1,"]")),MATCH(vp.tbl[[#This Row],[SDate]],weather.tbl[Date],0))</f>
        <v>-8</v>
      </c>
      <c r="T462" s="2">
        <f ca="1">INDEX(INDIRECT(_xlfn.CONCAT("weather.tbl[",T$1,"]")),MATCH(vp.tbl[[#This Row],[SDate]],weather.tbl[Date],0))</f>
        <v>-9.1</v>
      </c>
      <c r="U462" s="2">
        <f ca="1">INDEX(INDIRECT(_xlfn.CONCAT("weather.tbl[",U$1,"]")),MATCH(vp.tbl[[#This Row],[SDate]],weather.tbl[Date],0))</f>
        <v>-8.3000000000000007</v>
      </c>
      <c r="V462" s="2">
        <v>75984.024999999994</v>
      </c>
      <c r="W462" t="s">
        <v>48</v>
      </c>
      <c r="X462">
        <f>IF(OR(vp.tbl[[#This Row],[Sulf]]="",vp.tbl[[#This Row],[Dens]]=""),1,0)</f>
        <v>0</v>
      </c>
      <c r="Y462">
        <f>IF(vp.tbl[[#This Row],[CrudeType]]="C5+",1,0)</f>
        <v>0</v>
      </c>
      <c r="Z462">
        <f>IF(AND(vp.tbl[[#This Row],[CrudeType]]="Crude",vp.tbl[[#This Row],[Dens]]&lt;=825,vp.tbl[[#This Row],[Sulf]]&gt;0.5,vp.tbl[[#This Row],[Unknown]]=0),1,0)</f>
        <v>0</v>
      </c>
      <c r="AA462">
        <f>IF(AND(vp.tbl[[#This Row],[CrudeType]]="Crude",vp.tbl[[#This Row],[Dens]]&lt;=825,vp.tbl[[#This Row],[Sulf]]&lt;=0.5,vp.tbl[[#This Row],[Unknown]]=0),1,0)</f>
        <v>1</v>
      </c>
      <c r="AB462">
        <f>IF(AND(vp.tbl[[#This Row],[CrudeType]]="Crude",vp.tbl[[#This Row],[Dens]]&gt;825,vp.tbl[[#This Row],[Dens]]&lt;=870,vp.tbl[[#This Row],[Sulf]]&gt;0.5,vp.tbl[[#This Row],[Unknown]]=0),1,0)</f>
        <v>0</v>
      </c>
      <c r="AC462">
        <f>IF(AND(vp.tbl[[#This Row],[CrudeType]]="Crude",vp.tbl[[#This Row],[Dens]]&gt;825,vp.tbl[[#This Row],[Dens]]&lt;=900,vp.tbl[[#This Row],[Sulf]]&lt;=0.5,vp.tbl[[#This Row],[Unknown]]=0),1,0)</f>
        <v>0</v>
      </c>
      <c r="AD462">
        <f>IF(AND(vp.tbl[[#This Row],[CrudeType]]="Crude",vp.tbl[[#This Row],[Dens]]&gt;870,vp.tbl[[#This Row],[Dens]]&lt;=900,vp.tbl[[#This Row],[Sulf]]&gt;0.5,vp.tbl[[#This Row],[Unknown]]=0),1,0)</f>
        <v>0</v>
      </c>
      <c r="AE462">
        <f>IF(AND(vp.tbl[[#This Row],[CrudeType]]="Crude",vp.tbl[[#This Row],[Dens]]&gt;900,vp.tbl[[#This Row],[Sulf]]&lt;=0.5,vp.tbl[[#This Row],[Unknown]]=0),1,0)</f>
        <v>0</v>
      </c>
      <c r="AF462">
        <f>IF(AND(vp.tbl[[#This Row],[CrudeType]]="Crude",vp.tbl[[#This Row],[Dens]]&gt;900,vp.tbl[[#This Row],[Sulf]]&lt;=0.5,vp.tbl[[#This Row],[Unknown]]=0),1,0)</f>
        <v>0</v>
      </c>
      <c r="AG462" t="str">
        <f>INDEX(vp.tbl[[#Headers],[Unknown]:[Heavy_SW]],MATCH(1,vp.tbl[[#This Row],[Unknown]:[Heavy_SW]],0))</f>
        <v>Light_SW</v>
      </c>
      <c r="AH462" t="e">
        <f>INDEX([1]!crudeBD.lkup[Number],MATCH(vp.tbl[[#This Row],[Crude_Breakdown]],[1]!crudeBD.lkup[Crude Breakdown],0))</f>
        <v>#REF!</v>
      </c>
      <c r="AI462">
        <f>MONTH(vp.tbl[[#This Row],[SDate]])</f>
        <v>12</v>
      </c>
      <c r="AJ462" s="5">
        <f>IFERROR(vp.tbl[[#This Row],[Sulf]]*vp.tbl[[#This Row],[Net Dens]],"")</f>
        <v>12443143.934</v>
      </c>
      <c r="AK462" s="5">
        <f>IFERROR(vp.tbl[[#This Row],[Dens]]*vp.tbl[[#This Row],[VolumeM3]],"")</f>
        <v>62215719.669999994</v>
      </c>
      <c r="AL462" s="5">
        <f>IFERROR(vp.tbl[[#This Row],[VP]]*vp.tbl[[#This Row],[VolumeM3]],"")</f>
        <v>8023913.0399999991</v>
      </c>
      <c r="AM462" s="4">
        <f>IFERROR((vp.tbl[[#This Row],[VP]]-INDEX(crudeBD.lkup.complete[Mean_VP],MATCH(vp.tbl[[#This Row],[Crude_Breakdown]],crudeBD.lkup.complete[Crude Breakdown],0)))^2,"")</f>
        <v>170.29431542934904</v>
      </c>
      <c r="AN462" s="4">
        <f>IFERROR((vp.tbl[[#This Row],[Dens]]-INDEX(crudeBD.lkup.complete[Mean_Dens],MATCH(vp.tbl[[#This Row],[Crude_Breakdown]],crudeBD.lkup.complete[Crude Breakdown],0)))^2,"")</f>
        <v>110.00866879530282</v>
      </c>
      <c r="AO462" s="4">
        <f>IFERROR((vp.tbl[[#This Row],[Sulf]]-INDEX(crudeBD.lkup.complete[Mean_Sulf],MATCH(vp.tbl[[#This Row],[Crude_Breakdown]],crudeBD.lkup.complete[Crude Breakdown],0)))^2,"")</f>
        <v>1.3134689259308601E-3</v>
      </c>
      <c r="AP462">
        <f>IF(AND(vp.tbl[[#This Row],[SDate]]&gt;=DATE(YEAR(vp.tbl[[#This Row],[SDate]]),5,1),vp.tbl[[#This Row],[SDate]]&lt;=DATE(YEAR(vp.tbl[[#This Row],[SDate]]),9,15)),1,0)</f>
        <v>0</v>
      </c>
      <c r="AQ462" s="15">
        <f>IF(vp.tbl[[#This Row],[SDate]]&lt;DATE(2016,12,1),0,1)</f>
        <v>1</v>
      </c>
    </row>
    <row r="463" spans="1:43" x14ac:dyDescent="0.25">
      <c r="A463">
        <v>462</v>
      </c>
      <c r="B463" t="s">
        <v>49</v>
      </c>
      <c r="C463" t="s">
        <v>49</v>
      </c>
      <c r="D463" t="s">
        <v>89</v>
      </c>
      <c r="F463" s="1">
        <v>42727</v>
      </c>
      <c r="G463" s="2">
        <v>102.7</v>
      </c>
      <c r="H463" s="2"/>
      <c r="I463" s="2">
        <v>0.55000000000000004</v>
      </c>
      <c r="J463" s="2">
        <v>4.7</v>
      </c>
      <c r="K463" s="2">
        <v>-7</v>
      </c>
      <c r="L463" s="2">
        <v>822.4</v>
      </c>
      <c r="M463" s="2">
        <v>822.4</v>
      </c>
      <c r="N463" s="2">
        <f ca="1">INDEX(INDIRECT(_xlfn.CONCAT("weather.tbl[",N$1,"]")),MATCH(vp.tbl[[#This Row],[SDate]],weather.tbl[Date],0))</f>
        <v>-9.5500000000000025</v>
      </c>
      <c r="O463" s="2">
        <f ca="1">INDEX(INDIRECT(_xlfn.CONCAT("weather.tbl[",O$1,"]")),MATCH(vp.tbl[[#This Row],[SDate]],weather.tbl[Date],0))</f>
        <v>-11.078571428571427</v>
      </c>
      <c r="P463" s="2">
        <f ca="1">INDEX(INDIRECT(_xlfn.CONCAT("weather.tbl[",P$1,"]")),MATCH(vp.tbl[[#This Row],[SDate]],weather.tbl[Date],0))</f>
        <v>-10.8</v>
      </c>
      <c r="Q463" s="2">
        <f ca="1">INDEX(INDIRECT(_xlfn.CONCAT("weather.tbl[",Q$1,"]")),MATCH(vp.tbl[[#This Row],[SDate]],weather.tbl[Date],0))</f>
        <v>-9.8000000000000007</v>
      </c>
      <c r="R463" s="2">
        <f ca="1">INDEX(INDIRECT(_xlfn.CONCAT("weather.tbl[",R$1,"]")),MATCH(vp.tbl[[#This Row],[SDate]],weather.tbl[Date],0))</f>
        <v>-11.3</v>
      </c>
      <c r="S463" s="2">
        <f ca="1">INDEX(INDIRECT(_xlfn.CONCAT("weather.tbl[",S$1,"]")),MATCH(vp.tbl[[#This Row],[SDate]],weather.tbl[Date],0))</f>
        <v>-8</v>
      </c>
      <c r="T463" s="2">
        <f ca="1">INDEX(INDIRECT(_xlfn.CONCAT("weather.tbl[",T$1,"]")),MATCH(vp.tbl[[#This Row],[SDate]],weather.tbl[Date],0))</f>
        <v>-9.1</v>
      </c>
      <c r="U463" s="2">
        <f ca="1">INDEX(INDIRECT(_xlfn.CONCAT("weather.tbl[",U$1,"]")),MATCH(vp.tbl[[#This Row],[SDate]],weather.tbl[Date],0))</f>
        <v>-8.3000000000000007</v>
      </c>
      <c r="V463" s="2">
        <v>5355.0209999999997</v>
      </c>
      <c r="W463" t="s">
        <v>48</v>
      </c>
      <c r="X463">
        <f>IF(OR(vp.tbl[[#This Row],[Sulf]]="",vp.tbl[[#This Row],[Dens]]=""),1,0)</f>
        <v>0</v>
      </c>
      <c r="Y463">
        <f>IF(vp.tbl[[#This Row],[CrudeType]]="C5+",1,0)</f>
        <v>0</v>
      </c>
      <c r="Z463">
        <f>IF(AND(vp.tbl[[#This Row],[CrudeType]]="Crude",vp.tbl[[#This Row],[Dens]]&lt;=825,vp.tbl[[#This Row],[Sulf]]&gt;0.5,vp.tbl[[#This Row],[Unknown]]=0),1,0)</f>
        <v>1</v>
      </c>
      <c r="AA463">
        <f>IF(AND(vp.tbl[[#This Row],[CrudeType]]="Crude",vp.tbl[[#This Row],[Dens]]&lt;=825,vp.tbl[[#This Row],[Sulf]]&lt;=0.5,vp.tbl[[#This Row],[Unknown]]=0),1,0)</f>
        <v>0</v>
      </c>
      <c r="AB463">
        <f>IF(AND(vp.tbl[[#This Row],[CrudeType]]="Crude",vp.tbl[[#This Row],[Dens]]&gt;825,vp.tbl[[#This Row],[Dens]]&lt;=870,vp.tbl[[#This Row],[Sulf]]&gt;0.5,vp.tbl[[#This Row],[Unknown]]=0),1,0)</f>
        <v>0</v>
      </c>
      <c r="AC463">
        <f>IF(AND(vp.tbl[[#This Row],[CrudeType]]="Crude",vp.tbl[[#This Row],[Dens]]&gt;825,vp.tbl[[#This Row],[Dens]]&lt;=900,vp.tbl[[#This Row],[Sulf]]&lt;=0.5,vp.tbl[[#This Row],[Unknown]]=0),1,0)</f>
        <v>0</v>
      </c>
      <c r="AD463">
        <f>IF(AND(vp.tbl[[#This Row],[CrudeType]]="Crude",vp.tbl[[#This Row],[Dens]]&gt;870,vp.tbl[[#This Row],[Dens]]&lt;=900,vp.tbl[[#This Row],[Sulf]]&gt;0.5,vp.tbl[[#This Row],[Unknown]]=0),1,0)</f>
        <v>0</v>
      </c>
      <c r="AE463">
        <f>IF(AND(vp.tbl[[#This Row],[CrudeType]]="Crude",vp.tbl[[#This Row],[Dens]]&gt;900,vp.tbl[[#This Row],[Sulf]]&lt;=0.5,vp.tbl[[#This Row],[Unknown]]=0),1,0)</f>
        <v>0</v>
      </c>
      <c r="AF463">
        <f>IF(AND(vp.tbl[[#This Row],[CrudeType]]="Crude",vp.tbl[[#This Row],[Dens]]&gt;900,vp.tbl[[#This Row],[Sulf]]&lt;=0.5,vp.tbl[[#This Row],[Unknown]]=0),1,0)</f>
        <v>0</v>
      </c>
      <c r="AG463" t="str">
        <f>INDEX(vp.tbl[[#Headers],[Unknown]:[Heavy_SW]],MATCH(1,vp.tbl[[#This Row],[Unknown]:[Heavy_SW]],0))</f>
        <v>Light_LSB</v>
      </c>
      <c r="AH463" t="e">
        <f>INDEX([1]!crudeBD.lkup[Number],MATCH(vp.tbl[[#This Row],[Crude_Breakdown]],[1]!crudeBD.lkup[Crude Breakdown],0))</f>
        <v>#REF!</v>
      </c>
      <c r="AI463">
        <f>MONTH(vp.tbl[[#This Row],[SDate]])</f>
        <v>12</v>
      </c>
      <c r="AJ463" s="5">
        <f>IFERROR(vp.tbl[[#This Row],[Sulf]]*vp.tbl[[#This Row],[Net Dens]],"")</f>
        <v>2422183.0987200001</v>
      </c>
      <c r="AK463" s="5">
        <f>IFERROR(vp.tbl[[#This Row],[Dens]]*vp.tbl[[#This Row],[VolumeM3]],"")</f>
        <v>4403969.2703999998</v>
      </c>
      <c r="AL463" s="5">
        <f>IFERROR(vp.tbl[[#This Row],[VP]]*vp.tbl[[#This Row],[VolumeM3]],"")</f>
        <v>549960.65669999993</v>
      </c>
      <c r="AM463" s="4">
        <f>IFERROR((vp.tbl[[#This Row],[VP]]-INDEX(crudeBD.lkup.complete[Mean_VP],MATCH(vp.tbl[[#This Row],[Crude_Breakdown]],crudeBD.lkup.complete[Crude Breakdown],0)))^2,"")</f>
        <v>124.40757640556851</v>
      </c>
      <c r="AN463" s="4">
        <f>IFERROR((vp.tbl[[#This Row],[Dens]]-INDEX(crudeBD.lkup.complete[Mean_Dens],MATCH(vp.tbl[[#This Row],[Crude_Breakdown]],crudeBD.lkup.complete[Crude Breakdown],0)))^2,"")</f>
        <v>15.07947710112294</v>
      </c>
      <c r="AO463" s="4">
        <f>IFERROR((vp.tbl[[#This Row],[Sulf]]-INDEX(crudeBD.lkup.complete[Mean_Sulf],MATCH(vp.tbl[[#This Row],[Crude_Breakdown]],crudeBD.lkup.complete[Crude Breakdown],0)))^2,"")</f>
        <v>0.13910749244638207</v>
      </c>
      <c r="AP463">
        <f>IF(AND(vp.tbl[[#This Row],[SDate]]&gt;=DATE(YEAR(vp.tbl[[#This Row],[SDate]]),5,1),vp.tbl[[#This Row],[SDate]]&lt;=DATE(YEAR(vp.tbl[[#This Row],[SDate]]),9,15)),1,0)</f>
        <v>0</v>
      </c>
      <c r="AQ463" s="15">
        <f>IF(vp.tbl[[#This Row],[SDate]]&lt;DATE(2016,12,1),0,1)</f>
        <v>1</v>
      </c>
    </row>
    <row r="464" spans="1:43" x14ac:dyDescent="0.25">
      <c r="A464">
        <v>463</v>
      </c>
      <c r="B464" t="s">
        <v>56</v>
      </c>
      <c r="C464" t="s">
        <v>56</v>
      </c>
      <c r="D464" t="s">
        <v>57</v>
      </c>
      <c r="F464" s="1">
        <v>42727</v>
      </c>
      <c r="G464" s="2">
        <v>93.3</v>
      </c>
      <c r="H464" s="2"/>
      <c r="I464" s="2">
        <v>1.63</v>
      </c>
      <c r="J464" s="2">
        <v>10.5</v>
      </c>
      <c r="K464" s="2">
        <v>-7</v>
      </c>
      <c r="L464" s="2">
        <v>839.4</v>
      </c>
      <c r="M464" s="2">
        <v>839.4</v>
      </c>
      <c r="N464" s="2">
        <f ca="1">INDEX(INDIRECT(_xlfn.CONCAT("weather.tbl[",N$1,"]")),MATCH(vp.tbl[[#This Row],[SDate]],weather.tbl[Date],0))</f>
        <v>-9.5500000000000025</v>
      </c>
      <c r="O464" s="2">
        <f ca="1">INDEX(INDIRECT(_xlfn.CONCAT("weather.tbl[",O$1,"]")),MATCH(vp.tbl[[#This Row],[SDate]],weather.tbl[Date],0))</f>
        <v>-11.078571428571427</v>
      </c>
      <c r="P464" s="2">
        <f ca="1">INDEX(INDIRECT(_xlfn.CONCAT("weather.tbl[",P$1,"]")),MATCH(vp.tbl[[#This Row],[SDate]],weather.tbl[Date],0))</f>
        <v>-10.8</v>
      </c>
      <c r="Q464" s="2">
        <f ca="1">INDEX(INDIRECT(_xlfn.CONCAT("weather.tbl[",Q$1,"]")),MATCH(vp.tbl[[#This Row],[SDate]],weather.tbl[Date],0))</f>
        <v>-9.8000000000000007</v>
      </c>
      <c r="R464" s="2">
        <f ca="1">INDEX(INDIRECT(_xlfn.CONCAT("weather.tbl[",R$1,"]")),MATCH(vp.tbl[[#This Row],[SDate]],weather.tbl[Date],0))</f>
        <v>-11.3</v>
      </c>
      <c r="S464" s="2">
        <f ca="1">INDEX(INDIRECT(_xlfn.CONCAT("weather.tbl[",S$1,"]")),MATCH(vp.tbl[[#This Row],[SDate]],weather.tbl[Date],0))</f>
        <v>-8</v>
      </c>
      <c r="T464" s="2">
        <f ca="1">INDEX(INDIRECT(_xlfn.CONCAT("weather.tbl[",T$1,"]")),MATCH(vp.tbl[[#This Row],[SDate]],weather.tbl[Date],0))</f>
        <v>-9.1</v>
      </c>
      <c r="U464" s="2">
        <f ca="1">INDEX(INDIRECT(_xlfn.CONCAT("weather.tbl[",U$1,"]")),MATCH(vp.tbl[[#This Row],[SDate]],weather.tbl[Date],0))</f>
        <v>-8.3000000000000007</v>
      </c>
      <c r="V464" s="2">
        <v>3105.3330000000001</v>
      </c>
      <c r="W464" t="s">
        <v>48</v>
      </c>
      <c r="X464">
        <f>IF(OR(vp.tbl[[#This Row],[Sulf]]="",vp.tbl[[#This Row],[Dens]]=""),1,0)</f>
        <v>0</v>
      </c>
      <c r="Y464">
        <f>IF(vp.tbl[[#This Row],[CrudeType]]="C5+",1,0)</f>
        <v>0</v>
      </c>
      <c r="Z464">
        <f>IF(AND(vp.tbl[[#This Row],[CrudeType]]="Crude",vp.tbl[[#This Row],[Dens]]&lt;=825,vp.tbl[[#This Row],[Sulf]]&gt;0.5,vp.tbl[[#This Row],[Unknown]]=0),1,0)</f>
        <v>0</v>
      </c>
      <c r="AA464">
        <f>IF(AND(vp.tbl[[#This Row],[CrudeType]]="Crude",vp.tbl[[#This Row],[Dens]]&lt;=825,vp.tbl[[#This Row],[Sulf]]&lt;=0.5,vp.tbl[[#This Row],[Unknown]]=0),1,0)</f>
        <v>0</v>
      </c>
      <c r="AB464">
        <f>IF(AND(vp.tbl[[#This Row],[CrudeType]]="Crude",vp.tbl[[#This Row],[Dens]]&gt;825,vp.tbl[[#This Row],[Dens]]&lt;=870,vp.tbl[[#This Row],[Sulf]]&gt;0.5,vp.tbl[[#This Row],[Unknown]]=0),1,0)</f>
        <v>1</v>
      </c>
      <c r="AC464">
        <f>IF(AND(vp.tbl[[#This Row],[CrudeType]]="Crude",vp.tbl[[#This Row],[Dens]]&gt;825,vp.tbl[[#This Row],[Dens]]&lt;=900,vp.tbl[[#This Row],[Sulf]]&lt;=0.5,vp.tbl[[#This Row],[Unknown]]=0),1,0)</f>
        <v>0</v>
      </c>
      <c r="AD464">
        <f>IF(AND(vp.tbl[[#This Row],[CrudeType]]="Crude",vp.tbl[[#This Row],[Dens]]&gt;870,vp.tbl[[#This Row],[Dens]]&lt;=900,vp.tbl[[#This Row],[Sulf]]&gt;0.5,vp.tbl[[#This Row],[Unknown]]=0),1,0)</f>
        <v>0</v>
      </c>
      <c r="AE464">
        <f>IF(AND(vp.tbl[[#This Row],[CrudeType]]="Crude",vp.tbl[[#This Row],[Dens]]&gt;900,vp.tbl[[#This Row],[Sulf]]&lt;=0.5,vp.tbl[[#This Row],[Unknown]]=0),1,0)</f>
        <v>0</v>
      </c>
      <c r="AF464">
        <f>IF(AND(vp.tbl[[#This Row],[CrudeType]]="Crude",vp.tbl[[#This Row],[Dens]]&gt;900,vp.tbl[[#This Row],[Sulf]]&lt;=0.5,vp.tbl[[#This Row],[Unknown]]=0),1,0)</f>
        <v>0</v>
      </c>
      <c r="AG464" t="str">
        <f>INDEX(vp.tbl[[#Headers],[Unknown]:[Heavy_SW]],MATCH(1,vp.tbl[[#This Row],[Unknown]:[Heavy_SW]],0))</f>
        <v>Medium_LSB</v>
      </c>
      <c r="AH464" t="e">
        <f>INDEX([1]!crudeBD.lkup[Number],MATCH(vp.tbl[[#This Row],[Crude_Breakdown]],[1]!crudeBD.lkup[Crude Breakdown],0))</f>
        <v>#REF!</v>
      </c>
      <c r="AI464">
        <f>MONTH(vp.tbl[[#This Row],[SDate]])</f>
        <v>12</v>
      </c>
      <c r="AJ464" s="5">
        <f>IFERROR(vp.tbl[[#This Row],[Sulf]]*vp.tbl[[#This Row],[Net Dens]],"")</f>
        <v>4248784.9279260002</v>
      </c>
      <c r="AK464" s="5">
        <f>IFERROR(vp.tbl[[#This Row],[Dens]]*vp.tbl[[#This Row],[VolumeM3]],"")</f>
        <v>2606616.5202000001</v>
      </c>
      <c r="AL464" s="5">
        <f>IFERROR(vp.tbl[[#This Row],[VP]]*vp.tbl[[#This Row],[VolumeM3]],"")</f>
        <v>289727.56890000001</v>
      </c>
      <c r="AM464" s="4">
        <f>IFERROR((vp.tbl[[#This Row],[VP]]-INDEX(crudeBD.lkup.complete[Mean_VP],MATCH(vp.tbl[[#This Row],[Crude_Breakdown]],crudeBD.lkup.complete[Crude Breakdown],0)))^2,"")</f>
        <v>172.30250988559615</v>
      </c>
      <c r="AN464" s="4">
        <f>IFERROR((vp.tbl[[#This Row],[Dens]]-INDEX(crudeBD.lkup.complete[Mean_Dens],MATCH(vp.tbl[[#This Row],[Crude_Breakdown]],crudeBD.lkup.complete[Crude Breakdown],0)))^2,"")</f>
        <v>34.713575727596421</v>
      </c>
      <c r="AO464" s="4">
        <f>IFERROR((vp.tbl[[#This Row],[Sulf]]-INDEX(crudeBD.lkup.complete[Mean_Sulf],MATCH(vp.tbl[[#This Row],[Crude_Breakdown]],crudeBD.lkup.complete[Crude Breakdown],0)))^2,"")</f>
        <v>3.0649553653689716E-2</v>
      </c>
      <c r="AP464">
        <f>IF(AND(vp.tbl[[#This Row],[SDate]]&gt;=DATE(YEAR(vp.tbl[[#This Row],[SDate]]),5,1),vp.tbl[[#This Row],[SDate]]&lt;=DATE(YEAR(vp.tbl[[#This Row],[SDate]]),9,15)),1,0)</f>
        <v>0</v>
      </c>
      <c r="AQ464" s="15">
        <f>IF(vp.tbl[[#This Row],[SDate]]&lt;DATE(2016,12,1),0,1)</f>
        <v>1</v>
      </c>
    </row>
    <row r="465" spans="1:43" x14ac:dyDescent="0.25">
      <c r="A465">
        <v>464</v>
      </c>
      <c r="B465" t="s">
        <v>49</v>
      </c>
      <c r="C465" t="s">
        <v>49</v>
      </c>
      <c r="D465" t="s">
        <v>102</v>
      </c>
      <c r="F465" s="1">
        <v>42727</v>
      </c>
      <c r="G465" s="2">
        <v>62.3</v>
      </c>
      <c r="H465" s="2"/>
      <c r="I465" s="2">
        <v>2.29</v>
      </c>
      <c r="J465" s="2">
        <v>17.899999999999999</v>
      </c>
      <c r="K465" s="2">
        <v>-7</v>
      </c>
      <c r="L465" s="2">
        <v>853.1</v>
      </c>
      <c r="M465" s="2">
        <v>853.1</v>
      </c>
      <c r="N465" s="2">
        <f ca="1">INDEX(INDIRECT(_xlfn.CONCAT("weather.tbl[",N$1,"]")),MATCH(vp.tbl[[#This Row],[SDate]],weather.tbl[Date],0))</f>
        <v>-9.5500000000000025</v>
      </c>
      <c r="O465" s="2">
        <f ca="1">INDEX(INDIRECT(_xlfn.CONCAT("weather.tbl[",O$1,"]")),MATCH(vp.tbl[[#This Row],[SDate]],weather.tbl[Date],0))</f>
        <v>-11.078571428571427</v>
      </c>
      <c r="P465" s="2">
        <f ca="1">INDEX(INDIRECT(_xlfn.CONCAT("weather.tbl[",P$1,"]")),MATCH(vp.tbl[[#This Row],[SDate]],weather.tbl[Date],0))</f>
        <v>-10.8</v>
      </c>
      <c r="Q465" s="2">
        <f ca="1">INDEX(INDIRECT(_xlfn.CONCAT("weather.tbl[",Q$1,"]")),MATCH(vp.tbl[[#This Row],[SDate]],weather.tbl[Date],0))</f>
        <v>-9.8000000000000007</v>
      </c>
      <c r="R465" s="2">
        <f ca="1">INDEX(INDIRECT(_xlfn.CONCAT("weather.tbl[",R$1,"]")),MATCH(vp.tbl[[#This Row],[SDate]],weather.tbl[Date],0))</f>
        <v>-11.3</v>
      </c>
      <c r="S465" s="2">
        <f ca="1">INDEX(INDIRECT(_xlfn.CONCAT("weather.tbl[",S$1,"]")),MATCH(vp.tbl[[#This Row],[SDate]],weather.tbl[Date],0))</f>
        <v>-8</v>
      </c>
      <c r="T465" s="2">
        <f ca="1">INDEX(INDIRECT(_xlfn.CONCAT("weather.tbl[",T$1,"]")),MATCH(vp.tbl[[#This Row],[SDate]],weather.tbl[Date],0))</f>
        <v>-9.1</v>
      </c>
      <c r="U465" s="2">
        <f ca="1">INDEX(INDIRECT(_xlfn.CONCAT("weather.tbl[",U$1,"]")),MATCH(vp.tbl[[#This Row],[SDate]],weather.tbl[Date],0))</f>
        <v>-8.3000000000000007</v>
      </c>
      <c r="V465" s="2">
        <v>1656.4649999999999</v>
      </c>
      <c r="W465" t="s">
        <v>48</v>
      </c>
      <c r="X465">
        <f>IF(OR(vp.tbl[[#This Row],[Sulf]]="",vp.tbl[[#This Row],[Dens]]=""),1,0)</f>
        <v>0</v>
      </c>
      <c r="Y465">
        <f>IF(vp.tbl[[#This Row],[CrudeType]]="C5+",1,0)</f>
        <v>0</v>
      </c>
      <c r="Z465">
        <f>IF(AND(vp.tbl[[#This Row],[CrudeType]]="Crude",vp.tbl[[#This Row],[Dens]]&lt;=825,vp.tbl[[#This Row],[Sulf]]&gt;0.5,vp.tbl[[#This Row],[Unknown]]=0),1,0)</f>
        <v>0</v>
      </c>
      <c r="AA465">
        <f>IF(AND(vp.tbl[[#This Row],[CrudeType]]="Crude",vp.tbl[[#This Row],[Dens]]&lt;=825,vp.tbl[[#This Row],[Sulf]]&lt;=0.5,vp.tbl[[#This Row],[Unknown]]=0),1,0)</f>
        <v>0</v>
      </c>
      <c r="AB465">
        <f>IF(AND(vp.tbl[[#This Row],[CrudeType]]="Crude",vp.tbl[[#This Row],[Dens]]&gt;825,vp.tbl[[#This Row],[Dens]]&lt;=870,vp.tbl[[#This Row],[Sulf]]&gt;0.5,vp.tbl[[#This Row],[Unknown]]=0),1,0)</f>
        <v>1</v>
      </c>
      <c r="AC465">
        <f>IF(AND(vp.tbl[[#This Row],[CrudeType]]="Crude",vp.tbl[[#This Row],[Dens]]&gt;825,vp.tbl[[#This Row],[Dens]]&lt;=900,vp.tbl[[#This Row],[Sulf]]&lt;=0.5,vp.tbl[[#This Row],[Unknown]]=0),1,0)</f>
        <v>0</v>
      </c>
      <c r="AD465">
        <f>IF(AND(vp.tbl[[#This Row],[CrudeType]]="Crude",vp.tbl[[#This Row],[Dens]]&gt;870,vp.tbl[[#This Row],[Dens]]&lt;=900,vp.tbl[[#This Row],[Sulf]]&gt;0.5,vp.tbl[[#This Row],[Unknown]]=0),1,0)</f>
        <v>0</v>
      </c>
      <c r="AE465">
        <f>IF(AND(vp.tbl[[#This Row],[CrudeType]]="Crude",vp.tbl[[#This Row],[Dens]]&gt;900,vp.tbl[[#This Row],[Sulf]]&lt;=0.5,vp.tbl[[#This Row],[Unknown]]=0),1,0)</f>
        <v>0</v>
      </c>
      <c r="AF465">
        <f>IF(AND(vp.tbl[[#This Row],[CrudeType]]="Crude",vp.tbl[[#This Row],[Dens]]&gt;900,vp.tbl[[#This Row],[Sulf]]&lt;=0.5,vp.tbl[[#This Row],[Unknown]]=0),1,0)</f>
        <v>0</v>
      </c>
      <c r="AG465" t="str">
        <f>INDEX(vp.tbl[[#Headers],[Unknown]:[Heavy_SW]],MATCH(1,vp.tbl[[#This Row],[Unknown]:[Heavy_SW]],0))</f>
        <v>Medium_LSB</v>
      </c>
      <c r="AH465" t="e">
        <f>INDEX([1]!crudeBD.lkup[Number],MATCH(vp.tbl[[#This Row],[Crude_Breakdown]],[1]!crudeBD.lkup[Crude Breakdown],0))</f>
        <v>#REF!</v>
      </c>
      <c r="AI465">
        <f>MONTH(vp.tbl[[#This Row],[SDate]])</f>
        <v>12</v>
      </c>
      <c r="AJ465" s="5">
        <f>IFERROR(vp.tbl[[#This Row],[Sulf]]*vp.tbl[[#This Row],[Net Dens]],"")</f>
        <v>3236068.3675350002</v>
      </c>
      <c r="AK465" s="5">
        <f>IFERROR(vp.tbl[[#This Row],[Dens]]*vp.tbl[[#This Row],[VolumeM3]],"")</f>
        <v>1413130.2915000001</v>
      </c>
      <c r="AL465" s="5">
        <f>IFERROR(vp.tbl[[#This Row],[VP]]*vp.tbl[[#This Row],[VolumeM3]],"")</f>
        <v>103197.76949999999</v>
      </c>
      <c r="AM465" s="4">
        <f>IFERROR((vp.tbl[[#This Row],[VP]]-INDEX(crudeBD.lkup.complete[Mean_VP],MATCH(vp.tbl[[#This Row],[Crude_Breakdown]],crudeBD.lkup.complete[Crude Breakdown],0)))^2,"")</f>
        <v>319.46539596154338</v>
      </c>
      <c r="AN465" s="4">
        <f>IFERROR((vp.tbl[[#This Row],[Dens]]-INDEX(crudeBD.lkup.complete[Mean_Dens],MATCH(vp.tbl[[#This Row],[Crude_Breakdown]],crudeBD.lkup.complete[Crude Breakdown],0)))^2,"")</f>
        <v>60.96763142382602</v>
      </c>
      <c r="AO465" s="4">
        <f>IFERROR((vp.tbl[[#This Row],[Sulf]]-INDEX(crudeBD.lkup.complete[Mean_Sulf],MATCH(vp.tbl[[#This Row],[Crude_Breakdown]],crudeBD.lkup.complete[Crude Breakdown],0)))^2,"")</f>
        <v>0.69734213745115625</v>
      </c>
      <c r="AP465">
        <f>IF(AND(vp.tbl[[#This Row],[SDate]]&gt;=DATE(YEAR(vp.tbl[[#This Row],[SDate]]),5,1),vp.tbl[[#This Row],[SDate]]&lt;=DATE(YEAR(vp.tbl[[#This Row],[SDate]]),9,15)),1,0)</f>
        <v>0</v>
      </c>
      <c r="AQ465" s="15">
        <f>IF(vp.tbl[[#This Row],[SDate]]&lt;DATE(2016,12,1),0,1)</f>
        <v>1</v>
      </c>
    </row>
    <row r="466" spans="1:43" x14ac:dyDescent="0.25">
      <c r="A466">
        <v>465</v>
      </c>
      <c r="B466" t="s">
        <v>49</v>
      </c>
      <c r="C466" t="s">
        <v>49</v>
      </c>
      <c r="D466" t="s">
        <v>103</v>
      </c>
      <c r="F466" s="1">
        <v>42727</v>
      </c>
      <c r="G466" s="2">
        <v>60.8</v>
      </c>
      <c r="H466" s="2"/>
      <c r="I466" s="2">
        <v>2.1</v>
      </c>
      <c r="J466" s="2">
        <v>22</v>
      </c>
      <c r="K466" s="2">
        <v>-7</v>
      </c>
      <c r="L466" s="2">
        <v>854.1</v>
      </c>
      <c r="M466" s="2">
        <v>854.1</v>
      </c>
      <c r="N466" s="2">
        <f ca="1">INDEX(INDIRECT(_xlfn.CONCAT("weather.tbl[",N$1,"]")),MATCH(vp.tbl[[#This Row],[SDate]],weather.tbl[Date],0))</f>
        <v>-9.5500000000000025</v>
      </c>
      <c r="O466" s="2">
        <f ca="1">INDEX(INDIRECT(_xlfn.CONCAT("weather.tbl[",O$1,"]")),MATCH(vp.tbl[[#This Row],[SDate]],weather.tbl[Date],0))</f>
        <v>-11.078571428571427</v>
      </c>
      <c r="P466" s="2">
        <f ca="1">INDEX(INDIRECT(_xlfn.CONCAT("weather.tbl[",P$1,"]")),MATCH(vp.tbl[[#This Row],[SDate]],weather.tbl[Date],0))</f>
        <v>-10.8</v>
      </c>
      <c r="Q466" s="2">
        <f ca="1">INDEX(INDIRECT(_xlfn.CONCAT("weather.tbl[",Q$1,"]")),MATCH(vp.tbl[[#This Row],[SDate]],weather.tbl[Date],0))</f>
        <v>-9.8000000000000007</v>
      </c>
      <c r="R466" s="2">
        <f ca="1">INDEX(INDIRECT(_xlfn.CONCAT("weather.tbl[",R$1,"]")),MATCH(vp.tbl[[#This Row],[SDate]],weather.tbl[Date],0))</f>
        <v>-11.3</v>
      </c>
      <c r="S466" s="2">
        <f ca="1">INDEX(INDIRECT(_xlfn.CONCAT("weather.tbl[",S$1,"]")),MATCH(vp.tbl[[#This Row],[SDate]],weather.tbl[Date],0))</f>
        <v>-8</v>
      </c>
      <c r="T466" s="2">
        <f ca="1">INDEX(INDIRECT(_xlfn.CONCAT("weather.tbl[",T$1,"]")),MATCH(vp.tbl[[#This Row],[SDate]],weather.tbl[Date],0))</f>
        <v>-9.1</v>
      </c>
      <c r="U466" s="2">
        <f ca="1">INDEX(INDIRECT(_xlfn.CONCAT("weather.tbl[",U$1,"]")),MATCH(vp.tbl[[#This Row],[SDate]],weather.tbl[Date],0))</f>
        <v>-8.3000000000000007</v>
      </c>
      <c r="V466" s="2">
        <v>1109.9079999999999</v>
      </c>
      <c r="W466" t="s">
        <v>48</v>
      </c>
      <c r="X466">
        <f>IF(OR(vp.tbl[[#This Row],[Sulf]]="",vp.tbl[[#This Row],[Dens]]=""),1,0)</f>
        <v>0</v>
      </c>
      <c r="Y466">
        <f>IF(vp.tbl[[#This Row],[CrudeType]]="C5+",1,0)</f>
        <v>0</v>
      </c>
      <c r="Z466">
        <f>IF(AND(vp.tbl[[#This Row],[CrudeType]]="Crude",vp.tbl[[#This Row],[Dens]]&lt;=825,vp.tbl[[#This Row],[Sulf]]&gt;0.5,vp.tbl[[#This Row],[Unknown]]=0),1,0)</f>
        <v>0</v>
      </c>
      <c r="AA466">
        <f>IF(AND(vp.tbl[[#This Row],[CrudeType]]="Crude",vp.tbl[[#This Row],[Dens]]&lt;=825,vp.tbl[[#This Row],[Sulf]]&lt;=0.5,vp.tbl[[#This Row],[Unknown]]=0),1,0)</f>
        <v>0</v>
      </c>
      <c r="AB466">
        <f>IF(AND(vp.tbl[[#This Row],[CrudeType]]="Crude",vp.tbl[[#This Row],[Dens]]&gt;825,vp.tbl[[#This Row],[Dens]]&lt;=870,vp.tbl[[#This Row],[Sulf]]&gt;0.5,vp.tbl[[#This Row],[Unknown]]=0),1,0)</f>
        <v>1</v>
      </c>
      <c r="AC466">
        <f>IF(AND(vp.tbl[[#This Row],[CrudeType]]="Crude",vp.tbl[[#This Row],[Dens]]&gt;825,vp.tbl[[#This Row],[Dens]]&lt;=900,vp.tbl[[#This Row],[Sulf]]&lt;=0.5,vp.tbl[[#This Row],[Unknown]]=0),1,0)</f>
        <v>0</v>
      </c>
      <c r="AD466">
        <f>IF(AND(vp.tbl[[#This Row],[CrudeType]]="Crude",vp.tbl[[#This Row],[Dens]]&gt;870,vp.tbl[[#This Row],[Dens]]&lt;=900,vp.tbl[[#This Row],[Sulf]]&gt;0.5,vp.tbl[[#This Row],[Unknown]]=0),1,0)</f>
        <v>0</v>
      </c>
      <c r="AE466">
        <f>IF(AND(vp.tbl[[#This Row],[CrudeType]]="Crude",vp.tbl[[#This Row],[Dens]]&gt;900,vp.tbl[[#This Row],[Sulf]]&lt;=0.5,vp.tbl[[#This Row],[Unknown]]=0),1,0)</f>
        <v>0</v>
      </c>
      <c r="AF466">
        <f>IF(AND(vp.tbl[[#This Row],[CrudeType]]="Crude",vp.tbl[[#This Row],[Dens]]&gt;900,vp.tbl[[#This Row],[Sulf]]&lt;=0.5,vp.tbl[[#This Row],[Unknown]]=0),1,0)</f>
        <v>0</v>
      </c>
      <c r="AG466" t="str">
        <f>INDEX(vp.tbl[[#Headers],[Unknown]:[Heavy_SW]],MATCH(1,vp.tbl[[#This Row],[Unknown]:[Heavy_SW]],0))</f>
        <v>Medium_LSB</v>
      </c>
      <c r="AH466" t="e">
        <f>INDEX([1]!crudeBD.lkup[Number],MATCH(vp.tbl[[#This Row],[Crude_Breakdown]],[1]!crudeBD.lkup[Crude Breakdown],0))</f>
        <v>#REF!</v>
      </c>
      <c r="AI466">
        <f>MONTH(vp.tbl[[#This Row],[SDate]])</f>
        <v>12</v>
      </c>
      <c r="AJ466" s="5">
        <f>IFERROR(vp.tbl[[#This Row],[Sulf]]*vp.tbl[[#This Row],[Net Dens]],"")</f>
        <v>1990742.08788</v>
      </c>
      <c r="AK466" s="5">
        <f>IFERROR(vp.tbl[[#This Row],[Dens]]*vp.tbl[[#This Row],[VolumeM3]],"")</f>
        <v>947972.42279999994</v>
      </c>
      <c r="AL466" s="5">
        <f>IFERROR(vp.tbl[[#This Row],[VP]]*vp.tbl[[#This Row],[VolumeM3]],"")</f>
        <v>67482.406399999993</v>
      </c>
      <c r="AM466" s="4">
        <f>IFERROR((vp.tbl[[#This Row],[VP]]-INDEX(crudeBD.lkup.complete[Mean_VP],MATCH(vp.tbl[[#This Row],[Crude_Breakdown]],crudeBD.lkup.complete[Crude Breakdown],0)))^2,"")</f>
        <v>375.33618077166989</v>
      </c>
      <c r="AN466" s="4">
        <f>IFERROR((vp.tbl[[#This Row],[Dens]]-INDEX(crudeBD.lkup.complete[Mean_Dens],MATCH(vp.tbl[[#This Row],[Crude_Breakdown]],crudeBD.lkup.complete[Crude Breakdown],0)))^2,"")</f>
        <v>77.583985854207782</v>
      </c>
      <c r="AO466" s="4">
        <f>IFERROR((vp.tbl[[#This Row],[Sulf]]-INDEX(crudeBD.lkup.complete[Mean_Sulf],MATCH(vp.tbl[[#This Row],[Crude_Breakdown]],crudeBD.lkup.complete[Crude Breakdown],0)))^2,"")</f>
        <v>0.41611548453976444</v>
      </c>
      <c r="AP466">
        <f>IF(AND(vp.tbl[[#This Row],[SDate]]&gt;=DATE(YEAR(vp.tbl[[#This Row],[SDate]]),5,1),vp.tbl[[#This Row],[SDate]]&lt;=DATE(YEAR(vp.tbl[[#This Row],[SDate]]),9,15)),1,0)</f>
        <v>0</v>
      </c>
      <c r="AQ466" s="15">
        <f>IF(vp.tbl[[#This Row],[SDate]]&lt;DATE(2016,12,1),0,1)</f>
        <v>1</v>
      </c>
    </row>
    <row r="467" spans="1:43" x14ac:dyDescent="0.25">
      <c r="A467">
        <v>466</v>
      </c>
      <c r="B467" t="s">
        <v>49</v>
      </c>
      <c r="C467" t="s">
        <v>49</v>
      </c>
      <c r="D467" t="s">
        <v>104</v>
      </c>
      <c r="F467" s="1">
        <v>42727</v>
      </c>
      <c r="G467" s="2">
        <v>66.3</v>
      </c>
      <c r="H467" s="2"/>
      <c r="I467" s="2">
        <v>1.83</v>
      </c>
      <c r="J467" s="2">
        <v>6</v>
      </c>
      <c r="K467" s="2">
        <v>-7</v>
      </c>
      <c r="L467" s="2">
        <v>860</v>
      </c>
      <c r="M467" s="2">
        <v>860</v>
      </c>
      <c r="N467" s="2">
        <f ca="1">INDEX(INDIRECT(_xlfn.CONCAT("weather.tbl[",N$1,"]")),MATCH(vp.tbl[[#This Row],[SDate]],weather.tbl[Date],0))</f>
        <v>-9.5500000000000025</v>
      </c>
      <c r="O467" s="2">
        <f ca="1">INDEX(INDIRECT(_xlfn.CONCAT("weather.tbl[",O$1,"]")),MATCH(vp.tbl[[#This Row],[SDate]],weather.tbl[Date],0))</f>
        <v>-11.078571428571427</v>
      </c>
      <c r="P467" s="2">
        <f ca="1">INDEX(INDIRECT(_xlfn.CONCAT("weather.tbl[",P$1,"]")),MATCH(vp.tbl[[#This Row],[SDate]],weather.tbl[Date],0))</f>
        <v>-10.8</v>
      </c>
      <c r="Q467" s="2">
        <f ca="1">INDEX(INDIRECT(_xlfn.CONCAT("weather.tbl[",Q$1,"]")),MATCH(vp.tbl[[#This Row],[SDate]],weather.tbl[Date],0))</f>
        <v>-9.8000000000000007</v>
      </c>
      <c r="R467" s="2">
        <f ca="1">INDEX(INDIRECT(_xlfn.CONCAT("weather.tbl[",R$1,"]")),MATCH(vp.tbl[[#This Row],[SDate]],weather.tbl[Date],0))</f>
        <v>-11.3</v>
      </c>
      <c r="S467" s="2">
        <f ca="1">INDEX(INDIRECT(_xlfn.CONCAT("weather.tbl[",S$1,"]")),MATCH(vp.tbl[[#This Row],[SDate]],weather.tbl[Date],0))</f>
        <v>-8</v>
      </c>
      <c r="T467" s="2">
        <f ca="1">INDEX(INDIRECT(_xlfn.CONCAT("weather.tbl[",T$1,"]")),MATCH(vp.tbl[[#This Row],[SDate]],weather.tbl[Date],0))</f>
        <v>-9.1</v>
      </c>
      <c r="U467" s="2">
        <f ca="1">INDEX(INDIRECT(_xlfn.CONCAT("weather.tbl[",U$1,"]")),MATCH(vp.tbl[[#This Row],[SDate]],weather.tbl[Date],0))</f>
        <v>-8.3000000000000007</v>
      </c>
      <c r="V467" s="2">
        <v>673.84900000000005</v>
      </c>
      <c r="W467" t="s">
        <v>48</v>
      </c>
      <c r="X467">
        <f>IF(OR(vp.tbl[[#This Row],[Sulf]]="",vp.tbl[[#This Row],[Dens]]=""),1,0)</f>
        <v>0</v>
      </c>
      <c r="Y467">
        <f>IF(vp.tbl[[#This Row],[CrudeType]]="C5+",1,0)</f>
        <v>0</v>
      </c>
      <c r="Z467">
        <f>IF(AND(vp.tbl[[#This Row],[CrudeType]]="Crude",vp.tbl[[#This Row],[Dens]]&lt;=825,vp.tbl[[#This Row],[Sulf]]&gt;0.5,vp.tbl[[#This Row],[Unknown]]=0),1,0)</f>
        <v>0</v>
      </c>
      <c r="AA467">
        <f>IF(AND(vp.tbl[[#This Row],[CrudeType]]="Crude",vp.tbl[[#This Row],[Dens]]&lt;=825,vp.tbl[[#This Row],[Sulf]]&lt;=0.5,vp.tbl[[#This Row],[Unknown]]=0),1,0)</f>
        <v>0</v>
      </c>
      <c r="AB467">
        <f>IF(AND(vp.tbl[[#This Row],[CrudeType]]="Crude",vp.tbl[[#This Row],[Dens]]&gt;825,vp.tbl[[#This Row],[Dens]]&lt;=870,vp.tbl[[#This Row],[Sulf]]&gt;0.5,vp.tbl[[#This Row],[Unknown]]=0),1,0)</f>
        <v>1</v>
      </c>
      <c r="AC467">
        <f>IF(AND(vp.tbl[[#This Row],[CrudeType]]="Crude",vp.tbl[[#This Row],[Dens]]&gt;825,vp.tbl[[#This Row],[Dens]]&lt;=900,vp.tbl[[#This Row],[Sulf]]&lt;=0.5,vp.tbl[[#This Row],[Unknown]]=0),1,0)</f>
        <v>0</v>
      </c>
      <c r="AD467">
        <f>IF(AND(vp.tbl[[#This Row],[CrudeType]]="Crude",vp.tbl[[#This Row],[Dens]]&gt;870,vp.tbl[[#This Row],[Dens]]&lt;=900,vp.tbl[[#This Row],[Sulf]]&gt;0.5,vp.tbl[[#This Row],[Unknown]]=0),1,0)</f>
        <v>0</v>
      </c>
      <c r="AE467">
        <f>IF(AND(vp.tbl[[#This Row],[CrudeType]]="Crude",vp.tbl[[#This Row],[Dens]]&gt;900,vp.tbl[[#This Row],[Sulf]]&lt;=0.5,vp.tbl[[#This Row],[Unknown]]=0),1,0)</f>
        <v>0</v>
      </c>
      <c r="AF467">
        <f>IF(AND(vp.tbl[[#This Row],[CrudeType]]="Crude",vp.tbl[[#This Row],[Dens]]&gt;900,vp.tbl[[#This Row],[Sulf]]&lt;=0.5,vp.tbl[[#This Row],[Unknown]]=0),1,0)</f>
        <v>0</v>
      </c>
      <c r="AG467" t="str">
        <f>INDEX(vp.tbl[[#Headers],[Unknown]:[Heavy_SW]],MATCH(1,vp.tbl[[#This Row],[Unknown]:[Heavy_SW]],0))</f>
        <v>Medium_LSB</v>
      </c>
      <c r="AH467" t="e">
        <f>INDEX([1]!crudeBD.lkup[Number],MATCH(vp.tbl[[#This Row],[Crude_Breakdown]],[1]!crudeBD.lkup[Crude Breakdown],0))</f>
        <v>#REF!</v>
      </c>
      <c r="AI467">
        <f>MONTH(vp.tbl[[#This Row],[SDate]])</f>
        <v>12</v>
      </c>
      <c r="AJ467" s="5">
        <f>IFERROR(vp.tbl[[#This Row],[Sulf]]*vp.tbl[[#This Row],[Net Dens]],"")</f>
        <v>1060503.5562</v>
      </c>
      <c r="AK467" s="5">
        <f>IFERROR(vp.tbl[[#This Row],[Dens]]*vp.tbl[[#This Row],[VolumeM3]],"")</f>
        <v>579510.14</v>
      </c>
      <c r="AL467" s="5">
        <f>IFERROR(vp.tbl[[#This Row],[VP]]*vp.tbl[[#This Row],[VolumeM3]],"")</f>
        <v>44676.188699999999</v>
      </c>
      <c r="AM467" s="4">
        <f>IFERROR((vp.tbl[[#This Row],[VP]]-INDEX(crudeBD.lkup.complete[Mean_VP],MATCH(vp.tbl[[#This Row],[Crude_Breakdown]],crudeBD.lkup.complete[Crude Breakdown],0)))^2,"")</f>
        <v>192.47663646787279</v>
      </c>
      <c r="AN467" s="4">
        <f>IFERROR((vp.tbl[[#This Row],[Dens]]-INDEX(crudeBD.lkup.complete[Mean_Dens],MATCH(vp.tbl[[#This Row],[Crude_Breakdown]],crudeBD.lkup.complete[Crude Breakdown],0)))^2,"")</f>
        <v>216.33047699345951</v>
      </c>
      <c r="AO467" s="4">
        <f>IFERROR((vp.tbl[[#This Row],[Sulf]]-INDEX(crudeBD.lkup.complete[Mean_Sulf],MATCH(vp.tbl[[#This Row],[Crude_Breakdown]],crudeBD.lkup.complete[Crude Breakdown],0)))^2,"")</f>
        <v>0.14067760934989174</v>
      </c>
      <c r="AP467">
        <f>IF(AND(vp.tbl[[#This Row],[SDate]]&gt;=DATE(YEAR(vp.tbl[[#This Row],[SDate]]),5,1),vp.tbl[[#This Row],[SDate]]&lt;=DATE(YEAR(vp.tbl[[#This Row],[SDate]]),9,15)),1,0)</f>
        <v>0</v>
      </c>
      <c r="AQ467" s="15">
        <f>IF(vp.tbl[[#This Row],[SDate]]&lt;DATE(2016,12,1),0,1)</f>
        <v>1</v>
      </c>
    </row>
    <row r="468" spans="1:43" x14ac:dyDescent="0.25">
      <c r="A468">
        <v>467</v>
      </c>
      <c r="B468" t="s">
        <v>60</v>
      </c>
      <c r="C468" t="s">
        <v>60</v>
      </c>
      <c r="D468" t="s">
        <v>61</v>
      </c>
      <c r="E468" t="s">
        <v>73</v>
      </c>
      <c r="F468" s="1">
        <v>42733</v>
      </c>
      <c r="G468" s="2">
        <v>85.3</v>
      </c>
      <c r="H468" s="2"/>
      <c r="I468" s="2">
        <v>0.97</v>
      </c>
      <c r="J468" s="2">
        <v>2</v>
      </c>
      <c r="K468" s="2">
        <v>-9</v>
      </c>
      <c r="L468" s="2">
        <v>843.4</v>
      </c>
      <c r="M468" s="2">
        <v>843.4</v>
      </c>
      <c r="N468" s="2">
        <f ca="1">INDEX(INDIRECT(_xlfn.CONCAT("weather.tbl[",N$1,"]")),MATCH(vp.tbl[[#This Row],[SDate]],weather.tbl[Date],0))</f>
        <v>-10.200000000000001</v>
      </c>
      <c r="O468" s="2">
        <f ca="1">INDEX(INDIRECT(_xlfn.CONCAT("weather.tbl[",O$1,"]")),MATCH(vp.tbl[[#This Row],[SDate]],weather.tbl[Date],0))</f>
        <v>-12.359523809523809</v>
      </c>
      <c r="P468" s="2">
        <f ca="1">INDEX(INDIRECT(_xlfn.CONCAT("weather.tbl[",P$1,"]")),MATCH(vp.tbl[[#This Row],[SDate]],weather.tbl[Date],0))</f>
        <v>-9.9</v>
      </c>
      <c r="Q468" s="2">
        <f ca="1">INDEX(INDIRECT(_xlfn.CONCAT("weather.tbl[",Q$1,"]")),MATCH(vp.tbl[[#This Row],[SDate]],weather.tbl[Date],0))</f>
        <v>-9.9</v>
      </c>
      <c r="R468" s="2">
        <f ca="1">INDEX(INDIRECT(_xlfn.CONCAT("weather.tbl[",R$1,"]")),MATCH(vp.tbl[[#This Row],[SDate]],weather.tbl[Date],0))</f>
        <v>-16.5</v>
      </c>
      <c r="S468" s="2">
        <f ca="1">INDEX(INDIRECT(_xlfn.CONCAT("weather.tbl[",S$1,"]")),MATCH(vp.tbl[[#This Row],[SDate]],weather.tbl[Date],0))</f>
        <v>-7.5</v>
      </c>
      <c r="T468" s="2">
        <f ca="1">INDEX(INDIRECT(_xlfn.CONCAT("weather.tbl[",T$1,"]")),MATCH(vp.tbl[[#This Row],[SDate]],weather.tbl[Date],0))</f>
        <v>-8.1</v>
      </c>
      <c r="U468" s="2">
        <f ca="1">INDEX(INDIRECT(_xlfn.CONCAT("weather.tbl[",U$1,"]")),MATCH(vp.tbl[[#This Row],[SDate]],weather.tbl[Date],0))</f>
        <v>-9.3000000000000007</v>
      </c>
      <c r="V468" s="2">
        <v>106852.554</v>
      </c>
      <c r="W468" t="s">
        <v>48</v>
      </c>
      <c r="X468">
        <f>IF(OR(vp.tbl[[#This Row],[Sulf]]="",vp.tbl[[#This Row],[Dens]]=""),1,0)</f>
        <v>0</v>
      </c>
      <c r="Y468">
        <f>IF(vp.tbl[[#This Row],[CrudeType]]="C5+",1,0)</f>
        <v>0</v>
      </c>
      <c r="Z468">
        <f>IF(AND(vp.tbl[[#This Row],[CrudeType]]="Crude",vp.tbl[[#This Row],[Dens]]&lt;=825,vp.tbl[[#This Row],[Sulf]]&gt;0.5,vp.tbl[[#This Row],[Unknown]]=0),1,0)</f>
        <v>0</v>
      </c>
      <c r="AA468">
        <f>IF(AND(vp.tbl[[#This Row],[CrudeType]]="Crude",vp.tbl[[#This Row],[Dens]]&lt;=825,vp.tbl[[#This Row],[Sulf]]&lt;=0.5,vp.tbl[[#This Row],[Unknown]]=0),1,0)</f>
        <v>0</v>
      </c>
      <c r="AB468">
        <f>IF(AND(vp.tbl[[#This Row],[CrudeType]]="Crude",vp.tbl[[#This Row],[Dens]]&gt;825,vp.tbl[[#This Row],[Dens]]&lt;=870,vp.tbl[[#This Row],[Sulf]]&gt;0.5,vp.tbl[[#This Row],[Unknown]]=0),1,0)</f>
        <v>1</v>
      </c>
      <c r="AC468">
        <f>IF(AND(vp.tbl[[#This Row],[CrudeType]]="Crude",vp.tbl[[#This Row],[Dens]]&gt;825,vp.tbl[[#This Row],[Dens]]&lt;=900,vp.tbl[[#This Row],[Sulf]]&lt;=0.5,vp.tbl[[#This Row],[Unknown]]=0),1,0)</f>
        <v>0</v>
      </c>
      <c r="AD468">
        <f>IF(AND(vp.tbl[[#This Row],[CrudeType]]="Crude",vp.tbl[[#This Row],[Dens]]&gt;870,vp.tbl[[#This Row],[Dens]]&lt;=900,vp.tbl[[#This Row],[Sulf]]&gt;0.5,vp.tbl[[#This Row],[Unknown]]=0),1,0)</f>
        <v>0</v>
      </c>
      <c r="AE468">
        <f>IF(AND(vp.tbl[[#This Row],[CrudeType]]="Crude",vp.tbl[[#This Row],[Dens]]&gt;900,vp.tbl[[#This Row],[Sulf]]&lt;=0.5,vp.tbl[[#This Row],[Unknown]]=0),1,0)</f>
        <v>0</v>
      </c>
      <c r="AF468">
        <f>IF(AND(vp.tbl[[#This Row],[CrudeType]]="Crude",vp.tbl[[#This Row],[Dens]]&gt;900,vp.tbl[[#This Row],[Sulf]]&lt;=0.5,vp.tbl[[#This Row],[Unknown]]=0),1,0)</f>
        <v>0</v>
      </c>
      <c r="AG468" t="str">
        <f>INDEX(vp.tbl[[#Headers],[Unknown]:[Heavy_SW]],MATCH(1,vp.tbl[[#This Row],[Unknown]:[Heavy_SW]],0))</f>
        <v>Medium_LSB</v>
      </c>
      <c r="AH468" t="e">
        <f>INDEX([1]!crudeBD.lkup[Number],MATCH(vp.tbl[[#This Row],[Crude_Breakdown]],[1]!crudeBD.lkup[Crude Breakdown],0))</f>
        <v>#REF!</v>
      </c>
      <c r="AI468">
        <f>MONTH(vp.tbl[[#This Row],[SDate]])</f>
        <v>12</v>
      </c>
      <c r="AJ468" s="5">
        <f>IFERROR(vp.tbl[[#This Row],[Sulf]]*vp.tbl[[#This Row],[Net Dens]],"")</f>
        <v>87415860.722292006</v>
      </c>
      <c r="AK468" s="5">
        <f>IFERROR(vp.tbl[[#This Row],[Dens]]*vp.tbl[[#This Row],[VolumeM3]],"")</f>
        <v>90119444.043600008</v>
      </c>
      <c r="AL468" s="5">
        <f>IFERROR(vp.tbl[[#This Row],[VP]]*vp.tbl[[#This Row],[VolumeM3]],"")</f>
        <v>9114522.8562000003</v>
      </c>
      <c r="AM468" s="4">
        <f>IFERROR((vp.tbl[[#This Row],[VP]]-INDEX(crudeBD.lkup.complete[Mean_VP],MATCH(vp.tbl[[#This Row],[Crude_Breakdown]],crudeBD.lkup.complete[Crude Breakdown],0)))^2,"")</f>
        <v>26.280028872937379</v>
      </c>
      <c r="AN468" s="4">
        <f>IFERROR((vp.tbl[[#This Row],[Dens]]-INDEX(crudeBD.lkup.complete[Mean_Dens],MATCH(vp.tbl[[#This Row],[Crude_Breakdown]],crudeBD.lkup.complete[Crude Breakdown],0)))^2,"")</f>
        <v>3.5789934491231028</v>
      </c>
      <c r="AO468" s="4">
        <f>IFERROR((vp.tbl[[#This Row],[Sulf]]-INDEX(crudeBD.lkup.complete[Mean_Sulf],MATCH(vp.tbl[[#This Row],[Crude_Breakdown]],crudeBD.lkup.complete[Crude Breakdown],0)))^2,"")</f>
        <v>0.23515696985622339</v>
      </c>
      <c r="AP468">
        <f>IF(AND(vp.tbl[[#This Row],[SDate]]&gt;=DATE(YEAR(vp.tbl[[#This Row],[SDate]]),5,1),vp.tbl[[#This Row],[SDate]]&lt;=DATE(YEAR(vp.tbl[[#This Row],[SDate]]),9,15)),1,0)</f>
        <v>0</v>
      </c>
      <c r="AQ468" s="15">
        <f>IF(vp.tbl[[#This Row],[SDate]]&lt;DATE(2016,12,1),0,1)</f>
        <v>1</v>
      </c>
    </row>
    <row r="469" spans="1:43" x14ac:dyDescent="0.25">
      <c r="A469">
        <v>468</v>
      </c>
      <c r="B469" t="s">
        <v>51</v>
      </c>
      <c r="C469" t="s">
        <v>51</v>
      </c>
      <c r="D469" t="s">
        <v>66</v>
      </c>
      <c r="F469" s="1">
        <v>42733</v>
      </c>
      <c r="G469" s="2">
        <v>97.4</v>
      </c>
      <c r="H469" s="2">
        <v>1.4283999999999999</v>
      </c>
      <c r="I469" s="2">
        <v>1.4283999999999999</v>
      </c>
      <c r="J469" s="2">
        <v>1</v>
      </c>
      <c r="K469" s="2">
        <v>-9</v>
      </c>
      <c r="L469" s="2">
        <v>825.2</v>
      </c>
      <c r="M469" s="2">
        <v>825.2</v>
      </c>
      <c r="N469" s="2">
        <f ca="1">INDEX(INDIRECT(_xlfn.CONCAT("weather.tbl[",N$1,"]")),MATCH(vp.tbl[[#This Row],[SDate]],weather.tbl[Date],0))</f>
        <v>-10.200000000000001</v>
      </c>
      <c r="O469" s="2">
        <f ca="1">INDEX(INDIRECT(_xlfn.CONCAT("weather.tbl[",O$1,"]")),MATCH(vp.tbl[[#This Row],[SDate]],weather.tbl[Date],0))</f>
        <v>-12.359523809523809</v>
      </c>
      <c r="P469" s="2">
        <f ca="1">INDEX(INDIRECT(_xlfn.CONCAT("weather.tbl[",P$1,"]")),MATCH(vp.tbl[[#This Row],[SDate]],weather.tbl[Date],0))</f>
        <v>-9.9</v>
      </c>
      <c r="Q469" s="2">
        <f ca="1">INDEX(INDIRECT(_xlfn.CONCAT("weather.tbl[",Q$1,"]")),MATCH(vp.tbl[[#This Row],[SDate]],weather.tbl[Date],0))</f>
        <v>-9.9</v>
      </c>
      <c r="R469" s="2">
        <f ca="1">INDEX(INDIRECT(_xlfn.CONCAT("weather.tbl[",R$1,"]")),MATCH(vp.tbl[[#This Row],[SDate]],weather.tbl[Date],0))</f>
        <v>-16.5</v>
      </c>
      <c r="S469" s="2">
        <f ca="1">INDEX(INDIRECT(_xlfn.CONCAT("weather.tbl[",S$1,"]")),MATCH(vp.tbl[[#This Row],[SDate]],weather.tbl[Date],0))</f>
        <v>-7.5</v>
      </c>
      <c r="T469" s="2">
        <f ca="1">INDEX(INDIRECT(_xlfn.CONCAT("weather.tbl[",T$1,"]")),MATCH(vp.tbl[[#This Row],[SDate]],weather.tbl[Date],0))</f>
        <v>-8.1</v>
      </c>
      <c r="U469" s="2">
        <f ca="1">INDEX(INDIRECT(_xlfn.CONCAT("weather.tbl[",U$1,"]")),MATCH(vp.tbl[[#This Row],[SDate]],weather.tbl[Date],0))</f>
        <v>-9.3000000000000007</v>
      </c>
      <c r="V469" s="2">
        <v>4410.2439999999997</v>
      </c>
      <c r="W469" t="s">
        <v>48</v>
      </c>
      <c r="X469">
        <f>IF(OR(vp.tbl[[#This Row],[Sulf]]="",vp.tbl[[#This Row],[Dens]]=""),1,0)</f>
        <v>0</v>
      </c>
      <c r="Y469">
        <f>IF(vp.tbl[[#This Row],[CrudeType]]="C5+",1,0)</f>
        <v>0</v>
      </c>
      <c r="Z469">
        <f>IF(AND(vp.tbl[[#This Row],[CrudeType]]="Crude",vp.tbl[[#This Row],[Dens]]&lt;=825,vp.tbl[[#This Row],[Sulf]]&gt;0.5,vp.tbl[[#This Row],[Unknown]]=0),1,0)</f>
        <v>0</v>
      </c>
      <c r="AA469">
        <f>IF(AND(vp.tbl[[#This Row],[CrudeType]]="Crude",vp.tbl[[#This Row],[Dens]]&lt;=825,vp.tbl[[#This Row],[Sulf]]&lt;=0.5,vp.tbl[[#This Row],[Unknown]]=0),1,0)</f>
        <v>0</v>
      </c>
      <c r="AB469">
        <f>IF(AND(vp.tbl[[#This Row],[CrudeType]]="Crude",vp.tbl[[#This Row],[Dens]]&gt;825,vp.tbl[[#This Row],[Dens]]&lt;=870,vp.tbl[[#This Row],[Sulf]]&gt;0.5,vp.tbl[[#This Row],[Unknown]]=0),1,0)</f>
        <v>1</v>
      </c>
      <c r="AC469">
        <f>IF(AND(vp.tbl[[#This Row],[CrudeType]]="Crude",vp.tbl[[#This Row],[Dens]]&gt;825,vp.tbl[[#This Row],[Dens]]&lt;=900,vp.tbl[[#This Row],[Sulf]]&lt;=0.5,vp.tbl[[#This Row],[Unknown]]=0),1,0)</f>
        <v>0</v>
      </c>
      <c r="AD469">
        <f>IF(AND(vp.tbl[[#This Row],[CrudeType]]="Crude",vp.tbl[[#This Row],[Dens]]&gt;870,vp.tbl[[#This Row],[Dens]]&lt;=900,vp.tbl[[#This Row],[Sulf]]&gt;0.5,vp.tbl[[#This Row],[Unknown]]=0),1,0)</f>
        <v>0</v>
      </c>
      <c r="AE469">
        <f>IF(AND(vp.tbl[[#This Row],[CrudeType]]="Crude",vp.tbl[[#This Row],[Dens]]&gt;900,vp.tbl[[#This Row],[Sulf]]&lt;=0.5,vp.tbl[[#This Row],[Unknown]]=0),1,0)</f>
        <v>0</v>
      </c>
      <c r="AF469">
        <f>IF(AND(vp.tbl[[#This Row],[CrudeType]]="Crude",vp.tbl[[#This Row],[Dens]]&gt;900,vp.tbl[[#This Row],[Sulf]]&lt;=0.5,vp.tbl[[#This Row],[Unknown]]=0),1,0)</f>
        <v>0</v>
      </c>
      <c r="AG469" t="str">
        <f>INDEX(vp.tbl[[#Headers],[Unknown]:[Heavy_SW]],MATCH(1,vp.tbl[[#This Row],[Unknown]:[Heavy_SW]],0))</f>
        <v>Medium_LSB</v>
      </c>
      <c r="AH469" t="e">
        <f>INDEX([1]!crudeBD.lkup[Number],MATCH(vp.tbl[[#This Row],[Crude_Breakdown]],[1]!crudeBD.lkup[Crude Breakdown],0))</f>
        <v>#REF!</v>
      </c>
      <c r="AI469">
        <f>MONTH(vp.tbl[[#This Row],[SDate]])</f>
        <v>12</v>
      </c>
      <c r="AJ469" s="5">
        <f>IFERROR(vp.tbl[[#This Row],[Sulf]]*vp.tbl[[#This Row],[Net Dens]],"")</f>
        <v>5198423.7554259198</v>
      </c>
      <c r="AK469" s="5">
        <f>IFERROR(vp.tbl[[#This Row],[Dens]]*vp.tbl[[#This Row],[VolumeM3]],"")</f>
        <v>3639333.3487999998</v>
      </c>
      <c r="AL469" s="5">
        <f>IFERROR(vp.tbl[[#This Row],[VP]]*vp.tbl[[#This Row],[VolumeM3]],"")</f>
        <v>429557.76559999998</v>
      </c>
      <c r="AM469" s="4">
        <f>IFERROR((vp.tbl[[#This Row],[VP]]-INDEX(crudeBD.lkup.complete[Mean_VP],MATCH(vp.tbl[[#This Row],[Crude_Breakdown]],crudeBD.lkup.complete[Crude Breakdown],0)))^2,"")</f>
        <v>296.74903140458406</v>
      </c>
      <c r="AN469" s="4">
        <f>IFERROR((vp.tbl[[#This Row],[Dens]]-INDEX(crudeBD.lkup.complete[Mean_Dens],MATCH(vp.tbl[[#This Row],[Crude_Breakdown]],crudeBD.lkup.complete[Crude Breakdown],0)))^2,"")</f>
        <v>403.68134281617398</v>
      </c>
      <c r="AO469" s="4">
        <f>IFERROR((vp.tbl[[#This Row],[Sulf]]-INDEX(crudeBD.lkup.complete[Mean_Sulf],MATCH(vp.tbl[[#This Row],[Crude_Breakdown]],crudeBD.lkup.complete[Crude Breakdown],0)))^2,"")</f>
        <v>7.0383351191820646E-4</v>
      </c>
      <c r="AP469">
        <f>IF(AND(vp.tbl[[#This Row],[SDate]]&gt;=DATE(YEAR(vp.tbl[[#This Row],[SDate]]),5,1),vp.tbl[[#This Row],[SDate]]&lt;=DATE(YEAR(vp.tbl[[#This Row],[SDate]]),9,15)),1,0)</f>
        <v>0</v>
      </c>
      <c r="AQ469" s="15">
        <f>IF(vp.tbl[[#This Row],[SDate]]&lt;DATE(2016,12,1),0,1)</f>
        <v>1</v>
      </c>
    </row>
    <row r="470" spans="1:43" x14ac:dyDescent="0.25">
      <c r="A470">
        <v>469</v>
      </c>
      <c r="B470" t="s">
        <v>49</v>
      </c>
      <c r="C470" t="s">
        <v>49</v>
      </c>
      <c r="D470" t="s">
        <v>75</v>
      </c>
      <c r="F470" s="1">
        <v>42733</v>
      </c>
      <c r="G470" s="2">
        <v>104.3</v>
      </c>
      <c r="H470" s="2"/>
      <c r="I470" s="2">
        <v>0.13</v>
      </c>
      <c r="J470" s="2">
        <v>10</v>
      </c>
      <c r="K470" s="2">
        <v>-9</v>
      </c>
      <c r="L470" s="2">
        <v>797.7</v>
      </c>
      <c r="M470" s="2">
        <v>797.7</v>
      </c>
      <c r="N470" s="2">
        <f ca="1">INDEX(INDIRECT(_xlfn.CONCAT("weather.tbl[",N$1,"]")),MATCH(vp.tbl[[#This Row],[SDate]],weather.tbl[Date],0))</f>
        <v>-10.200000000000001</v>
      </c>
      <c r="O470" s="2">
        <f ca="1">INDEX(INDIRECT(_xlfn.CONCAT("weather.tbl[",O$1,"]")),MATCH(vp.tbl[[#This Row],[SDate]],weather.tbl[Date],0))</f>
        <v>-12.359523809523809</v>
      </c>
      <c r="P470" s="2">
        <f ca="1">INDEX(INDIRECT(_xlfn.CONCAT("weather.tbl[",P$1,"]")),MATCH(vp.tbl[[#This Row],[SDate]],weather.tbl[Date],0))</f>
        <v>-9.9</v>
      </c>
      <c r="Q470" s="2">
        <f ca="1">INDEX(INDIRECT(_xlfn.CONCAT("weather.tbl[",Q$1,"]")),MATCH(vp.tbl[[#This Row],[SDate]],weather.tbl[Date],0))</f>
        <v>-9.9</v>
      </c>
      <c r="R470" s="2">
        <f ca="1">INDEX(INDIRECT(_xlfn.CONCAT("weather.tbl[",R$1,"]")),MATCH(vp.tbl[[#This Row],[SDate]],weather.tbl[Date],0))</f>
        <v>-16.5</v>
      </c>
      <c r="S470" s="2">
        <f ca="1">INDEX(INDIRECT(_xlfn.CONCAT("weather.tbl[",S$1,"]")),MATCH(vp.tbl[[#This Row],[SDate]],weather.tbl[Date],0))</f>
        <v>-7.5</v>
      </c>
      <c r="T470" s="2">
        <f ca="1">INDEX(INDIRECT(_xlfn.CONCAT("weather.tbl[",T$1,"]")),MATCH(vp.tbl[[#This Row],[SDate]],weather.tbl[Date],0))</f>
        <v>-8.1</v>
      </c>
      <c r="U470" s="2">
        <f ca="1">INDEX(INDIRECT(_xlfn.CONCAT("weather.tbl[",U$1,"]")),MATCH(vp.tbl[[#This Row],[SDate]],weather.tbl[Date],0))</f>
        <v>-9.3000000000000007</v>
      </c>
      <c r="V470" s="2">
        <v>21635.382000000001</v>
      </c>
      <c r="W470" t="s">
        <v>48</v>
      </c>
      <c r="X470">
        <f>IF(OR(vp.tbl[[#This Row],[Sulf]]="",vp.tbl[[#This Row],[Dens]]=""),1,0)</f>
        <v>0</v>
      </c>
      <c r="Y470">
        <f>IF(vp.tbl[[#This Row],[CrudeType]]="C5+",1,0)</f>
        <v>0</v>
      </c>
      <c r="Z470">
        <f>IF(AND(vp.tbl[[#This Row],[CrudeType]]="Crude",vp.tbl[[#This Row],[Dens]]&lt;=825,vp.tbl[[#This Row],[Sulf]]&gt;0.5,vp.tbl[[#This Row],[Unknown]]=0),1,0)</f>
        <v>0</v>
      </c>
      <c r="AA470">
        <f>IF(AND(vp.tbl[[#This Row],[CrudeType]]="Crude",vp.tbl[[#This Row],[Dens]]&lt;=825,vp.tbl[[#This Row],[Sulf]]&lt;=0.5,vp.tbl[[#This Row],[Unknown]]=0),1,0)</f>
        <v>1</v>
      </c>
      <c r="AB470">
        <f>IF(AND(vp.tbl[[#This Row],[CrudeType]]="Crude",vp.tbl[[#This Row],[Dens]]&gt;825,vp.tbl[[#This Row],[Dens]]&lt;=870,vp.tbl[[#This Row],[Sulf]]&gt;0.5,vp.tbl[[#This Row],[Unknown]]=0),1,0)</f>
        <v>0</v>
      </c>
      <c r="AC470">
        <f>IF(AND(vp.tbl[[#This Row],[CrudeType]]="Crude",vp.tbl[[#This Row],[Dens]]&gt;825,vp.tbl[[#This Row],[Dens]]&lt;=900,vp.tbl[[#This Row],[Sulf]]&lt;=0.5,vp.tbl[[#This Row],[Unknown]]=0),1,0)</f>
        <v>0</v>
      </c>
      <c r="AD470">
        <f>IF(AND(vp.tbl[[#This Row],[CrudeType]]="Crude",vp.tbl[[#This Row],[Dens]]&gt;870,vp.tbl[[#This Row],[Dens]]&lt;=900,vp.tbl[[#This Row],[Sulf]]&gt;0.5,vp.tbl[[#This Row],[Unknown]]=0),1,0)</f>
        <v>0</v>
      </c>
      <c r="AE470">
        <f>IF(AND(vp.tbl[[#This Row],[CrudeType]]="Crude",vp.tbl[[#This Row],[Dens]]&gt;900,vp.tbl[[#This Row],[Sulf]]&lt;=0.5,vp.tbl[[#This Row],[Unknown]]=0),1,0)</f>
        <v>0</v>
      </c>
      <c r="AF470">
        <f>IF(AND(vp.tbl[[#This Row],[CrudeType]]="Crude",vp.tbl[[#This Row],[Dens]]&gt;900,vp.tbl[[#This Row],[Sulf]]&lt;=0.5,vp.tbl[[#This Row],[Unknown]]=0),1,0)</f>
        <v>0</v>
      </c>
      <c r="AG470" t="str">
        <f>INDEX(vp.tbl[[#Headers],[Unknown]:[Heavy_SW]],MATCH(1,vp.tbl[[#This Row],[Unknown]:[Heavy_SW]],0))</f>
        <v>Light_SW</v>
      </c>
      <c r="AH470" t="e">
        <f>INDEX([1]!crudeBD.lkup[Number],MATCH(vp.tbl[[#This Row],[Crude_Breakdown]],[1]!crudeBD.lkup[Crude Breakdown],0))</f>
        <v>#REF!</v>
      </c>
      <c r="AI470">
        <f>MONTH(vp.tbl[[#This Row],[SDate]])</f>
        <v>12</v>
      </c>
      <c r="AJ470" s="5">
        <f>IFERROR(vp.tbl[[#This Row],[Sulf]]*vp.tbl[[#This Row],[Net Dens]],"")</f>
        <v>2243610.7487820005</v>
      </c>
      <c r="AK470" s="5">
        <f>IFERROR(vp.tbl[[#This Row],[Dens]]*vp.tbl[[#This Row],[VolumeM3]],"")</f>
        <v>17258544.221400004</v>
      </c>
      <c r="AL470" s="5">
        <f>IFERROR(vp.tbl[[#This Row],[VP]]*vp.tbl[[#This Row],[VolumeM3]],"")</f>
        <v>2256570.3426000001</v>
      </c>
      <c r="AM470" s="4">
        <f>IFERROR((vp.tbl[[#This Row],[VP]]-INDEX(crudeBD.lkup.complete[Mean_VP],MATCH(vp.tbl[[#This Row],[Crude_Breakdown]],crudeBD.lkup.complete[Crude Breakdown],0)))^2,"")</f>
        <v>138.0551307603595</v>
      </c>
      <c r="AN470" s="4">
        <f>IFERROR((vp.tbl[[#This Row],[Dens]]-INDEX(crudeBD.lkup.complete[Mean_Dens],MATCH(vp.tbl[[#This Row],[Crude_Breakdown]],crudeBD.lkup.complete[Crude Breakdown],0)))^2,"")</f>
        <v>112.60389527612983</v>
      </c>
      <c r="AO470" s="4">
        <f>IFERROR((vp.tbl[[#This Row],[Sulf]]-INDEX(crudeBD.lkup.complete[Mean_Sulf],MATCH(vp.tbl[[#This Row],[Crude_Breakdown]],crudeBD.lkup.complete[Crude Breakdown],0)))^2,"")</f>
        <v>1.1287322584467423E-2</v>
      </c>
      <c r="AP470">
        <f>IF(AND(vp.tbl[[#This Row],[SDate]]&gt;=DATE(YEAR(vp.tbl[[#This Row],[SDate]]),5,1),vp.tbl[[#This Row],[SDate]]&lt;=DATE(YEAR(vp.tbl[[#This Row],[SDate]]),9,15)),1,0)</f>
        <v>0</v>
      </c>
      <c r="AQ470" s="15">
        <f>IF(vp.tbl[[#This Row],[SDate]]&lt;DATE(2016,12,1),0,1)</f>
        <v>1</v>
      </c>
    </row>
    <row r="471" spans="1:43" x14ac:dyDescent="0.25">
      <c r="A471">
        <v>470</v>
      </c>
      <c r="B471" t="s">
        <v>62</v>
      </c>
      <c r="C471" t="s">
        <v>62</v>
      </c>
      <c r="D471" t="s">
        <v>79</v>
      </c>
      <c r="F471" s="1">
        <v>42733</v>
      </c>
      <c r="G471" s="2">
        <v>101.4</v>
      </c>
      <c r="H471" s="2"/>
      <c r="I471" s="2">
        <v>0.19</v>
      </c>
      <c r="J471" s="2">
        <v>8</v>
      </c>
      <c r="K471" s="2">
        <v>-9</v>
      </c>
      <c r="L471" s="2">
        <v>799.9</v>
      </c>
      <c r="M471" s="2">
        <v>799.9</v>
      </c>
      <c r="N471" s="2">
        <f ca="1">INDEX(INDIRECT(_xlfn.CONCAT("weather.tbl[",N$1,"]")),MATCH(vp.tbl[[#This Row],[SDate]],weather.tbl[Date],0))</f>
        <v>-10.200000000000001</v>
      </c>
      <c r="O471" s="2">
        <f ca="1">INDEX(INDIRECT(_xlfn.CONCAT("weather.tbl[",O$1,"]")),MATCH(vp.tbl[[#This Row],[SDate]],weather.tbl[Date],0))</f>
        <v>-12.359523809523809</v>
      </c>
      <c r="P471" s="2">
        <f ca="1">INDEX(INDIRECT(_xlfn.CONCAT("weather.tbl[",P$1,"]")),MATCH(vp.tbl[[#This Row],[SDate]],weather.tbl[Date],0))</f>
        <v>-9.9</v>
      </c>
      <c r="Q471" s="2">
        <f ca="1">INDEX(INDIRECT(_xlfn.CONCAT("weather.tbl[",Q$1,"]")),MATCH(vp.tbl[[#This Row],[SDate]],weather.tbl[Date],0))</f>
        <v>-9.9</v>
      </c>
      <c r="R471" s="2">
        <f ca="1">INDEX(INDIRECT(_xlfn.CONCAT("weather.tbl[",R$1,"]")),MATCH(vp.tbl[[#This Row],[SDate]],weather.tbl[Date],0))</f>
        <v>-16.5</v>
      </c>
      <c r="S471" s="2">
        <f ca="1">INDEX(INDIRECT(_xlfn.CONCAT("weather.tbl[",S$1,"]")),MATCH(vp.tbl[[#This Row],[SDate]],weather.tbl[Date],0))</f>
        <v>-7.5</v>
      </c>
      <c r="T471" s="2">
        <f ca="1">INDEX(INDIRECT(_xlfn.CONCAT("weather.tbl[",T$1,"]")),MATCH(vp.tbl[[#This Row],[SDate]],weather.tbl[Date],0))</f>
        <v>-8.1</v>
      </c>
      <c r="U471" s="2">
        <f ca="1">INDEX(INDIRECT(_xlfn.CONCAT("weather.tbl[",U$1,"]")),MATCH(vp.tbl[[#This Row],[SDate]],weather.tbl[Date],0))</f>
        <v>-9.3000000000000007</v>
      </c>
      <c r="V471" s="2">
        <v>13104.25</v>
      </c>
      <c r="W471" t="s">
        <v>48</v>
      </c>
      <c r="X471">
        <f>IF(OR(vp.tbl[[#This Row],[Sulf]]="",vp.tbl[[#This Row],[Dens]]=""),1,0)</f>
        <v>0</v>
      </c>
      <c r="Y471">
        <f>IF(vp.tbl[[#This Row],[CrudeType]]="C5+",1,0)</f>
        <v>0</v>
      </c>
      <c r="Z471">
        <f>IF(AND(vp.tbl[[#This Row],[CrudeType]]="Crude",vp.tbl[[#This Row],[Dens]]&lt;=825,vp.tbl[[#This Row],[Sulf]]&gt;0.5,vp.tbl[[#This Row],[Unknown]]=0),1,0)</f>
        <v>0</v>
      </c>
      <c r="AA471">
        <f>IF(AND(vp.tbl[[#This Row],[CrudeType]]="Crude",vp.tbl[[#This Row],[Dens]]&lt;=825,vp.tbl[[#This Row],[Sulf]]&lt;=0.5,vp.tbl[[#This Row],[Unknown]]=0),1,0)</f>
        <v>1</v>
      </c>
      <c r="AB471">
        <f>IF(AND(vp.tbl[[#This Row],[CrudeType]]="Crude",vp.tbl[[#This Row],[Dens]]&gt;825,vp.tbl[[#This Row],[Dens]]&lt;=870,vp.tbl[[#This Row],[Sulf]]&gt;0.5,vp.tbl[[#This Row],[Unknown]]=0),1,0)</f>
        <v>0</v>
      </c>
      <c r="AC471">
        <f>IF(AND(vp.tbl[[#This Row],[CrudeType]]="Crude",vp.tbl[[#This Row],[Dens]]&gt;825,vp.tbl[[#This Row],[Dens]]&lt;=900,vp.tbl[[#This Row],[Sulf]]&lt;=0.5,vp.tbl[[#This Row],[Unknown]]=0),1,0)</f>
        <v>0</v>
      </c>
      <c r="AD471">
        <f>IF(AND(vp.tbl[[#This Row],[CrudeType]]="Crude",vp.tbl[[#This Row],[Dens]]&gt;870,vp.tbl[[#This Row],[Dens]]&lt;=900,vp.tbl[[#This Row],[Sulf]]&gt;0.5,vp.tbl[[#This Row],[Unknown]]=0),1,0)</f>
        <v>0</v>
      </c>
      <c r="AE471">
        <f>IF(AND(vp.tbl[[#This Row],[CrudeType]]="Crude",vp.tbl[[#This Row],[Dens]]&gt;900,vp.tbl[[#This Row],[Sulf]]&lt;=0.5,vp.tbl[[#This Row],[Unknown]]=0),1,0)</f>
        <v>0</v>
      </c>
      <c r="AF471">
        <f>IF(AND(vp.tbl[[#This Row],[CrudeType]]="Crude",vp.tbl[[#This Row],[Dens]]&gt;900,vp.tbl[[#This Row],[Sulf]]&lt;=0.5,vp.tbl[[#This Row],[Unknown]]=0),1,0)</f>
        <v>0</v>
      </c>
      <c r="AG471" t="str">
        <f>INDEX(vp.tbl[[#Headers],[Unknown]:[Heavy_SW]],MATCH(1,vp.tbl[[#This Row],[Unknown]:[Heavy_SW]],0))</f>
        <v>Light_SW</v>
      </c>
      <c r="AH471" t="e">
        <f>INDEX([1]!crudeBD.lkup[Number],MATCH(vp.tbl[[#This Row],[Crude_Breakdown]],[1]!crudeBD.lkup[Crude Breakdown],0))</f>
        <v>#REF!</v>
      </c>
      <c r="AI471">
        <f>MONTH(vp.tbl[[#This Row],[SDate]])</f>
        <v>12</v>
      </c>
      <c r="AJ471" s="5">
        <f>IFERROR(vp.tbl[[#This Row],[Sulf]]*vp.tbl[[#This Row],[Net Dens]],"")</f>
        <v>1991597.0192499999</v>
      </c>
      <c r="AK471" s="5">
        <f>IFERROR(vp.tbl[[#This Row],[Dens]]*vp.tbl[[#This Row],[VolumeM3]],"")</f>
        <v>10482089.574999999</v>
      </c>
      <c r="AL471" s="5">
        <f>IFERROR(vp.tbl[[#This Row],[VP]]*vp.tbl[[#This Row],[VolumeM3]],"")</f>
        <v>1328770.9500000002</v>
      </c>
      <c r="AM471" s="4">
        <f>IFERROR((vp.tbl[[#This Row],[VP]]-INDEX(crudeBD.lkup.complete[Mean_VP],MATCH(vp.tbl[[#This Row],[Crude_Breakdown]],crudeBD.lkup.complete[Crude Breakdown],0)))^2,"")</f>
        <v>78.316949575690501</v>
      </c>
      <c r="AN471" s="4">
        <f>IFERROR((vp.tbl[[#This Row],[Dens]]-INDEX(crudeBD.lkup.complete[Mean_Dens],MATCH(vp.tbl[[#This Row],[Crude_Breakdown]],crudeBD.lkup.complete[Crude Breakdown],0)))^2,"")</f>
        <v>70.753302941637372</v>
      </c>
      <c r="AO471" s="4">
        <f>IFERROR((vp.tbl[[#This Row],[Sulf]]-INDEX(crudeBD.lkup.complete[Mean_Sulf],MATCH(vp.tbl[[#This Row],[Crude_Breakdown]],crudeBD.lkup.complete[Crude Breakdown],0)))^2,"")</f>
        <v>2.1383051628646554E-3</v>
      </c>
      <c r="AP471">
        <f>IF(AND(vp.tbl[[#This Row],[SDate]]&gt;=DATE(YEAR(vp.tbl[[#This Row],[SDate]]),5,1),vp.tbl[[#This Row],[SDate]]&lt;=DATE(YEAR(vp.tbl[[#This Row],[SDate]]),9,15)),1,0)</f>
        <v>0</v>
      </c>
      <c r="AQ471" s="15">
        <f>IF(vp.tbl[[#This Row],[SDate]]&lt;DATE(2016,12,1),0,1)</f>
        <v>1</v>
      </c>
    </row>
    <row r="472" spans="1:43" x14ac:dyDescent="0.25">
      <c r="A472">
        <v>471</v>
      </c>
      <c r="B472" t="s">
        <v>62</v>
      </c>
      <c r="C472" t="s">
        <v>62</v>
      </c>
      <c r="D472" t="s">
        <v>83</v>
      </c>
      <c r="F472" s="1">
        <v>42733</v>
      </c>
      <c r="G472" s="2">
        <v>89.4</v>
      </c>
      <c r="H472" s="2"/>
      <c r="I472" s="2">
        <v>0.17</v>
      </c>
      <c r="J472" s="2">
        <v>0</v>
      </c>
      <c r="K472" s="2">
        <v>-9</v>
      </c>
      <c r="L472" s="2">
        <v>806.8</v>
      </c>
      <c r="M472" s="2">
        <v>806.8</v>
      </c>
      <c r="N472" s="2">
        <f ca="1">INDEX(INDIRECT(_xlfn.CONCAT("weather.tbl[",N$1,"]")),MATCH(vp.tbl[[#This Row],[SDate]],weather.tbl[Date],0))</f>
        <v>-10.200000000000001</v>
      </c>
      <c r="O472" s="2">
        <f ca="1">INDEX(INDIRECT(_xlfn.CONCAT("weather.tbl[",O$1,"]")),MATCH(vp.tbl[[#This Row],[SDate]],weather.tbl[Date],0))</f>
        <v>-12.359523809523809</v>
      </c>
      <c r="P472" s="2">
        <f ca="1">INDEX(INDIRECT(_xlfn.CONCAT("weather.tbl[",P$1,"]")),MATCH(vp.tbl[[#This Row],[SDate]],weather.tbl[Date],0))</f>
        <v>-9.9</v>
      </c>
      <c r="Q472" s="2">
        <f ca="1">INDEX(INDIRECT(_xlfn.CONCAT("weather.tbl[",Q$1,"]")),MATCH(vp.tbl[[#This Row],[SDate]],weather.tbl[Date],0))</f>
        <v>-9.9</v>
      </c>
      <c r="R472" s="2">
        <f ca="1">INDEX(INDIRECT(_xlfn.CONCAT("weather.tbl[",R$1,"]")),MATCH(vp.tbl[[#This Row],[SDate]],weather.tbl[Date],0))</f>
        <v>-16.5</v>
      </c>
      <c r="S472" s="2">
        <f ca="1">INDEX(INDIRECT(_xlfn.CONCAT("weather.tbl[",S$1,"]")),MATCH(vp.tbl[[#This Row],[SDate]],weather.tbl[Date],0))</f>
        <v>-7.5</v>
      </c>
      <c r="T472" s="2">
        <f ca="1">INDEX(INDIRECT(_xlfn.CONCAT("weather.tbl[",T$1,"]")),MATCH(vp.tbl[[#This Row],[SDate]],weather.tbl[Date],0))</f>
        <v>-8.1</v>
      </c>
      <c r="U472" s="2">
        <f ca="1">INDEX(INDIRECT(_xlfn.CONCAT("weather.tbl[",U$1,"]")),MATCH(vp.tbl[[#This Row],[SDate]],weather.tbl[Date],0))</f>
        <v>-9.3000000000000007</v>
      </c>
      <c r="V472" s="2">
        <v>9482.9609999999993</v>
      </c>
      <c r="W472" t="s">
        <v>48</v>
      </c>
      <c r="X472">
        <f>IF(OR(vp.tbl[[#This Row],[Sulf]]="",vp.tbl[[#This Row],[Dens]]=""),1,0)</f>
        <v>0</v>
      </c>
      <c r="Y472">
        <f>IF(vp.tbl[[#This Row],[CrudeType]]="C5+",1,0)</f>
        <v>0</v>
      </c>
      <c r="Z472">
        <f>IF(AND(vp.tbl[[#This Row],[CrudeType]]="Crude",vp.tbl[[#This Row],[Dens]]&lt;=825,vp.tbl[[#This Row],[Sulf]]&gt;0.5,vp.tbl[[#This Row],[Unknown]]=0),1,0)</f>
        <v>0</v>
      </c>
      <c r="AA472">
        <f>IF(AND(vp.tbl[[#This Row],[CrudeType]]="Crude",vp.tbl[[#This Row],[Dens]]&lt;=825,vp.tbl[[#This Row],[Sulf]]&lt;=0.5,vp.tbl[[#This Row],[Unknown]]=0),1,0)</f>
        <v>1</v>
      </c>
      <c r="AB472">
        <f>IF(AND(vp.tbl[[#This Row],[CrudeType]]="Crude",vp.tbl[[#This Row],[Dens]]&gt;825,vp.tbl[[#This Row],[Dens]]&lt;=870,vp.tbl[[#This Row],[Sulf]]&gt;0.5,vp.tbl[[#This Row],[Unknown]]=0),1,0)</f>
        <v>0</v>
      </c>
      <c r="AC472">
        <f>IF(AND(vp.tbl[[#This Row],[CrudeType]]="Crude",vp.tbl[[#This Row],[Dens]]&gt;825,vp.tbl[[#This Row],[Dens]]&lt;=900,vp.tbl[[#This Row],[Sulf]]&lt;=0.5,vp.tbl[[#This Row],[Unknown]]=0),1,0)</f>
        <v>0</v>
      </c>
      <c r="AD472">
        <f>IF(AND(vp.tbl[[#This Row],[CrudeType]]="Crude",vp.tbl[[#This Row],[Dens]]&gt;870,vp.tbl[[#This Row],[Dens]]&lt;=900,vp.tbl[[#This Row],[Sulf]]&gt;0.5,vp.tbl[[#This Row],[Unknown]]=0),1,0)</f>
        <v>0</v>
      </c>
      <c r="AE472">
        <f>IF(AND(vp.tbl[[#This Row],[CrudeType]]="Crude",vp.tbl[[#This Row],[Dens]]&gt;900,vp.tbl[[#This Row],[Sulf]]&lt;=0.5,vp.tbl[[#This Row],[Unknown]]=0),1,0)</f>
        <v>0</v>
      </c>
      <c r="AF472">
        <f>IF(AND(vp.tbl[[#This Row],[CrudeType]]="Crude",vp.tbl[[#This Row],[Dens]]&gt;900,vp.tbl[[#This Row],[Sulf]]&lt;=0.5,vp.tbl[[#This Row],[Unknown]]=0),1,0)</f>
        <v>0</v>
      </c>
      <c r="AG472" t="str">
        <f>INDEX(vp.tbl[[#Headers],[Unknown]:[Heavy_SW]],MATCH(1,vp.tbl[[#This Row],[Unknown]:[Heavy_SW]],0))</f>
        <v>Light_SW</v>
      </c>
      <c r="AH472" t="e">
        <f>INDEX([1]!crudeBD.lkup[Number],MATCH(vp.tbl[[#This Row],[Crude_Breakdown]],[1]!crudeBD.lkup[Crude Breakdown],0))</f>
        <v>#REF!</v>
      </c>
      <c r="AI472">
        <f>MONTH(vp.tbl[[#This Row],[SDate]])</f>
        <v>12</v>
      </c>
      <c r="AJ472" s="5">
        <f>IFERROR(vp.tbl[[#This Row],[Sulf]]*vp.tbl[[#This Row],[Net Dens]],"")</f>
        <v>1300644.9989159999</v>
      </c>
      <c r="AK472" s="5">
        <f>IFERROR(vp.tbl[[#This Row],[Dens]]*vp.tbl[[#This Row],[VolumeM3]],"")</f>
        <v>7650852.934799999</v>
      </c>
      <c r="AL472" s="5">
        <f>IFERROR(vp.tbl[[#This Row],[VP]]*vp.tbl[[#This Row],[VolumeM3]],"")</f>
        <v>847776.71340000001</v>
      </c>
      <c r="AM472" s="4">
        <f>IFERROR((vp.tbl[[#This Row],[VP]]-INDEX(crudeBD.lkup.complete[Mean_VP],MATCH(vp.tbl[[#This Row],[Crude_Breakdown]],crudeBD.lkup.complete[Crude Breakdown],0)))^2,"")</f>
        <v>9.9244757080938424</v>
      </c>
      <c r="AN472" s="4">
        <f>IFERROR((vp.tbl[[#This Row],[Dens]]-INDEX(crudeBD.lkup.complete[Mean_Dens],MATCH(vp.tbl[[#This Row],[Crude_Breakdown]],crudeBD.lkup.complete[Crude Breakdown],0)))^2,"")</f>
        <v>2.2846269834519899</v>
      </c>
      <c r="AO472" s="4">
        <f>IFERROR((vp.tbl[[#This Row],[Sulf]]-INDEX(crudeBD.lkup.complete[Mean_Sulf],MATCH(vp.tbl[[#This Row],[Crude_Breakdown]],crudeBD.lkup.complete[Crude Breakdown],0)))^2,"")</f>
        <v>4.3879776367322437E-3</v>
      </c>
      <c r="AP472">
        <f>IF(AND(vp.tbl[[#This Row],[SDate]]&gt;=DATE(YEAR(vp.tbl[[#This Row],[SDate]]),5,1),vp.tbl[[#This Row],[SDate]]&lt;=DATE(YEAR(vp.tbl[[#This Row],[SDate]]),9,15)),1,0)</f>
        <v>0</v>
      </c>
      <c r="AQ472" s="15">
        <f>IF(vp.tbl[[#This Row],[SDate]]&lt;DATE(2016,12,1),0,1)</f>
        <v>1</v>
      </c>
    </row>
    <row r="473" spans="1:43" x14ac:dyDescent="0.25">
      <c r="A473">
        <v>472</v>
      </c>
      <c r="B473" t="s">
        <v>49</v>
      </c>
      <c r="C473" t="s">
        <v>49</v>
      </c>
      <c r="D473" t="s">
        <v>99</v>
      </c>
      <c r="F473" s="1">
        <v>42733</v>
      </c>
      <c r="G473" s="2">
        <v>100.2</v>
      </c>
      <c r="H473" s="2"/>
      <c r="I473" s="2">
        <v>0.33</v>
      </c>
      <c r="J473" s="2">
        <v>0</v>
      </c>
      <c r="K473" s="2">
        <v>-9</v>
      </c>
      <c r="L473" s="2">
        <v>809.7</v>
      </c>
      <c r="M473" s="2">
        <v>809.7</v>
      </c>
      <c r="N473" s="2">
        <f ca="1">INDEX(INDIRECT(_xlfn.CONCAT("weather.tbl[",N$1,"]")),MATCH(vp.tbl[[#This Row],[SDate]],weather.tbl[Date],0))</f>
        <v>-10.200000000000001</v>
      </c>
      <c r="O473" s="2">
        <f ca="1">INDEX(INDIRECT(_xlfn.CONCAT("weather.tbl[",O$1,"]")),MATCH(vp.tbl[[#This Row],[SDate]],weather.tbl[Date],0))</f>
        <v>-12.359523809523809</v>
      </c>
      <c r="P473" s="2">
        <f ca="1">INDEX(INDIRECT(_xlfn.CONCAT("weather.tbl[",P$1,"]")),MATCH(vp.tbl[[#This Row],[SDate]],weather.tbl[Date],0))</f>
        <v>-9.9</v>
      </c>
      <c r="Q473" s="2">
        <f ca="1">INDEX(INDIRECT(_xlfn.CONCAT("weather.tbl[",Q$1,"]")),MATCH(vp.tbl[[#This Row],[SDate]],weather.tbl[Date],0))</f>
        <v>-9.9</v>
      </c>
      <c r="R473" s="2">
        <f ca="1">INDEX(INDIRECT(_xlfn.CONCAT("weather.tbl[",R$1,"]")),MATCH(vp.tbl[[#This Row],[SDate]],weather.tbl[Date],0))</f>
        <v>-16.5</v>
      </c>
      <c r="S473" s="2">
        <f ca="1">INDEX(INDIRECT(_xlfn.CONCAT("weather.tbl[",S$1,"]")),MATCH(vp.tbl[[#This Row],[SDate]],weather.tbl[Date],0))</f>
        <v>-7.5</v>
      </c>
      <c r="T473" s="2">
        <f ca="1">INDEX(INDIRECT(_xlfn.CONCAT("weather.tbl[",T$1,"]")),MATCH(vp.tbl[[#This Row],[SDate]],weather.tbl[Date],0))</f>
        <v>-8.1</v>
      </c>
      <c r="U473" s="2">
        <f ca="1">INDEX(INDIRECT(_xlfn.CONCAT("weather.tbl[",U$1,"]")),MATCH(vp.tbl[[#This Row],[SDate]],weather.tbl[Date],0))</f>
        <v>-9.3000000000000007</v>
      </c>
      <c r="V473" s="2">
        <v>2747.39</v>
      </c>
      <c r="W473" t="s">
        <v>48</v>
      </c>
      <c r="X473">
        <f>IF(OR(vp.tbl[[#This Row],[Sulf]]="",vp.tbl[[#This Row],[Dens]]=""),1,0)</f>
        <v>0</v>
      </c>
      <c r="Y473">
        <f>IF(vp.tbl[[#This Row],[CrudeType]]="C5+",1,0)</f>
        <v>0</v>
      </c>
      <c r="Z473">
        <f>IF(AND(vp.tbl[[#This Row],[CrudeType]]="Crude",vp.tbl[[#This Row],[Dens]]&lt;=825,vp.tbl[[#This Row],[Sulf]]&gt;0.5,vp.tbl[[#This Row],[Unknown]]=0),1,0)</f>
        <v>0</v>
      </c>
      <c r="AA473">
        <f>IF(AND(vp.tbl[[#This Row],[CrudeType]]="Crude",vp.tbl[[#This Row],[Dens]]&lt;=825,vp.tbl[[#This Row],[Sulf]]&lt;=0.5,vp.tbl[[#This Row],[Unknown]]=0),1,0)</f>
        <v>1</v>
      </c>
      <c r="AB473">
        <f>IF(AND(vp.tbl[[#This Row],[CrudeType]]="Crude",vp.tbl[[#This Row],[Dens]]&gt;825,vp.tbl[[#This Row],[Dens]]&lt;=870,vp.tbl[[#This Row],[Sulf]]&gt;0.5,vp.tbl[[#This Row],[Unknown]]=0),1,0)</f>
        <v>0</v>
      </c>
      <c r="AC473">
        <f>IF(AND(vp.tbl[[#This Row],[CrudeType]]="Crude",vp.tbl[[#This Row],[Dens]]&gt;825,vp.tbl[[#This Row],[Dens]]&lt;=900,vp.tbl[[#This Row],[Sulf]]&lt;=0.5,vp.tbl[[#This Row],[Unknown]]=0),1,0)</f>
        <v>0</v>
      </c>
      <c r="AD473">
        <f>IF(AND(vp.tbl[[#This Row],[CrudeType]]="Crude",vp.tbl[[#This Row],[Dens]]&gt;870,vp.tbl[[#This Row],[Dens]]&lt;=900,vp.tbl[[#This Row],[Sulf]]&gt;0.5,vp.tbl[[#This Row],[Unknown]]=0),1,0)</f>
        <v>0</v>
      </c>
      <c r="AE473">
        <f>IF(AND(vp.tbl[[#This Row],[CrudeType]]="Crude",vp.tbl[[#This Row],[Dens]]&gt;900,vp.tbl[[#This Row],[Sulf]]&lt;=0.5,vp.tbl[[#This Row],[Unknown]]=0),1,0)</f>
        <v>0</v>
      </c>
      <c r="AF473">
        <f>IF(AND(vp.tbl[[#This Row],[CrudeType]]="Crude",vp.tbl[[#This Row],[Dens]]&gt;900,vp.tbl[[#This Row],[Sulf]]&lt;=0.5,vp.tbl[[#This Row],[Unknown]]=0),1,0)</f>
        <v>0</v>
      </c>
      <c r="AG473" t="str">
        <f>INDEX(vp.tbl[[#Headers],[Unknown]:[Heavy_SW]],MATCH(1,vp.tbl[[#This Row],[Unknown]:[Heavy_SW]],0))</f>
        <v>Light_SW</v>
      </c>
      <c r="AH473" t="e">
        <f>INDEX([1]!crudeBD.lkup[Number],MATCH(vp.tbl[[#This Row],[Crude_Breakdown]],[1]!crudeBD.lkup[Crude Breakdown],0))</f>
        <v>#REF!</v>
      </c>
      <c r="AI473">
        <f>MONTH(vp.tbl[[#This Row],[SDate]])</f>
        <v>12</v>
      </c>
      <c r="AJ473" s="5">
        <f>IFERROR(vp.tbl[[#This Row],[Sulf]]*vp.tbl[[#This Row],[Net Dens]],"")</f>
        <v>734105.35539000004</v>
      </c>
      <c r="AK473" s="5">
        <f>IFERROR(vp.tbl[[#This Row],[Dens]]*vp.tbl[[#This Row],[VolumeM3]],"")</f>
        <v>2224561.6830000002</v>
      </c>
      <c r="AL473" s="5">
        <f>IFERROR(vp.tbl[[#This Row],[VP]]*vp.tbl[[#This Row],[VolumeM3]],"")</f>
        <v>275288.478</v>
      </c>
      <c r="AM473" s="4">
        <f>IFERROR((vp.tbl[[#This Row],[VP]]-INDEX(crudeBD.lkup.complete[Mean_VP],MATCH(vp.tbl[[#This Row],[Crude_Breakdown]],crudeBD.lkup.complete[Crude Breakdown],0)))^2,"")</f>
        <v>58.517702188930798</v>
      </c>
      <c r="AN473" s="4">
        <f>IFERROR((vp.tbl[[#This Row],[Dens]]-INDEX(crudeBD.lkup.complete[Mean_Dens],MATCH(vp.tbl[[#This Row],[Crude_Breakdown]],crudeBD.lkup.complete[Crude Breakdown],0)))^2,"")</f>
        <v>1.9279370879828619</v>
      </c>
      <c r="AO473" s="4">
        <f>IFERROR((vp.tbl[[#This Row],[Sulf]]-INDEX(crudeBD.lkup.complete[Mean_Sulf],MATCH(vp.tbl[[#This Row],[Crude_Breakdown]],crudeBD.lkup.complete[Crude Breakdown],0)))^2,"")</f>
        <v>8.7905978457915313E-3</v>
      </c>
      <c r="AP473">
        <f>IF(AND(vp.tbl[[#This Row],[SDate]]&gt;=DATE(YEAR(vp.tbl[[#This Row],[SDate]]),5,1),vp.tbl[[#This Row],[SDate]]&lt;=DATE(YEAR(vp.tbl[[#This Row],[SDate]]),9,15)),1,0)</f>
        <v>0</v>
      </c>
      <c r="AQ473" s="15">
        <f>IF(vp.tbl[[#This Row],[SDate]]&lt;DATE(2016,12,1),0,1)</f>
        <v>1</v>
      </c>
    </row>
    <row r="474" spans="1:43" x14ac:dyDescent="0.25">
      <c r="A474">
        <v>473</v>
      </c>
      <c r="B474" t="s">
        <v>49</v>
      </c>
      <c r="C474" t="s">
        <v>49</v>
      </c>
      <c r="D474" t="s">
        <v>67</v>
      </c>
      <c r="F474" s="1">
        <v>42733</v>
      </c>
      <c r="G474" s="2">
        <v>109.2</v>
      </c>
      <c r="H474" s="2"/>
      <c r="I474" s="2">
        <v>0.2</v>
      </c>
      <c r="J474" s="2">
        <v>5</v>
      </c>
      <c r="K474" s="2">
        <v>-9</v>
      </c>
      <c r="L474" s="2">
        <v>817.7</v>
      </c>
      <c r="M474" s="2">
        <v>817.7</v>
      </c>
      <c r="N474" s="2">
        <f ca="1">INDEX(INDIRECT(_xlfn.CONCAT("weather.tbl[",N$1,"]")),MATCH(vp.tbl[[#This Row],[SDate]],weather.tbl[Date],0))</f>
        <v>-10.200000000000001</v>
      </c>
      <c r="O474" s="2">
        <f ca="1">INDEX(INDIRECT(_xlfn.CONCAT("weather.tbl[",O$1,"]")),MATCH(vp.tbl[[#This Row],[SDate]],weather.tbl[Date],0))</f>
        <v>-12.359523809523809</v>
      </c>
      <c r="P474" s="2">
        <f ca="1">INDEX(INDIRECT(_xlfn.CONCAT("weather.tbl[",P$1,"]")),MATCH(vp.tbl[[#This Row],[SDate]],weather.tbl[Date],0))</f>
        <v>-9.9</v>
      </c>
      <c r="Q474" s="2">
        <f ca="1">INDEX(INDIRECT(_xlfn.CONCAT("weather.tbl[",Q$1,"]")),MATCH(vp.tbl[[#This Row],[SDate]],weather.tbl[Date],0))</f>
        <v>-9.9</v>
      </c>
      <c r="R474" s="2">
        <f ca="1">INDEX(INDIRECT(_xlfn.CONCAT("weather.tbl[",R$1,"]")),MATCH(vp.tbl[[#This Row],[SDate]],weather.tbl[Date],0))</f>
        <v>-16.5</v>
      </c>
      <c r="S474" s="2">
        <f ca="1">INDEX(INDIRECT(_xlfn.CONCAT("weather.tbl[",S$1,"]")),MATCH(vp.tbl[[#This Row],[SDate]],weather.tbl[Date],0))</f>
        <v>-7.5</v>
      </c>
      <c r="T474" s="2">
        <f ca="1">INDEX(INDIRECT(_xlfn.CONCAT("weather.tbl[",T$1,"]")),MATCH(vp.tbl[[#This Row],[SDate]],weather.tbl[Date],0))</f>
        <v>-8.1</v>
      </c>
      <c r="U474" s="2">
        <f ca="1">INDEX(INDIRECT(_xlfn.CONCAT("weather.tbl[",U$1,"]")),MATCH(vp.tbl[[#This Row],[SDate]],weather.tbl[Date],0))</f>
        <v>-9.3000000000000007</v>
      </c>
      <c r="V474" s="2">
        <v>75984.024999999994</v>
      </c>
      <c r="W474" t="s">
        <v>48</v>
      </c>
      <c r="X474">
        <f>IF(OR(vp.tbl[[#This Row],[Sulf]]="",vp.tbl[[#This Row],[Dens]]=""),1,0)</f>
        <v>0</v>
      </c>
      <c r="Y474">
        <f>IF(vp.tbl[[#This Row],[CrudeType]]="C5+",1,0)</f>
        <v>0</v>
      </c>
      <c r="Z474">
        <f>IF(AND(vp.tbl[[#This Row],[CrudeType]]="Crude",vp.tbl[[#This Row],[Dens]]&lt;=825,vp.tbl[[#This Row],[Sulf]]&gt;0.5,vp.tbl[[#This Row],[Unknown]]=0),1,0)</f>
        <v>0</v>
      </c>
      <c r="AA474">
        <f>IF(AND(vp.tbl[[#This Row],[CrudeType]]="Crude",vp.tbl[[#This Row],[Dens]]&lt;=825,vp.tbl[[#This Row],[Sulf]]&lt;=0.5,vp.tbl[[#This Row],[Unknown]]=0),1,0)</f>
        <v>1</v>
      </c>
      <c r="AB474">
        <f>IF(AND(vp.tbl[[#This Row],[CrudeType]]="Crude",vp.tbl[[#This Row],[Dens]]&gt;825,vp.tbl[[#This Row],[Dens]]&lt;=870,vp.tbl[[#This Row],[Sulf]]&gt;0.5,vp.tbl[[#This Row],[Unknown]]=0),1,0)</f>
        <v>0</v>
      </c>
      <c r="AC474">
        <f>IF(AND(vp.tbl[[#This Row],[CrudeType]]="Crude",vp.tbl[[#This Row],[Dens]]&gt;825,vp.tbl[[#This Row],[Dens]]&lt;=900,vp.tbl[[#This Row],[Sulf]]&lt;=0.5,vp.tbl[[#This Row],[Unknown]]=0),1,0)</f>
        <v>0</v>
      </c>
      <c r="AD474">
        <f>IF(AND(vp.tbl[[#This Row],[CrudeType]]="Crude",vp.tbl[[#This Row],[Dens]]&gt;870,vp.tbl[[#This Row],[Dens]]&lt;=900,vp.tbl[[#This Row],[Sulf]]&gt;0.5,vp.tbl[[#This Row],[Unknown]]=0),1,0)</f>
        <v>0</v>
      </c>
      <c r="AE474">
        <f>IF(AND(vp.tbl[[#This Row],[CrudeType]]="Crude",vp.tbl[[#This Row],[Dens]]&gt;900,vp.tbl[[#This Row],[Sulf]]&lt;=0.5,vp.tbl[[#This Row],[Unknown]]=0),1,0)</f>
        <v>0</v>
      </c>
      <c r="AF474">
        <f>IF(AND(vp.tbl[[#This Row],[CrudeType]]="Crude",vp.tbl[[#This Row],[Dens]]&gt;900,vp.tbl[[#This Row],[Sulf]]&lt;=0.5,vp.tbl[[#This Row],[Unknown]]=0),1,0)</f>
        <v>0</v>
      </c>
      <c r="AG474" t="str">
        <f>INDEX(vp.tbl[[#Headers],[Unknown]:[Heavy_SW]],MATCH(1,vp.tbl[[#This Row],[Unknown]:[Heavy_SW]],0))</f>
        <v>Light_SW</v>
      </c>
      <c r="AH474" t="e">
        <f>INDEX([1]!crudeBD.lkup[Number],MATCH(vp.tbl[[#This Row],[Crude_Breakdown]],[1]!crudeBD.lkup[Crude Breakdown],0))</f>
        <v>#REF!</v>
      </c>
      <c r="AI474">
        <f>MONTH(vp.tbl[[#This Row],[SDate]])</f>
        <v>12</v>
      </c>
      <c r="AJ474" s="5">
        <f>IFERROR(vp.tbl[[#This Row],[Sulf]]*vp.tbl[[#This Row],[Net Dens]],"")</f>
        <v>12426427.4485</v>
      </c>
      <c r="AK474" s="5">
        <f>IFERROR(vp.tbl[[#This Row],[Dens]]*vp.tbl[[#This Row],[VolumeM3]],"")</f>
        <v>62132137.2425</v>
      </c>
      <c r="AL474" s="5">
        <f>IFERROR(vp.tbl[[#This Row],[VP]]*vp.tbl[[#This Row],[VolumeM3]],"")</f>
        <v>8297455.5299999993</v>
      </c>
      <c r="AM474" s="4">
        <f>IFERROR((vp.tbl[[#This Row],[VP]]-INDEX(crudeBD.lkup.complete[Mean_VP],MATCH(vp.tbl[[#This Row],[Crude_Breakdown]],crudeBD.lkup.complete[Crude Breakdown],0)))^2,"")</f>
        <v>277.21205758962822</v>
      </c>
      <c r="AN474" s="4">
        <f>IFERROR((vp.tbl[[#This Row],[Dens]]-INDEX(crudeBD.lkup.complete[Mean_Dens],MATCH(vp.tbl[[#This Row],[Crude_Breakdown]],crudeBD.lkup.complete[Crude Breakdown],0)))^2,"")</f>
        <v>88.143964962551536</v>
      </c>
      <c r="AO474" s="4">
        <f>IFERROR((vp.tbl[[#This Row],[Sulf]]-INDEX(crudeBD.lkup.complete[Mean_Sulf],MATCH(vp.tbl[[#This Row],[Crude_Breakdown]],crudeBD.lkup.complete[Crude Breakdown],0)))^2,"")</f>
        <v>1.3134689259308601E-3</v>
      </c>
      <c r="AP474">
        <f>IF(AND(vp.tbl[[#This Row],[SDate]]&gt;=DATE(YEAR(vp.tbl[[#This Row],[SDate]]),5,1),vp.tbl[[#This Row],[SDate]]&lt;=DATE(YEAR(vp.tbl[[#This Row],[SDate]]),9,15)),1,0)</f>
        <v>0</v>
      </c>
      <c r="AQ474" s="15">
        <f>IF(vp.tbl[[#This Row],[SDate]]&lt;DATE(2016,12,1),0,1)</f>
        <v>1</v>
      </c>
    </row>
    <row r="475" spans="1:43" x14ac:dyDescent="0.25">
      <c r="A475">
        <v>474</v>
      </c>
      <c r="B475" t="s">
        <v>60</v>
      </c>
      <c r="C475" t="s">
        <v>60</v>
      </c>
      <c r="D475" t="s">
        <v>61</v>
      </c>
      <c r="E475" t="s">
        <v>55</v>
      </c>
      <c r="F475" s="1">
        <v>42733</v>
      </c>
      <c r="G475" s="2">
        <v>104.2</v>
      </c>
      <c r="H475" s="2"/>
      <c r="I475" s="2">
        <v>0.97</v>
      </c>
      <c r="J475" s="2">
        <v>5</v>
      </c>
      <c r="K475" s="2">
        <v>-9</v>
      </c>
      <c r="L475" s="2">
        <v>850.3</v>
      </c>
      <c r="M475" s="2">
        <v>850.3</v>
      </c>
      <c r="N475" s="2">
        <f ca="1">INDEX(INDIRECT(_xlfn.CONCAT("weather.tbl[",N$1,"]")),MATCH(vp.tbl[[#This Row],[SDate]],weather.tbl[Date],0))</f>
        <v>-10.200000000000001</v>
      </c>
      <c r="O475" s="2">
        <f ca="1">INDEX(INDIRECT(_xlfn.CONCAT("weather.tbl[",O$1,"]")),MATCH(vp.tbl[[#This Row],[SDate]],weather.tbl[Date],0))</f>
        <v>-12.359523809523809</v>
      </c>
      <c r="P475" s="2">
        <f ca="1">INDEX(INDIRECT(_xlfn.CONCAT("weather.tbl[",P$1,"]")),MATCH(vp.tbl[[#This Row],[SDate]],weather.tbl[Date],0))</f>
        <v>-9.9</v>
      </c>
      <c r="Q475" s="2">
        <f ca="1">INDEX(INDIRECT(_xlfn.CONCAT("weather.tbl[",Q$1,"]")),MATCH(vp.tbl[[#This Row],[SDate]],weather.tbl[Date],0))</f>
        <v>-9.9</v>
      </c>
      <c r="R475" s="2">
        <f ca="1">INDEX(INDIRECT(_xlfn.CONCAT("weather.tbl[",R$1,"]")),MATCH(vp.tbl[[#This Row],[SDate]],weather.tbl[Date],0))</f>
        <v>-16.5</v>
      </c>
      <c r="S475" s="2">
        <f ca="1">INDEX(INDIRECT(_xlfn.CONCAT("weather.tbl[",S$1,"]")),MATCH(vp.tbl[[#This Row],[SDate]],weather.tbl[Date],0))</f>
        <v>-7.5</v>
      </c>
      <c r="T475" s="2">
        <f ca="1">INDEX(INDIRECT(_xlfn.CONCAT("weather.tbl[",T$1,"]")),MATCH(vp.tbl[[#This Row],[SDate]],weather.tbl[Date],0))</f>
        <v>-8.1</v>
      </c>
      <c r="U475" s="2">
        <f ca="1">INDEX(INDIRECT(_xlfn.CONCAT("weather.tbl[",U$1,"]")),MATCH(vp.tbl[[#This Row],[SDate]],weather.tbl[Date],0))</f>
        <v>-9.3000000000000007</v>
      </c>
      <c r="V475" s="2">
        <v>106852.554</v>
      </c>
      <c r="W475" t="s">
        <v>48</v>
      </c>
      <c r="X475">
        <f>IF(OR(vp.tbl[[#This Row],[Sulf]]="",vp.tbl[[#This Row],[Dens]]=""),1,0)</f>
        <v>0</v>
      </c>
      <c r="Y475">
        <f>IF(vp.tbl[[#This Row],[CrudeType]]="C5+",1,0)</f>
        <v>0</v>
      </c>
      <c r="Z475">
        <f>IF(AND(vp.tbl[[#This Row],[CrudeType]]="Crude",vp.tbl[[#This Row],[Dens]]&lt;=825,vp.tbl[[#This Row],[Sulf]]&gt;0.5,vp.tbl[[#This Row],[Unknown]]=0),1,0)</f>
        <v>0</v>
      </c>
      <c r="AA475">
        <f>IF(AND(vp.tbl[[#This Row],[CrudeType]]="Crude",vp.tbl[[#This Row],[Dens]]&lt;=825,vp.tbl[[#This Row],[Sulf]]&lt;=0.5,vp.tbl[[#This Row],[Unknown]]=0),1,0)</f>
        <v>0</v>
      </c>
      <c r="AB475">
        <f>IF(AND(vp.tbl[[#This Row],[CrudeType]]="Crude",vp.tbl[[#This Row],[Dens]]&gt;825,vp.tbl[[#This Row],[Dens]]&lt;=870,vp.tbl[[#This Row],[Sulf]]&gt;0.5,vp.tbl[[#This Row],[Unknown]]=0),1,0)</f>
        <v>1</v>
      </c>
      <c r="AC475">
        <f>IF(AND(vp.tbl[[#This Row],[CrudeType]]="Crude",vp.tbl[[#This Row],[Dens]]&gt;825,vp.tbl[[#This Row],[Dens]]&lt;=900,vp.tbl[[#This Row],[Sulf]]&lt;=0.5,vp.tbl[[#This Row],[Unknown]]=0),1,0)</f>
        <v>0</v>
      </c>
      <c r="AD475">
        <f>IF(AND(vp.tbl[[#This Row],[CrudeType]]="Crude",vp.tbl[[#This Row],[Dens]]&gt;870,vp.tbl[[#This Row],[Dens]]&lt;=900,vp.tbl[[#This Row],[Sulf]]&gt;0.5,vp.tbl[[#This Row],[Unknown]]=0),1,0)</f>
        <v>0</v>
      </c>
      <c r="AE475">
        <f>IF(AND(vp.tbl[[#This Row],[CrudeType]]="Crude",vp.tbl[[#This Row],[Dens]]&gt;900,vp.tbl[[#This Row],[Sulf]]&lt;=0.5,vp.tbl[[#This Row],[Unknown]]=0),1,0)</f>
        <v>0</v>
      </c>
      <c r="AF475">
        <f>IF(AND(vp.tbl[[#This Row],[CrudeType]]="Crude",vp.tbl[[#This Row],[Dens]]&gt;900,vp.tbl[[#This Row],[Sulf]]&lt;=0.5,vp.tbl[[#This Row],[Unknown]]=0),1,0)</f>
        <v>0</v>
      </c>
      <c r="AG475" t="str">
        <f>INDEX(vp.tbl[[#Headers],[Unknown]:[Heavy_SW]],MATCH(1,vp.tbl[[#This Row],[Unknown]:[Heavy_SW]],0))</f>
        <v>Medium_LSB</v>
      </c>
      <c r="AH475" t="e">
        <f>INDEX([1]!crudeBD.lkup[Number],MATCH(vp.tbl[[#This Row],[Crude_Breakdown]],[1]!crudeBD.lkup[Crude Breakdown],0))</f>
        <v>#REF!</v>
      </c>
      <c r="AI475">
        <f>MONTH(vp.tbl[[#This Row],[SDate]])</f>
        <v>12</v>
      </c>
      <c r="AJ475" s="5">
        <f>IFERROR(vp.tbl[[#This Row],[Sulf]]*vp.tbl[[#This Row],[Net Dens]],"")</f>
        <v>88131024.866213992</v>
      </c>
      <c r="AK475" s="5">
        <f>IFERROR(vp.tbl[[#This Row],[Dens]]*vp.tbl[[#This Row],[VolumeM3]],"")</f>
        <v>90856726.666199997</v>
      </c>
      <c r="AL475" s="5">
        <f>IFERROR(vp.tbl[[#This Row],[VP]]*vp.tbl[[#This Row],[VolumeM3]],"")</f>
        <v>11134036.126800001</v>
      </c>
      <c r="AM475" s="4">
        <f>IFERROR((vp.tbl[[#This Row],[VP]]-INDEX(crudeBD.lkup.complete[Mean_VP],MATCH(vp.tbl[[#This Row],[Crude_Breakdown]],crudeBD.lkup.complete[Crude Breakdown],0)))^2,"")</f>
        <v>577.26814026534396</v>
      </c>
      <c r="AN475" s="4">
        <f>IFERROR((vp.tbl[[#This Row],[Dens]]-INDEX(crudeBD.lkup.complete[Mean_Dens],MATCH(vp.tbl[[#This Row],[Crude_Breakdown]],crudeBD.lkup.complete[Crude Breakdown],0)))^2,"")</f>
        <v>25.081839018756401</v>
      </c>
      <c r="AO475" s="4">
        <f>IFERROR((vp.tbl[[#This Row],[Sulf]]-INDEX(crudeBD.lkup.complete[Mean_Sulf],MATCH(vp.tbl[[#This Row],[Crude_Breakdown]],crudeBD.lkup.complete[Crude Breakdown],0)))^2,"")</f>
        <v>0.23515696985622339</v>
      </c>
      <c r="AP475">
        <f>IF(AND(vp.tbl[[#This Row],[SDate]]&gt;=DATE(YEAR(vp.tbl[[#This Row],[SDate]]),5,1),vp.tbl[[#This Row],[SDate]]&lt;=DATE(YEAR(vp.tbl[[#This Row],[SDate]]),9,15)),1,0)</f>
        <v>0</v>
      </c>
      <c r="AQ475" s="15">
        <f>IF(vp.tbl[[#This Row],[SDate]]&lt;DATE(2016,12,1),0,1)</f>
        <v>1</v>
      </c>
    </row>
    <row r="476" spans="1:43" x14ac:dyDescent="0.25">
      <c r="A476">
        <v>475</v>
      </c>
      <c r="B476" t="s">
        <v>51</v>
      </c>
      <c r="C476" t="s">
        <v>51</v>
      </c>
      <c r="D476" t="s">
        <v>72</v>
      </c>
      <c r="F476" s="1">
        <v>42734</v>
      </c>
      <c r="G476" s="2">
        <v>87.8</v>
      </c>
      <c r="H476" s="2">
        <v>1.1688000000000001</v>
      </c>
      <c r="I476" s="2">
        <v>1.1688000000000001</v>
      </c>
      <c r="J476" s="2">
        <v>21</v>
      </c>
      <c r="K476" s="2">
        <v>-11</v>
      </c>
      <c r="L476" s="2">
        <v>839</v>
      </c>
      <c r="M476" s="2">
        <v>839</v>
      </c>
      <c r="N476" s="2">
        <f ca="1">INDEX(INDIRECT(_xlfn.CONCAT("weather.tbl[",N$1,"]")),MATCH(vp.tbl[[#This Row],[SDate]],weather.tbl[Date],0))</f>
        <v>-11.233333333333334</v>
      </c>
      <c r="O476" s="2">
        <f ca="1">INDEX(INDIRECT(_xlfn.CONCAT("weather.tbl[",O$1,"]")),MATCH(vp.tbl[[#This Row],[SDate]],weather.tbl[Date],0))</f>
        <v>-12.6</v>
      </c>
      <c r="P476" s="2">
        <f ca="1">INDEX(INDIRECT(_xlfn.CONCAT("weather.tbl[",P$1,"]")),MATCH(vp.tbl[[#This Row],[SDate]],weather.tbl[Date],0))</f>
        <v>-10</v>
      </c>
      <c r="Q476" s="2">
        <f ca="1">INDEX(INDIRECT(_xlfn.CONCAT("weather.tbl[",Q$1,"]")),MATCH(vp.tbl[[#This Row],[SDate]],weather.tbl[Date],0))</f>
        <v>-9.6999999999999993</v>
      </c>
      <c r="R476" s="2">
        <f ca="1">INDEX(INDIRECT(_xlfn.CONCAT("weather.tbl[",R$1,"]")),MATCH(vp.tbl[[#This Row],[SDate]],weather.tbl[Date],0))</f>
        <v>-16.5</v>
      </c>
      <c r="S476" s="2">
        <f ca="1">INDEX(INDIRECT(_xlfn.CONCAT("weather.tbl[",S$1,"]")),MATCH(vp.tbl[[#This Row],[SDate]],weather.tbl[Date],0))</f>
        <v>-8.5</v>
      </c>
      <c r="T476" s="2">
        <f ca="1">INDEX(INDIRECT(_xlfn.CONCAT("weather.tbl[",T$1,"]")),MATCH(vp.tbl[[#This Row],[SDate]],weather.tbl[Date],0))</f>
        <v>-12.4</v>
      </c>
      <c r="U476" s="2">
        <f ca="1">INDEX(INDIRECT(_xlfn.CONCAT("weather.tbl[",U$1,"]")),MATCH(vp.tbl[[#This Row],[SDate]],weather.tbl[Date],0))</f>
        <v>-10.3</v>
      </c>
      <c r="V476" s="2">
        <v>13705.843999999999</v>
      </c>
      <c r="W476" t="s">
        <v>48</v>
      </c>
      <c r="X476">
        <f>IF(OR(vp.tbl[[#This Row],[Sulf]]="",vp.tbl[[#This Row],[Dens]]=""),1,0)</f>
        <v>0</v>
      </c>
      <c r="Y476">
        <f>IF(vp.tbl[[#This Row],[CrudeType]]="C5+",1,0)</f>
        <v>0</v>
      </c>
      <c r="Z476">
        <f>IF(AND(vp.tbl[[#This Row],[CrudeType]]="Crude",vp.tbl[[#This Row],[Dens]]&lt;=825,vp.tbl[[#This Row],[Sulf]]&gt;0.5,vp.tbl[[#This Row],[Unknown]]=0),1,0)</f>
        <v>0</v>
      </c>
      <c r="AA476">
        <f>IF(AND(vp.tbl[[#This Row],[CrudeType]]="Crude",vp.tbl[[#This Row],[Dens]]&lt;=825,vp.tbl[[#This Row],[Sulf]]&lt;=0.5,vp.tbl[[#This Row],[Unknown]]=0),1,0)</f>
        <v>0</v>
      </c>
      <c r="AB476">
        <f>IF(AND(vp.tbl[[#This Row],[CrudeType]]="Crude",vp.tbl[[#This Row],[Dens]]&gt;825,vp.tbl[[#This Row],[Dens]]&lt;=870,vp.tbl[[#This Row],[Sulf]]&gt;0.5,vp.tbl[[#This Row],[Unknown]]=0),1,0)</f>
        <v>1</v>
      </c>
      <c r="AC476">
        <f>IF(AND(vp.tbl[[#This Row],[CrudeType]]="Crude",vp.tbl[[#This Row],[Dens]]&gt;825,vp.tbl[[#This Row],[Dens]]&lt;=900,vp.tbl[[#This Row],[Sulf]]&lt;=0.5,vp.tbl[[#This Row],[Unknown]]=0),1,0)</f>
        <v>0</v>
      </c>
      <c r="AD476">
        <f>IF(AND(vp.tbl[[#This Row],[CrudeType]]="Crude",vp.tbl[[#This Row],[Dens]]&gt;870,vp.tbl[[#This Row],[Dens]]&lt;=900,vp.tbl[[#This Row],[Sulf]]&gt;0.5,vp.tbl[[#This Row],[Unknown]]=0),1,0)</f>
        <v>0</v>
      </c>
      <c r="AE476">
        <f>IF(AND(vp.tbl[[#This Row],[CrudeType]]="Crude",vp.tbl[[#This Row],[Dens]]&gt;900,vp.tbl[[#This Row],[Sulf]]&lt;=0.5,vp.tbl[[#This Row],[Unknown]]=0),1,0)</f>
        <v>0</v>
      </c>
      <c r="AF476">
        <f>IF(AND(vp.tbl[[#This Row],[CrudeType]]="Crude",vp.tbl[[#This Row],[Dens]]&gt;900,vp.tbl[[#This Row],[Sulf]]&lt;=0.5,vp.tbl[[#This Row],[Unknown]]=0),1,0)</f>
        <v>0</v>
      </c>
      <c r="AG476" t="str">
        <f>INDEX(vp.tbl[[#Headers],[Unknown]:[Heavy_SW]],MATCH(1,vp.tbl[[#This Row],[Unknown]:[Heavy_SW]],0))</f>
        <v>Medium_LSB</v>
      </c>
      <c r="AH476" t="e">
        <f>INDEX([1]!crudeBD.lkup[Number],MATCH(vp.tbl[[#This Row],[Crude_Breakdown]],[1]!crudeBD.lkup[Crude Breakdown],0))</f>
        <v>#REF!</v>
      </c>
      <c r="AI476">
        <f>MONTH(vp.tbl[[#This Row],[SDate]])</f>
        <v>12</v>
      </c>
      <c r="AJ476" s="5">
        <f>IFERROR(vp.tbl[[#This Row],[Sulf]]*vp.tbl[[#This Row],[Net Dens]],"")</f>
        <v>13440268.6019808</v>
      </c>
      <c r="AK476" s="5">
        <f>IFERROR(vp.tbl[[#This Row],[Dens]]*vp.tbl[[#This Row],[VolumeM3]],"")</f>
        <v>11499203.115999999</v>
      </c>
      <c r="AL476" s="5">
        <f>IFERROR(vp.tbl[[#This Row],[VP]]*vp.tbl[[#This Row],[VolumeM3]],"")</f>
        <v>1203373.1031999998</v>
      </c>
      <c r="AM476" s="4">
        <f>IFERROR((vp.tbl[[#This Row],[VP]]-INDEX(crudeBD.lkup.complete[Mean_VP],MATCH(vp.tbl[[#This Row],[Crude_Breakdown]],crudeBD.lkup.complete[Crude Breakdown],0)))^2,"")</f>
        <v>58.162054189393245</v>
      </c>
      <c r="AN476" s="4">
        <f>IFERROR((vp.tbl[[#This Row],[Dens]]-INDEX(crudeBD.lkup.complete[Mean_Dens],MATCH(vp.tbl[[#This Row],[Crude_Breakdown]],crudeBD.lkup.complete[Crude Breakdown],0)))^2,"")</f>
        <v>39.587033955443466</v>
      </c>
      <c r="AO476" s="4">
        <f>IFERROR((vp.tbl[[#This Row],[Sulf]]-INDEX(crudeBD.lkup.complete[Mean_Sulf],MATCH(vp.tbl[[#This Row],[Crude_Breakdown]],crudeBD.lkup.complete[Crude Breakdown],0)))^2,"")</f>
        <v>8.1870297218248053E-2</v>
      </c>
      <c r="AP476">
        <f>IF(AND(vp.tbl[[#This Row],[SDate]]&gt;=DATE(YEAR(vp.tbl[[#This Row],[SDate]]),5,1),vp.tbl[[#This Row],[SDate]]&lt;=DATE(YEAR(vp.tbl[[#This Row],[SDate]]),9,15)),1,0)</f>
        <v>0</v>
      </c>
      <c r="AQ476" s="15">
        <f>IF(vp.tbl[[#This Row],[SDate]]&lt;DATE(2016,12,1),0,1)</f>
        <v>1</v>
      </c>
    </row>
    <row r="477" spans="1:43" x14ac:dyDescent="0.25">
      <c r="A477">
        <v>476</v>
      </c>
      <c r="B477" t="s">
        <v>49</v>
      </c>
      <c r="C477" t="s">
        <v>49</v>
      </c>
      <c r="D477" t="s">
        <v>80</v>
      </c>
      <c r="F477" s="1">
        <v>42734</v>
      </c>
      <c r="G477" s="2">
        <v>92.2</v>
      </c>
      <c r="H477" s="2"/>
      <c r="I477" s="2">
        <v>0.37</v>
      </c>
      <c r="J477" s="2">
        <v>11</v>
      </c>
      <c r="K477" s="2">
        <v>-11</v>
      </c>
      <c r="L477" s="2">
        <v>803.1</v>
      </c>
      <c r="M477" s="2">
        <v>803.1</v>
      </c>
      <c r="N477" s="2">
        <f ca="1">INDEX(INDIRECT(_xlfn.CONCAT("weather.tbl[",N$1,"]")),MATCH(vp.tbl[[#This Row],[SDate]],weather.tbl[Date],0))</f>
        <v>-11.233333333333334</v>
      </c>
      <c r="O477" s="2">
        <f ca="1">INDEX(INDIRECT(_xlfn.CONCAT("weather.tbl[",O$1,"]")),MATCH(vp.tbl[[#This Row],[SDate]],weather.tbl[Date],0))</f>
        <v>-12.6</v>
      </c>
      <c r="P477" s="2">
        <f ca="1">INDEX(INDIRECT(_xlfn.CONCAT("weather.tbl[",P$1,"]")),MATCH(vp.tbl[[#This Row],[SDate]],weather.tbl[Date],0))</f>
        <v>-10</v>
      </c>
      <c r="Q477" s="2">
        <f ca="1">INDEX(INDIRECT(_xlfn.CONCAT("weather.tbl[",Q$1,"]")),MATCH(vp.tbl[[#This Row],[SDate]],weather.tbl[Date],0))</f>
        <v>-9.6999999999999993</v>
      </c>
      <c r="R477" s="2">
        <f ca="1">INDEX(INDIRECT(_xlfn.CONCAT("weather.tbl[",R$1,"]")),MATCH(vp.tbl[[#This Row],[SDate]],weather.tbl[Date],0))</f>
        <v>-16.5</v>
      </c>
      <c r="S477" s="2">
        <f ca="1">INDEX(INDIRECT(_xlfn.CONCAT("weather.tbl[",S$1,"]")),MATCH(vp.tbl[[#This Row],[SDate]],weather.tbl[Date],0))</f>
        <v>-8.5</v>
      </c>
      <c r="T477" s="2">
        <f ca="1">INDEX(INDIRECT(_xlfn.CONCAT("weather.tbl[",T$1,"]")),MATCH(vp.tbl[[#This Row],[SDate]],weather.tbl[Date],0))</f>
        <v>-12.4</v>
      </c>
      <c r="U477" s="2">
        <f ca="1">INDEX(INDIRECT(_xlfn.CONCAT("weather.tbl[",U$1,"]")),MATCH(vp.tbl[[#This Row],[SDate]],weather.tbl[Date],0))</f>
        <v>-10.3</v>
      </c>
      <c r="V477" s="2">
        <v>22011.311000000002</v>
      </c>
      <c r="W477" t="s">
        <v>48</v>
      </c>
      <c r="X477">
        <f>IF(OR(vp.tbl[[#This Row],[Sulf]]="",vp.tbl[[#This Row],[Dens]]=""),1,0)</f>
        <v>0</v>
      </c>
      <c r="Y477">
        <f>IF(vp.tbl[[#This Row],[CrudeType]]="C5+",1,0)</f>
        <v>0</v>
      </c>
      <c r="Z477">
        <f>IF(AND(vp.tbl[[#This Row],[CrudeType]]="Crude",vp.tbl[[#This Row],[Dens]]&lt;=825,vp.tbl[[#This Row],[Sulf]]&gt;0.5,vp.tbl[[#This Row],[Unknown]]=0),1,0)</f>
        <v>0</v>
      </c>
      <c r="AA477">
        <f>IF(AND(vp.tbl[[#This Row],[CrudeType]]="Crude",vp.tbl[[#This Row],[Dens]]&lt;=825,vp.tbl[[#This Row],[Sulf]]&lt;=0.5,vp.tbl[[#This Row],[Unknown]]=0),1,0)</f>
        <v>1</v>
      </c>
      <c r="AB477">
        <f>IF(AND(vp.tbl[[#This Row],[CrudeType]]="Crude",vp.tbl[[#This Row],[Dens]]&gt;825,vp.tbl[[#This Row],[Dens]]&lt;=870,vp.tbl[[#This Row],[Sulf]]&gt;0.5,vp.tbl[[#This Row],[Unknown]]=0),1,0)</f>
        <v>0</v>
      </c>
      <c r="AC477">
        <f>IF(AND(vp.tbl[[#This Row],[CrudeType]]="Crude",vp.tbl[[#This Row],[Dens]]&gt;825,vp.tbl[[#This Row],[Dens]]&lt;=900,vp.tbl[[#This Row],[Sulf]]&lt;=0.5,vp.tbl[[#This Row],[Unknown]]=0),1,0)</f>
        <v>0</v>
      </c>
      <c r="AD477">
        <f>IF(AND(vp.tbl[[#This Row],[CrudeType]]="Crude",vp.tbl[[#This Row],[Dens]]&gt;870,vp.tbl[[#This Row],[Dens]]&lt;=900,vp.tbl[[#This Row],[Sulf]]&gt;0.5,vp.tbl[[#This Row],[Unknown]]=0),1,0)</f>
        <v>0</v>
      </c>
      <c r="AE477">
        <f>IF(AND(vp.tbl[[#This Row],[CrudeType]]="Crude",vp.tbl[[#This Row],[Dens]]&gt;900,vp.tbl[[#This Row],[Sulf]]&lt;=0.5,vp.tbl[[#This Row],[Unknown]]=0),1,0)</f>
        <v>0</v>
      </c>
      <c r="AF477">
        <f>IF(AND(vp.tbl[[#This Row],[CrudeType]]="Crude",vp.tbl[[#This Row],[Dens]]&gt;900,vp.tbl[[#This Row],[Sulf]]&lt;=0.5,vp.tbl[[#This Row],[Unknown]]=0),1,0)</f>
        <v>0</v>
      </c>
      <c r="AG477" t="str">
        <f>INDEX(vp.tbl[[#Headers],[Unknown]:[Heavy_SW]],MATCH(1,vp.tbl[[#This Row],[Unknown]:[Heavy_SW]],0))</f>
        <v>Light_SW</v>
      </c>
      <c r="AH477" t="e">
        <f>INDEX([1]!crudeBD.lkup[Number],MATCH(vp.tbl[[#This Row],[Crude_Breakdown]],[1]!crudeBD.lkup[Crude Breakdown],0))</f>
        <v>#REF!</v>
      </c>
      <c r="AI477">
        <f>MONTH(vp.tbl[[#This Row],[SDate]])</f>
        <v>12</v>
      </c>
      <c r="AJ477" s="5">
        <f>IFERROR(vp.tbl[[#This Row],[Sulf]]*vp.tbl[[#This Row],[Net Dens]],"")</f>
        <v>6540595.0297170002</v>
      </c>
      <c r="AK477" s="5">
        <f>IFERROR(vp.tbl[[#This Row],[Dens]]*vp.tbl[[#This Row],[VolumeM3]],"")</f>
        <v>17677283.864100002</v>
      </c>
      <c r="AL477" s="5">
        <f>IFERROR(vp.tbl[[#This Row],[VP]]*vp.tbl[[#This Row],[VolumeM3]],"")</f>
        <v>2029442.8742000002</v>
      </c>
      <c r="AM477" s="4">
        <f>IFERROR((vp.tbl[[#This Row],[VP]]-INDEX(crudeBD.lkup.complete[Mean_VP],MATCH(vp.tbl[[#This Row],[Crude_Breakdown]],crudeBD.lkup.complete[Crude Breakdown],0)))^2,"")</f>
        <v>0.12271961053306624</v>
      </c>
      <c r="AN477" s="4">
        <f>IFERROR((vp.tbl[[#This Row],[Dens]]-INDEX(crudeBD.lkup.complete[Mean_Dens],MATCH(vp.tbl[[#This Row],[Crude_Breakdown]],crudeBD.lkup.complete[Crude Breakdown],0)))^2,"")</f>
        <v>27.159714091463936</v>
      </c>
      <c r="AO477" s="4">
        <f>IFERROR((vp.tbl[[#This Row],[Sulf]]-INDEX(crudeBD.lkup.complete[Mean_Sulf],MATCH(vp.tbl[[#This Row],[Crude_Breakdown]],crudeBD.lkup.complete[Crude Breakdown],0)))^2,"")</f>
        <v>1.7891252898056348E-2</v>
      </c>
      <c r="AP477">
        <f>IF(AND(vp.tbl[[#This Row],[SDate]]&gt;=DATE(YEAR(vp.tbl[[#This Row],[SDate]]),5,1),vp.tbl[[#This Row],[SDate]]&lt;=DATE(YEAR(vp.tbl[[#This Row],[SDate]]),9,15)),1,0)</f>
        <v>0</v>
      </c>
      <c r="AQ477" s="15">
        <f>IF(vp.tbl[[#This Row],[SDate]]&lt;DATE(2016,12,1),0,1)</f>
        <v>1</v>
      </c>
    </row>
    <row r="478" spans="1:43" x14ac:dyDescent="0.25">
      <c r="A478">
        <v>477</v>
      </c>
      <c r="B478" t="s">
        <v>62</v>
      </c>
      <c r="C478" t="s">
        <v>62</v>
      </c>
      <c r="D478" t="s">
        <v>63</v>
      </c>
      <c r="F478" s="1">
        <v>42734</v>
      </c>
      <c r="G478" s="2">
        <v>91.8</v>
      </c>
      <c r="H478" s="2"/>
      <c r="I478" s="2">
        <v>1.52</v>
      </c>
      <c r="J478" s="2">
        <v>8</v>
      </c>
      <c r="K478" s="2">
        <v>-11</v>
      </c>
      <c r="L478" s="2">
        <v>828</v>
      </c>
      <c r="M478" s="2">
        <v>828</v>
      </c>
      <c r="N478" s="2">
        <f ca="1">INDEX(INDIRECT(_xlfn.CONCAT("weather.tbl[",N$1,"]")),MATCH(vp.tbl[[#This Row],[SDate]],weather.tbl[Date],0))</f>
        <v>-11.233333333333334</v>
      </c>
      <c r="O478" s="2">
        <f ca="1">INDEX(INDIRECT(_xlfn.CONCAT("weather.tbl[",O$1,"]")),MATCH(vp.tbl[[#This Row],[SDate]],weather.tbl[Date],0))</f>
        <v>-12.6</v>
      </c>
      <c r="P478" s="2">
        <f ca="1">INDEX(INDIRECT(_xlfn.CONCAT("weather.tbl[",P$1,"]")),MATCH(vp.tbl[[#This Row],[SDate]],weather.tbl[Date],0))</f>
        <v>-10</v>
      </c>
      <c r="Q478" s="2">
        <f ca="1">INDEX(INDIRECT(_xlfn.CONCAT("weather.tbl[",Q$1,"]")),MATCH(vp.tbl[[#This Row],[SDate]],weather.tbl[Date],0))</f>
        <v>-9.6999999999999993</v>
      </c>
      <c r="R478" s="2">
        <f ca="1">INDEX(INDIRECT(_xlfn.CONCAT("weather.tbl[",R$1,"]")),MATCH(vp.tbl[[#This Row],[SDate]],weather.tbl[Date],0))</f>
        <v>-16.5</v>
      </c>
      <c r="S478" s="2">
        <f ca="1">INDEX(INDIRECT(_xlfn.CONCAT("weather.tbl[",S$1,"]")),MATCH(vp.tbl[[#This Row],[SDate]],weather.tbl[Date],0))</f>
        <v>-8.5</v>
      </c>
      <c r="T478" s="2">
        <f ca="1">INDEX(INDIRECT(_xlfn.CONCAT("weather.tbl[",T$1,"]")),MATCH(vp.tbl[[#This Row],[SDate]],weather.tbl[Date],0))</f>
        <v>-12.4</v>
      </c>
      <c r="U478" s="2">
        <f ca="1">INDEX(INDIRECT(_xlfn.CONCAT("weather.tbl[",U$1,"]")),MATCH(vp.tbl[[#This Row],[SDate]],weather.tbl[Date],0))</f>
        <v>-10.3</v>
      </c>
      <c r="V478" s="2">
        <v>5268.48</v>
      </c>
      <c r="W478" t="s">
        <v>48</v>
      </c>
      <c r="X478">
        <f>IF(OR(vp.tbl[[#This Row],[Sulf]]="",vp.tbl[[#This Row],[Dens]]=""),1,0)</f>
        <v>0</v>
      </c>
      <c r="Y478">
        <f>IF(vp.tbl[[#This Row],[CrudeType]]="C5+",1,0)</f>
        <v>0</v>
      </c>
      <c r="Z478">
        <f>IF(AND(vp.tbl[[#This Row],[CrudeType]]="Crude",vp.tbl[[#This Row],[Dens]]&lt;=825,vp.tbl[[#This Row],[Sulf]]&gt;0.5,vp.tbl[[#This Row],[Unknown]]=0),1,0)</f>
        <v>0</v>
      </c>
      <c r="AA478">
        <f>IF(AND(vp.tbl[[#This Row],[CrudeType]]="Crude",vp.tbl[[#This Row],[Dens]]&lt;=825,vp.tbl[[#This Row],[Sulf]]&lt;=0.5,vp.tbl[[#This Row],[Unknown]]=0),1,0)</f>
        <v>0</v>
      </c>
      <c r="AB478">
        <f>IF(AND(vp.tbl[[#This Row],[CrudeType]]="Crude",vp.tbl[[#This Row],[Dens]]&gt;825,vp.tbl[[#This Row],[Dens]]&lt;=870,vp.tbl[[#This Row],[Sulf]]&gt;0.5,vp.tbl[[#This Row],[Unknown]]=0),1,0)</f>
        <v>1</v>
      </c>
      <c r="AC478">
        <f>IF(AND(vp.tbl[[#This Row],[CrudeType]]="Crude",vp.tbl[[#This Row],[Dens]]&gt;825,vp.tbl[[#This Row],[Dens]]&lt;=900,vp.tbl[[#This Row],[Sulf]]&lt;=0.5,vp.tbl[[#This Row],[Unknown]]=0),1,0)</f>
        <v>0</v>
      </c>
      <c r="AD478">
        <f>IF(AND(vp.tbl[[#This Row],[CrudeType]]="Crude",vp.tbl[[#This Row],[Dens]]&gt;870,vp.tbl[[#This Row],[Dens]]&lt;=900,vp.tbl[[#This Row],[Sulf]]&gt;0.5,vp.tbl[[#This Row],[Unknown]]=0),1,0)</f>
        <v>0</v>
      </c>
      <c r="AE478">
        <f>IF(AND(vp.tbl[[#This Row],[CrudeType]]="Crude",vp.tbl[[#This Row],[Dens]]&gt;900,vp.tbl[[#This Row],[Sulf]]&lt;=0.5,vp.tbl[[#This Row],[Unknown]]=0),1,0)</f>
        <v>0</v>
      </c>
      <c r="AF478">
        <f>IF(AND(vp.tbl[[#This Row],[CrudeType]]="Crude",vp.tbl[[#This Row],[Dens]]&gt;900,vp.tbl[[#This Row],[Sulf]]&lt;=0.5,vp.tbl[[#This Row],[Unknown]]=0),1,0)</f>
        <v>0</v>
      </c>
      <c r="AG478" t="str">
        <f>INDEX(vp.tbl[[#Headers],[Unknown]:[Heavy_SW]],MATCH(1,vp.tbl[[#This Row],[Unknown]:[Heavy_SW]],0))</f>
        <v>Medium_LSB</v>
      </c>
      <c r="AH478" t="e">
        <f>INDEX([1]!crudeBD.lkup[Number],MATCH(vp.tbl[[#This Row],[Crude_Breakdown]],[1]!crudeBD.lkup[Crude Breakdown],0))</f>
        <v>#REF!</v>
      </c>
      <c r="AI478">
        <f>MONTH(vp.tbl[[#This Row],[SDate]])</f>
        <v>12</v>
      </c>
      <c r="AJ478" s="5">
        <f>IFERROR(vp.tbl[[#This Row],[Sulf]]*vp.tbl[[#This Row],[Net Dens]],"")</f>
        <v>6630698.1887999997</v>
      </c>
      <c r="AK478" s="5">
        <f>IFERROR(vp.tbl[[#This Row],[Dens]]*vp.tbl[[#This Row],[VolumeM3]],"")</f>
        <v>4362301.4399999995</v>
      </c>
      <c r="AL478" s="5">
        <f>IFERROR(vp.tbl[[#This Row],[VP]]*vp.tbl[[#This Row],[VolumeM3]],"")</f>
        <v>483646.46399999992</v>
      </c>
      <c r="AM478" s="4">
        <f>IFERROR((vp.tbl[[#This Row],[VP]]-INDEX(crudeBD.lkup.complete[Mean_VP],MATCH(vp.tbl[[#This Row],[Crude_Breakdown]],crudeBD.lkup.complete[Crude Breakdown],0)))^2,"")</f>
        <v>135.17329469572263</v>
      </c>
      <c r="AN478" s="4">
        <f>IFERROR((vp.tbl[[#This Row],[Dens]]-INDEX(crudeBD.lkup.complete[Mean_Dens],MATCH(vp.tbl[[#This Row],[Crude_Breakdown]],crudeBD.lkup.complete[Crude Breakdown],0)))^2,"")</f>
        <v>299.0071352212446</v>
      </c>
      <c r="AO478" s="4">
        <f>IFERROR((vp.tbl[[#This Row],[Sulf]]-INDEX(crudeBD.lkup.complete[Mean_Sulf],MATCH(vp.tbl[[#This Row],[Crude_Breakdown]],crudeBD.lkup.complete[Crude Breakdown],0)))^2,"")</f>
        <v>4.2341230207786906E-3</v>
      </c>
      <c r="AP478">
        <f>IF(AND(vp.tbl[[#This Row],[SDate]]&gt;=DATE(YEAR(vp.tbl[[#This Row],[SDate]]),5,1),vp.tbl[[#This Row],[SDate]]&lt;=DATE(YEAR(vp.tbl[[#This Row],[SDate]]),9,15)),1,0)</f>
        <v>0</v>
      </c>
      <c r="AQ478" s="15">
        <f>IF(vp.tbl[[#This Row],[SDate]]&lt;DATE(2016,12,1),0,1)</f>
        <v>1</v>
      </c>
    </row>
    <row r="479" spans="1:43" x14ac:dyDescent="0.25">
      <c r="A479">
        <v>478</v>
      </c>
      <c r="B479" t="s">
        <v>53</v>
      </c>
      <c r="C479" t="s">
        <v>53</v>
      </c>
      <c r="D479" t="s">
        <v>54</v>
      </c>
      <c r="E479" t="s">
        <v>73</v>
      </c>
      <c r="F479" s="1">
        <v>42737</v>
      </c>
      <c r="G479" s="2">
        <v>88.9</v>
      </c>
      <c r="H479" s="2"/>
      <c r="I479" s="2">
        <v>1.54</v>
      </c>
      <c r="J479" s="2">
        <v>0.5</v>
      </c>
      <c r="K479" s="2">
        <v>-29</v>
      </c>
      <c r="L479" s="2">
        <v>842.3</v>
      </c>
      <c r="M479" s="2">
        <v>842.3</v>
      </c>
      <c r="N479" s="2">
        <f ca="1">INDEX(INDIRECT(_xlfn.CONCAT("weather.tbl[",N$1,"]")),MATCH(vp.tbl[[#This Row],[SDate]],weather.tbl[Date],0))</f>
        <v>-17.766666666666669</v>
      </c>
      <c r="O479" s="2">
        <f ca="1">INDEX(INDIRECT(_xlfn.CONCAT("weather.tbl[",O$1,"]")),MATCH(vp.tbl[[#This Row],[SDate]],weather.tbl[Date],0))</f>
        <v>-12.373809523809525</v>
      </c>
      <c r="P479" s="2">
        <f ca="1">INDEX(INDIRECT(_xlfn.CONCAT("weather.tbl[",P$1,"]")),MATCH(vp.tbl[[#This Row],[SDate]],weather.tbl[Date],0))</f>
        <v>-16.399999999999999</v>
      </c>
      <c r="Q479" s="2">
        <f ca="1">INDEX(INDIRECT(_xlfn.CONCAT("weather.tbl[",Q$1,"]")),MATCH(vp.tbl[[#This Row],[SDate]],weather.tbl[Date],0))</f>
        <v>-18.100000000000001</v>
      </c>
      <c r="R479" s="2">
        <f ca="1">INDEX(INDIRECT(_xlfn.CONCAT("weather.tbl[",R$1,"]")),MATCH(vp.tbl[[#This Row],[SDate]],weather.tbl[Date],0))</f>
        <v>-16.5</v>
      </c>
      <c r="S479" s="2">
        <f ca="1">INDEX(INDIRECT(_xlfn.CONCAT("weather.tbl[",S$1,"]")),MATCH(vp.tbl[[#This Row],[SDate]],weather.tbl[Date],0))</f>
        <v>-18.7</v>
      </c>
      <c r="T479" s="2">
        <f ca="1">INDEX(INDIRECT(_xlfn.CONCAT("weather.tbl[",T$1,"]")),MATCH(vp.tbl[[#This Row],[SDate]],weather.tbl[Date],0))</f>
        <v>-17.100000000000001</v>
      </c>
      <c r="U479" s="2">
        <f ca="1">INDEX(INDIRECT(_xlfn.CONCAT("weather.tbl[",U$1,"]")),MATCH(vp.tbl[[#This Row],[SDate]],weather.tbl[Date],0))</f>
        <v>-19.8</v>
      </c>
      <c r="V479" s="2">
        <v>50817.362000000001</v>
      </c>
      <c r="W479" t="s">
        <v>48</v>
      </c>
      <c r="X479">
        <f>IF(OR(vp.tbl[[#This Row],[Sulf]]="",vp.tbl[[#This Row],[Dens]]=""),1,0)</f>
        <v>0</v>
      </c>
      <c r="Y479">
        <f>IF(vp.tbl[[#This Row],[CrudeType]]="C5+",1,0)</f>
        <v>0</v>
      </c>
      <c r="Z479">
        <f>IF(AND(vp.tbl[[#This Row],[CrudeType]]="Crude",vp.tbl[[#This Row],[Dens]]&lt;=825,vp.tbl[[#This Row],[Sulf]]&gt;0.5,vp.tbl[[#This Row],[Unknown]]=0),1,0)</f>
        <v>0</v>
      </c>
      <c r="AA479">
        <f>IF(AND(vp.tbl[[#This Row],[CrudeType]]="Crude",vp.tbl[[#This Row],[Dens]]&lt;=825,vp.tbl[[#This Row],[Sulf]]&lt;=0.5,vp.tbl[[#This Row],[Unknown]]=0),1,0)</f>
        <v>0</v>
      </c>
      <c r="AB479">
        <f>IF(AND(vp.tbl[[#This Row],[CrudeType]]="Crude",vp.tbl[[#This Row],[Dens]]&gt;825,vp.tbl[[#This Row],[Dens]]&lt;=870,vp.tbl[[#This Row],[Sulf]]&gt;0.5,vp.tbl[[#This Row],[Unknown]]=0),1,0)</f>
        <v>1</v>
      </c>
      <c r="AC479">
        <f>IF(AND(vp.tbl[[#This Row],[CrudeType]]="Crude",vp.tbl[[#This Row],[Dens]]&gt;825,vp.tbl[[#This Row],[Dens]]&lt;=900,vp.tbl[[#This Row],[Sulf]]&lt;=0.5,vp.tbl[[#This Row],[Unknown]]=0),1,0)</f>
        <v>0</v>
      </c>
      <c r="AD479">
        <f>IF(AND(vp.tbl[[#This Row],[CrudeType]]="Crude",vp.tbl[[#This Row],[Dens]]&gt;870,vp.tbl[[#This Row],[Dens]]&lt;=900,vp.tbl[[#This Row],[Sulf]]&gt;0.5,vp.tbl[[#This Row],[Unknown]]=0),1,0)</f>
        <v>0</v>
      </c>
      <c r="AE479">
        <f>IF(AND(vp.tbl[[#This Row],[CrudeType]]="Crude",vp.tbl[[#This Row],[Dens]]&gt;900,vp.tbl[[#This Row],[Sulf]]&lt;=0.5,vp.tbl[[#This Row],[Unknown]]=0),1,0)</f>
        <v>0</v>
      </c>
      <c r="AF479">
        <f>IF(AND(vp.tbl[[#This Row],[CrudeType]]="Crude",vp.tbl[[#This Row],[Dens]]&gt;900,vp.tbl[[#This Row],[Sulf]]&lt;=0.5,vp.tbl[[#This Row],[Unknown]]=0),1,0)</f>
        <v>0</v>
      </c>
      <c r="AG479" t="str">
        <f>INDEX(vp.tbl[[#Headers],[Unknown]:[Heavy_SW]],MATCH(1,vp.tbl[[#This Row],[Unknown]:[Heavy_SW]],0))</f>
        <v>Medium_LSB</v>
      </c>
      <c r="AH479" t="e">
        <f>INDEX([1]!crudeBD.lkup[Number],MATCH(vp.tbl[[#This Row],[Crude_Breakdown]],[1]!crudeBD.lkup[Crude Breakdown],0))</f>
        <v>#REF!</v>
      </c>
      <c r="AI479">
        <f>MONTH(vp.tbl[[#This Row],[SDate]])</f>
        <v>1</v>
      </c>
      <c r="AJ479" s="5">
        <f>IFERROR(vp.tbl[[#This Row],[Sulf]]*vp.tbl[[#This Row],[Net Dens]],"")</f>
        <v>65917334.579403996</v>
      </c>
      <c r="AK479" s="5">
        <f>IFERROR(vp.tbl[[#This Row],[Dens]]*vp.tbl[[#This Row],[VolumeM3]],"")</f>
        <v>42803464.012599997</v>
      </c>
      <c r="AL479" s="5">
        <f>IFERROR(vp.tbl[[#This Row],[VP]]*vp.tbl[[#This Row],[VolumeM3]],"")</f>
        <v>4517663.4818000002</v>
      </c>
      <c r="AM479" s="4">
        <f>IFERROR((vp.tbl[[#This Row],[VP]]-INDEX(crudeBD.lkup.complete[Mean_VP],MATCH(vp.tbl[[#This Row],[Crude_Breakdown]],crudeBD.lkup.complete[Crude Breakdown],0)))^2,"")</f>
        <v>76.150145328633968</v>
      </c>
      <c r="AN479" s="4">
        <f>IFERROR((vp.tbl[[#This Row],[Dens]]-INDEX(crudeBD.lkup.complete[Mean_Dens],MATCH(vp.tbl[[#This Row],[Crude_Breakdown]],crudeBD.lkup.complete[Crude Breakdown],0)))^2,"")</f>
        <v>8.9510035757034014</v>
      </c>
      <c r="AO479" s="4">
        <f>IFERROR((vp.tbl[[#This Row],[Sulf]]-INDEX(crudeBD.lkup.complete[Mean_Sulf],MATCH(vp.tbl[[#This Row],[Crude_Breakdown]],crudeBD.lkup.complete[Crude Breakdown],0)))^2,"")</f>
        <v>7.2369285903988887E-3</v>
      </c>
      <c r="AP479">
        <f>IF(AND(vp.tbl[[#This Row],[SDate]]&gt;=DATE(YEAR(vp.tbl[[#This Row],[SDate]]),5,1),vp.tbl[[#This Row],[SDate]]&lt;=DATE(YEAR(vp.tbl[[#This Row],[SDate]]),9,15)),1,0)</f>
        <v>0</v>
      </c>
      <c r="AQ479" s="15">
        <f>IF(vp.tbl[[#This Row],[SDate]]&lt;DATE(2016,12,1),0,1)</f>
        <v>1</v>
      </c>
    </row>
    <row r="480" spans="1:43" x14ac:dyDescent="0.25">
      <c r="A480">
        <v>479</v>
      </c>
      <c r="B480" t="s">
        <v>53</v>
      </c>
      <c r="C480" t="s">
        <v>53</v>
      </c>
      <c r="D480" t="s">
        <v>54</v>
      </c>
      <c r="E480" t="s">
        <v>55</v>
      </c>
      <c r="F480" s="1">
        <v>42737</v>
      </c>
      <c r="G480" s="2">
        <v>96</v>
      </c>
      <c r="H480" s="2"/>
      <c r="I480" s="2">
        <v>1.54</v>
      </c>
      <c r="J480" s="2">
        <v>4</v>
      </c>
      <c r="K480" s="2">
        <v>-29</v>
      </c>
      <c r="L480" s="2">
        <v>824.3</v>
      </c>
      <c r="M480" s="2">
        <v>824.3</v>
      </c>
      <c r="N480" s="2">
        <f ca="1">INDEX(INDIRECT(_xlfn.CONCAT("weather.tbl[",N$1,"]")),MATCH(vp.tbl[[#This Row],[SDate]],weather.tbl[Date],0))</f>
        <v>-17.766666666666669</v>
      </c>
      <c r="O480" s="2">
        <f ca="1">INDEX(INDIRECT(_xlfn.CONCAT("weather.tbl[",O$1,"]")),MATCH(vp.tbl[[#This Row],[SDate]],weather.tbl[Date],0))</f>
        <v>-12.373809523809525</v>
      </c>
      <c r="P480" s="2">
        <f ca="1">INDEX(INDIRECT(_xlfn.CONCAT("weather.tbl[",P$1,"]")),MATCH(vp.tbl[[#This Row],[SDate]],weather.tbl[Date],0))</f>
        <v>-16.399999999999999</v>
      </c>
      <c r="Q480" s="2">
        <f ca="1">INDEX(INDIRECT(_xlfn.CONCAT("weather.tbl[",Q$1,"]")),MATCH(vp.tbl[[#This Row],[SDate]],weather.tbl[Date],0))</f>
        <v>-18.100000000000001</v>
      </c>
      <c r="R480" s="2">
        <f ca="1">INDEX(INDIRECT(_xlfn.CONCAT("weather.tbl[",R$1,"]")),MATCH(vp.tbl[[#This Row],[SDate]],weather.tbl[Date],0))</f>
        <v>-16.5</v>
      </c>
      <c r="S480" s="2">
        <f ca="1">INDEX(INDIRECT(_xlfn.CONCAT("weather.tbl[",S$1,"]")),MATCH(vp.tbl[[#This Row],[SDate]],weather.tbl[Date],0))</f>
        <v>-18.7</v>
      </c>
      <c r="T480" s="2">
        <f ca="1">INDEX(INDIRECT(_xlfn.CONCAT("weather.tbl[",T$1,"]")),MATCH(vp.tbl[[#This Row],[SDate]],weather.tbl[Date],0))</f>
        <v>-17.100000000000001</v>
      </c>
      <c r="U480" s="2">
        <f ca="1">INDEX(INDIRECT(_xlfn.CONCAT("weather.tbl[",U$1,"]")),MATCH(vp.tbl[[#This Row],[SDate]],weather.tbl[Date],0))</f>
        <v>-19.8</v>
      </c>
      <c r="V480" s="2">
        <v>50817.362000000001</v>
      </c>
      <c r="W480" t="s">
        <v>48</v>
      </c>
      <c r="X480">
        <f>IF(OR(vp.tbl[[#This Row],[Sulf]]="",vp.tbl[[#This Row],[Dens]]=""),1,0)</f>
        <v>0</v>
      </c>
      <c r="Y480">
        <f>IF(vp.tbl[[#This Row],[CrudeType]]="C5+",1,0)</f>
        <v>0</v>
      </c>
      <c r="Z480">
        <f>IF(AND(vp.tbl[[#This Row],[CrudeType]]="Crude",vp.tbl[[#This Row],[Dens]]&lt;=825,vp.tbl[[#This Row],[Sulf]]&gt;0.5,vp.tbl[[#This Row],[Unknown]]=0),1,0)</f>
        <v>1</v>
      </c>
      <c r="AA480">
        <f>IF(AND(vp.tbl[[#This Row],[CrudeType]]="Crude",vp.tbl[[#This Row],[Dens]]&lt;=825,vp.tbl[[#This Row],[Sulf]]&lt;=0.5,vp.tbl[[#This Row],[Unknown]]=0),1,0)</f>
        <v>0</v>
      </c>
      <c r="AB480">
        <f>IF(AND(vp.tbl[[#This Row],[CrudeType]]="Crude",vp.tbl[[#This Row],[Dens]]&gt;825,vp.tbl[[#This Row],[Dens]]&lt;=870,vp.tbl[[#This Row],[Sulf]]&gt;0.5,vp.tbl[[#This Row],[Unknown]]=0),1,0)</f>
        <v>0</v>
      </c>
      <c r="AC480">
        <f>IF(AND(vp.tbl[[#This Row],[CrudeType]]="Crude",vp.tbl[[#This Row],[Dens]]&gt;825,vp.tbl[[#This Row],[Dens]]&lt;=900,vp.tbl[[#This Row],[Sulf]]&lt;=0.5,vp.tbl[[#This Row],[Unknown]]=0),1,0)</f>
        <v>0</v>
      </c>
      <c r="AD480">
        <f>IF(AND(vp.tbl[[#This Row],[CrudeType]]="Crude",vp.tbl[[#This Row],[Dens]]&gt;870,vp.tbl[[#This Row],[Dens]]&lt;=900,vp.tbl[[#This Row],[Sulf]]&gt;0.5,vp.tbl[[#This Row],[Unknown]]=0),1,0)</f>
        <v>0</v>
      </c>
      <c r="AE480">
        <f>IF(AND(vp.tbl[[#This Row],[CrudeType]]="Crude",vp.tbl[[#This Row],[Dens]]&gt;900,vp.tbl[[#This Row],[Sulf]]&lt;=0.5,vp.tbl[[#This Row],[Unknown]]=0),1,0)</f>
        <v>0</v>
      </c>
      <c r="AF480">
        <f>IF(AND(vp.tbl[[#This Row],[CrudeType]]="Crude",vp.tbl[[#This Row],[Dens]]&gt;900,vp.tbl[[#This Row],[Sulf]]&lt;=0.5,vp.tbl[[#This Row],[Unknown]]=0),1,0)</f>
        <v>0</v>
      </c>
      <c r="AG480" t="str">
        <f>INDEX(vp.tbl[[#Headers],[Unknown]:[Heavy_SW]],MATCH(1,vp.tbl[[#This Row],[Unknown]:[Heavy_SW]],0))</f>
        <v>Light_LSB</v>
      </c>
      <c r="AH480" t="e">
        <f>INDEX([1]!crudeBD.lkup[Number],MATCH(vp.tbl[[#This Row],[Crude_Breakdown]],[1]!crudeBD.lkup[Crude Breakdown],0))</f>
        <v>#REF!</v>
      </c>
      <c r="AI480">
        <f>MONTH(vp.tbl[[#This Row],[SDate]])</f>
        <v>1</v>
      </c>
      <c r="AJ480" s="5">
        <f>IFERROR(vp.tbl[[#This Row],[Sulf]]*vp.tbl[[#This Row],[Net Dens]],"")</f>
        <v>64508677.304764003</v>
      </c>
      <c r="AK480" s="5">
        <f>IFERROR(vp.tbl[[#This Row],[Dens]]*vp.tbl[[#This Row],[VolumeM3]],"")</f>
        <v>41888751.496600002</v>
      </c>
      <c r="AL480" s="5">
        <f>IFERROR(vp.tbl[[#This Row],[VP]]*vp.tbl[[#This Row],[VolumeM3]],"")</f>
        <v>4878466.7520000003</v>
      </c>
      <c r="AM480" s="4">
        <f>IFERROR((vp.tbl[[#This Row],[VP]]-INDEX(crudeBD.lkup.complete[Mean_VP],MATCH(vp.tbl[[#This Row],[Crude_Breakdown]],crudeBD.lkup.complete[Crude Breakdown],0)))^2,"")</f>
        <v>19.836463003507003</v>
      </c>
      <c r="AN480" s="4">
        <f>IFERROR((vp.tbl[[#This Row],[Dens]]-INDEX(crudeBD.lkup.complete[Mean_Dens],MATCH(vp.tbl[[#This Row],[Crude_Breakdown]],crudeBD.lkup.complete[Crude Breakdown],0)))^2,"")</f>
        <v>33.445752015213131</v>
      </c>
      <c r="AO480" s="4">
        <f>IFERROR((vp.tbl[[#This Row],[Sulf]]-INDEX(crudeBD.lkup.complete[Mean_Sulf],MATCH(vp.tbl[[#This Row],[Crude_Breakdown]],crudeBD.lkup.complete[Crude Breakdown],0)))^2,"")</f>
        <v>0.38072457904432083</v>
      </c>
      <c r="AP480">
        <f>IF(AND(vp.tbl[[#This Row],[SDate]]&gt;=DATE(YEAR(vp.tbl[[#This Row],[SDate]]),5,1),vp.tbl[[#This Row],[SDate]]&lt;=DATE(YEAR(vp.tbl[[#This Row],[SDate]]),9,15)),1,0)</f>
        <v>0</v>
      </c>
      <c r="AQ480" s="15">
        <f>IF(vp.tbl[[#This Row],[SDate]]&lt;DATE(2016,12,1),0,1)</f>
        <v>1</v>
      </c>
    </row>
    <row r="481" spans="1:43" x14ac:dyDescent="0.25">
      <c r="A481">
        <v>480</v>
      </c>
      <c r="B481" t="s">
        <v>49</v>
      </c>
      <c r="C481" t="s">
        <v>49</v>
      </c>
      <c r="D481" t="s">
        <v>80</v>
      </c>
      <c r="F481" s="1">
        <v>42737</v>
      </c>
      <c r="G481" s="2">
        <v>102.4</v>
      </c>
      <c r="H481" s="2"/>
      <c r="I481" s="2">
        <v>0.59</v>
      </c>
      <c r="J481" s="2">
        <v>10.5</v>
      </c>
      <c r="K481" s="2">
        <v>-29</v>
      </c>
      <c r="L481" s="2">
        <v>809</v>
      </c>
      <c r="M481" s="2">
        <v>809</v>
      </c>
      <c r="N481" s="2">
        <f ca="1">INDEX(INDIRECT(_xlfn.CONCAT("weather.tbl[",N$1,"]")),MATCH(vp.tbl[[#This Row],[SDate]],weather.tbl[Date],0))</f>
        <v>-17.766666666666669</v>
      </c>
      <c r="O481" s="2">
        <f ca="1">INDEX(INDIRECT(_xlfn.CONCAT("weather.tbl[",O$1,"]")),MATCH(vp.tbl[[#This Row],[SDate]],weather.tbl[Date],0))</f>
        <v>-12.373809523809525</v>
      </c>
      <c r="P481" s="2">
        <f ca="1">INDEX(INDIRECT(_xlfn.CONCAT("weather.tbl[",P$1,"]")),MATCH(vp.tbl[[#This Row],[SDate]],weather.tbl[Date],0))</f>
        <v>-16.399999999999999</v>
      </c>
      <c r="Q481" s="2">
        <f ca="1">INDEX(INDIRECT(_xlfn.CONCAT("weather.tbl[",Q$1,"]")),MATCH(vp.tbl[[#This Row],[SDate]],weather.tbl[Date],0))</f>
        <v>-18.100000000000001</v>
      </c>
      <c r="R481" s="2">
        <f ca="1">INDEX(INDIRECT(_xlfn.CONCAT("weather.tbl[",R$1,"]")),MATCH(vp.tbl[[#This Row],[SDate]],weather.tbl[Date],0))</f>
        <v>-16.5</v>
      </c>
      <c r="S481" s="2">
        <f ca="1">INDEX(INDIRECT(_xlfn.CONCAT("weather.tbl[",S$1,"]")),MATCH(vp.tbl[[#This Row],[SDate]],weather.tbl[Date],0))</f>
        <v>-18.7</v>
      </c>
      <c r="T481" s="2">
        <f ca="1">INDEX(INDIRECT(_xlfn.CONCAT("weather.tbl[",T$1,"]")),MATCH(vp.tbl[[#This Row],[SDate]],weather.tbl[Date],0))</f>
        <v>-17.100000000000001</v>
      </c>
      <c r="U481" s="2">
        <f ca="1">INDEX(INDIRECT(_xlfn.CONCAT("weather.tbl[",U$1,"]")),MATCH(vp.tbl[[#This Row],[SDate]],weather.tbl[Date],0))</f>
        <v>-19.8</v>
      </c>
      <c r="V481" s="2">
        <v>21030.911</v>
      </c>
      <c r="W481" t="s">
        <v>48</v>
      </c>
      <c r="X481">
        <f>IF(OR(vp.tbl[[#This Row],[Sulf]]="",vp.tbl[[#This Row],[Dens]]=""),1,0)</f>
        <v>0</v>
      </c>
      <c r="Y481">
        <f>IF(vp.tbl[[#This Row],[CrudeType]]="C5+",1,0)</f>
        <v>0</v>
      </c>
      <c r="Z481">
        <f>IF(AND(vp.tbl[[#This Row],[CrudeType]]="Crude",vp.tbl[[#This Row],[Dens]]&lt;=825,vp.tbl[[#This Row],[Sulf]]&gt;0.5,vp.tbl[[#This Row],[Unknown]]=0),1,0)</f>
        <v>1</v>
      </c>
      <c r="AA481">
        <f>IF(AND(vp.tbl[[#This Row],[CrudeType]]="Crude",vp.tbl[[#This Row],[Dens]]&lt;=825,vp.tbl[[#This Row],[Sulf]]&lt;=0.5,vp.tbl[[#This Row],[Unknown]]=0),1,0)</f>
        <v>0</v>
      </c>
      <c r="AB481">
        <f>IF(AND(vp.tbl[[#This Row],[CrudeType]]="Crude",vp.tbl[[#This Row],[Dens]]&gt;825,vp.tbl[[#This Row],[Dens]]&lt;=870,vp.tbl[[#This Row],[Sulf]]&gt;0.5,vp.tbl[[#This Row],[Unknown]]=0),1,0)</f>
        <v>0</v>
      </c>
      <c r="AC481">
        <f>IF(AND(vp.tbl[[#This Row],[CrudeType]]="Crude",vp.tbl[[#This Row],[Dens]]&gt;825,vp.tbl[[#This Row],[Dens]]&lt;=900,vp.tbl[[#This Row],[Sulf]]&lt;=0.5,vp.tbl[[#This Row],[Unknown]]=0),1,0)</f>
        <v>0</v>
      </c>
      <c r="AD481">
        <f>IF(AND(vp.tbl[[#This Row],[CrudeType]]="Crude",vp.tbl[[#This Row],[Dens]]&gt;870,vp.tbl[[#This Row],[Dens]]&lt;=900,vp.tbl[[#This Row],[Sulf]]&gt;0.5,vp.tbl[[#This Row],[Unknown]]=0),1,0)</f>
        <v>0</v>
      </c>
      <c r="AE481">
        <f>IF(AND(vp.tbl[[#This Row],[CrudeType]]="Crude",vp.tbl[[#This Row],[Dens]]&gt;900,vp.tbl[[#This Row],[Sulf]]&lt;=0.5,vp.tbl[[#This Row],[Unknown]]=0),1,0)</f>
        <v>0</v>
      </c>
      <c r="AF481">
        <f>IF(AND(vp.tbl[[#This Row],[CrudeType]]="Crude",vp.tbl[[#This Row],[Dens]]&gt;900,vp.tbl[[#This Row],[Sulf]]&lt;=0.5,vp.tbl[[#This Row],[Unknown]]=0),1,0)</f>
        <v>0</v>
      </c>
      <c r="AG481" t="str">
        <f>INDEX(vp.tbl[[#Headers],[Unknown]:[Heavy_SW]],MATCH(1,vp.tbl[[#This Row],[Unknown]:[Heavy_SW]],0))</f>
        <v>Light_LSB</v>
      </c>
      <c r="AH481" t="e">
        <f>INDEX([1]!crudeBD.lkup[Number],MATCH(vp.tbl[[#This Row],[Crude_Breakdown]],[1]!crudeBD.lkup[Crude Breakdown],0))</f>
        <v>#REF!</v>
      </c>
      <c r="AI481">
        <f>MONTH(vp.tbl[[#This Row],[SDate]])</f>
        <v>1</v>
      </c>
      <c r="AJ481" s="5">
        <f>IFERROR(vp.tbl[[#This Row],[Sulf]]*vp.tbl[[#This Row],[Net Dens]],"")</f>
        <v>10038264.129410001</v>
      </c>
      <c r="AK481" s="5">
        <f>IFERROR(vp.tbl[[#This Row],[Dens]]*vp.tbl[[#This Row],[VolumeM3]],"")</f>
        <v>17014006.999000002</v>
      </c>
      <c r="AL481" s="5">
        <f>IFERROR(vp.tbl[[#This Row],[VP]]*vp.tbl[[#This Row],[VolumeM3]],"")</f>
        <v>2153565.2864000001</v>
      </c>
      <c r="AM481" s="4">
        <f>IFERROR((vp.tbl[[#This Row],[VP]]-INDEX(crudeBD.lkup.complete[Mean_VP],MATCH(vp.tbl[[#This Row],[Crude_Breakdown]],crudeBD.lkup.complete[Crude Breakdown],0)))^2,"")</f>
        <v>117.80528774577476</v>
      </c>
      <c r="AN481" s="4">
        <f>IFERROR((vp.tbl[[#This Row],[Dens]]-INDEX(crudeBD.lkup.complete[Mean_Dens],MATCH(vp.tbl[[#This Row],[Crude_Breakdown]],crudeBD.lkup.complete[Crude Breakdown],0)))^2,"")</f>
        <v>90.568906654379305</v>
      </c>
      <c r="AO481" s="4">
        <f>IFERROR((vp.tbl[[#This Row],[Sulf]]-INDEX(crudeBD.lkup.complete[Mean_Sulf],MATCH(vp.tbl[[#This Row],[Crude_Breakdown]],crudeBD.lkup.complete[Crude Breakdown],0)))^2,"")</f>
        <v>0.11086979897559178</v>
      </c>
      <c r="AP481">
        <f>IF(AND(vp.tbl[[#This Row],[SDate]]&gt;=DATE(YEAR(vp.tbl[[#This Row],[SDate]]),5,1),vp.tbl[[#This Row],[SDate]]&lt;=DATE(YEAR(vp.tbl[[#This Row],[SDate]]),9,15)),1,0)</f>
        <v>0</v>
      </c>
      <c r="AQ481" s="15">
        <f>IF(vp.tbl[[#This Row],[SDate]]&lt;DATE(2016,12,1),0,1)</f>
        <v>1</v>
      </c>
    </row>
    <row r="482" spans="1:43" x14ac:dyDescent="0.25">
      <c r="A482">
        <v>481</v>
      </c>
      <c r="B482" t="s">
        <v>49</v>
      </c>
      <c r="C482" t="s">
        <v>49</v>
      </c>
      <c r="D482" t="s">
        <v>86</v>
      </c>
      <c r="F482" s="1">
        <v>42737</v>
      </c>
      <c r="G482" s="2">
        <v>90.1</v>
      </c>
      <c r="H482" s="2"/>
      <c r="I482" s="2">
        <v>2.86</v>
      </c>
      <c r="J482" s="2">
        <v>7.2</v>
      </c>
      <c r="K482" s="2">
        <v>-29</v>
      </c>
      <c r="L482" s="2">
        <v>814</v>
      </c>
      <c r="M482" s="2">
        <v>814</v>
      </c>
      <c r="N482" s="2">
        <f ca="1">INDEX(INDIRECT(_xlfn.CONCAT("weather.tbl[",N$1,"]")),MATCH(vp.tbl[[#This Row],[SDate]],weather.tbl[Date],0))</f>
        <v>-17.766666666666669</v>
      </c>
      <c r="O482" s="2">
        <f ca="1">INDEX(INDIRECT(_xlfn.CONCAT("weather.tbl[",O$1,"]")),MATCH(vp.tbl[[#This Row],[SDate]],weather.tbl[Date],0))</f>
        <v>-12.373809523809525</v>
      </c>
      <c r="P482" s="2">
        <f ca="1">INDEX(INDIRECT(_xlfn.CONCAT("weather.tbl[",P$1,"]")),MATCH(vp.tbl[[#This Row],[SDate]],weather.tbl[Date],0))</f>
        <v>-16.399999999999999</v>
      </c>
      <c r="Q482" s="2">
        <f ca="1">INDEX(INDIRECT(_xlfn.CONCAT("weather.tbl[",Q$1,"]")),MATCH(vp.tbl[[#This Row],[SDate]],weather.tbl[Date],0))</f>
        <v>-18.100000000000001</v>
      </c>
      <c r="R482" s="2">
        <f ca="1">INDEX(INDIRECT(_xlfn.CONCAT("weather.tbl[",R$1,"]")),MATCH(vp.tbl[[#This Row],[SDate]],weather.tbl[Date],0))</f>
        <v>-16.5</v>
      </c>
      <c r="S482" s="2">
        <f ca="1">INDEX(INDIRECT(_xlfn.CONCAT("weather.tbl[",S$1,"]")),MATCH(vp.tbl[[#This Row],[SDate]],weather.tbl[Date],0))</f>
        <v>-18.7</v>
      </c>
      <c r="T482" s="2">
        <f ca="1">INDEX(INDIRECT(_xlfn.CONCAT("weather.tbl[",T$1,"]")),MATCH(vp.tbl[[#This Row],[SDate]],weather.tbl[Date],0))</f>
        <v>-17.100000000000001</v>
      </c>
      <c r="U482" s="2">
        <f ca="1">INDEX(INDIRECT(_xlfn.CONCAT("weather.tbl[",U$1,"]")),MATCH(vp.tbl[[#This Row],[SDate]],weather.tbl[Date],0))</f>
        <v>-19.8</v>
      </c>
      <c r="V482" s="2">
        <v>4800.4960000000001</v>
      </c>
      <c r="W482" t="s">
        <v>48</v>
      </c>
      <c r="X482">
        <f>IF(OR(vp.tbl[[#This Row],[Sulf]]="",vp.tbl[[#This Row],[Dens]]=""),1,0)</f>
        <v>0</v>
      </c>
      <c r="Y482">
        <f>IF(vp.tbl[[#This Row],[CrudeType]]="C5+",1,0)</f>
        <v>0</v>
      </c>
      <c r="Z482">
        <f>IF(AND(vp.tbl[[#This Row],[CrudeType]]="Crude",vp.tbl[[#This Row],[Dens]]&lt;=825,vp.tbl[[#This Row],[Sulf]]&gt;0.5,vp.tbl[[#This Row],[Unknown]]=0),1,0)</f>
        <v>1</v>
      </c>
      <c r="AA482">
        <f>IF(AND(vp.tbl[[#This Row],[CrudeType]]="Crude",vp.tbl[[#This Row],[Dens]]&lt;=825,vp.tbl[[#This Row],[Sulf]]&lt;=0.5,vp.tbl[[#This Row],[Unknown]]=0),1,0)</f>
        <v>0</v>
      </c>
      <c r="AB482">
        <f>IF(AND(vp.tbl[[#This Row],[CrudeType]]="Crude",vp.tbl[[#This Row],[Dens]]&gt;825,vp.tbl[[#This Row],[Dens]]&lt;=870,vp.tbl[[#This Row],[Sulf]]&gt;0.5,vp.tbl[[#This Row],[Unknown]]=0),1,0)</f>
        <v>0</v>
      </c>
      <c r="AC482">
        <f>IF(AND(vp.tbl[[#This Row],[CrudeType]]="Crude",vp.tbl[[#This Row],[Dens]]&gt;825,vp.tbl[[#This Row],[Dens]]&lt;=900,vp.tbl[[#This Row],[Sulf]]&lt;=0.5,vp.tbl[[#This Row],[Unknown]]=0),1,0)</f>
        <v>0</v>
      </c>
      <c r="AD482">
        <f>IF(AND(vp.tbl[[#This Row],[CrudeType]]="Crude",vp.tbl[[#This Row],[Dens]]&gt;870,vp.tbl[[#This Row],[Dens]]&lt;=900,vp.tbl[[#This Row],[Sulf]]&gt;0.5,vp.tbl[[#This Row],[Unknown]]=0),1,0)</f>
        <v>0</v>
      </c>
      <c r="AE482">
        <f>IF(AND(vp.tbl[[#This Row],[CrudeType]]="Crude",vp.tbl[[#This Row],[Dens]]&gt;900,vp.tbl[[#This Row],[Sulf]]&lt;=0.5,vp.tbl[[#This Row],[Unknown]]=0),1,0)</f>
        <v>0</v>
      </c>
      <c r="AF482">
        <f>IF(AND(vp.tbl[[#This Row],[CrudeType]]="Crude",vp.tbl[[#This Row],[Dens]]&gt;900,vp.tbl[[#This Row],[Sulf]]&lt;=0.5,vp.tbl[[#This Row],[Unknown]]=0),1,0)</f>
        <v>0</v>
      </c>
      <c r="AG482" t="str">
        <f>INDEX(vp.tbl[[#Headers],[Unknown]:[Heavy_SW]],MATCH(1,vp.tbl[[#This Row],[Unknown]:[Heavy_SW]],0))</f>
        <v>Light_LSB</v>
      </c>
      <c r="AH482" t="e">
        <f>INDEX([1]!crudeBD.lkup[Number],MATCH(vp.tbl[[#This Row],[Crude_Breakdown]],[1]!crudeBD.lkup[Crude Breakdown],0))</f>
        <v>#REF!</v>
      </c>
      <c r="AI482">
        <f>MONTH(vp.tbl[[#This Row],[SDate]])</f>
        <v>1</v>
      </c>
      <c r="AJ482" s="5">
        <f>IFERROR(vp.tbl[[#This Row],[Sulf]]*vp.tbl[[#This Row],[Net Dens]],"")</f>
        <v>11175746.707839999</v>
      </c>
      <c r="AK482" s="5">
        <f>IFERROR(vp.tbl[[#This Row],[Dens]]*vp.tbl[[#This Row],[VolumeM3]],"")</f>
        <v>3907603.7439999999</v>
      </c>
      <c r="AL482" s="5">
        <f>IFERROR(vp.tbl[[#This Row],[VP]]*vp.tbl[[#This Row],[VolumeM3]],"")</f>
        <v>432524.68959999998</v>
      </c>
      <c r="AM482" s="4">
        <f>IFERROR((vp.tbl[[#This Row],[VP]]-INDEX(crudeBD.lkup.complete[Mean_VP],MATCH(vp.tbl[[#This Row],[Crude_Breakdown]],crudeBD.lkup.complete[Crude Breakdown],0)))^2,"")</f>
        <v>2.0914526942290363</v>
      </c>
      <c r="AN482" s="4">
        <f>IFERROR((vp.tbl[[#This Row],[Dens]]-INDEX(crudeBD.lkup.complete[Mean_Dens],MATCH(vp.tbl[[#This Row],[Crude_Breakdown]],crudeBD.lkup.complete[Crude Breakdown],0)))^2,"")</f>
        <v>20.401209059880724</v>
      </c>
      <c r="AO482" s="4">
        <f>IFERROR((vp.tbl[[#This Row],[Sulf]]-INDEX(crudeBD.lkup.complete[Mean_Sulf],MATCH(vp.tbl[[#This Row],[Crude_Breakdown]],crudeBD.lkup.complete[Crude Breakdown],0)))^2,"")</f>
        <v>3.7520806945082388</v>
      </c>
      <c r="AP482">
        <f>IF(AND(vp.tbl[[#This Row],[SDate]]&gt;=DATE(YEAR(vp.tbl[[#This Row],[SDate]]),5,1),vp.tbl[[#This Row],[SDate]]&lt;=DATE(YEAR(vp.tbl[[#This Row],[SDate]]),9,15)),1,0)</f>
        <v>0</v>
      </c>
      <c r="AQ482" s="15">
        <f>IF(vp.tbl[[#This Row],[SDate]]&lt;DATE(2016,12,1),0,1)</f>
        <v>1</v>
      </c>
    </row>
    <row r="483" spans="1:43" x14ac:dyDescent="0.25">
      <c r="A483">
        <v>482</v>
      </c>
      <c r="B483" t="s">
        <v>49</v>
      </c>
      <c r="C483" t="s">
        <v>49</v>
      </c>
      <c r="D483" t="s">
        <v>100</v>
      </c>
      <c r="F483" s="1">
        <v>42737</v>
      </c>
      <c r="G483" s="2">
        <v>97.4</v>
      </c>
      <c r="H483" s="2"/>
      <c r="I483" s="2">
        <v>0.66</v>
      </c>
      <c r="J483" s="2">
        <v>8.1</v>
      </c>
      <c r="K483" s="2">
        <v>-29</v>
      </c>
      <c r="L483" s="2">
        <v>814</v>
      </c>
      <c r="M483" s="2">
        <v>814</v>
      </c>
      <c r="N483" s="2">
        <f ca="1">INDEX(INDIRECT(_xlfn.CONCAT("weather.tbl[",N$1,"]")),MATCH(vp.tbl[[#This Row],[SDate]],weather.tbl[Date],0))</f>
        <v>-17.766666666666669</v>
      </c>
      <c r="O483" s="2">
        <f ca="1">INDEX(INDIRECT(_xlfn.CONCAT("weather.tbl[",O$1,"]")),MATCH(vp.tbl[[#This Row],[SDate]],weather.tbl[Date],0))</f>
        <v>-12.373809523809525</v>
      </c>
      <c r="P483" s="2">
        <f ca="1">INDEX(INDIRECT(_xlfn.CONCAT("weather.tbl[",P$1,"]")),MATCH(vp.tbl[[#This Row],[SDate]],weather.tbl[Date],0))</f>
        <v>-16.399999999999999</v>
      </c>
      <c r="Q483" s="2">
        <f ca="1">INDEX(INDIRECT(_xlfn.CONCAT("weather.tbl[",Q$1,"]")),MATCH(vp.tbl[[#This Row],[SDate]],weather.tbl[Date],0))</f>
        <v>-18.100000000000001</v>
      </c>
      <c r="R483" s="2">
        <f ca="1">INDEX(INDIRECT(_xlfn.CONCAT("weather.tbl[",R$1,"]")),MATCH(vp.tbl[[#This Row],[SDate]],weather.tbl[Date],0))</f>
        <v>-16.5</v>
      </c>
      <c r="S483" s="2">
        <f ca="1">INDEX(INDIRECT(_xlfn.CONCAT("weather.tbl[",S$1,"]")),MATCH(vp.tbl[[#This Row],[SDate]],weather.tbl[Date],0))</f>
        <v>-18.7</v>
      </c>
      <c r="T483" s="2">
        <f ca="1">INDEX(INDIRECT(_xlfn.CONCAT("weather.tbl[",T$1,"]")),MATCH(vp.tbl[[#This Row],[SDate]],weather.tbl[Date],0))</f>
        <v>-17.100000000000001</v>
      </c>
      <c r="U483" s="2">
        <f ca="1">INDEX(INDIRECT(_xlfn.CONCAT("weather.tbl[",U$1,"]")),MATCH(vp.tbl[[#This Row],[SDate]],weather.tbl[Date],0))</f>
        <v>-19.8</v>
      </c>
      <c r="V483" s="2">
        <v>11216.892</v>
      </c>
      <c r="W483" t="s">
        <v>48</v>
      </c>
      <c r="X483">
        <f>IF(OR(vp.tbl[[#This Row],[Sulf]]="",vp.tbl[[#This Row],[Dens]]=""),1,0)</f>
        <v>0</v>
      </c>
      <c r="Y483">
        <f>IF(vp.tbl[[#This Row],[CrudeType]]="C5+",1,0)</f>
        <v>0</v>
      </c>
      <c r="Z483">
        <f>IF(AND(vp.tbl[[#This Row],[CrudeType]]="Crude",vp.tbl[[#This Row],[Dens]]&lt;=825,vp.tbl[[#This Row],[Sulf]]&gt;0.5,vp.tbl[[#This Row],[Unknown]]=0),1,0)</f>
        <v>1</v>
      </c>
      <c r="AA483">
        <f>IF(AND(vp.tbl[[#This Row],[CrudeType]]="Crude",vp.tbl[[#This Row],[Dens]]&lt;=825,vp.tbl[[#This Row],[Sulf]]&lt;=0.5,vp.tbl[[#This Row],[Unknown]]=0),1,0)</f>
        <v>0</v>
      </c>
      <c r="AB483">
        <f>IF(AND(vp.tbl[[#This Row],[CrudeType]]="Crude",vp.tbl[[#This Row],[Dens]]&gt;825,vp.tbl[[#This Row],[Dens]]&lt;=870,vp.tbl[[#This Row],[Sulf]]&gt;0.5,vp.tbl[[#This Row],[Unknown]]=0),1,0)</f>
        <v>0</v>
      </c>
      <c r="AC483">
        <f>IF(AND(vp.tbl[[#This Row],[CrudeType]]="Crude",vp.tbl[[#This Row],[Dens]]&gt;825,vp.tbl[[#This Row],[Dens]]&lt;=900,vp.tbl[[#This Row],[Sulf]]&lt;=0.5,vp.tbl[[#This Row],[Unknown]]=0),1,0)</f>
        <v>0</v>
      </c>
      <c r="AD483">
        <f>IF(AND(vp.tbl[[#This Row],[CrudeType]]="Crude",vp.tbl[[#This Row],[Dens]]&gt;870,vp.tbl[[#This Row],[Dens]]&lt;=900,vp.tbl[[#This Row],[Sulf]]&gt;0.5,vp.tbl[[#This Row],[Unknown]]=0),1,0)</f>
        <v>0</v>
      </c>
      <c r="AE483">
        <f>IF(AND(vp.tbl[[#This Row],[CrudeType]]="Crude",vp.tbl[[#This Row],[Dens]]&gt;900,vp.tbl[[#This Row],[Sulf]]&lt;=0.5,vp.tbl[[#This Row],[Unknown]]=0),1,0)</f>
        <v>0</v>
      </c>
      <c r="AF483">
        <f>IF(AND(vp.tbl[[#This Row],[CrudeType]]="Crude",vp.tbl[[#This Row],[Dens]]&gt;900,vp.tbl[[#This Row],[Sulf]]&lt;=0.5,vp.tbl[[#This Row],[Unknown]]=0),1,0)</f>
        <v>0</v>
      </c>
      <c r="AG483" t="str">
        <f>INDEX(vp.tbl[[#Headers],[Unknown]:[Heavy_SW]],MATCH(1,vp.tbl[[#This Row],[Unknown]:[Heavy_SW]],0))</f>
        <v>Light_LSB</v>
      </c>
      <c r="AH483" t="e">
        <f>INDEX([1]!crudeBD.lkup[Number],MATCH(vp.tbl[[#This Row],[Crude_Breakdown]],[1]!crudeBD.lkup[Crude Breakdown],0))</f>
        <v>#REF!</v>
      </c>
      <c r="AI483">
        <f>MONTH(vp.tbl[[#This Row],[SDate]])</f>
        <v>1</v>
      </c>
      <c r="AJ483" s="5">
        <f>IFERROR(vp.tbl[[#This Row],[Sulf]]*vp.tbl[[#This Row],[Net Dens]],"")</f>
        <v>6026163.0580799999</v>
      </c>
      <c r="AK483" s="5">
        <f>IFERROR(vp.tbl[[#This Row],[Dens]]*vp.tbl[[#This Row],[VolumeM3]],"")</f>
        <v>9130550.0879999995</v>
      </c>
      <c r="AL483" s="5">
        <f>IFERROR(vp.tbl[[#This Row],[VP]]*vp.tbl[[#This Row],[VolumeM3]],"")</f>
        <v>1092525.2808000001</v>
      </c>
      <c r="AM483" s="4">
        <f>IFERROR((vp.tbl[[#This Row],[VP]]-INDEX(crudeBD.lkup.complete[Mean_VP],MATCH(vp.tbl[[#This Row],[Crude_Breakdown]],crudeBD.lkup.complete[Crude Breakdown],0)))^2,"")</f>
        <v>34.267143415878117</v>
      </c>
      <c r="AN483" s="4">
        <f>IFERROR((vp.tbl[[#This Row],[Dens]]-INDEX(crudeBD.lkup.complete[Mean_Dens],MATCH(vp.tbl[[#This Row],[Crude_Breakdown]],crudeBD.lkup.complete[Crude Breakdown],0)))^2,"")</f>
        <v>20.401209059880724</v>
      </c>
      <c r="AO483" s="4">
        <f>IFERROR((vp.tbl[[#This Row],[Sulf]]-INDEX(crudeBD.lkup.complete[Mean_Sulf],MATCH(vp.tbl[[#This Row],[Crude_Breakdown]],crudeBD.lkup.complete[Crude Breakdown],0)))^2,"")</f>
        <v>6.9153835401708622E-2</v>
      </c>
      <c r="AP483">
        <f>IF(AND(vp.tbl[[#This Row],[SDate]]&gt;=DATE(YEAR(vp.tbl[[#This Row],[SDate]]),5,1),vp.tbl[[#This Row],[SDate]]&lt;=DATE(YEAR(vp.tbl[[#This Row],[SDate]]),9,15)),1,0)</f>
        <v>0</v>
      </c>
      <c r="AQ483" s="15">
        <f>IF(vp.tbl[[#This Row],[SDate]]&lt;DATE(2016,12,1),0,1)</f>
        <v>1</v>
      </c>
    </row>
    <row r="484" spans="1:43" x14ac:dyDescent="0.25">
      <c r="A484">
        <v>483</v>
      </c>
      <c r="B484" t="s">
        <v>62</v>
      </c>
      <c r="C484" t="s">
        <v>62</v>
      </c>
      <c r="D484" t="s">
        <v>63</v>
      </c>
      <c r="F484" s="1">
        <v>42737</v>
      </c>
      <c r="G484" s="2">
        <v>84.9</v>
      </c>
      <c r="H484" s="2"/>
      <c r="I484" s="2">
        <v>1.48</v>
      </c>
      <c r="J484" s="2">
        <v>13.6</v>
      </c>
      <c r="K484" s="2">
        <v>-29</v>
      </c>
      <c r="L484" s="2">
        <v>815.3</v>
      </c>
      <c r="M484" s="2">
        <v>815.3</v>
      </c>
      <c r="N484" s="2">
        <f ca="1">INDEX(INDIRECT(_xlfn.CONCAT("weather.tbl[",N$1,"]")),MATCH(vp.tbl[[#This Row],[SDate]],weather.tbl[Date],0))</f>
        <v>-17.766666666666669</v>
      </c>
      <c r="O484" s="2">
        <f ca="1">INDEX(INDIRECT(_xlfn.CONCAT("weather.tbl[",O$1,"]")),MATCH(vp.tbl[[#This Row],[SDate]],weather.tbl[Date],0))</f>
        <v>-12.373809523809525</v>
      </c>
      <c r="P484" s="2">
        <f ca="1">INDEX(INDIRECT(_xlfn.CONCAT("weather.tbl[",P$1,"]")),MATCH(vp.tbl[[#This Row],[SDate]],weather.tbl[Date],0))</f>
        <v>-16.399999999999999</v>
      </c>
      <c r="Q484" s="2">
        <f ca="1">INDEX(INDIRECT(_xlfn.CONCAT("weather.tbl[",Q$1,"]")),MATCH(vp.tbl[[#This Row],[SDate]],weather.tbl[Date],0))</f>
        <v>-18.100000000000001</v>
      </c>
      <c r="R484" s="2">
        <f ca="1">INDEX(INDIRECT(_xlfn.CONCAT("weather.tbl[",R$1,"]")),MATCH(vp.tbl[[#This Row],[SDate]],weather.tbl[Date],0))</f>
        <v>-16.5</v>
      </c>
      <c r="S484" s="2">
        <f ca="1">INDEX(INDIRECT(_xlfn.CONCAT("weather.tbl[",S$1,"]")),MATCH(vp.tbl[[#This Row],[SDate]],weather.tbl[Date],0))</f>
        <v>-18.7</v>
      </c>
      <c r="T484" s="2">
        <f ca="1">INDEX(INDIRECT(_xlfn.CONCAT("weather.tbl[",T$1,"]")),MATCH(vp.tbl[[#This Row],[SDate]],weather.tbl[Date],0))</f>
        <v>-17.100000000000001</v>
      </c>
      <c r="U484" s="2">
        <f ca="1">INDEX(INDIRECT(_xlfn.CONCAT("weather.tbl[",U$1,"]")),MATCH(vp.tbl[[#This Row],[SDate]],weather.tbl[Date],0))</f>
        <v>-19.8</v>
      </c>
      <c r="V484" s="2">
        <v>4893.7520000000004</v>
      </c>
      <c r="W484" t="s">
        <v>48</v>
      </c>
      <c r="X484">
        <f>IF(OR(vp.tbl[[#This Row],[Sulf]]="",vp.tbl[[#This Row],[Dens]]=""),1,0)</f>
        <v>0</v>
      </c>
      <c r="Y484">
        <f>IF(vp.tbl[[#This Row],[CrudeType]]="C5+",1,0)</f>
        <v>0</v>
      </c>
      <c r="Z484">
        <f>IF(AND(vp.tbl[[#This Row],[CrudeType]]="Crude",vp.tbl[[#This Row],[Dens]]&lt;=825,vp.tbl[[#This Row],[Sulf]]&gt;0.5,vp.tbl[[#This Row],[Unknown]]=0),1,0)</f>
        <v>1</v>
      </c>
      <c r="AA484">
        <f>IF(AND(vp.tbl[[#This Row],[CrudeType]]="Crude",vp.tbl[[#This Row],[Dens]]&lt;=825,vp.tbl[[#This Row],[Sulf]]&lt;=0.5,vp.tbl[[#This Row],[Unknown]]=0),1,0)</f>
        <v>0</v>
      </c>
      <c r="AB484">
        <f>IF(AND(vp.tbl[[#This Row],[CrudeType]]="Crude",vp.tbl[[#This Row],[Dens]]&gt;825,vp.tbl[[#This Row],[Dens]]&lt;=870,vp.tbl[[#This Row],[Sulf]]&gt;0.5,vp.tbl[[#This Row],[Unknown]]=0),1,0)</f>
        <v>0</v>
      </c>
      <c r="AC484">
        <f>IF(AND(vp.tbl[[#This Row],[CrudeType]]="Crude",vp.tbl[[#This Row],[Dens]]&gt;825,vp.tbl[[#This Row],[Dens]]&lt;=900,vp.tbl[[#This Row],[Sulf]]&lt;=0.5,vp.tbl[[#This Row],[Unknown]]=0),1,0)</f>
        <v>0</v>
      </c>
      <c r="AD484">
        <f>IF(AND(vp.tbl[[#This Row],[CrudeType]]="Crude",vp.tbl[[#This Row],[Dens]]&gt;870,vp.tbl[[#This Row],[Dens]]&lt;=900,vp.tbl[[#This Row],[Sulf]]&gt;0.5,vp.tbl[[#This Row],[Unknown]]=0),1,0)</f>
        <v>0</v>
      </c>
      <c r="AE484">
        <f>IF(AND(vp.tbl[[#This Row],[CrudeType]]="Crude",vp.tbl[[#This Row],[Dens]]&gt;900,vp.tbl[[#This Row],[Sulf]]&lt;=0.5,vp.tbl[[#This Row],[Unknown]]=0),1,0)</f>
        <v>0</v>
      </c>
      <c r="AF484">
        <f>IF(AND(vp.tbl[[#This Row],[CrudeType]]="Crude",vp.tbl[[#This Row],[Dens]]&gt;900,vp.tbl[[#This Row],[Sulf]]&lt;=0.5,vp.tbl[[#This Row],[Unknown]]=0),1,0)</f>
        <v>0</v>
      </c>
      <c r="AG484" t="str">
        <f>INDEX(vp.tbl[[#Headers],[Unknown]:[Heavy_SW]],MATCH(1,vp.tbl[[#This Row],[Unknown]:[Heavy_SW]],0))</f>
        <v>Light_LSB</v>
      </c>
      <c r="AH484" t="e">
        <f>INDEX([1]!crudeBD.lkup[Number],MATCH(vp.tbl[[#This Row],[Crude_Breakdown]],[1]!crudeBD.lkup[Crude Breakdown],0))</f>
        <v>#REF!</v>
      </c>
      <c r="AI484">
        <f>MONTH(vp.tbl[[#This Row],[SDate]])</f>
        <v>1</v>
      </c>
      <c r="AJ484" s="5">
        <f>IFERROR(vp.tbl[[#This Row],[Sulf]]*vp.tbl[[#This Row],[Net Dens]],"")</f>
        <v>5905016.4882880002</v>
      </c>
      <c r="AK484" s="5">
        <f>IFERROR(vp.tbl[[#This Row],[Dens]]*vp.tbl[[#This Row],[VolumeM3]],"")</f>
        <v>3989876.0056000003</v>
      </c>
      <c r="AL484" s="5">
        <f>IFERROR(vp.tbl[[#This Row],[VP]]*vp.tbl[[#This Row],[VolumeM3]],"")</f>
        <v>415479.54480000009</v>
      </c>
      <c r="AM484" s="4">
        <f>IFERROR((vp.tbl[[#This Row],[VP]]-INDEX(crudeBD.lkup.complete[Mean_VP],MATCH(vp.tbl[[#This Row],[Crude_Breakdown]],crudeBD.lkup.complete[Crude Breakdown],0)))^2,"")</f>
        <v>44.171782591136484</v>
      </c>
      <c r="AN484" s="4">
        <f>IFERROR((vp.tbl[[#This Row],[Dens]]-INDEX(crudeBD.lkup.complete[Mean_Dens],MATCH(vp.tbl[[#This Row],[Crude_Breakdown]],crudeBD.lkup.complete[Crude Breakdown],0)))^2,"")</f>
        <v>10.347607685311388</v>
      </c>
      <c r="AO484" s="4">
        <f>IFERROR((vp.tbl[[#This Row],[Sulf]]-INDEX(crudeBD.lkup.complete[Mean_Sulf],MATCH(vp.tbl[[#This Row],[Crude_Breakdown]],crudeBD.lkup.complete[Crude Breakdown],0)))^2,"")</f>
        <v>0.31028111925050628</v>
      </c>
      <c r="AP484">
        <f>IF(AND(vp.tbl[[#This Row],[SDate]]&gt;=DATE(YEAR(vp.tbl[[#This Row],[SDate]]),5,1),vp.tbl[[#This Row],[SDate]]&lt;=DATE(YEAR(vp.tbl[[#This Row],[SDate]]),9,15)),1,0)</f>
        <v>0</v>
      </c>
      <c r="AQ484" s="15">
        <f>IF(vp.tbl[[#This Row],[SDate]]&lt;DATE(2016,12,1),0,1)</f>
        <v>1</v>
      </c>
    </row>
    <row r="485" spans="1:43" x14ac:dyDescent="0.25">
      <c r="A485">
        <v>484</v>
      </c>
      <c r="B485" t="s">
        <v>49</v>
      </c>
      <c r="C485" t="s">
        <v>49</v>
      </c>
      <c r="D485" t="s">
        <v>67</v>
      </c>
      <c r="F485" s="1">
        <v>42737</v>
      </c>
      <c r="G485" s="2">
        <v>105.6</v>
      </c>
      <c r="H485" s="2"/>
      <c r="I485" s="2">
        <v>0.59</v>
      </c>
      <c r="J485" s="2">
        <v>8.3000000000000007</v>
      </c>
      <c r="K485" s="2">
        <v>-29</v>
      </c>
      <c r="L485" s="2">
        <v>816</v>
      </c>
      <c r="M485" s="2">
        <v>816</v>
      </c>
      <c r="N485" s="2">
        <f ca="1">INDEX(INDIRECT(_xlfn.CONCAT("weather.tbl[",N$1,"]")),MATCH(vp.tbl[[#This Row],[SDate]],weather.tbl[Date],0))</f>
        <v>-17.766666666666669</v>
      </c>
      <c r="O485" s="2">
        <f ca="1">INDEX(INDIRECT(_xlfn.CONCAT("weather.tbl[",O$1,"]")),MATCH(vp.tbl[[#This Row],[SDate]],weather.tbl[Date],0))</f>
        <v>-12.373809523809525</v>
      </c>
      <c r="P485" s="2">
        <f ca="1">INDEX(INDIRECT(_xlfn.CONCAT("weather.tbl[",P$1,"]")),MATCH(vp.tbl[[#This Row],[SDate]],weather.tbl[Date],0))</f>
        <v>-16.399999999999999</v>
      </c>
      <c r="Q485" s="2">
        <f ca="1">INDEX(INDIRECT(_xlfn.CONCAT("weather.tbl[",Q$1,"]")),MATCH(vp.tbl[[#This Row],[SDate]],weather.tbl[Date],0))</f>
        <v>-18.100000000000001</v>
      </c>
      <c r="R485" s="2">
        <f ca="1">INDEX(INDIRECT(_xlfn.CONCAT("weather.tbl[",R$1,"]")),MATCH(vp.tbl[[#This Row],[SDate]],weather.tbl[Date],0))</f>
        <v>-16.5</v>
      </c>
      <c r="S485" s="2">
        <f ca="1">INDEX(INDIRECT(_xlfn.CONCAT("weather.tbl[",S$1,"]")),MATCH(vp.tbl[[#This Row],[SDate]],weather.tbl[Date],0))</f>
        <v>-18.7</v>
      </c>
      <c r="T485" s="2">
        <f ca="1">INDEX(INDIRECT(_xlfn.CONCAT("weather.tbl[",T$1,"]")),MATCH(vp.tbl[[#This Row],[SDate]],weather.tbl[Date],0))</f>
        <v>-17.100000000000001</v>
      </c>
      <c r="U485" s="2">
        <f ca="1">INDEX(INDIRECT(_xlfn.CONCAT("weather.tbl[",U$1,"]")),MATCH(vp.tbl[[#This Row],[SDate]],weather.tbl[Date],0))</f>
        <v>-19.8</v>
      </c>
      <c r="V485" s="2">
        <v>122139.87</v>
      </c>
      <c r="W485" t="s">
        <v>48</v>
      </c>
      <c r="X485">
        <f>IF(OR(vp.tbl[[#This Row],[Sulf]]="",vp.tbl[[#This Row],[Dens]]=""),1,0)</f>
        <v>0</v>
      </c>
      <c r="Y485">
        <f>IF(vp.tbl[[#This Row],[CrudeType]]="C5+",1,0)</f>
        <v>0</v>
      </c>
      <c r="Z485">
        <f>IF(AND(vp.tbl[[#This Row],[CrudeType]]="Crude",vp.tbl[[#This Row],[Dens]]&lt;=825,vp.tbl[[#This Row],[Sulf]]&gt;0.5,vp.tbl[[#This Row],[Unknown]]=0),1,0)</f>
        <v>1</v>
      </c>
      <c r="AA485">
        <f>IF(AND(vp.tbl[[#This Row],[CrudeType]]="Crude",vp.tbl[[#This Row],[Dens]]&lt;=825,vp.tbl[[#This Row],[Sulf]]&lt;=0.5,vp.tbl[[#This Row],[Unknown]]=0),1,0)</f>
        <v>0</v>
      </c>
      <c r="AB485">
        <f>IF(AND(vp.tbl[[#This Row],[CrudeType]]="Crude",vp.tbl[[#This Row],[Dens]]&gt;825,vp.tbl[[#This Row],[Dens]]&lt;=870,vp.tbl[[#This Row],[Sulf]]&gt;0.5,vp.tbl[[#This Row],[Unknown]]=0),1,0)</f>
        <v>0</v>
      </c>
      <c r="AC485">
        <f>IF(AND(vp.tbl[[#This Row],[CrudeType]]="Crude",vp.tbl[[#This Row],[Dens]]&gt;825,vp.tbl[[#This Row],[Dens]]&lt;=900,vp.tbl[[#This Row],[Sulf]]&lt;=0.5,vp.tbl[[#This Row],[Unknown]]=0),1,0)</f>
        <v>0</v>
      </c>
      <c r="AD485">
        <f>IF(AND(vp.tbl[[#This Row],[CrudeType]]="Crude",vp.tbl[[#This Row],[Dens]]&gt;870,vp.tbl[[#This Row],[Dens]]&lt;=900,vp.tbl[[#This Row],[Sulf]]&gt;0.5,vp.tbl[[#This Row],[Unknown]]=0),1,0)</f>
        <v>0</v>
      </c>
      <c r="AE485">
        <f>IF(AND(vp.tbl[[#This Row],[CrudeType]]="Crude",vp.tbl[[#This Row],[Dens]]&gt;900,vp.tbl[[#This Row],[Sulf]]&lt;=0.5,vp.tbl[[#This Row],[Unknown]]=0),1,0)</f>
        <v>0</v>
      </c>
      <c r="AF485">
        <f>IF(AND(vp.tbl[[#This Row],[CrudeType]]="Crude",vp.tbl[[#This Row],[Dens]]&gt;900,vp.tbl[[#This Row],[Sulf]]&lt;=0.5,vp.tbl[[#This Row],[Unknown]]=0),1,0)</f>
        <v>0</v>
      </c>
      <c r="AG485" t="str">
        <f>INDEX(vp.tbl[[#Headers],[Unknown]:[Heavy_SW]],MATCH(1,vp.tbl[[#This Row],[Unknown]:[Heavy_SW]],0))</f>
        <v>Light_LSB</v>
      </c>
      <c r="AH485" t="e">
        <f>INDEX([1]!crudeBD.lkup[Number],MATCH(vp.tbl[[#This Row],[Crude_Breakdown]],[1]!crudeBD.lkup[Crude Breakdown],0))</f>
        <v>#REF!</v>
      </c>
      <c r="AI485">
        <f>MONTH(vp.tbl[[#This Row],[SDate]])</f>
        <v>1</v>
      </c>
      <c r="AJ485" s="5">
        <f>IFERROR(vp.tbl[[#This Row],[Sulf]]*vp.tbl[[#This Row],[Net Dens]],"")</f>
        <v>58803019.012800001</v>
      </c>
      <c r="AK485" s="5">
        <f>IFERROR(vp.tbl[[#This Row],[Dens]]*vp.tbl[[#This Row],[VolumeM3]],"")</f>
        <v>99666133.920000002</v>
      </c>
      <c r="AL485" s="5">
        <f>IFERROR(vp.tbl[[#This Row],[VP]]*vp.tbl[[#This Row],[VolumeM3]],"")</f>
        <v>12897970.271999998</v>
      </c>
      <c r="AM485" s="4">
        <f>IFERROR((vp.tbl[[#This Row],[VP]]-INDEX(crudeBD.lkup.complete[Mean_VP],MATCH(vp.tbl[[#This Row],[Crude_Breakdown]],crudeBD.lkup.complete[Crude Breakdown],0)))^2,"")</f>
        <v>197.50970011690831</v>
      </c>
      <c r="AN485" s="4">
        <f>IFERROR((vp.tbl[[#This Row],[Dens]]-INDEX(crudeBD.lkup.complete[Mean_Dens],MATCH(vp.tbl[[#This Row],[Crude_Breakdown]],crudeBD.lkup.complete[Crude Breakdown],0)))^2,"")</f>
        <v>6.3341300220812942</v>
      </c>
      <c r="AO485" s="4">
        <f>IFERROR((vp.tbl[[#This Row],[Sulf]]-INDEX(crudeBD.lkup.complete[Mean_Sulf],MATCH(vp.tbl[[#This Row],[Crude_Breakdown]],crudeBD.lkup.complete[Crude Breakdown],0)))^2,"")</f>
        <v>0.11086979897559178</v>
      </c>
      <c r="AP485">
        <f>IF(AND(vp.tbl[[#This Row],[SDate]]&gt;=DATE(YEAR(vp.tbl[[#This Row],[SDate]]),5,1),vp.tbl[[#This Row],[SDate]]&lt;=DATE(YEAR(vp.tbl[[#This Row],[SDate]]),9,15)),1,0)</f>
        <v>0</v>
      </c>
      <c r="AQ485" s="15">
        <f>IF(vp.tbl[[#This Row],[SDate]]&lt;DATE(2016,12,1),0,1)</f>
        <v>1</v>
      </c>
    </row>
    <row r="486" spans="1:43" x14ac:dyDescent="0.25">
      <c r="A486">
        <v>485</v>
      </c>
      <c r="B486" t="s">
        <v>49</v>
      </c>
      <c r="C486" t="s">
        <v>49</v>
      </c>
      <c r="D486" t="s">
        <v>89</v>
      </c>
      <c r="F486" s="1">
        <v>42737</v>
      </c>
      <c r="G486" s="2">
        <v>104.1</v>
      </c>
      <c r="H486" s="2"/>
      <c r="I486" s="2">
        <v>0.7</v>
      </c>
      <c r="J486" s="2">
        <v>0.45</v>
      </c>
      <c r="K486" s="2">
        <v>-29</v>
      </c>
      <c r="L486" s="2">
        <v>820.6</v>
      </c>
      <c r="M486" s="2">
        <v>820.6</v>
      </c>
      <c r="N486" s="2">
        <f ca="1">INDEX(INDIRECT(_xlfn.CONCAT("weather.tbl[",N$1,"]")),MATCH(vp.tbl[[#This Row],[SDate]],weather.tbl[Date],0))</f>
        <v>-17.766666666666669</v>
      </c>
      <c r="O486" s="2">
        <f ca="1">INDEX(INDIRECT(_xlfn.CONCAT("weather.tbl[",O$1,"]")),MATCH(vp.tbl[[#This Row],[SDate]],weather.tbl[Date],0))</f>
        <v>-12.373809523809525</v>
      </c>
      <c r="P486" s="2">
        <f ca="1">INDEX(INDIRECT(_xlfn.CONCAT("weather.tbl[",P$1,"]")),MATCH(vp.tbl[[#This Row],[SDate]],weather.tbl[Date],0))</f>
        <v>-16.399999999999999</v>
      </c>
      <c r="Q486" s="2">
        <f ca="1">INDEX(INDIRECT(_xlfn.CONCAT("weather.tbl[",Q$1,"]")),MATCH(vp.tbl[[#This Row],[SDate]],weather.tbl[Date],0))</f>
        <v>-18.100000000000001</v>
      </c>
      <c r="R486" s="2">
        <f ca="1">INDEX(INDIRECT(_xlfn.CONCAT("weather.tbl[",R$1,"]")),MATCH(vp.tbl[[#This Row],[SDate]],weather.tbl[Date],0))</f>
        <v>-16.5</v>
      </c>
      <c r="S486" s="2">
        <f ca="1">INDEX(INDIRECT(_xlfn.CONCAT("weather.tbl[",S$1,"]")),MATCH(vp.tbl[[#This Row],[SDate]],weather.tbl[Date],0))</f>
        <v>-18.7</v>
      </c>
      <c r="T486" s="2">
        <f ca="1">INDEX(INDIRECT(_xlfn.CONCAT("weather.tbl[",T$1,"]")),MATCH(vp.tbl[[#This Row],[SDate]],weather.tbl[Date],0))</f>
        <v>-17.100000000000001</v>
      </c>
      <c r="U486" s="2">
        <f ca="1">INDEX(INDIRECT(_xlfn.CONCAT("weather.tbl[",U$1,"]")),MATCH(vp.tbl[[#This Row],[SDate]],weather.tbl[Date],0))</f>
        <v>-19.8</v>
      </c>
      <c r="V486" s="2">
        <v>6179.5609999999997</v>
      </c>
      <c r="W486" t="s">
        <v>48</v>
      </c>
      <c r="X486">
        <f>IF(OR(vp.tbl[[#This Row],[Sulf]]="",vp.tbl[[#This Row],[Dens]]=""),1,0)</f>
        <v>0</v>
      </c>
      <c r="Y486">
        <f>IF(vp.tbl[[#This Row],[CrudeType]]="C5+",1,0)</f>
        <v>0</v>
      </c>
      <c r="Z486">
        <f>IF(AND(vp.tbl[[#This Row],[CrudeType]]="Crude",vp.tbl[[#This Row],[Dens]]&lt;=825,vp.tbl[[#This Row],[Sulf]]&gt;0.5,vp.tbl[[#This Row],[Unknown]]=0),1,0)</f>
        <v>1</v>
      </c>
      <c r="AA486">
        <f>IF(AND(vp.tbl[[#This Row],[CrudeType]]="Crude",vp.tbl[[#This Row],[Dens]]&lt;=825,vp.tbl[[#This Row],[Sulf]]&lt;=0.5,vp.tbl[[#This Row],[Unknown]]=0),1,0)</f>
        <v>0</v>
      </c>
      <c r="AB486">
        <f>IF(AND(vp.tbl[[#This Row],[CrudeType]]="Crude",vp.tbl[[#This Row],[Dens]]&gt;825,vp.tbl[[#This Row],[Dens]]&lt;=870,vp.tbl[[#This Row],[Sulf]]&gt;0.5,vp.tbl[[#This Row],[Unknown]]=0),1,0)</f>
        <v>0</v>
      </c>
      <c r="AC486">
        <f>IF(AND(vp.tbl[[#This Row],[CrudeType]]="Crude",vp.tbl[[#This Row],[Dens]]&gt;825,vp.tbl[[#This Row],[Dens]]&lt;=900,vp.tbl[[#This Row],[Sulf]]&lt;=0.5,vp.tbl[[#This Row],[Unknown]]=0),1,0)</f>
        <v>0</v>
      </c>
      <c r="AD486">
        <f>IF(AND(vp.tbl[[#This Row],[CrudeType]]="Crude",vp.tbl[[#This Row],[Dens]]&gt;870,vp.tbl[[#This Row],[Dens]]&lt;=900,vp.tbl[[#This Row],[Sulf]]&gt;0.5,vp.tbl[[#This Row],[Unknown]]=0),1,0)</f>
        <v>0</v>
      </c>
      <c r="AE486">
        <f>IF(AND(vp.tbl[[#This Row],[CrudeType]]="Crude",vp.tbl[[#This Row],[Dens]]&gt;900,vp.tbl[[#This Row],[Sulf]]&lt;=0.5,vp.tbl[[#This Row],[Unknown]]=0),1,0)</f>
        <v>0</v>
      </c>
      <c r="AF486">
        <f>IF(AND(vp.tbl[[#This Row],[CrudeType]]="Crude",vp.tbl[[#This Row],[Dens]]&gt;900,vp.tbl[[#This Row],[Sulf]]&lt;=0.5,vp.tbl[[#This Row],[Unknown]]=0),1,0)</f>
        <v>0</v>
      </c>
      <c r="AG486" t="str">
        <f>INDEX(vp.tbl[[#Headers],[Unknown]:[Heavy_SW]],MATCH(1,vp.tbl[[#This Row],[Unknown]:[Heavy_SW]],0))</f>
        <v>Light_LSB</v>
      </c>
      <c r="AH486" t="e">
        <f>INDEX([1]!crudeBD.lkup[Number],MATCH(vp.tbl[[#This Row],[Crude_Breakdown]],[1]!crudeBD.lkup[Crude Breakdown],0))</f>
        <v>#REF!</v>
      </c>
      <c r="AI486">
        <f>MONTH(vp.tbl[[#This Row],[SDate]])</f>
        <v>1</v>
      </c>
      <c r="AJ486" s="5">
        <f>IFERROR(vp.tbl[[#This Row],[Sulf]]*vp.tbl[[#This Row],[Net Dens]],"")</f>
        <v>3549663.4296199996</v>
      </c>
      <c r="AK486" s="5">
        <f>IFERROR(vp.tbl[[#This Row],[Dens]]*vp.tbl[[#This Row],[VolumeM3]],"")</f>
        <v>5070947.7566</v>
      </c>
      <c r="AL486" s="5">
        <f>IFERROR(vp.tbl[[#This Row],[VP]]*vp.tbl[[#This Row],[VolumeM3]],"")</f>
        <v>643292.30009999988</v>
      </c>
      <c r="AM486" s="4">
        <f>IFERROR((vp.tbl[[#This Row],[VP]]-INDEX(crudeBD.lkup.complete[Mean_VP],MATCH(vp.tbl[[#This Row],[Crude_Breakdown]],crudeBD.lkup.complete[Crude Breakdown],0)))^2,"")</f>
        <v>157.59825681793936</v>
      </c>
      <c r="AN486" s="4">
        <f>IFERROR((vp.tbl[[#This Row],[Dens]]-INDEX(crudeBD.lkup.complete[Mean_Dens],MATCH(vp.tbl[[#This Row],[Crude_Breakdown]],crudeBD.lkup.complete[Crude Breakdown],0)))^2,"")</f>
        <v>4.3398482351426981</v>
      </c>
      <c r="AO486" s="4">
        <f>IFERROR((vp.tbl[[#This Row],[Sulf]]-INDEX(crudeBD.lkup.complete[Mean_Sulf],MATCH(vp.tbl[[#This Row],[Crude_Breakdown]],crudeBD.lkup.complete[Crude Breakdown],0)))^2,"")</f>
        <v>4.9716141930918292E-2</v>
      </c>
      <c r="AP486">
        <f>IF(AND(vp.tbl[[#This Row],[SDate]]&gt;=DATE(YEAR(vp.tbl[[#This Row],[SDate]]),5,1),vp.tbl[[#This Row],[SDate]]&lt;=DATE(YEAR(vp.tbl[[#This Row],[SDate]]),9,15)),1,0)</f>
        <v>0</v>
      </c>
      <c r="AQ486" s="15">
        <f>IF(vp.tbl[[#This Row],[SDate]]&lt;DATE(2016,12,1),0,1)</f>
        <v>1</v>
      </c>
    </row>
    <row r="487" spans="1:43" x14ac:dyDescent="0.25">
      <c r="A487">
        <v>486</v>
      </c>
      <c r="B487" t="s">
        <v>49</v>
      </c>
      <c r="C487" t="s">
        <v>49</v>
      </c>
      <c r="D487" t="s">
        <v>92</v>
      </c>
      <c r="F487" s="1">
        <v>42737</v>
      </c>
      <c r="G487" s="2">
        <v>82.1</v>
      </c>
      <c r="H487" s="2"/>
      <c r="I487" s="2">
        <v>0.68</v>
      </c>
      <c r="J487" s="2">
        <v>-15.1</v>
      </c>
      <c r="K487" s="2">
        <v>-29</v>
      </c>
      <c r="L487" s="2">
        <v>821</v>
      </c>
      <c r="M487" s="2">
        <v>821</v>
      </c>
      <c r="N487" s="2">
        <f ca="1">INDEX(INDIRECT(_xlfn.CONCAT("weather.tbl[",N$1,"]")),MATCH(vp.tbl[[#This Row],[SDate]],weather.tbl[Date],0))</f>
        <v>-17.766666666666669</v>
      </c>
      <c r="O487" s="2">
        <f ca="1">INDEX(INDIRECT(_xlfn.CONCAT("weather.tbl[",O$1,"]")),MATCH(vp.tbl[[#This Row],[SDate]],weather.tbl[Date],0))</f>
        <v>-12.373809523809525</v>
      </c>
      <c r="P487" s="2">
        <f ca="1">INDEX(INDIRECT(_xlfn.CONCAT("weather.tbl[",P$1,"]")),MATCH(vp.tbl[[#This Row],[SDate]],weather.tbl[Date],0))</f>
        <v>-16.399999999999999</v>
      </c>
      <c r="Q487" s="2">
        <f ca="1">INDEX(INDIRECT(_xlfn.CONCAT("weather.tbl[",Q$1,"]")),MATCH(vp.tbl[[#This Row],[SDate]],weather.tbl[Date],0))</f>
        <v>-18.100000000000001</v>
      </c>
      <c r="R487" s="2">
        <f ca="1">INDEX(INDIRECT(_xlfn.CONCAT("weather.tbl[",R$1,"]")),MATCH(vp.tbl[[#This Row],[SDate]],weather.tbl[Date],0))</f>
        <v>-16.5</v>
      </c>
      <c r="S487" s="2">
        <f ca="1">INDEX(INDIRECT(_xlfn.CONCAT("weather.tbl[",S$1,"]")),MATCH(vp.tbl[[#This Row],[SDate]],weather.tbl[Date],0))</f>
        <v>-18.7</v>
      </c>
      <c r="T487" s="2">
        <f ca="1">INDEX(INDIRECT(_xlfn.CONCAT("weather.tbl[",T$1,"]")),MATCH(vp.tbl[[#This Row],[SDate]],weather.tbl[Date],0))</f>
        <v>-17.100000000000001</v>
      </c>
      <c r="U487" s="2">
        <f ca="1">INDEX(INDIRECT(_xlfn.CONCAT("weather.tbl[",U$1,"]")),MATCH(vp.tbl[[#This Row],[SDate]],weather.tbl[Date],0))</f>
        <v>-19.8</v>
      </c>
      <c r="V487" s="2">
        <v>25785.918000000001</v>
      </c>
      <c r="W487" t="s">
        <v>48</v>
      </c>
      <c r="X487">
        <f>IF(OR(vp.tbl[[#This Row],[Sulf]]="",vp.tbl[[#This Row],[Dens]]=""),1,0)</f>
        <v>0</v>
      </c>
      <c r="Y487">
        <f>IF(vp.tbl[[#This Row],[CrudeType]]="C5+",1,0)</f>
        <v>0</v>
      </c>
      <c r="Z487">
        <f>IF(AND(vp.tbl[[#This Row],[CrudeType]]="Crude",vp.tbl[[#This Row],[Dens]]&lt;=825,vp.tbl[[#This Row],[Sulf]]&gt;0.5,vp.tbl[[#This Row],[Unknown]]=0),1,0)</f>
        <v>1</v>
      </c>
      <c r="AA487">
        <f>IF(AND(vp.tbl[[#This Row],[CrudeType]]="Crude",vp.tbl[[#This Row],[Dens]]&lt;=825,vp.tbl[[#This Row],[Sulf]]&lt;=0.5,vp.tbl[[#This Row],[Unknown]]=0),1,0)</f>
        <v>0</v>
      </c>
      <c r="AB487">
        <f>IF(AND(vp.tbl[[#This Row],[CrudeType]]="Crude",vp.tbl[[#This Row],[Dens]]&gt;825,vp.tbl[[#This Row],[Dens]]&lt;=870,vp.tbl[[#This Row],[Sulf]]&gt;0.5,vp.tbl[[#This Row],[Unknown]]=0),1,0)</f>
        <v>0</v>
      </c>
      <c r="AC487">
        <f>IF(AND(vp.tbl[[#This Row],[CrudeType]]="Crude",vp.tbl[[#This Row],[Dens]]&gt;825,vp.tbl[[#This Row],[Dens]]&lt;=900,vp.tbl[[#This Row],[Sulf]]&lt;=0.5,vp.tbl[[#This Row],[Unknown]]=0),1,0)</f>
        <v>0</v>
      </c>
      <c r="AD487">
        <f>IF(AND(vp.tbl[[#This Row],[CrudeType]]="Crude",vp.tbl[[#This Row],[Dens]]&gt;870,vp.tbl[[#This Row],[Dens]]&lt;=900,vp.tbl[[#This Row],[Sulf]]&gt;0.5,vp.tbl[[#This Row],[Unknown]]=0),1,0)</f>
        <v>0</v>
      </c>
      <c r="AE487">
        <f>IF(AND(vp.tbl[[#This Row],[CrudeType]]="Crude",vp.tbl[[#This Row],[Dens]]&gt;900,vp.tbl[[#This Row],[Sulf]]&lt;=0.5,vp.tbl[[#This Row],[Unknown]]=0),1,0)</f>
        <v>0</v>
      </c>
      <c r="AF487">
        <f>IF(AND(vp.tbl[[#This Row],[CrudeType]]="Crude",vp.tbl[[#This Row],[Dens]]&gt;900,vp.tbl[[#This Row],[Sulf]]&lt;=0.5,vp.tbl[[#This Row],[Unknown]]=0),1,0)</f>
        <v>0</v>
      </c>
      <c r="AG487" t="str">
        <f>INDEX(vp.tbl[[#Headers],[Unknown]:[Heavy_SW]],MATCH(1,vp.tbl[[#This Row],[Unknown]:[Heavy_SW]],0))</f>
        <v>Light_LSB</v>
      </c>
      <c r="AH487" t="e">
        <f>INDEX([1]!crudeBD.lkup[Number],MATCH(vp.tbl[[#This Row],[Crude_Breakdown]],[1]!crudeBD.lkup[Crude Breakdown],0))</f>
        <v>#REF!</v>
      </c>
      <c r="AI487">
        <f>MONTH(vp.tbl[[#This Row],[SDate]])</f>
        <v>1</v>
      </c>
      <c r="AJ487" s="5">
        <f>IFERROR(vp.tbl[[#This Row],[Sulf]]*vp.tbl[[#This Row],[Net Dens]],"")</f>
        <v>14395762.301040001</v>
      </c>
      <c r="AK487" s="5">
        <f>IFERROR(vp.tbl[[#This Row],[Dens]]*vp.tbl[[#This Row],[VolumeM3]],"")</f>
        <v>21170238.677999999</v>
      </c>
      <c r="AL487" s="5">
        <f>IFERROR(vp.tbl[[#This Row],[VP]]*vp.tbl[[#This Row],[VolumeM3]],"")</f>
        <v>2117023.8678000001</v>
      </c>
      <c r="AM487" s="4">
        <f>IFERROR((vp.tbl[[#This Row],[VP]]-INDEX(crudeBD.lkup.complete[Mean_VP],MATCH(vp.tbl[[#This Row],[Crude_Breakdown]],crudeBD.lkup.complete[Crude Breakdown],0)))^2,"")</f>
        <v>89.230421766394571</v>
      </c>
      <c r="AN487" s="4">
        <f>IFERROR((vp.tbl[[#This Row],[Dens]]-INDEX(crudeBD.lkup.complete[Mean_Dens],MATCH(vp.tbl[[#This Row],[Crude_Breakdown]],crudeBD.lkup.complete[Crude Breakdown],0)))^2,"")</f>
        <v>6.1664324275827171</v>
      </c>
      <c r="AO487" s="4">
        <f>IFERROR((vp.tbl[[#This Row],[Sulf]]-INDEX(crudeBD.lkup.complete[Mean_Sulf],MATCH(vp.tbl[[#This Row],[Crude_Breakdown]],crudeBD.lkup.complete[Crude Breakdown],0)))^2,"")</f>
        <v>5.9034988666313432E-2</v>
      </c>
      <c r="AP487">
        <f>IF(AND(vp.tbl[[#This Row],[SDate]]&gt;=DATE(YEAR(vp.tbl[[#This Row],[SDate]]),5,1),vp.tbl[[#This Row],[SDate]]&lt;=DATE(YEAR(vp.tbl[[#This Row],[SDate]]),9,15)),1,0)</f>
        <v>0</v>
      </c>
      <c r="AQ487" s="15">
        <f>IF(vp.tbl[[#This Row],[SDate]]&lt;DATE(2016,12,1),0,1)</f>
        <v>1</v>
      </c>
    </row>
    <row r="488" spans="1:43" x14ac:dyDescent="0.25">
      <c r="A488">
        <v>487</v>
      </c>
      <c r="B488" t="s">
        <v>56</v>
      </c>
      <c r="C488" t="s">
        <v>56</v>
      </c>
      <c r="D488" t="s">
        <v>57</v>
      </c>
      <c r="F488" s="1">
        <v>42737</v>
      </c>
      <c r="G488" s="2">
        <v>96.6</v>
      </c>
      <c r="H488" s="2"/>
      <c r="I488" s="2">
        <v>1.68</v>
      </c>
      <c r="J488" s="2">
        <v>8.6</v>
      </c>
      <c r="K488" s="2">
        <v>-29</v>
      </c>
      <c r="L488" s="2">
        <v>845.1</v>
      </c>
      <c r="M488" s="2">
        <v>845.1</v>
      </c>
      <c r="N488" s="2">
        <f ca="1">INDEX(INDIRECT(_xlfn.CONCAT("weather.tbl[",N$1,"]")),MATCH(vp.tbl[[#This Row],[SDate]],weather.tbl[Date],0))</f>
        <v>-17.766666666666669</v>
      </c>
      <c r="O488" s="2">
        <f ca="1">INDEX(INDIRECT(_xlfn.CONCAT("weather.tbl[",O$1,"]")),MATCH(vp.tbl[[#This Row],[SDate]],weather.tbl[Date],0))</f>
        <v>-12.373809523809525</v>
      </c>
      <c r="P488" s="2">
        <f ca="1">INDEX(INDIRECT(_xlfn.CONCAT("weather.tbl[",P$1,"]")),MATCH(vp.tbl[[#This Row],[SDate]],weather.tbl[Date],0))</f>
        <v>-16.399999999999999</v>
      </c>
      <c r="Q488" s="2">
        <f ca="1">INDEX(INDIRECT(_xlfn.CONCAT("weather.tbl[",Q$1,"]")),MATCH(vp.tbl[[#This Row],[SDate]],weather.tbl[Date],0))</f>
        <v>-18.100000000000001</v>
      </c>
      <c r="R488" s="2">
        <f ca="1">INDEX(INDIRECT(_xlfn.CONCAT("weather.tbl[",R$1,"]")),MATCH(vp.tbl[[#This Row],[SDate]],weather.tbl[Date],0))</f>
        <v>-16.5</v>
      </c>
      <c r="S488" s="2">
        <f ca="1">INDEX(INDIRECT(_xlfn.CONCAT("weather.tbl[",S$1,"]")),MATCH(vp.tbl[[#This Row],[SDate]],weather.tbl[Date],0))</f>
        <v>-18.7</v>
      </c>
      <c r="T488" s="2">
        <f ca="1">INDEX(INDIRECT(_xlfn.CONCAT("weather.tbl[",T$1,"]")),MATCH(vp.tbl[[#This Row],[SDate]],weather.tbl[Date],0))</f>
        <v>-17.100000000000001</v>
      </c>
      <c r="U488" s="2">
        <f ca="1">INDEX(INDIRECT(_xlfn.CONCAT("weather.tbl[",U$1,"]")),MATCH(vp.tbl[[#This Row],[SDate]],weather.tbl[Date],0))</f>
        <v>-19.8</v>
      </c>
      <c r="V488" s="2">
        <v>3079.645</v>
      </c>
      <c r="W488" t="s">
        <v>48</v>
      </c>
      <c r="X488">
        <f>IF(OR(vp.tbl[[#This Row],[Sulf]]="",vp.tbl[[#This Row],[Dens]]=""),1,0)</f>
        <v>0</v>
      </c>
      <c r="Y488">
        <f>IF(vp.tbl[[#This Row],[CrudeType]]="C5+",1,0)</f>
        <v>0</v>
      </c>
      <c r="Z488">
        <f>IF(AND(vp.tbl[[#This Row],[CrudeType]]="Crude",vp.tbl[[#This Row],[Dens]]&lt;=825,vp.tbl[[#This Row],[Sulf]]&gt;0.5,vp.tbl[[#This Row],[Unknown]]=0),1,0)</f>
        <v>0</v>
      </c>
      <c r="AA488">
        <f>IF(AND(vp.tbl[[#This Row],[CrudeType]]="Crude",vp.tbl[[#This Row],[Dens]]&lt;=825,vp.tbl[[#This Row],[Sulf]]&lt;=0.5,vp.tbl[[#This Row],[Unknown]]=0),1,0)</f>
        <v>0</v>
      </c>
      <c r="AB488">
        <f>IF(AND(vp.tbl[[#This Row],[CrudeType]]="Crude",vp.tbl[[#This Row],[Dens]]&gt;825,vp.tbl[[#This Row],[Dens]]&lt;=870,vp.tbl[[#This Row],[Sulf]]&gt;0.5,vp.tbl[[#This Row],[Unknown]]=0),1,0)</f>
        <v>1</v>
      </c>
      <c r="AC488">
        <f>IF(AND(vp.tbl[[#This Row],[CrudeType]]="Crude",vp.tbl[[#This Row],[Dens]]&gt;825,vp.tbl[[#This Row],[Dens]]&lt;=900,vp.tbl[[#This Row],[Sulf]]&lt;=0.5,vp.tbl[[#This Row],[Unknown]]=0),1,0)</f>
        <v>0</v>
      </c>
      <c r="AD488">
        <f>IF(AND(vp.tbl[[#This Row],[CrudeType]]="Crude",vp.tbl[[#This Row],[Dens]]&gt;870,vp.tbl[[#This Row],[Dens]]&lt;=900,vp.tbl[[#This Row],[Sulf]]&gt;0.5,vp.tbl[[#This Row],[Unknown]]=0),1,0)</f>
        <v>0</v>
      </c>
      <c r="AE488">
        <f>IF(AND(vp.tbl[[#This Row],[CrudeType]]="Crude",vp.tbl[[#This Row],[Dens]]&gt;900,vp.tbl[[#This Row],[Sulf]]&lt;=0.5,vp.tbl[[#This Row],[Unknown]]=0),1,0)</f>
        <v>0</v>
      </c>
      <c r="AF488">
        <f>IF(AND(vp.tbl[[#This Row],[CrudeType]]="Crude",vp.tbl[[#This Row],[Dens]]&gt;900,vp.tbl[[#This Row],[Sulf]]&lt;=0.5,vp.tbl[[#This Row],[Unknown]]=0),1,0)</f>
        <v>0</v>
      </c>
      <c r="AG488" t="str">
        <f>INDEX(vp.tbl[[#Headers],[Unknown]:[Heavy_SW]],MATCH(1,vp.tbl[[#This Row],[Unknown]:[Heavy_SW]],0))</f>
        <v>Medium_LSB</v>
      </c>
      <c r="AH488" t="e">
        <f>INDEX([1]!crudeBD.lkup[Number],MATCH(vp.tbl[[#This Row],[Crude_Breakdown]],[1]!crudeBD.lkup[Crude Breakdown],0))</f>
        <v>#REF!</v>
      </c>
      <c r="AI488">
        <f>MONTH(vp.tbl[[#This Row],[SDate]])</f>
        <v>1</v>
      </c>
      <c r="AJ488" s="5">
        <f>IFERROR(vp.tbl[[#This Row],[Sulf]]*vp.tbl[[#This Row],[Net Dens]],"")</f>
        <v>4372381.4223600002</v>
      </c>
      <c r="AK488" s="5">
        <f>IFERROR(vp.tbl[[#This Row],[Dens]]*vp.tbl[[#This Row],[VolumeM3]],"")</f>
        <v>2602607.9895000001</v>
      </c>
      <c r="AL488" s="5">
        <f>IFERROR(vp.tbl[[#This Row],[VP]]*vp.tbl[[#This Row],[VolumeM3]],"")</f>
        <v>297493.70699999999</v>
      </c>
      <c r="AM488" s="4">
        <f>IFERROR((vp.tbl[[#This Row],[VP]]-INDEX(crudeBD.lkup.complete[Mean_VP],MATCH(vp.tbl[[#This Row],[Crude_Breakdown]],crudeBD.lkup.complete[Crude Breakdown],0)))^2,"")</f>
        <v>269.82678330331782</v>
      </c>
      <c r="AN488" s="4">
        <f>IFERROR((vp.tbl[[#This Row],[Dens]]-INDEX(crudeBD.lkup.complete[Mean_Dens],MATCH(vp.tbl[[#This Row],[Crude_Breakdown]],crudeBD.lkup.complete[Crude Breakdown],0)))^2,"")</f>
        <v>3.6795980771925647E-2</v>
      </c>
      <c r="AO488" s="4">
        <f>IFERROR((vp.tbl[[#This Row],[Sulf]]-INDEX(crudeBD.lkup.complete[Mean_Sulf],MATCH(vp.tbl[[#This Row],[Crude_Breakdown]],crudeBD.lkup.complete[Crude Breakdown],0)))^2,"")</f>
        <v>5.0656567577740209E-2</v>
      </c>
      <c r="AP488">
        <f>IF(AND(vp.tbl[[#This Row],[SDate]]&gt;=DATE(YEAR(vp.tbl[[#This Row],[SDate]]),5,1),vp.tbl[[#This Row],[SDate]]&lt;=DATE(YEAR(vp.tbl[[#This Row],[SDate]]),9,15)),1,0)</f>
        <v>0</v>
      </c>
      <c r="AQ488" s="15">
        <f>IF(vp.tbl[[#This Row],[SDate]]&lt;DATE(2016,12,1),0,1)</f>
        <v>1</v>
      </c>
    </row>
    <row r="489" spans="1:43" x14ac:dyDescent="0.25">
      <c r="A489">
        <v>488</v>
      </c>
      <c r="B489" t="s">
        <v>51</v>
      </c>
      <c r="C489" t="s">
        <v>51</v>
      </c>
      <c r="D489" t="s">
        <v>58</v>
      </c>
      <c r="F489" s="1">
        <v>42737</v>
      </c>
      <c r="G489" s="2">
        <v>85.4</v>
      </c>
      <c r="H489" s="2"/>
      <c r="I489" s="2">
        <v>1.64</v>
      </c>
      <c r="J489" s="2">
        <v>24</v>
      </c>
      <c r="K489" s="2">
        <v>-29</v>
      </c>
      <c r="L489" s="2">
        <v>857.1</v>
      </c>
      <c r="M489" s="2">
        <v>857.1</v>
      </c>
      <c r="N489" s="2">
        <f ca="1">INDEX(INDIRECT(_xlfn.CONCAT("weather.tbl[",N$1,"]")),MATCH(vp.tbl[[#This Row],[SDate]],weather.tbl[Date],0))</f>
        <v>-17.766666666666669</v>
      </c>
      <c r="O489" s="2">
        <f ca="1">INDEX(INDIRECT(_xlfn.CONCAT("weather.tbl[",O$1,"]")),MATCH(vp.tbl[[#This Row],[SDate]],weather.tbl[Date],0))</f>
        <v>-12.373809523809525</v>
      </c>
      <c r="P489" s="2">
        <f ca="1">INDEX(INDIRECT(_xlfn.CONCAT("weather.tbl[",P$1,"]")),MATCH(vp.tbl[[#This Row],[SDate]],weather.tbl[Date],0))</f>
        <v>-16.399999999999999</v>
      </c>
      <c r="Q489" s="2">
        <f ca="1">INDEX(INDIRECT(_xlfn.CONCAT("weather.tbl[",Q$1,"]")),MATCH(vp.tbl[[#This Row],[SDate]],weather.tbl[Date],0))</f>
        <v>-18.100000000000001</v>
      </c>
      <c r="R489" s="2">
        <f ca="1">INDEX(INDIRECT(_xlfn.CONCAT("weather.tbl[",R$1,"]")),MATCH(vp.tbl[[#This Row],[SDate]],weather.tbl[Date],0))</f>
        <v>-16.5</v>
      </c>
      <c r="S489" s="2">
        <f ca="1">INDEX(INDIRECT(_xlfn.CONCAT("weather.tbl[",S$1,"]")),MATCH(vp.tbl[[#This Row],[SDate]],weather.tbl[Date],0))</f>
        <v>-18.7</v>
      </c>
      <c r="T489" s="2">
        <f ca="1">INDEX(INDIRECT(_xlfn.CONCAT("weather.tbl[",T$1,"]")),MATCH(vp.tbl[[#This Row],[SDate]],weather.tbl[Date],0))</f>
        <v>-17.100000000000001</v>
      </c>
      <c r="U489" s="2">
        <f ca="1">INDEX(INDIRECT(_xlfn.CONCAT("weather.tbl[",U$1,"]")),MATCH(vp.tbl[[#This Row],[SDate]],weather.tbl[Date],0))</f>
        <v>-19.8</v>
      </c>
      <c r="V489" s="2">
        <v>5017.2560000000003</v>
      </c>
      <c r="W489" t="s">
        <v>48</v>
      </c>
      <c r="X489">
        <f>IF(OR(vp.tbl[[#This Row],[Sulf]]="",vp.tbl[[#This Row],[Dens]]=""),1,0)</f>
        <v>0</v>
      </c>
      <c r="Y489">
        <f>IF(vp.tbl[[#This Row],[CrudeType]]="C5+",1,0)</f>
        <v>0</v>
      </c>
      <c r="Z489">
        <f>IF(AND(vp.tbl[[#This Row],[CrudeType]]="Crude",vp.tbl[[#This Row],[Dens]]&lt;=825,vp.tbl[[#This Row],[Sulf]]&gt;0.5,vp.tbl[[#This Row],[Unknown]]=0),1,0)</f>
        <v>0</v>
      </c>
      <c r="AA489">
        <f>IF(AND(vp.tbl[[#This Row],[CrudeType]]="Crude",vp.tbl[[#This Row],[Dens]]&lt;=825,vp.tbl[[#This Row],[Sulf]]&lt;=0.5,vp.tbl[[#This Row],[Unknown]]=0),1,0)</f>
        <v>0</v>
      </c>
      <c r="AB489">
        <f>IF(AND(vp.tbl[[#This Row],[CrudeType]]="Crude",vp.tbl[[#This Row],[Dens]]&gt;825,vp.tbl[[#This Row],[Dens]]&lt;=870,vp.tbl[[#This Row],[Sulf]]&gt;0.5,vp.tbl[[#This Row],[Unknown]]=0),1,0)</f>
        <v>1</v>
      </c>
      <c r="AC489">
        <f>IF(AND(vp.tbl[[#This Row],[CrudeType]]="Crude",vp.tbl[[#This Row],[Dens]]&gt;825,vp.tbl[[#This Row],[Dens]]&lt;=900,vp.tbl[[#This Row],[Sulf]]&lt;=0.5,vp.tbl[[#This Row],[Unknown]]=0),1,0)</f>
        <v>0</v>
      </c>
      <c r="AD489">
        <f>IF(AND(vp.tbl[[#This Row],[CrudeType]]="Crude",vp.tbl[[#This Row],[Dens]]&gt;870,vp.tbl[[#This Row],[Dens]]&lt;=900,vp.tbl[[#This Row],[Sulf]]&gt;0.5,vp.tbl[[#This Row],[Unknown]]=0),1,0)</f>
        <v>0</v>
      </c>
      <c r="AE489">
        <f>IF(AND(vp.tbl[[#This Row],[CrudeType]]="Crude",vp.tbl[[#This Row],[Dens]]&gt;900,vp.tbl[[#This Row],[Sulf]]&lt;=0.5,vp.tbl[[#This Row],[Unknown]]=0),1,0)</f>
        <v>0</v>
      </c>
      <c r="AF489">
        <f>IF(AND(vp.tbl[[#This Row],[CrudeType]]="Crude",vp.tbl[[#This Row],[Dens]]&gt;900,vp.tbl[[#This Row],[Sulf]]&lt;=0.5,vp.tbl[[#This Row],[Unknown]]=0),1,0)</f>
        <v>0</v>
      </c>
      <c r="AG489" t="str">
        <f>INDEX(vp.tbl[[#Headers],[Unknown]:[Heavy_SW]],MATCH(1,vp.tbl[[#This Row],[Unknown]:[Heavy_SW]],0))</f>
        <v>Medium_LSB</v>
      </c>
      <c r="AH489" t="e">
        <f>INDEX([1]!crudeBD.lkup[Number],MATCH(vp.tbl[[#This Row],[Crude_Breakdown]],[1]!crudeBD.lkup[Crude Breakdown],0))</f>
        <v>#REF!</v>
      </c>
      <c r="AI489">
        <f>MONTH(vp.tbl[[#This Row],[SDate]])</f>
        <v>1</v>
      </c>
      <c r="AJ489" s="5">
        <f>IFERROR(vp.tbl[[#This Row],[Sulf]]*vp.tbl[[#This Row],[Net Dens]],"")</f>
        <v>7052475.7928640004</v>
      </c>
      <c r="AK489" s="5">
        <f>IFERROR(vp.tbl[[#This Row],[Dens]]*vp.tbl[[#This Row],[VolumeM3]],"")</f>
        <v>4300290.1176000005</v>
      </c>
      <c r="AL489" s="5">
        <f>IFERROR(vp.tbl[[#This Row],[VP]]*vp.tbl[[#This Row],[VolumeM3]],"")</f>
        <v>428473.66240000003</v>
      </c>
      <c r="AM489" s="4">
        <f>IFERROR((vp.tbl[[#This Row],[VP]]-INDEX(crudeBD.lkup.complete[Mean_VP],MATCH(vp.tbl[[#This Row],[Crude_Breakdown]],crudeBD.lkup.complete[Crude Breakdown],0)))^2,"")</f>
        <v>27.315309885595703</v>
      </c>
      <c r="AN489" s="4">
        <f>IFERROR((vp.tbl[[#This Row],[Dens]]-INDEX(crudeBD.lkup.complete[Mean_Dens],MATCH(vp.tbl[[#This Row],[Crude_Breakdown]],crudeBD.lkup.complete[Crude Breakdown],0)))^2,"")</f>
        <v>139.43304914535307</v>
      </c>
      <c r="AO489" s="4">
        <f>IFERROR((vp.tbl[[#This Row],[Sulf]]-INDEX(crudeBD.lkup.complete[Mean_Sulf],MATCH(vp.tbl[[#This Row],[Crude_Breakdown]],crudeBD.lkup.complete[Crude Breakdown],0)))^2,"")</f>
        <v>3.4250956438499819E-2</v>
      </c>
      <c r="AP489">
        <f>IF(AND(vp.tbl[[#This Row],[SDate]]&gt;=DATE(YEAR(vp.tbl[[#This Row],[SDate]]),5,1),vp.tbl[[#This Row],[SDate]]&lt;=DATE(YEAR(vp.tbl[[#This Row],[SDate]]),9,15)),1,0)</f>
        <v>0</v>
      </c>
      <c r="AQ489" s="15">
        <f>IF(vp.tbl[[#This Row],[SDate]]&lt;DATE(2016,12,1),0,1)</f>
        <v>1</v>
      </c>
    </row>
    <row r="490" spans="1:43" x14ac:dyDescent="0.25">
      <c r="A490">
        <v>489</v>
      </c>
      <c r="B490" t="s">
        <v>56</v>
      </c>
      <c r="C490" t="s">
        <v>56</v>
      </c>
      <c r="D490" t="s">
        <v>94</v>
      </c>
      <c r="F490" s="1">
        <v>42737</v>
      </c>
      <c r="G490" s="2">
        <v>79.7</v>
      </c>
      <c r="H490" s="2"/>
      <c r="I490" s="2">
        <v>1.98</v>
      </c>
      <c r="J490" s="2">
        <v>18.600000000000001</v>
      </c>
      <c r="K490" s="2">
        <v>-29</v>
      </c>
      <c r="L490" s="2">
        <v>858.8</v>
      </c>
      <c r="M490" s="2">
        <v>858.8</v>
      </c>
      <c r="N490" s="2">
        <f ca="1">INDEX(INDIRECT(_xlfn.CONCAT("weather.tbl[",N$1,"]")),MATCH(vp.tbl[[#This Row],[SDate]],weather.tbl[Date],0))</f>
        <v>-17.766666666666669</v>
      </c>
      <c r="O490" s="2">
        <f ca="1">INDEX(INDIRECT(_xlfn.CONCAT("weather.tbl[",O$1,"]")),MATCH(vp.tbl[[#This Row],[SDate]],weather.tbl[Date],0))</f>
        <v>-12.373809523809525</v>
      </c>
      <c r="P490" s="2">
        <f ca="1">INDEX(INDIRECT(_xlfn.CONCAT("weather.tbl[",P$1,"]")),MATCH(vp.tbl[[#This Row],[SDate]],weather.tbl[Date],0))</f>
        <v>-16.399999999999999</v>
      </c>
      <c r="Q490" s="2">
        <f ca="1">INDEX(INDIRECT(_xlfn.CONCAT("weather.tbl[",Q$1,"]")),MATCH(vp.tbl[[#This Row],[SDate]],weather.tbl[Date],0))</f>
        <v>-18.100000000000001</v>
      </c>
      <c r="R490" s="2">
        <f ca="1">INDEX(INDIRECT(_xlfn.CONCAT("weather.tbl[",R$1,"]")),MATCH(vp.tbl[[#This Row],[SDate]],weather.tbl[Date],0))</f>
        <v>-16.5</v>
      </c>
      <c r="S490" s="2">
        <f ca="1">INDEX(INDIRECT(_xlfn.CONCAT("weather.tbl[",S$1,"]")),MATCH(vp.tbl[[#This Row],[SDate]],weather.tbl[Date],0))</f>
        <v>-18.7</v>
      </c>
      <c r="T490" s="2">
        <f ca="1">INDEX(INDIRECT(_xlfn.CONCAT("weather.tbl[",T$1,"]")),MATCH(vp.tbl[[#This Row],[SDate]],weather.tbl[Date],0))</f>
        <v>-17.100000000000001</v>
      </c>
      <c r="U490" s="2">
        <f ca="1">INDEX(INDIRECT(_xlfn.CONCAT("weather.tbl[",U$1,"]")),MATCH(vp.tbl[[#This Row],[SDate]],weather.tbl[Date],0))</f>
        <v>-19.8</v>
      </c>
      <c r="V490" s="2">
        <v>3861.2350000000001</v>
      </c>
      <c r="W490" t="s">
        <v>48</v>
      </c>
      <c r="X490">
        <f>IF(OR(vp.tbl[[#This Row],[Sulf]]="",vp.tbl[[#This Row],[Dens]]=""),1,0)</f>
        <v>0</v>
      </c>
      <c r="Y490">
        <f>IF(vp.tbl[[#This Row],[CrudeType]]="C5+",1,0)</f>
        <v>0</v>
      </c>
      <c r="Z490">
        <f>IF(AND(vp.tbl[[#This Row],[CrudeType]]="Crude",vp.tbl[[#This Row],[Dens]]&lt;=825,vp.tbl[[#This Row],[Sulf]]&gt;0.5,vp.tbl[[#This Row],[Unknown]]=0),1,0)</f>
        <v>0</v>
      </c>
      <c r="AA490">
        <f>IF(AND(vp.tbl[[#This Row],[CrudeType]]="Crude",vp.tbl[[#This Row],[Dens]]&lt;=825,vp.tbl[[#This Row],[Sulf]]&lt;=0.5,vp.tbl[[#This Row],[Unknown]]=0),1,0)</f>
        <v>0</v>
      </c>
      <c r="AB490">
        <f>IF(AND(vp.tbl[[#This Row],[CrudeType]]="Crude",vp.tbl[[#This Row],[Dens]]&gt;825,vp.tbl[[#This Row],[Dens]]&lt;=870,vp.tbl[[#This Row],[Sulf]]&gt;0.5,vp.tbl[[#This Row],[Unknown]]=0),1,0)</f>
        <v>1</v>
      </c>
      <c r="AC490">
        <f>IF(AND(vp.tbl[[#This Row],[CrudeType]]="Crude",vp.tbl[[#This Row],[Dens]]&gt;825,vp.tbl[[#This Row],[Dens]]&lt;=900,vp.tbl[[#This Row],[Sulf]]&lt;=0.5,vp.tbl[[#This Row],[Unknown]]=0),1,0)</f>
        <v>0</v>
      </c>
      <c r="AD490">
        <f>IF(AND(vp.tbl[[#This Row],[CrudeType]]="Crude",vp.tbl[[#This Row],[Dens]]&gt;870,vp.tbl[[#This Row],[Dens]]&lt;=900,vp.tbl[[#This Row],[Sulf]]&gt;0.5,vp.tbl[[#This Row],[Unknown]]=0),1,0)</f>
        <v>0</v>
      </c>
      <c r="AE490">
        <f>IF(AND(vp.tbl[[#This Row],[CrudeType]]="Crude",vp.tbl[[#This Row],[Dens]]&gt;900,vp.tbl[[#This Row],[Sulf]]&lt;=0.5,vp.tbl[[#This Row],[Unknown]]=0),1,0)</f>
        <v>0</v>
      </c>
      <c r="AF490">
        <f>IF(AND(vp.tbl[[#This Row],[CrudeType]]="Crude",vp.tbl[[#This Row],[Dens]]&gt;900,vp.tbl[[#This Row],[Sulf]]&lt;=0.5,vp.tbl[[#This Row],[Unknown]]=0),1,0)</f>
        <v>0</v>
      </c>
      <c r="AG490" t="str">
        <f>INDEX(vp.tbl[[#Headers],[Unknown]:[Heavy_SW]],MATCH(1,vp.tbl[[#This Row],[Unknown]:[Heavy_SW]],0))</f>
        <v>Medium_LSB</v>
      </c>
      <c r="AH490" t="e">
        <f>INDEX([1]!crudeBD.lkup[Number],MATCH(vp.tbl[[#This Row],[Crude_Breakdown]],[1]!crudeBD.lkup[Crude Breakdown],0))</f>
        <v>#REF!</v>
      </c>
      <c r="AI490">
        <f>MONTH(vp.tbl[[#This Row],[SDate]])</f>
        <v>1</v>
      </c>
      <c r="AJ490" s="5">
        <f>IFERROR(vp.tbl[[#This Row],[Sulf]]*vp.tbl[[#This Row],[Net Dens]],"")</f>
        <v>6565736.6636399999</v>
      </c>
      <c r="AK490" s="5">
        <f>IFERROR(vp.tbl[[#This Row],[Dens]]*vp.tbl[[#This Row],[VolumeM3]],"")</f>
        <v>3316028.6179999998</v>
      </c>
      <c r="AL490" s="5">
        <f>IFERROR(vp.tbl[[#This Row],[VP]]*vp.tbl[[#This Row],[VolumeM3]],"")</f>
        <v>307740.42950000003</v>
      </c>
      <c r="AM490" s="4">
        <f>IFERROR((vp.tbl[[#This Row],[VP]]-INDEX(crudeBD.lkup.complete[Mean_VP],MATCH(vp.tbl[[#This Row],[Crude_Breakdown]],crudeBD.lkup.complete[Crude Breakdown],0)))^2,"")</f>
        <v>0.2242921640762322</v>
      </c>
      <c r="AN490" s="4">
        <f>IFERROR((vp.tbl[[#This Row],[Dens]]-INDEX(crudeBD.lkup.complete[Mean_Dens],MATCH(vp.tbl[[#This Row],[Crude_Breakdown]],crudeBD.lkup.complete[Crude Breakdown],0)))^2,"")</f>
        <v>182.47085167700021</v>
      </c>
      <c r="AO490" s="4">
        <f>IFERROR((vp.tbl[[#This Row],[Sulf]]-INDEX(crudeBD.lkup.complete[Mean_Sulf],MATCH(vp.tbl[[#This Row],[Crude_Breakdown]],crudeBD.lkup.complete[Crude Breakdown],0)))^2,"")</f>
        <v>0.27569865112204311</v>
      </c>
      <c r="AP490">
        <f>IF(AND(vp.tbl[[#This Row],[SDate]]&gt;=DATE(YEAR(vp.tbl[[#This Row],[SDate]]),5,1),vp.tbl[[#This Row],[SDate]]&lt;=DATE(YEAR(vp.tbl[[#This Row],[SDate]]),9,15)),1,0)</f>
        <v>0</v>
      </c>
      <c r="AQ490" s="15">
        <f>IF(vp.tbl[[#This Row],[SDate]]&lt;DATE(2016,12,1),0,1)</f>
        <v>1</v>
      </c>
    </row>
    <row r="491" spans="1:43" x14ac:dyDescent="0.25">
      <c r="A491">
        <v>490</v>
      </c>
      <c r="B491" t="s">
        <v>60</v>
      </c>
      <c r="C491" t="s">
        <v>60</v>
      </c>
      <c r="D491" t="s">
        <v>61</v>
      </c>
      <c r="E491" t="s">
        <v>73</v>
      </c>
      <c r="F491" s="1">
        <v>42738</v>
      </c>
      <c r="G491" s="2">
        <v>80.599999999999994</v>
      </c>
      <c r="H491" s="2"/>
      <c r="I491" s="2">
        <v>1.23</v>
      </c>
      <c r="J491" s="2">
        <v>3.8</v>
      </c>
      <c r="K491" s="2">
        <v>-26</v>
      </c>
      <c r="L491" s="2">
        <v>843.9</v>
      </c>
      <c r="M491" s="2">
        <v>843.9</v>
      </c>
      <c r="N491" s="2">
        <f ca="1">INDEX(INDIRECT(_xlfn.CONCAT("weather.tbl[",N$1,"]")),MATCH(vp.tbl[[#This Row],[SDate]],weather.tbl[Date],0))</f>
        <v>-22.366666666666671</v>
      </c>
      <c r="O491" s="2">
        <f ca="1">INDEX(INDIRECT(_xlfn.CONCAT("weather.tbl[",O$1,"]")),MATCH(vp.tbl[[#This Row],[SDate]],weather.tbl[Date],0))</f>
        <v>-13.519047619047623</v>
      </c>
      <c r="P491" s="2">
        <f ca="1">INDEX(INDIRECT(_xlfn.CONCAT("weather.tbl[",P$1,"]")),MATCH(vp.tbl[[#This Row],[SDate]],weather.tbl[Date],0))</f>
        <v>-24.1</v>
      </c>
      <c r="Q491" s="2">
        <f ca="1">INDEX(INDIRECT(_xlfn.CONCAT("weather.tbl[",Q$1,"]")),MATCH(vp.tbl[[#This Row],[SDate]],weather.tbl[Date],0))</f>
        <v>-23.6</v>
      </c>
      <c r="R491" s="2">
        <f ca="1">INDEX(INDIRECT(_xlfn.CONCAT("weather.tbl[",R$1,"]")),MATCH(vp.tbl[[#This Row],[SDate]],weather.tbl[Date],0))</f>
        <v>-16.5</v>
      </c>
      <c r="S491" s="2">
        <f ca="1">INDEX(INDIRECT(_xlfn.CONCAT("weather.tbl[",S$1,"]")),MATCH(vp.tbl[[#This Row],[SDate]],weather.tbl[Date],0))</f>
        <v>-22.6</v>
      </c>
      <c r="T491" s="2">
        <f ca="1">INDEX(INDIRECT(_xlfn.CONCAT("weather.tbl[",T$1,"]")),MATCH(vp.tbl[[#This Row],[SDate]],weather.tbl[Date],0))</f>
        <v>-23.1</v>
      </c>
      <c r="U491" s="2">
        <f ca="1">INDEX(INDIRECT(_xlfn.CONCAT("weather.tbl[",U$1,"]")),MATCH(vp.tbl[[#This Row],[SDate]],weather.tbl[Date],0))</f>
        <v>-24.3</v>
      </c>
      <c r="V491" s="2">
        <v>105136.144</v>
      </c>
      <c r="W491" t="s">
        <v>48</v>
      </c>
      <c r="X491">
        <f>IF(OR(vp.tbl[[#This Row],[Sulf]]="",vp.tbl[[#This Row],[Dens]]=""),1,0)</f>
        <v>0</v>
      </c>
      <c r="Y491">
        <f>IF(vp.tbl[[#This Row],[CrudeType]]="C5+",1,0)</f>
        <v>0</v>
      </c>
      <c r="Z491">
        <f>IF(AND(vp.tbl[[#This Row],[CrudeType]]="Crude",vp.tbl[[#This Row],[Dens]]&lt;=825,vp.tbl[[#This Row],[Sulf]]&gt;0.5,vp.tbl[[#This Row],[Unknown]]=0),1,0)</f>
        <v>0</v>
      </c>
      <c r="AA491">
        <f>IF(AND(vp.tbl[[#This Row],[CrudeType]]="Crude",vp.tbl[[#This Row],[Dens]]&lt;=825,vp.tbl[[#This Row],[Sulf]]&lt;=0.5,vp.tbl[[#This Row],[Unknown]]=0),1,0)</f>
        <v>0</v>
      </c>
      <c r="AB491">
        <f>IF(AND(vp.tbl[[#This Row],[CrudeType]]="Crude",vp.tbl[[#This Row],[Dens]]&gt;825,vp.tbl[[#This Row],[Dens]]&lt;=870,vp.tbl[[#This Row],[Sulf]]&gt;0.5,vp.tbl[[#This Row],[Unknown]]=0),1,0)</f>
        <v>1</v>
      </c>
      <c r="AC491">
        <f>IF(AND(vp.tbl[[#This Row],[CrudeType]]="Crude",vp.tbl[[#This Row],[Dens]]&gt;825,vp.tbl[[#This Row],[Dens]]&lt;=900,vp.tbl[[#This Row],[Sulf]]&lt;=0.5,vp.tbl[[#This Row],[Unknown]]=0),1,0)</f>
        <v>0</v>
      </c>
      <c r="AD491">
        <f>IF(AND(vp.tbl[[#This Row],[CrudeType]]="Crude",vp.tbl[[#This Row],[Dens]]&gt;870,vp.tbl[[#This Row],[Dens]]&lt;=900,vp.tbl[[#This Row],[Sulf]]&gt;0.5,vp.tbl[[#This Row],[Unknown]]=0),1,0)</f>
        <v>0</v>
      </c>
      <c r="AE491">
        <f>IF(AND(vp.tbl[[#This Row],[CrudeType]]="Crude",vp.tbl[[#This Row],[Dens]]&gt;900,vp.tbl[[#This Row],[Sulf]]&lt;=0.5,vp.tbl[[#This Row],[Unknown]]=0),1,0)</f>
        <v>0</v>
      </c>
      <c r="AF491">
        <f>IF(AND(vp.tbl[[#This Row],[CrudeType]]="Crude",vp.tbl[[#This Row],[Dens]]&gt;900,vp.tbl[[#This Row],[Sulf]]&lt;=0.5,vp.tbl[[#This Row],[Unknown]]=0),1,0)</f>
        <v>0</v>
      </c>
      <c r="AG491" t="str">
        <f>INDEX(vp.tbl[[#Headers],[Unknown]:[Heavy_SW]],MATCH(1,vp.tbl[[#This Row],[Unknown]:[Heavy_SW]],0))</f>
        <v>Medium_LSB</v>
      </c>
      <c r="AH491" t="e">
        <f>INDEX([1]!crudeBD.lkup[Number],MATCH(vp.tbl[[#This Row],[Crude_Breakdown]],[1]!crudeBD.lkup[Crude Breakdown],0))</f>
        <v>#REF!</v>
      </c>
      <c r="AI491">
        <f>MONTH(vp.tbl[[#This Row],[SDate]])</f>
        <v>1</v>
      </c>
      <c r="AJ491" s="5">
        <f>IFERROR(vp.tbl[[#This Row],[Sulf]]*vp.tbl[[#This Row],[Net Dens]],"")</f>
        <v>109131002.063568</v>
      </c>
      <c r="AK491" s="5">
        <f>IFERROR(vp.tbl[[#This Row],[Dens]]*vp.tbl[[#This Row],[VolumeM3]],"")</f>
        <v>88724391.921599999</v>
      </c>
      <c r="AL491" s="5">
        <f>IFERROR(vp.tbl[[#This Row],[VP]]*vp.tbl[[#This Row],[VolumeM3]],"")</f>
        <v>8473973.2063999996</v>
      </c>
      <c r="AM491" s="4">
        <f>IFERROR((vp.tbl[[#This Row],[VP]]-INDEX(crudeBD.lkup.complete[Mean_VP],MATCH(vp.tbl[[#This Row],[Crude_Breakdown]],crudeBD.lkup.complete[Crude Breakdown],0)))^2,"")</f>
        <v>0.18182127800034709</v>
      </c>
      <c r="AN491" s="4">
        <f>IFERROR((vp.tbl[[#This Row],[Dens]]-INDEX(crudeBD.lkup.complete[Mean_Dens],MATCH(vp.tbl[[#This Row],[Crude_Breakdown]],crudeBD.lkup.complete[Crude Breakdown],0)))^2,"")</f>
        <v>1.9371706643139384</v>
      </c>
      <c r="AO491" s="4">
        <f>IFERROR((vp.tbl[[#This Row],[Sulf]]-INDEX(crudeBD.lkup.complete[Mean_Sulf],MATCH(vp.tbl[[#This Row],[Crude_Breakdown]],crudeBD.lkup.complete[Crude Breakdown],0)))^2,"")</f>
        <v>5.0593442261285884E-2</v>
      </c>
      <c r="AP491">
        <f>IF(AND(vp.tbl[[#This Row],[SDate]]&gt;=DATE(YEAR(vp.tbl[[#This Row],[SDate]]),5,1),vp.tbl[[#This Row],[SDate]]&lt;=DATE(YEAR(vp.tbl[[#This Row],[SDate]]),9,15)),1,0)</f>
        <v>0</v>
      </c>
      <c r="AQ491" s="15">
        <f>IF(vp.tbl[[#This Row],[SDate]]&lt;DATE(2016,12,1),0,1)</f>
        <v>1</v>
      </c>
    </row>
    <row r="492" spans="1:43" x14ac:dyDescent="0.25">
      <c r="A492">
        <v>491</v>
      </c>
      <c r="B492" t="s">
        <v>49</v>
      </c>
      <c r="C492" t="s">
        <v>49</v>
      </c>
      <c r="D492" t="s">
        <v>75</v>
      </c>
      <c r="F492" s="1">
        <v>42738</v>
      </c>
      <c r="G492" s="2">
        <v>99.5</v>
      </c>
      <c r="H492" s="2"/>
      <c r="I492" s="2">
        <v>0.26</v>
      </c>
      <c r="J492" s="2">
        <v>21</v>
      </c>
      <c r="K492" s="2">
        <v>-26</v>
      </c>
      <c r="L492" s="2">
        <v>800.8</v>
      </c>
      <c r="M492" s="2">
        <v>800.8</v>
      </c>
      <c r="N492" s="2">
        <f ca="1">INDEX(INDIRECT(_xlfn.CONCAT("weather.tbl[",N$1,"]")),MATCH(vp.tbl[[#This Row],[SDate]],weather.tbl[Date],0))</f>
        <v>-22.366666666666671</v>
      </c>
      <c r="O492" s="2">
        <f ca="1">INDEX(INDIRECT(_xlfn.CONCAT("weather.tbl[",O$1,"]")),MATCH(vp.tbl[[#This Row],[SDate]],weather.tbl[Date],0))</f>
        <v>-13.519047619047623</v>
      </c>
      <c r="P492" s="2">
        <f ca="1">INDEX(INDIRECT(_xlfn.CONCAT("weather.tbl[",P$1,"]")),MATCH(vp.tbl[[#This Row],[SDate]],weather.tbl[Date],0))</f>
        <v>-24.1</v>
      </c>
      <c r="Q492" s="2">
        <f ca="1">INDEX(INDIRECT(_xlfn.CONCAT("weather.tbl[",Q$1,"]")),MATCH(vp.tbl[[#This Row],[SDate]],weather.tbl[Date],0))</f>
        <v>-23.6</v>
      </c>
      <c r="R492" s="2">
        <f ca="1">INDEX(INDIRECT(_xlfn.CONCAT("weather.tbl[",R$1,"]")),MATCH(vp.tbl[[#This Row],[SDate]],weather.tbl[Date],0))</f>
        <v>-16.5</v>
      </c>
      <c r="S492" s="2">
        <f ca="1">INDEX(INDIRECT(_xlfn.CONCAT("weather.tbl[",S$1,"]")),MATCH(vp.tbl[[#This Row],[SDate]],weather.tbl[Date],0))</f>
        <v>-22.6</v>
      </c>
      <c r="T492" s="2">
        <f ca="1">INDEX(INDIRECT(_xlfn.CONCAT("weather.tbl[",T$1,"]")),MATCH(vp.tbl[[#This Row],[SDate]],weather.tbl[Date],0))</f>
        <v>-23.1</v>
      </c>
      <c r="U492" s="2">
        <f ca="1">INDEX(INDIRECT(_xlfn.CONCAT("weather.tbl[",U$1,"]")),MATCH(vp.tbl[[#This Row],[SDate]],weather.tbl[Date],0))</f>
        <v>-24.3</v>
      </c>
      <c r="V492" s="2">
        <v>12738.714</v>
      </c>
      <c r="W492" t="s">
        <v>48</v>
      </c>
      <c r="X492">
        <f>IF(OR(vp.tbl[[#This Row],[Sulf]]="",vp.tbl[[#This Row],[Dens]]=""),1,0)</f>
        <v>0</v>
      </c>
      <c r="Y492">
        <f>IF(vp.tbl[[#This Row],[CrudeType]]="C5+",1,0)</f>
        <v>0</v>
      </c>
      <c r="Z492">
        <f>IF(AND(vp.tbl[[#This Row],[CrudeType]]="Crude",vp.tbl[[#This Row],[Dens]]&lt;=825,vp.tbl[[#This Row],[Sulf]]&gt;0.5,vp.tbl[[#This Row],[Unknown]]=0),1,0)</f>
        <v>0</v>
      </c>
      <c r="AA492">
        <f>IF(AND(vp.tbl[[#This Row],[CrudeType]]="Crude",vp.tbl[[#This Row],[Dens]]&lt;=825,vp.tbl[[#This Row],[Sulf]]&lt;=0.5,vp.tbl[[#This Row],[Unknown]]=0),1,0)</f>
        <v>1</v>
      </c>
      <c r="AB492">
        <f>IF(AND(vp.tbl[[#This Row],[CrudeType]]="Crude",vp.tbl[[#This Row],[Dens]]&gt;825,vp.tbl[[#This Row],[Dens]]&lt;=870,vp.tbl[[#This Row],[Sulf]]&gt;0.5,vp.tbl[[#This Row],[Unknown]]=0),1,0)</f>
        <v>0</v>
      </c>
      <c r="AC492">
        <f>IF(AND(vp.tbl[[#This Row],[CrudeType]]="Crude",vp.tbl[[#This Row],[Dens]]&gt;825,vp.tbl[[#This Row],[Dens]]&lt;=900,vp.tbl[[#This Row],[Sulf]]&lt;=0.5,vp.tbl[[#This Row],[Unknown]]=0),1,0)</f>
        <v>0</v>
      </c>
      <c r="AD492">
        <f>IF(AND(vp.tbl[[#This Row],[CrudeType]]="Crude",vp.tbl[[#This Row],[Dens]]&gt;870,vp.tbl[[#This Row],[Dens]]&lt;=900,vp.tbl[[#This Row],[Sulf]]&gt;0.5,vp.tbl[[#This Row],[Unknown]]=0),1,0)</f>
        <v>0</v>
      </c>
      <c r="AE492">
        <f>IF(AND(vp.tbl[[#This Row],[CrudeType]]="Crude",vp.tbl[[#This Row],[Dens]]&gt;900,vp.tbl[[#This Row],[Sulf]]&lt;=0.5,vp.tbl[[#This Row],[Unknown]]=0),1,0)</f>
        <v>0</v>
      </c>
      <c r="AF492">
        <f>IF(AND(vp.tbl[[#This Row],[CrudeType]]="Crude",vp.tbl[[#This Row],[Dens]]&gt;900,vp.tbl[[#This Row],[Sulf]]&lt;=0.5,vp.tbl[[#This Row],[Unknown]]=0),1,0)</f>
        <v>0</v>
      </c>
      <c r="AG492" t="str">
        <f>INDEX(vp.tbl[[#Headers],[Unknown]:[Heavy_SW]],MATCH(1,vp.tbl[[#This Row],[Unknown]:[Heavy_SW]],0))</f>
        <v>Light_SW</v>
      </c>
      <c r="AH492" t="e">
        <f>INDEX([1]!crudeBD.lkup[Number],MATCH(vp.tbl[[#This Row],[Crude_Breakdown]],[1]!crudeBD.lkup[Crude Breakdown],0))</f>
        <v>#REF!</v>
      </c>
      <c r="AI492">
        <f>MONTH(vp.tbl[[#This Row],[SDate]])</f>
        <v>1</v>
      </c>
      <c r="AJ492" s="5">
        <f>IFERROR(vp.tbl[[#This Row],[Sulf]]*vp.tbl[[#This Row],[Net Dens]],"")</f>
        <v>2652302.164512</v>
      </c>
      <c r="AK492" s="5">
        <f>IFERROR(vp.tbl[[#This Row],[Dens]]*vp.tbl[[#This Row],[VolumeM3]],"")</f>
        <v>10201162.1712</v>
      </c>
      <c r="AL492" s="5">
        <f>IFERROR(vp.tbl[[#This Row],[VP]]*vp.tbl[[#This Row],[VolumeM3]],"")</f>
        <v>1267502.0430000001</v>
      </c>
      <c r="AM492" s="4">
        <f>IFERROR((vp.tbl[[#This Row],[VP]]-INDEX(crudeBD.lkup.complete[Mean_VP],MATCH(vp.tbl[[#This Row],[Crude_Breakdown]],crudeBD.lkup.complete[Crude Breakdown],0)))^2,"")</f>
        <v>48.298141213320953</v>
      </c>
      <c r="AN492" s="4">
        <f>IFERROR((vp.tbl[[#This Row],[Dens]]-INDEX(crudeBD.lkup.complete[Mean_Dens],MATCH(vp.tbl[[#This Row],[Crude_Breakdown]],crudeBD.lkup.complete[Crude Breakdown],0)))^2,"")</f>
        <v>56.422606077526574</v>
      </c>
      <c r="AO492" s="4">
        <f>IFERROR((vp.tbl[[#This Row],[Sulf]]-INDEX(crudeBD.lkup.complete[Mean_Sulf],MATCH(vp.tbl[[#This Row],[Crude_Breakdown]],crudeBD.lkup.complete[Crude Breakdown],0)))^2,"")</f>
        <v>5.644515043280923E-4</v>
      </c>
      <c r="AP492">
        <f>IF(AND(vp.tbl[[#This Row],[SDate]]&gt;=DATE(YEAR(vp.tbl[[#This Row],[SDate]]),5,1),vp.tbl[[#This Row],[SDate]]&lt;=DATE(YEAR(vp.tbl[[#This Row],[SDate]]),9,15)),1,0)</f>
        <v>0</v>
      </c>
      <c r="AQ492" s="15">
        <f>IF(vp.tbl[[#This Row],[SDate]]&lt;DATE(2016,12,1),0,1)</f>
        <v>1</v>
      </c>
    </row>
    <row r="493" spans="1:43" x14ac:dyDescent="0.25">
      <c r="A493">
        <v>492</v>
      </c>
      <c r="B493" t="s">
        <v>62</v>
      </c>
      <c r="C493" t="s">
        <v>62</v>
      </c>
      <c r="D493" t="s">
        <v>83</v>
      </c>
      <c r="F493" s="1">
        <v>42738</v>
      </c>
      <c r="G493" s="2">
        <v>93.5</v>
      </c>
      <c r="H493" s="2"/>
      <c r="I493" s="2">
        <v>0.17</v>
      </c>
      <c r="J493" s="2">
        <v>4.3</v>
      </c>
      <c r="K493" s="2">
        <v>-26</v>
      </c>
      <c r="L493" s="2">
        <v>804.3</v>
      </c>
      <c r="M493" s="2">
        <v>804.3</v>
      </c>
      <c r="N493" s="2">
        <f ca="1">INDEX(INDIRECT(_xlfn.CONCAT("weather.tbl[",N$1,"]")),MATCH(vp.tbl[[#This Row],[SDate]],weather.tbl[Date],0))</f>
        <v>-22.366666666666671</v>
      </c>
      <c r="O493" s="2">
        <f ca="1">INDEX(INDIRECT(_xlfn.CONCAT("weather.tbl[",O$1,"]")),MATCH(vp.tbl[[#This Row],[SDate]],weather.tbl[Date],0))</f>
        <v>-13.519047619047623</v>
      </c>
      <c r="P493" s="2">
        <f ca="1">INDEX(INDIRECT(_xlfn.CONCAT("weather.tbl[",P$1,"]")),MATCH(vp.tbl[[#This Row],[SDate]],weather.tbl[Date],0))</f>
        <v>-24.1</v>
      </c>
      <c r="Q493" s="2">
        <f ca="1">INDEX(INDIRECT(_xlfn.CONCAT("weather.tbl[",Q$1,"]")),MATCH(vp.tbl[[#This Row],[SDate]],weather.tbl[Date],0))</f>
        <v>-23.6</v>
      </c>
      <c r="R493" s="2">
        <f ca="1">INDEX(INDIRECT(_xlfn.CONCAT("weather.tbl[",R$1,"]")),MATCH(vp.tbl[[#This Row],[SDate]],weather.tbl[Date],0))</f>
        <v>-16.5</v>
      </c>
      <c r="S493" s="2">
        <f ca="1">INDEX(INDIRECT(_xlfn.CONCAT("weather.tbl[",S$1,"]")),MATCH(vp.tbl[[#This Row],[SDate]],weather.tbl[Date],0))</f>
        <v>-22.6</v>
      </c>
      <c r="T493" s="2">
        <f ca="1">INDEX(INDIRECT(_xlfn.CONCAT("weather.tbl[",T$1,"]")),MATCH(vp.tbl[[#This Row],[SDate]],weather.tbl[Date],0))</f>
        <v>-23.1</v>
      </c>
      <c r="U493" s="2">
        <f ca="1">INDEX(INDIRECT(_xlfn.CONCAT("weather.tbl[",U$1,"]")),MATCH(vp.tbl[[#This Row],[SDate]],weather.tbl[Date],0))</f>
        <v>-24.3</v>
      </c>
      <c r="V493" s="2">
        <v>8873.2939999999999</v>
      </c>
      <c r="W493" t="s">
        <v>48</v>
      </c>
      <c r="X493">
        <f>IF(OR(vp.tbl[[#This Row],[Sulf]]="",vp.tbl[[#This Row],[Dens]]=""),1,0)</f>
        <v>0</v>
      </c>
      <c r="Y493">
        <f>IF(vp.tbl[[#This Row],[CrudeType]]="C5+",1,0)</f>
        <v>0</v>
      </c>
      <c r="Z493">
        <f>IF(AND(vp.tbl[[#This Row],[CrudeType]]="Crude",vp.tbl[[#This Row],[Dens]]&lt;=825,vp.tbl[[#This Row],[Sulf]]&gt;0.5,vp.tbl[[#This Row],[Unknown]]=0),1,0)</f>
        <v>0</v>
      </c>
      <c r="AA493">
        <f>IF(AND(vp.tbl[[#This Row],[CrudeType]]="Crude",vp.tbl[[#This Row],[Dens]]&lt;=825,vp.tbl[[#This Row],[Sulf]]&lt;=0.5,vp.tbl[[#This Row],[Unknown]]=0),1,0)</f>
        <v>1</v>
      </c>
      <c r="AB493">
        <f>IF(AND(vp.tbl[[#This Row],[CrudeType]]="Crude",vp.tbl[[#This Row],[Dens]]&gt;825,vp.tbl[[#This Row],[Dens]]&lt;=870,vp.tbl[[#This Row],[Sulf]]&gt;0.5,vp.tbl[[#This Row],[Unknown]]=0),1,0)</f>
        <v>0</v>
      </c>
      <c r="AC493">
        <f>IF(AND(vp.tbl[[#This Row],[CrudeType]]="Crude",vp.tbl[[#This Row],[Dens]]&gt;825,vp.tbl[[#This Row],[Dens]]&lt;=900,vp.tbl[[#This Row],[Sulf]]&lt;=0.5,vp.tbl[[#This Row],[Unknown]]=0),1,0)</f>
        <v>0</v>
      </c>
      <c r="AD493">
        <f>IF(AND(vp.tbl[[#This Row],[CrudeType]]="Crude",vp.tbl[[#This Row],[Dens]]&gt;870,vp.tbl[[#This Row],[Dens]]&lt;=900,vp.tbl[[#This Row],[Sulf]]&gt;0.5,vp.tbl[[#This Row],[Unknown]]=0),1,0)</f>
        <v>0</v>
      </c>
      <c r="AE493">
        <f>IF(AND(vp.tbl[[#This Row],[CrudeType]]="Crude",vp.tbl[[#This Row],[Dens]]&gt;900,vp.tbl[[#This Row],[Sulf]]&lt;=0.5,vp.tbl[[#This Row],[Unknown]]=0),1,0)</f>
        <v>0</v>
      </c>
      <c r="AF493">
        <f>IF(AND(vp.tbl[[#This Row],[CrudeType]]="Crude",vp.tbl[[#This Row],[Dens]]&gt;900,vp.tbl[[#This Row],[Sulf]]&lt;=0.5,vp.tbl[[#This Row],[Unknown]]=0),1,0)</f>
        <v>0</v>
      </c>
      <c r="AG493" t="str">
        <f>INDEX(vp.tbl[[#Headers],[Unknown]:[Heavy_SW]],MATCH(1,vp.tbl[[#This Row],[Unknown]:[Heavy_SW]],0))</f>
        <v>Light_SW</v>
      </c>
      <c r="AH493" t="e">
        <f>INDEX([1]!crudeBD.lkup[Number],MATCH(vp.tbl[[#This Row],[Crude_Breakdown]],[1]!crudeBD.lkup[Crude Breakdown],0))</f>
        <v>#REF!</v>
      </c>
      <c r="AI493">
        <f>MONTH(vp.tbl[[#This Row],[SDate]])</f>
        <v>1</v>
      </c>
      <c r="AJ493" s="5">
        <f>IFERROR(vp.tbl[[#This Row],[Sulf]]*vp.tbl[[#This Row],[Net Dens]],"")</f>
        <v>1213254.361914</v>
      </c>
      <c r="AK493" s="5">
        <f>IFERROR(vp.tbl[[#This Row],[Dens]]*vp.tbl[[#This Row],[VolumeM3]],"")</f>
        <v>7136790.3641999997</v>
      </c>
      <c r="AL493" s="5">
        <f>IFERROR(vp.tbl[[#This Row],[VP]]*vp.tbl[[#This Row],[VolumeM3]],"")</f>
        <v>829652.98899999994</v>
      </c>
      <c r="AM493" s="4">
        <f>IFERROR((vp.tbl[[#This Row],[VP]]-INDEX(crudeBD.lkup.complete[Mean_VP],MATCH(vp.tbl[[#This Row],[Crude_Breakdown]],crudeBD.lkup.complete[Crude Breakdown],0)))^2,"")</f>
        <v>0.90190427952269203</v>
      </c>
      <c r="AN493" s="4">
        <f>IFERROR((vp.tbl[[#This Row],[Dens]]-INDEX(crudeBD.lkup.complete[Mean_Dens],MATCH(vp.tbl[[#This Row],[Crude_Breakdown]],crudeBD.lkup.complete[Crude Breakdown],0)))^2,"")</f>
        <v>16.092118272649731</v>
      </c>
      <c r="AO493" s="4">
        <f>IFERROR((vp.tbl[[#This Row],[Sulf]]-INDEX(crudeBD.lkup.complete[Mean_Sulf],MATCH(vp.tbl[[#This Row],[Crude_Breakdown]],crudeBD.lkup.complete[Crude Breakdown],0)))^2,"")</f>
        <v>4.3879776367322437E-3</v>
      </c>
      <c r="AP493">
        <f>IF(AND(vp.tbl[[#This Row],[SDate]]&gt;=DATE(YEAR(vp.tbl[[#This Row],[SDate]]),5,1),vp.tbl[[#This Row],[SDate]]&lt;=DATE(YEAR(vp.tbl[[#This Row],[SDate]]),9,15)),1,0)</f>
        <v>0</v>
      </c>
      <c r="AQ493" s="15">
        <f>IF(vp.tbl[[#This Row],[SDate]]&lt;DATE(2016,12,1),0,1)</f>
        <v>1</v>
      </c>
    </row>
    <row r="494" spans="1:43" x14ac:dyDescent="0.25">
      <c r="A494">
        <v>493</v>
      </c>
      <c r="B494" t="s">
        <v>62</v>
      </c>
      <c r="C494" t="s">
        <v>62</v>
      </c>
      <c r="D494" t="s">
        <v>79</v>
      </c>
      <c r="F494" s="1">
        <v>42738</v>
      </c>
      <c r="G494" s="2">
        <v>98.8</v>
      </c>
      <c r="H494" s="2"/>
      <c r="I494" s="2">
        <v>0.28000000000000003</v>
      </c>
      <c r="J494" s="2">
        <v>15.2</v>
      </c>
      <c r="K494" s="2">
        <v>-26</v>
      </c>
      <c r="L494" s="2">
        <v>804.5</v>
      </c>
      <c r="M494" s="2">
        <v>804.5</v>
      </c>
      <c r="N494" s="2">
        <f ca="1">INDEX(INDIRECT(_xlfn.CONCAT("weather.tbl[",N$1,"]")),MATCH(vp.tbl[[#This Row],[SDate]],weather.tbl[Date],0))</f>
        <v>-22.366666666666671</v>
      </c>
      <c r="O494" s="2">
        <f ca="1">INDEX(INDIRECT(_xlfn.CONCAT("weather.tbl[",O$1,"]")),MATCH(vp.tbl[[#This Row],[SDate]],weather.tbl[Date],0))</f>
        <v>-13.519047619047623</v>
      </c>
      <c r="P494" s="2">
        <f ca="1">INDEX(INDIRECT(_xlfn.CONCAT("weather.tbl[",P$1,"]")),MATCH(vp.tbl[[#This Row],[SDate]],weather.tbl[Date],0))</f>
        <v>-24.1</v>
      </c>
      <c r="Q494" s="2">
        <f ca="1">INDEX(INDIRECT(_xlfn.CONCAT("weather.tbl[",Q$1,"]")),MATCH(vp.tbl[[#This Row],[SDate]],weather.tbl[Date],0))</f>
        <v>-23.6</v>
      </c>
      <c r="R494" s="2">
        <f ca="1">INDEX(INDIRECT(_xlfn.CONCAT("weather.tbl[",R$1,"]")),MATCH(vp.tbl[[#This Row],[SDate]],weather.tbl[Date],0))</f>
        <v>-16.5</v>
      </c>
      <c r="S494" s="2">
        <f ca="1">INDEX(INDIRECT(_xlfn.CONCAT("weather.tbl[",S$1,"]")),MATCH(vp.tbl[[#This Row],[SDate]],weather.tbl[Date],0))</f>
        <v>-22.6</v>
      </c>
      <c r="T494" s="2">
        <f ca="1">INDEX(INDIRECT(_xlfn.CONCAT("weather.tbl[",T$1,"]")),MATCH(vp.tbl[[#This Row],[SDate]],weather.tbl[Date],0))</f>
        <v>-23.1</v>
      </c>
      <c r="U494" s="2">
        <f ca="1">INDEX(INDIRECT(_xlfn.CONCAT("weather.tbl[",U$1,"]")),MATCH(vp.tbl[[#This Row],[SDate]],weather.tbl[Date],0))</f>
        <v>-24.3</v>
      </c>
      <c r="V494" s="2">
        <v>14036.508</v>
      </c>
      <c r="W494" t="s">
        <v>48</v>
      </c>
      <c r="X494">
        <f>IF(OR(vp.tbl[[#This Row],[Sulf]]="",vp.tbl[[#This Row],[Dens]]=""),1,0)</f>
        <v>0</v>
      </c>
      <c r="Y494">
        <f>IF(vp.tbl[[#This Row],[CrudeType]]="C5+",1,0)</f>
        <v>0</v>
      </c>
      <c r="Z494">
        <f>IF(AND(vp.tbl[[#This Row],[CrudeType]]="Crude",vp.tbl[[#This Row],[Dens]]&lt;=825,vp.tbl[[#This Row],[Sulf]]&gt;0.5,vp.tbl[[#This Row],[Unknown]]=0),1,0)</f>
        <v>0</v>
      </c>
      <c r="AA494">
        <f>IF(AND(vp.tbl[[#This Row],[CrudeType]]="Crude",vp.tbl[[#This Row],[Dens]]&lt;=825,vp.tbl[[#This Row],[Sulf]]&lt;=0.5,vp.tbl[[#This Row],[Unknown]]=0),1,0)</f>
        <v>1</v>
      </c>
      <c r="AB494">
        <f>IF(AND(vp.tbl[[#This Row],[CrudeType]]="Crude",vp.tbl[[#This Row],[Dens]]&gt;825,vp.tbl[[#This Row],[Dens]]&lt;=870,vp.tbl[[#This Row],[Sulf]]&gt;0.5,vp.tbl[[#This Row],[Unknown]]=0),1,0)</f>
        <v>0</v>
      </c>
      <c r="AC494">
        <f>IF(AND(vp.tbl[[#This Row],[CrudeType]]="Crude",vp.tbl[[#This Row],[Dens]]&gt;825,vp.tbl[[#This Row],[Dens]]&lt;=900,vp.tbl[[#This Row],[Sulf]]&lt;=0.5,vp.tbl[[#This Row],[Unknown]]=0),1,0)</f>
        <v>0</v>
      </c>
      <c r="AD494">
        <f>IF(AND(vp.tbl[[#This Row],[CrudeType]]="Crude",vp.tbl[[#This Row],[Dens]]&gt;870,vp.tbl[[#This Row],[Dens]]&lt;=900,vp.tbl[[#This Row],[Sulf]]&gt;0.5,vp.tbl[[#This Row],[Unknown]]=0),1,0)</f>
        <v>0</v>
      </c>
      <c r="AE494">
        <f>IF(AND(vp.tbl[[#This Row],[CrudeType]]="Crude",vp.tbl[[#This Row],[Dens]]&gt;900,vp.tbl[[#This Row],[Sulf]]&lt;=0.5,vp.tbl[[#This Row],[Unknown]]=0),1,0)</f>
        <v>0</v>
      </c>
      <c r="AF494">
        <f>IF(AND(vp.tbl[[#This Row],[CrudeType]]="Crude",vp.tbl[[#This Row],[Dens]]&gt;900,vp.tbl[[#This Row],[Sulf]]&lt;=0.5,vp.tbl[[#This Row],[Unknown]]=0),1,0)</f>
        <v>0</v>
      </c>
      <c r="AG494" t="str">
        <f>INDEX(vp.tbl[[#Headers],[Unknown]:[Heavy_SW]],MATCH(1,vp.tbl[[#This Row],[Unknown]:[Heavy_SW]],0))</f>
        <v>Light_SW</v>
      </c>
      <c r="AH494" t="e">
        <f>INDEX([1]!crudeBD.lkup[Number],MATCH(vp.tbl[[#This Row],[Crude_Breakdown]],[1]!crudeBD.lkup[Crude Breakdown],0))</f>
        <v>#REF!</v>
      </c>
      <c r="AI494">
        <f>MONTH(vp.tbl[[#This Row],[SDate]])</f>
        <v>1</v>
      </c>
      <c r="AJ494" s="5">
        <f>IFERROR(vp.tbl[[#This Row],[Sulf]]*vp.tbl[[#This Row],[Net Dens]],"")</f>
        <v>3161863.7920800005</v>
      </c>
      <c r="AK494" s="5">
        <f>IFERROR(vp.tbl[[#This Row],[Dens]]*vp.tbl[[#This Row],[VolumeM3]],"")</f>
        <v>11292370.686000001</v>
      </c>
      <c r="AL494" s="5">
        <f>IFERROR(vp.tbl[[#This Row],[VP]]*vp.tbl[[#This Row],[VolumeM3]],"")</f>
        <v>1386806.9904</v>
      </c>
      <c r="AM494" s="4">
        <f>IFERROR((vp.tbl[[#This Row],[VP]]-INDEX(crudeBD.lkup.complete[Mean_VP],MATCH(vp.tbl[[#This Row],[Crude_Breakdown]],crudeBD.lkup.complete[Crude Breakdown],0)))^2,"")</f>
        <v>39.058580237711119</v>
      </c>
      <c r="AN494" s="4">
        <f>IFERROR((vp.tbl[[#This Row],[Dens]]-INDEX(crudeBD.lkup.complete[Mean_Dens],MATCH(vp.tbl[[#This Row],[Crude_Breakdown]],crudeBD.lkup.complete[Crude Breakdown],0)))^2,"")</f>
        <v>14.527518969513565</v>
      </c>
      <c r="AO494" s="4">
        <f>IFERROR((vp.tbl[[#This Row],[Sulf]]-INDEX(crudeBD.lkup.complete[Mean_Sulf],MATCH(vp.tbl[[#This Row],[Crude_Breakdown]],crudeBD.lkup.complete[Crude Breakdown],0)))^2,"")</f>
        <v>1.9147790304605045E-3</v>
      </c>
      <c r="AP494">
        <f>IF(AND(vp.tbl[[#This Row],[SDate]]&gt;=DATE(YEAR(vp.tbl[[#This Row],[SDate]]),5,1),vp.tbl[[#This Row],[SDate]]&lt;=DATE(YEAR(vp.tbl[[#This Row],[SDate]]),9,15)),1,0)</f>
        <v>0</v>
      </c>
      <c r="AQ494" s="15">
        <f>IF(vp.tbl[[#This Row],[SDate]]&lt;DATE(2016,12,1),0,1)</f>
        <v>1</v>
      </c>
    </row>
    <row r="495" spans="1:43" x14ac:dyDescent="0.25">
      <c r="A495">
        <v>494</v>
      </c>
      <c r="B495" t="s">
        <v>62</v>
      </c>
      <c r="C495" t="s">
        <v>62</v>
      </c>
      <c r="D495" t="s">
        <v>87</v>
      </c>
      <c r="F495" s="1">
        <v>42738</v>
      </c>
      <c r="G495" s="2">
        <v>84.2</v>
      </c>
      <c r="H495" s="2"/>
      <c r="I495" s="2">
        <v>0.19</v>
      </c>
      <c r="J495" s="2">
        <v>8.6999999999999993</v>
      </c>
      <c r="K495" s="2">
        <v>-26</v>
      </c>
      <c r="L495" s="2">
        <v>808.1</v>
      </c>
      <c r="M495" s="2">
        <v>808.1</v>
      </c>
      <c r="N495" s="2">
        <f ca="1">INDEX(INDIRECT(_xlfn.CONCAT("weather.tbl[",N$1,"]")),MATCH(vp.tbl[[#This Row],[SDate]],weather.tbl[Date],0))</f>
        <v>-22.366666666666671</v>
      </c>
      <c r="O495" s="2">
        <f ca="1">INDEX(INDIRECT(_xlfn.CONCAT("weather.tbl[",O$1,"]")),MATCH(vp.tbl[[#This Row],[SDate]],weather.tbl[Date],0))</f>
        <v>-13.519047619047623</v>
      </c>
      <c r="P495" s="2">
        <f ca="1">INDEX(INDIRECT(_xlfn.CONCAT("weather.tbl[",P$1,"]")),MATCH(vp.tbl[[#This Row],[SDate]],weather.tbl[Date],0))</f>
        <v>-24.1</v>
      </c>
      <c r="Q495" s="2">
        <f ca="1">INDEX(INDIRECT(_xlfn.CONCAT("weather.tbl[",Q$1,"]")),MATCH(vp.tbl[[#This Row],[SDate]],weather.tbl[Date],0))</f>
        <v>-23.6</v>
      </c>
      <c r="R495" s="2">
        <f ca="1">INDEX(INDIRECT(_xlfn.CONCAT("weather.tbl[",R$1,"]")),MATCH(vp.tbl[[#This Row],[SDate]],weather.tbl[Date],0))</f>
        <v>-16.5</v>
      </c>
      <c r="S495" s="2">
        <f ca="1">INDEX(INDIRECT(_xlfn.CONCAT("weather.tbl[",S$1,"]")),MATCH(vp.tbl[[#This Row],[SDate]],weather.tbl[Date],0))</f>
        <v>-22.6</v>
      </c>
      <c r="T495" s="2">
        <f ca="1">INDEX(INDIRECT(_xlfn.CONCAT("weather.tbl[",T$1,"]")),MATCH(vp.tbl[[#This Row],[SDate]],weather.tbl[Date],0))</f>
        <v>-23.1</v>
      </c>
      <c r="U495" s="2">
        <f ca="1">INDEX(INDIRECT(_xlfn.CONCAT("weather.tbl[",U$1,"]")),MATCH(vp.tbl[[#This Row],[SDate]],weather.tbl[Date],0))</f>
        <v>-24.3</v>
      </c>
      <c r="V495" s="2">
        <v>7624.6970000000001</v>
      </c>
      <c r="W495" t="s">
        <v>48</v>
      </c>
      <c r="X495">
        <f>IF(OR(vp.tbl[[#This Row],[Sulf]]="",vp.tbl[[#This Row],[Dens]]=""),1,0)</f>
        <v>0</v>
      </c>
      <c r="Y495">
        <f>IF(vp.tbl[[#This Row],[CrudeType]]="C5+",1,0)</f>
        <v>0</v>
      </c>
      <c r="Z495">
        <f>IF(AND(vp.tbl[[#This Row],[CrudeType]]="Crude",vp.tbl[[#This Row],[Dens]]&lt;=825,vp.tbl[[#This Row],[Sulf]]&gt;0.5,vp.tbl[[#This Row],[Unknown]]=0),1,0)</f>
        <v>0</v>
      </c>
      <c r="AA495">
        <f>IF(AND(vp.tbl[[#This Row],[CrudeType]]="Crude",vp.tbl[[#This Row],[Dens]]&lt;=825,vp.tbl[[#This Row],[Sulf]]&lt;=0.5,vp.tbl[[#This Row],[Unknown]]=0),1,0)</f>
        <v>1</v>
      </c>
      <c r="AB495">
        <f>IF(AND(vp.tbl[[#This Row],[CrudeType]]="Crude",vp.tbl[[#This Row],[Dens]]&gt;825,vp.tbl[[#This Row],[Dens]]&lt;=870,vp.tbl[[#This Row],[Sulf]]&gt;0.5,vp.tbl[[#This Row],[Unknown]]=0),1,0)</f>
        <v>0</v>
      </c>
      <c r="AC495">
        <f>IF(AND(vp.tbl[[#This Row],[CrudeType]]="Crude",vp.tbl[[#This Row],[Dens]]&gt;825,vp.tbl[[#This Row],[Dens]]&lt;=900,vp.tbl[[#This Row],[Sulf]]&lt;=0.5,vp.tbl[[#This Row],[Unknown]]=0),1,0)</f>
        <v>0</v>
      </c>
      <c r="AD495">
        <f>IF(AND(vp.tbl[[#This Row],[CrudeType]]="Crude",vp.tbl[[#This Row],[Dens]]&gt;870,vp.tbl[[#This Row],[Dens]]&lt;=900,vp.tbl[[#This Row],[Sulf]]&gt;0.5,vp.tbl[[#This Row],[Unknown]]=0),1,0)</f>
        <v>0</v>
      </c>
      <c r="AE495">
        <f>IF(AND(vp.tbl[[#This Row],[CrudeType]]="Crude",vp.tbl[[#This Row],[Dens]]&gt;900,vp.tbl[[#This Row],[Sulf]]&lt;=0.5,vp.tbl[[#This Row],[Unknown]]=0),1,0)</f>
        <v>0</v>
      </c>
      <c r="AF495">
        <f>IF(AND(vp.tbl[[#This Row],[CrudeType]]="Crude",vp.tbl[[#This Row],[Dens]]&gt;900,vp.tbl[[#This Row],[Sulf]]&lt;=0.5,vp.tbl[[#This Row],[Unknown]]=0),1,0)</f>
        <v>0</v>
      </c>
      <c r="AG495" t="str">
        <f>INDEX(vp.tbl[[#Headers],[Unknown]:[Heavy_SW]],MATCH(1,vp.tbl[[#This Row],[Unknown]:[Heavy_SW]],0))</f>
        <v>Light_SW</v>
      </c>
      <c r="AH495" t="e">
        <f>INDEX([1]!crudeBD.lkup[Number],MATCH(vp.tbl[[#This Row],[Crude_Breakdown]],[1]!crudeBD.lkup[Crude Breakdown],0))</f>
        <v>#REF!</v>
      </c>
      <c r="AI495">
        <f>MONTH(vp.tbl[[#This Row],[SDate]])</f>
        <v>1</v>
      </c>
      <c r="AJ495" s="5">
        <f>IFERROR(vp.tbl[[#This Row],[Sulf]]*vp.tbl[[#This Row],[Net Dens]],"")</f>
        <v>1170688.352683</v>
      </c>
      <c r="AK495" s="5">
        <f>IFERROR(vp.tbl[[#This Row],[Dens]]*vp.tbl[[#This Row],[VolumeM3]],"")</f>
        <v>6161517.6457000002</v>
      </c>
      <c r="AL495" s="5">
        <f>IFERROR(vp.tbl[[#This Row],[VP]]*vp.tbl[[#This Row],[VolumeM3]],"")</f>
        <v>641999.48739999998</v>
      </c>
      <c r="AM495" s="4">
        <f>IFERROR((vp.tbl[[#This Row],[VP]]-INDEX(crudeBD.lkup.complete[Mean_VP],MATCH(vp.tbl[[#This Row],[Crude_Breakdown]],crudeBD.lkup.complete[Crude Breakdown],0)))^2,"")</f>
        <v>69.727737032135337</v>
      </c>
      <c r="AN495" s="4">
        <f>IFERROR((vp.tbl[[#This Row],[Dens]]-INDEX(crudeBD.lkup.complete[Mean_Dens],MATCH(vp.tbl[[#This Row],[Crude_Breakdown]],crudeBD.lkup.complete[Crude Breakdown],0)))^2,"")</f>
        <v>4.473151306913524E-2</v>
      </c>
      <c r="AO495" s="4">
        <f>IFERROR((vp.tbl[[#This Row],[Sulf]]-INDEX(crudeBD.lkup.complete[Mean_Sulf],MATCH(vp.tbl[[#This Row],[Crude_Breakdown]],crudeBD.lkup.complete[Crude Breakdown],0)))^2,"")</f>
        <v>2.1383051628646554E-3</v>
      </c>
      <c r="AP495">
        <f>IF(AND(vp.tbl[[#This Row],[SDate]]&gt;=DATE(YEAR(vp.tbl[[#This Row],[SDate]]),5,1),vp.tbl[[#This Row],[SDate]]&lt;=DATE(YEAR(vp.tbl[[#This Row],[SDate]]),9,15)),1,0)</f>
        <v>0</v>
      </c>
      <c r="AQ495" s="15">
        <f>IF(vp.tbl[[#This Row],[SDate]]&lt;DATE(2016,12,1),0,1)</f>
        <v>1</v>
      </c>
    </row>
    <row r="496" spans="1:43" x14ac:dyDescent="0.25">
      <c r="A496">
        <v>495</v>
      </c>
      <c r="B496" t="s">
        <v>49</v>
      </c>
      <c r="C496" t="s">
        <v>49</v>
      </c>
      <c r="D496" t="s">
        <v>99</v>
      </c>
      <c r="F496" s="1">
        <v>42738</v>
      </c>
      <c r="G496" s="2">
        <v>89.8</v>
      </c>
      <c r="H496" s="2"/>
      <c r="I496" s="2">
        <v>0.47</v>
      </c>
      <c r="J496" s="2">
        <v>5</v>
      </c>
      <c r="K496" s="2">
        <v>-26</v>
      </c>
      <c r="L496" s="2">
        <v>812.4</v>
      </c>
      <c r="M496" s="2">
        <v>812.4</v>
      </c>
      <c r="N496" s="2">
        <f ca="1">INDEX(INDIRECT(_xlfn.CONCAT("weather.tbl[",N$1,"]")),MATCH(vp.tbl[[#This Row],[SDate]],weather.tbl[Date],0))</f>
        <v>-22.366666666666671</v>
      </c>
      <c r="O496" s="2">
        <f ca="1">INDEX(INDIRECT(_xlfn.CONCAT("weather.tbl[",O$1,"]")),MATCH(vp.tbl[[#This Row],[SDate]],weather.tbl[Date],0))</f>
        <v>-13.519047619047623</v>
      </c>
      <c r="P496" s="2">
        <f ca="1">INDEX(INDIRECT(_xlfn.CONCAT("weather.tbl[",P$1,"]")),MATCH(vp.tbl[[#This Row],[SDate]],weather.tbl[Date],0))</f>
        <v>-24.1</v>
      </c>
      <c r="Q496" s="2">
        <f ca="1">INDEX(INDIRECT(_xlfn.CONCAT("weather.tbl[",Q$1,"]")),MATCH(vp.tbl[[#This Row],[SDate]],weather.tbl[Date],0))</f>
        <v>-23.6</v>
      </c>
      <c r="R496" s="2">
        <f ca="1">INDEX(INDIRECT(_xlfn.CONCAT("weather.tbl[",R$1,"]")),MATCH(vp.tbl[[#This Row],[SDate]],weather.tbl[Date],0))</f>
        <v>-16.5</v>
      </c>
      <c r="S496" s="2">
        <f ca="1">INDEX(INDIRECT(_xlfn.CONCAT("weather.tbl[",S$1,"]")),MATCH(vp.tbl[[#This Row],[SDate]],weather.tbl[Date],0))</f>
        <v>-22.6</v>
      </c>
      <c r="T496" s="2">
        <f ca="1">INDEX(INDIRECT(_xlfn.CONCAT("weather.tbl[",T$1,"]")),MATCH(vp.tbl[[#This Row],[SDate]],weather.tbl[Date],0))</f>
        <v>-23.1</v>
      </c>
      <c r="U496" s="2">
        <f ca="1">INDEX(INDIRECT(_xlfn.CONCAT("weather.tbl[",U$1,"]")),MATCH(vp.tbl[[#This Row],[SDate]],weather.tbl[Date],0))</f>
        <v>-24.3</v>
      </c>
      <c r="V496" s="2">
        <v>2607.1970000000001</v>
      </c>
      <c r="W496" t="s">
        <v>48</v>
      </c>
      <c r="X496">
        <f>IF(OR(vp.tbl[[#This Row],[Sulf]]="",vp.tbl[[#This Row],[Dens]]=""),1,0)</f>
        <v>0</v>
      </c>
      <c r="Y496">
        <f>IF(vp.tbl[[#This Row],[CrudeType]]="C5+",1,0)</f>
        <v>0</v>
      </c>
      <c r="Z496">
        <f>IF(AND(vp.tbl[[#This Row],[CrudeType]]="Crude",vp.tbl[[#This Row],[Dens]]&lt;=825,vp.tbl[[#This Row],[Sulf]]&gt;0.5,vp.tbl[[#This Row],[Unknown]]=0),1,0)</f>
        <v>0</v>
      </c>
      <c r="AA496">
        <f>IF(AND(vp.tbl[[#This Row],[CrudeType]]="Crude",vp.tbl[[#This Row],[Dens]]&lt;=825,vp.tbl[[#This Row],[Sulf]]&lt;=0.5,vp.tbl[[#This Row],[Unknown]]=0),1,0)</f>
        <v>1</v>
      </c>
      <c r="AB496">
        <f>IF(AND(vp.tbl[[#This Row],[CrudeType]]="Crude",vp.tbl[[#This Row],[Dens]]&gt;825,vp.tbl[[#This Row],[Dens]]&lt;=870,vp.tbl[[#This Row],[Sulf]]&gt;0.5,vp.tbl[[#This Row],[Unknown]]=0),1,0)</f>
        <v>0</v>
      </c>
      <c r="AC496">
        <f>IF(AND(vp.tbl[[#This Row],[CrudeType]]="Crude",vp.tbl[[#This Row],[Dens]]&gt;825,vp.tbl[[#This Row],[Dens]]&lt;=900,vp.tbl[[#This Row],[Sulf]]&lt;=0.5,vp.tbl[[#This Row],[Unknown]]=0),1,0)</f>
        <v>0</v>
      </c>
      <c r="AD496">
        <f>IF(AND(vp.tbl[[#This Row],[CrudeType]]="Crude",vp.tbl[[#This Row],[Dens]]&gt;870,vp.tbl[[#This Row],[Dens]]&lt;=900,vp.tbl[[#This Row],[Sulf]]&gt;0.5,vp.tbl[[#This Row],[Unknown]]=0),1,0)</f>
        <v>0</v>
      </c>
      <c r="AE496">
        <f>IF(AND(vp.tbl[[#This Row],[CrudeType]]="Crude",vp.tbl[[#This Row],[Dens]]&gt;900,vp.tbl[[#This Row],[Sulf]]&lt;=0.5,vp.tbl[[#This Row],[Unknown]]=0),1,0)</f>
        <v>0</v>
      </c>
      <c r="AF496">
        <f>IF(AND(vp.tbl[[#This Row],[CrudeType]]="Crude",vp.tbl[[#This Row],[Dens]]&gt;900,vp.tbl[[#This Row],[Sulf]]&lt;=0.5,vp.tbl[[#This Row],[Unknown]]=0),1,0)</f>
        <v>0</v>
      </c>
      <c r="AG496" t="str">
        <f>INDEX(vp.tbl[[#Headers],[Unknown]:[Heavy_SW]],MATCH(1,vp.tbl[[#This Row],[Unknown]:[Heavy_SW]],0))</f>
        <v>Light_SW</v>
      </c>
      <c r="AH496" t="e">
        <f>INDEX([1]!crudeBD.lkup[Number],MATCH(vp.tbl[[#This Row],[Crude_Breakdown]],[1]!crudeBD.lkup[Crude Breakdown],0))</f>
        <v>#REF!</v>
      </c>
      <c r="AI496">
        <f>MONTH(vp.tbl[[#This Row],[SDate]])</f>
        <v>1</v>
      </c>
      <c r="AJ496" s="5">
        <f>IFERROR(vp.tbl[[#This Row],[Sulf]]*vp.tbl[[#This Row],[Net Dens]],"")</f>
        <v>995500.81611600006</v>
      </c>
      <c r="AK496" s="5">
        <f>IFERROR(vp.tbl[[#This Row],[Dens]]*vp.tbl[[#This Row],[VolumeM3]],"")</f>
        <v>2118086.8428000002</v>
      </c>
      <c r="AL496" s="5">
        <f>IFERROR(vp.tbl[[#This Row],[VP]]*vp.tbl[[#This Row],[VolumeM3]],"")</f>
        <v>234126.29060000001</v>
      </c>
      <c r="AM496" s="4">
        <f>IFERROR((vp.tbl[[#This Row],[VP]]-INDEX(crudeBD.lkup.complete[Mean_VP],MATCH(vp.tbl[[#This Row],[Crude_Breakdown]],crudeBD.lkup.complete[Crude Breakdown],0)))^2,"")</f>
        <v>7.5642248370137786</v>
      </c>
      <c r="AN496" s="4">
        <f>IFERROR((vp.tbl[[#This Row],[Dens]]-INDEX(crudeBD.lkup.complete[Mean_Dens],MATCH(vp.tbl[[#This Row],[Crude_Breakdown]],crudeBD.lkup.complete[Crude Breakdown],0)))^2,"")</f>
        <v>16.715846495649235</v>
      </c>
      <c r="AO496" s="4">
        <f>IFERROR((vp.tbl[[#This Row],[Sulf]]-INDEX(crudeBD.lkup.complete[Mean_Sulf],MATCH(vp.tbl[[#This Row],[Crude_Breakdown]],crudeBD.lkup.complete[Crude Breakdown],0)))^2,"")</f>
        <v>5.4642890528718388E-2</v>
      </c>
      <c r="AP496">
        <f>IF(AND(vp.tbl[[#This Row],[SDate]]&gt;=DATE(YEAR(vp.tbl[[#This Row],[SDate]]),5,1),vp.tbl[[#This Row],[SDate]]&lt;=DATE(YEAR(vp.tbl[[#This Row],[SDate]]),9,15)),1,0)</f>
        <v>0</v>
      </c>
      <c r="AQ496" s="15">
        <f>IF(vp.tbl[[#This Row],[SDate]]&lt;DATE(2016,12,1),0,1)</f>
        <v>1</v>
      </c>
    </row>
    <row r="497" spans="1:43" x14ac:dyDescent="0.25">
      <c r="A497">
        <v>496</v>
      </c>
      <c r="B497" t="s">
        <v>49</v>
      </c>
      <c r="C497" t="s">
        <v>49</v>
      </c>
      <c r="D497" t="s">
        <v>105</v>
      </c>
      <c r="F497" s="1">
        <v>42738</v>
      </c>
      <c r="G497" s="2">
        <v>83.4</v>
      </c>
      <c r="H497" s="2"/>
      <c r="I497" s="2">
        <v>0.69</v>
      </c>
      <c r="J497" s="2">
        <v>24.7</v>
      </c>
      <c r="K497" s="2">
        <v>-26</v>
      </c>
      <c r="L497" s="2">
        <v>830.2</v>
      </c>
      <c r="M497" s="2">
        <v>830.2</v>
      </c>
      <c r="N497" s="2">
        <f ca="1">INDEX(INDIRECT(_xlfn.CONCAT("weather.tbl[",N$1,"]")),MATCH(vp.tbl[[#This Row],[SDate]],weather.tbl[Date],0))</f>
        <v>-22.366666666666671</v>
      </c>
      <c r="O497" s="2">
        <f ca="1">INDEX(INDIRECT(_xlfn.CONCAT("weather.tbl[",O$1,"]")),MATCH(vp.tbl[[#This Row],[SDate]],weather.tbl[Date],0))</f>
        <v>-13.519047619047623</v>
      </c>
      <c r="P497" s="2">
        <f ca="1">INDEX(INDIRECT(_xlfn.CONCAT("weather.tbl[",P$1,"]")),MATCH(vp.tbl[[#This Row],[SDate]],weather.tbl[Date],0))</f>
        <v>-24.1</v>
      </c>
      <c r="Q497" s="2">
        <f ca="1">INDEX(INDIRECT(_xlfn.CONCAT("weather.tbl[",Q$1,"]")),MATCH(vp.tbl[[#This Row],[SDate]],weather.tbl[Date],0))</f>
        <v>-23.6</v>
      </c>
      <c r="R497" s="2">
        <f ca="1">INDEX(INDIRECT(_xlfn.CONCAT("weather.tbl[",R$1,"]")),MATCH(vp.tbl[[#This Row],[SDate]],weather.tbl[Date],0))</f>
        <v>-16.5</v>
      </c>
      <c r="S497" s="2">
        <f ca="1">INDEX(INDIRECT(_xlfn.CONCAT("weather.tbl[",S$1,"]")),MATCH(vp.tbl[[#This Row],[SDate]],weather.tbl[Date],0))</f>
        <v>-22.6</v>
      </c>
      <c r="T497" s="2">
        <f ca="1">INDEX(INDIRECT(_xlfn.CONCAT("weather.tbl[",T$1,"]")),MATCH(vp.tbl[[#This Row],[SDate]],weather.tbl[Date],0))</f>
        <v>-23.1</v>
      </c>
      <c r="U497" s="2">
        <f ca="1">INDEX(INDIRECT(_xlfn.CONCAT("weather.tbl[",U$1,"]")),MATCH(vp.tbl[[#This Row],[SDate]],weather.tbl[Date],0))</f>
        <v>-24.3</v>
      </c>
      <c r="V497" s="2">
        <v>3870.518</v>
      </c>
      <c r="W497" t="s">
        <v>48</v>
      </c>
      <c r="X497">
        <f>IF(OR(vp.tbl[[#This Row],[Sulf]]="",vp.tbl[[#This Row],[Dens]]=""),1,0)</f>
        <v>0</v>
      </c>
      <c r="Y497">
        <f>IF(vp.tbl[[#This Row],[CrudeType]]="C5+",1,0)</f>
        <v>0</v>
      </c>
      <c r="Z497">
        <f>IF(AND(vp.tbl[[#This Row],[CrudeType]]="Crude",vp.tbl[[#This Row],[Dens]]&lt;=825,vp.tbl[[#This Row],[Sulf]]&gt;0.5,vp.tbl[[#This Row],[Unknown]]=0),1,0)</f>
        <v>0</v>
      </c>
      <c r="AA497">
        <f>IF(AND(vp.tbl[[#This Row],[CrudeType]]="Crude",vp.tbl[[#This Row],[Dens]]&lt;=825,vp.tbl[[#This Row],[Sulf]]&lt;=0.5,vp.tbl[[#This Row],[Unknown]]=0),1,0)</f>
        <v>0</v>
      </c>
      <c r="AB497">
        <f>IF(AND(vp.tbl[[#This Row],[CrudeType]]="Crude",vp.tbl[[#This Row],[Dens]]&gt;825,vp.tbl[[#This Row],[Dens]]&lt;=870,vp.tbl[[#This Row],[Sulf]]&gt;0.5,vp.tbl[[#This Row],[Unknown]]=0),1,0)</f>
        <v>1</v>
      </c>
      <c r="AC497">
        <f>IF(AND(vp.tbl[[#This Row],[CrudeType]]="Crude",vp.tbl[[#This Row],[Dens]]&gt;825,vp.tbl[[#This Row],[Dens]]&lt;=900,vp.tbl[[#This Row],[Sulf]]&lt;=0.5,vp.tbl[[#This Row],[Unknown]]=0),1,0)</f>
        <v>0</v>
      </c>
      <c r="AD497">
        <f>IF(AND(vp.tbl[[#This Row],[CrudeType]]="Crude",vp.tbl[[#This Row],[Dens]]&gt;870,vp.tbl[[#This Row],[Dens]]&lt;=900,vp.tbl[[#This Row],[Sulf]]&gt;0.5,vp.tbl[[#This Row],[Unknown]]=0),1,0)</f>
        <v>0</v>
      </c>
      <c r="AE497">
        <f>IF(AND(vp.tbl[[#This Row],[CrudeType]]="Crude",vp.tbl[[#This Row],[Dens]]&gt;900,vp.tbl[[#This Row],[Sulf]]&lt;=0.5,vp.tbl[[#This Row],[Unknown]]=0),1,0)</f>
        <v>0</v>
      </c>
      <c r="AF497">
        <f>IF(AND(vp.tbl[[#This Row],[CrudeType]]="Crude",vp.tbl[[#This Row],[Dens]]&gt;900,vp.tbl[[#This Row],[Sulf]]&lt;=0.5,vp.tbl[[#This Row],[Unknown]]=0),1,0)</f>
        <v>0</v>
      </c>
      <c r="AG497" t="str">
        <f>INDEX(vp.tbl[[#Headers],[Unknown]:[Heavy_SW]],MATCH(1,vp.tbl[[#This Row],[Unknown]:[Heavy_SW]],0))</f>
        <v>Medium_LSB</v>
      </c>
      <c r="AH497" t="e">
        <f>INDEX([1]!crudeBD.lkup[Number],MATCH(vp.tbl[[#This Row],[Crude_Breakdown]],[1]!crudeBD.lkup[Crude Breakdown],0))</f>
        <v>#REF!</v>
      </c>
      <c r="AI497">
        <f>MONTH(vp.tbl[[#This Row],[SDate]])</f>
        <v>1</v>
      </c>
      <c r="AJ497" s="5">
        <f>IFERROR(vp.tbl[[#This Row],[Sulf]]*vp.tbl[[#This Row],[Net Dens]],"")</f>
        <v>2217179.7900839997</v>
      </c>
      <c r="AK497" s="5">
        <f>IFERROR(vp.tbl[[#This Row],[Dens]]*vp.tbl[[#This Row],[VolumeM3]],"")</f>
        <v>3213304.0436</v>
      </c>
      <c r="AL497" s="5">
        <f>IFERROR(vp.tbl[[#This Row],[VP]]*vp.tbl[[#This Row],[VolumeM3]],"")</f>
        <v>322801.20120000001</v>
      </c>
      <c r="AM497" s="4">
        <f>IFERROR((vp.tbl[[#This Row],[VP]]-INDEX(crudeBD.lkup.complete[Mean_VP],MATCH(vp.tbl[[#This Row],[Crude_Breakdown]],crudeBD.lkup.complete[Crude Breakdown],0)))^2,"")</f>
        <v>10.409689632430975</v>
      </c>
      <c r="AN497" s="4">
        <f>IFERROR((vp.tbl[[#This Row],[Dens]]-INDEX(crudeBD.lkup.complete[Mean_Dens],MATCH(vp.tbl[[#This Row],[Crude_Breakdown]],crudeBD.lkup.complete[Crude Breakdown],0)))^2,"")</f>
        <v>227.76311496808299</v>
      </c>
      <c r="AO497" s="4">
        <f>IFERROR((vp.tbl[[#This Row],[Sulf]]-INDEX(crudeBD.lkup.complete[Mean_Sulf],MATCH(vp.tbl[[#This Row],[Crude_Breakdown]],crudeBD.lkup.complete[Crude Breakdown],0)))^2,"")</f>
        <v>0.58511769188154072</v>
      </c>
      <c r="AP497">
        <f>IF(AND(vp.tbl[[#This Row],[SDate]]&gt;=DATE(YEAR(vp.tbl[[#This Row],[SDate]]),5,1),vp.tbl[[#This Row],[SDate]]&lt;=DATE(YEAR(vp.tbl[[#This Row],[SDate]]),9,15)),1,0)</f>
        <v>0</v>
      </c>
      <c r="AQ497" s="15">
        <f>IF(vp.tbl[[#This Row],[SDate]]&lt;DATE(2016,12,1),0,1)</f>
        <v>1</v>
      </c>
    </row>
    <row r="498" spans="1:43" x14ac:dyDescent="0.25">
      <c r="A498">
        <v>497</v>
      </c>
      <c r="B498" t="s">
        <v>51</v>
      </c>
      <c r="C498" t="s">
        <v>51</v>
      </c>
      <c r="D498" t="s">
        <v>95</v>
      </c>
      <c r="F498" s="1">
        <v>42738</v>
      </c>
      <c r="G498" s="2">
        <v>69.2</v>
      </c>
      <c r="H498" s="2"/>
      <c r="I498" s="2">
        <v>1.22</v>
      </c>
      <c r="J498" s="2">
        <v>28.9</v>
      </c>
      <c r="K498" s="2">
        <v>-26</v>
      </c>
      <c r="L498" s="2">
        <v>843.8</v>
      </c>
      <c r="M498" s="2">
        <v>843.8</v>
      </c>
      <c r="N498" s="2">
        <f ca="1">INDEX(INDIRECT(_xlfn.CONCAT("weather.tbl[",N$1,"]")),MATCH(vp.tbl[[#This Row],[SDate]],weather.tbl[Date],0))</f>
        <v>-22.366666666666671</v>
      </c>
      <c r="O498" s="2">
        <f ca="1">INDEX(INDIRECT(_xlfn.CONCAT("weather.tbl[",O$1,"]")),MATCH(vp.tbl[[#This Row],[SDate]],weather.tbl[Date],0))</f>
        <v>-13.519047619047623</v>
      </c>
      <c r="P498" s="2">
        <f ca="1">INDEX(INDIRECT(_xlfn.CONCAT("weather.tbl[",P$1,"]")),MATCH(vp.tbl[[#This Row],[SDate]],weather.tbl[Date],0))</f>
        <v>-24.1</v>
      </c>
      <c r="Q498" s="2">
        <f ca="1">INDEX(INDIRECT(_xlfn.CONCAT("weather.tbl[",Q$1,"]")),MATCH(vp.tbl[[#This Row],[SDate]],weather.tbl[Date],0))</f>
        <v>-23.6</v>
      </c>
      <c r="R498" s="2">
        <f ca="1">INDEX(INDIRECT(_xlfn.CONCAT("weather.tbl[",R$1,"]")),MATCH(vp.tbl[[#This Row],[SDate]],weather.tbl[Date],0))</f>
        <v>-16.5</v>
      </c>
      <c r="S498" s="2">
        <f ca="1">INDEX(INDIRECT(_xlfn.CONCAT("weather.tbl[",S$1,"]")),MATCH(vp.tbl[[#This Row],[SDate]],weather.tbl[Date],0))</f>
        <v>-22.6</v>
      </c>
      <c r="T498" s="2">
        <f ca="1">INDEX(INDIRECT(_xlfn.CONCAT("weather.tbl[",T$1,"]")),MATCH(vp.tbl[[#This Row],[SDate]],weather.tbl[Date],0))</f>
        <v>-23.1</v>
      </c>
      <c r="U498" s="2">
        <f ca="1">INDEX(INDIRECT(_xlfn.CONCAT("weather.tbl[",U$1,"]")),MATCH(vp.tbl[[#This Row],[SDate]],weather.tbl[Date],0))</f>
        <v>-24.3</v>
      </c>
      <c r="V498" s="2">
        <v>6182.9449999999997</v>
      </c>
      <c r="W498" t="s">
        <v>48</v>
      </c>
      <c r="X498">
        <f>IF(OR(vp.tbl[[#This Row],[Sulf]]="",vp.tbl[[#This Row],[Dens]]=""),1,0)</f>
        <v>0</v>
      </c>
      <c r="Y498">
        <f>IF(vp.tbl[[#This Row],[CrudeType]]="C5+",1,0)</f>
        <v>0</v>
      </c>
      <c r="Z498">
        <f>IF(AND(vp.tbl[[#This Row],[CrudeType]]="Crude",vp.tbl[[#This Row],[Dens]]&lt;=825,vp.tbl[[#This Row],[Sulf]]&gt;0.5,vp.tbl[[#This Row],[Unknown]]=0),1,0)</f>
        <v>0</v>
      </c>
      <c r="AA498">
        <f>IF(AND(vp.tbl[[#This Row],[CrudeType]]="Crude",vp.tbl[[#This Row],[Dens]]&lt;=825,vp.tbl[[#This Row],[Sulf]]&lt;=0.5,vp.tbl[[#This Row],[Unknown]]=0),1,0)</f>
        <v>0</v>
      </c>
      <c r="AB498">
        <f>IF(AND(vp.tbl[[#This Row],[CrudeType]]="Crude",vp.tbl[[#This Row],[Dens]]&gt;825,vp.tbl[[#This Row],[Dens]]&lt;=870,vp.tbl[[#This Row],[Sulf]]&gt;0.5,vp.tbl[[#This Row],[Unknown]]=0),1,0)</f>
        <v>1</v>
      </c>
      <c r="AC498">
        <f>IF(AND(vp.tbl[[#This Row],[CrudeType]]="Crude",vp.tbl[[#This Row],[Dens]]&gt;825,vp.tbl[[#This Row],[Dens]]&lt;=900,vp.tbl[[#This Row],[Sulf]]&lt;=0.5,vp.tbl[[#This Row],[Unknown]]=0),1,0)</f>
        <v>0</v>
      </c>
      <c r="AD498">
        <f>IF(AND(vp.tbl[[#This Row],[CrudeType]]="Crude",vp.tbl[[#This Row],[Dens]]&gt;870,vp.tbl[[#This Row],[Dens]]&lt;=900,vp.tbl[[#This Row],[Sulf]]&gt;0.5,vp.tbl[[#This Row],[Unknown]]=0),1,0)</f>
        <v>0</v>
      </c>
      <c r="AE498">
        <f>IF(AND(vp.tbl[[#This Row],[CrudeType]]="Crude",vp.tbl[[#This Row],[Dens]]&gt;900,vp.tbl[[#This Row],[Sulf]]&lt;=0.5,vp.tbl[[#This Row],[Unknown]]=0),1,0)</f>
        <v>0</v>
      </c>
      <c r="AF498">
        <f>IF(AND(vp.tbl[[#This Row],[CrudeType]]="Crude",vp.tbl[[#This Row],[Dens]]&gt;900,vp.tbl[[#This Row],[Sulf]]&lt;=0.5,vp.tbl[[#This Row],[Unknown]]=0),1,0)</f>
        <v>0</v>
      </c>
      <c r="AG498" t="str">
        <f>INDEX(vp.tbl[[#Headers],[Unknown]:[Heavy_SW]],MATCH(1,vp.tbl[[#This Row],[Unknown]:[Heavy_SW]],0))</f>
        <v>Medium_LSB</v>
      </c>
      <c r="AH498" t="e">
        <f>INDEX([1]!crudeBD.lkup[Number],MATCH(vp.tbl[[#This Row],[Crude_Breakdown]],[1]!crudeBD.lkup[Crude Breakdown],0))</f>
        <v>#REF!</v>
      </c>
      <c r="AI498">
        <f>MONTH(vp.tbl[[#This Row],[SDate]])</f>
        <v>1</v>
      </c>
      <c r="AJ498" s="5">
        <f>IFERROR(vp.tbl[[#This Row],[Sulf]]*vp.tbl[[#This Row],[Net Dens]],"")</f>
        <v>6364946.169019999</v>
      </c>
      <c r="AK498" s="5">
        <f>IFERROR(vp.tbl[[#This Row],[Dens]]*vp.tbl[[#This Row],[VolumeM3]],"")</f>
        <v>5217168.9909999995</v>
      </c>
      <c r="AL498" s="5">
        <f>IFERROR(vp.tbl[[#This Row],[VP]]*vp.tbl[[#This Row],[VolumeM3]],"")</f>
        <v>427859.79399999999</v>
      </c>
      <c r="AM498" s="4">
        <f>IFERROR((vp.tbl[[#This Row],[VP]]-INDEX(crudeBD.lkup.complete[Mean_VP],MATCH(vp.tbl[[#This Row],[Crude_Breakdown]],crudeBD.lkup.complete[Crude Breakdown],0)))^2,"")</f>
        <v>120.41978583496147</v>
      </c>
      <c r="AN498" s="4">
        <f>IFERROR((vp.tbl[[#This Row],[Dens]]-INDEX(crudeBD.lkup.complete[Mean_Dens],MATCH(vp.tbl[[#This Row],[Crude_Breakdown]],crudeBD.lkup.complete[Crude Breakdown],0)))^2,"")</f>
        <v>2.2255352212758392</v>
      </c>
      <c r="AO498" s="4">
        <f>IFERROR((vp.tbl[[#This Row],[Sulf]]-INDEX(crudeBD.lkup.complete[Mean_Sulf],MATCH(vp.tbl[[#This Row],[Crude_Breakdown]],crudeBD.lkup.complete[Crude Breakdown],0)))^2,"")</f>
        <v>5.5192039476475795E-2</v>
      </c>
      <c r="AP498">
        <f>IF(AND(vp.tbl[[#This Row],[SDate]]&gt;=DATE(YEAR(vp.tbl[[#This Row],[SDate]]),5,1),vp.tbl[[#This Row],[SDate]]&lt;=DATE(YEAR(vp.tbl[[#This Row],[SDate]]),9,15)),1,0)</f>
        <v>0</v>
      </c>
      <c r="AQ498" s="15">
        <f>IF(vp.tbl[[#This Row],[SDate]]&lt;DATE(2016,12,1),0,1)</f>
        <v>1</v>
      </c>
    </row>
    <row r="499" spans="1:43" x14ac:dyDescent="0.25">
      <c r="A499">
        <v>498</v>
      </c>
      <c r="B499" t="s">
        <v>49</v>
      </c>
      <c r="C499" t="s">
        <v>49</v>
      </c>
      <c r="D499" t="s">
        <v>90</v>
      </c>
      <c r="F499" s="1">
        <v>42738</v>
      </c>
      <c r="G499" s="2">
        <v>80.2</v>
      </c>
      <c r="H499" s="2"/>
      <c r="I499" s="2">
        <v>1.32</v>
      </c>
      <c r="J499" s="2">
        <v>8.8000000000000007</v>
      </c>
      <c r="K499" s="2">
        <v>-26</v>
      </c>
      <c r="L499" s="2">
        <v>843.9</v>
      </c>
      <c r="M499" s="2">
        <v>843.9</v>
      </c>
      <c r="N499" s="2">
        <f ca="1">INDEX(INDIRECT(_xlfn.CONCAT("weather.tbl[",N$1,"]")),MATCH(vp.tbl[[#This Row],[SDate]],weather.tbl[Date],0))</f>
        <v>-22.366666666666671</v>
      </c>
      <c r="O499" s="2">
        <f ca="1">INDEX(INDIRECT(_xlfn.CONCAT("weather.tbl[",O$1,"]")),MATCH(vp.tbl[[#This Row],[SDate]],weather.tbl[Date],0))</f>
        <v>-13.519047619047623</v>
      </c>
      <c r="P499" s="2">
        <f ca="1">INDEX(INDIRECT(_xlfn.CONCAT("weather.tbl[",P$1,"]")),MATCH(vp.tbl[[#This Row],[SDate]],weather.tbl[Date],0))</f>
        <v>-24.1</v>
      </c>
      <c r="Q499" s="2">
        <f ca="1">INDEX(INDIRECT(_xlfn.CONCAT("weather.tbl[",Q$1,"]")),MATCH(vp.tbl[[#This Row],[SDate]],weather.tbl[Date],0))</f>
        <v>-23.6</v>
      </c>
      <c r="R499" s="2">
        <f ca="1">INDEX(INDIRECT(_xlfn.CONCAT("weather.tbl[",R$1,"]")),MATCH(vp.tbl[[#This Row],[SDate]],weather.tbl[Date],0))</f>
        <v>-16.5</v>
      </c>
      <c r="S499" s="2">
        <f ca="1">INDEX(INDIRECT(_xlfn.CONCAT("weather.tbl[",S$1,"]")),MATCH(vp.tbl[[#This Row],[SDate]],weather.tbl[Date],0))</f>
        <v>-22.6</v>
      </c>
      <c r="T499" s="2">
        <f ca="1">INDEX(INDIRECT(_xlfn.CONCAT("weather.tbl[",T$1,"]")),MATCH(vp.tbl[[#This Row],[SDate]],weather.tbl[Date],0))</f>
        <v>-23.1</v>
      </c>
      <c r="U499" s="2">
        <f ca="1">INDEX(INDIRECT(_xlfn.CONCAT("weather.tbl[",U$1,"]")),MATCH(vp.tbl[[#This Row],[SDate]],weather.tbl[Date],0))</f>
        <v>-24.3</v>
      </c>
      <c r="V499" s="2">
        <v>4841.0649999999996</v>
      </c>
      <c r="W499" t="s">
        <v>48</v>
      </c>
      <c r="X499">
        <f>IF(OR(vp.tbl[[#This Row],[Sulf]]="",vp.tbl[[#This Row],[Dens]]=""),1,0)</f>
        <v>0</v>
      </c>
      <c r="Y499">
        <f>IF(vp.tbl[[#This Row],[CrudeType]]="C5+",1,0)</f>
        <v>0</v>
      </c>
      <c r="Z499">
        <f>IF(AND(vp.tbl[[#This Row],[CrudeType]]="Crude",vp.tbl[[#This Row],[Dens]]&lt;=825,vp.tbl[[#This Row],[Sulf]]&gt;0.5,vp.tbl[[#This Row],[Unknown]]=0),1,0)</f>
        <v>0</v>
      </c>
      <c r="AA499">
        <f>IF(AND(vp.tbl[[#This Row],[CrudeType]]="Crude",vp.tbl[[#This Row],[Dens]]&lt;=825,vp.tbl[[#This Row],[Sulf]]&lt;=0.5,vp.tbl[[#This Row],[Unknown]]=0),1,0)</f>
        <v>0</v>
      </c>
      <c r="AB499">
        <f>IF(AND(vp.tbl[[#This Row],[CrudeType]]="Crude",vp.tbl[[#This Row],[Dens]]&gt;825,vp.tbl[[#This Row],[Dens]]&lt;=870,vp.tbl[[#This Row],[Sulf]]&gt;0.5,vp.tbl[[#This Row],[Unknown]]=0),1,0)</f>
        <v>1</v>
      </c>
      <c r="AC499">
        <f>IF(AND(vp.tbl[[#This Row],[CrudeType]]="Crude",vp.tbl[[#This Row],[Dens]]&gt;825,vp.tbl[[#This Row],[Dens]]&lt;=900,vp.tbl[[#This Row],[Sulf]]&lt;=0.5,vp.tbl[[#This Row],[Unknown]]=0),1,0)</f>
        <v>0</v>
      </c>
      <c r="AD499">
        <f>IF(AND(vp.tbl[[#This Row],[CrudeType]]="Crude",vp.tbl[[#This Row],[Dens]]&gt;870,vp.tbl[[#This Row],[Dens]]&lt;=900,vp.tbl[[#This Row],[Sulf]]&gt;0.5,vp.tbl[[#This Row],[Unknown]]=0),1,0)</f>
        <v>0</v>
      </c>
      <c r="AE499">
        <f>IF(AND(vp.tbl[[#This Row],[CrudeType]]="Crude",vp.tbl[[#This Row],[Dens]]&gt;900,vp.tbl[[#This Row],[Sulf]]&lt;=0.5,vp.tbl[[#This Row],[Unknown]]=0),1,0)</f>
        <v>0</v>
      </c>
      <c r="AF499">
        <f>IF(AND(vp.tbl[[#This Row],[CrudeType]]="Crude",vp.tbl[[#This Row],[Dens]]&gt;900,vp.tbl[[#This Row],[Sulf]]&lt;=0.5,vp.tbl[[#This Row],[Unknown]]=0),1,0)</f>
        <v>0</v>
      </c>
      <c r="AG499" t="str">
        <f>INDEX(vp.tbl[[#Headers],[Unknown]:[Heavy_SW]],MATCH(1,vp.tbl[[#This Row],[Unknown]:[Heavy_SW]],0))</f>
        <v>Medium_LSB</v>
      </c>
      <c r="AH499" t="e">
        <f>INDEX([1]!crudeBD.lkup[Number],MATCH(vp.tbl[[#This Row],[Crude_Breakdown]],[1]!crudeBD.lkup[Crude Breakdown],0))</f>
        <v>#REF!</v>
      </c>
      <c r="AI499">
        <f>MONTH(vp.tbl[[#This Row],[SDate]])</f>
        <v>1</v>
      </c>
      <c r="AJ499" s="5">
        <f>IFERROR(vp.tbl[[#This Row],[Sulf]]*vp.tbl[[#This Row],[Net Dens]],"")</f>
        <v>5392694.6746199997</v>
      </c>
      <c r="AK499" s="5">
        <f>IFERROR(vp.tbl[[#This Row],[Dens]]*vp.tbl[[#This Row],[VolumeM3]],"")</f>
        <v>4085374.7534999996</v>
      </c>
      <c r="AL499" s="5">
        <f>IFERROR(vp.tbl[[#This Row],[VP]]*vp.tbl[[#This Row],[VolumeM3]],"")</f>
        <v>388253.413</v>
      </c>
      <c r="AM499" s="4">
        <f>IFERROR((vp.tbl[[#This Row],[VP]]-INDEX(crudeBD.lkup.complete[Mean_VP],MATCH(vp.tbl[[#This Row],[Crude_Breakdown]],crudeBD.lkup.complete[Crude Breakdown],0)))^2,"")</f>
        <v>6.9722736741116749E-4</v>
      </c>
      <c r="AN499" s="4">
        <f>IFERROR((vp.tbl[[#This Row],[Dens]]-INDEX(crudeBD.lkup.complete[Mean_Dens],MATCH(vp.tbl[[#This Row],[Crude_Breakdown]],crudeBD.lkup.complete[Crude Breakdown],0)))^2,"")</f>
        <v>1.9371706643139384</v>
      </c>
      <c r="AO499" s="4">
        <f>IFERROR((vp.tbl[[#This Row],[Sulf]]-INDEX(crudeBD.lkup.complete[Mean_Sulf],MATCH(vp.tbl[[#This Row],[Crude_Breakdown]],crudeBD.lkup.complete[Crude Breakdown],0)))^2,"")</f>
        <v>1.8206067324576733E-2</v>
      </c>
      <c r="AP499">
        <f>IF(AND(vp.tbl[[#This Row],[SDate]]&gt;=DATE(YEAR(vp.tbl[[#This Row],[SDate]]),5,1),vp.tbl[[#This Row],[SDate]]&lt;=DATE(YEAR(vp.tbl[[#This Row],[SDate]]),9,15)),1,0)</f>
        <v>0</v>
      </c>
      <c r="AQ499" s="15">
        <f>IF(vp.tbl[[#This Row],[SDate]]&lt;DATE(2016,12,1),0,1)</f>
        <v>1</v>
      </c>
    </row>
    <row r="500" spans="1:43" x14ac:dyDescent="0.25">
      <c r="A500">
        <v>499</v>
      </c>
      <c r="B500" t="s">
        <v>49</v>
      </c>
      <c r="C500" t="s">
        <v>49</v>
      </c>
      <c r="D500" t="s">
        <v>59</v>
      </c>
      <c r="F500" s="1">
        <v>42738</v>
      </c>
      <c r="G500" s="2">
        <v>95.1</v>
      </c>
      <c r="H500" s="2"/>
      <c r="I500" s="2">
        <v>1.79</v>
      </c>
      <c r="J500" s="2">
        <v>7.9</v>
      </c>
      <c r="K500" s="2">
        <v>-26</v>
      </c>
      <c r="L500" s="2">
        <v>845.3</v>
      </c>
      <c r="M500" s="2">
        <v>845.3</v>
      </c>
      <c r="N500" s="2">
        <f ca="1">INDEX(INDIRECT(_xlfn.CONCAT("weather.tbl[",N$1,"]")),MATCH(vp.tbl[[#This Row],[SDate]],weather.tbl[Date],0))</f>
        <v>-22.366666666666671</v>
      </c>
      <c r="O500" s="2">
        <f ca="1">INDEX(INDIRECT(_xlfn.CONCAT("weather.tbl[",O$1,"]")),MATCH(vp.tbl[[#This Row],[SDate]],weather.tbl[Date],0))</f>
        <v>-13.519047619047623</v>
      </c>
      <c r="P500" s="2">
        <f ca="1">INDEX(INDIRECT(_xlfn.CONCAT("weather.tbl[",P$1,"]")),MATCH(vp.tbl[[#This Row],[SDate]],weather.tbl[Date],0))</f>
        <v>-24.1</v>
      </c>
      <c r="Q500" s="2">
        <f ca="1">INDEX(INDIRECT(_xlfn.CONCAT("weather.tbl[",Q$1,"]")),MATCH(vp.tbl[[#This Row],[SDate]],weather.tbl[Date],0))</f>
        <v>-23.6</v>
      </c>
      <c r="R500" s="2">
        <f ca="1">INDEX(INDIRECT(_xlfn.CONCAT("weather.tbl[",R$1,"]")),MATCH(vp.tbl[[#This Row],[SDate]],weather.tbl[Date],0))</f>
        <v>-16.5</v>
      </c>
      <c r="S500" s="2">
        <f ca="1">INDEX(INDIRECT(_xlfn.CONCAT("weather.tbl[",S$1,"]")),MATCH(vp.tbl[[#This Row],[SDate]],weather.tbl[Date],0))</f>
        <v>-22.6</v>
      </c>
      <c r="T500" s="2">
        <f ca="1">INDEX(INDIRECT(_xlfn.CONCAT("weather.tbl[",T$1,"]")),MATCH(vp.tbl[[#This Row],[SDate]],weather.tbl[Date],0))</f>
        <v>-23.1</v>
      </c>
      <c r="U500" s="2">
        <f ca="1">INDEX(INDIRECT(_xlfn.CONCAT("weather.tbl[",U$1,"]")),MATCH(vp.tbl[[#This Row],[SDate]],weather.tbl[Date],0))</f>
        <v>-24.3</v>
      </c>
      <c r="V500" s="2">
        <v>1887.288</v>
      </c>
      <c r="W500" t="s">
        <v>48</v>
      </c>
      <c r="X500">
        <f>IF(OR(vp.tbl[[#This Row],[Sulf]]="",vp.tbl[[#This Row],[Dens]]=""),1,0)</f>
        <v>0</v>
      </c>
      <c r="Y500">
        <f>IF(vp.tbl[[#This Row],[CrudeType]]="C5+",1,0)</f>
        <v>0</v>
      </c>
      <c r="Z500">
        <f>IF(AND(vp.tbl[[#This Row],[CrudeType]]="Crude",vp.tbl[[#This Row],[Dens]]&lt;=825,vp.tbl[[#This Row],[Sulf]]&gt;0.5,vp.tbl[[#This Row],[Unknown]]=0),1,0)</f>
        <v>0</v>
      </c>
      <c r="AA500">
        <f>IF(AND(vp.tbl[[#This Row],[CrudeType]]="Crude",vp.tbl[[#This Row],[Dens]]&lt;=825,vp.tbl[[#This Row],[Sulf]]&lt;=0.5,vp.tbl[[#This Row],[Unknown]]=0),1,0)</f>
        <v>0</v>
      </c>
      <c r="AB500">
        <f>IF(AND(vp.tbl[[#This Row],[CrudeType]]="Crude",vp.tbl[[#This Row],[Dens]]&gt;825,vp.tbl[[#This Row],[Dens]]&lt;=870,vp.tbl[[#This Row],[Sulf]]&gt;0.5,vp.tbl[[#This Row],[Unknown]]=0),1,0)</f>
        <v>1</v>
      </c>
      <c r="AC500">
        <f>IF(AND(vp.tbl[[#This Row],[CrudeType]]="Crude",vp.tbl[[#This Row],[Dens]]&gt;825,vp.tbl[[#This Row],[Dens]]&lt;=900,vp.tbl[[#This Row],[Sulf]]&lt;=0.5,vp.tbl[[#This Row],[Unknown]]=0),1,0)</f>
        <v>0</v>
      </c>
      <c r="AD500">
        <f>IF(AND(vp.tbl[[#This Row],[CrudeType]]="Crude",vp.tbl[[#This Row],[Dens]]&gt;870,vp.tbl[[#This Row],[Dens]]&lt;=900,vp.tbl[[#This Row],[Sulf]]&gt;0.5,vp.tbl[[#This Row],[Unknown]]=0),1,0)</f>
        <v>0</v>
      </c>
      <c r="AE500">
        <f>IF(AND(vp.tbl[[#This Row],[CrudeType]]="Crude",vp.tbl[[#This Row],[Dens]]&gt;900,vp.tbl[[#This Row],[Sulf]]&lt;=0.5,vp.tbl[[#This Row],[Unknown]]=0),1,0)</f>
        <v>0</v>
      </c>
      <c r="AF500">
        <f>IF(AND(vp.tbl[[#This Row],[CrudeType]]="Crude",vp.tbl[[#This Row],[Dens]]&gt;900,vp.tbl[[#This Row],[Sulf]]&lt;=0.5,vp.tbl[[#This Row],[Unknown]]=0),1,0)</f>
        <v>0</v>
      </c>
      <c r="AG500" t="str">
        <f>INDEX(vp.tbl[[#Headers],[Unknown]:[Heavy_SW]],MATCH(1,vp.tbl[[#This Row],[Unknown]:[Heavy_SW]],0))</f>
        <v>Medium_LSB</v>
      </c>
      <c r="AH500" t="e">
        <f>INDEX([1]!crudeBD.lkup[Number],MATCH(vp.tbl[[#This Row],[Crude_Breakdown]],[1]!crudeBD.lkup[Crude Breakdown],0))</f>
        <v>#REF!</v>
      </c>
      <c r="AI500">
        <f>MONTH(vp.tbl[[#This Row],[SDate]])</f>
        <v>1</v>
      </c>
      <c r="AJ500" s="5">
        <f>IFERROR(vp.tbl[[#This Row],[Sulf]]*vp.tbl[[#This Row],[Net Dens]],"")</f>
        <v>2855630.938056</v>
      </c>
      <c r="AK500" s="5">
        <f>IFERROR(vp.tbl[[#This Row],[Dens]]*vp.tbl[[#This Row],[VolumeM3]],"")</f>
        <v>1595324.5463999999</v>
      </c>
      <c r="AL500" s="5">
        <f>IFERROR(vp.tbl[[#This Row],[VP]]*vp.tbl[[#This Row],[VolumeM3]],"")</f>
        <v>179481.0888</v>
      </c>
      <c r="AM500" s="4">
        <f>IFERROR((vp.tbl[[#This Row],[VP]]-INDEX(crudeBD.lkup.complete[Mean_VP],MATCH(vp.tbl[[#This Row],[Crude_Breakdown]],crudeBD.lkup.complete[Crude Breakdown],0)))^2,"")</f>
        <v>222.7975681134443</v>
      </c>
      <c r="AN500" s="4">
        <f>IFERROR((vp.tbl[[#This Row],[Dens]]-INDEX(crudeBD.lkup.complete[Mean_Dens],MATCH(vp.tbl[[#This Row],[Crude_Breakdown]],crudeBD.lkup.complete[Crude Breakdown],0)))^2,"")</f>
        <v>6.6866848276856398E-5</v>
      </c>
      <c r="AO500" s="4">
        <f>IFERROR((vp.tbl[[#This Row],[Sulf]]-INDEX(crudeBD.lkup.complete[Mean_Sulf],MATCH(vp.tbl[[#This Row],[Crude_Breakdown]],crudeBD.lkup.complete[Crude Breakdown],0)))^2,"")</f>
        <v>0.11227199821065133</v>
      </c>
      <c r="AP500">
        <f>IF(AND(vp.tbl[[#This Row],[SDate]]&gt;=DATE(YEAR(vp.tbl[[#This Row],[SDate]]),5,1),vp.tbl[[#This Row],[SDate]]&lt;=DATE(YEAR(vp.tbl[[#This Row],[SDate]]),9,15)),1,0)</f>
        <v>0</v>
      </c>
      <c r="AQ500" s="15">
        <f>IF(vp.tbl[[#This Row],[SDate]]&lt;DATE(2016,12,1),0,1)</f>
        <v>1</v>
      </c>
    </row>
    <row r="501" spans="1:43" x14ac:dyDescent="0.25">
      <c r="A501">
        <v>500</v>
      </c>
      <c r="B501" t="s">
        <v>60</v>
      </c>
      <c r="C501" t="s">
        <v>60</v>
      </c>
      <c r="D501" t="s">
        <v>61</v>
      </c>
      <c r="E501" t="s">
        <v>55</v>
      </c>
      <c r="F501" s="1">
        <v>42738</v>
      </c>
      <c r="G501" s="2">
        <v>101.3</v>
      </c>
      <c r="H501" s="2"/>
      <c r="I501" s="2">
        <v>1.23</v>
      </c>
      <c r="J501" s="2">
        <v>8</v>
      </c>
      <c r="K501" s="2">
        <v>-26</v>
      </c>
      <c r="L501" s="2">
        <v>848.3</v>
      </c>
      <c r="M501" s="2">
        <v>848.3</v>
      </c>
      <c r="N501" s="2">
        <f ca="1">INDEX(INDIRECT(_xlfn.CONCAT("weather.tbl[",N$1,"]")),MATCH(vp.tbl[[#This Row],[SDate]],weather.tbl[Date],0))</f>
        <v>-22.366666666666671</v>
      </c>
      <c r="O501" s="2">
        <f ca="1">INDEX(INDIRECT(_xlfn.CONCAT("weather.tbl[",O$1,"]")),MATCH(vp.tbl[[#This Row],[SDate]],weather.tbl[Date],0))</f>
        <v>-13.519047619047623</v>
      </c>
      <c r="P501" s="2">
        <f ca="1">INDEX(INDIRECT(_xlfn.CONCAT("weather.tbl[",P$1,"]")),MATCH(vp.tbl[[#This Row],[SDate]],weather.tbl[Date],0))</f>
        <v>-24.1</v>
      </c>
      <c r="Q501" s="2">
        <f ca="1">INDEX(INDIRECT(_xlfn.CONCAT("weather.tbl[",Q$1,"]")),MATCH(vp.tbl[[#This Row],[SDate]],weather.tbl[Date],0))</f>
        <v>-23.6</v>
      </c>
      <c r="R501" s="2">
        <f ca="1">INDEX(INDIRECT(_xlfn.CONCAT("weather.tbl[",R$1,"]")),MATCH(vp.tbl[[#This Row],[SDate]],weather.tbl[Date],0))</f>
        <v>-16.5</v>
      </c>
      <c r="S501" s="2">
        <f ca="1">INDEX(INDIRECT(_xlfn.CONCAT("weather.tbl[",S$1,"]")),MATCH(vp.tbl[[#This Row],[SDate]],weather.tbl[Date],0))</f>
        <v>-22.6</v>
      </c>
      <c r="T501" s="2">
        <f ca="1">INDEX(INDIRECT(_xlfn.CONCAT("weather.tbl[",T$1,"]")),MATCH(vp.tbl[[#This Row],[SDate]],weather.tbl[Date],0))</f>
        <v>-23.1</v>
      </c>
      <c r="U501" s="2">
        <f ca="1">INDEX(INDIRECT(_xlfn.CONCAT("weather.tbl[",U$1,"]")),MATCH(vp.tbl[[#This Row],[SDate]],weather.tbl[Date],0))</f>
        <v>-24.3</v>
      </c>
      <c r="V501" s="2">
        <v>105136.144</v>
      </c>
      <c r="W501" t="s">
        <v>48</v>
      </c>
      <c r="X501">
        <f>IF(OR(vp.tbl[[#This Row],[Sulf]]="",vp.tbl[[#This Row],[Dens]]=""),1,0)</f>
        <v>0</v>
      </c>
      <c r="Y501">
        <f>IF(vp.tbl[[#This Row],[CrudeType]]="C5+",1,0)</f>
        <v>0</v>
      </c>
      <c r="Z501">
        <f>IF(AND(vp.tbl[[#This Row],[CrudeType]]="Crude",vp.tbl[[#This Row],[Dens]]&lt;=825,vp.tbl[[#This Row],[Sulf]]&gt;0.5,vp.tbl[[#This Row],[Unknown]]=0),1,0)</f>
        <v>0</v>
      </c>
      <c r="AA501">
        <f>IF(AND(vp.tbl[[#This Row],[CrudeType]]="Crude",vp.tbl[[#This Row],[Dens]]&lt;=825,vp.tbl[[#This Row],[Sulf]]&lt;=0.5,vp.tbl[[#This Row],[Unknown]]=0),1,0)</f>
        <v>0</v>
      </c>
      <c r="AB501">
        <f>IF(AND(vp.tbl[[#This Row],[CrudeType]]="Crude",vp.tbl[[#This Row],[Dens]]&gt;825,vp.tbl[[#This Row],[Dens]]&lt;=870,vp.tbl[[#This Row],[Sulf]]&gt;0.5,vp.tbl[[#This Row],[Unknown]]=0),1,0)</f>
        <v>1</v>
      </c>
      <c r="AC501">
        <f>IF(AND(vp.tbl[[#This Row],[CrudeType]]="Crude",vp.tbl[[#This Row],[Dens]]&gt;825,vp.tbl[[#This Row],[Dens]]&lt;=900,vp.tbl[[#This Row],[Sulf]]&lt;=0.5,vp.tbl[[#This Row],[Unknown]]=0),1,0)</f>
        <v>0</v>
      </c>
      <c r="AD501">
        <f>IF(AND(vp.tbl[[#This Row],[CrudeType]]="Crude",vp.tbl[[#This Row],[Dens]]&gt;870,vp.tbl[[#This Row],[Dens]]&lt;=900,vp.tbl[[#This Row],[Sulf]]&gt;0.5,vp.tbl[[#This Row],[Unknown]]=0),1,0)</f>
        <v>0</v>
      </c>
      <c r="AE501">
        <f>IF(AND(vp.tbl[[#This Row],[CrudeType]]="Crude",vp.tbl[[#This Row],[Dens]]&gt;900,vp.tbl[[#This Row],[Sulf]]&lt;=0.5,vp.tbl[[#This Row],[Unknown]]=0),1,0)</f>
        <v>0</v>
      </c>
      <c r="AF501">
        <f>IF(AND(vp.tbl[[#This Row],[CrudeType]]="Crude",vp.tbl[[#This Row],[Dens]]&gt;900,vp.tbl[[#This Row],[Sulf]]&lt;=0.5,vp.tbl[[#This Row],[Unknown]]=0),1,0)</f>
        <v>0</v>
      </c>
      <c r="AG501" t="str">
        <f>INDEX(vp.tbl[[#Headers],[Unknown]:[Heavy_SW]],MATCH(1,vp.tbl[[#This Row],[Unknown]:[Heavy_SW]],0))</f>
        <v>Medium_LSB</v>
      </c>
      <c r="AH501" t="e">
        <f>INDEX([1]!crudeBD.lkup[Number],MATCH(vp.tbl[[#This Row],[Crude_Breakdown]],[1]!crudeBD.lkup[Crude Breakdown],0))</f>
        <v>#REF!</v>
      </c>
      <c r="AI501">
        <f>MONTH(vp.tbl[[#This Row],[SDate]])</f>
        <v>1</v>
      </c>
      <c r="AJ501" s="5">
        <f>IFERROR(vp.tbl[[#This Row],[Sulf]]*vp.tbl[[#This Row],[Net Dens]],"")</f>
        <v>109699998.874896</v>
      </c>
      <c r="AK501" s="5">
        <f>IFERROR(vp.tbl[[#This Row],[Dens]]*vp.tbl[[#This Row],[VolumeM3]],"")</f>
        <v>89186990.955200002</v>
      </c>
      <c r="AL501" s="5">
        <f>IFERROR(vp.tbl[[#This Row],[VP]]*vp.tbl[[#This Row],[VolumeM3]],"")</f>
        <v>10650291.3872</v>
      </c>
      <c r="AM501" s="4">
        <f>IFERROR((vp.tbl[[#This Row],[VP]]-INDEX(crudeBD.lkup.complete[Mean_VP],MATCH(vp.tbl[[#This Row],[Crude_Breakdown]],crudeBD.lkup.complete[Crude Breakdown],0)))^2,"")</f>
        <v>446.3249908982549</v>
      </c>
      <c r="AN501" s="4">
        <f>IFERROR((vp.tbl[[#This Row],[Dens]]-INDEX(crudeBD.lkup.complete[Mean_Dens],MATCH(vp.tbl[[#This Row],[Crude_Breakdown]],crudeBD.lkup.complete[Crude Breakdown],0)))^2,"")</f>
        <v>9.0491301579931527</v>
      </c>
      <c r="AO501" s="4">
        <f>IFERROR((vp.tbl[[#This Row],[Sulf]]-INDEX(crudeBD.lkup.complete[Mean_Sulf],MATCH(vp.tbl[[#This Row],[Crude_Breakdown]],crudeBD.lkup.complete[Crude Breakdown],0)))^2,"")</f>
        <v>5.0593442261285884E-2</v>
      </c>
      <c r="AP501">
        <f>IF(AND(vp.tbl[[#This Row],[SDate]]&gt;=DATE(YEAR(vp.tbl[[#This Row],[SDate]]),5,1),vp.tbl[[#This Row],[SDate]]&lt;=DATE(YEAR(vp.tbl[[#This Row],[SDate]]),9,15)),1,0)</f>
        <v>0</v>
      </c>
      <c r="AQ501" s="15">
        <f>IF(vp.tbl[[#This Row],[SDate]]&lt;DATE(2016,12,1),0,1)</f>
        <v>1</v>
      </c>
    </row>
    <row r="502" spans="1:43" x14ac:dyDescent="0.25">
      <c r="A502">
        <v>501</v>
      </c>
      <c r="B502" t="s">
        <v>51</v>
      </c>
      <c r="C502" t="s">
        <v>51</v>
      </c>
      <c r="D502" t="s">
        <v>106</v>
      </c>
      <c r="F502" s="1">
        <v>42739</v>
      </c>
      <c r="G502" s="2">
        <v>70.900000000000006</v>
      </c>
      <c r="H502" s="2"/>
      <c r="I502" s="2">
        <v>0.54</v>
      </c>
      <c r="J502" s="2">
        <v>-1.5</v>
      </c>
      <c r="K502" s="2">
        <v>-23</v>
      </c>
      <c r="L502" s="2">
        <v>819.3</v>
      </c>
      <c r="M502" s="2">
        <v>819.3</v>
      </c>
      <c r="N502" s="2">
        <f ca="1">INDEX(INDIRECT(_xlfn.CONCAT("weather.tbl[",N$1,"]")),MATCH(vp.tbl[[#This Row],[SDate]],weather.tbl[Date],0))</f>
        <v>-22.716666666666669</v>
      </c>
      <c r="O502" s="2">
        <f ca="1">INDEX(INDIRECT(_xlfn.CONCAT("weather.tbl[",O$1,"]")),MATCH(vp.tbl[[#This Row],[SDate]],weather.tbl[Date],0))</f>
        <v>-15.738095238095241</v>
      </c>
      <c r="P502" s="2">
        <f ca="1">INDEX(INDIRECT(_xlfn.CONCAT("weather.tbl[",P$1,"]")),MATCH(vp.tbl[[#This Row],[SDate]],weather.tbl[Date],0))</f>
        <v>-22.2</v>
      </c>
      <c r="Q502" s="2">
        <f ca="1">INDEX(INDIRECT(_xlfn.CONCAT("weather.tbl[",Q$1,"]")),MATCH(vp.tbl[[#This Row],[SDate]],weather.tbl[Date],0))</f>
        <v>-21.6</v>
      </c>
      <c r="R502" s="2">
        <f ca="1">INDEX(INDIRECT(_xlfn.CONCAT("weather.tbl[",R$1,"]")),MATCH(vp.tbl[[#This Row],[SDate]],weather.tbl[Date],0))</f>
        <v>-24</v>
      </c>
      <c r="S502" s="2">
        <f ca="1">INDEX(INDIRECT(_xlfn.CONCAT("weather.tbl[",S$1,"]")),MATCH(vp.tbl[[#This Row],[SDate]],weather.tbl[Date],0))</f>
        <v>-20.7</v>
      </c>
      <c r="T502" s="2">
        <f ca="1">INDEX(INDIRECT(_xlfn.CONCAT("weather.tbl[",T$1,"]")),MATCH(vp.tbl[[#This Row],[SDate]],weather.tbl[Date],0))</f>
        <v>-24.5</v>
      </c>
      <c r="U502" s="2">
        <f ca="1">INDEX(INDIRECT(_xlfn.CONCAT("weather.tbl[",U$1,"]")),MATCH(vp.tbl[[#This Row],[SDate]],weather.tbl[Date],0))</f>
        <v>-23.3</v>
      </c>
      <c r="V502" s="2">
        <v>298.51799999999997</v>
      </c>
      <c r="W502" t="s">
        <v>48</v>
      </c>
      <c r="X502">
        <f>IF(OR(vp.tbl[[#This Row],[Sulf]]="",vp.tbl[[#This Row],[Dens]]=""),1,0)</f>
        <v>0</v>
      </c>
      <c r="Y502">
        <f>IF(vp.tbl[[#This Row],[CrudeType]]="C5+",1,0)</f>
        <v>0</v>
      </c>
      <c r="Z502">
        <f>IF(AND(vp.tbl[[#This Row],[CrudeType]]="Crude",vp.tbl[[#This Row],[Dens]]&lt;=825,vp.tbl[[#This Row],[Sulf]]&gt;0.5,vp.tbl[[#This Row],[Unknown]]=0),1,0)</f>
        <v>1</v>
      </c>
      <c r="AA502">
        <f>IF(AND(vp.tbl[[#This Row],[CrudeType]]="Crude",vp.tbl[[#This Row],[Dens]]&lt;=825,vp.tbl[[#This Row],[Sulf]]&lt;=0.5,vp.tbl[[#This Row],[Unknown]]=0),1,0)</f>
        <v>0</v>
      </c>
      <c r="AB502">
        <f>IF(AND(vp.tbl[[#This Row],[CrudeType]]="Crude",vp.tbl[[#This Row],[Dens]]&gt;825,vp.tbl[[#This Row],[Dens]]&lt;=870,vp.tbl[[#This Row],[Sulf]]&gt;0.5,vp.tbl[[#This Row],[Unknown]]=0),1,0)</f>
        <v>0</v>
      </c>
      <c r="AC502">
        <f>IF(AND(vp.tbl[[#This Row],[CrudeType]]="Crude",vp.tbl[[#This Row],[Dens]]&gt;825,vp.tbl[[#This Row],[Dens]]&lt;=900,vp.tbl[[#This Row],[Sulf]]&lt;=0.5,vp.tbl[[#This Row],[Unknown]]=0),1,0)</f>
        <v>0</v>
      </c>
      <c r="AD502">
        <f>IF(AND(vp.tbl[[#This Row],[CrudeType]]="Crude",vp.tbl[[#This Row],[Dens]]&gt;870,vp.tbl[[#This Row],[Dens]]&lt;=900,vp.tbl[[#This Row],[Sulf]]&gt;0.5,vp.tbl[[#This Row],[Unknown]]=0),1,0)</f>
        <v>0</v>
      </c>
      <c r="AE502">
        <f>IF(AND(vp.tbl[[#This Row],[CrudeType]]="Crude",vp.tbl[[#This Row],[Dens]]&gt;900,vp.tbl[[#This Row],[Sulf]]&lt;=0.5,vp.tbl[[#This Row],[Unknown]]=0),1,0)</f>
        <v>0</v>
      </c>
      <c r="AF502">
        <f>IF(AND(vp.tbl[[#This Row],[CrudeType]]="Crude",vp.tbl[[#This Row],[Dens]]&gt;900,vp.tbl[[#This Row],[Sulf]]&lt;=0.5,vp.tbl[[#This Row],[Unknown]]=0),1,0)</f>
        <v>0</v>
      </c>
      <c r="AG502" t="str">
        <f>INDEX(vp.tbl[[#Headers],[Unknown]:[Heavy_SW]],MATCH(1,vp.tbl[[#This Row],[Unknown]:[Heavy_SW]],0))</f>
        <v>Light_LSB</v>
      </c>
      <c r="AH502" t="e">
        <f>INDEX([1]!crudeBD.lkup[Number],MATCH(vp.tbl[[#This Row],[Crude_Breakdown]],[1]!crudeBD.lkup[Crude Breakdown],0))</f>
        <v>#REF!</v>
      </c>
      <c r="AI502">
        <f>MONTH(vp.tbl[[#This Row],[SDate]])</f>
        <v>1</v>
      </c>
      <c r="AJ502" s="5">
        <f>IFERROR(vp.tbl[[#This Row],[Sulf]]*vp.tbl[[#This Row],[Net Dens]],"")</f>
        <v>132070.93059599999</v>
      </c>
      <c r="AK502" s="5">
        <f>IFERROR(vp.tbl[[#This Row],[Dens]]*vp.tbl[[#This Row],[VolumeM3]],"")</f>
        <v>244575.79739999995</v>
      </c>
      <c r="AL502" s="5">
        <f>IFERROR(vp.tbl[[#This Row],[VP]]*vp.tbl[[#This Row],[VolumeM3]],"")</f>
        <v>21164.926199999998</v>
      </c>
      <c r="AM502" s="4">
        <f>IFERROR((vp.tbl[[#This Row],[VP]]-INDEX(crudeBD.lkup.complete[Mean_VP],MATCH(vp.tbl[[#This Row],[Crude_Breakdown]],crudeBD.lkup.complete[Crude Breakdown],0)))^2,"")</f>
        <v>426.26497846742586</v>
      </c>
      <c r="AN502" s="4">
        <f>IFERROR((vp.tbl[[#This Row],[Dens]]-INDEX(crudeBD.lkup.complete[Mean_Dens],MATCH(vp.tbl[[#This Row],[Crude_Breakdown]],crudeBD.lkup.complete[Crude Breakdown],0)))^2,"")</f>
        <v>0.61344960971216256</v>
      </c>
      <c r="AO502" s="4">
        <f>IFERROR((vp.tbl[[#This Row],[Sulf]]-INDEX(crudeBD.lkup.complete[Mean_Sulf],MATCH(vp.tbl[[#This Row],[Crude_Breakdown]],crudeBD.lkup.complete[Crude Breakdown],0)))^2,"")</f>
        <v>0.14666691581407967</v>
      </c>
      <c r="AP502">
        <f>IF(AND(vp.tbl[[#This Row],[SDate]]&gt;=DATE(YEAR(vp.tbl[[#This Row],[SDate]]),5,1),vp.tbl[[#This Row],[SDate]]&lt;=DATE(YEAR(vp.tbl[[#This Row],[SDate]]),9,15)),1,0)</f>
        <v>0</v>
      </c>
      <c r="AQ502" s="15">
        <f>IF(vp.tbl[[#This Row],[SDate]]&lt;DATE(2016,12,1),0,1)</f>
        <v>1</v>
      </c>
    </row>
    <row r="503" spans="1:43" x14ac:dyDescent="0.25">
      <c r="A503">
        <v>502</v>
      </c>
      <c r="B503" t="s">
        <v>49</v>
      </c>
      <c r="C503" t="s">
        <v>49</v>
      </c>
      <c r="D503" t="s">
        <v>81</v>
      </c>
      <c r="F503" s="1">
        <v>42739</v>
      </c>
      <c r="G503" s="2">
        <v>88.8</v>
      </c>
      <c r="H503" s="2"/>
      <c r="I503" s="2">
        <v>0.7</v>
      </c>
      <c r="J503" s="2">
        <v>6.1</v>
      </c>
      <c r="K503" s="2">
        <v>-23</v>
      </c>
      <c r="L503" s="2">
        <v>820.3</v>
      </c>
      <c r="M503" s="2">
        <v>820.3</v>
      </c>
      <c r="N503" s="2">
        <f ca="1">INDEX(INDIRECT(_xlfn.CONCAT("weather.tbl[",N$1,"]")),MATCH(vp.tbl[[#This Row],[SDate]],weather.tbl[Date],0))</f>
        <v>-22.716666666666669</v>
      </c>
      <c r="O503" s="2">
        <f ca="1">INDEX(INDIRECT(_xlfn.CONCAT("weather.tbl[",O$1,"]")),MATCH(vp.tbl[[#This Row],[SDate]],weather.tbl[Date],0))</f>
        <v>-15.738095238095241</v>
      </c>
      <c r="P503" s="2">
        <f ca="1">INDEX(INDIRECT(_xlfn.CONCAT("weather.tbl[",P$1,"]")),MATCH(vp.tbl[[#This Row],[SDate]],weather.tbl[Date],0))</f>
        <v>-22.2</v>
      </c>
      <c r="Q503" s="2">
        <f ca="1">INDEX(INDIRECT(_xlfn.CONCAT("weather.tbl[",Q$1,"]")),MATCH(vp.tbl[[#This Row],[SDate]],weather.tbl[Date],0))</f>
        <v>-21.6</v>
      </c>
      <c r="R503" s="2">
        <f ca="1">INDEX(INDIRECT(_xlfn.CONCAT("weather.tbl[",R$1,"]")),MATCH(vp.tbl[[#This Row],[SDate]],weather.tbl[Date],0))</f>
        <v>-24</v>
      </c>
      <c r="S503" s="2">
        <f ca="1">INDEX(INDIRECT(_xlfn.CONCAT("weather.tbl[",S$1,"]")),MATCH(vp.tbl[[#This Row],[SDate]],weather.tbl[Date],0))</f>
        <v>-20.7</v>
      </c>
      <c r="T503" s="2">
        <f ca="1">INDEX(INDIRECT(_xlfn.CONCAT("weather.tbl[",T$1,"]")),MATCH(vp.tbl[[#This Row],[SDate]],weather.tbl[Date],0))</f>
        <v>-24.5</v>
      </c>
      <c r="U503" s="2">
        <f ca="1">INDEX(INDIRECT(_xlfn.CONCAT("weather.tbl[",U$1,"]")),MATCH(vp.tbl[[#This Row],[SDate]],weather.tbl[Date],0))</f>
        <v>-23.3</v>
      </c>
      <c r="V503" s="2">
        <v>18973.987000000001</v>
      </c>
      <c r="W503" t="s">
        <v>48</v>
      </c>
      <c r="X503">
        <f>IF(OR(vp.tbl[[#This Row],[Sulf]]="",vp.tbl[[#This Row],[Dens]]=""),1,0)</f>
        <v>0</v>
      </c>
      <c r="Y503">
        <f>IF(vp.tbl[[#This Row],[CrudeType]]="C5+",1,0)</f>
        <v>0</v>
      </c>
      <c r="Z503">
        <f>IF(AND(vp.tbl[[#This Row],[CrudeType]]="Crude",vp.tbl[[#This Row],[Dens]]&lt;=825,vp.tbl[[#This Row],[Sulf]]&gt;0.5,vp.tbl[[#This Row],[Unknown]]=0),1,0)</f>
        <v>1</v>
      </c>
      <c r="AA503">
        <f>IF(AND(vp.tbl[[#This Row],[CrudeType]]="Crude",vp.tbl[[#This Row],[Dens]]&lt;=825,vp.tbl[[#This Row],[Sulf]]&lt;=0.5,vp.tbl[[#This Row],[Unknown]]=0),1,0)</f>
        <v>0</v>
      </c>
      <c r="AB503">
        <f>IF(AND(vp.tbl[[#This Row],[CrudeType]]="Crude",vp.tbl[[#This Row],[Dens]]&gt;825,vp.tbl[[#This Row],[Dens]]&lt;=870,vp.tbl[[#This Row],[Sulf]]&gt;0.5,vp.tbl[[#This Row],[Unknown]]=0),1,0)</f>
        <v>0</v>
      </c>
      <c r="AC503">
        <f>IF(AND(vp.tbl[[#This Row],[CrudeType]]="Crude",vp.tbl[[#This Row],[Dens]]&gt;825,vp.tbl[[#This Row],[Dens]]&lt;=900,vp.tbl[[#This Row],[Sulf]]&lt;=0.5,vp.tbl[[#This Row],[Unknown]]=0),1,0)</f>
        <v>0</v>
      </c>
      <c r="AD503">
        <f>IF(AND(vp.tbl[[#This Row],[CrudeType]]="Crude",vp.tbl[[#This Row],[Dens]]&gt;870,vp.tbl[[#This Row],[Dens]]&lt;=900,vp.tbl[[#This Row],[Sulf]]&gt;0.5,vp.tbl[[#This Row],[Unknown]]=0),1,0)</f>
        <v>0</v>
      </c>
      <c r="AE503">
        <f>IF(AND(vp.tbl[[#This Row],[CrudeType]]="Crude",vp.tbl[[#This Row],[Dens]]&gt;900,vp.tbl[[#This Row],[Sulf]]&lt;=0.5,vp.tbl[[#This Row],[Unknown]]=0),1,0)</f>
        <v>0</v>
      </c>
      <c r="AF503">
        <f>IF(AND(vp.tbl[[#This Row],[CrudeType]]="Crude",vp.tbl[[#This Row],[Dens]]&gt;900,vp.tbl[[#This Row],[Sulf]]&lt;=0.5,vp.tbl[[#This Row],[Unknown]]=0),1,0)</f>
        <v>0</v>
      </c>
      <c r="AG503" t="str">
        <f>INDEX(vp.tbl[[#Headers],[Unknown]:[Heavy_SW]],MATCH(1,vp.tbl[[#This Row],[Unknown]:[Heavy_SW]],0))</f>
        <v>Light_LSB</v>
      </c>
      <c r="AH503" t="e">
        <f>INDEX([1]!crudeBD.lkup[Number],MATCH(vp.tbl[[#This Row],[Crude_Breakdown]],[1]!crudeBD.lkup[Crude Breakdown],0))</f>
        <v>#REF!</v>
      </c>
      <c r="AI503">
        <f>MONTH(vp.tbl[[#This Row],[SDate]])</f>
        <v>1</v>
      </c>
      <c r="AJ503" s="5">
        <f>IFERROR(vp.tbl[[#This Row],[Sulf]]*vp.tbl[[#This Row],[Net Dens]],"")</f>
        <v>10895053.075269999</v>
      </c>
      <c r="AK503" s="5">
        <f>IFERROR(vp.tbl[[#This Row],[Dens]]*vp.tbl[[#This Row],[VolumeM3]],"")</f>
        <v>15564361.5361</v>
      </c>
      <c r="AL503" s="5">
        <f>IFERROR(vp.tbl[[#This Row],[VP]]*vp.tbl[[#This Row],[VolumeM3]],"")</f>
        <v>1684890.0456000001</v>
      </c>
      <c r="AM503" s="4">
        <f>IFERROR((vp.tbl[[#This Row],[VP]]-INDEX(crudeBD.lkup.complete[Mean_VP],MATCH(vp.tbl[[#This Row],[Crude_Breakdown]],crudeBD.lkup.complete[Crude Breakdown],0)))^2,"")</f>
        <v>7.54153516845592</v>
      </c>
      <c r="AN503" s="4">
        <f>IFERROR((vp.tbl[[#This Row],[Dens]]-INDEX(crudeBD.lkup.complete[Mean_Dens],MATCH(vp.tbl[[#This Row],[Crude_Breakdown]],crudeBD.lkup.complete[Crude Breakdown],0)))^2,"")</f>
        <v>3.1799100908123563</v>
      </c>
      <c r="AO503" s="4">
        <f>IFERROR((vp.tbl[[#This Row],[Sulf]]-INDEX(crudeBD.lkup.complete[Mean_Sulf],MATCH(vp.tbl[[#This Row],[Crude_Breakdown]],crudeBD.lkup.complete[Crude Breakdown],0)))^2,"")</f>
        <v>4.9716141930918292E-2</v>
      </c>
      <c r="AP503">
        <f>IF(AND(vp.tbl[[#This Row],[SDate]]&gt;=DATE(YEAR(vp.tbl[[#This Row],[SDate]]),5,1),vp.tbl[[#This Row],[SDate]]&lt;=DATE(YEAR(vp.tbl[[#This Row],[SDate]]),9,15)),1,0)</f>
        <v>0</v>
      </c>
      <c r="AQ503" s="15">
        <f>IF(vp.tbl[[#This Row],[SDate]]&lt;DATE(2016,12,1),0,1)</f>
        <v>1</v>
      </c>
    </row>
    <row r="504" spans="1:43" x14ac:dyDescent="0.25">
      <c r="A504">
        <v>503</v>
      </c>
      <c r="B504" t="s">
        <v>51</v>
      </c>
      <c r="C504" t="s">
        <v>51</v>
      </c>
      <c r="D504" t="s">
        <v>107</v>
      </c>
      <c r="F504" s="1">
        <v>42739</v>
      </c>
      <c r="G504" s="2">
        <v>78.599999999999994</v>
      </c>
      <c r="H504" s="2"/>
      <c r="I504" s="2">
        <v>0.69</v>
      </c>
      <c r="J504" s="2">
        <v>24.9</v>
      </c>
      <c r="K504" s="2">
        <v>-23</v>
      </c>
      <c r="L504" s="2">
        <v>822.5</v>
      </c>
      <c r="M504" s="2">
        <v>822.5</v>
      </c>
      <c r="N504" s="2">
        <f ca="1">INDEX(INDIRECT(_xlfn.CONCAT("weather.tbl[",N$1,"]")),MATCH(vp.tbl[[#This Row],[SDate]],weather.tbl[Date],0))</f>
        <v>-22.716666666666669</v>
      </c>
      <c r="O504" s="2">
        <f ca="1">INDEX(INDIRECT(_xlfn.CONCAT("weather.tbl[",O$1,"]")),MATCH(vp.tbl[[#This Row],[SDate]],weather.tbl[Date],0))</f>
        <v>-15.738095238095241</v>
      </c>
      <c r="P504" s="2">
        <f ca="1">INDEX(INDIRECT(_xlfn.CONCAT("weather.tbl[",P$1,"]")),MATCH(vp.tbl[[#This Row],[SDate]],weather.tbl[Date],0))</f>
        <v>-22.2</v>
      </c>
      <c r="Q504" s="2">
        <f ca="1">INDEX(INDIRECT(_xlfn.CONCAT("weather.tbl[",Q$1,"]")),MATCH(vp.tbl[[#This Row],[SDate]],weather.tbl[Date],0))</f>
        <v>-21.6</v>
      </c>
      <c r="R504" s="2">
        <f ca="1">INDEX(INDIRECT(_xlfn.CONCAT("weather.tbl[",R$1,"]")),MATCH(vp.tbl[[#This Row],[SDate]],weather.tbl[Date],0))</f>
        <v>-24</v>
      </c>
      <c r="S504" s="2">
        <f ca="1">INDEX(INDIRECT(_xlfn.CONCAT("weather.tbl[",S$1,"]")),MATCH(vp.tbl[[#This Row],[SDate]],weather.tbl[Date],0))</f>
        <v>-20.7</v>
      </c>
      <c r="T504" s="2">
        <f ca="1">INDEX(INDIRECT(_xlfn.CONCAT("weather.tbl[",T$1,"]")),MATCH(vp.tbl[[#This Row],[SDate]],weather.tbl[Date],0))</f>
        <v>-24.5</v>
      </c>
      <c r="U504" s="2">
        <f ca="1">INDEX(INDIRECT(_xlfn.CONCAT("weather.tbl[",U$1,"]")),MATCH(vp.tbl[[#This Row],[SDate]],weather.tbl[Date],0))</f>
        <v>-23.3</v>
      </c>
      <c r="V504" s="2">
        <v>1889.6790000000001</v>
      </c>
      <c r="W504" t="s">
        <v>48</v>
      </c>
      <c r="X504">
        <f>IF(OR(vp.tbl[[#This Row],[Sulf]]="",vp.tbl[[#This Row],[Dens]]=""),1,0)</f>
        <v>0</v>
      </c>
      <c r="Y504">
        <f>IF(vp.tbl[[#This Row],[CrudeType]]="C5+",1,0)</f>
        <v>0</v>
      </c>
      <c r="Z504">
        <f>IF(AND(vp.tbl[[#This Row],[CrudeType]]="Crude",vp.tbl[[#This Row],[Dens]]&lt;=825,vp.tbl[[#This Row],[Sulf]]&gt;0.5,vp.tbl[[#This Row],[Unknown]]=0),1,0)</f>
        <v>1</v>
      </c>
      <c r="AA504">
        <f>IF(AND(vp.tbl[[#This Row],[CrudeType]]="Crude",vp.tbl[[#This Row],[Dens]]&lt;=825,vp.tbl[[#This Row],[Sulf]]&lt;=0.5,vp.tbl[[#This Row],[Unknown]]=0),1,0)</f>
        <v>0</v>
      </c>
      <c r="AB504">
        <f>IF(AND(vp.tbl[[#This Row],[CrudeType]]="Crude",vp.tbl[[#This Row],[Dens]]&gt;825,vp.tbl[[#This Row],[Dens]]&lt;=870,vp.tbl[[#This Row],[Sulf]]&gt;0.5,vp.tbl[[#This Row],[Unknown]]=0),1,0)</f>
        <v>0</v>
      </c>
      <c r="AC504">
        <f>IF(AND(vp.tbl[[#This Row],[CrudeType]]="Crude",vp.tbl[[#This Row],[Dens]]&gt;825,vp.tbl[[#This Row],[Dens]]&lt;=900,vp.tbl[[#This Row],[Sulf]]&lt;=0.5,vp.tbl[[#This Row],[Unknown]]=0),1,0)</f>
        <v>0</v>
      </c>
      <c r="AD504">
        <f>IF(AND(vp.tbl[[#This Row],[CrudeType]]="Crude",vp.tbl[[#This Row],[Dens]]&gt;870,vp.tbl[[#This Row],[Dens]]&lt;=900,vp.tbl[[#This Row],[Sulf]]&gt;0.5,vp.tbl[[#This Row],[Unknown]]=0),1,0)</f>
        <v>0</v>
      </c>
      <c r="AE504">
        <f>IF(AND(vp.tbl[[#This Row],[CrudeType]]="Crude",vp.tbl[[#This Row],[Dens]]&gt;900,vp.tbl[[#This Row],[Sulf]]&lt;=0.5,vp.tbl[[#This Row],[Unknown]]=0),1,0)</f>
        <v>0</v>
      </c>
      <c r="AF504">
        <f>IF(AND(vp.tbl[[#This Row],[CrudeType]]="Crude",vp.tbl[[#This Row],[Dens]]&gt;900,vp.tbl[[#This Row],[Sulf]]&lt;=0.5,vp.tbl[[#This Row],[Unknown]]=0),1,0)</f>
        <v>0</v>
      </c>
      <c r="AG504" t="str">
        <f>INDEX(vp.tbl[[#Headers],[Unknown]:[Heavy_SW]],MATCH(1,vp.tbl[[#This Row],[Unknown]:[Heavy_SW]],0))</f>
        <v>Light_LSB</v>
      </c>
      <c r="AH504" t="e">
        <f>INDEX([1]!crudeBD.lkup[Number],MATCH(vp.tbl[[#This Row],[Crude_Breakdown]],[1]!crudeBD.lkup[Crude Breakdown],0))</f>
        <v>#REF!</v>
      </c>
      <c r="AI504">
        <f>MONTH(vp.tbl[[#This Row],[SDate]])</f>
        <v>1</v>
      </c>
      <c r="AJ504" s="5">
        <f>IFERROR(vp.tbl[[#This Row],[Sulf]]*vp.tbl[[#This Row],[Net Dens]],"")</f>
        <v>1072440.0744749999</v>
      </c>
      <c r="AK504" s="5">
        <f>IFERROR(vp.tbl[[#This Row],[Dens]]*vp.tbl[[#This Row],[VolumeM3]],"")</f>
        <v>1554260.9775</v>
      </c>
      <c r="AL504" s="5">
        <f>IFERROR(vp.tbl[[#This Row],[VP]]*vp.tbl[[#This Row],[VolumeM3]],"")</f>
        <v>148528.76939999999</v>
      </c>
      <c r="AM504" s="4">
        <f>IFERROR((vp.tbl[[#This Row],[VP]]-INDEX(crudeBD.lkup.complete[Mean_VP],MATCH(vp.tbl[[#This Row],[Crude_Breakdown]],crudeBD.lkup.complete[Crude Breakdown],0)))^2,"")</f>
        <v>167.60372073546699</v>
      </c>
      <c r="AN504" s="4">
        <f>IFERROR((vp.tbl[[#This Row],[Dens]]-INDEX(crudeBD.lkup.complete[Mean_Dens],MATCH(vp.tbl[[#This Row],[Crude_Breakdown]],crudeBD.lkup.complete[Crude Breakdown],0)))^2,"")</f>
        <v>15.866123149233145</v>
      </c>
      <c r="AO504" s="4">
        <f>IFERROR((vp.tbl[[#This Row],[Sulf]]-INDEX(crudeBD.lkup.complete[Mean_Sulf],MATCH(vp.tbl[[#This Row],[Crude_Breakdown]],crudeBD.lkup.complete[Crude Breakdown],0)))^2,"")</f>
        <v>5.4275565298615887E-2</v>
      </c>
      <c r="AP504">
        <f>IF(AND(vp.tbl[[#This Row],[SDate]]&gt;=DATE(YEAR(vp.tbl[[#This Row],[SDate]]),5,1),vp.tbl[[#This Row],[SDate]]&lt;=DATE(YEAR(vp.tbl[[#This Row],[SDate]]),9,15)),1,0)</f>
        <v>0</v>
      </c>
      <c r="AQ504" s="15">
        <f>IF(vp.tbl[[#This Row],[SDate]]&lt;DATE(2016,12,1),0,1)</f>
        <v>1</v>
      </c>
    </row>
    <row r="505" spans="1:43" x14ac:dyDescent="0.25">
      <c r="A505">
        <v>504</v>
      </c>
      <c r="B505" t="s">
        <v>51</v>
      </c>
      <c r="C505" t="s">
        <v>51</v>
      </c>
      <c r="D505" t="s">
        <v>66</v>
      </c>
      <c r="F505" s="1">
        <v>42739</v>
      </c>
      <c r="G505" s="2">
        <v>95.1</v>
      </c>
      <c r="H505" s="2"/>
      <c r="I505" s="2">
        <v>1.62</v>
      </c>
      <c r="J505" s="2">
        <v>-13</v>
      </c>
      <c r="K505" s="2">
        <v>-23</v>
      </c>
      <c r="L505" s="2">
        <v>823.4</v>
      </c>
      <c r="M505" s="2">
        <v>823.4</v>
      </c>
      <c r="N505" s="2">
        <f ca="1">INDEX(INDIRECT(_xlfn.CONCAT("weather.tbl[",N$1,"]")),MATCH(vp.tbl[[#This Row],[SDate]],weather.tbl[Date],0))</f>
        <v>-22.716666666666669</v>
      </c>
      <c r="O505" s="2">
        <f ca="1">INDEX(INDIRECT(_xlfn.CONCAT("weather.tbl[",O$1,"]")),MATCH(vp.tbl[[#This Row],[SDate]],weather.tbl[Date],0))</f>
        <v>-15.738095238095241</v>
      </c>
      <c r="P505" s="2">
        <f ca="1">INDEX(INDIRECT(_xlfn.CONCAT("weather.tbl[",P$1,"]")),MATCH(vp.tbl[[#This Row],[SDate]],weather.tbl[Date],0))</f>
        <v>-22.2</v>
      </c>
      <c r="Q505" s="2">
        <f ca="1">INDEX(INDIRECT(_xlfn.CONCAT("weather.tbl[",Q$1,"]")),MATCH(vp.tbl[[#This Row],[SDate]],weather.tbl[Date],0))</f>
        <v>-21.6</v>
      </c>
      <c r="R505" s="2">
        <f ca="1">INDEX(INDIRECT(_xlfn.CONCAT("weather.tbl[",R$1,"]")),MATCH(vp.tbl[[#This Row],[SDate]],weather.tbl[Date],0))</f>
        <v>-24</v>
      </c>
      <c r="S505" s="2">
        <f ca="1">INDEX(INDIRECT(_xlfn.CONCAT("weather.tbl[",S$1,"]")),MATCH(vp.tbl[[#This Row],[SDate]],weather.tbl[Date],0))</f>
        <v>-20.7</v>
      </c>
      <c r="T505" s="2">
        <f ca="1">INDEX(INDIRECT(_xlfn.CONCAT("weather.tbl[",T$1,"]")),MATCH(vp.tbl[[#This Row],[SDate]],weather.tbl[Date],0))</f>
        <v>-24.5</v>
      </c>
      <c r="U505" s="2">
        <f ca="1">INDEX(INDIRECT(_xlfn.CONCAT("weather.tbl[",U$1,"]")),MATCH(vp.tbl[[#This Row],[SDate]],weather.tbl[Date],0))</f>
        <v>-23.3</v>
      </c>
      <c r="V505" s="2">
        <v>3297.86</v>
      </c>
      <c r="W505" t="s">
        <v>48</v>
      </c>
      <c r="X505">
        <f>IF(OR(vp.tbl[[#This Row],[Sulf]]="",vp.tbl[[#This Row],[Dens]]=""),1,0)</f>
        <v>0</v>
      </c>
      <c r="Y505">
        <f>IF(vp.tbl[[#This Row],[CrudeType]]="C5+",1,0)</f>
        <v>0</v>
      </c>
      <c r="Z505">
        <f>IF(AND(vp.tbl[[#This Row],[CrudeType]]="Crude",vp.tbl[[#This Row],[Dens]]&lt;=825,vp.tbl[[#This Row],[Sulf]]&gt;0.5,vp.tbl[[#This Row],[Unknown]]=0),1,0)</f>
        <v>1</v>
      </c>
      <c r="AA505">
        <f>IF(AND(vp.tbl[[#This Row],[CrudeType]]="Crude",vp.tbl[[#This Row],[Dens]]&lt;=825,vp.tbl[[#This Row],[Sulf]]&lt;=0.5,vp.tbl[[#This Row],[Unknown]]=0),1,0)</f>
        <v>0</v>
      </c>
      <c r="AB505">
        <f>IF(AND(vp.tbl[[#This Row],[CrudeType]]="Crude",vp.tbl[[#This Row],[Dens]]&gt;825,vp.tbl[[#This Row],[Dens]]&lt;=870,vp.tbl[[#This Row],[Sulf]]&gt;0.5,vp.tbl[[#This Row],[Unknown]]=0),1,0)</f>
        <v>0</v>
      </c>
      <c r="AC505">
        <f>IF(AND(vp.tbl[[#This Row],[CrudeType]]="Crude",vp.tbl[[#This Row],[Dens]]&gt;825,vp.tbl[[#This Row],[Dens]]&lt;=900,vp.tbl[[#This Row],[Sulf]]&lt;=0.5,vp.tbl[[#This Row],[Unknown]]=0),1,0)</f>
        <v>0</v>
      </c>
      <c r="AD505">
        <f>IF(AND(vp.tbl[[#This Row],[CrudeType]]="Crude",vp.tbl[[#This Row],[Dens]]&gt;870,vp.tbl[[#This Row],[Dens]]&lt;=900,vp.tbl[[#This Row],[Sulf]]&gt;0.5,vp.tbl[[#This Row],[Unknown]]=0),1,0)</f>
        <v>0</v>
      </c>
      <c r="AE505">
        <f>IF(AND(vp.tbl[[#This Row],[CrudeType]]="Crude",vp.tbl[[#This Row],[Dens]]&gt;900,vp.tbl[[#This Row],[Sulf]]&lt;=0.5,vp.tbl[[#This Row],[Unknown]]=0),1,0)</f>
        <v>0</v>
      </c>
      <c r="AF505">
        <f>IF(AND(vp.tbl[[#This Row],[CrudeType]]="Crude",vp.tbl[[#This Row],[Dens]]&gt;900,vp.tbl[[#This Row],[Sulf]]&lt;=0.5,vp.tbl[[#This Row],[Unknown]]=0),1,0)</f>
        <v>0</v>
      </c>
      <c r="AG505" t="str">
        <f>INDEX(vp.tbl[[#Headers],[Unknown]:[Heavy_SW]],MATCH(1,vp.tbl[[#This Row],[Unknown]:[Heavy_SW]],0))</f>
        <v>Light_LSB</v>
      </c>
      <c r="AH505" t="e">
        <f>INDEX([1]!crudeBD.lkup[Number],MATCH(vp.tbl[[#This Row],[Crude_Breakdown]],[1]!crudeBD.lkup[Crude Breakdown],0))</f>
        <v>#REF!</v>
      </c>
      <c r="AI505">
        <f>MONTH(vp.tbl[[#This Row],[SDate]])</f>
        <v>1</v>
      </c>
      <c r="AJ505" s="5">
        <f>IFERROR(vp.tbl[[#This Row],[Sulf]]*vp.tbl[[#This Row],[Net Dens]],"")</f>
        <v>4399041.8368800003</v>
      </c>
      <c r="AK505" s="5">
        <f>IFERROR(vp.tbl[[#This Row],[Dens]]*vp.tbl[[#This Row],[VolumeM3]],"")</f>
        <v>2715457.9240000001</v>
      </c>
      <c r="AL505" s="5">
        <f>IFERROR(vp.tbl[[#This Row],[VP]]*vp.tbl[[#This Row],[VolumeM3]],"")</f>
        <v>313626.48599999998</v>
      </c>
      <c r="AM505" s="4">
        <f>IFERROR((vp.tbl[[#This Row],[VP]]-INDEX(crudeBD.lkup.complete[Mean_VP],MATCH(vp.tbl[[#This Row],[Crude_Breakdown]],crudeBD.lkup.complete[Crude Breakdown],0)))^2,"")</f>
        <v>12.629597024125575</v>
      </c>
      <c r="AN505" s="4">
        <f>IFERROR((vp.tbl[[#This Row],[Dens]]-INDEX(crudeBD.lkup.complete[Mean_Dens],MATCH(vp.tbl[[#This Row],[Crude_Breakdown]],crudeBD.lkup.complete[Crude Breakdown],0)))^2,"")</f>
        <v>23.845937582223179</v>
      </c>
      <c r="AO505" s="4">
        <f>IFERROR((vp.tbl[[#This Row],[Sulf]]-INDEX(crudeBD.lkup.complete[Mean_Sulf],MATCH(vp.tbl[[#This Row],[Crude_Breakdown]],crudeBD.lkup.complete[Crude Breakdown],0)))^2,"")</f>
        <v>0.48584919210274019</v>
      </c>
      <c r="AP505">
        <f>IF(AND(vp.tbl[[#This Row],[SDate]]&gt;=DATE(YEAR(vp.tbl[[#This Row],[SDate]]),5,1),vp.tbl[[#This Row],[SDate]]&lt;=DATE(YEAR(vp.tbl[[#This Row],[SDate]]),9,15)),1,0)</f>
        <v>0</v>
      </c>
      <c r="AQ505" s="15">
        <f>IF(vp.tbl[[#This Row],[SDate]]&lt;DATE(2016,12,1),0,1)</f>
        <v>1</v>
      </c>
    </row>
    <row r="506" spans="1:43" x14ac:dyDescent="0.25">
      <c r="A506">
        <v>505</v>
      </c>
      <c r="B506" t="s">
        <v>96</v>
      </c>
      <c r="C506" t="s">
        <v>96</v>
      </c>
      <c r="D506" t="s">
        <v>97</v>
      </c>
      <c r="F506" s="1">
        <v>42739</v>
      </c>
      <c r="G506" s="2">
        <v>94.6</v>
      </c>
      <c r="H506" s="2"/>
      <c r="I506" s="2">
        <v>0.79</v>
      </c>
      <c r="J506" s="2">
        <v>20.2</v>
      </c>
      <c r="K506" s="2">
        <v>-23</v>
      </c>
      <c r="L506" s="2">
        <v>830.5</v>
      </c>
      <c r="M506" s="2">
        <v>830.5</v>
      </c>
      <c r="N506" s="2">
        <f ca="1">INDEX(INDIRECT(_xlfn.CONCAT("weather.tbl[",N$1,"]")),MATCH(vp.tbl[[#This Row],[SDate]],weather.tbl[Date],0))</f>
        <v>-22.716666666666669</v>
      </c>
      <c r="O506" s="2">
        <f ca="1">INDEX(INDIRECT(_xlfn.CONCAT("weather.tbl[",O$1,"]")),MATCH(vp.tbl[[#This Row],[SDate]],weather.tbl[Date],0))</f>
        <v>-15.738095238095241</v>
      </c>
      <c r="P506" s="2">
        <f ca="1">INDEX(INDIRECT(_xlfn.CONCAT("weather.tbl[",P$1,"]")),MATCH(vp.tbl[[#This Row],[SDate]],weather.tbl[Date],0))</f>
        <v>-22.2</v>
      </c>
      <c r="Q506" s="2">
        <f ca="1">INDEX(INDIRECT(_xlfn.CONCAT("weather.tbl[",Q$1,"]")),MATCH(vp.tbl[[#This Row],[SDate]],weather.tbl[Date],0))</f>
        <v>-21.6</v>
      </c>
      <c r="R506" s="2">
        <f ca="1">INDEX(INDIRECT(_xlfn.CONCAT("weather.tbl[",R$1,"]")),MATCH(vp.tbl[[#This Row],[SDate]],weather.tbl[Date],0))</f>
        <v>-24</v>
      </c>
      <c r="S506" s="2">
        <f ca="1">INDEX(INDIRECT(_xlfn.CONCAT("weather.tbl[",S$1,"]")),MATCH(vp.tbl[[#This Row],[SDate]],weather.tbl[Date],0))</f>
        <v>-20.7</v>
      </c>
      <c r="T506" s="2">
        <f ca="1">INDEX(INDIRECT(_xlfn.CONCAT("weather.tbl[",T$1,"]")),MATCH(vp.tbl[[#This Row],[SDate]],weather.tbl[Date],0))</f>
        <v>-24.5</v>
      </c>
      <c r="U506" s="2">
        <f ca="1">INDEX(INDIRECT(_xlfn.CONCAT("weather.tbl[",U$1,"]")),MATCH(vp.tbl[[#This Row],[SDate]],weather.tbl[Date],0))</f>
        <v>-23.3</v>
      </c>
      <c r="V506" s="2">
        <v>8927.0429999999997</v>
      </c>
      <c r="W506" t="s">
        <v>48</v>
      </c>
      <c r="X506">
        <f>IF(OR(vp.tbl[[#This Row],[Sulf]]="",vp.tbl[[#This Row],[Dens]]=""),1,0)</f>
        <v>0</v>
      </c>
      <c r="Y506">
        <f>IF(vp.tbl[[#This Row],[CrudeType]]="C5+",1,0)</f>
        <v>0</v>
      </c>
      <c r="Z506">
        <f>IF(AND(vp.tbl[[#This Row],[CrudeType]]="Crude",vp.tbl[[#This Row],[Dens]]&lt;=825,vp.tbl[[#This Row],[Sulf]]&gt;0.5,vp.tbl[[#This Row],[Unknown]]=0),1,0)</f>
        <v>0</v>
      </c>
      <c r="AA506">
        <f>IF(AND(vp.tbl[[#This Row],[CrudeType]]="Crude",vp.tbl[[#This Row],[Dens]]&lt;=825,vp.tbl[[#This Row],[Sulf]]&lt;=0.5,vp.tbl[[#This Row],[Unknown]]=0),1,0)</f>
        <v>0</v>
      </c>
      <c r="AB506">
        <f>IF(AND(vp.tbl[[#This Row],[CrudeType]]="Crude",vp.tbl[[#This Row],[Dens]]&gt;825,vp.tbl[[#This Row],[Dens]]&lt;=870,vp.tbl[[#This Row],[Sulf]]&gt;0.5,vp.tbl[[#This Row],[Unknown]]=0),1,0)</f>
        <v>1</v>
      </c>
      <c r="AC506">
        <f>IF(AND(vp.tbl[[#This Row],[CrudeType]]="Crude",vp.tbl[[#This Row],[Dens]]&gt;825,vp.tbl[[#This Row],[Dens]]&lt;=900,vp.tbl[[#This Row],[Sulf]]&lt;=0.5,vp.tbl[[#This Row],[Unknown]]=0),1,0)</f>
        <v>0</v>
      </c>
      <c r="AD506">
        <f>IF(AND(vp.tbl[[#This Row],[CrudeType]]="Crude",vp.tbl[[#This Row],[Dens]]&gt;870,vp.tbl[[#This Row],[Dens]]&lt;=900,vp.tbl[[#This Row],[Sulf]]&gt;0.5,vp.tbl[[#This Row],[Unknown]]=0),1,0)</f>
        <v>0</v>
      </c>
      <c r="AE506">
        <f>IF(AND(vp.tbl[[#This Row],[CrudeType]]="Crude",vp.tbl[[#This Row],[Dens]]&gt;900,vp.tbl[[#This Row],[Sulf]]&lt;=0.5,vp.tbl[[#This Row],[Unknown]]=0),1,0)</f>
        <v>0</v>
      </c>
      <c r="AF506">
        <f>IF(AND(vp.tbl[[#This Row],[CrudeType]]="Crude",vp.tbl[[#This Row],[Dens]]&gt;900,vp.tbl[[#This Row],[Sulf]]&lt;=0.5,vp.tbl[[#This Row],[Unknown]]=0),1,0)</f>
        <v>0</v>
      </c>
      <c r="AG506" t="str">
        <f>INDEX(vp.tbl[[#Headers],[Unknown]:[Heavy_SW]],MATCH(1,vp.tbl[[#This Row],[Unknown]:[Heavy_SW]],0))</f>
        <v>Medium_LSB</v>
      </c>
      <c r="AH506" t="e">
        <f>INDEX([1]!crudeBD.lkup[Number],MATCH(vp.tbl[[#This Row],[Crude_Breakdown]],[1]!crudeBD.lkup[Crude Breakdown],0))</f>
        <v>#REF!</v>
      </c>
      <c r="AI506">
        <f>MONTH(vp.tbl[[#This Row],[SDate]])</f>
        <v>1</v>
      </c>
      <c r="AJ506" s="5">
        <f>IFERROR(vp.tbl[[#This Row],[Sulf]]*vp.tbl[[#This Row],[Net Dens]],"")</f>
        <v>5856988.2770849997</v>
      </c>
      <c r="AK506" s="5">
        <f>IFERROR(vp.tbl[[#This Row],[Dens]]*vp.tbl[[#This Row],[VolumeM3]],"")</f>
        <v>7413909.2114999993</v>
      </c>
      <c r="AL506" s="5">
        <f>IFERROR(vp.tbl[[#This Row],[VP]]*vp.tbl[[#This Row],[VolumeM3]],"")</f>
        <v>844498.26779999991</v>
      </c>
      <c r="AM506" s="4">
        <f>IFERROR((vp.tbl[[#This Row],[VP]]-INDEX(crudeBD.lkup.complete[Mean_VP],MATCH(vp.tbl[[#This Row],[Crude_Breakdown]],crudeBD.lkup.complete[Crude Breakdown],0)))^2,"")</f>
        <v>208.12116305015311</v>
      </c>
      <c r="AN506" s="4">
        <f>IFERROR((vp.tbl[[#This Row],[Dens]]-INDEX(crudeBD.lkup.complete[Mean_Dens],MATCH(vp.tbl[[#This Row],[Crude_Breakdown]],crudeBD.lkup.complete[Crude Breakdown],0)))^2,"")</f>
        <v>218.79802129719889</v>
      </c>
      <c r="AO506" s="4">
        <f>IFERROR((vp.tbl[[#This Row],[Sulf]]-INDEX(crudeBD.lkup.complete[Mean_Sulf],MATCH(vp.tbl[[#This Row],[Crude_Breakdown]],crudeBD.lkup.complete[Crude Breakdown],0)))^2,"")</f>
        <v>0.44213171972964155</v>
      </c>
      <c r="AP506">
        <f>IF(AND(vp.tbl[[#This Row],[SDate]]&gt;=DATE(YEAR(vp.tbl[[#This Row],[SDate]]),5,1),vp.tbl[[#This Row],[SDate]]&lt;=DATE(YEAR(vp.tbl[[#This Row],[SDate]]),9,15)),1,0)</f>
        <v>0</v>
      </c>
      <c r="AQ506" s="15">
        <f>IF(vp.tbl[[#This Row],[SDate]]&lt;DATE(2016,12,1),0,1)</f>
        <v>1</v>
      </c>
    </row>
    <row r="507" spans="1:43" x14ac:dyDescent="0.25">
      <c r="A507">
        <v>506</v>
      </c>
      <c r="B507" t="s">
        <v>51</v>
      </c>
      <c r="C507" t="s">
        <v>51</v>
      </c>
      <c r="D507" t="s">
        <v>72</v>
      </c>
      <c r="F507" s="1">
        <v>42739</v>
      </c>
      <c r="G507" s="2">
        <v>100.4</v>
      </c>
      <c r="H507" s="2"/>
      <c r="I507" s="2">
        <v>1.1599999999999999</v>
      </c>
      <c r="J507" s="2">
        <v>12.7</v>
      </c>
      <c r="K507" s="2">
        <v>-23</v>
      </c>
      <c r="L507" s="2">
        <v>830.8</v>
      </c>
      <c r="M507" s="2">
        <v>830.8</v>
      </c>
      <c r="N507" s="2">
        <f ca="1">INDEX(INDIRECT(_xlfn.CONCAT("weather.tbl[",N$1,"]")),MATCH(vp.tbl[[#This Row],[SDate]],weather.tbl[Date],0))</f>
        <v>-22.716666666666669</v>
      </c>
      <c r="O507" s="2">
        <f ca="1">INDEX(INDIRECT(_xlfn.CONCAT("weather.tbl[",O$1,"]")),MATCH(vp.tbl[[#This Row],[SDate]],weather.tbl[Date],0))</f>
        <v>-15.738095238095241</v>
      </c>
      <c r="P507" s="2">
        <f ca="1">INDEX(INDIRECT(_xlfn.CONCAT("weather.tbl[",P$1,"]")),MATCH(vp.tbl[[#This Row],[SDate]],weather.tbl[Date],0))</f>
        <v>-22.2</v>
      </c>
      <c r="Q507" s="2">
        <f ca="1">INDEX(INDIRECT(_xlfn.CONCAT("weather.tbl[",Q$1,"]")),MATCH(vp.tbl[[#This Row],[SDate]],weather.tbl[Date],0))</f>
        <v>-21.6</v>
      </c>
      <c r="R507" s="2">
        <f ca="1">INDEX(INDIRECT(_xlfn.CONCAT("weather.tbl[",R$1,"]")),MATCH(vp.tbl[[#This Row],[SDate]],weather.tbl[Date],0))</f>
        <v>-24</v>
      </c>
      <c r="S507" s="2">
        <f ca="1">INDEX(INDIRECT(_xlfn.CONCAT("weather.tbl[",S$1,"]")),MATCH(vp.tbl[[#This Row],[SDate]],weather.tbl[Date],0))</f>
        <v>-20.7</v>
      </c>
      <c r="T507" s="2">
        <f ca="1">INDEX(INDIRECT(_xlfn.CONCAT("weather.tbl[",T$1,"]")),MATCH(vp.tbl[[#This Row],[SDate]],weather.tbl[Date],0))</f>
        <v>-24.5</v>
      </c>
      <c r="U507" s="2">
        <f ca="1">INDEX(INDIRECT(_xlfn.CONCAT("weather.tbl[",U$1,"]")),MATCH(vp.tbl[[#This Row],[SDate]],weather.tbl[Date],0))</f>
        <v>-23.3</v>
      </c>
      <c r="V507" s="2">
        <v>14039.305</v>
      </c>
      <c r="W507" t="s">
        <v>48</v>
      </c>
      <c r="X507">
        <f>IF(OR(vp.tbl[[#This Row],[Sulf]]="",vp.tbl[[#This Row],[Dens]]=""),1,0)</f>
        <v>0</v>
      </c>
      <c r="Y507">
        <f>IF(vp.tbl[[#This Row],[CrudeType]]="C5+",1,0)</f>
        <v>0</v>
      </c>
      <c r="Z507">
        <f>IF(AND(vp.tbl[[#This Row],[CrudeType]]="Crude",vp.tbl[[#This Row],[Dens]]&lt;=825,vp.tbl[[#This Row],[Sulf]]&gt;0.5,vp.tbl[[#This Row],[Unknown]]=0),1,0)</f>
        <v>0</v>
      </c>
      <c r="AA507">
        <f>IF(AND(vp.tbl[[#This Row],[CrudeType]]="Crude",vp.tbl[[#This Row],[Dens]]&lt;=825,vp.tbl[[#This Row],[Sulf]]&lt;=0.5,vp.tbl[[#This Row],[Unknown]]=0),1,0)</f>
        <v>0</v>
      </c>
      <c r="AB507">
        <f>IF(AND(vp.tbl[[#This Row],[CrudeType]]="Crude",vp.tbl[[#This Row],[Dens]]&gt;825,vp.tbl[[#This Row],[Dens]]&lt;=870,vp.tbl[[#This Row],[Sulf]]&gt;0.5,vp.tbl[[#This Row],[Unknown]]=0),1,0)</f>
        <v>1</v>
      </c>
      <c r="AC507">
        <f>IF(AND(vp.tbl[[#This Row],[CrudeType]]="Crude",vp.tbl[[#This Row],[Dens]]&gt;825,vp.tbl[[#This Row],[Dens]]&lt;=900,vp.tbl[[#This Row],[Sulf]]&lt;=0.5,vp.tbl[[#This Row],[Unknown]]=0),1,0)</f>
        <v>0</v>
      </c>
      <c r="AD507">
        <f>IF(AND(vp.tbl[[#This Row],[CrudeType]]="Crude",vp.tbl[[#This Row],[Dens]]&gt;870,vp.tbl[[#This Row],[Dens]]&lt;=900,vp.tbl[[#This Row],[Sulf]]&gt;0.5,vp.tbl[[#This Row],[Unknown]]=0),1,0)</f>
        <v>0</v>
      </c>
      <c r="AE507">
        <f>IF(AND(vp.tbl[[#This Row],[CrudeType]]="Crude",vp.tbl[[#This Row],[Dens]]&gt;900,vp.tbl[[#This Row],[Sulf]]&lt;=0.5,vp.tbl[[#This Row],[Unknown]]=0),1,0)</f>
        <v>0</v>
      </c>
      <c r="AF507">
        <f>IF(AND(vp.tbl[[#This Row],[CrudeType]]="Crude",vp.tbl[[#This Row],[Dens]]&gt;900,vp.tbl[[#This Row],[Sulf]]&lt;=0.5,vp.tbl[[#This Row],[Unknown]]=0),1,0)</f>
        <v>0</v>
      </c>
      <c r="AG507" t="str">
        <f>INDEX(vp.tbl[[#Headers],[Unknown]:[Heavy_SW]],MATCH(1,vp.tbl[[#This Row],[Unknown]:[Heavy_SW]],0))</f>
        <v>Medium_LSB</v>
      </c>
      <c r="AH507" t="e">
        <f>INDEX([1]!crudeBD.lkup[Number],MATCH(vp.tbl[[#This Row],[Crude_Breakdown]],[1]!crudeBD.lkup[Crude Breakdown],0))</f>
        <v>#REF!</v>
      </c>
      <c r="AI507">
        <f>MONTH(vp.tbl[[#This Row],[SDate]])</f>
        <v>1</v>
      </c>
      <c r="AJ507" s="5">
        <f>IFERROR(vp.tbl[[#This Row],[Sulf]]*vp.tbl[[#This Row],[Net Dens]],"")</f>
        <v>13530071.32904</v>
      </c>
      <c r="AK507" s="5">
        <f>IFERROR(vp.tbl[[#This Row],[Dens]]*vp.tbl[[#This Row],[VolumeM3]],"")</f>
        <v>11663854.594000001</v>
      </c>
      <c r="AL507" s="5">
        <f>IFERROR(vp.tbl[[#This Row],[VP]]*vp.tbl[[#This Row],[VolumeM3]],"")</f>
        <v>1409546.2220000001</v>
      </c>
      <c r="AM507" s="4">
        <f>IFERROR((vp.tbl[[#This Row],[VP]]-INDEX(crudeBD.lkup.complete[Mean_VP],MATCH(vp.tbl[[#This Row],[Crude_Breakdown]],crudeBD.lkup.complete[Crude Breakdown],0)))^2,"")</f>
        <v>409.10746178433118</v>
      </c>
      <c r="AN507" s="4">
        <f>IFERROR((vp.tbl[[#This Row],[Dens]]-INDEX(crudeBD.lkup.complete[Mean_Dens],MATCH(vp.tbl[[#This Row],[Crude_Breakdown]],crudeBD.lkup.complete[Crude Breakdown],0)))^2,"")</f>
        <v>210.01292762631471</v>
      </c>
      <c r="AO507" s="4">
        <f>IFERROR((vp.tbl[[#This Row],[Sulf]]-INDEX(crudeBD.lkup.complete[Mean_Sulf],MATCH(vp.tbl[[#This Row],[Crude_Breakdown]],crudeBD.lkup.complete[Crude Breakdown],0)))^2,"")</f>
        <v>8.6983622767615246E-2</v>
      </c>
      <c r="AP507">
        <f>IF(AND(vp.tbl[[#This Row],[SDate]]&gt;=DATE(YEAR(vp.tbl[[#This Row],[SDate]]),5,1),vp.tbl[[#This Row],[SDate]]&lt;=DATE(YEAR(vp.tbl[[#This Row],[SDate]]),9,15)),1,0)</f>
        <v>0</v>
      </c>
      <c r="AQ507" s="15">
        <f>IF(vp.tbl[[#This Row],[SDate]]&lt;DATE(2016,12,1),0,1)</f>
        <v>1</v>
      </c>
    </row>
    <row r="508" spans="1:43" x14ac:dyDescent="0.25">
      <c r="A508">
        <v>507</v>
      </c>
      <c r="B508" t="s">
        <v>49</v>
      </c>
      <c r="C508" t="s">
        <v>49</v>
      </c>
      <c r="D508" t="s">
        <v>70</v>
      </c>
      <c r="F508" s="1">
        <v>42739</v>
      </c>
      <c r="G508" s="2">
        <v>84.9</v>
      </c>
      <c r="H508" s="2"/>
      <c r="I508" s="2">
        <v>1.01</v>
      </c>
      <c r="J508" s="2">
        <v>8.3000000000000007</v>
      </c>
      <c r="K508" s="2">
        <v>-23</v>
      </c>
      <c r="L508" s="2">
        <v>831.1</v>
      </c>
      <c r="M508" s="2">
        <v>831.1</v>
      </c>
      <c r="N508" s="2">
        <f ca="1">INDEX(INDIRECT(_xlfn.CONCAT("weather.tbl[",N$1,"]")),MATCH(vp.tbl[[#This Row],[SDate]],weather.tbl[Date],0))</f>
        <v>-22.716666666666669</v>
      </c>
      <c r="O508" s="2">
        <f ca="1">INDEX(INDIRECT(_xlfn.CONCAT("weather.tbl[",O$1,"]")),MATCH(vp.tbl[[#This Row],[SDate]],weather.tbl[Date],0))</f>
        <v>-15.738095238095241</v>
      </c>
      <c r="P508" s="2">
        <f ca="1">INDEX(INDIRECT(_xlfn.CONCAT("weather.tbl[",P$1,"]")),MATCH(vp.tbl[[#This Row],[SDate]],weather.tbl[Date],0))</f>
        <v>-22.2</v>
      </c>
      <c r="Q508" s="2">
        <f ca="1">INDEX(INDIRECT(_xlfn.CONCAT("weather.tbl[",Q$1,"]")),MATCH(vp.tbl[[#This Row],[SDate]],weather.tbl[Date],0))</f>
        <v>-21.6</v>
      </c>
      <c r="R508" s="2">
        <f ca="1">INDEX(INDIRECT(_xlfn.CONCAT("weather.tbl[",R$1,"]")),MATCH(vp.tbl[[#This Row],[SDate]],weather.tbl[Date],0))</f>
        <v>-24</v>
      </c>
      <c r="S508" s="2">
        <f ca="1">INDEX(INDIRECT(_xlfn.CONCAT("weather.tbl[",S$1,"]")),MATCH(vp.tbl[[#This Row],[SDate]],weather.tbl[Date],0))</f>
        <v>-20.7</v>
      </c>
      <c r="T508" s="2">
        <f ca="1">INDEX(INDIRECT(_xlfn.CONCAT("weather.tbl[",T$1,"]")),MATCH(vp.tbl[[#This Row],[SDate]],weather.tbl[Date],0))</f>
        <v>-24.5</v>
      </c>
      <c r="U508" s="2">
        <f ca="1">INDEX(INDIRECT(_xlfn.CONCAT("weather.tbl[",U$1,"]")),MATCH(vp.tbl[[#This Row],[SDate]],weather.tbl[Date],0))</f>
        <v>-23.3</v>
      </c>
      <c r="V508" s="2">
        <v>3332.451</v>
      </c>
      <c r="W508" t="s">
        <v>48</v>
      </c>
      <c r="X508">
        <f>IF(OR(vp.tbl[[#This Row],[Sulf]]="",vp.tbl[[#This Row],[Dens]]=""),1,0)</f>
        <v>0</v>
      </c>
      <c r="Y508">
        <f>IF(vp.tbl[[#This Row],[CrudeType]]="C5+",1,0)</f>
        <v>0</v>
      </c>
      <c r="Z508">
        <f>IF(AND(vp.tbl[[#This Row],[CrudeType]]="Crude",vp.tbl[[#This Row],[Dens]]&lt;=825,vp.tbl[[#This Row],[Sulf]]&gt;0.5,vp.tbl[[#This Row],[Unknown]]=0),1,0)</f>
        <v>0</v>
      </c>
      <c r="AA508">
        <f>IF(AND(vp.tbl[[#This Row],[CrudeType]]="Crude",vp.tbl[[#This Row],[Dens]]&lt;=825,vp.tbl[[#This Row],[Sulf]]&lt;=0.5,vp.tbl[[#This Row],[Unknown]]=0),1,0)</f>
        <v>0</v>
      </c>
      <c r="AB508">
        <f>IF(AND(vp.tbl[[#This Row],[CrudeType]]="Crude",vp.tbl[[#This Row],[Dens]]&gt;825,vp.tbl[[#This Row],[Dens]]&lt;=870,vp.tbl[[#This Row],[Sulf]]&gt;0.5,vp.tbl[[#This Row],[Unknown]]=0),1,0)</f>
        <v>1</v>
      </c>
      <c r="AC508">
        <f>IF(AND(vp.tbl[[#This Row],[CrudeType]]="Crude",vp.tbl[[#This Row],[Dens]]&gt;825,vp.tbl[[#This Row],[Dens]]&lt;=900,vp.tbl[[#This Row],[Sulf]]&lt;=0.5,vp.tbl[[#This Row],[Unknown]]=0),1,0)</f>
        <v>0</v>
      </c>
      <c r="AD508">
        <f>IF(AND(vp.tbl[[#This Row],[CrudeType]]="Crude",vp.tbl[[#This Row],[Dens]]&gt;870,vp.tbl[[#This Row],[Dens]]&lt;=900,vp.tbl[[#This Row],[Sulf]]&gt;0.5,vp.tbl[[#This Row],[Unknown]]=0),1,0)</f>
        <v>0</v>
      </c>
      <c r="AE508">
        <f>IF(AND(vp.tbl[[#This Row],[CrudeType]]="Crude",vp.tbl[[#This Row],[Dens]]&gt;900,vp.tbl[[#This Row],[Sulf]]&lt;=0.5,vp.tbl[[#This Row],[Unknown]]=0),1,0)</f>
        <v>0</v>
      </c>
      <c r="AF508">
        <f>IF(AND(vp.tbl[[#This Row],[CrudeType]]="Crude",vp.tbl[[#This Row],[Dens]]&gt;900,vp.tbl[[#This Row],[Sulf]]&lt;=0.5,vp.tbl[[#This Row],[Unknown]]=0),1,0)</f>
        <v>0</v>
      </c>
      <c r="AG508" t="str">
        <f>INDEX(vp.tbl[[#Headers],[Unknown]:[Heavy_SW]],MATCH(1,vp.tbl[[#This Row],[Unknown]:[Heavy_SW]],0))</f>
        <v>Medium_LSB</v>
      </c>
      <c r="AH508" t="e">
        <f>INDEX([1]!crudeBD.lkup[Number],MATCH(vp.tbl[[#This Row],[Crude_Breakdown]],[1]!crudeBD.lkup[Crude Breakdown],0))</f>
        <v>#REF!</v>
      </c>
      <c r="AI508">
        <f>MONTH(vp.tbl[[#This Row],[SDate]])</f>
        <v>1</v>
      </c>
      <c r="AJ508" s="5">
        <f>IFERROR(vp.tbl[[#This Row],[Sulf]]*vp.tbl[[#This Row],[Net Dens]],"")</f>
        <v>2797296.0263609998</v>
      </c>
      <c r="AK508" s="5">
        <f>IFERROR(vp.tbl[[#This Row],[Dens]]*vp.tbl[[#This Row],[VolumeM3]],"")</f>
        <v>2769600.0260999999</v>
      </c>
      <c r="AL508" s="5">
        <f>IFERROR(vp.tbl[[#This Row],[VP]]*vp.tbl[[#This Row],[VolumeM3]],"")</f>
        <v>282925.08990000002</v>
      </c>
      <c r="AM508" s="4">
        <f>IFERROR((vp.tbl[[#This Row],[VP]]-INDEX(crudeBD.lkup.complete[Mean_VP],MATCH(vp.tbl[[#This Row],[Crude_Breakdown]],crudeBD.lkup.complete[Crude Breakdown],0)))^2,"")</f>
        <v>22.338904822304521</v>
      </c>
      <c r="AN508" s="4">
        <f>IFERROR((vp.tbl[[#This Row],[Dens]]-INDEX(crudeBD.lkup.complete[Mean_Dens],MATCH(vp.tbl[[#This Row],[Crude_Breakdown]],crudeBD.lkup.complete[Crude Breakdown],0)))^2,"")</f>
        <v>201.40783395542726</v>
      </c>
      <c r="AO508" s="4">
        <f>IFERROR((vp.tbl[[#This Row],[Sulf]]-INDEX(crudeBD.lkup.complete[Mean_Sulf],MATCH(vp.tbl[[#This Row],[Crude_Breakdown]],crudeBD.lkup.complete[Crude Breakdown],0)))^2,"")</f>
        <v>0.19796258099546374</v>
      </c>
      <c r="AP508">
        <f>IF(AND(vp.tbl[[#This Row],[SDate]]&gt;=DATE(YEAR(vp.tbl[[#This Row],[SDate]]),5,1),vp.tbl[[#This Row],[SDate]]&lt;=DATE(YEAR(vp.tbl[[#This Row],[SDate]]),9,15)),1,0)</f>
        <v>0</v>
      </c>
      <c r="AQ508" s="15">
        <f>IF(vp.tbl[[#This Row],[SDate]]&lt;DATE(2016,12,1),0,1)</f>
        <v>1</v>
      </c>
    </row>
    <row r="509" spans="1:43" x14ac:dyDescent="0.25">
      <c r="A509">
        <v>508</v>
      </c>
      <c r="B509" t="s">
        <v>108</v>
      </c>
      <c r="C509" t="s">
        <v>108</v>
      </c>
      <c r="D509" t="s">
        <v>109</v>
      </c>
      <c r="F509" s="1">
        <v>42739</v>
      </c>
      <c r="G509" s="2">
        <v>89.1</v>
      </c>
      <c r="H509" s="2"/>
      <c r="I509" s="2">
        <v>0.78</v>
      </c>
      <c r="J509" s="2">
        <v>21</v>
      </c>
      <c r="K509" s="2">
        <v>-23</v>
      </c>
      <c r="L509" s="2">
        <v>834.2</v>
      </c>
      <c r="M509" s="2">
        <v>834.2</v>
      </c>
      <c r="N509" s="2">
        <f ca="1">INDEX(INDIRECT(_xlfn.CONCAT("weather.tbl[",N$1,"]")),MATCH(vp.tbl[[#This Row],[SDate]],weather.tbl[Date],0))</f>
        <v>-22.716666666666669</v>
      </c>
      <c r="O509" s="2">
        <f ca="1">INDEX(INDIRECT(_xlfn.CONCAT("weather.tbl[",O$1,"]")),MATCH(vp.tbl[[#This Row],[SDate]],weather.tbl[Date],0))</f>
        <v>-15.738095238095241</v>
      </c>
      <c r="P509" s="2">
        <f ca="1">INDEX(INDIRECT(_xlfn.CONCAT("weather.tbl[",P$1,"]")),MATCH(vp.tbl[[#This Row],[SDate]],weather.tbl[Date],0))</f>
        <v>-22.2</v>
      </c>
      <c r="Q509" s="2">
        <f ca="1">INDEX(INDIRECT(_xlfn.CONCAT("weather.tbl[",Q$1,"]")),MATCH(vp.tbl[[#This Row],[SDate]],weather.tbl[Date],0))</f>
        <v>-21.6</v>
      </c>
      <c r="R509" s="2">
        <f ca="1">INDEX(INDIRECT(_xlfn.CONCAT("weather.tbl[",R$1,"]")),MATCH(vp.tbl[[#This Row],[SDate]],weather.tbl[Date],0))</f>
        <v>-24</v>
      </c>
      <c r="S509" s="2">
        <f ca="1">INDEX(INDIRECT(_xlfn.CONCAT("weather.tbl[",S$1,"]")),MATCH(vp.tbl[[#This Row],[SDate]],weather.tbl[Date],0))</f>
        <v>-20.7</v>
      </c>
      <c r="T509" s="2">
        <f ca="1">INDEX(INDIRECT(_xlfn.CONCAT("weather.tbl[",T$1,"]")),MATCH(vp.tbl[[#This Row],[SDate]],weather.tbl[Date],0))</f>
        <v>-24.5</v>
      </c>
      <c r="U509" s="2">
        <f ca="1">INDEX(INDIRECT(_xlfn.CONCAT("weather.tbl[",U$1,"]")),MATCH(vp.tbl[[#This Row],[SDate]],weather.tbl[Date],0))</f>
        <v>-23.3</v>
      </c>
      <c r="V509" s="2">
        <v>9355.1880000000001</v>
      </c>
      <c r="W509" t="s">
        <v>48</v>
      </c>
      <c r="X509">
        <f>IF(OR(vp.tbl[[#This Row],[Sulf]]="",vp.tbl[[#This Row],[Dens]]=""),1,0)</f>
        <v>0</v>
      </c>
      <c r="Y509">
        <f>IF(vp.tbl[[#This Row],[CrudeType]]="C5+",1,0)</f>
        <v>0</v>
      </c>
      <c r="Z509">
        <f>IF(AND(vp.tbl[[#This Row],[CrudeType]]="Crude",vp.tbl[[#This Row],[Dens]]&lt;=825,vp.tbl[[#This Row],[Sulf]]&gt;0.5,vp.tbl[[#This Row],[Unknown]]=0),1,0)</f>
        <v>0</v>
      </c>
      <c r="AA509">
        <f>IF(AND(vp.tbl[[#This Row],[CrudeType]]="Crude",vp.tbl[[#This Row],[Dens]]&lt;=825,vp.tbl[[#This Row],[Sulf]]&lt;=0.5,vp.tbl[[#This Row],[Unknown]]=0),1,0)</f>
        <v>0</v>
      </c>
      <c r="AB509">
        <f>IF(AND(vp.tbl[[#This Row],[CrudeType]]="Crude",vp.tbl[[#This Row],[Dens]]&gt;825,vp.tbl[[#This Row],[Dens]]&lt;=870,vp.tbl[[#This Row],[Sulf]]&gt;0.5,vp.tbl[[#This Row],[Unknown]]=0),1,0)</f>
        <v>1</v>
      </c>
      <c r="AC509">
        <f>IF(AND(vp.tbl[[#This Row],[CrudeType]]="Crude",vp.tbl[[#This Row],[Dens]]&gt;825,vp.tbl[[#This Row],[Dens]]&lt;=900,vp.tbl[[#This Row],[Sulf]]&lt;=0.5,vp.tbl[[#This Row],[Unknown]]=0),1,0)</f>
        <v>0</v>
      </c>
      <c r="AD509">
        <f>IF(AND(vp.tbl[[#This Row],[CrudeType]]="Crude",vp.tbl[[#This Row],[Dens]]&gt;870,vp.tbl[[#This Row],[Dens]]&lt;=900,vp.tbl[[#This Row],[Sulf]]&gt;0.5,vp.tbl[[#This Row],[Unknown]]=0),1,0)</f>
        <v>0</v>
      </c>
      <c r="AE509">
        <f>IF(AND(vp.tbl[[#This Row],[CrudeType]]="Crude",vp.tbl[[#This Row],[Dens]]&gt;900,vp.tbl[[#This Row],[Sulf]]&lt;=0.5,vp.tbl[[#This Row],[Unknown]]=0),1,0)</f>
        <v>0</v>
      </c>
      <c r="AF509">
        <f>IF(AND(vp.tbl[[#This Row],[CrudeType]]="Crude",vp.tbl[[#This Row],[Dens]]&gt;900,vp.tbl[[#This Row],[Sulf]]&lt;=0.5,vp.tbl[[#This Row],[Unknown]]=0),1,0)</f>
        <v>0</v>
      </c>
      <c r="AG509" t="str">
        <f>INDEX(vp.tbl[[#Headers],[Unknown]:[Heavy_SW]],MATCH(1,vp.tbl[[#This Row],[Unknown]:[Heavy_SW]],0))</f>
        <v>Medium_LSB</v>
      </c>
      <c r="AH509" t="e">
        <f>INDEX([1]!crudeBD.lkup[Number],MATCH(vp.tbl[[#This Row],[Crude_Breakdown]],[1]!crudeBD.lkup[Crude Breakdown],0))</f>
        <v>#REF!</v>
      </c>
      <c r="AI509">
        <f>MONTH(vp.tbl[[#This Row],[SDate]])</f>
        <v>1</v>
      </c>
      <c r="AJ509" s="5">
        <f>IFERROR(vp.tbl[[#This Row],[Sulf]]*vp.tbl[[#This Row],[Net Dens]],"")</f>
        <v>6087196.3070880007</v>
      </c>
      <c r="AK509" s="5">
        <f>IFERROR(vp.tbl[[#This Row],[Dens]]*vp.tbl[[#This Row],[VolumeM3]],"")</f>
        <v>7804097.8296000008</v>
      </c>
      <c r="AL509" s="5">
        <f>IFERROR(vp.tbl[[#This Row],[VP]]*vp.tbl[[#This Row],[VolumeM3]],"")</f>
        <v>833547.25079999992</v>
      </c>
      <c r="AM509" s="4">
        <f>IFERROR((vp.tbl[[#This Row],[VP]]-INDEX(crudeBD.lkup.complete[Mean_VP],MATCH(vp.tbl[[#This Row],[Crude_Breakdown]],crudeBD.lkup.complete[Crude Breakdown],0)))^2,"")</f>
        <v>79.68070735395024</v>
      </c>
      <c r="AN509" s="4">
        <f>IFERROR((vp.tbl[[#This Row],[Dens]]-INDEX(crudeBD.lkup.complete[Mean_Dens],MATCH(vp.tbl[[#This Row],[Crude_Breakdown]],crudeBD.lkup.complete[Crude Breakdown],0)))^2,"")</f>
        <v>123.02853268961022</v>
      </c>
      <c r="AO509" s="4">
        <f>IFERROR((vp.tbl[[#This Row],[Sulf]]-INDEX(crudeBD.lkup.complete[Mean_Sulf],MATCH(vp.tbl[[#This Row],[Crude_Breakdown]],crudeBD.lkup.complete[Crude Breakdown],0)))^2,"")</f>
        <v>0.45553031694483148</v>
      </c>
      <c r="AP509">
        <f>IF(AND(vp.tbl[[#This Row],[SDate]]&gt;=DATE(YEAR(vp.tbl[[#This Row],[SDate]]),5,1),vp.tbl[[#This Row],[SDate]]&lt;=DATE(YEAR(vp.tbl[[#This Row],[SDate]]),9,15)),1,0)</f>
        <v>0</v>
      </c>
      <c r="AQ509" s="15">
        <f>IF(vp.tbl[[#This Row],[SDate]]&lt;DATE(2016,12,1),0,1)</f>
        <v>1</v>
      </c>
    </row>
    <row r="510" spans="1:43" x14ac:dyDescent="0.25">
      <c r="A510">
        <v>509</v>
      </c>
      <c r="B510" t="s">
        <v>49</v>
      </c>
      <c r="C510" t="s">
        <v>49</v>
      </c>
      <c r="D510" t="s">
        <v>59</v>
      </c>
      <c r="F510" s="1">
        <v>42739</v>
      </c>
      <c r="G510" s="2">
        <v>91.1</v>
      </c>
      <c r="H510" s="2"/>
      <c r="I510" s="2">
        <v>1.79</v>
      </c>
      <c r="J510" s="2">
        <v>9.6</v>
      </c>
      <c r="K510" s="2">
        <v>-23</v>
      </c>
      <c r="L510" s="2">
        <v>844.2</v>
      </c>
      <c r="M510" s="2">
        <v>844.2</v>
      </c>
      <c r="N510" s="2">
        <f ca="1">INDEX(INDIRECT(_xlfn.CONCAT("weather.tbl[",N$1,"]")),MATCH(vp.tbl[[#This Row],[SDate]],weather.tbl[Date],0))</f>
        <v>-22.716666666666669</v>
      </c>
      <c r="O510" s="2">
        <f ca="1">INDEX(INDIRECT(_xlfn.CONCAT("weather.tbl[",O$1,"]")),MATCH(vp.tbl[[#This Row],[SDate]],weather.tbl[Date],0))</f>
        <v>-15.738095238095241</v>
      </c>
      <c r="P510" s="2">
        <f ca="1">INDEX(INDIRECT(_xlfn.CONCAT("weather.tbl[",P$1,"]")),MATCH(vp.tbl[[#This Row],[SDate]],weather.tbl[Date],0))</f>
        <v>-22.2</v>
      </c>
      <c r="Q510" s="2">
        <f ca="1">INDEX(INDIRECT(_xlfn.CONCAT("weather.tbl[",Q$1,"]")),MATCH(vp.tbl[[#This Row],[SDate]],weather.tbl[Date],0))</f>
        <v>-21.6</v>
      </c>
      <c r="R510" s="2">
        <f ca="1">INDEX(INDIRECT(_xlfn.CONCAT("weather.tbl[",R$1,"]")),MATCH(vp.tbl[[#This Row],[SDate]],weather.tbl[Date],0))</f>
        <v>-24</v>
      </c>
      <c r="S510" s="2">
        <f ca="1">INDEX(INDIRECT(_xlfn.CONCAT("weather.tbl[",S$1,"]")),MATCH(vp.tbl[[#This Row],[SDate]],weather.tbl[Date],0))</f>
        <v>-20.7</v>
      </c>
      <c r="T510" s="2">
        <f ca="1">INDEX(INDIRECT(_xlfn.CONCAT("weather.tbl[",T$1,"]")),MATCH(vp.tbl[[#This Row],[SDate]],weather.tbl[Date],0))</f>
        <v>-24.5</v>
      </c>
      <c r="U510" s="2">
        <f ca="1">INDEX(INDIRECT(_xlfn.CONCAT("weather.tbl[",U$1,"]")),MATCH(vp.tbl[[#This Row],[SDate]],weather.tbl[Date],0))</f>
        <v>-23.3</v>
      </c>
      <c r="V510" s="2">
        <v>1887.288</v>
      </c>
      <c r="W510" t="s">
        <v>48</v>
      </c>
      <c r="X510">
        <f>IF(OR(vp.tbl[[#This Row],[Sulf]]="",vp.tbl[[#This Row],[Dens]]=""),1,0)</f>
        <v>0</v>
      </c>
      <c r="Y510">
        <f>IF(vp.tbl[[#This Row],[CrudeType]]="C5+",1,0)</f>
        <v>0</v>
      </c>
      <c r="Z510">
        <f>IF(AND(vp.tbl[[#This Row],[CrudeType]]="Crude",vp.tbl[[#This Row],[Dens]]&lt;=825,vp.tbl[[#This Row],[Sulf]]&gt;0.5,vp.tbl[[#This Row],[Unknown]]=0),1,0)</f>
        <v>0</v>
      </c>
      <c r="AA510">
        <f>IF(AND(vp.tbl[[#This Row],[CrudeType]]="Crude",vp.tbl[[#This Row],[Dens]]&lt;=825,vp.tbl[[#This Row],[Sulf]]&lt;=0.5,vp.tbl[[#This Row],[Unknown]]=0),1,0)</f>
        <v>0</v>
      </c>
      <c r="AB510">
        <f>IF(AND(vp.tbl[[#This Row],[CrudeType]]="Crude",vp.tbl[[#This Row],[Dens]]&gt;825,vp.tbl[[#This Row],[Dens]]&lt;=870,vp.tbl[[#This Row],[Sulf]]&gt;0.5,vp.tbl[[#This Row],[Unknown]]=0),1,0)</f>
        <v>1</v>
      </c>
      <c r="AC510">
        <f>IF(AND(vp.tbl[[#This Row],[CrudeType]]="Crude",vp.tbl[[#This Row],[Dens]]&gt;825,vp.tbl[[#This Row],[Dens]]&lt;=900,vp.tbl[[#This Row],[Sulf]]&lt;=0.5,vp.tbl[[#This Row],[Unknown]]=0),1,0)</f>
        <v>0</v>
      </c>
      <c r="AD510">
        <f>IF(AND(vp.tbl[[#This Row],[CrudeType]]="Crude",vp.tbl[[#This Row],[Dens]]&gt;870,vp.tbl[[#This Row],[Dens]]&lt;=900,vp.tbl[[#This Row],[Sulf]]&gt;0.5,vp.tbl[[#This Row],[Unknown]]=0),1,0)</f>
        <v>0</v>
      </c>
      <c r="AE510">
        <f>IF(AND(vp.tbl[[#This Row],[CrudeType]]="Crude",vp.tbl[[#This Row],[Dens]]&gt;900,vp.tbl[[#This Row],[Sulf]]&lt;=0.5,vp.tbl[[#This Row],[Unknown]]=0),1,0)</f>
        <v>0</v>
      </c>
      <c r="AF510">
        <f>IF(AND(vp.tbl[[#This Row],[CrudeType]]="Crude",vp.tbl[[#This Row],[Dens]]&gt;900,vp.tbl[[#This Row],[Sulf]]&lt;=0.5,vp.tbl[[#This Row],[Unknown]]=0),1,0)</f>
        <v>0</v>
      </c>
      <c r="AG510" t="str">
        <f>INDEX(vp.tbl[[#Headers],[Unknown]:[Heavy_SW]],MATCH(1,vp.tbl[[#This Row],[Unknown]:[Heavy_SW]],0))</f>
        <v>Medium_LSB</v>
      </c>
      <c r="AH510" t="e">
        <f>INDEX([1]!crudeBD.lkup[Number],MATCH(vp.tbl[[#This Row],[Crude_Breakdown]],[1]!crudeBD.lkup[Crude Breakdown],0))</f>
        <v>#REF!</v>
      </c>
      <c r="AI510">
        <f>MONTH(vp.tbl[[#This Row],[SDate]])</f>
        <v>1</v>
      </c>
      <c r="AJ510" s="5">
        <f>IFERROR(vp.tbl[[#This Row],[Sulf]]*vp.tbl[[#This Row],[Net Dens]],"")</f>
        <v>2851914.8679840001</v>
      </c>
      <c r="AK510" s="5">
        <f>IFERROR(vp.tbl[[#This Row],[Dens]]*vp.tbl[[#This Row],[VolumeM3]],"")</f>
        <v>1593248.5296</v>
      </c>
      <c r="AL510" s="5">
        <f>IFERROR(vp.tbl[[#This Row],[VP]]*vp.tbl[[#This Row],[VolumeM3]],"")</f>
        <v>171931.9368</v>
      </c>
      <c r="AM510" s="4">
        <f>IFERROR((vp.tbl[[#This Row],[VP]]-INDEX(crudeBD.lkup.complete[Mean_VP],MATCH(vp.tbl[[#This Row],[Crude_Breakdown]],crudeBD.lkup.complete[Crude Breakdown],0)))^2,"")</f>
        <v>119.38632760711492</v>
      </c>
      <c r="AN510" s="4">
        <f>IFERROR((vp.tbl[[#This Row],[Dens]]-INDEX(crudeBD.lkup.complete[Mean_Dens],MATCH(vp.tbl[[#This Row],[Crude_Breakdown]],crudeBD.lkup.complete[Crude Breakdown],0)))^2,"")</f>
        <v>1.1920769934282904</v>
      </c>
      <c r="AO510" s="4">
        <f>IFERROR((vp.tbl[[#This Row],[Sulf]]-INDEX(crudeBD.lkup.complete[Mean_Sulf],MATCH(vp.tbl[[#This Row],[Crude_Breakdown]],crudeBD.lkup.complete[Crude Breakdown],0)))^2,"")</f>
        <v>0.11227199821065133</v>
      </c>
      <c r="AP510">
        <f>IF(AND(vp.tbl[[#This Row],[SDate]]&gt;=DATE(YEAR(vp.tbl[[#This Row],[SDate]]),5,1),vp.tbl[[#This Row],[SDate]]&lt;=DATE(YEAR(vp.tbl[[#This Row],[SDate]]),9,15)),1,0)</f>
        <v>0</v>
      </c>
      <c r="AQ510" s="15">
        <f>IF(vp.tbl[[#This Row],[SDate]]&lt;DATE(2016,12,1),0,1)</f>
        <v>1</v>
      </c>
    </row>
    <row r="511" spans="1:43" x14ac:dyDescent="0.25">
      <c r="A511">
        <v>510</v>
      </c>
      <c r="B511" t="s">
        <v>68</v>
      </c>
      <c r="C511" t="s">
        <v>68</v>
      </c>
      <c r="D511" t="s">
        <v>98</v>
      </c>
      <c r="F511" s="1">
        <v>42739</v>
      </c>
      <c r="G511" s="2">
        <v>71.7</v>
      </c>
      <c r="H511" s="2"/>
      <c r="I511" s="2">
        <v>1.26</v>
      </c>
      <c r="J511" s="2">
        <v>24.7</v>
      </c>
      <c r="K511" s="2">
        <v>-23</v>
      </c>
      <c r="L511" s="2">
        <v>849.3</v>
      </c>
      <c r="M511" s="2">
        <v>849.3</v>
      </c>
      <c r="N511" s="2">
        <f ca="1">INDEX(INDIRECT(_xlfn.CONCAT("weather.tbl[",N$1,"]")),MATCH(vp.tbl[[#This Row],[SDate]],weather.tbl[Date],0))</f>
        <v>-22.716666666666669</v>
      </c>
      <c r="O511" s="2">
        <f ca="1">INDEX(INDIRECT(_xlfn.CONCAT("weather.tbl[",O$1,"]")),MATCH(vp.tbl[[#This Row],[SDate]],weather.tbl[Date],0))</f>
        <v>-15.738095238095241</v>
      </c>
      <c r="P511" s="2">
        <f ca="1">INDEX(INDIRECT(_xlfn.CONCAT("weather.tbl[",P$1,"]")),MATCH(vp.tbl[[#This Row],[SDate]],weather.tbl[Date],0))</f>
        <v>-22.2</v>
      </c>
      <c r="Q511" s="2">
        <f ca="1">INDEX(INDIRECT(_xlfn.CONCAT("weather.tbl[",Q$1,"]")),MATCH(vp.tbl[[#This Row],[SDate]],weather.tbl[Date],0))</f>
        <v>-21.6</v>
      </c>
      <c r="R511" s="2">
        <f ca="1">INDEX(INDIRECT(_xlfn.CONCAT("weather.tbl[",R$1,"]")),MATCH(vp.tbl[[#This Row],[SDate]],weather.tbl[Date],0))</f>
        <v>-24</v>
      </c>
      <c r="S511" s="2">
        <f ca="1">INDEX(INDIRECT(_xlfn.CONCAT("weather.tbl[",S$1,"]")),MATCH(vp.tbl[[#This Row],[SDate]],weather.tbl[Date],0))</f>
        <v>-20.7</v>
      </c>
      <c r="T511" s="2">
        <f ca="1">INDEX(INDIRECT(_xlfn.CONCAT("weather.tbl[",T$1,"]")),MATCH(vp.tbl[[#This Row],[SDate]],weather.tbl[Date],0))</f>
        <v>-24.5</v>
      </c>
      <c r="U511" s="2">
        <f ca="1">INDEX(INDIRECT(_xlfn.CONCAT("weather.tbl[",U$1,"]")),MATCH(vp.tbl[[#This Row],[SDate]],weather.tbl[Date],0))</f>
        <v>-23.3</v>
      </c>
      <c r="V511" s="2">
        <v>5406.71</v>
      </c>
      <c r="W511" t="s">
        <v>48</v>
      </c>
      <c r="X511">
        <f>IF(OR(vp.tbl[[#This Row],[Sulf]]="",vp.tbl[[#This Row],[Dens]]=""),1,0)</f>
        <v>0</v>
      </c>
      <c r="Y511">
        <f>IF(vp.tbl[[#This Row],[CrudeType]]="C5+",1,0)</f>
        <v>0</v>
      </c>
      <c r="Z511">
        <f>IF(AND(vp.tbl[[#This Row],[CrudeType]]="Crude",vp.tbl[[#This Row],[Dens]]&lt;=825,vp.tbl[[#This Row],[Sulf]]&gt;0.5,vp.tbl[[#This Row],[Unknown]]=0),1,0)</f>
        <v>0</v>
      </c>
      <c r="AA511">
        <f>IF(AND(vp.tbl[[#This Row],[CrudeType]]="Crude",vp.tbl[[#This Row],[Dens]]&lt;=825,vp.tbl[[#This Row],[Sulf]]&lt;=0.5,vp.tbl[[#This Row],[Unknown]]=0),1,0)</f>
        <v>0</v>
      </c>
      <c r="AB511">
        <f>IF(AND(vp.tbl[[#This Row],[CrudeType]]="Crude",vp.tbl[[#This Row],[Dens]]&gt;825,vp.tbl[[#This Row],[Dens]]&lt;=870,vp.tbl[[#This Row],[Sulf]]&gt;0.5,vp.tbl[[#This Row],[Unknown]]=0),1,0)</f>
        <v>1</v>
      </c>
      <c r="AC511">
        <f>IF(AND(vp.tbl[[#This Row],[CrudeType]]="Crude",vp.tbl[[#This Row],[Dens]]&gt;825,vp.tbl[[#This Row],[Dens]]&lt;=900,vp.tbl[[#This Row],[Sulf]]&lt;=0.5,vp.tbl[[#This Row],[Unknown]]=0),1,0)</f>
        <v>0</v>
      </c>
      <c r="AD511">
        <f>IF(AND(vp.tbl[[#This Row],[CrudeType]]="Crude",vp.tbl[[#This Row],[Dens]]&gt;870,vp.tbl[[#This Row],[Dens]]&lt;=900,vp.tbl[[#This Row],[Sulf]]&gt;0.5,vp.tbl[[#This Row],[Unknown]]=0),1,0)</f>
        <v>0</v>
      </c>
      <c r="AE511">
        <f>IF(AND(vp.tbl[[#This Row],[CrudeType]]="Crude",vp.tbl[[#This Row],[Dens]]&gt;900,vp.tbl[[#This Row],[Sulf]]&lt;=0.5,vp.tbl[[#This Row],[Unknown]]=0),1,0)</f>
        <v>0</v>
      </c>
      <c r="AF511">
        <f>IF(AND(vp.tbl[[#This Row],[CrudeType]]="Crude",vp.tbl[[#This Row],[Dens]]&gt;900,vp.tbl[[#This Row],[Sulf]]&lt;=0.5,vp.tbl[[#This Row],[Unknown]]=0),1,0)</f>
        <v>0</v>
      </c>
      <c r="AG511" t="str">
        <f>INDEX(vp.tbl[[#Headers],[Unknown]:[Heavy_SW]],MATCH(1,vp.tbl[[#This Row],[Unknown]:[Heavy_SW]],0))</f>
        <v>Medium_LSB</v>
      </c>
      <c r="AH511" t="e">
        <f>INDEX([1]!crudeBD.lkup[Number],MATCH(vp.tbl[[#This Row],[Crude_Breakdown]],[1]!crudeBD.lkup[Crude Breakdown],0))</f>
        <v>#REF!</v>
      </c>
      <c r="AI511">
        <f>MONTH(vp.tbl[[#This Row],[SDate]])</f>
        <v>1</v>
      </c>
      <c r="AJ511" s="5">
        <f>IFERROR(vp.tbl[[#This Row],[Sulf]]*vp.tbl[[#This Row],[Net Dens]],"")</f>
        <v>5785817.6917799991</v>
      </c>
      <c r="AK511" s="5">
        <f>IFERROR(vp.tbl[[#This Row],[Dens]]*vp.tbl[[#This Row],[VolumeM3]],"")</f>
        <v>4591918.8029999994</v>
      </c>
      <c r="AL511" s="5">
        <f>IFERROR(vp.tbl[[#This Row],[VP]]*vp.tbl[[#This Row],[VolumeM3]],"")</f>
        <v>387661.10700000002</v>
      </c>
      <c r="AM511" s="4">
        <f>IFERROR((vp.tbl[[#This Row],[VP]]-INDEX(crudeBD.lkup.complete[Mean_VP],MATCH(vp.tbl[[#This Row],[Crude_Breakdown]],crudeBD.lkup.complete[Crude Breakdown],0)))^2,"")</f>
        <v>71.801811151417368</v>
      </c>
      <c r="AN511" s="4">
        <f>IFERROR((vp.tbl[[#This Row],[Dens]]-INDEX(crudeBD.lkup.complete[Mean_Dens],MATCH(vp.tbl[[#This Row],[Crude_Breakdown]],crudeBD.lkup.complete[Crude Breakdown],0)))^2,"")</f>
        <v>16.065484588374776</v>
      </c>
      <c r="AO511" s="4">
        <f>IFERROR((vp.tbl[[#This Row],[Sulf]]-INDEX(crudeBD.lkup.complete[Mean_Sulf],MATCH(vp.tbl[[#This Row],[Crude_Breakdown]],crudeBD.lkup.complete[Crude Breakdown],0)))^2,"")</f>
        <v>3.7997650615716166E-2</v>
      </c>
      <c r="AP511">
        <f>IF(AND(vp.tbl[[#This Row],[SDate]]&gt;=DATE(YEAR(vp.tbl[[#This Row],[SDate]]),5,1),vp.tbl[[#This Row],[SDate]]&lt;=DATE(YEAR(vp.tbl[[#This Row],[SDate]]),9,15)),1,0)</f>
        <v>0</v>
      </c>
      <c r="AQ511" s="15">
        <f>IF(vp.tbl[[#This Row],[SDate]]&lt;DATE(2016,12,1),0,1)</f>
        <v>1</v>
      </c>
    </row>
    <row r="512" spans="1:43" x14ac:dyDescent="0.25">
      <c r="A512">
        <v>511</v>
      </c>
      <c r="B512" t="s">
        <v>68</v>
      </c>
      <c r="C512" t="s">
        <v>68</v>
      </c>
      <c r="D512" t="s">
        <v>110</v>
      </c>
      <c r="F512" s="1">
        <v>42739</v>
      </c>
      <c r="G512" s="2">
        <v>66.3</v>
      </c>
      <c r="H512" s="2"/>
      <c r="I512" s="2">
        <v>1.49</v>
      </c>
      <c r="J512" s="2">
        <v>32.46</v>
      </c>
      <c r="K512" s="2">
        <v>-23</v>
      </c>
      <c r="L512" s="2">
        <v>851.8</v>
      </c>
      <c r="M512" s="2">
        <v>851.8</v>
      </c>
      <c r="N512" s="2">
        <f ca="1">INDEX(INDIRECT(_xlfn.CONCAT("weather.tbl[",N$1,"]")),MATCH(vp.tbl[[#This Row],[SDate]],weather.tbl[Date],0))</f>
        <v>-22.716666666666669</v>
      </c>
      <c r="O512" s="2">
        <f ca="1">INDEX(INDIRECT(_xlfn.CONCAT("weather.tbl[",O$1,"]")),MATCH(vp.tbl[[#This Row],[SDate]],weather.tbl[Date],0))</f>
        <v>-15.738095238095241</v>
      </c>
      <c r="P512" s="2">
        <f ca="1">INDEX(INDIRECT(_xlfn.CONCAT("weather.tbl[",P$1,"]")),MATCH(vp.tbl[[#This Row],[SDate]],weather.tbl[Date],0))</f>
        <v>-22.2</v>
      </c>
      <c r="Q512" s="2">
        <f ca="1">INDEX(INDIRECT(_xlfn.CONCAT("weather.tbl[",Q$1,"]")),MATCH(vp.tbl[[#This Row],[SDate]],weather.tbl[Date],0))</f>
        <v>-21.6</v>
      </c>
      <c r="R512" s="2">
        <f ca="1">INDEX(INDIRECT(_xlfn.CONCAT("weather.tbl[",R$1,"]")),MATCH(vp.tbl[[#This Row],[SDate]],weather.tbl[Date],0))</f>
        <v>-24</v>
      </c>
      <c r="S512" s="2">
        <f ca="1">INDEX(INDIRECT(_xlfn.CONCAT("weather.tbl[",S$1,"]")),MATCH(vp.tbl[[#This Row],[SDate]],weather.tbl[Date],0))</f>
        <v>-20.7</v>
      </c>
      <c r="T512" s="2">
        <f ca="1">INDEX(INDIRECT(_xlfn.CONCAT("weather.tbl[",T$1,"]")),MATCH(vp.tbl[[#This Row],[SDate]],weather.tbl[Date],0))</f>
        <v>-24.5</v>
      </c>
      <c r="U512" s="2">
        <f ca="1">INDEX(INDIRECT(_xlfn.CONCAT("weather.tbl[",U$1,"]")),MATCH(vp.tbl[[#This Row],[SDate]],weather.tbl[Date],0))</f>
        <v>-23.3</v>
      </c>
      <c r="V512" s="2">
        <v>4545.6329999999998</v>
      </c>
      <c r="W512" t="s">
        <v>48</v>
      </c>
      <c r="X512">
        <f>IF(OR(vp.tbl[[#This Row],[Sulf]]="",vp.tbl[[#This Row],[Dens]]=""),1,0)</f>
        <v>0</v>
      </c>
      <c r="Y512">
        <f>IF(vp.tbl[[#This Row],[CrudeType]]="C5+",1,0)</f>
        <v>0</v>
      </c>
      <c r="Z512">
        <f>IF(AND(vp.tbl[[#This Row],[CrudeType]]="Crude",vp.tbl[[#This Row],[Dens]]&lt;=825,vp.tbl[[#This Row],[Sulf]]&gt;0.5,vp.tbl[[#This Row],[Unknown]]=0),1,0)</f>
        <v>0</v>
      </c>
      <c r="AA512">
        <f>IF(AND(vp.tbl[[#This Row],[CrudeType]]="Crude",vp.tbl[[#This Row],[Dens]]&lt;=825,vp.tbl[[#This Row],[Sulf]]&lt;=0.5,vp.tbl[[#This Row],[Unknown]]=0),1,0)</f>
        <v>0</v>
      </c>
      <c r="AB512">
        <f>IF(AND(vp.tbl[[#This Row],[CrudeType]]="Crude",vp.tbl[[#This Row],[Dens]]&gt;825,vp.tbl[[#This Row],[Dens]]&lt;=870,vp.tbl[[#This Row],[Sulf]]&gt;0.5,vp.tbl[[#This Row],[Unknown]]=0),1,0)</f>
        <v>1</v>
      </c>
      <c r="AC512">
        <f>IF(AND(vp.tbl[[#This Row],[CrudeType]]="Crude",vp.tbl[[#This Row],[Dens]]&gt;825,vp.tbl[[#This Row],[Dens]]&lt;=900,vp.tbl[[#This Row],[Sulf]]&lt;=0.5,vp.tbl[[#This Row],[Unknown]]=0),1,0)</f>
        <v>0</v>
      </c>
      <c r="AD512">
        <f>IF(AND(vp.tbl[[#This Row],[CrudeType]]="Crude",vp.tbl[[#This Row],[Dens]]&gt;870,vp.tbl[[#This Row],[Dens]]&lt;=900,vp.tbl[[#This Row],[Sulf]]&gt;0.5,vp.tbl[[#This Row],[Unknown]]=0),1,0)</f>
        <v>0</v>
      </c>
      <c r="AE512">
        <f>IF(AND(vp.tbl[[#This Row],[CrudeType]]="Crude",vp.tbl[[#This Row],[Dens]]&gt;900,vp.tbl[[#This Row],[Sulf]]&lt;=0.5,vp.tbl[[#This Row],[Unknown]]=0),1,0)</f>
        <v>0</v>
      </c>
      <c r="AF512">
        <f>IF(AND(vp.tbl[[#This Row],[CrudeType]]="Crude",vp.tbl[[#This Row],[Dens]]&gt;900,vp.tbl[[#This Row],[Sulf]]&lt;=0.5,vp.tbl[[#This Row],[Unknown]]=0),1,0)</f>
        <v>0</v>
      </c>
      <c r="AG512" t="str">
        <f>INDEX(vp.tbl[[#Headers],[Unknown]:[Heavy_SW]],MATCH(1,vp.tbl[[#This Row],[Unknown]:[Heavy_SW]],0))</f>
        <v>Medium_LSB</v>
      </c>
      <c r="AH512" t="e">
        <f>INDEX([1]!crudeBD.lkup[Number],MATCH(vp.tbl[[#This Row],[Crude_Breakdown]],[1]!crudeBD.lkup[Crude Breakdown],0))</f>
        <v>#REF!</v>
      </c>
      <c r="AI512">
        <f>MONTH(vp.tbl[[#This Row],[SDate]])</f>
        <v>1</v>
      </c>
      <c r="AJ512" s="5">
        <f>IFERROR(vp.tbl[[#This Row],[Sulf]]*vp.tbl[[#This Row],[Net Dens]],"")</f>
        <v>5769235.5822059996</v>
      </c>
      <c r="AK512" s="5">
        <f>IFERROR(vp.tbl[[#This Row],[Dens]]*vp.tbl[[#This Row],[VolumeM3]],"")</f>
        <v>3871970.1893999996</v>
      </c>
      <c r="AL512" s="5">
        <f>IFERROR(vp.tbl[[#This Row],[VP]]*vp.tbl[[#This Row],[VolumeM3]],"")</f>
        <v>301375.46789999999</v>
      </c>
      <c r="AM512" s="4">
        <f>IFERROR((vp.tbl[[#This Row],[VP]]-INDEX(crudeBD.lkup.complete[Mean_VP],MATCH(vp.tbl[[#This Row],[Crude_Breakdown]],crudeBD.lkup.complete[Crude Breakdown],0)))^2,"")</f>
        <v>192.47663646787279</v>
      </c>
      <c r="AN512" s="4">
        <f>IFERROR((vp.tbl[[#This Row],[Dens]]-INDEX(crudeBD.lkup.complete[Mean_Dens],MATCH(vp.tbl[[#This Row],[Crude_Breakdown]],crudeBD.lkup.complete[Crude Breakdown],0)))^2,"")</f>
        <v>42.356370664328843</v>
      </c>
      <c r="AO512" s="4">
        <f>IFERROR((vp.tbl[[#This Row],[Sulf]]-INDEX(crudeBD.lkup.complete[Mean_Sulf],MATCH(vp.tbl[[#This Row],[Crude_Breakdown]],crudeBD.lkup.complete[Crude Breakdown],0)))^2,"")</f>
        <v>1.2299146663483974E-3</v>
      </c>
      <c r="AP512">
        <f>IF(AND(vp.tbl[[#This Row],[SDate]]&gt;=DATE(YEAR(vp.tbl[[#This Row],[SDate]]),5,1),vp.tbl[[#This Row],[SDate]]&lt;=DATE(YEAR(vp.tbl[[#This Row],[SDate]]),9,15)),1,0)</f>
        <v>0</v>
      </c>
      <c r="AQ512" s="15">
        <f>IF(vp.tbl[[#This Row],[SDate]]&lt;DATE(2016,12,1),0,1)</f>
        <v>1</v>
      </c>
    </row>
    <row r="513" spans="1:43" x14ac:dyDescent="0.25">
      <c r="A513">
        <v>512</v>
      </c>
      <c r="B513" t="s">
        <v>68</v>
      </c>
      <c r="C513" t="s">
        <v>68</v>
      </c>
      <c r="D513" t="s">
        <v>69</v>
      </c>
      <c r="F513" s="1">
        <v>42739</v>
      </c>
      <c r="G513" s="2">
        <v>80.2</v>
      </c>
      <c r="H513" s="2"/>
      <c r="I513" s="2">
        <v>1.78</v>
      </c>
      <c r="J513" s="2">
        <v>8.6999999999999993</v>
      </c>
      <c r="K513" s="2">
        <v>-23</v>
      </c>
      <c r="L513" s="2">
        <v>860.9</v>
      </c>
      <c r="M513" s="2">
        <v>860.9</v>
      </c>
      <c r="N513" s="2">
        <f ca="1">INDEX(INDIRECT(_xlfn.CONCAT("weather.tbl[",N$1,"]")),MATCH(vp.tbl[[#This Row],[SDate]],weather.tbl[Date],0))</f>
        <v>-22.716666666666669</v>
      </c>
      <c r="O513" s="2">
        <f ca="1">INDEX(INDIRECT(_xlfn.CONCAT("weather.tbl[",O$1,"]")),MATCH(vp.tbl[[#This Row],[SDate]],weather.tbl[Date],0))</f>
        <v>-15.738095238095241</v>
      </c>
      <c r="P513" s="2">
        <f ca="1">INDEX(INDIRECT(_xlfn.CONCAT("weather.tbl[",P$1,"]")),MATCH(vp.tbl[[#This Row],[SDate]],weather.tbl[Date],0))</f>
        <v>-22.2</v>
      </c>
      <c r="Q513" s="2">
        <f ca="1">INDEX(INDIRECT(_xlfn.CONCAT("weather.tbl[",Q$1,"]")),MATCH(vp.tbl[[#This Row],[SDate]],weather.tbl[Date],0))</f>
        <v>-21.6</v>
      </c>
      <c r="R513" s="2">
        <f ca="1">INDEX(INDIRECT(_xlfn.CONCAT("weather.tbl[",R$1,"]")),MATCH(vp.tbl[[#This Row],[SDate]],weather.tbl[Date],0))</f>
        <v>-24</v>
      </c>
      <c r="S513" s="2">
        <f ca="1">INDEX(INDIRECT(_xlfn.CONCAT("weather.tbl[",S$1,"]")),MATCH(vp.tbl[[#This Row],[SDate]],weather.tbl[Date],0))</f>
        <v>-20.7</v>
      </c>
      <c r="T513" s="2">
        <f ca="1">INDEX(INDIRECT(_xlfn.CONCAT("weather.tbl[",T$1,"]")),MATCH(vp.tbl[[#This Row],[SDate]],weather.tbl[Date],0))</f>
        <v>-24.5</v>
      </c>
      <c r="U513" s="2">
        <f ca="1">INDEX(INDIRECT(_xlfn.CONCAT("weather.tbl[",U$1,"]")),MATCH(vp.tbl[[#This Row],[SDate]],weather.tbl[Date],0))</f>
        <v>-23.3</v>
      </c>
      <c r="V513" s="2">
        <v>1452.5409999999999</v>
      </c>
      <c r="W513" t="s">
        <v>48</v>
      </c>
      <c r="X513">
        <f>IF(OR(vp.tbl[[#This Row],[Sulf]]="",vp.tbl[[#This Row],[Dens]]=""),1,0)</f>
        <v>0</v>
      </c>
      <c r="Y513">
        <f>IF(vp.tbl[[#This Row],[CrudeType]]="C5+",1,0)</f>
        <v>0</v>
      </c>
      <c r="Z513">
        <f>IF(AND(vp.tbl[[#This Row],[CrudeType]]="Crude",vp.tbl[[#This Row],[Dens]]&lt;=825,vp.tbl[[#This Row],[Sulf]]&gt;0.5,vp.tbl[[#This Row],[Unknown]]=0),1,0)</f>
        <v>0</v>
      </c>
      <c r="AA513">
        <f>IF(AND(vp.tbl[[#This Row],[CrudeType]]="Crude",vp.tbl[[#This Row],[Dens]]&lt;=825,vp.tbl[[#This Row],[Sulf]]&lt;=0.5,vp.tbl[[#This Row],[Unknown]]=0),1,0)</f>
        <v>0</v>
      </c>
      <c r="AB513">
        <f>IF(AND(vp.tbl[[#This Row],[CrudeType]]="Crude",vp.tbl[[#This Row],[Dens]]&gt;825,vp.tbl[[#This Row],[Dens]]&lt;=870,vp.tbl[[#This Row],[Sulf]]&gt;0.5,vp.tbl[[#This Row],[Unknown]]=0),1,0)</f>
        <v>1</v>
      </c>
      <c r="AC513">
        <f>IF(AND(vp.tbl[[#This Row],[CrudeType]]="Crude",vp.tbl[[#This Row],[Dens]]&gt;825,vp.tbl[[#This Row],[Dens]]&lt;=900,vp.tbl[[#This Row],[Sulf]]&lt;=0.5,vp.tbl[[#This Row],[Unknown]]=0),1,0)</f>
        <v>0</v>
      </c>
      <c r="AD513">
        <f>IF(AND(vp.tbl[[#This Row],[CrudeType]]="Crude",vp.tbl[[#This Row],[Dens]]&gt;870,vp.tbl[[#This Row],[Dens]]&lt;=900,vp.tbl[[#This Row],[Sulf]]&gt;0.5,vp.tbl[[#This Row],[Unknown]]=0),1,0)</f>
        <v>0</v>
      </c>
      <c r="AE513">
        <f>IF(AND(vp.tbl[[#This Row],[CrudeType]]="Crude",vp.tbl[[#This Row],[Dens]]&gt;900,vp.tbl[[#This Row],[Sulf]]&lt;=0.5,vp.tbl[[#This Row],[Unknown]]=0),1,0)</f>
        <v>0</v>
      </c>
      <c r="AF513">
        <f>IF(AND(vp.tbl[[#This Row],[CrudeType]]="Crude",vp.tbl[[#This Row],[Dens]]&gt;900,vp.tbl[[#This Row],[Sulf]]&lt;=0.5,vp.tbl[[#This Row],[Unknown]]=0),1,0)</f>
        <v>0</v>
      </c>
      <c r="AG513" t="str">
        <f>INDEX(vp.tbl[[#Headers],[Unknown]:[Heavy_SW]],MATCH(1,vp.tbl[[#This Row],[Unknown]:[Heavy_SW]],0))</f>
        <v>Medium_LSB</v>
      </c>
      <c r="AH513" t="e">
        <f>INDEX([1]!crudeBD.lkup[Number],MATCH(vp.tbl[[#This Row],[Crude_Breakdown]],[1]!crudeBD.lkup[Crude Breakdown],0))</f>
        <v>#REF!</v>
      </c>
      <c r="AI513">
        <f>MONTH(vp.tbl[[#This Row],[SDate]])</f>
        <v>1</v>
      </c>
      <c r="AJ513" s="5">
        <f>IFERROR(vp.tbl[[#This Row],[Sulf]]*vp.tbl[[#This Row],[Net Dens]],"")</f>
        <v>2225876.733482</v>
      </c>
      <c r="AK513" s="5">
        <f>IFERROR(vp.tbl[[#This Row],[Dens]]*vp.tbl[[#This Row],[VolumeM3]],"")</f>
        <v>1250492.5469</v>
      </c>
      <c r="AL513" s="5">
        <f>IFERROR(vp.tbl[[#This Row],[VP]]*vp.tbl[[#This Row],[VolumeM3]],"")</f>
        <v>116493.7882</v>
      </c>
      <c r="AM513" s="4">
        <f>IFERROR((vp.tbl[[#This Row],[VP]]-INDEX(crudeBD.lkup.complete[Mean_VP],MATCH(vp.tbl[[#This Row],[Crude_Breakdown]],crudeBD.lkup.complete[Crude Breakdown],0)))^2,"")</f>
        <v>6.9722736741116749E-4</v>
      </c>
      <c r="AN513" s="4">
        <f>IFERROR((vp.tbl[[#This Row],[Dens]]-INDEX(crudeBD.lkup.complete[Mean_Dens],MATCH(vp.tbl[[#This Row],[Crude_Breakdown]],crudeBD.lkup.complete[Crude Breakdown],0)))^2,"")</f>
        <v>243.61519598080233</v>
      </c>
      <c r="AO513" s="4">
        <f>IFERROR((vp.tbl[[#This Row],[Sulf]]-INDEX(crudeBD.lkup.complete[Mean_Sulf],MATCH(vp.tbl[[#This Row],[Crude_Breakdown]],crudeBD.lkup.complete[Crude Breakdown],0)))^2,"")</f>
        <v>0.10567059542584123</v>
      </c>
      <c r="AP513">
        <f>IF(AND(vp.tbl[[#This Row],[SDate]]&gt;=DATE(YEAR(vp.tbl[[#This Row],[SDate]]),5,1),vp.tbl[[#This Row],[SDate]]&lt;=DATE(YEAR(vp.tbl[[#This Row],[SDate]]),9,15)),1,0)</f>
        <v>0</v>
      </c>
      <c r="AQ513" s="15">
        <f>IF(vp.tbl[[#This Row],[SDate]]&lt;DATE(2016,12,1),0,1)</f>
        <v>1</v>
      </c>
    </row>
    <row r="514" spans="1:43" x14ac:dyDescent="0.25">
      <c r="A514">
        <v>513</v>
      </c>
      <c r="B514" t="s">
        <v>49</v>
      </c>
      <c r="C514" t="s">
        <v>49</v>
      </c>
      <c r="D514" t="s">
        <v>75</v>
      </c>
      <c r="F514" s="1">
        <v>42740</v>
      </c>
      <c r="G514" s="2">
        <v>104.5</v>
      </c>
      <c r="H514" s="2"/>
      <c r="I514" s="2">
        <v>0.26</v>
      </c>
      <c r="J514" s="2">
        <v>20.6</v>
      </c>
      <c r="K514" s="2">
        <v>-25</v>
      </c>
      <c r="L514" s="2">
        <v>801.8</v>
      </c>
      <c r="M514" s="2">
        <v>801.8</v>
      </c>
      <c r="N514" s="2">
        <f ca="1">INDEX(INDIRECT(_xlfn.CONCAT("weather.tbl[",N$1,"]")),MATCH(vp.tbl[[#This Row],[SDate]],weather.tbl[Date],0))</f>
        <v>-21.916666666666668</v>
      </c>
      <c r="O514" s="2">
        <f ca="1">INDEX(INDIRECT(_xlfn.CONCAT("weather.tbl[",O$1,"]")),MATCH(vp.tbl[[#This Row],[SDate]],weather.tbl[Date],0))</f>
        <v>-17.411904761904765</v>
      </c>
      <c r="P514" s="2">
        <f ca="1">INDEX(INDIRECT(_xlfn.CONCAT("weather.tbl[",P$1,"]")),MATCH(vp.tbl[[#This Row],[SDate]],weather.tbl[Date],0))</f>
        <v>-22.1</v>
      </c>
      <c r="Q514" s="2">
        <f ca="1">INDEX(INDIRECT(_xlfn.CONCAT("weather.tbl[",Q$1,"]")),MATCH(vp.tbl[[#This Row],[SDate]],weather.tbl[Date],0))</f>
        <v>-21.1</v>
      </c>
      <c r="R514" s="2">
        <f ca="1">INDEX(INDIRECT(_xlfn.CONCAT("weather.tbl[",R$1,"]")),MATCH(vp.tbl[[#This Row],[SDate]],weather.tbl[Date],0))</f>
        <v>-23.8</v>
      </c>
      <c r="S514" s="2">
        <f ca="1">INDEX(INDIRECT(_xlfn.CONCAT("weather.tbl[",S$1,"]")),MATCH(vp.tbl[[#This Row],[SDate]],weather.tbl[Date],0))</f>
        <v>-19.3</v>
      </c>
      <c r="T514" s="2">
        <f ca="1">INDEX(INDIRECT(_xlfn.CONCAT("weather.tbl[",T$1,"]")),MATCH(vp.tbl[[#This Row],[SDate]],weather.tbl[Date],0))</f>
        <v>-23.2</v>
      </c>
      <c r="U514" s="2">
        <f ca="1">INDEX(INDIRECT(_xlfn.CONCAT("weather.tbl[",U$1,"]")),MATCH(vp.tbl[[#This Row],[SDate]],weather.tbl[Date],0))</f>
        <v>-22</v>
      </c>
      <c r="V514" s="2">
        <v>12738.714</v>
      </c>
      <c r="W514" t="s">
        <v>48</v>
      </c>
      <c r="X514">
        <f>IF(OR(vp.tbl[[#This Row],[Sulf]]="",vp.tbl[[#This Row],[Dens]]=""),1,0)</f>
        <v>0</v>
      </c>
      <c r="Y514">
        <f>IF(vp.tbl[[#This Row],[CrudeType]]="C5+",1,0)</f>
        <v>0</v>
      </c>
      <c r="Z514">
        <f>IF(AND(vp.tbl[[#This Row],[CrudeType]]="Crude",vp.tbl[[#This Row],[Dens]]&lt;=825,vp.tbl[[#This Row],[Sulf]]&gt;0.5,vp.tbl[[#This Row],[Unknown]]=0),1,0)</f>
        <v>0</v>
      </c>
      <c r="AA514">
        <f>IF(AND(vp.tbl[[#This Row],[CrudeType]]="Crude",vp.tbl[[#This Row],[Dens]]&lt;=825,vp.tbl[[#This Row],[Sulf]]&lt;=0.5,vp.tbl[[#This Row],[Unknown]]=0),1,0)</f>
        <v>1</v>
      </c>
      <c r="AB514">
        <f>IF(AND(vp.tbl[[#This Row],[CrudeType]]="Crude",vp.tbl[[#This Row],[Dens]]&gt;825,vp.tbl[[#This Row],[Dens]]&lt;=870,vp.tbl[[#This Row],[Sulf]]&gt;0.5,vp.tbl[[#This Row],[Unknown]]=0),1,0)</f>
        <v>0</v>
      </c>
      <c r="AC514">
        <f>IF(AND(vp.tbl[[#This Row],[CrudeType]]="Crude",vp.tbl[[#This Row],[Dens]]&gt;825,vp.tbl[[#This Row],[Dens]]&lt;=900,vp.tbl[[#This Row],[Sulf]]&lt;=0.5,vp.tbl[[#This Row],[Unknown]]=0),1,0)</f>
        <v>0</v>
      </c>
      <c r="AD514">
        <f>IF(AND(vp.tbl[[#This Row],[CrudeType]]="Crude",vp.tbl[[#This Row],[Dens]]&gt;870,vp.tbl[[#This Row],[Dens]]&lt;=900,vp.tbl[[#This Row],[Sulf]]&gt;0.5,vp.tbl[[#This Row],[Unknown]]=0),1,0)</f>
        <v>0</v>
      </c>
      <c r="AE514">
        <f>IF(AND(vp.tbl[[#This Row],[CrudeType]]="Crude",vp.tbl[[#This Row],[Dens]]&gt;900,vp.tbl[[#This Row],[Sulf]]&lt;=0.5,vp.tbl[[#This Row],[Unknown]]=0),1,0)</f>
        <v>0</v>
      </c>
      <c r="AF514">
        <f>IF(AND(vp.tbl[[#This Row],[CrudeType]]="Crude",vp.tbl[[#This Row],[Dens]]&gt;900,vp.tbl[[#This Row],[Sulf]]&lt;=0.5,vp.tbl[[#This Row],[Unknown]]=0),1,0)</f>
        <v>0</v>
      </c>
      <c r="AG514" t="str">
        <f>INDEX(vp.tbl[[#Headers],[Unknown]:[Heavy_SW]],MATCH(1,vp.tbl[[#This Row],[Unknown]:[Heavy_SW]],0))</f>
        <v>Light_SW</v>
      </c>
      <c r="AH514" t="e">
        <f>INDEX([1]!crudeBD.lkup[Number],MATCH(vp.tbl[[#This Row],[Crude_Breakdown]],[1]!crudeBD.lkup[Crude Breakdown],0))</f>
        <v>#REF!</v>
      </c>
      <c r="AI514">
        <f>MONTH(vp.tbl[[#This Row],[SDate]])</f>
        <v>1</v>
      </c>
      <c r="AJ514" s="5">
        <f>IFERROR(vp.tbl[[#This Row],[Sulf]]*vp.tbl[[#This Row],[Net Dens]],"")</f>
        <v>2655614.2301519997</v>
      </c>
      <c r="AK514" s="5">
        <f>IFERROR(vp.tbl[[#This Row],[Dens]]*vp.tbl[[#This Row],[VolumeM3]],"")</f>
        <v>10213900.885199999</v>
      </c>
      <c r="AL514" s="5">
        <f>IFERROR(vp.tbl[[#This Row],[VP]]*vp.tbl[[#This Row],[VolumeM3]],"")</f>
        <v>1331195.6129999999</v>
      </c>
      <c r="AM514" s="4">
        <f>IFERROR((vp.tbl[[#This Row],[VP]]-INDEX(crudeBD.lkup.complete[Mean_VP],MATCH(vp.tbl[[#This Row],[Crude_Breakdown]],crudeBD.lkup.complete[Crude Breakdown],0)))^2,"")</f>
        <v>142.7950053248195</v>
      </c>
      <c r="AN514" s="4">
        <f>IFERROR((vp.tbl[[#This Row],[Dens]]-INDEX(crudeBD.lkup.complete[Mean_Dens],MATCH(vp.tbl[[#This Row],[Crude_Breakdown]],crudeBD.lkup.complete[Crude Breakdown],0)))^2,"")</f>
        <v>42.399609561847477</v>
      </c>
      <c r="AO514" s="4">
        <f>IFERROR((vp.tbl[[#This Row],[Sulf]]-INDEX(crudeBD.lkup.complete[Mean_Sulf],MATCH(vp.tbl[[#This Row],[Crude_Breakdown]],crudeBD.lkup.complete[Crude Breakdown],0)))^2,"")</f>
        <v>5.644515043280923E-4</v>
      </c>
      <c r="AP514">
        <f>IF(AND(vp.tbl[[#This Row],[SDate]]&gt;=DATE(YEAR(vp.tbl[[#This Row],[SDate]]),5,1),vp.tbl[[#This Row],[SDate]]&lt;=DATE(YEAR(vp.tbl[[#This Row],[SDate]]),9,15)),1,0)</f>
        <v>0</v>
      </c>
      <c r="AQ514" s="15">
        <f>IF(vp.tbl[[#This Row],[SDate]]&lt;DATE(2016,12,1),0,1)</f>
        <v>1</v>
      </c>
    </row>
    <row r="515" spans="1:43" x14ac:dyDescent="0.25">
      <c r="A515">
        <v>514</v>
      </c>
      <c r="B515" t="s">
        <v>62</v>
      </c>
      <c r="C515" t="s">
        <v>62</v>
      </c>
      <c r="D515" t="s">
        <v>79</v>
      </c>
      <c r="F515" s="1">
        <v>42740</v>
      </c>
      <c r="G515" s="2">
        <v>104.8</v>
      </c>
      <c r="H515" s="2"/>
      <c r="I515" s="2">
        <v>0.28000000000000003</v>
      </c>
      <c r="J515" s="2">
        <v>10.8</v>
      </c>
      <c r="K515" s="2">
        <v>-25</v>
      </c>
      <c r="L515" s="2">
        <v>806.3</v>
      </c>
      <c r="M515" s="2">
        <v>806.3</v>
      </c>
      <c r="N515" s="2">
        <f ca="1">INDEX(INDIRECT(_xlfn.CONCAT("weather.tbl[",N$1,"]")),MATCH(vp.tbl[[#This Row],[SDate]],weather.tbl[Date],0))</f>
        <v>-21.916666666666668</v>
      </c>
      <c r="O515" s="2">
        <f ca="1">INDEX(INDIRECT(_xlfn.CONCAT("weather.tbl[",O$1,"]")),MATCH(vp.tbl[[#This Row],[SDate]],weather.tbl[Date],0))</f>
        <v>-17.411904761904765</v>
      </c>
      <c r="P515" s="2">
        <f ca="1">INDEX(INDIRECT(_xlfn.CONCAT("weather.tbl[",P$1,"]")),MATCH(vp.tbl[[#This Row],[SDate]],weather.tbl[Date],0))</f>
        <v>-22.1</v>
      </c>
      <c r="Q515" s="2">
        <f ca="1">INDEX(INDIRECT(_xlfn.CONCAT("weather.tbl[",Q$1,"]")),MATCH(vp.tbl[[#This Row],[SDate]],weather.tbl[Date],0))</f>
        <v>-21.1</v>
      </c>
      <c r="R515" s="2">
        <f ca="1">INDEX(INDIRECT(_xlfn.CONCAT("weather.tbl[",R$1,"]")),MATCH(vp.tbl[[#This Row],[SDate]],weather.tbl[Date],0))</f>
        <v>-23.8</v>
      </c>
      <c r="S515" s="2">
        <f ca="1">INDEX(INDIRECT(_xlfn.CONCAT("weather.tbl[",S$1,"]")),MATCH(vp.tbl[[#This Row],[SDate]],weather.tbl[Date],0))</f>
        <v>-19.3</v>
      </c>
      <c r="T515" s="2">
        <f ca="1">INDEX(INDIRECT(_xlfn.CONCAT("weather.tbl[",T$1,"]")),MATCH(vp.tbl[[#This Row],[SDate]],weather.tbl[Date],0))</f>
        <v>-23.2</v>
      </c>
      <c r="U515" s="2">
        <f ca="1">INDEX(INDIRECT(_xlfn.CONCAT("weather.tbl[",U$1,"]")),MATCH(vp.tbl[[#This Row],[SDate]],weather.tbl[Date],0))</f>
        <v>-22</v>
      </c>
      <c r="V515" s="2">
        <v>14036.508</v>
      </c>
      <c r="W515" t="s">
        <v>48</v>
      </c>
      <c r="X515">
        <f>IF(OR(vp.tbl[[#This Row],[Sulf]]="",vp.tbl[[#This Row],[Dens]]=""),1,0)</f>
        <v>0</v>
      </c>
      <c r="Y515">
        <f>IF(vp.tbl[[#This Row],[CrudeType]]="C5+",1,0)</f>
        <v>0</v>
      </c>
      <c r="Z515">
        <f>IF(AND(vp.tbl[[#This Row],[CrudeType]]="Crude",vp.tbl[[#This Row],[Dens]]&lt;=825,vp.tbl[[#This Row],[Sulf]]&gt;0.5,vp.tbl[[#This Row],[Unknown]]=0),1,0)</f>
        <v>0</v>
      </c>
      <c r="AA515">
        <f>IF(AND(vp.tbl[[#This Row],[CrudeType]]="Crude",vp.tbl[[#This Row],[Dens]]&lt;=825,vp.tbl[[#This Row],[Sulf]]&lt;=0.5,vp.tbl[[#This Row],[Unknown]]=0),1,0)</f>
        <v>1</v>
      </c>
      <c r="AB515">
        <f>IF(AND(vp.tbl[[#This Row],[CrudeType]]="Crude",vp.tbl[[#This Row],[Dens]]&gt;825,vp.tbl[[#This Row],[Dens]]&lt;=870,vp.tbl[[#This Row],[Sulf]]&gt;0.5,vp.tbl[[#This Row],[Unknown]]=0),1,0)</f>
        <v>0</v>
      </c>
      <c r="AC515">
        <f>IF(AND(vp.tbl[[#This Row],[CrudeType]]="Crude",vp.tbl[[#This Row],[Dens]]&gt;825,vp.tbl[[#This Row],[Dens]]&lt;=900,vp.tbl[[#This Row],[Sulf]]&lt;=0.5,vp.tbl[[#This Row],[Unknown]]=0),1,0)</f>
        <v>0</v>
      </c>
      <c r="AD515">
        <f>IF(AND(vp.tbl[[#This Row],[CrudeType]]="Crude",vp.tbl[[#This Row],[Dens]]&gt;870,vp.tbl[[#This Row],[Dens]]&lt;=900,vp.tbl[[#This Row],[Sulf]]&gt;0.5,vp.tbl[[#This Row],[Unknown]]=0),1,0)</f>
        <v>0</v>
      </c>
      <c r="AE515">
        <f>IF(AND(vp.tbl[[#This Row],[CrudeType]]="Crude",vp.tbl[[#This Row],[Dens]]&gt;900,vp.tbl[[#This Row],[Sulf]]&lt;=0.5,vp.tbl[[#This Row],[Unknown]]=0),1,0)</f>
        <v>0</v>
      </c>
      <c r="AF515">
        <f>IF(AND(vp.tbl[[#This Row],[CrudeType]]="Crude",vp.tbl[[#This Row],[Dens]]&gt;900,vp.tbl[[#This Row],[Sulf]]&lt;=0.5,vp.tbl[[#This Row],[Unknown]]=0),1,0)</f>
        <v>0</v>
      </c>
      <c r="AG515" t="str">
        <f>INDEX(vp.tbl[[#Headers],[Unknown]:[Heavy_SW]],MATCH(1,vp.tbl[[#This Row],[Unknown]:[Heavy_SW]],0))</f>
        <v>Light_SW</v>
      </c>
      <c r="AH515" t="e">
        <f>INDEX([1]!crudeBD.lkup[Number],MATCH(vp.tbl[[#This Row],[Crude_Breakdown]],[1]!crudeBD.lkup[Crude Breakdown],0))</f>
        <v>#REF!</v>
      </c>
      <c r="AI515">
        <f>MONTH(vp.tbl[[#This Row],[SDate]])</f>
        <v>1</v>
      </c>
      <c r="AJ515" s="5">
        <f>IFERROR(vp.tbl[[#This Row],[Sulf]]*vp.tbl[[#This Row],[Net Dens]],"")</f>
        <v>3168938.1921120002</v>
      </c>
      <c r="AK515" s="5">
        <f>IFERROR(vp.tbl[[#This Row],[Dens]]*vp.tbl[[#This Row],[VolumeM3]],"")</f>
        <v>11317636.4004</v>
      </c>
      <c r="AL515" s="5">
        <f>IFERROR(vp.tbl[[#This Row],[VP]]*vp.tbl[[#This Row],[VolumeM3]],"")</f>
        <v>1471026.0384</v>
      </c>
      <c r="AM515" s="4">
        <f>IFERROR((vp.tbl[[#This Row],[VP]]-INDEX(crudeBD.lkup.complete[Mean_VP],MATCH(vp.tbl[[#This Row],[Crude_Breakdown]],crudeBD.lkup.complete[Crude Breakdown],0)))^2,"")</f>
        <v>150.05481717150934</v>
      </c>
      <c r="AN515" s="4">
        <f>IFERROR((vp.tbl[[#This Row],[Dens]]-INDEX(crudeBD.lkup.complete[Mean_Dens],MATCH(vp.tbl[[#This Row],[Crude_Breakdown]],crudeBD.lkup.complete[Crude Breakdown],0)))^2,"")</f>
        <v>4.0461252412915387</v>
      </c>
      <c r="AO515" s="4">
        <f>IFERROR((vp.tbl[[#This Row],[Sulf]]-INDEX(crudeBD.lkup.complete[Mean_Sulf],MATCH(vp.tbl[[#This Row],[Crude_Breakdown]],crudeBD.lkup.complete[Crude Breakdown],0)))^2,"")</f>
        <v>1.9147790304605045E-3</v>
      </c>
      <c r="AP515">
        <f>IF(AND(vp.tbl[[#This Row],[SDate]]&gt;=DATE(YEAR(vp.tbl[[#This Row],[SDate]]),5,1),vp.tbl[[#This Row],[SDate]]&lt;=DATE(YEAR(vp.tbl[[#This Row],[SDate]]),9,15)),1,0)</f>
        <v>0</v>
      </c>
      <c r="AQ515" s="15">
        <f>IF(vp.tbl[[#This Row],[SDate]]&lt;DATE(2016,12,1),0,1)</f>
        <v>1</v>
      </c>
    </row>
    <row r="516" spans="1:43" x14ac:dyDescent="0.25">
      <c r="A516">
        <v>515</v>
      </c>
      <c r="B516" t="s">
        <v>62</v>
      </c>
      <c r="C516" t="s">
        <v>62</v>
      </c>
      <c r="D516" t="s">
        <v>83</v>
      </c>
      <c r="F516" s="1">
        <v>42740</v>
      </c>
      <c r="G516" s="2">
        <v>93.5</v>
      </c>
      <c r="H516" s="2"/>
      <c r="I516" s="2">
        <v>0.17</v>
      </c>
      <c r="J516" s="2">
        <v>-3.6</v>
      </c>
      <c r="K516" s="2">
        <v>-25</v>
      </c>
      <c r="L516" s="2">
        <v>808.1</v>
      </c>
      <c r="M516" s="2">
        <v>808.1</v>
      </c>
      <c r="N516" s="2">
        <f ca="1">INDEX(INDIRECT(_xlfn.CONCAT("weather.tbl[",N$1,"]")),MATCH(vp.tbl[[#This Row],[SDate]],weather.tbl[Date],0))</f>
        <v>-21.916666666666668</v>
      </c>
      <c r="O516" s="2">
        <f ca="1">INDEX(INDIRECT(_xlfn.CONCAT("weather.tbl[",O$1,"]")),MATCH(vp.tbl[[#This Row],[SDate]],weather.tbl[Date],0))</f>
        <v>-17.411904761904765</v>
      </c>
      <c r="P516" s="2">
        <f ca="1">INDEX(INDIRECT(_xlfn.CONCAT("weather.tbl[",P$1,"]")),MATCH(vp.tbl[[#This Row],[SDate]],weather.tbl[Date],0))</f>
        <v>-22.1</v>
      </c>
      <c r="Q516" s="2">
        <f ca="1">INDEX(INDIRECT(_xlfn.CONCAT("weather.tbl[",Q$1,"]")),MATCH(vp.tbl[[#This Row],[SDate]],weather.tbl[Date],0))</f>
        <v>-21.1</v>
      </c>
      <c r="R516" s="2">
        <f ca="1">INDEX(INDIRECT(_xlfn.CONCAT("weather.tbl[",R$1,"]")),MATCH(vp.tbl[[#This Row],[SDate]],weather.tbl[Date],0))</f>
        <v>-23.8</v>
      </c>
      <c r="S516" s="2">
        <f ca="1">INDEX(INDIRECT(_xlfn.CONCAT("weather.tbl[",S$1,"]")),MATCH(vp.tbl[[#This Row],[SDate]],weather.tbl[Date],0))</f>
        <v>-19.3</v>
      </c>
      <c r="T516" s="2">
        <f ca="1">INDEX(INDIRECT(_xlfn.CONCAT("weather.tbl[",T$1,"]")),MATCH(vp.tbl[[#This Row],[SDate]],weather.tbl[Date],0))</f>
        <v>-23.2</v>
      </c>
      <c r="U516" s="2">
        <f ca="1">INDEX(INDIRECT(_xlfn.CONCAT("weather.tbl[",U$1,"]")),MATCH(vp.tbl[[#This Row],[SDate]],weather.tbl[Date],0))</f>
        <v>-22</v>
      </c>
      <c r="V516" s="2">
        <v>8873.2939999999999</v>
      </c>
      <c r="W516" t="s">
        <v>48</v>
      </c>
      <c r="X516">
        <f>IF(OR(vp.tbl[[#This Row],[Sulf]]="",vp.tbl[[#This Row],[Dens]]=""),1,0)</f>
        <v>0</v>
      </c>
      <c r="Y516">
        <f>IF(vp.tbl[[#This Row],[CrudeType]]="C5+",1,0)</f>
        <v>0</v>
      </c>
      <c r="Z516">
        <f>IF(AND(vp.tbl[[#This Row],[CrudeType]]="Crude",vp.tbl[[#This Row],[Dens]]&lt;=825,vp.tbl[[#This Row],[Sulf]]&gt;0.5,vp.tbl[[#This Row],[Unknown]]=0),1,0)</f>
        <v>0</v>
      </c>
      <c r="AA516">
        <f>IF(AND(vp.tbl[[#This Row],[CrudeType]]="Crude",vp.tbl[[#This Row],[Dens]]&lt;=825,vp.tbl[[#This Row],[Sulf]]&lt;=0.5,vp.tbl[[#This Row],[Unknown]]=0),1,0)</f>
        <v>1</v>
      </c>
      <c r="AB516">
        <f>IF(AND(vp.tbl[[#This Row],[CrudeType]]="Crude",vp.tbl[[#This Row],[Dens]]&gt;825,vp.tbl[[#This Row],[Dens]]&lt;=870,vp.tbl[[#This Row],[Sulf]]&gt;0.5,vp.tbl[[#This Row],[Unknown]]=0),1,0)</f>
        <v>0</v>
      </c>
      <c r="AC516">
        <f>IF(AND(vp.tbl[[#This Row],[CrudeType]]="Crude",vp.tbl[[#This Row],[Dens]]&gt;825,vp.tbl[[#This Row],[Dens]]&lt;=900,vp.tbl[[#This Row],[Sulf]]&lt;=0.5,vp.tbl[[#This Row],[Unknown]]=0),1,0)</f>
        <v>0</v>
      </c>
      <c r="AD516">
        <f>IF(AND(vp.tbl[[#This Row],[CrudeType]]="Crude",vp.tbl[[#This Row],[Dens]]&gt;870,vp.tbl[[#This Row],[Dens]]&lt;=900,vp.tbl[[#This Row],[Sulf]]&gt;0.5,vp.tbl[[#This Row],[Unknown]]=0),1,0)</f>
        <v>0</v>
      </c>
      <c r="AE516">
        <f>IF(AND(vp.tbl[[#This Row],[CrudeType]]="Crude",vp.tbl[[#This Row],[Dens]]&gt;900,vp.tbl[[#This Row],[Sulf]]&lt;=0.5,vp.tbl[[#This Row],[Unknown]]=0),1,0)</f>
        <v>0</v>
      </c>
      <c r="AF516">
        <f>IF(AND(vp.tbl[[#This Row],[CrudeType]]="Crude",vp.tbl[[#This Row],[Dens]]&gt;900,vp.tbl[[#This Row],[Sulf]]&lt;=0.5,vp.tbl[[#This Row],[Unknown]]=0),1,0)</f>
        <v>0</v>
      </c>
      <c r="AG516" t="str">
        <f>INDEX(vp.tbl[[#Headers],[Unknown]:[Heavy_SW]],MATCH(1,vp.tbl[[#This Row],[Unknown]:[Heavy_SW]],0))</f>
        <v>Light_SW</v>
      </c>
      <c r="AH516" t="e">
        <f>INDEX([1]!crudeBD.lkup[Number],MATCH(vp.tbl[[#This Row],[Crude_Breakdown]],[1]!crudeBD.lkup[Crude Breakdown],0))</f>
        <v>#REF!</v>
      </c>
      <c r="AI516">
        <f>MONTH(vp.tbl[[#This Row],[SDate]])</f>
        <v>1</v>
      </c>
      <c r="AJ516" s="5">
        <f>IFERROR(vp.tbl[[#This Row],[Sulf]]*vp.tbl[[#This Row],[Net Dens]],"")</f>
        <v>1218986.5098380002</v>
      </c>
      <c r="AK516" s="5">
        <f>IFERROR(vp.tbl[[#This Row],[Dens]]*vp.tbl[[#This Row],[VolumeM3]],"")</f>
        <v>7170508.8814000003</v>
      </c>
      <c r="AL516" s="5">
        <f>IFERROR(vp.tbl[[#This Row],[VP]]*vp.tbl[[#This Row],[VolumeM3]],"")</f>
        <v>829652.98899999994</v>
      </c>
      <c r="AM516" s="4">
        <f>IFERROR((vp.tbl[[#This Row],[VP]]-INDEX(crudeBD.lkup.complete[Mean_VP],MATCH(vp.tbl[[#This Row],[Crude_Breakdown]],crudeBD.lkup.complete[Crude Breakdown],0)))^2,"")</f>
        <v>0.90190427952269203</v>
      </c>
      <c r="AN516" s="4">
        <f>IFERROR((vp.tbl[[#This Row],[Dens]]-INDEX(crudeBD.lkup.complete[Mean_Dens],MATCH(vp.tbl[[#This Row],[Crude_Breakdown]],crudeBD.lkup.complete[Crude Breakdown],0)))^2,"")</f>
        <v>4.473151306913524E-2</v>
      </c>
      <c r="AO516" s="4">
        <f>IFERROR((vp.tbl[[#This Row],[Sulf]]-INDEX(crudeBD.lkup.complete[Mean_Sulf],MATCH(vp.tbl[[#This Row],[Crude_Breakdown]],crudeBD.lkup.complete[Crude Breakdown],0)))^2,"")</f>
        <v>4.3879776367322437E-3</v>
      </c>
      <c r="AP516">
        <f>IF(AND(vp.tbl[[#This Row],[SDate]]&gt;=DATE(YEAR(vp.tbl[[#This Row],[SDate]]),5,1),vp.tbl[[#This Row],[SDate]]&lt;=DATE(YEAR(vp.tbl[[#This Row],[SDate]]),9,15)),1,0)</f>
        <v>0</v>
      </c>
      <c r="AQ516" s="15">
        <f>IF(vp.tbl[[#This Row],[SDate]]&lt;DATE(2016,12,1),0,1)</f>
        <v>1</v>
      </c>
    </row>
    <row r="517" spans="1:43" x14ac:dyDescent="0.25">
      <c r="A517">
        <v>516</v>
      </c>
      <c r="B517" t="s">
        <v>49</v>
      </c>
      <c r="C517" t="s">
        <v>49</v>
      </c>
      <c r="D517" t="s">
        <v>67</v>
      </c>
      <c r="F517" s="1">
        <v>42740</v>
      </c>
      <c r="G517" s="2">
        <v>115.1</v>
      </c>
      <c r="H517" s="2"/>
      <c r="I517" s="2">
        <v>0.59</v>
      </c>
      <c r="J517" s="2">
        <v>0.3</v>
      </c>
      <c r="K517" s="2">
        <v>-25</v>
      </c>
      <c r="L517" s="2">
        <v>811.6</v>
      </c>
      <c r="M517" s="2">
        <v>811.6</v>
      </c>
      <c r="N517" s="2">
        <f ca="1">INDEX(INDIRECT(_xlfn.CONCAT("weather.tbl[",N$1,"]")),MATCH(vp.tbl[[#This Row],[SDate]],weather.tbl[Date],0))</f>
        <v>-21.916666666666668</v>
      </c>
      <c r="O517" s="2">
        <f ca="1">INDEX(INDIRECT(_xlfn.CONCAT("weather.tbl[",O$1,"]")),MATCH(vp.tbl[[#This Row],[SDate]],weather.tbl[Date],0))</f>
        <v>-17.411904761904765</v>
      </c>
      <c r="P517" s="2">
        <f ca="1">INDEX(INDIRECT(_xlfn.CONCAT("weather.tbl[",P$1,"]")),MATCH(vp.tbl[[#This Row],[SDate]],weather.tbl[Date],0))</f>
        <v>-22.1</v>
      </c>
      <c r="Q517" s="2">
        <f ca="1">INDEX(INDIRECT(_xlfn.CONCAT("weather.tbl[",Q$1,"]")),MATCH(vp.tbl[[#This Row],[SDate]],weather.tbl[Date],0))</f>
        <v>-21.1</v>
      </c>
      <c r="R517" s="2">
        <f ca="1">INDEX(INDIRECT(_xlfn.CONCAT("weather.tbl[",R$1,"]")),MATCH(vp.tbl[[#This Row],[SDate]],weather.tbl[Date],0))</f>
        <v>-23.8</v>
      </c>
      <c r="S517" s="2">
        <f ca="1">INDEX(INDIRECT(_xlfn.CONCAT("weather.tbl[",S$1,"]")),MATCH(vp.tbl[[#This Row],[SDate]],weather.tbl[Date],0))</f>
        <v>-19.3</v>
      </c>
      <c r="T517" s="2">
        <f ca="1">INDEX(INDIRECT(_xlfn.CONCAT("weather.tbl[",T$1,"]")),MATCH(vp.tbl[[#This Row],[SDate]],weather.tbl[Date],0))</f>
        <v>-23.2</v>
      </c>
      <c r="U517" s="2">
        <f ca="1">INDEX(INDIRECT(_xlfn.CONCAT("weather.tbl[",U$1,"]")),MATCH(vp.tbl[[#This Row],[SDate]],weather.tbl[Date],0))</f>
        <v>-22</v>
      </c>
      <c r="V517" s="2">
        <v>122139.87</v>
      </c>
      <c r="W517" t="s">
        <v>48</v>
      </c>
      <c r="X517">
        <f>IF(OR(vp.tbl[[#This Row],[Sulf]]="",vp.tbl[[#This Row],[Dens]]=""),1,0)</f>
        <v>0</v>
      </c>
      <c r="Y517">
        <f>IF(vp.tbl[[#This Row],[CrudeType]]="C5+",1,0)</f>
        <v>0</v>
      </c>
      <c r="Z517">
        <f>IF(AND(vp.tbl[[#This Row],[CrudeType]]="Crude",vp.tbl[[#This Row],[Dens]]&lt;=825,vp.tbl[[#This Row],[Sulf]]&gt;0.5,vp.tbl[[#This Row],[Unknown]]=0),1,0)</f>
        <v>1</v>
      </c>
      <c r="AA517">
        <f>IF(AND(vp.tbl[[#This Row],[CrudeType]]="Crude",vp.tbl[[#This Row],[Dens]]&lt;=825,vp.tbl[[#This Row],[Sulf]]&lt;=0.5,vp.tbl[[#This Row],[Unknown]]=0),1,0)</f>
        <v>0</v>
      </c>
      <c r="AB517">
        <f>IF(AND(vp.tbl[[#This Row],[CrudeType]]="Crude",vp.tbl[[#This Row],[Dens]]&gt;825,vp.tbl[[#This Row],[Dens]]&lt;=870,vp.tbl[[#This Row],[Sulf]]&gt;0.5,vp.tbl[[#This Row],[Unknown]]=0),1,0)</f>
        <v>0</v>
      </c>
      <c r="AC517">
        <f>IF(AND(vp.tbl[[#This Row],[CrudeType]]="Crude",vp.tbl[[#This Row],[Dens]]&gt;825,vp.tbl[[#This Row],[Dens]]&lt;=900,vp.tbl[[#This Row],[Sulf]]&lt;=0.5,vp.tbl[[#This Row],[Unknown]]=0),1,0)</f>
        <v>0</v>
      </c>
      <c r="AD517">
        <f>IF(AND(vp.tbl[[#This Row],[CrudeType]]="Crude",vp.tbl[[#This Row],[Dens]]&gt;870,vp.tbl[[#This Row],[Dens]]&lt;=900,vp.tbl[[#This Row],[Sulf]]&gt;0.5,vp.tbl[[#This Row],[Unknown]]=0),1,0)</f>
        <v>0</v>
      </c>
      <c r="AE517">
        <f>IF(AND(vp.tbl[[#This Row],[CrudeType]]="Crude",vp.tbl[[#This Row],[Dens]]&gt;900,vp.tbl[[#This Row],[Sulf]]&lt;=0.5,vp.tbl[[#This Row],[Unknown]]=0),1,0)</f>
        <v>0</v>
      </c>
      <c r="AF517">
        <f>IF(AND(vp.tbl[[#This Row],[CrudeType]]="Crude",vp.tbl[[#This Row],[Dens]]&gt;900,vp.tbl[[#This Row],[Sulf]]&lt;=0.5,vp.tbl[[#This Row],[Unknown]]=0),1,0)</f>
        <v>0</v>
      </c>
      <c r="AG517" t="str">
        <f>INDEX(vp.tbl[[#Headers],[Unknown]:[Heavy_SW]],MATCH(1,vp.tbl[[#This Row],[Unknown]:[Heavy_SW]],0))</f>
        <v>Light_LSB</v>
      </c>
      <c r="AH517" t="e">
        <f>INDEX([1]!crudeBD.lkup[Number],MATCH(vp.tbl[[#This Row],[Crude_Breakdown]],[1]!crudeBD.lkup[Crude Breakdown],0))</f>
        <v>#REF!</v>
      </c>
      <c r="AI517">
        <f>MONTH(vp.tbl[[#This Row],[SDate]])</f>
        <v>1</v>
      </c>
      <c r="AJ517" s="5">
        <f>IFERROR(vp.tbl[[#This Row],[Sulf]]*vp.tbl[[#This Row],[Net Dens]],"")</f>
        <v>58485943.910279997</v>
      </c>
      <c r="AK517" s="5">
        <f>IFERROR(vp.tbl[[#This Row],[Dens]]*vp.tbl[[#This Row],[VolumeM3]],"")</f>
        <v>99128718.491999999</v>
      </c>
      <c r="AL517" s="5">
        <f>IFERROR(vp.tbl[[#This Row],[VP]]*vp.tbl[[#This Row],[VolumeM3]],"")</f>
        <v>14058299.036999999</v>
      </c>
      <c r="AM517" s="4">
        <f>IFERROR((vp.tbl[[#This Row],[VP]]-INDEX(crudeBD.lkup.complete[Mean_VP],MATCH(vp.tbl[[#This Row],[Crude_Breakdown]],crudeBD.lkup.complete[Crude Breakdown],0)))^2,"")</f>
        <v>554.78217434371174</v>
      </c>
      <c r="AN517" s="4">
        <f>IFERROR((vp.tbl[[#This Row],[Dens]]-INDEX(crudeBD.lkup.complete[Mean_Dens],MATCH(vp.tbl[[#This Row],[Crude_Breakdown]],crudeBD.lkup.complete[Crude Breakdown],0)))^2,"")</f>
        <v>47.841703905239726</v>
      </c>
      <c r="AO517" s="4">
        <f>IFERROR((vp.tbl[[#This Row],[Sulf]]-INDEX(crudeBD.lkup.complete[Mean_Sulf],MATCH(vp.tbl[[#This Row],[Crude_Breakdown]],crudeBD.lkup.complete[Crude Breakdown],0)))^2,"")</f>
        <v>0.11086979897559178</v>
      </c>
      <c r="AP517">
        <f>IF(AND(vp.tbl[[#This Row],[SDate]]&gt;=DATE(YEAR(vp.tbl[[#This Row],[SDate]]),5,1),vp.tbl[[#This Row],[SDate]]&lt;=DATE(YEAR(vp.tbl[[#This Row],[SDate]]),9,15)),1,0)</f>
        <v>0</v>
      </c>
      <c r="AQ517" s="15">
        <f>IF(vp.tbl[[#This Row],[SDate]]&lt;DATE(2016,12,1),0,1)</f>
        <v>1</v>
      </c>
    </row>
    <row r="518" spans="1:43" x14ac:dyDescent="0.25">
      <c r="A518">
        <v>517</v>
      </c>
      <c r="B518" t="s">
        <v>49</v>
      </c>
      <c r="C518" t="s">
        <v>49</v>
      </c>
      <c r="D518" t="s">
        <v>100</v>
      </c>
      <c r="F518" s="1">
        <v>42740</v>
      </c>
      <c r="G518" s="2">
        <v>107.4</v>
      </c>
      <c r="H518" s="2"/>
      <c r="I518" s="2">
        <v>0.66</v>
      </c>
      <c r="J518" s="2">
        <v>1</v>
      </c>
      <c r="K518" s="2">
        <v>-25</v>
      </c>
      <c r="L518" s="2">
        <v>816.3</v>
      </c>
      <c r="M518" s="2">
        <v>816.3</v>
      </c>
      <c r="N518" s="2">
        <f ca="1">INDEX(INDIRECT(_xlfn.CONCAT("weather.tbl[",N$1,"]")),MATCH(vp.tbl[[#This Row],[SDate]],weather.tbl[Date],0))</f>
        <v>-21.916666666666668</v>
      </c>
      <c r="O518" s="2">
        <f ca="1">INDEX(INDIRECT(_xlfn.CONCAT("weather.tbl[",O$1,"]")),MATCH(vp.tbl[[#This Row],[SDate]],weather.tbl[Date],0))</f>
        <v>-17.411904761904765</v>
      </c>
      <c r="P518" s="2">
        <f ca="1">INDEX(INDIRECT(_xlfn.CONCAT("weather.tbl[",P$1,"]")),MATCH(vp.tbl[[#This Row],[SDate]],weather.tbl[Date],0))</f>
        <v>-22.1</v>
      </c>
      <c r="Q518" s="2">
        <f ca="1">INDEX(INDIRECT(_xlfn.CONCAT("weather.tbl[",Q$1,"]")),MATCH(vp.tbl[[#This Row],[SDate]],weather.tbl[Date],0))</f>
        <v>-21.1</v>
      </c>
      <c r="R518" s="2">
        <f ca="1">INDEX(INDIRECT(_xlfn.CONCAT("weather.tbl[",R$1,"]")),MATCH(vp.tbl[[#This Row],[SDate]],weather.tbl[Date],0))</f>
        <v>-23.8</v>
      </c>
      <c r="S518" s="2">
        <f ca="1">INDEX(INDIRECT(_xlfn.CONCAT("weather.tbl[",S$1,"]")),MATCH(vp.tbl[[#This Row],[SDate]],weather.tbl[Date],0))</f>
        <v>-19.3</v>
      </c>
      <c r="T518" s="2">
        <f ca="1">INDEX(INDIRECT(_xlfn.CONCAT("weather.tbl[",T$1,"]")),MATCH(vp.tbl[[#This Row],[SDate]],weather.tbl[Date],0))</f>
        <v>-23.2</v>
      </c>
      <c r="U518" s="2">
        <f ca="1">INDEX(INDIRECT(_xlfn.CONCAT("weather.tbl[",U$1,"]")),MATCH(vp.tbl[[#This Row],[SDate]],weather.tbl[Date],0))</f>
        <v>-22</v>
      </c>
      <c r="V518" s="2">
        <v>11216.892</v>
      </c>
      <c r="W518" t="s">
        <v>48</v>
      </c>
      <c r="X518">
        <f>IF(OR(vp.tbl[[#This Row],[Sulf]]="",vp.tbl[[#This Row],[Dens]]=""),1,0)</f>
        <v>0</v>
      </c>
      <c r="Y518">
        <f>IF(vp.tbl[[#This Row],[CrudeType]]="C5+",1,0)</f>
        <v>0</v>
      </c>
      <c r="Z518">
        <f>IF(AND(vp.tbl[[#This Row],[CrudeType]]="Crude",vp.tbl[[#This Row],[Dens]]&lt;=825,vp.tbl[[#This Row],[Sulf]]&gt;0.5,vp.tbl[[#This Row],[Unknown]]=0),1,0)</f>
        <v>1</v>
      </c>
      <c r="AA518">
        <f>IF(AND(vp.tbl[[#This Row],[CrudeType]]="Crude",vp.tbl[[#This Row],[Dens]]&lt;=825,vp.tbl[[#This Row],[Sulf]]&lt;=0.5,vp.tbl[[#This Row],[Unknown]]=0),1,0)</f>
        <v>0</v>
      </c>
      <c r="AB518">
        <f>IF(AND(vp.tbl[[#This Row],[CrudeType]]="Crude",vp.tbl[[#This Row],[Dens]]&gt;825,vp.tbl[[#This Row],[Dens]]&lt;=870,vp.tbl[[#This Row],[Sulf]]&gt;0.5,vp.tbl[[#This Row],[Unknown]]=0),1,0)</f>
        <v>0</v>
      </c>
      <c r="AC518">
        <f>IF(AND(vp.tbl[[#This Row],[CrudeType]]="Crude",vp.tbl[[#This Row],[Dens]]&gt;825,vp.tbl[[#This Row],[Dens]]&lt;=900,vp.tbl[[#This Row],[Sulf]]&lt;=0.5,vp.tbl[[#This Row],[Unknown]]=0),1,0)</f>
        <v>0</v>
      </c>
      <c r="AD518">
        <f>IF(AND(vp.tbl[[#This Row],[CrudeType]]="Crude",vp.tbl[[#This Row],[Dens]]&gt;870,vp.tbl[[#This Row],[Dens]]&lt;=900,vp.tbl[[#This Row],[Sulf]]&gt;0.5,vp.tbl[[#This Row],[Unknown]]=0),1,0)</f>
        <v>0</v>
      </c>
      <c r="AE518">
        <f>IF(AND(vp.tbl[[#This Row],[CrudeType]]="Crude",vp.tbl[[#This Row],[Dens]]&gt;900,vp.tbl[[#This Row],[Sulf]]&lt;=0.5,vp.tbl[[#This Row],[Unknown]]=0),1,0)</f>
        <v>0</v>
      </c>
      <c r="AF518">
        <f>IF(AND(vp.tbl[[#This Row],[CrudeType]]="Crude",vp.tbl[[#This Row],[Dens]]&gt;900,vp.tbl[[#This Row],[Sulf]]&lt;=0.5,vp.tbl[[#This Row],[Unknown]]=0),1,0)</f>
        <v>0</v>
      </c>
      <c r="AG518" t="str">
        <f>INDEX(vp.tbl[[#Headers],[Unknown]:[Heavy_SW]],MATCH(1,vp.tbl[[#This Row],[Unknown]:[Heavy_SW]],0))</f>
        <v>Light_LSB</v>
      </c>
      <c r="AH518" t="e">
        <f>INDEX([1]!crudeBD.lkup[Number],MATCH(vp.tbl[[#This Row],[Crude_Breakdown]],[1]!crudeBD.lkup[Crude Breakdown],0))</f>
        <v>#REF!</v>
      </c>
      <c r="AI518">
        <f>MONTH(vp.tbl[[#This Row],[SDate]])</f>
        <v>1</v>
      </c>
      <c r="AJ518" s="5">
        <f>IFERROR(vp.tbl[[#This Row],[Sulf]]*vp.tbl[[#This Row],[Net Dens]],"")</f>
        <v>6043190.3001360008</v>
      </c>
      <c r="AK518" s="5">
        <f>IFERROR(vp.tbl[[#This Row],[Dens]]*vp.tbl[[#This Row],[VolumeM3]],"")</f>
        <v>9156348.9396000002</v>
      </c>
      <c r="AL518" s="5">
        <f>IFERROR(vp.tbl[[#This Row],[VP]]*vp.tbl[[#This Row],[VolumeM3]],"")</f>
        <v>1204694.2008</v>
      </c>
      <c r="AM518" s="4">
        <f>IFERROR((vp.tbl[[#This Row],[VP]]-INDEX(crudeBD.lkup.complete[Mean_VP],MATCH(vp.tbl[[#This Row],[Crude_Breakdown]],crudeBD.lkup.complete[Crude Breakdown],0)))^2,"")</f>
        <v>251.34343207567142</v>
      </c>
      <c r="AN518" s="4">
        <f>IFERROR((vp.tbl[[#This Row],[Dens]]-INDEX(crudeBD.lkup.complete[Mean_Dens],MATCH(vp.tbl[[#This Row],[Crude_Breakdown]],crudeBD.lkup.complete[Crude Breakdown],0)))^2,"")</f>
        <v>4.9140681664115817</v>
      </c>
      <c r="AO518" s="4">
        <f>IFERROR((vp.tbl[[#This Row],[Sulf]]-INDEX(crudeBD.lkup.complete[Mean_Sulf],MATCH(vp.tbl[[#This Row],[Crude_Breakdown]],crudeBD.lkup.complete[Crude Breakdown],0)))^2,"")</f>
        <v>6.9153835401708622E-2</v>
      </c>
      <c r="AP518">
        <f>IF(AND(vp.tbl[[#This Row],[SDate]]&gt;=DATE(YEAR(vp.tbl[[#This Row],[SDate]]),5,1),vp.tbl[[#This Row],[SDate]]&lt;=DATE(YEAR(vp.tbl[[#This Row],[SDate]]),9,15)),1,0)</f>
        <v>0</v>
      </c>
      <c r="AQ518" s="15">
        <f>IF(vp.tbl[[#This Row],[SDate]]&lt;DATE(2016,12,1),0,1)</f>
        <v>1</v>
      </c>
    </row>
    <row r="519" spans="1:43" x14ac:dyDescent="0.25">
      <c r="A519">
        <v>518</v>
      </c>
      <c r="B519" t="s">
        <v>49</v>
      </c>
      <c r="C519" t="s">
        <v>49</v>
      </c>
      <c r="D519" t="s">
        <v>89</v>
      </c>
      <c r="F519" s="1">
        <v>42740</v>
      </c>
      <c r="G519" s="2">
        <v>102.9</v>
      </c>
      <c r="H519" s="2"/>
      <c r="I519" s="2">
        <v>0.7</v>
      </c>
      <c r="J519" s="2">
        <v>1.8</v>
      </c>
      <c r="K519" s="2">
        <v>-25</v>
      </c>
      <c r="L519" s="2">
        <v>817</v>
      </c>
      <c r="M519" s="2">
        <v>817</v>
      </c>
      <c r="N519" s="2">
        <f ca="1">INDEX(INDIRECT(_xlfn.CONCAT("weather.tbl[",N$1,"]")),MATCH(vp.tbl[[#This Row],[SDate]],weather.tbl[Date],0))</f>
        <v>-21.916666666666668</v>
      </c>
      <c r="O519" s="2">
        <f ca="1">INDEX(INDIRECT(_xlfn.CONCAT("weather.tbl[",O$1,"]")),MATCH(vp.tbl[[#This Row],[SDate]],weather.tbl[Date],0))</f>
        <v>-17.411904761904765</v>
      </c>
      <c r="P519" s="2">
        <f ca="1">INDEX(INDIRECT(_xlfn.CONCAT("weather.tbl[",P$1,"]")),MATCH(vp.tbl[[#This Row],[SDate]],weather.tbl[Date],0))</f>
        <v>-22.1</v>
      </c>
      <c r="Q519" s="2">
        <f ca="1">INDEX(INDIRECT(_xlfn.CONCAT("weather.tbl[",Q$1,"]")),MATCH(vp.tbl[[#This Row],[SDate]],weather.tbl[Date],0))</f>
        <v>-21.1</v>
      </c>
      <c r="R519" s="2">
        <f ca="1">INDEX(INDIRECT(_xlfn.CONCAT("weather.tbl[",R$1,"]")),MATCH(vp.tbl[[#This Row],[SDate]],weather.tbl[Date],0))</f>
        <v>-23.8</v>
      </c>
      <c r="S519" s="2">
        <f ca="1">INDEX(INDIRECT(_xlfn.CONCAT("weather.tbl[",S$1,"]")),MATCH(vp.tbl[[#This Row],[SDate]],weather.tbl[Date],0))</f>
        <v>-19.3</v>
      </c>
      <c r="T519" s="2">
        <f ca="1">INDEX(INDIRECT(_xlfn.CONCAT("weather.tbl[",T$1,"]")),MATCH(vp.tbl[[#This Row],[SDate]],weather.tbl[Date],0))</f>
        <v>-23.2</v>
      </c>
      <c r="U519" s="2">
        <f ca="1">INDEX(INDIRECT(_xlfn.CONCAT("weather.tbl[",U$1,"]")),MATCH(vp.tbl[[#This Row],[SDate]],weather.tbl[Date],0))</f>
        <v>-22</v>
      </c>
      <c r="V519" s="2">
        <v>6179.5609999999997</v>
      </c>
      <c r="W519" t="s">
        <v>48</v>
      </c>
      <c r="X519">
        <f>IF(OR(vp.tbl[[#This Row],[Sulf]]="",vp.tbl[[#This Row],[Dens]]=""),1,0)</f>
        <v>0</v>
      </c>
      <c r="Y519">
        <f>IF(vp.tbl[[#This Row],[CrudeType]]="C5+",1,0)</f>
        <v>0</v>
      </c>
      <c r="Z519">
        <f>IF(AND(vp.tbl[[#This Row],[CrudeType]]="Crude",vp.tbl[[#This Row],[Dens]]&lt;=825,vp.tbl[[#This Row],[Sulf]]&gt;0.5,vp.tbl[[#This Row],[Unknown]]=0),1,0)</f>
        <v>1</v>
      </c>
      <c r="AA519">
        <f>IF(AND(vp.tbl[[#This Row],[CrudeType]]="Crude",vp.tbl[[#This Row],[Dens]]&lt;=825,vp.tbl[[#This Row],[Sulf]]&lt;=0.5,vp.tbl[[#This Row],[Unknown]]=0),1,0)</f>
        <v>0</v>
      </c>
      <c r="AB519">
        <f>IF(AND(vp.tbl[[#This Row],[CrudeType]]="Crude",vp.tbl[[#This Row],[Dens]]&gt;825,vp.tbl[[#This Row],[Dens]]&lt;=870,vp.tbl[[#This Row],[Sulf]]&gt;0.5,vp.tbl[[#This Row],[Unknown]]=0),1,0)</f>
        <v>0</v>
      </c>
      <c r="AC519">
        <f>IF(AND(vp.tbl[[#This Row],[CrudeType]]="Crude",vp.tbl[[#This Row],[Dens]]&gt;825,vp.tbl[[#This Row],[Dens]]&lt;=900,vp.tbl[[#This Row],[Sulf]]&lt;=0.5,vp.tbl[[#This Row],[Unknown]]=0),1,0)</f>
        <v>0</v>
      </c>
      <c r="AD519">
        <f>IF(AND(vp.tbl[[#This Row],[CrudeType]]="Crude",vp.tbl[[#This Row],[Dens]]&gt;870,vp.tbl[[#This Row],[Dens]]&lt;=900,vp.tbl[[#This Row],[Sulf]]&gt;0.5,vp.tbl[[#This Row],[Unknown]]=0),1,0)</f>
        <v>0</v>
      </c>
      <c r="AE519">
        <f>IF(AND(vp.tbl[[#This Row],[CrudeType]]="Crude",vp.tbl[[#This Row],[Dens]]&gt;900,vp.tbl[[#This Row],[Sulf]]&lt;=0.5,vp.tbl[[#This Row],[Unknown]]=0),1,0)</f>
        <v>0</v>
      </c>
      <c r="AF519">
        <f>IF(AND(vp.tbl[[#This Row],[CrudeType]]="Crude",vp.tbl[[#This Row],[Dens]]&gt;900,vp.tbl[[#This Row],[Sulf]]&lt;=0.5,vp.tbl[[#This Row],[Unknown]]=0),1,0)</f>
        <v>0</v>
      </c>
      <c r="AG519" t="str">
        <f>INDEX(vp.tbl[[#Headers],[Unknown]:[Heavy_SW]],MATCH(1,vp.tbl[[#This Row],[Unknown]:[Heavy_SW]],0))</f>
        <v>Light_LSB</v>
      </c>
      <c r="AH519" t="e">
        <f>INDEX([1]!crudeBD.lkup[Number],MATCH(vp.tbl[[#This Row],[Crude_Breakdown]],[1]!crudeBD.lkup[Crude Breakdown],0))</f>
        <v>#REF!</v>
      </c>
      <c r="AI519">
        <f>MONTH(vp.tbl[[#This Row],[SDate]])</f>
        <v>1</v>
      </c>
      <c r="AJ519" s="5">
        <f>IFERROR(vp.tbl[[#This Row],[Sulf]]*vp.tbl[[#This Row],[Net Dens]],"")</f>
        <v>3534090.9358999995</v>
      </c>
      <c r="AK519" s="5">
        <f>IFERROR(vp.tbl[[#This Row],[Dens]]*vp.tbl[[#This Row],[VolumeM3]],"")</f>
        <v>5048701.3369999994</v>
      </c>
      <c r="AL519" s="5">
        <f>IFERROR(vp.tbl[[#This Row],[VP]]*vp.tbl[[#This Row],[VolumeM3]],"")</f>
        <v>635876.82689999999</v>
      </c>
      <c r="AM519" s="4">
        <f>IFERROR((vp.tbl[[#This Row],[VP]]-INDEX(crudeBD.lkup.complete[Mean_VP],MATCH(vp.tbl[[#This Row],[Crude_Breakdown]],crudeBD.lkup.complete[Crude Breakdown],0)))^2,"")</f>
        <v>128.90910217876444</v>
      </c>
      <c r="AN519" s="4">
        <f>IFERROR((vp.tbl[[#This Row],[Dens]]-INDEX(crudeBD.lkup.complete[Mean_Dens],MATCH(vp.tbl[[#This Row],[Crude_Breakdown]],crudeBD.lkup.complete[Crude Breakdown],0)))^2,"")</f>
        <v>2.3005905031815792</v>
      </c>
      <c r="AO519" s="4">
        <f>IFERROR((vp.tbl[[#This Row],[Sulf]]-INDEX(crudeBD.lkup.complete[Mean_Sulf],MATCH(vp.tbl[[#This Row],[Crude_Breakdown]],crudeBD.lkup.complete[Crude Breakdown],0)))^2,"")</f>
        <v>4.9716141930918292E-2</v>
      </c>
      <c r="AP519">
        <f>IF(AND(vp.tbl[[#This Row],[SDate]]&gt;=DATE(YEAR(vp.tbl[[#This Row],[SDate]]),5,1),vp.tbl[[#This Row],[SDate]]&lt;=DATE(YEAR(vp.tbl[[#This Row],[SDate]]),9,15)),1,0)</f>
        <v>0</v>
      </c>
      <c r="AQ519" s="15">
        <f>IF(vp.tbl[[#This Row],[SDate]]&lt;DATE(2016,12,1),0,1)</f>
        <v>1</v>
      </c>
    </row>
    <row r="520" spans="1:43" x14ac:dyDescent="0.25">
      <c r="A520">
        <v>519</v>
      </c>
      <c r="B520" t="s">
        <v>49</v>
      </c>
      <c r="C520" t="s">
        <v>49</v>
      </c>
      <c r="D520" t="s">
        <v>80</v>
      </c>
      <c r="F520" s="1">
        <v>42740</v>
      </c>
      <c r="G520" s="2">
        <v>95</v>
      </c>
      <c r="H520" s="2"/>
      <c r="I520" s="2">
        <v>0.59</v>
      </c>
      <c r="J520" s="2">
        <v>2</v>
      </c>
      <c r="K520" s="2">
        <v>-25</v>
      </c>
      <c r="L520" s="2">
        <v>817.5</v>
      </c>
      <c r="M520" s="2">
        <v>817.5</v>
      </c>
      <c r="N520" s="2">
        <f ca="1">INDEX(INDIRECT(_xlfn.CONCAT("weather.tbl[",N$1,"]")),MATCH(vp.tbl[[#This Row],[SDate]],weather.tbl[Date],0))</f>
        <v>-21.916666666666668</v>
      </c>
      <c r="O520" s="2">
        <f ca="1">INDEX(INDIRECT(_xlfn.CONCAT("weather.tbl[",O$1,"]")),MATCH(vp.tbl[[#This Row],[SDate]],weather.tbl[Date],0))</f>
        <v>-17.411904761904765</v>
      </c>
      <c r="P520" s="2">
        <f ca="1">INDEX(INDIRECT(_xlfn.CONCAT("weather.tbl[",P$1,"]")),MATCH(vp.tbl[[#This Row],[SDate]],weather.tbl[Date],0))</f>
        <v>-22.1</v>
      </c>
      <c r="Q520" s="2">
        <f ca="1">INDEX(INDIRECT(_xlfn.CONCAT("weather.tbl[",Q$1,"]")),MATCH(vp.tbl[[#This Row],[SDate]],weather.tbl[Date],0))</f>
        <v>-21.1</v>
      </c>
      <c r="R520" s="2">
        <f ca="1">INDEX(INDIRECT(_xlfn.CONCAT("weather.tbl[",R$1,"]")),MATCH(vp.tbl[[#This Row],[SDate]],weather.tbl[Date],0))</f>
        <v>-23.8</v>
      </c>
      <c r="S520" s="2">
        <f ca="1">INDEX(INDIRECT(_xlfn.CONCAT("weather.tbl[",S$1,"]")),MATCH(vp.tbl[[#This Row],[SDate]],weather.tbl[Date],0))</f>
        <v>-19.3</v>
      </c>
      <c r="T520" s="2">
        <f ca="1">INDEX(INDIRECT(_xlfn.CONCAT("weather.tbl[",T$1,"]")),MATCH(vp.tbl[[#This Row],[SDate]],weather.tbl[Date],0))</f>
        <v>-23.2</v>
      </c>
      <c r="U520" s="2">
        <f ca="1">INDEX(INDIRECT(_xlfn.CONCAT("weather.tbl[",U$1,"]")),MATCH(vp.tbl[[#This Row],[SDate]],weather.tbl[Date],0))</f>
        <v>-22</v>
      </c>
      <c r="V520" s="2">
        <v>21030.911</v>
      </c>
      <c r="W520" t="s">
        <v>48</v>
      </c>
      <c r="X520">
        <f>IF(OR(vp.tbl[[#This Row],[Sulf]]="",vp.tbl[[#This Row],[Dens]]=""),1,0)</f>
        <v>0</v>
      </c>
      <c r="Y520">
        <f>IF(vp.tbl[[#This Row],[CrudeType]]="C5+",1,0)</f>
        <v>0</v>
      </c>
      <c r="Z520">
        <f>IF(AND(vp.tbl[[#This Row],[CrudeType]]="Crude",vp.tbl[[#This Row],[Dens]]&lt;=825,vp.tbl[[#This Row],[Sulf]]&gt;0.5,vp.tbl[[#This Row],[Unknown]]=0),1,0)</f>
        <v>1</v>
      </c>
      <c r="AA520">
        <f>IF(AND(vp.tbl[[#This Row],[CrudeType]]="Crude",vp.tbl[[#This Row],[Dens]]&lt;=825,vp.tbl[[#This Row],[Sulf]]&lt;=0.5,vp.tbl[[#This Row],[Unknown]]=0),1,0)</f>
        <v>0</v>
      </c>
      <c r="AB520">
        <f>IF(AND(vp.tbl[[#This Row],[CrudeType]]="Crude",vp.tbl[[#This Row],[Dens]]&gt;825,vp.tbl[[#This Row],[Dens]]&lt;=870,vp.tbl[[#This Row],[Sulf]]&gt;0.5,vp.tbl[[#This Row],[Unknown]]=0),1,0)</f>
        <v>0</v>
      </c>
      <c r="AC520">
        <f>IF(AND(vp.tbl[[#This Row],[CrudeType]]="Crude",vp.tbl[[#This Row],[Dens]]&gt;825,vp.tbl[[#This Row],[Dens]]&lt;=900,vp.tbl[[#This Row],[Sulf]]&lt;=0.5,vp.tbl[[#This Row],[Unknown]]=0),1,0)</f>
        <v>0</v>
      </c>
      <c r="AD520">
        <f>IF(AND(vp.tbl[[#This Row],[CrudeType]]="Crude",vp.tbl[[#This Row],[Dens]]&gt;870,vp.tbl[[#This Row],[Dens]]&lt;=900,vp.tbl[[#This Row],[Sulf]]&gt;0.5,vp.tbl[[#This Row],[Unknown]]=0),1,0)</f>
        <v>0</v>
      </c>
      <c r="AE520">
        <f>IF(AND(vp.tbl[[#This Row],[CrudeType]]="Crude",vp.tbl[[#This Row],[Dens]]&gt;900,vp.tbl[[#This Row],[Sulf]]&lt;=0.5,vp.tbl[[#This Row],[Unknown]]=0),1,0)</f>
        <v>0</v>
      </c>
      <c r="AF520">
        <f>IF(AND(vp.tbl[[#This Row],[CrudeType]]="Crude",vp.tbl[[#This Row],[Dens]]&gt;900,vp.tbl[[#This Row],[Sulf]]&lt;=0.5,vp.tbl[[#This Row],[Unknown]]=0),1,0)</f>
        <v>0</v>
      </c>
      <c r="AG520" t="str">
        <f>INDEX(vp.tbl[[#Headers],[Unknown]:[Heavy_SW]],MATCH(1,vp.tbl[[#This Row],[Unknown]:[Heavy_SW]],0))</f>
        <v>Light_LSB</v>
      </c>
      <c r="AH520" t="e">
        <f>INDEX([1]!crudeBD.lkup[Number],MATCH(vp.tbl[[#This Row],[Crude_Breakdown]],[1]!crudeBD.lkup[Crude Breakdown],0))</f>
        <v>#REF!</v>
      </c>
      <c r="AI520">
        <f>MONTH(vp.tbl[[#This Row],[SDate]])</f>
        <v>1</v>
      </c>
      <c r="AJ520" s="5">
        <f>IFERROR(vp.tbl[[#This Row],[Sulf]]*vp.tbl[[#This Row],[Net Dens]],"")</f>
        <v>10143734.148074999</v>
      </c>
      <c r="AK520" s="5">
        <f>IFERROR(vp.tbl[[#This Row],[Dens]]*vp.tbl[[#This Row],[VolumeM3]],"")</f>
        <v>17192769.7425</v>
      </c>
      <c r="AL520" s="5">
        <f>IFERROR(vp.tbl[[#This Row],[VP]]*vp.tbl[[#This Row],[VolumeM3]],"")</f>
        <v>1997936.5449999999</v>
      </c>
      <c r="AM520" s="4">
        <f>IFERROR((vp.tbl[[#This Row],[VP]]-INDEX(crudeBD.lkup.complete[Mean_VP],MATCH(vp.tbl[[#This Row],[Crude_Breakdown]],crudeBD.lkup.complete[Crude Breakdown],0)))^2,"")</f>
        <v>11.928834137527684</v>
      </c>
      <c r="AN520" s="4">
        <f>IFERROR((vp.tbl[[#This Row],[Dens]]-INDEX(crudeBD.lkup.complete[Mean_Dens],MATCH(vp.tbl[[#This Row],[Crude_Breakdown]],crudeBD.lkup.complete[Crude Breakdown],0)))^2,"")</f>
        <v>1.0338207437317215</v>
      </c>
      <c r="AO520" s="4">
        <f>IFERROR((vp.tbl[[#This Row],[Sulf]]-INDEX(crudeBD.lkup.complete[Mean_Sulf],MATCH(vp.tbl[[#This Row],[Crude_Breakdown]],crudeBD.lkup.complete[Crude Breakdown],0)))^2,"")</f>
        <v>0.11086979897559178</v>
      </c>
      <c r="AP520">
        <f>IF(AND(vp.tbl[[#This Row],[SDate]]&gt;=DATE(YEAR(vp.tbl[[#This Row],[SDate]]),5,1),vp.tbl[[#This Row],[SDate]]&lt;=DATE(YEAR(vp.tbl[[#This Row],[SDate]]),9,15)),1,0)</f>
        <v>0</v>
      </c>
      <c r="AQ520" s="15">
        <f>IF(vp.tbl[[#This Row],[SDate]]&lt;DATE(2016,12,1),0,1)</f>
        <v>1</v>
      </c>
    </row>
    <row r="521" spans="1:43" x14ac:dyDescent="0.25">
      <c r="A521">
        <v>520</v>
      </c>
      <c r="B521" t="s">
        <v>51</v>
      </c>
      <c r="C521" t="s">
        <v>51</v>
      </c>
      <c r="D521" t="s">
        <v>71</v>
      </c>
      <c r="F521" s="1">
        <v>42740</v>
      </c>
      <c r="G521" s="2">
        <v>94.8</v>
      </c>
      <c r="H521" s="2"/>
      <c r="I521" s="2">
        <v>1.42</v>
      </c>
      <c r="J521" s="2">
        <v>0</v>
      </c>
      <c r="K521" s="2">
        <v>-25</v>
      </c>
      <c r="L521" s="2">
        <v>820.6</v>
      </c>
      <c r="M521" s="2">
        <v>820.6</v>
      </c>
      <c r="N521" s="2">
        <f ca="1">INDEX(INDIRECT(_xlfn.CONCAT("weather.tbl[",N$1,"]")),MATCH(vp.tbl[[#This Row],[SDate]],weather.tbl[Date],0))</f>
        <v>-21.916666666666668</v>
      </c>
      <c r="O521" s="2">
        <f ca="1">INDEX(INDIRECT(_xlfn.CONCAT("weather.tbl[",O$1,"]")),MATCH(vp.tbl[[#This Row],[SDate]],weather.tbl[Date],0))</f>
        <v>-17.411904761904765</v>
      </c>
      <c r="P521" s="2">
        <f ca="1">INDEX(INDIRECT(_xlfn.CONCAT("weather.tbl[",P$1,"]")),MATCH(vp.tbl[[#This Row],[SDate]],weather.tbl[Date],0))</f>
        <v>-22.1</v>
      </c>
      <c r="Q521" s="2">
        <f ca="1">INDEX(INDIRECT(_xlfn.CONCAT("weather.tbl[",Q$1,"]")),MATCH(vp.tbl[[#This Row],[SDate]],weather.tbl[Date],0))</f>
        <v>-21.1</v>
      </c>
      <c r="R521" s="2">
        <f ca="1">INDEX(INDIRECT(_xlfn.CONCAT("weather.tbl[",R$1,"]")),MATCH(vp.tbl[[#This Row],[SDate]],weather.tbl[Date],0))</f>
        <v>-23.8</v>
      </c>
      <c r="S521" s="2">
        <f ca="1">INDEX(INDIRECT(_xlfn.CONCAT("weather.tbl[",S$1,"]")),MATCH(vp.tbl[[#This Row],[SDate]],weather.tbl[Date],0))</f>
        <v>-19.3</v>
      </c>
      <c r="T521" s="2">
        <f ca="1">INDEX(INDIRECT(_xlfn.CONCAT("weather.tbl[",T$1,"]")),MATCH(vp.tbl[[#This Row],[SDate]],weather.tbl[Date],0))</f>
        <v>-23.2</v>
      </c>
      <c r="U521" s="2">
        <f ca="1">INDEX(INDIRECT(_xlfn.CONCAT("weather.tbl[",U$1,"]")),MATCH(vp.tbl[[#This Row],[SDate]],weather.tbl[Date],0))</f>
        <v>-22</v>
      </c>
      <c r="V521" s="2">
        <v>7460.0540000000001</v>
      </c>
      <c r="W521" t="s">
        <v>48</v>
      </c>
      <c r="X521">
        <f>IF(OR(vp.tbl[[#This Row],[Sulf]]="",vp.tbl[[#This Row],[Dens]]=""),1,0)</f>
        <v>0</v>
      </c>
      <c r="Y521">
        <f>IF(vp.tbl[[#This Row],[CrudeType]]="C5+",1,0)</f>
        <v>0</v>
      </c>
      <c r="Z521">
        <f>IF(AND(vp.tbl[[#This Row],[CrudeType]]="Crude",vp.tbl[[#This Row],[Dens]]&lt;=825,vp.tbl[[#This Row],[Sulf]]&gt;0.5,vp.tbl[[#This Row],[Unknown]]=0),1,0)</f>
        <v>1</v>
      </c>
      <c r="AA521">
        <f>IF(AND(vp.tbl[[#This Row],[CrudeType]]="Crude",vp.tbl[[#This Row],[Dens]]&lt;=825,vp.tbl[[#This Row],[Sulf]]&lt;=0.5,vp.tbl[[#This Row],[Unknown]]=0),1,0)</f>
        <v>0</v>
      </c>
      <c r="AB521">
        <f>IF(AND(vp.tbl[[#This Row],[CrudeType]]="Crude",vp.tbl[[#This Row],[Dens]]&gt;825,vp.tbl[[#This Row],[Dens]]&lt;=870,vp.tbl[[#This Row],[Sulf]]&gt;0.5,vp.tbl[[#This Row],[Unknown]]=0),1,0)</f>
        <v>0</v>
      </c>
      <c r="AC521">
        <f>IF(AND(vp.tbl[[#This Row],[CrudeType]]="Crude",vp.tbl[[#This Row],[Dens]]&gt;825,vp.tbl[[#This Row],[Dens]]&lt;=900,vp.tbl[[#This Row],[Sulf]]&lt;=0.5,vp.tbl[[#This Row],[Unknown]]=0),1,0)</f>
        <v>0</v>
      </c>
      <c r="AD521">
        <f>IF(AND(vp.tbl[[#This Row],[CrudeType]]="Crude",vp.tbl[[#This Row],[Dens]]&gt;870,vp.tbl[[#This Row],[Dens]]&lt;=900,vp.tbl[[#This Row],[Sulf]]&gt;0.5,vp.tbl[[#This Row],[Unknown]]=0),1,0)</f>
        <v>0</v>
      </c>
      <c r="AE521">
        <f>IF(AND(vp.tbl[[#This Row],[CrudeType]]="Crude",vp.tbl[[#This Row],[Dens]]&gt;900,vp.tbl[[#This Row],[Sulf]]&lt;=0.5,vp.tbl[[#This Row],[Unknown]]=0),1,0)</f>
        <v>0</v>
      </c>
      <c r="AF521">
        <f>IF(AND(vp.tbl[[#This Row],[CrudeType]]="Crude",vp.tbl[[#This Row],[Dens]]&gt;900,vp.tbl[[#This Row],[Sulf]]&lt;=0.5,vp.tbl[[#This Row],[Unknown]]=0),1,0)</f>
        <v>0</v>
      </c>
      <c r="AG521" t="str">
        <f>INDEX(vp.tbl[[#Headers],[Unknown]:[Heavy_SW]],MATCH(1,vp.tbl[[#This Row],[Unknown]:[Heavy_SW]],0))</f>
        <v>Light_LSB</v>
      </c>
      <c r="AH521" t="e">
        <f>INDEX([1]!crudeBD.lkup[Number],MATCH(vp.tbl[[#This Row],[Crude_Breakdown]],[1]!crudeBD.lkup[Crude Breakdown],0))</f>
        <v>#REF!</v>
      </c>
      <c r="AI521">
        <f>MONTH(vp.tbl[[#This Row],[SDate]])</f>
        <v>1</v>
      </c>
      <c r="AJ521" s="5">
        <f>IFERROR(vp.tbl[[#This Row],[Sulf]]*vp.tbl[[#This Row],[Net Dens]],"")</f>
        <v>8692842.8436079994</v>
      </c>
      <c r="AK521" s="5">
        <f>IFERROR(vp.tbl[[#This Row],[Dens]]*vp.tbl[[#This Row],[VolumeM3]],"")</f>
        <v>6121720.3124000002</v>
      </c>
      <c r="AL521" s="5">
        <f>IFERROR(vp.tbl[[#This Row],[VP]]*vp.tbl[[#This Row],[VolumeM3]],"")</f>
        <v>707213.11919999996</v>
      </c>
      <c r="AM521" s="4">
        <f>IFERROR((vp.tbl[[#This Row],[VP]]-INDEX(crudeBD.lkup.complete[Mean_VP],MATCH(vp.tbl[[#This Row],[Crude_Breakdown]],crudeBD.lkup.complete[Crude Breakdown],0)))^2,"")</f>
        <v>10.587308364331802</v>
      </c>
      <c r="AN521" s="4">
        <f>IFERROR((vp.tbl[[#This Row],[Dens]]-INDEX(crudeBD.lkup.complete[Mean_Dens],MATCH(vp.tbl[[#This Row],[Crude_Breakdown]],crudeBD.lkup.complete[Crude Breakdown],0)))^2,"")</f>
        <v>4.3398482351426981</v>
      </c>
      <c r="AO521" s="4">
        <f>IFERROR((vp.tbl[[#This Row],[Sulf]]-INDEX(crudeBD.lkup.complete[Mean_Sulf],MATCH(vp.tbl[[#This Row],[Crude_Breakdown]],crudeBD.lkup.complete[Crude Breakdown],0)))^2,"")</f>
        <v>0.24703765945669176</v>
      </c>
      <c r="AP521">
        <f>IF(AND(vp.tbl[[#This Row],[SDate]]&gt;=DATE(YEAR(vp.tbl[[#This Row],[SDate]]),5,1),vp.tbl[[#This Row],[SDate]]&lt;=DATE(YEAR(vp.tbl[[#This Row],[SDate]]),9,15)),1,0)</f>
        <v>0</v>
      </c>
      <c r="AQ521" s="15">
        <f>IF(vp.tbl[[#This Row],[SDate]]&lt;DATE(2016,12,1),0,1)</f>
        <v>1</v>
      </c>
    </row>
    <row r="522" spans="1:43" x14ac:dyDescent="0.25">
      <c r="A522">
        <v>521</v>
      </c>
      <c r="B522" t="s">
        <v>49</v>
      </c>
      <c r="C522" t="s">
        <v>49</v>
      </c>
      <c r="D522" t="s">
        <v>105</v>
      </c>
      <c r="F522" s="1">
        <v>42740</v>
      </c>
      <c r="G522" s="2">
        <v>83.3</v>
      </c>
      <c r="H522" s="2"/>
      <c r="I522" s="2">
        <v>0.69</v>
      </c>
      <c r="J522" s="2">
        <v>24</v>
      </c>
      <c r="K522" s="2">
        <v>-25</v>
      </c>
      <c r="L522" s="2">
        <v>833.4</v>
      </c>
      <c r="M522" s="2">
        <v>833.4</v>
      </c>
      <c r="N522" s="2">
        <f ca="1">INDEX(INDIRECT(_xlfn.CONCAT("weather.tbl[",N$1,"]")),MATCH(vp.tbl[[#This Row],[SDate]],weather.tbl[Date],0))</f>
        <v>-21.916666666666668</v>
      </c>
      <c r="O522" s="2">
        <f ca="1">INDEX(INDIRECT(_xlfn.CONCAT("weather.tbl[",O$1,"]")),MATCH(vp.tbl[[#This Row],[SDate]],weather.tbl[Date],0))</f>
        <v>-17.411904761904765</v>
      </c>
      <c r="P522" s="2">
        <f ca="1">INDEX(INDIRECT(_xlfn.CONCAT("weather.tbl[",P$1,"]")),MATCH(vp.tbl[[#This Row],[SDate]],weather.tbl[Date],0))</f>
        <v>-22.1</v>
      </c>
      <c r="Q522" s="2">
        <f ca="1">INDEX(INDIRECT(_xlfn.CONCAT("weather.tbl[",Q$1,"]")),MATCH(vp.tbl[[#This Row],[SDate]],weather.tbl[Date],0))</f>
        <v>-21.1</v>
      </c>
      <c r="R522" s="2">
        <f ca="1">INDEX(INDIRECT(_xlfn.CONCAT("weather.tbl[",R$1,"]")),MATCH(vp.tbl[[#This Row],[SDate]],weather.tbl[Date],0))</f>
        <v>-23.8</v>
      </c>
      <c r="S522" s="2">
        <f ca="1">INDEX(INDIRECT(_xlfn.CONCAT("weather.tbl[",S$1,"]")),MATCH(vp.tbl[[#This Row],[SDate]],weather.tbl[Date],0))</f>
        <v>-19.3</v>
      </c>
      <c r="T522" s="2">
        <f ca="1">INDEX(INDIRECT(_xlfn.CONCAT("weather.tbl[",T$1,"]")),MATCH(vp.tbl[[#This Row],[SDate]],weather.tbl[Date],0))</f>
        <v>-23.2</v>
      </c>
      <c r="U522" s="2">
        <f ca="1">INDEX(INDIRECT(_xlfn.CONCAT("weather.tbl[",U$1,"]")),MATCH(vp.tbl[[#This Row],[SDate]],weather.tbl[Date],0))</f>
        <v>-22</v>
      </c>
      <c r="V522" s="2">
        <v>3870.518</v>
      </c>
      <c r="W522" t="s">
        <v>48</v>
      </c>
      <c r="X522">
        <f>IF(OR(vp.tbl[[#This Row],[Sulf]]="",vp.tbl[[#This Row],[Dens]]=""),1,0)</f>
        <v>0</v>
      </c>
      <c r="Y522">
        <f>IF(vp.tbl[[#This Row],[CrudeType]]="C5+",1,0)</f>
        <v>0</v>
      </c>
      <c r="Z522">
        <f>IF(AND(vp.tbl[[#This Row],[CrudeType]]="Crude",vp.tbl[[#This Row],[Dens]]&lt;=825,vp.tbl[[#This Row],[Sulf]]&gt;0.5,vp.tbl[[#This Row],[Unknown]]=0),1,0)</f>
        <v>0</v>
      </c>
      <c r="AA522">
        <f>IF(AND(vp.tbl[[#This Row],[CrudeType]]="Crude",vp.tbl[[#This Row],[Dens]]&lt;=825,vp.tbl[[#This Row],[Sulf]]&lt;=0.5,vp.tbl[[#This Row],[Unknown]]=0),1,0)</f>
        <v>0</v>
      </c>
      <c r="AB522">
        <f>IF(AND(vp.tbl[[#This Row],[CrudeType]]="Crude",vp.tbl[[#This Row],[Dens]]&gt;825,vp.tbl[[#This Row],[Dens]]&lt;=870,vp.tbl[[#This Row],[Sulf]]&gt;0.5,vp.tbl[[#This Row],[Unknown]]=0),1,0)</f>
        <v>1</v>
      </c>
      <c r="AC522">
        <f>IF(AND(vp.tbl[[#This Row],[CrudeType]]="Crude",vp.tbl[[#This Row],[Dens]]&gt;825,vp.tbl[[#This Row],[Dens]]&lt;=900,vp.tbl[[#This Row],[Sulf]]&lt;=0.5,vp.tbl[[#This Row],[Unknown]]=0),1,0)</f>
        <v>0</v>
      </c>
      <c r="AD522">
        <f>IF(AND(vp.tbl[[#This Row],[CrudeType]]="Crude",vp.tbl[[#This Row],[Dens]]&gt;870,vp.tbl[[#This Row],[Dens]]&lt;=900,vp.tbl[[#This Row],[Sulf]]&gt;0.5,vp.tbl[[#This Row],[Unknown]]=0),1,0)</f>
        <v>0</v>
      </c>
      <c r="AE522">
        <f>IF(AND(vp.tbl[[#This Row],[CrudeType]]="Crude",vp.tbl[[#This Row],[Dens]]&gt;900,vp.tbl[[#This Row],[Sulf]]&lt;=0.5,vp.tbl[[#This Row],[Unknown]]=0),1,0)</f>
        <v>0</v>
      </c>
      <c r="AF522">
        <f>IF(AND(vp.tbl[[#This Row],[CrudeType]]="Crude",vp.tbl[[#This Row],[Dens]]&gt;900,vp.tbl[[#This Row],[Sulf]]&lt;=0.5,vp.tbl[[#This Row],[Unknown]]=0),1,0)</f>
        <v>0</v>
      </c>
      <c r="AG522" t="str">
        <f>INDEX(vp.tbl[[#Headers],[Unknown]:[Heavy_SW]],MATCH(1,vp.tbl[[#This Row],[Unknown]:[Heavy_SW]],0))</f>
        <v>Medium_LSB</v>
      </c>
      <c r="AH522" t="e">
        <f>INDEX([1]!crudeBD.lkup[Number],MATCH(vp.tbl[[#This Row],[Crude_Breakdown]],[1]!crudeBD.lkup[Crude Breakdown],0))</f>
        <v>#REF!</v>
      </c>
      <c r="AI522">
        <f>MONTH(vp.tbl[[#This Row],[SDate]])</f>
        <v>1</v>
      </c>
      <c r="AJ522" s="5">
        <f>IFERROR(vp.tbl[[#This Row],[Sulf]]*vp.tbl[[#This Row],[Net Dens]],"")</f>
        <v>2225725.8938279999</v>
      </c>
      <c r="AK522" s="5">
        <f>IFERROR(vp.tbl[[#This Row],[Dens]]*vp.tbl[[#This Row],[VolumeM3]],"")</f>
        <v>3225689.7012</v>
      </c>
      <c r="AL522" s="5">
        <f>IFERROR(vp.tbl[[#This Row],[VP]]*vp.tbl[[#This Row],[VolumeM3]],"")</f>
        <v>322414.14939999999</v>
      </c>
      <c r="AM522" s="4">
        <f>IFERROR((vp.tbl[[#This Row],[VP]]-INDEX(crudeBD.lkup.complete[Mean_VP],MATCH(vp.tbl[[#This Row],[Crude_Breakdown]],crudeBD.lkup.complete[Crude Breakdown],0)))^2,"")</f>
        <v>9.7744086197726858</v>
      </c>
      <c r="AN522" s="4">
        <f>IFERROR((vp.tbl[[#This Row],[Dens]]-INDEX(crudeBD.lkup.complete[Mean_Dens],MATCH(vp.tbl[[#This Row],[Crude_Breakdown]],crudeBD.lkup.complete[Crude Breakdown],0)))^2,"")</f>
        <v>141.41544914530638</v>
      </c>
      <c r="AO522" s="4">
        <f>IFERROR((vp.tbl[[#This Row],[Sulf]]-INDEX(crudeBD.lkup.complete[Mean_Sulf],MATCH(vp.tbl[[#This Row],[Crude_Breakdown]],crudeBD.lkup.complete[Crude Breakdown],0)))^2,"")</f>
        <v>0.58511769188154072</v>
      </c>
      <c r="AP522">
        <f>IF(AND(vp.tbl[[#This Row],[SDate]]&gt;=DATE(YEAR(vp.tbl[[#This Row],[SDate]]),5,1),vp.tbl[[#This Row],[SDate]]&lt;=DATE(YEAR(vp.tbl[[#This Row],[SDate]]),9,15)),1,0)</f>
        <v>0</v>
      </c>
      <c r="AQ522" s="15">
        <f>IF(vp.tbl[[#This Row],[SDate]]&lt;DATE(2016,12,1),0,1)</f>
        <v>1</v>
      </c>
    </row>
    <row r="523" spans="1:43" x14ac:dyDescent="0.25">
      <c r="A523">
        <v>522</v>
      </c>
      <c r="B523" t="s">
        <v>111</v>
      </c>
      <c r="C523" t="s">
        <v>111</v>
      </c>
      <c r="D523" t="s">
        <v>112</v>
      </c>
      <c r="F523" s="1">
        <v>42740</v>
      </c>
      <c r="G523" s="2">
        <v>76</v>
      </c>
      <c r="H523" s="2"/>
      <c r="I523" s="2">
        <v>1.88</v>
      </c>
      <c r="J523" s="2">
        <v>24</v>
      </c>
      <c r="K523" s="2">
        <v>-25</v>
      </c>
      <c r="L523" s="2">
        <v>856.2</v>
      </c>
      <c r="M523" s="2">
        <v>856.2</v>
      </c>
      <c r="N523" s="2">
        <f ca="1">INDEX(INDIRECT(_xlfn.CONCAT("weather.tbl[",N$1,"]")),MATCH(vp.tbl[[#This Row],[SDate]],weather.tbl[Date],0))</f>
        <v>-21.916666666666668</v>
      </c>
      <c r="O523" s="2">
        <f ca="1">INDEX(INDIRECT(_xlfn.CONCAT("weather.tbl[",O$1,"]")),MATCH(vp.tbl[[#This Row],[SDate]],weather.tbl[Date],0))</f>
        <v>-17.411904761904765</v>
      </c>
      <c r="P523" s="2">
        <f ca="1">INDEX(INDIRECT(_xlfn.CONCAT("weather.tbl[",P$1,"]")),MATCH(vp.tbl[[#This Row],[SDate]],weather.tbl[Date],0))</f>
        <v>-22.1</v>
      </c>
      <c r="Q523" s="2">
        <f ca="1">INDEX(INDIRECT(_xlfn.CONCAT("weather.tbl[",Q$1,"]")),MATCH(vp.tbl[[#This Row],[SDate]],weather.tbl[Date],0))</f>
        <v>-21.1</v>
      </c>
      <c r="R523" s="2">
        <f ca="1">INDEX(INDIRECT(_xlfn.CONCAT("weather.tbl[",R$1,"]")),MATCH(vp.tbl[[#This Row],[SDate]],weather.tbl[Date],0))</f>
        <v>-23.8</v>
      </c>
      <c r="S523" s="2">
        <f ca="1">INDEX(INDIRECT(_xlfn.CONCAT("weather.tbl[",S$1,"]")),MATCH(vp.tbl[[#This Row],[SDate]],weather.tbl[Date],0))</f>
        <v>-19.3</v>
      </c>
      <c r="T523" s="2">
        <f ca="1">INDEX(INDIRECT(_xlfn.CONCAT("weather.tbl[",T$1,"]")),MATCH(vp.tbl[[#This Row],[SDate]],weather.tbl[Date],0))</f>
        <v>-23.2</v>
      </c>
      <c r="U523" s="2">
        <f ca="1">INDEX(INDIRECT(_xlfn.CONCAT("weather.tbl[",U$1,"]")),MATCH(vp.tbl[[#This Row],[SDate]],weather.tbl[Date],0))</f>
        <v>-22</v>
      </c>
      <c r="V523" s="2">
        <v>8057.5129999999999</v>
      </c>
      <c r="W523" t="s">
        <v>48</v>
      </c>
      <c r="X523">
        <f>IF(OR(vp.tbl[[#This Row],[Sulf]]="",vp.tbl[[#This Row],[Dens]]=""),1,0)</f>
        <v>0</v>
      </c>
      <c r="Y523">
        <f>IF(vp.tbl[[#This Row],[CrudeType]]="C5+",1,0)</f>
        <v>0</v>
      </c>
      <c r="Z523">
        <f>IF(AND(vp.tbl[[#This Row],[CrudeType]]="Crude",vp.tbl[[#This Row],[Dens]]&lt;=825,vp.tbl[[#This Row],[Sulf]]&gt;0.5,vp.tbl[[#This Row],[Unknown]]=0),1,0)</f>
        <v>0</v>
      </c>
      <c r="AA523">
        <f>IF(AND(vp.tbl[[#This Row],[CrudeType]]="Crude",vp.tbl[[#This Row],[Dens]]&lt;=825,vp.tbl[[#This Row],[Sulf]]&lt;=0.5,vp.tbl[[#This Row],[Unknown]]=0),1,0)</f>
        <v>0</v>
      </c>
      <c r="AB523">
        <f>IF(AND(vp.tbl[[#This Row],[CrudeType]]="Crude",vp.tbl[[#This Row],[Dens]]&gt;825,vp.tbl[[#This Row],[Dens]]&lt;=870,vp.tbl[[#This Row],[Sulf]]&gt;0.5,vp.tbl[[#This Row],[Unknown]]=0),1,0)</f>
        <v>1</v>
      </c>
      <c r="AC523">
        <f>IF(AND(vp.tbl[[#This Row],[CrudeType]]="Crude",vp.tbl[[#This Row],[Dens]]&gt;825,vp.tbl[[#This Row],[Dens]]&lt;=900,vp.tbl[[#This Row],[Sulf]]&lt;=0.5,vp.tbl[[#This Row],[Unknown]]=0),1,0)</f>
        <v>0</v>
      </c>
      <c r="AD523">
        <f>IF(AND(vp.tbl[[#This Row],[CrudeType]]="Crude",vp.tbl[[#This Row],[Dens]]&gt;870,vp.tbl[[#This Row],[Dens]]&lt;=900,vp.tbl[[#This Row],[Sulf]]&gt;0.5,vp.tbl[[#This Row],[Unknown]]=0),1,0)</f>
        <v>0</v>
      </c>
      <c r="AE523">
        <f>IF(AND(vp.tbl[[#This Row],[CrudeType]]="Crude",vp.tbl[[#This Row],[Dens]]&gt;900,vp.tbl[[#This Row],[Sulf]]&lt;=0.5,vp.tbl[[#This Row],[Unknown]]=0),1,0)</f>
        <v>0</v>
      </c>
      <c r="AF523">
        <f>IF(AND(vp.tbl[[#This Row],[CrudeType]]="Crude",vp.tbl[[#This Row],[Dens]]&gt;900,vp.tbl[[#This Row],[Sulf]]&lt;=0.5,vp.tbl[[#This Row],[Unknown]]=0),1,0)</f>
        <v>0</v>
      </c>
      <c r="AG523" t="str">
        <f>INDEX(vp.tbl[[#Headers],[Unknown]:[Heavy_SW]],MATCH(1,vp.tbl[[#This Row],[Unknown]:[Heavy_SW]],0))</f>
        <v>Medium_LSB</v>
      </c>
      <c r="AH523" t="e">
        <f>INDEX([1]!crudeBD.lkup[Number],MATCH(vp.tbl[[#This Row],[Crude_Breakdown]],[1]!crudeBD.lkup[Crude Breakdown],0))</f>
        <v>#REF!</v>
      </c>
      <c r="AI523">
        <f>MONTH(vp.tbl[[#This Row],[SDate]])</f>
        <v>1</v>
      </c>
      <c r="AJ523" s="5">
        <f>IFERROR(vp.tbl[[#This Row],[Sulf]]*vp.tbl[[#This Row],[Net Dens]],"")</f>
        <v>12969824.145528</v>
      </c>
      <c r="AK523" s="5">
        <f>IFERROR(vp.tbl[[#This Row],[Dens]]*vp.tbl[[#This Row],[VolumeM3]],"")</f>
        <v>6898842.6306000007</v>
      </c>
      <c r="AL523" s="5">
        <f>IFERROR(vp.tbl[[#This Row],[VP]]*vp.tbl[[#This Row],[VolumeM3]],"")</f>
        <v>612370.98800000001</v>
      </c>
      <c r="AM523" s="4">
        <f>IFERROR((vp.tbl[[#This Row],[VP]]-INDEX(crudeBD.lkup.complete[Mean_VP],MATCH(vp.tbl[[#This Row],[Crude_Breakdown]],crudeBD.lkup.complete[Crude Breakdown],0)))^2,"")</f>
        <v>17.41889469572153</v>
      </c>
      <c r="AN523" s="4">
        <f>IFERROR((vp.tbl[[#This Row],[Dens]]-INDEX(crudeBD.lkup.complete[Mean_Dens],MATCH(vp.tbl[[#This Row],[Crude_Breakdown]],crudeBD.lkup.complete[Crude Breakdown],0)))^2,"")</f>
        <v>118.98833015800997</v>
      </c>
      <c r="AO523" s="4">
        <f>IFERROR((vp.tbl[[#This Row],[Sulf]]-INDEX(crudeBD.lkup.complete[Mean_Sulf],MATCH(vp.tbl[[#This Row],[Crude_Breakdown]],crudeBD.lkup.complete[Crude Breakdown],0)))^2,"")</f>
        <v>0.18068462327394208</v>
      </c>
      <c r="AP523">
        <f>IF(AND(vp.tbl[[#This Row],[SDate]]&gt;=DATE(YEAR(vp.tbl[[#This Row],[SDate]]),5,1),vp.tbl[[#This Row],[SDate]]&lt;=DATE(YEAR(vp.tbl[[#This Row],[SDate]]),9,15)),1,0)</f>
        <v>0</v>
      </c>
      <c r="AQ523" s="15">
        <f>IF(vp.tbl[[#This Row],[SDate]]&lt;DATE(2016,12,1),0,1)</f>
        <v>1</v>
      </c>
    </row>
    <row r="524" spans="1:43" x14ac:dyDescent="0.25">
      <c r="A524">
        <v>523</v>
      </c>
      <c r="B524" t="s">
        <v>49</v>
      </c>
      <c r="C524" t="s">
        <v>49</v>
      </c>
      <c r="D524" t="s">
        <v>50</v>
      </c>
      <c r="F524" s="1">
        <v>42740</v>
      </c>
      <c r="G524" s="2">
        <v>72.5</v>
      </c>
      <c r="H524" s="2"/>
      <c r="I524" s="2">
        <v>2.68</v>
      </c>
      <c r="J524" s="2">
        <v>12.4</v>
      </c>
      <c r="K524" s="2">
        <v>-25</v>
      </c>
      <c r="L524" s="2">
        <v>875.3</v>
      </c>
      <c r="M524" s="2">
        <v>875.3</v>
      </c>
      <c r="N524" s="2">
        <f ca="1">INDEX(INDIRECT(_xlfn.CONCAT("weather.tbl[",N$1,"]")),MATCH(vp.tbl[[#This Row],[SDate]],weather.tbl[Date],0))</f>
        <v>-21.916666666666668</v>
      </c>
      <c r="O524" s="2">
        <f ca="1">INDEX(INDIRECT(_xlfn.CONCAT("weather.tbl[",O$1,"]")),MATCH(vp.tbl[[#This Row],[SDate]],weather.tbl[Date],0))</f>
        <v>-17.411904761904765</v>
      </c>
      <c r="P524" s="2">
        <f ca="1">INDEX(INDIRECT(_xlfn.CONCAT("weather.tbl[",P$1,"]")),MATCH(vp.tbl[[#This Row],[SDate]],weather.tbl[Date],0))</f>
        <v>-22.1</v>
      </c>
      <c r="Q524" s="2">
        <f ca="1">INDEX(INDIRECT(_xlfn.CONCAT("weather.tbl[",Q$1,"]")),MATCH(vp.tbl[[#This Row],[SDate]],weather.tbl[Date],0))</f>
        <v>-21.1</v>
      </c>
      <c r="R524" s="2">
        <f ca="1">INDEX(INDIRECT(_xlfn.CONCAT("weather.tbl[",R$1,"]")),MATCH(vp.tbl[[#This Row],[SDate]],weather.tbl[Date],0))</f>
        <v>-23.8</v>
      </c>
      <c r="S524" s="2">
        <f ca="1">INDEX(INDIRECT(_xlfn.CONCAT("weather.tbl[",S$1,"]")),MATCH(vp.tbl[[#This Row],[SDate]],weather.tbl[Date],0))</f>
        <v>-19.3</v>
      </c>
      <c r="T524" s="2">
        <f ca="1">INDEX(INDIRECT(_xlfn.CONCAT("weather.tbl[",T$1,"]")),MATCH(vp.tbl[[#This Row],[SDate]],weather.tbl[Date],0))</f>
        <v>-23.2</v>
      </c>
      <c r="U524" s="2">
        <f ca="1">INDEX(INDIRECT(_xlfn.CONCAT("weather.tbl[",U$1,"]")),MATCH(vp.tbl[[#This Row],[SDate]],weather.tbl[Date],0))</f>
        <v>-22</v>
      </c>
      <c r="V524" s="2">
        <v>5598.5039999999999</v>
      </c>
      <c r="W524" t="s">
        <v>48</v>
      </c>
      <c r="X524">
        <f>IF(OR(vp.tbl[[#This Row],[Sulf]]="",vp.tbl[[#This Row],[Dens]]=""),1,0)</f>
        <v>0</v>
      </c>
      <c r="Y524">
        <f>IF(vp.tbl[[#This Row],[CrudeType]]="C5+",1,0)</f>
        <v>0</v>
      </c>
      <c r="Z524">
        <f>IF(AND(vp.tbl[[#This Row],[CrudeType]]="Crude",vp.tbl[[#This Row],[Dens]]&lt;=825,vp.tbl[[#This Row],[Sulf]]&gt;0.5,vp.tbl[[#This Row],[Unknown]]=0),1,0)</f>
        <v>0</v>
      </c>
      <c r="AA524">
        <f>IF(AND(vp.tbl[[#This Row],[CrudeType]]="Crude",vp.tbl[[#This Row],[Dens]]&lt;=825,vp.tbl[[#This Row],[Sulf]]&lt;=0.5,vp.tbl[[#This Row],[Unknown]]=0),1,0)</f>
        <v>0</v>
      </c>
      <c r="AB524">
        <f>IF(AND(vp.tbl[[#This Row],[CrudeType]]="Crude",vp.tbl[[#This Row],[Dens]]&gt;825,vp.tbl[[#This Row],[Dens]]&lt;=870,vp.tbl[[#This Row],[Sulf]]&gt;0.5,vp.tbl[[#This Row],[Unknown]]=0),1,0)</f>
        <v>0</v>
      </c>
      <c r="AC524">
        <f>IF(AND(vp.tbl[[#This Row],[CrudeType]]="Crude",vp.tbl[[#This Row],[Dens]]&gt;825,vp.tbl[[#This Row],[Dens]]&lt;=900,vp.tbl[[#This Row],[Sulf]]&lt;=0.5,vp.tbl[[#This Row],[Unknown]]=0),1,0)</f>
        <v>0</v>
      </c>
      <c r="AD524">
        <f>IF(AND(vp.tbl[[#This Row],[CrudeType]]="Crude",vp.tbl[[#This Row],[Dens]]&gt;870,vp.tbl[[#This Row],[Dens]]&lt;=900,vp.tbl[[#This Row],[Sulf]]&gt;0.5,vp.tbl[[#This Row],[Unknown]]=0),1,0)</f>
        <v>1</v>
      </c>
      <c r="AE524">
        <f>IF(AND(vp.tbl[[#This Row],[CrudeType]]="Crude",vp.tbl[[#This Row],[Dens]]&gt;900,vp.tbl[[#This Row],[Sulf]]&lt;=0.5,vp.tbl[[#This Row],[Unknown]]=0),1,0)</f>
        <v>0</v>
      </c>
      <c r="AF524">
        <f>IF(AND(vp.tbl[[#This Row],[CrudeType]]="Crude",vp.tbl[[#This Row],[Dens]]&gt;900,vp.tbl[[#This Row],[Sulf]]&lt;=0.5,vp.tbl[[#This Row],[Unknown]]=0),1,0)</f>
        <v>0</v>
      </c>
      <c r="AG524" t="str">
        <f>INDEX(vp.tbl[[#Headers],[Unknown]:[Heavy_SW]],MATCH(1,vp.tbl[[#This Row],[Unknown]:[Heavy_SW]],0))</f>
        <v>Midale</v>
      </c>
      <c r="AH524" t="e">
        <f>INDEX([1]!crudeBD.lkup[Number],MATCH(vp.tbl[[#This Row],[Crude_Breakdown]],[1]!crudeBD.lkup[Crude Breakdown],0))</f>
        <v>#REF!</v>
      </c>
      <c r="AI524">
        <f>MONTH(vp.tbl[[#This Row],[SDate]])</f>
        <v>1</v>
      </c>
      <c r="AJ524" s="5">
        <f>IFERROR(vp.tbl[[#This Row],[Sulf]]*vp.tbl[[#This Row],[Net Dens]],"")</f>
        <v>13132993.077215999</v>
      </c>
      <c r="AK524" s="5">
        <f>IFERROR(vp.tbl[[#This Row],[Dens]]*vp.tbl[[#This Row],[VolumeM3]],"")</f>
        <v>4900370.5511999996</v>
      </c>
      <c r="AL524" s="5">
        <f>IFERROR(vp.tbl[[#This Row],[VP]]*vp.tbl[[#This Row],[VolumeM3]],"")</f>
        <v>405891.54</v>
      </c>
      <c r="AM524" s="4">
        <f>IFERROR((vp.tbl[[#This Row],[VP]]-INDEX(crudeBD.lkup.complete[Mean_VP],MATCH(vp.tbl[[#This Row],[Crude_Breakdown]],crudeBD.lkup.complete[Crude Breakdown],0)))^2,"")</f>
        <v>18.161608181647477</v>
      </c>
      <c r="AN524" s="4">
        <f>IFERROR((vp.tbl[[#This Row],[Dens]]-INDEX(crudeBD.lkup.complete[Mean_Dens],MATCH(vp.tbl[[#This Row],[Crude_Breakdown]],crudeBD.lkup.complete[Crude Breakdown],0)))^2,"")</f>
        <v>5.0717507975218288</v>
      </c>
      <c r="AO524" s="4">
        <f>IFERROR((vp.tbl[[#This Row],[Sulf]]-INDEX(crudeBD.lkup.complete[Mean_Sulf],MATCH(vp.tbl[[#This Row],[Crude_Breakdown]],crudeBD.lkup.complete[Crude Breakdown],0)))^2,"")</f>
        <v>7.0044843090430464E-2</v>
      </c>
      <c r="AP524">
        <f>IF(AND(vp.tbl[[#This Row],[SDate]]&gt;=DATE(YEAR(vp.tbl[[#This Row],[SDate]]),5,1),vp.tbl[[#This Row],[SDate]]&lt;=DATE(YEAR(vp.tbl[[#This Row],[SDate]]),9,15)),1,0)</f>
        <v>0</v>
      </c>
      <c r="AQ524" s="15">
        <f>IF(vp.tbl[[#This Row],[SDate]]&lt;DATE(2016,12,1),0,1)</f>
        <v>1</v>
      </c>
    </row>
    <row r="525" spans="1:43" x14ac:dyDescent="0.25">
      <c r="A525">
        <v>524</v>
      </c>
      <c r="B525" t="s">
        <v>60</v>
      </c>
      <c r="C525" t="s">
        <v>60</v>
      </c>
      <c r="D525" t="s">
        <v>61</v>
      </c>
      <c r="E525" t="s">
        <v>73</v>
      </c>
      <c r="F525" s="1">
        <v>42741</v>
      </c>
      <c r="G525" s="2">
        <v>84.1</v>
      </c>
      <c r="H525" s="2"/>
      <c r="I525" s="2">
        <v>1.23</v>
      </c>
      <c r="J525" s="2">
        <v>2.1</v>
      </c>
      <c r="K525" s="2">
        <v>-25</v>
      </c>
      <c r="L525" s="2">
        <v>843.7</v>
      </c>
      <c r="M525" s="2">
        <v>843.7</v>
      </c>
      <c r="N525" s="2">
        <f ca="1">INDEX(INDIRECT(_xlfn.CONCAT("weather.tbl[",N$1,"]")),MATCH(vp.tbl[[#This Row],[SDate]],weather.tbl[Date],0))</f>
        <v>-21.316666666666666</v>
      </c>
      <c r="O525" s="2">
        <f ca="1">INDEX(INDIRECT(_xlfn.CONCAT("weather.tbl[",O$1,"]")),MATCH(vp.tbl[[#This Row],[SDate]],weather.tbl[Date],0))</f>
        <v>-18.852380952380958</v>
      </c>
      <c r="P525" s="2">
        <f ca="1">INDEX(INDIRECT(_xlfn.CONCAT("weather.tbl[",P$1,"]")),MATCH(vp.tbl[[#This Row],[SDate]],weather.tbl[Date],0))</f>
        <v>-22</v>
      </c>
      <c r="Q525" s="2">
        <f ca="1">INDEX(INDIRECT(_xlfn.CONCAT("weather.tbl[",Q$1,"]")),MATCH(vp.tbl[[#This Row],[SDate]],weather.tbl[Date],0))</f>
        <v>-21.5</v>
      </c>
      <c r="R525" s="2">
        <f ca="1">INDEX(INDIRECT(_xlfn.CONCAT("weather.tbl[",R$1,"]")),MATCH(vp.tbl[[#This Row],[SDate]],weather.tbl[Date],0))</f>
        <v>-21.3</v>
      </c>
      <c r="S525" s="2">
        <f ca="1">INDEX(INDIRECT(_xlfn.CONCAT("weather.tbl[",S$1,"]")),MATCH(vp.tbl[[#This Row],[SDate]],weather.tbl[Date],0))</f>
        <v>-20.8</v>
      </c>
      <c r="T525" s="2">
        <f ca="1">INDEX(INDIRECT(_xlfn.CONCAT("weather.tbl[",T$1,"]")),MATCH(vp.tbl[[#This Row],[SDate]],weather.tbl[Date],0))</f>
        <v>-22.8</v>
      </c>
      <c r="U525" s="2">
        <f ca="1">INDEX(INDIRECT(_xlfn.CONCAT("weather.tbl[",U$1,"]")),MATCH(vp.tbl[[#This Row],[SDate]],weather.tbl[Date],0))</f>
        <v>-19.5</v>
      </c>
      <c r="V525" s="2">
        <v>105136.144</v>
      </c>
      <c r="W525" t="s">
        <v>48</v>
      </c>
      <c r="X525">
        <f>IF(OR(vp.tbl[[#This Row],[Sulf]]="",vp.tbl[[#This Row],[Dens]]=""),1,0)</f>
        <v>0</v>
      </c>
      <c r="Y525">
        <f>IF(vp.tbl[[#This Row],[CrudeType]]="C5+",1,0)</f>
        <v>0</v>
      </c>
      <c r="Z525">
        <f>IF(AND(vp.tbl[[#This Row],[CrudeType]]="Crude",vp.tbl[[#This Row],[Dens]]&lt;=825,vp.tbl[[#This Row],[Sulf]]&gt;0.5,vp.tbl[[#This Row],[Unknown]]=0),1,0)</f>
        <v>0</v>
      </c>
      <c r="AA525">
        <f>IF(AND(vp.tbl[[#This Row],[CrudeType]]="Crude",vp.tbl[[#This Row],[Dens]]&lt;=825,vp.tbl[[#This Row],[Sulf]]&lt;=0.5,vp.tbl[[#This Row],[Unknown]]=0),1,0)</f>
        <v>0</v>
      </c>
      <c r="AB525">
        <f>IF(AND(vp.tbl[[#This Row],[CrudeType]]="Crude",vp.tbl[[#This Row],[Dens]]&gt;825,vp.tbl[[#This Row],[Dens]]&lt;=870,vp.tbl[[#This Row],[Sulf]]&gt;0.5,vp.tbl[[#This Row],[Unknown]]=0),1,0)</f>
        <v>1</v>
      </c>
      <c r="AC525">
        <f>IF(AND(vp.tbl[[#This Row],[CrudeType]]="Crude",vp.tbl[[#This Row],[Dens]]&gt;825,vp.tbl[[#This Row],[Dens]]&lt;=900,vp.tbl[[#This Row],[Sulf]]&lt;=0.5,vp.tbl[[#This Row],[Unknown]]=0),1,0)</f>
        <v>0</v>
      </c>
      <c r="AD525">
        <f>IF(AND(vp.tbl[[#This Row],[CrudeType]]="Crude",vp.tbl[[#This Row],[Dens]]&gt;870,vp.tbl[[#This Row],[Dens]]&lt;=900,vp.tbl[[#This Row],[Sulf]]&gt;0.5,vp.tbl[[#This Row],[Unknown]]=0),1,0)</f>
        <v>0</v>
      </c>
      <c r="AE525">
        <f>IF(AND(vp.tbl[[#This Row],[CrudeType]]="Crude",vp.tbl[[#This Row],[Dens]]&gt;900,vp.tbl[[#This Row],[Sulf]]&lt;=0.5,vp.tbl[[#This Row],[Unknown]]=0),1,0)</f>
        <v>0</v>
      </c>
      <c r="AF525">
        <f>IF(AND(vp.tbl[[#This Row],[CrudeType]]="Crude",vp.tbl[[#This Row],[Dens]]&gt;900,vp.tbl[[#This Row],[Sulf]]&lt;=0.5,vp.tbl[[#This Row],[Unknown]]=0),1,0)</f>
        <v>0</v>
      </c>
      <c r="AG525" t="str">
        <f>INDEX(vp.tbl[[#Headers],[Unknown]:[Heavy_SW]],MATCH(1,vp.tbl[[#This Row],[Unknown]:[Heavy_SW]],0))</f>
        <v>Medium_LSB</v>
      </c>
      <c r="AH525" t="e">
        <f>INDEX([1]!crudeBD.lkup[Number],MATCH(vp.tbl[[#This Row],[Crude_Breakdown]],[1]!crudeBD.lkup[Crude Breakdown],0))</f>
        <v>#REF!</v>
      </c>
      <c r="AI525">
        <f>MONTH(vp.tbl[[#This Row],[SDate]])</f>
        <v>1</v>
      </c>
      <c r="AJ525" s="5">
        <f>IFERROR(vp.tbl[[#This Row],[Sulf]]*vp.tbl[[#This Row],[Net Dens]],"")</f>
        <v>109105138.572144</v>
      </c>
      <c r="AK525" s="5">
        <f>IFERROR(vp.tbl[[#This Row],[Dens]]*vp.tbl[[#This Row],[VolumeM3]],"")</f>
        <v>88703364.6928</v>
      </c>
      <c r="AL525" s="5">
        <f>IFERROR(vp.tbl[[#This Row],[VP]]*vp.tbl[[#This Row],[VolumeM3]],"")</f>
        <v>8841949.7104000002</v>
      </c>
      <c r="AM525" s="4">
        <f>IFERROR((vp.tbl[[#This Row],[VP]]-INDEX(crudeBD.lkup.complete[Mean_VP],MATCH(vp.tbl[[#This Row],[Crude_Breakdown]],crudeBD.lkup.complete[Crude Breakdown],0)))^2,"")</f>
        <v>15.416656721038541</v>
      </c>
      <c r="AN525" s="4">
        <f>IFERROR((vp.tbl[[#This Row],[Dens]]-INDEX(crudeBD.lkup.complete[Mean_Dens],MATCH(vp.tbl[[#This Row],[Crude_Breakdown]],crudeBD.lkup.complete[Crude Breakdown],0)))^2,"")</f>
        <v>2.5338997782373869</v>
      </c>
      <c r="AO525" s="4">
        <f>IFERROR((vp.tbl[[#This Row],[Sulf]]-INDEX(crudeBD.lkup.complete[Mean_Sulf],MATCH(vp.tbl[[#This Row],[Crude_Breakdown]],crudeBD.lkup.complete[Crude Breakdown],0)))^2,"")</f>
        <v>5.0593442261285884E-2</v>
      </c>
      <c r="AP525">
        <f>IF(AND(vp.tbl[[#This Row],[SDate]]&gt;=DATE(YEAR(vp.tbl[[#This Row],[SDate]]),5,1),vp.tbl[[#This Row],[SDate]]&lt;=DATE(YEAR(vp.tbl[[#This Row],[SDate]]),9,15)),1,0)</f>
        <v>0</v>
      </c>
      <c r="AQ525" s="15">
        <f>IF(vp.tbl[[#This Row],[SDate]]&lt;DATE(2016,12,1),0,1)</f>
        <v>1</v>
      </c>
    </row>
    <row r="526" spans="1:43" x14ac:dyDescent="0.25">
      <c r="A526">
        <v>525</v>
      </c>
      <c r="B526" t="s">
        <v>60</v>
      </c>
      <c r="C526" t="s">
        <v>60</v>
      </c>
      <c r="D526" t="s">
        <v>61</v>
      </c>
      <c r="E526" t="s">
        <v>55</v>
      </c>
      <c r="F526" s="1">
        <v>42741</v>
      </c>
      <c r="G526" s="2">
        <v>96.3</v>
      </c>
      <c r="H526" s="2"/>
      <c r="I526" s="2">
        <v>1.23</v>
      </c>
      <c r="J526" s="2">
        <v>4.8</v>
      </c>
      <c r="K526" s="2">
        <v>-25</v>
      </c>
      <c r="L526" s="2">
        <v>846.1</v>
      </c>
      <c r="M526" s="2">
        <v>846.1</v>
      </c>
      <c r="N526" s="2">
        <f ca="1">INDEX(INDIRECT(_xlfn.CONCAT("weather.tbl[",N$1,"]")),MATCH(vp.tbl[[#This Row],[SDate]],weather.tbl[Date],0))</f>
        <v>-21.316666666666666</v>
      </c>
      <c r="O526" s="2">
        <f ca="1">INDEX(INDIRECT(_xlfn.CONCAT("weather.tbl[",O$1,"]")),MATCH(vp.tbl[[#This Row],[SDate]],weather.tbl[Date],0))</f>
        <v>-18.852380952380958</v>
      </c>
      <c r="P526" s="2">
        <f ca="1">INDEX(INDIRECT(_xlfn.CONCAT("weather.tbl[",P$1,"]")),MATCH(vp.tbl[[#This Row],[SDate]],weather.tbl[Date],0))</f>
        <v>-22</v>
      </c>
      <c r="Q526" s="2">
        <f ca="1">INDEX(INDIRECT(_xlfn.CONCAT("weather.tbl[",Q$1,"]")),MATCH(vp.tbl[[#This Row],[SDate]],weather.tbl[Date],0))</f>
        <v>-21.5</v>
      </c>
      <c r="R526" s="2">
        <f ca="1">INDEX(INDIRECT(_xlfn.CONCAT("weather.tbl[",R$1,"]")),MATCH(vp.tbl[[#This Row],[SDate]],weather.tbl[Date],0))</f>
        <v>-21.3</v>
      </c>
      <c r="S526" s="2">
        <f ca="1">INDEX(INDIRECT(_xlfn.CONCAT("weather.tbl[",S$1,"]")),MATCH(vp.tbl[[#This Row],[SDate]],weather.tbl[Date],0))</f>
        <v>-20.8</v>
      </c>
      <c r="T526" s="2">
        <f ca="1">INDEX(INDIRECT(_xlfn.CONCAT("weather.tbl[",T$1,"]")),MATCH(vp.tbl[[#This Row],[SDate]],weather.tbl[Date],0))</f>
        <v>-22.8</v>
      </c>
      <c r="U526" s="2">
        <f ca="1">INDEX(INDIRECT(_xlfn.CONCAT("weather.tbl[",U$1,"]")),MATCH(vp.tbl[[#This Row],[SDate]],weather.tbl[Date],0))</f>
        <v>-19.5</v>
      </c>
      <c r="V526" s="2">
        <v>105136.144</v>
      </c>
      <c r="W526" t="s">
        <v>48</v>
      </c>
      <c r="X526">
        <f>IF(OR(vp.tbl[[#This Row],[Sulf]]="",vp.tbl[[#This Row],[Dens]]=""),1,0)</f>
        <v>0</v>
      </c>
      <c r="Y526">
        <f>IF(vp.tbl[[#This Row],[CrudeType]]="C5+",1,0)</f>
        <v>0</v>
      </c>
      <c r="Z526">
        <f>IF(AND(vp.tbl[[#This Row],[CrudeType]]="Crude",vp.tbl[[#This Row],[Dens]]&lt;=825,vp.tbl[[#This Row],[Sulf]]&gt;0.5,vp.tbl[[#This Row],[Unknown]]=0),1,0)</f>
        <v>0</v>
      </c>
      <c r="AA526">
        <f>IF(AND(vp.tbl[[#This Row],[CrudeType]]="Crude",vp.tbl[[#This Row],[Dens]]&lt;=825,vp.tbl[[#This Row],[Sulf]]&lt;=0.5,vp.tbl[[#This Row],[Unknown]]=0),1,0)</f>
        <v>0</v>
      </c>
      <c r="AB526">
        <f>IF(AND(vp.tbl[[#This Row],[CrudeType]]="Crude",vp.tbl[[#This Row],[Dens]]&gt;825,vp.tbl[[#This Row],[Dens]]&lt;=870,vp.tbl[[#This Row],[Sulf]]&gt;0.5,vp.tbl[[#This Row],[Unknown]]=0),1,0)</f>
        <v>1</v>
      </c>
      <c r="AC526">
        <f>IF(AND(vp.tbl[[#This Row],[CrudeType]]="Crude",vp.tbl[[#This Row],[Dens]]&gt;825,vp.tbl[[#This Row],[Dens]]&lt;=900,vp.tbl[[#This Row],[Sulf]]&lt;=0.5,vp.tbl[[#This Row],[Unknown]]=0),1,0)</f>
        <v>0</v>
      </c>
      <c r="AD526">
        <f>IF(AND(vp.tbl[[#This Row],[CrudeType]]="Crude",vp.tbl[[#This Row],[Dens]]&gt;870,vp.tbl[[#This Row],[Dens]]&lt;=900,vp.tbl[[#This Row],[Sulf]]&gt;0.5,vp.tbl[[#This Row],[Unknown]]=0),1,0)</f>
        <v>0</v>
      </c>
      <c r="AE526">
        <f>IF(AND(vp.tbl[[#This Row],[CrudeType]]="Crude",vp.tbl[[#This Row],[Dens]]&gt;900,vp.tbl[[#This Row],[Sulf]]&lt;=0.5,vp.tbl[[#This Row],[Unknown]]=0),1,0)</f>
        <v>0</v>
      </c>
      <c r="AF526">
        <f>IF(AND(vp.tbl[[#This Row],[CrudeType]]="Crude",vp.tbl[[#This Row],[Dens]]&gt;900,vp.tbl[[#This Row],[Sulf]]&lt;=0.5,vp.tbl[[#This Row],[Unknown]]=0),1,0)</f>
        <v>0</v>
      </c>
      <c r="AG526" t="str">
        <f>INDEX(vp.tbl[[#Headers],[Unknown]:[Heavy_SW]],MATCH(1,vp.tbl[[#This Row],[Unknown]:[Heavy_SW]],0))</f>
        <v>Medium_LSB</v>
      </c>
      <c r="AH526" t="e">
        <f>INDEX([1]!crudeBD.lkup[Number],MATCH(vp.tbl[[#This Row],[Crude_Breakdown]],[1]!crudeBD.lkup[Crude Breakdown],0))</f>
        <v>#REF!</v>
      </c>
      <c r="AI526">
        <f>MONTH(vp.tbl[[#This Row],[SDate]])</f>
        <v>1</v>
      </c>
      <c r="AJ526" s="5">
        <f>IFERROR(vp.tbl[[#This Row],[Sulf]]*vp.tbl[[#This Row],[Net Dens]],"")</f>
        <v>109415500.46923199</v>
      </c>
      <c r="AK526" s="5">
        <f>IFERROR(vp.tbl[[#This Row],[Dens]]*vp.tbl[[#This Row],[VolumeM3]],"")</f>
        <v>88955691.4384</v>
      </c>
      <c r="AL526" s="5">
        <f>IFERROR(vp.tbl[[#This Row],[VP]]*vp.tbl[[#This Row],[VolumeM3]],"")</f>
        <v>10124610.667199999</v>
      </c>
      <c r="AM526" s="4">
        <f>IFERROR((vp.tbl[[#This Row],[VP]]-INDEX(crudeBD.lkup.complete[Mean_VP],MATCH(vp.tbl[[#This Row],[Crude_Breakdown]],crudeBD.lkup.complete[Crude Breakdown],0)))^2,"")</f>
        <v>260.06094026534316</v>
      </c>
      <c r="AN526" s="4">
        <f>IFERROR((vp.tbl[[#This Row],[Dens]]-INDEX(crudeBD.lkup.complete[Mean_Dens],MATCH(vp.tbl[[#This Row],[Crude_Breakdown]],crudeBD.lkup.complete[Crude Breakdown],0)))^2,"")</f>
        <v>0.65315041115368733</v>
      </c>
      <c r="AO526" s="4">
        <f>IFERROR((vp.tbl[[#This Row],[Sulf]]-INDEX(crudeBD.lkup.complete[Mean_Sulf],MATCH(vp.tbl[[#This Row],[Crude_Breakdown]],crudeBD.lkup.complete[Crude Breakdown],0)))^2,"")</f>
        <v>5.0593442261285884E-2</v>
      </c>
      <c r="AP526">
        <f>IF(AND(vp.tbl[[#This Row],[SDate]]&gt;=DATE(YEAR(vp.tbl[[#This Row],[SDate]]),5,1),vp.tbl[[#This Row],[SDate]]&lt;=DATE(YEAR(vp.tbl[[#This Row],[SDate]]),9,15)),1,0)</f>
        <v>0</v>
      </c>
      <c r="AQ526" s="15">
        <f>IF(vp.tbl[[#This Row],[SDate]]&lt;DATE(2016,12,1),0,1)</f>
        <v>1</v>
      </c>
    </row>
    <row r="527" spans="1:43" x14ac:dyDescent="0.25">
      <c r="A527">
        <v>526</v>
      </c>
      <c r="B527" t="s">
        <v>49</v>
      </c>
      <c r="C527" t="s">
        <v>49</v>
      </c>
      <c r="D527" t="s">
        <v>100</v>
      </c>
      <c r="F527" s="1">
        <v>42742</v>
      </c>
      <c r="G527" s="2">
        <v>103.1</v>
      </c>
      <c r="H527" s="2"/>
      <c r="I527" s="2">
        <v>0.66</v>
      </c>
      <c r="J527" s="2">
        <v>-5</v>
      </c>
      <c r="K527" s="2">
        <v>-28</v>
      </c>
      <c r="L527" s="2">
        <v>800.9</v>
      </c>
      <c r="M527" s="2">
        <v>800.9</v>
      </c>
      <c r="N527" s="2">
        <f ca="1">INDEX(INDIRECT(_xlfn.CONCAT("weather.tbl[",N$1,"]")),MATCH(vp.tbl[[#This Row],[SDate]],weather.tbl[Date],0))</f>
        <v>-24.45</v>
      </c>
      <c r="O527" s="2">
        <f ca="1">INDEX(INDIRECT(_xlfn.CONCAT("weather.tbl[",O$1,"]")),MATCH(vp.tbl[[#This Row],[SDate]],weather.tbl[Date],0))</f>
        <v>-20.764285714285712</v>
      </c>
      <c r="P527" s="2">
        <f ca="1">INDEX(INDIRECT(_xlfn.CONCAT("weather.tbl[",P$1,"]")),MATCH(vp.tbl[[#This Row],[SDate]],weather.tbl[Date],0))</f>
        <v>-26.6</v>
      </c>
      <c r="Q527" s="2">
        <f ca="1">INDEX(INDIRECT(_xlfn.CONCAT("weather.tbl[",Q$1,"]")),MATCH(vp.tbl[[#This Row],[SDate]],weather.tbl[Date],0))</f>
        <v>-22.8</v>
      </c>
      <c r="R527" s="2">
        <f ca="1">INDEX(INDIRECT(_xlfn.CONCAT("weather.tbl[",R$1,"]")),MATCH(vp.tbl[[#This Row],[SDate]],weather.tbl[Date],0))</f>
        <v>-25</v>
      </c>
      <c r="S527" s="2">
        <f ca="1">INDEX(INDIRECT(_xlfn.CONCAT("weather.tbl[",S$1,"]")),MATCH(vp.tbl[[#This Row],[SDate]],weather.tbl[Date],0))</f>
        <v>-24.8</v>
      </c>
      <c r="T527" s="2">
        <f ca="1">INDEX(INDIRECT(_xlfn.CONCAT("weather.tbl[",T$1,"]")),MATCH(vp.tbl[[#This Row],[SDate]],weather.tbl[Date],0))</f>
        <v>-27</v>
      </c>
      <c r="U527" s="2">
        <f ca="1">INDEX(INDIRECT(_xlfn.CONCAT("weather.tbl[",U$1,"]")),MATCH(vp.tbl[[#This Row],[SDate]],weather.tbl[Date],0))</f>
        <v>-20.5</v>
      </c>
      <c r="V527" s="2">
        <v>11216.892</v>
      </c>
      <c r="W527" t="s">
        <v>48</v>
      </c>
      <c r="X527">
        <f>IF(OR(vp.tbl[[#This Row],[Sulf]]="",vp.tbl[[#This Row],[Dens]]=""),1,0)</f>
        <v>0</v>
      </c>
      <c r="Y527">
        <f>IF(vp.tbl[[#This Row],[CrudeType]]="C5+",1,0)</f>
        <v>0</v>
      </c>
      <c r="Z527">
        <f>IF(AND(vp.tbl[[#This Row],[CrudeType]]="Crude",vp.tbl[[#This Row],[Dens]]&lt;=825,vp.tbl[[#This Row],[Sulf]]&gt;0.5,vp.tbl[[#This Row],[Unknown]]=0),1,0)</f>
        <v>1</v>
      </c>
      <c r="AA527">
        <f>IF(AND(vp.tbl[[#This Row],[CrudeType]]="Crude",vp.tbl[[#This Row],[Dens]]&lt;=825,vp.tbl[[#This Row],[Sulf]]&lt;=0.5,vp.tbl[[#This Row],[Unknown]]=0),1,0)</f>
        <v>0</v>
      </c>
      <c r="AB527">
        <f>IF(AND(vp.tbl[[#This Row],[CrudeType]]="Crude",vp.tbl[[#This Row],[Dens]]&gt;825,vp.tbl[[#This Row],[Dens]]&lt;=870,vp.tbl[[#This Row],[Sulf]]&gt;0.5,vp.tbl[[#This Row],[Unknown]]=0),1,0)</f>
        <v>0</v>
      </c>
      <c r="AC527">
        <f>IF(AND(vp.tbl[[#This Row],[CrudeType]]="Crude",vp.tbl[[#This Row],[Dens]]&gt;825,vp.tbl[[#This Row],[Dens]]&lt;=900,vp.tbl[[#This Row],[Sulf]]&lt;=0.5,vp.tbl[[#This Row],[Unknown]]=0),1,0)</f>
        <v>0</v>
      </c>
      <c r="AD527">
        <f>IF(AND(vp.tbl[[#This Row],[CrudeType]]="Crude",vp.tbl[[#This Row],[Dens]]&gt;870,vp.tbl[[#This Row],[Dens]]&lt;=900,vp.tbl[[#This Row],[Sulf]]&gt;0.5,vp.tbl[[#This Row],[Unknown]]=0),1,0)</f>
        <v>0</v>
      </c>
      <c r="AE527">
        <f>IF(AND(vp.tbl[[#This Row],[CrudeType]]="Crude",vp.tbl[[#This Row],[Dens]]&gt;900,vp.tbl[[#This Row],[Sulf]]&lt;=0.5,vp.tbl[[#This Row],[Unknown]]=0),1,0)</f>
        <v>0</v>
      </c>
      <c r="AF527">
        <f>IF(AND(vp.tbl[[#This Row],[CrudeType]]="Crude",vp.tbl[[#This Row],[Dens]]&gt;900,vp.tbl[[#This Row],[Sulf]]&lt;=0.5,vp.tbl[[#This Row],[Unknown]]=0),1,0)</f>
        <v>0</v>
      </c>
      <c r="AG527" t="str">
        <f>INDEX(vp.tbl[[#Headers],[Unknown]:[Heavy_SW]],MATCH(1,vp.tbl[[#This Row],[Unknown]:[Heavy_SW]],0))</f>
        <v>Light_LSB</v>
      </c>
      <c r="AH527" t="e">
        <f>INDEX([1]!crudeBD.lkup[Number],MATCH(vp.tbl[[#This Row],[Crude_Breakdown]],[1]!crudeBD.lkup[Crude Breakdown],0))</f>
        <v>#REF!</v>
      </c>
      <c r="AI527">
        <f>MONTH(vp.tbl[[#This Row],[SDate]])</f>
        <v>1</v>
      </c>
      <c r="AJ527" s="5">
        <f>IFERROR(vp.tbl[[#This Row],[Sulf]]*vp.tbl[[#This Row],[Net Dens]],"")</f>
        <v>5929181.8098480003</v>
      </c>
      <c r="AK527" s="5">
        <f>IFERROR(vp.tbl[[#This Row],[Dens]]*vp.tbl[[#This Row],[VolumeM3]],"")</f>
        <v>8983608.8027999997</v>
      </c>
      <c r="AL527" s="5">
        <f>IFERROR(vp.tbl[[#This Row],[VP]]*vp.tbl[[#This Row],[VolumeM3]],"")</f>
        <v>1156461.5651999998</v>
      </c>
      <c r="AM527" s="4">
        <f>IFERROR((vp.tbl[[#This Row],[VP]]-INDEX(crudeBD.lkup.complete[Mean_VP],MATCH(vp.tbl[[#This Row],[Crude_Breakdown]],crudeBD.lkup.complete[Crude Breakdown],0)))^2,"")</f>
        <v>133.49062795196005</v>
      </c>
      <c r="AN527" s="4">
        <f>IFERROR((vp.tbl[[#This Row],[Dens]]-INDEX(crudeBD.lkup.complete[Mean_Dens],MATCH(vp.tbl[[#This Row],[Crude_Breakdown]],crudeBD.lkup.complete[Crude Breakdown],0)))^2,"")</f>
        <v>310.35057675746782</v>
      </c>
      <c r="AO527" s="4">
        <f>IFERROR((vp.tbl[[#This Row],[Sulf]]-INDEX(crudeBD.lkup.complete[Mean_Sulf],MATCH(vp.tbl[[#This Row],[Crude_Breakdown]],crudeBD.lkup.complete[Crude Breakdown],0)))^2,"")</f>
        <v>6.9153835401708622E-2</v>
      </c>
      <c r="AP527">
        <f>IF(AND(vp.tbl[[#This Row],[SDate]]&gt;=DATE(YEAR(vp.tbl[[#This Row],[SDate]]),5,1),vp.tbl[[#This Row],[SDate]]&lt;=DATE(YEAR(vp.tbl[[#This Row],[SDate]]),9,15)),1,0)</f>
        <v>0</v>
      </c>
      <c r="AQ527" s="15">
        <f>IF(vp.tbl[[#This Row],[SDate]]&lt;DATE(2016,12,1),0,1)</f>
        <v>1</v>
      </c>
    </row>
    <row r="528" spans="1:43" x14ac:dyDescent="0.25">
      <c r="A528">
        <v>527</v>
      </c>
      <c r="B528" t="s">
        <v>49</v>
      </c>
      <c r="C528" t="s">
        <v>49</v>
      </c>
      <c r="D528" t="s">
        <v>75</v>
      </c>
      <c r="F528" s="1">
        <v>42742</v>
      </c>
      <c r="G528" s="2">
        <v>103.2</v>
      </c>
      <c r="H528" s="2"/>
      <c r="I528" s="2">
        <v>0.26</v>
      </c>
      <c r="J528" s="2">
        <v>22.1</v>
      </c>
      <c r="K528" s="2">
        <v>-28</v>
      </c>
      <c r="L528" s="2">
        <v>802.3</v>
      </c>
      <c r="M528" s="2">
        <v>802.3</v>
      </c>
      <c r="N528" s="2">
        <f ca="1">INDEX(INDIRECT(_xlfn.CONCAT("weather.tbl[",N$1,"]")),MATCH(vp.tbl[[#This Row],[SDate]],weather.tbl[Date],0))</f>
        <v>-24.45</v>
      </c>
      <c r="O528" s="2">
        <f ca="1">INDEX(INDIRECT(_xlfn.CONCAT("weather.tbl[",O$1,"]")),MATCH(vp.tbl[[#This Row],[SDate]],weather.tbl[Date],0))</f>
        <v>-20.764285714285712</v>
      </c>
      <c r="P528" s="2">
        <f ca="1">INDEX(INDIRECT(_xlfn.CONCAT("weather.tbl[",P$1,"]")),MATCH(vp.tbl[[#This Row],[SDate]],weather.tbl[Date],0))</f>
        <v>-26.6</v>
      </c>
      <c r="Q528" s="2">
        <f ca="1">INDEX(INDIRECT(_xlfn.CONCAT("weather.tbl[",Q$1,"]")),MATCH(vp.tbl[[#This Row],[SDate]],weather.tbl[Date],0))</f>
        <v>-22.8</v>
      </c>
      <c r="R528" s="2">
        <f ca="1">INDEX(INDIRECT(_xlfn.CONCAT("weather.tbl[",R$1,"]")),MATCH(vp.tbl[[#This Row],[SDate]],weather.tbl[Date],0))</f>
        <v>-25</v>
      </c>
      <c r="S528" s="2">
        <f ca="1">INDEX(INDIRECT(_xlfn.CONCAT("weather.tbl[",S$1,"]")),MATCH(vp.tbl[[#This Row],[SDate]],weather.tbl[Date],0))</f>
        <v>-24.8</v>
      </c>
      <c r="T528" s="2">
        <f ca="1">INDEX(INDIRECT(_xlfn.CONCAT("weather.tbl[",T$1,"]")),MATCH(vp.tbl[[#This Row],[SDate]],weather.tbl[Date],0))</f>
        <v>-27</v>
      </c>
      <c r="U528" s="2">
        <f ca="1">INDEX(INDIRECT(_xlfn.CONCAT("weather.tbl[",U$1,"]")),MATCH(vp.tbl[[#This Row],[SDate]],weather.tbl[Date],0))</f>
        <v>-20.5</v>
      </c>
      <c r="V528" s="2">
        <v>12738.714</v>
      </c>
      <c r="W528" t="s">
        <v>48</v>
      </c>
      <c r="X528">
        <f>IF(OR(vp.tbl[[#This Row],[Sulf]]="",vp.tbl[[#This Row],[Dens]]=""),1,0)</f>
        <v>0</v>
      </c>
      <c r="Y528">
        <f>IF(vp.tbl[[#This Row],[CrudeType]]="C5+",1,0)</f>
        <v>0</v>
      </c>
      <c r="Z528">
        <f>IF(AND(vp.tbl[[#This Row],[CrudeType]]="Crude",vp.tbl[[#This Row],[Dens]]&lt;=825,vp.tbl[[#This Row],[Sulf]]&gt;0.5,vp.tbl[[#This Row],[Unknown]]=0),1,0)</f>
        <v>0</v>
      </c>
      <c r="AA528">
        <f>IF(AND(vp.tbl[[#This Row],[CrudeType]]="Crude",vp.tbl[[#This Row],[Dens]]&lt;=825,vp.tbl[[#This Row],[Sulf]]&lt;=0.5,vp.tbl[[#This Row],[Unknown]]=0),1,0)</f>
        <v>1</v>
      </c>
      <c r="AB528">
        <f>IF(AND(vp.tbl[[#This Row],[CrudeType]]="Crude",vp.tbl[[#This Row],[Dens]]&gt;825,vp.tbl[[#This Row],[Dens]]&lt;=870,vp.tbl[[#This Row],[Sulf]]&gt;0.5,vp.tbl[[#This Row],[Unknown]]=0),1,0)</f>
        <v>0</v>
      </c>
      <c r="AC528">
        <f>IF(AND(vp.tbl[[#This Row],[CrudeType]]="Crude",vp.tbl[[#This Row],[Dens]]&gt;825,vp.tbl[[#This Row],[Dens]]&lt;=900,vp.tbl[[#This Row],[Sulf]]&lt;=0.5,vp.tbl[[#This Row],[Unknown]]=0),1,0)</f>
        <v>0</v>
      </c>
      <c r="AD528">
        <f>IF(AND(vp.tbl[[#This Row],[CrudeType]]="Crude",vp.tbl[[#This Row],[Dens]]&gt;870,vp.tbl[[#This Row],[Dens]]&lt;=900,vp.tbl[[#This Row],[Sulf]]&gt;0.5,vp.tbl[[#This Row],[Unknown]]=0),1,0)</f>
        <v>0</v>
      </c>
      <c r="AE528">
        <f>IF(AND(vp.tbl[[#This Row],[CrudeType]]="Crude",vp.tbl[[#This Row],[Dens]]&gt;900,vp.tbl[[#This Row],[Sulf]]&lt;=0.5,vp.tbl[[#This Row],[Unknown]]=0),1,0)</f>
        <v>0</v>
      </c>
      <c r="AF528">
        <f>IF(AND(vp.tbl[[#This Row],[CrudeType]]="Crude",vp.tbl[[#This Row],[Dens]]&gt;900,vp.tbl[[#This Row],[Sulf]]&lt;=0.5,vp.tbl[[#This Row],[Unknown]]=0),1,0)</f>
        <v>0</v>
      </c>
      <c r="AG528" t="str">
        <f>INDEX(vp.tbl[[#Headers],[Unknown]:[Heavy_SW]],MATCH(1,vp.tbl[[#This Row],[Unknown]:[Heavy_SW]],0))</f>
        <v>Light_SW</v>
      </c>
      <c r="AH528" t="e">
        <f>INDEX([1]!crudeBD.lkup[Number],MATCH(vp.tbl[[#This Row],[Crude_Breakdown]],[1]!crudeBD.lkup[Crude Breakdown],0))</f>
        <v>#REF!</v>
      </c>
      <c r="AI528">
        <f>MONTH(vp.tbl[[#This Row],[SDate]])</f>
        <v>1</v>
      </c>
      <c r="AJ528" s="5">
        <f>IFERROR(vp.tbl[[#This Row],[Sulf]]*vp.tbl[[#This Row],[Net Dens]],"")</f>
        <v>2657270.2629720001</v>
      </c>
      <c r="AK528" s="5">
        <f>IFERROR(vp.tbl[[#This Row],[Dens]]*vp.tbl[[#This Row],[VolumeM3]],"")</f>
        <v>10220270.2422</v>
      </c>
      <c r="AL528" s="5">
        <f>IFERROR(vp.tbl[[#This Row],[VP]]*vp.tbl[[#This Row],[VolumeM3]],"")</f>
        <v>1314635.2848</v>
      </c>
      <c r="AM528" s="4">
        <f>IFERROR((vp.tbl[[#This Row],[VP]]-INDEX(crudeBD.lkup.complete[Mean_VP],MATCH(vp.tbl[[#This Row],[Crude_Breakdown]],crudeBD.lkup.complete[Crude Breakdown],0)))^2,"")</f>
        <v>113.41582065582995</v>
      </c>
      <c r="AN528" s="4">
        <f>IFERROR((vp.tbl[[#This Row],[Dens]]-INDEX(crudeBD.lkup.complete[Mean_Dens],MATCH(vp.tbl[[#This Row],[Crude_Breakdown]],crudeBD.lkup.complete[Crude Breakdown],0)))^2,"")</f>
        <v>36.138111304007928</v>
      </c>
      <c r="AO528" s="4">
        <f>IFERROR((vp.tbl[[#This Row],[Sulf]]-INDEX(crudeBD.lkup.complete[Mean_Sulf],MATCH(vp.tbl[[#This Row],[Crude_Breakdown]],crudeBD.lkup.complete[Crude Breakdown],0)))^2,"")</f>
        <v>5.644515043280923E-4</v>
      </c>
      <c r="AP528">
        <f>IF(AND(vp.tbl[[#This Row],[SDate]]&gt;=DATE(YEAR(vp.tbl[[#This Row],[SDate]]),5,1),vp.tbl[[#This Row],[SDate]]&lt;=DATE(YEAR(vp.tbl[[#This Row],[SDate]]),9,15)),1,0)</f>
        <v>0</v>
      </c>
      <c r="AQ528" s="15">
        <f>IF(vp.tbl[[#This Row],[SDate]]&lt;DATE(2016,12,1),0,1)</f>
        <v>1</v>
      </c>
    </row>
    <row r="529" spans="1:43" x14ac:dyDescent="0.25">
      <c r="A529">
        <v>528</v>
      </c>
      <c r="B529" t="s">
        <v>49</v>
      </c>
      <c r="C529" t="s">
        <v>49</v>
      </c>
      <c r="D529" t="s">
        <v>67</v>
      </c>
      <c r="F529" s="1">
        <v>42742</v>
      </c>
      <c r="G529" s="2">
        <v>115.1</v>
      </c>
      <c r="H529" s="2"/>
      <c r="I529" s="2">
        <v>0.59</v>
      </c>
      <c r="J529" s="2">
        <v>1.9</v>
      </c>
      <c r="K529" s="2">
        <v>-28</v>
      </c>
      <c r="L529" s="2">
        <v>807.1</v>
      </c>
      <c r="M529" s="2">
        <v>807.1</v>
      </c>
      <c r="N529" s="2">
        <f ca="1">INDEX(INDIRECT(_xlfn.CONCAT("weather.tbl[",N$1,"]")),MATCH(vp.tbl[[#This Row],[SDate]],weather.tbl[Date],0))</f>
        <v>-24.45</v>
      </c>
      <c r="O529" s="2">
        <f ca="1">INDEX(INDIRECT(_xlfn.CONCAT("weather.tbl[",O$1,"]")),MATCH(vp.tbl[[#This Row],[SDate]],weather.tbl[Date],0))</f>
        <v>-20.764285714285712</v>
      </c>
      <c r="P529" s="2">
        <f ca="1">INDEX(INDIRECT(_xlfn.CONCAT("weather.tbl[",P$1,"]")),MATCH(vp.tbl[[#This Row],[SDate]],weather.tbl[Date],0))</f>
        <v>-26.6</v>
      </c>
      <c r="Q529" s="2">
        <f ca="1">INDEX(INDIRECT(_xlfn.CONCAT("weather.tbl[",Q$1,"]")),MATCH(vp.tbl[[#This Row],[SDate]],weather.tbl[Date],0))</f>
        <v>-22.8</v>
      </c>
      <c r="R529" s="2">
        <f ca="1">INDEX(INDIRECT(_xlfn.CONCAT("weather.tbl[",R$1,"]")),MATCH(vp.tbl[[#This Row],[SDate]],weather.tbl[Date],0))</f>
        <v>-25</v>
      </c>
      <c r="S529" s="2">
        <f ca="1">INDEX(INDIRECT(_xlfn.CONCAT("weather.tbl[",S$1,"]")),MATCH(vp.tbl[[#This Row],[SDate]],weather.tbl[Date],0))</f>
        <v>-24.8</v>
      </c>
      <c r="T529" s="2">
        <f ca="1">INDEX(INDIRECT(_xlfn.CONCAT("weather.tbl[",T$1,"]")),MATCH(vp.tbl[[#This Row],[SDate]],weather.tbl[Date],0))</f>
        <v>-27</v>
      </c>
      <c r="U529" s="2">
        <f ca="1">INDEX(INDIRECT(_xlfn.CONCAT("weather.tbl[",U$1,"]")),MATCH(vp.tbl[[#This Row],[SDate]],weather.tbl[Date],0))</f>
        <v>-20.5</v>
      </c>
      <c r="V529" s="2">
        <v>122139.87</v>
      </c>
      <c r="W529" t="s">
        <v>48</v>
      </c>
      <c r="X529">
        <f>IF(OR(vp.tbl[[#This Row],[Sulf]]="",vp.tbl[[#This Row],[Dens]]=""),1,0)</f>
        <v>0</v>
      </c>
      <c r="Y529">
        <f>IF(vp.tbl[[#This Row],[CrudeType]]="C5+",1,0)</f>
        <v>0</v>
      </c>
      <c r="Z529">
        <f>IF(AND(vp.tbl[[#This Row],[CrudeType]]="Crude",vp.tbl[[#This Row],[Dens]]&lt;=825,vp.tbl[[#This Row],[Sulf]]&gt;0.5,vp.tbl[[#This Row],[Unknown]]=0),1,0)</f>
        <v>1</v>
      </c>
      <c r="AA529">
        <f>IF(AND(vp.tbl[[#This Row],[CrudeType]]="Crude",vp.tbl[[#This Row],[Dens]]&lt;=825,vp.tbl[[#This Row],[Sulf]]&lt;=0.5,vp.tbl[[#This Row],[Unknown]]=0),1,0)</f>
        <v>0</v>
      </c>
      <c r="AB529">
        <f>IF(AND(vp.tbl[[#This Row],[CrudeType]]="Crude",vp.tbl[[#This Row],[Dens]]&gt;825,vp.tbl[[#This Row],[Dens]]&lt;=870,vp.tbl[[#This Row],[Sulf]]&gt;0.5,vp.tbl[[#This Row],[Unknown]]=0),1,0)</f>
        <v>0</v>
      </c>
      <c r="AC529">
        <f>IF(AND(vp.tbl[[#This Row],[CrudeType]]="Crude",vp.tbl[[#This Row],[Dens]]&gt;825,vp.tbl[[#This Row],[Dens]]&lt;=900,vp.tbl[[#This Row],[Sulf]]&lt;=0.5,vp.tbl[[#This Row],[Unknown]]=0),1,0)</f>
        <v>0</v>
      </c>
      <c r="AD529">
        <f>IF(AND(vp.tbl[[#This Row],[CrudeType]]="Crude",vp.tbl[[#This Row],[Dens]]&gt;870,vp.tbl[[#This Row],[Dens]]&lt;=900,vp.tbl[[#This Row],[Sulf]]&gt;0.5,vp.tbl[[#This Row],[Unknown]]=0),1,0)</f>
        <v>0</v>
      </c>
      <c r="AE529">
        <f>IF(AND(vp.tbl[[#This Row],[CrudeType]]="Crude",vp.tbl[[#This Row],[Dens]]&gt;900,vp.tbl[[#This Row],[Sulf]]&lt;=0.5,vp.tbl[[#This Row],[Unknown]]=0),1,0)</f>
        <v>0</v>
      </c>
      <c r="AF529">
        <f>IF(AND(vp.tbl[[#This Row],[CrudeType]]="Crude",vp.tbl[[#This Row],[Dens]]&gt;900,vp.tbl[[#This Row],[Sulf]]&lt;=0.5,vp.tbl[[#This Row],[Unknown]]=0),1,0)</f>
        <v>0</v>
      </c>
      <c r="AG529" t="str">
        <f>INDEX(vp.tbl[[#Headers],[Unknown]:[Heavy_SW]],MATCH(1,vp.tbl[[#This Row],[Unknown]:[Heavy_SW]],0))</f>
        <v>Light_LSB</v>
      </c>
      <c r="AH529" t="e">
        <f>INDEX([1]!crudeBD.lkup[Number],MATCH(vp.tbl[[#This Row],[Crude_Breakdown]],[1]!crudeBD.lkup[Crude Breakdown],0))</f>
        <v>#REF!</v>
      </c>
      <c r="AI529">
        <f>MONTH(vp.tbl[[#This Row],[SDate]])</f>
        <v>1</v>
      </c>
      <c r="AJ529" s="5">
        <f>IFERROR(vp.tbl[[#This Row],[Sulf]]*vp.tbl[[#This Row],[Net Dens]],"")</f>
        <v>58161662.555429995</v>
      </c>
      <c r="AK529" s="5">
        <f>IFERROR(vp.tbl[[#This Row],[Dens]]*vp.tbl[[#This Row],[VolumeM3]],"")</f>
        <v>98579089.076999992</v>
      </c>
      <c r="AL529" s="5">
        <f>IFERROR(vp.tbl[[#This Row],[VP]]*vp.tbl[[#This Row],[VolumeM3]],"")</f>
        <v>14058299.036999999</v>
      </c>
      <c r="AM529" s="4">
        <f>IFERROR((vp.tbl[[#This Row],[VP]]-INDEX(crudeBD.lkup.complete[Mean_VP],MATCH(vp.tbl[[#This Row],[Crude_Breakdown]],crudeBD.lkup.complete[Crude Breakdown],0)))^2,"")</f>
        <v>554.78217434371174</v>
      </c>
      <c r="AN529" s="4">
        <f>IFERROR((vp.tbl[[#This Row],[Dens]]-INDEX(crudeBD.lkup.complete[Mean_Dens],MATCH(vp.tbl[[#This Row],[Crude_Breakdown]],crudeBD.lkup.complete[Crude Breakdown],0)))^2,"")</f>
        <v>130.34263174028825</v>
      </c>
      <c r="AO529" s="4">
        <f>IFERROR((vp.tbl[[#This Row],[Sulf]]-INDEX(crudeBD.lkup.complete[Mean_Sulf],MATCH(vp.tbl[[#This Row],[Crude_Breakdown]],crudeBD.lkup.complete[Crude Breakdown],0)))^2,"")</f>
        <v>0.11086979897559178</v>
      </c>
      <c r="AP529">
        <f>IF(AND(vp.tbl[[#This Row],[SDate]]&gt;=DATE(YEAR(vp.tbl[[#This Row],[SDate]]),5,1),vp.tbl[[#This Row],[SDate]]&lt;=DATE(YEAR(vp.tbl[[#This Row],[SDate]]),9,15)),1,0)</f>
        <v>0</v>
      </c>
      <c r="AQ529" s="15">
        <f>IF(vp.tbl[[#This Row],[SDate]]&lt;DATE(2016,12,1),0,1)</f>
        <v>1</v>
      </c>
    </row>
    <row r="530" spans="1:43" x14ac:dyDescent="0.25">
      <c r="A530">
        <v>529</v>
      </c>
      <c r="B530" t="s">
        <v>62</v>
      </c>
      <c r="C530" t="s">
        <v>62</v>
      </c>
      <c r="D530" t="s">
        <v>93</v>
      </c>
      <c r="F530" s="1">
        <v>42742</v>
      </c>
      <c r="G530" s="2">
        <v>113.1</v>
      </c>
      <c r="H530" s="2"/>
      <c r="I530" s="2">
        <v>0.43</v>
      </c>
      <c r="J530" s="2">
        <v>-14.9</v>
      </c>
      <c r="K530" s="2">
        <v>-28</v>
      </c>
      <c r="L530" s="2">
        <v>808.2</v>
      </c>
      <c r="M530" s="2">
        <v>808.2</v>
      </c>
      <c r="N530" s="2">
        <f ca="1">INDEX(INDIRECT(_xlfn.CONCAT("weather.tbl[",N$1,"]")),MATCH(vp.tbl[[#This Row],[SDate]],weather.tbl[Date],0))</f>
        <v>-24.45</v>
      </c>
      <c r="O530" s="2">
        <f ca="1">INDEX(INDIRECT(_xlfn.CONCAT("weather.tbl[",O$1,"]")),MATCH(vp.tbl[[#This Row],[SDate]],weather.tbl[Date],0))</f>
        <v>-20.764285714285712</v>
      </c>
      <c r="P530" s="2">
        <f ca="1">INDEX(INDIRECT(_xlfn.CONCAT("weather.tbl[",P$1,"]")),MATCH(vp.tbl[[#This Row],[SDate]],weather.tbl[Date],0))</f>
        <v>-26.6</v>
      </c>
      <c r="Q530" s="2">
        <f ca="1">INDEX(INDIRECT(_xlfn.CONCAT("weather.tbl[",Q$1,"]")),MATCH(vp.tbl[[#This Row],[SDate]],weather.tbl[Date],0))</f>
        <v>-22.8</v>
      </c>
      <c r="R530" s="2">
        <f ca="1">INDEX(INDIRECT(_xlfn.CONCAT("weather.tbl[",R$1,"]")),MATCH(vp.tbl[[#This Row],[SDate]],weather.tbl[Date],0))</f>
        <v>-25</v>
      </c>
      <c r="S530" s="2">
        <f ca="1">INDEX(INDIRECT(_xlfn.CONCAT("weather.tbl[",S$1,"]")),MATCH(vp.tbl[[#This Row],[SDate]],weather.tbl[Date],0))</f>
        <v>-24.8</v>
      </c>
      <c r="T530" s="2">
        <f ca="1">INDEX(INDIRECT(_xlfn.CONCAT("weather.tbl[",T$1,"]")),MATCH(vp.tbl[[#This Row],[SDate]],weather.tbl[Date],0))</f>
        <v>-27</v>
      </c>
      <c r="U530" s="2">
        <f ca="1">INDEX(INDIRECT(_xlfn.CONCAT("weather.tbl[",U$1,"]")),MATCH(vp.tbl[[#This Row],[SDate]],weather.tbl[Date],0))</f>
        <v>-20.5</v>
      </c>
      <c r="V530" s="2">
        <v>505.60500000000002</v>
      </c>
      <c r="W530" t="s">
        <v>48</v>
      </c>
      <c r="X530">
        <f>IF(OR(vp.tbl[[#This Row],[Sulf]]="",vp.tbl[[#This Row],[Dens]]=""),1,0)</f>
        <v>0</v>
      </c>
      <c r="Y530">
        <f>IF(vp.tbl[[#This Row],[CrudeType]]="C5+",1,0)</f>
        <v>0</v>
      </c>
      <c r="Z530">
        <f>IF(AND(vp.tbl[[#This Row],[CrudeType]]="Crude",vp.tbl[[#This Row],[Dens]]&lt;=825,vp.tbl[[#This Row],[Sulf]]&gt;0.5,vp.tbl[[#This Row],[Unknown]]=0),1,0)</f>
        <v>0</v>
      </c>
      <c r="AA530">
        <f>IF(AND(vp.tbl[[#This Row],[CrudeType]]="Crude",vp.tbl[[#This Row],[Dens]]&lt;=825,vp.tbl[[#This Row],[Sulf]]&lt;=0.5,vp.tbl[[#This Row],[Unknown]]=0),1,0)</f>
        <v>1</v>
      </c>
      <c r="AB530">
        <f>IF(AND(vp.tbl[[#This Row],[CrudeType]]="Crude",vp.tbl[[#This Row],[Dens]]&gt;825,vp.tbl[[#This Row],[Dens]]&lt;=870,vp.tbl[[#This Row],[Sulf]]&gt;0.5,vp.tbl[[#This Row],[Unknown]]=0),1,0)</f>
        <v>0</v>
      </c>
      <c r="AC530">
        <f>IF(AND(vp.tbl[[#This Row],[CrudeType]]="Crude",vp.tbl[[#This Row],[Dens]]&gt;825,vp.tbl[[#This Row],[Dens]]&lt;=900,vp.tbl[[#This Row],[Sulf]]&lt;=0.5,vp.tbl[[#This Row],[Unknown]]=0),1,0)</f>
        <v>0</v>
      </c>
      <c r="AD530">
        <f>IF(AND(vp.tbl[[#This Row],[CrudeType]]="Crude",vp.tbl[[#This Row],[Dens]]&gt;870,vp.tbl[[#This Row],[Dens]]&lt;=900,vp.tbl[[#This Row],[Sulf]]&gt;0.5,vp.tbl[[#This Row],[Unknown]]=0),1,0)</f>
        <v>0</v>
      </c>
      <c r="AE530">
        <f>IF(AND(vp.tbl[[#This Row],[CrudeType]]="Crude",vp.tbl[[#This Row],[Dens]]&gt;900,vp.tbl[[#This Row],[Sulf]]&lt;=0.5,vp.tbl[[#This Row],[Unknown]]=0),1,0)</f>
        <v>0</v>
      </c>
      <c r="AF530">
        <f>IF(AND(vp.tbl[[#This Row],[CrudeType]]="Crude",vp.tbl[[#This Row],[Dens]]&gt;900,vp.tbl[[#This Row],[Sulf]]&lt;=0.5,vp.tbl[[#This Row],[Unknown]]=0),1,0)</f>
        <v>0</v>
      </c>
      <c r="AG530" t="str">
        <f>INDEX(vp.tbl[[#Headers],[Unknown]:[Heavy_SW]],MATCH(1,vp.tbl[[#This Row],[Unknown]:[Heavy_SW]],0))</f>
        <v>Light_SW</v>
      </c>
      <c r="AH530" t="e">
        <f>INDEX([1]!crudeBD.lkup[Number],MATCH(vp.tbl[[#This Row],[Crude_Breakdown]],[1]!crudeBD.lkup[Crude Breakdown],0))</f>
        <v>#REF!</v>
      </c>
      <c r="AI530">
        <f>MONTH(vp.tbl[[#This Row],[SDate]])</f>
        <v>1</v>
      </c>
      <c r="AJ530" s="5">
        <f>IFERROR(vp.tbl[[#This Row],[Sulf]]*vp.tbl[[#This Row],[Net Dens]],"")</f>
        <v>175710.88323000001</v>
      </c>
      <c r="AK530" s="5">
        <f>IFERROR(vp.tbl[[#This Row],[Dens]]*vp.tbl[[#This Row],[VolumeM3]],"")</f>
        <v>408629.96100000001</v>
      </c>
      <c r="AL530" s="5">
        <f>IFERROR(vp.tbl[[#This Row],[VP]]*vp.tbl[[#This Row],[VolumeM3]],"")</f>
        <v>57183.925499999998</v>
      </c>
      <c r="AM530" s="4">
        <f>IFERROR((vp.tbl[[#This Row],[VP]]-INDEX(crudeBD.lkup.complete[Mean_VP],MATCH(vp.tbl[[#This Row],[Crude_Breakdown]],crudeBD.lkup.complete[Crude Breakdown],0)))^2,"")</f>
        <v>422.28961159659679</v>
      </c>
      <c r="AN530" s="4">
        <f>IFERROR((vp.tbl[[#This Row],[Dens]]-INDEX(crudeBD.lkup.complete[Mean_Dens],MATCH(vp.tbl[[#This Row],[Crude_Breakdown]],crudeBD.lkup.complete[Crude Breakdown],0)))^2,"")</f>
        <v>1.2431861501234131E-2</v>
      </c>
      <c r="AO530" s="4">
        <f>IFERROR((vp.tbl[[#This Row],[Sulf]]-INDEX(crudeBD.lkup.complete[Mean_Sulf],MATCH(vp.tbl[[#This Row],[Crude_Breakdown]],crudeBD.lkup.complete[Crude Breakdown],0)))^2,"")</f>
        <v>3.7542235476453578E-2</v>
      </c>
      <c r="AP530">
        <f>IF(AND(vp.tbl[[#This Row],[SDate]]&gt;=DATE(YEAR(vp.tbl[[#This Row],[SDate]]),5,1),vp.tbl[[#This Row],[SDate]]&lt;=DATE(YEAR(vp.tbl[[#This Row],[SDate]]),9,15)),1,0)</f>
        <v>0</v>
      </c>
      <c r="AQ530" s="15">
        <f>IF(vp.tbl[[#This Row],[SDate]]&lt;DATE(2016,12,1),0,1)</f>
        <v>1</v>
      </c>
    </row>
    <row r="531" spans="1:43" x14ac:dyDescent="0.25">
      <c r="A531">
        <v>530</v>
      </c>
      <c r="B531" t="s">
        <v>62</v>
      </c>
      <c r="C531" t="s">
        <v>62</v>
      </c>
      <c r="D531" t="s">
        <v>79</v>
      </c>
      <c r="F531" s="1">
        <v>42742</v>
      </c>
      <c r="G531" s="2">
        <v>104.6</v>
      </c>
      <c r="H531" s="2"/>
      <c r="I531" s="2">
        <v>0.28000000000000003</v>
      </c>
      <c r="J531" s="2">
        <v>10.4</v>
      </c>
      <c r="K531" s="2">
        <v>-28</v>
      </c>
      <c r="L531" s="2">
        <v>811.1</v>
      </c>
      <c r="M531" s="2">
        <v>811.1</v>
      </c>
      <c r="N531" s="2">
        <f ca="1">INDEX(INDIRECT(_xlfn.CONCAT("weather.tbl[",N$1,"]")),MATCH(vp.tbl[[#This Row],[SDate]],weather.tbl[Date],0))</f>
        <v>-24.45</v>
      </c>
      <c r="O531" s="2">
        <f ca="1">INDEX(INDIRECT(_xlfn.CONCAT("weather.tbl[",O$1,"]")),MATCH(vp.tbl[[#This Row],[SDate]],weather.tbl[Date],0))</f>
        <v>-20.764285714285712</v>
      </c>
      <c r="P531" s="2">
        <f ca="1">INDEX(INDIRECT(_xlfn.CONCAT("weather.tbl[",P$1,"]")),MATCH(vp.tbl[[#This Row],[SDate]],weather.tbl[Date],0))</f>
        <v>-26.6</v>
      </c>
      <c r="Q531" s="2">
        <f ca="1">INDEX(INDIRECT(_xlfn.CONCAT("weather.tbl[",Q$1,"]")),MATCH(vp.tbl[[#This Row],[SDate]],weather.tbl[Date],0))</f>
        <v>-22.8</v>
      </c>
      <c r="R531" s="2">
        <f ca="1">INDEX(INDIRECT(_xlfn.CONCAT("weather.tbl[",R$1,"]")),MATCH(vp.tbl[[#This Row],[SDate]],weather.tbl[Date],0))</f>
        <v>-25</v>
      </c>
      <c r="S531" s="2">
        <f ca="1">INDEX(INDIRECT(_xlfn.CONCAT("weather.tbl[",S$1,"]")),MATCH(vp.tbl[[#This Row],[SDate]],weather.tbl[Date],0))</f>
        <v>-24.8</v>
      </c>
      <c r="T531" s="2">
        <f ca="1">INDEX(INDIRECT(_xlfn.CONCAT("weather.tbl[",T$1,"]")),MATCH(vp.tbl[[#This Row],[SDate]],weather.tbl[Date],0))</f>
        <v>-27</v>
      </c>
      <c r="U531" s="2">
        <f ca="1">INDEX(INDIRECT(_xlfn.CONCAT("weather.tbl[",U$1,"]")),MATCH(vp.tbl[[#This Row],[SDate]],weather.tbl[Date],0))</f>
        <v>-20.5</v>
      </c>
      <c r="V531" s="2">
        <v>14036.508</v>
      </c>
      <c r="W531" t="s">
        <v>48</v>
      </c>
      <c r="X531">
        <f>IF(OR(vp.tbl[[#This Row],[Sulf]]="",vp.tbl[[#This Row],[Dens]]=""),1,0)</f>
        <v>0</v>
      </c>
      <c r="Y531">
        <f>IF(vp.tbl[[#This Row],[CrudeType]]="C5+",1,0)</f>
        <v>0</v>
      </c>
      <c r="Z531">
        <f>IF(AND(vp.tbl[[#This Row],[CrudeType]]="Crude",vp.tbl[[#This Row],[Dens]]&lt;=825,vp.tbl[[#This Row],[Sulf]]&gt;0.5,vp.tbl[[#This Row],[Unknown]]=0),1,0)</f>
        <v>0</v>
      </c>
      <c r="AA531">
        <f>IF(AND(vp.tbl[[#This Row],[CrudeType]]="Crude",vp.tbl[[#This Row],[Dens]]&lt;=825,vp.tbl[[#This Row],[Sulf]]&lt;=0.5,vp.tbl[[#This Row],[Unknown]]=0),1,0)</f>
        <v>1</v>
      </c>
      <c r="AB531">
        <f>IF(AND(vp.tbl[[#This Row],[CrudeType]]="Crude",vp.tbl[[#This Row],[Dens]]&gt;825,vp.tbl[[#This Row],[Dens]]&lt;=870,vp.tbl[[#This Row],[Sulf]]&gt;0.5,vp.tbl[[#This Row],[Unknown]]=0),1,0)</f>
        <v>0</v>
      </c>
      <c r="AC531">
        <f>IF(AND(vp.tbl[[#This Row],[CrudeType]]="Crude",vp.tbl[[#This Row],[Dens]]&gt;825,vp.tbl[[#This Row],[Dens]]&lt;=900,vp.tbl[[#This Row],[Sulf]]&lt;=0.5,vp.tbl[[#This Row],[Unknown]]=0),1,0)</f>
        <v>0</v>
      </c>
      <c r="AD531">
        <f>IF(AND(vp.tbl[[#This Row],[CrudeType]]="Crude",vp.tbl[[#This Row],[Dens]]&gt;870,vp.tbl[[#This Row],[Dens]]&lt;=900,vp.tbl[[#This Row],[Sulf]]&gt;0.5,vp.tbl[[#This Row],[Unknown]]=0),1,0)</f>
        <v>0</v>
      </c>
      <c r="AE531">
        <f>IF(AND(vp.tbl[[#This Row],[CrudeType]]="Crude",vp.tbl[[#This Row],[Dens]]&gt;900,vp.tbl[[#This Row],[Sulf]]&lt;=0.5,vp.tbl[[#This Row],[Unknown]]=0),1,0)</f>
        <v>0</v>
      </c>
      <c r="AF531">
        <f>IF(AND(vp.tbl[[#This Row],[CrudeType]]="Crude",vp.tbl[[#This Row],[Dens]]&gt;900,vp.tbl[[#This Row],[Sulf]]&lt;=0.5,vp.tbl[[#This Row],[Unknown]]=0),1,0)</f>
        <v>0</v>
      </c>
      <c r="AG531" t="str">
        <f>INDEX(vp.tbl[[#Headers],[Unknown]:[Heavy_SW]],MATCH(1,vp.tbl[[#This Row],[Unknown]:[Heavy_SW]],0))</f>
        <v>Light_SW</v>
      </c>
      <c r="AH531" t="e">
        <f>INDEX([1]!crudeBD.lkup[Number],MATCH(vp.tbl[[#This Row],[Crude_Breakdown]],[1]!crudeBD.lkup[Crude Breakdown],0))</f>
        <v>#REF!</v>
      </c>
      <c r="AI531">
        <f>MONTH(vp.tbl[[#This Row],[SDate]])</f>
        <v>1</v>
      </c>
      <c r="AJ531" s="5">
        <f>IFERROR(vp.tbl[[#This Row],[Sulf]]*vp.tbl[[#This Row],[Net Dens]],"")</f>
        <v>3187803.2588640004</v>
      </c>
      <c r="AK531" s="5">
        <f>IFERROR(vp.tbl[[#This Row],[Dens]]*vp.tbl[[#This Row],[VolumeM3]],"")</f>
        <v>11385011.638800001</v>
      </c>
      <c r="AL531" s="5">
        <f>IFERROR(vp.tbl[[#This Row],[VP]]*vp.tbl[[#This Row],[VolumeM3]],"")</f>
        <v>1468218.7367999998</v>
      </c>
      <c r="AM531" s="4">
        <f>IFERROR((vp.tbl[[#This Row],[VP]]-INDEX(crudeBD.lkup.complete[Mean_VP],MATCH(vp.tbl[[#This Row],[Crude_Breakdown]],crudeBD.lkup.complete[Crude Breakdown],0)))^2,"")</f>
        <v>145.19494260704934</v>
      </c>
      <c r="AN531" s="4">
        <f>IFERROR((vp.tbl[[#This Row],[Dens]]-INDEX(crudeBD.lkup.complete[Mean_Dens],MATCH(vp.tbl[[#This Row],[Crude_Breakdown]],crudeBD.lkup.complete[Crude Breakdown],0)))^2,"")</f>
        <v>7.7757419660322542</v>
      </c>
      <c r="AO531" s="4">
        <f>IFERROR((vp.tbl[[#This Row],[Sulf]]-INDEX(crudeBD.lkup.complete[Mean_Sulf],MATCH(vp.tbl[[#This Row],[Crude_Breakdown]],crudeBD.lkup.complete[Crude Breakdown],0)))^2,"")</f>
        <v>1.9147790304605045E-3</v>
      </c>
      <c r="AP531">
        <f>IF(AND(vp.tbl[[#This Row],[SDate]]&gt;=DATE(YEAR(vp.tbl[[#This Row],[SDate]]),5,1),vp.tbl[[#This Row],[SDate]]&lt;=DATE(YEAR(vp.tbl[[#This Row],[SDate]]),9,15)),1,0)</f>
        <v>0</v>
      </c>
      <c r="AQ531" s="15">
        <f>IF(vp.tbl[[#This Row],[SDate]]&lt;DATE(2016,12,1),0,1)</f>
        <v>1</v>
      </c>
    </row>
    <row r="532" spans="1:43" x14ac:dyDescent="0.25">
      <c r="A532">
        <v>531</v>
      </c>
      <c r="B532" t="s">
        <v>62</v>
      </c>
      <c r="C532" t="s">
        <v>62</v>
      </c>
      <c r="D532" t="s">
        <v>63</v>
      </c>
      <c r="F532" s="1">
        <v>42742</v>
      </c>
      <c r="G532" s="2">
        <v>108.6</v>
      </c>
      <c r="H532" s="2"/>
      <c r="I532" s="2">
        <v>1.48</v>
      </c>
      <c r="J532" s="2">
        <v>5.9</v>
      </c>
      <c r="K532" s="2">
        <v>-28</v>
      </c>
      <c r="L532" s="2">
        <v>816.9</v>
      </c>
      <c r="M532" s="2">
        <v>816.9</v>
      </c>
      <c r="N532" s="2">
        <f ca="1">INDEX(INDIRECT(_xlfn.CONCAT("weather.tbl[",N$1,"]")),MATCH(vp.tbl[[#This Row],[SDate]],weather.tbl[Date],0))</f>
        <v>-24.45</v>
      </c>
      <c r="O532" s="2">
        <f ca="1">INDEX(INDIRECT(_xlfn.CONCAT("weather.tbl[",O$1,"]")),MATCH(vp.tbl[[#This Row],[SDate]],weather.tbl[Date],0))</f>
        <v>-20.764285714285712</v>
      </c>
      <c r="P532" s="2">
        <f ca="1">INDEX(INDIRECT(_xlfn.CONCAT("weather.tbl[",P$1,"]")),MATCH(vp.tbl[[#This Row],[SDate]],weather.tbl[Date],0))</f>
        <v>-26.6</v>
      </c>
      <c r="Q532" s="2">
        <f ca="1">INDEX(INDIRECT(_xlfn.CONCAT("weather.tbl[",Q$1,"]")),MATCH(vp.tbl[[#This Row],[SDate]],weather.tbl[Date],0))</f>
        <v>-22.8</v>
      </c>
      <c r="R532" s="2">
        <f ca="1">INDEX(INDIRECT(_xlfn.CONCAT("weather.tbl[",R$1,"]")),MATCH(vp.tbl[[#This Row],[SDate]],weather.tbl[Date],0))</f>
        <v>-25</v>
      </c>
      <c r="S532" s="2">
        <f ca="1">INDEX(INDIRECT(_xlfn.CONCAT("weather.tbl[",S$1,"]")),MATCH(vp.tbl[[#This Row],[SDate]],weather.tbl[Date],0))</f>
        <v>-24.8</v>
      </c>
      <c r="T532" s="2">
        <f ca="1">INDEX(INDIRECT(_xlfn.CONCAT("weather.tbl[",T$1,"]")),MATCH(vp.tbl[[#This Row],[SDate]],weather.tbl[Date],0))</f>
        <v>-27</v>
      </c>
      <c r="U532" s="2">
        <f ca="1">INDEX(INDIRECT(_xlfn.CONCAT("weather.tbl[",U$1,"]")),MATCH(vp.tbl[[#This Row],[SDate]],weather.tbl[Date],0))</f>
        <v>-20.5</v>
      </c>
      <c r="V532" s="2">
        <v>4893.7520000000004</v>
      </c>
      <c r="W532" t="s">
        <v>48</v>
      </c>
      <c r="X532">
        <f>IF(OR(vp.tbl[[#This Row],[Sulf]]="",vp.tbl[[#This Row],[Dens]]=""),1,0)</f>
        <v>0</v>
      </c>
      <c r="Y532">
        <f>IF(vp.tbl[[#This Row],[CrudeType]]="C5+",1,0)</f>
        <v>0</v>
      </c>
      <c r="Z532">
        <f>IF(AND(vp.tbl[[#This Row],[CrudeType]]="Crude",vp.tbl[[#This Row],[Dens]]&lt;=825,vp.tbl[[#This Row],[Sulf]]&gt;0.5,vp.tbl[[#This Row],[Unknown]]=0),1,0)</f>
        <v>1</v>
      </c>
      <c r="AA532">
        <f>IF(AND(vp.tbl[[#This Row],[CrudeType]]="Crude",vp.tbl[[#This Row],[Dens]]&lt;=825,vp.tbl[[#This Row],[Sulf]]&lt;=0.5,vp.tbl[[#This Row],[Unknown]]=0),1,0)</f>
        <v>0</v>
      </c>
      <c r="AB532">
        <f>IF(AND(vp.tbl[[#This Row],[CrudeType]]="Crude",vp.tbl[[#This Row],[Dens]]&gt;825,vp.tbl[[#This Row],[Dens]]&lt;=870,vp.tbl[[#This Row],[Sulf]]&gt;0.5,vp.tbl[[#This Row],[Unknown]]=0),1,0)</f>
        <v>0</v>
      </c>
      <c r="AC532">
        <f>IF(AND(vp.tbl[[#This Row],[CrudeType]]="Crude",vp.tbl[[#This Row],[Dens]]&gt;825,vp.tbl[[#This Row],[Dens]]&lt;=900,vp.tbl[[#This Row],[Sulf]]&lt;=0.5,vp.tbl[[#This Row],[Unknown]]=0),1,0)</f>
        <v>0</v>
      </c>
      <c r="AD532">
        <f>IF(AND(vp.tbl[[#This Row],[CrudeType]]="Crude",vp.tbl[[#This Row],[Dens]]&gt;870,vp.tbl[[#This Row],[Dens]]&lt;=900,vp.tbl[[#This Row],[Sulf]]&gt;0.5,vp.tbl[[#This Row],[Unknown]]=0),1,0)</f>
        <v>0</v>
      </c>
      <c r="AE532">
        <f>IF(AND(vp.tbl[[#This Row],[CrudeType]]="Crude",vp.tbl[[#This Row],[Dens]]&gt;900,vp.tbl[[#This Row],[Sulf]]&lt;=0.5,vp.tbl[[#This Row],[Unknown]]=0),1,0)</f>
        <v>0</v>
      </c>
      <c r="AF532">
        <f>IF(AND(vp.tbl[[#This Row],[CrudeType]]="Crude",vp.tbl[[#This Row],[Dens]]&gt;900,vp.tbl[[#This Row],[Sulf]]&lt;=0.5,vp.tbl[[#This Row],[Unknown]]=0),1,0)</f>
        <v>0</v>
      </c>
      <c r="AG532" t="str">
        <f>INDEX(vp.tbl[[#Headers],[Unknown]:[Heavy_SW]],MATCH(1,vp.tbl[[#This Row],[Unknown]:[Heavy_SW]],0))</f>
        <v>Light_LSB</v>
      </c>
      <c r="AH532" t="e">
        <f>INDEX([1]!crudeBD.lkup[Number],MATCH(vp.tbl[[#This Row],[Crude_Breakdown]],[1]!crudeBD.lkup[Crude Breakdown],0))</f>
        <v>#REF!</v>
      </c>
      <c r="AI532">
        <f>MONTH(vp.tbl[[#This Row],[SDate]])</f>
        <v>1</v>
      </c>
      <c r="AJ532" s="5">
        <f>IFERROR(vp.tbl[[#This Row],[Sulf]]*vp.tbl[[#This Row],[Net Dens]],"")</f>
        <v>5916604.8930240003</v>
      </c>
      <c r="AK532" s="5">
        <f>IFERROR(vp.tbl[[#This Row],[Dens]]*vp.tbl[[#This Row],[VolumeM3]],"")</f>
        <v>3997706.0088000004</v>
      </c>
      <c r="AL532" s="5">
        <f>IFERROR(vp.tbl[[#This Row],[VP]]*vp.tbl[[#This Row],[VolumeM3]],"")</f>
        <v>531461.46720000007</v>
      </c>
      <c r="AM532" s="4">
        <f>IFERROR((vp.tbl[[#This Row],[VP]]-INDEX(crudeBD.lkup.complete[Mean_VP],MATCH(vp.tbl[[#This Row],[Crude_Breakdown]],crudeBD.lkup.complete[Crude Breakdown],0)))^2,"")</f>
        <v>290.83258671484623</v>
      </c>
      <c r="AN532" s="4">
        <f>IFERROR((vp.tbl[[#This Row],[Dens]]-INDEX(crudeBD.lkup.complete[Mean_Dens],MATCH(vp.tbl[[#This Row],[Crude_Breakdown]],crudeBD.lkup.complete[Crude Breakdown],0)))^2,"")</f>
        <v>2.6139444550716244</v>
      </c>
      <c r="AO532" s="4">
        <f>IFERROR((vp.tbl[[#This Row],[Sulf]]-INDEX(crudeBD.lkup.complete[Mean_Sulf],MATCH(vp.tbl[[#This Row],[Crude_Breakdown]],crudeBD.lkup.complete[Crude Breakdown],0)))^2,"")</f>
        <v>0.31028111925050628</v>
      </c>
      <c r="AP532">
        <f>IF(AND(vp.tbl[[#This Row],[SDate]]&gt;=DATE(YEAR(vp.tbl[[#This Row],[SDate]]),5,1),vp.tbl[[#This Row],[SDate]]&lt;=DATE(YEAR(vp.tbl[[#This Row],[SDate]]),9,15)),1,0)</f>
        <v>0</v>
      </c>
      <c r="AQ532" s="15">
        <f>IF(vp.tbl[[#This Row],[SDate]]&lt;DATE(2016,12,1),0,1)</f>
        <v>1</v>
      </c>
    </row>
    <row r="533" spans="1:43" x14ac:dyDescent="0.25">
      <c r="A533">
        <v>532</v>
      </c>
      <c r="B533" t="s">
        <v>49</v>
      </c>
      <c r="C533" t="s">
        <v>49</v>
      </c>
      <c r="D533" t="s">
        <v>80</v>
      </c>
      <c r="F533" s="1">
        <v>42742</v>
      </c>
      <c r="G533" s="2">
        <v>90.9</v>
      </c>
      <c r="H533" s="2"/>
      <c r="I533" s="2">
        <v>0.59</v>
      </c>
      <c r="J533" s="2">
        <v>11.7</v>
      </c>
      <c r="K533" s="2">
        <v>-28</v>
      </c>
      <c r="L533" s="2">
        <v>819.3</v>
      </c>
      <c r="M533" s="2">
        <v>819.3</v>
      </c>
      <c r="N533" s="2">
        <f ca="1">INDEX(INDIRECT(_xlfn.CONCAT("weather.tbl[",N$1,"]")),MATCH(vp.tbl[[#This Row],[SDate]],weather.tbl[Date],0))</f>
        <v>-24.45</v>
      </c>
      <c r="O533" s="2">
        <f ca="1">INDEX(INDIRECT(_xlfn.CONCAT("weather.tbl[",O$1,"]")),MATCH(vp.tbl[[#This Row],[SDate]],weather.tbl[Date],0))</f>
        <v>-20.764285714285712</v>
      </c>
      <c r="P533" s="2">
        <f ca="1">INDEX(INDIRECT(_xlfn.CONCAT("weather.tbl[",P$1,"]")),MATCH(vp.tbl[[#This Row],[SDate]],weather.tbl[Date],0))</f>
        <v>-26.6</v>
      </c>
      <c r="Q533" s="2">
        <f ca="1">INDEX(INDIRECT(_xlfn.CONCAT("weather.tbl[",Q$1,"]")),MATCH(vp.tbl[[#This Row],[SDate]],weather.tbl[Date],0))</f>
        <v>-22.8</v>
      </c>
      <c r="R533" s="2">
        <f ca="1">INDEX(INDIRECT(_xlfn.CONCAT("weather.tbl[",R$1,"]")),MATCH(vp.tbl[[#This Row],[SDate]],weather.tbl[Date],0))</f>
        <v>-25</v>
      </c>
      <c r="S533" s="2">
        <f ca="1">INDEX(INDIRECT(_xlfn.CONCAT("weather.tbl[",S$1,"]")),MATCH(vp.tbl[[#This Row],[SDate]],weather.tbl[Date],0))</f>
        <v>-24.8</v>
      </c>
      <c r="T533" s="2">
        <f ca="1">INDEX(INDIRECT(_xlfn.CONCAT("weather.tbl[",T$1,"]")),MATCH(vp.tbl[[#This Row],[SDate]],weather.tbl[Date],0))</f>
        <v>-27</v>
      </c>
      <c r="U533" s="2">
        <f ca="1">INDEX(INDIRECT(_xlfn.CONCAT("weather.tbl[",U$1,"]")),MATCH(vp.tbl[[#This Row],[SDate]],weather.tbl[Date],0))</f>
        <v>-20.5</v>
      </c>
      <c r="V533" s="2">
        <v>21030.911</v>
      </c>
      <c r="W533" t="s">
        <v>48</v>
      </c>
      <c r="X533">
        <f>IF(OR(vp.tbl[[#This Row],[Sulf]]="",vp.tbl[[#This Row],[Dens]]=""),1,0)</f>
        <v>0</v>
      </c>
      <c r="Y533">
        <f>IF(vp.tbl[[#This Row],[CrudeType]]="C5+",1,0)</f>
        <v>0</v>
      </c>
      <c r="Z533">
        <f>IF(AND(vp.tbl[[#This Row],[CrudeType]]="Crude",vp.tbl[[#This Row],[Dens]]&lt;=825,vp.tbl[[#This Row],[Sulf]]&gt;0.5,vp.tbl[[#This Row],[Unknown]]=0),1,0)</f>
        <v>1</v>
      </c>
      <c r="AA533">
        <f>IF(AND(vp.tbl[[#This Row],[CrudeType]]="Crude",vp.tbl[[#This Row],[Dens]]&lt;=825,vp.tbl[[#This Row],[Sulf]]&lt;=0.5,vp.tbl[[#This Row],[Unknown]]=0),1,0)</f>
        <v>0</v>
      </c>
      <c r="AB533">
        <f>IF(AND(vp.tbl[[#This Row],[CrudeType]]="Crude",vp.tbl[[#This Row],[Dens]]&gt;825,vp.tbl[[#This Row],[Dens]]&lt;=870,vp.tbl[[#This Row],[Sulf]]&gt;0.5,vp.tbl[[#This Row],[Unknown]]=0),1,0)</f>
        <v>0</v>
      </c>
      <c r="AC533">
        <f>IF(AND(vp.tbl[[#This Row],[CrudeType]]="Crude",vp.tbl[[#This Row],[Dens]]&gt;825,vp.tbl[[#This Row],[Dens]]&lt;=900,vp.tbl[[#This Row],[Sulf]]&lt;=0.5,vp.tbl[[#This Row],[Unknown]]=0),1,0)</f>
        <v>0</v>
      </c>
      <c r="AD533">
        <f>IF(AND(vp.tbl[[#This Row],[CrudeType]]="Crude",vp.tbl[[#This Row],[Dens]]&gt;870,vp.tbl[[#This Row],[Dens]]&lt;=900,vp.tbl[[#This Row],[Sulf]]&gt;0.5,vp.tbl[[#This Row],[Unknown]]=0),1,0)</f>
        <v>0</v>
      </c>
      <c r="AE533">
        <f>IF(AND(vp.tbl[[#This Row],[CrudeType]]="Crude",vp.tbl[[#This Row],[Dens]]&gt;900,vp.tbl[[#This Row],[Sulf]]&lt;=0.5,vp.tbl[[#This Row],[Unknown]]=0),1,0)</f>
        <v>0</v>
      </c>
      <c r="AF533">
        <f>IF(AND(vp.tbl[[#This Row],[CrudeType]]="Crude",vp.tbl[[#This Row],[Dens]]&gt;900,vp.tbl[[#This Row],[Sulf]]&lt;=0.5,vp.tbl[[#This Row],[Unknown]]=0),1,0)</f>
        <v>0</v>
      </c>
      <c r="AG533" t="str">
        <f>INDEX(vp.tbl[[#Headers],[Unknown]:[Heavy_SW]],MATCH(1,vp.tbl[[#This Row],[Unknown]:[Heavy_SW]],0))</f>
        <v>Light_LSB</v>
      </c>
      <c r="AH533" t="e">
        <f>INDEX([1]!crudeBD.lkup[Number],MATCH(vp.tbl[[#This Row],[Crude_Breakdown]],[1]!crudeBD.lkup[Crude Breakdown],0))</f>
        <v>#REF!</v>
      </c>
      <c r="AI533">
        <f>MONTH(vp.tbl[[#This Row],[SDate]])</f>
        <v>1</v>
      </c>
      <c r="AJ533" s="5">
        <f>IFERROR(vp.tbl[[#This Row],[Sulf]]*vp.tbl[[#This Row],[Net Dens]],"")</f>
        <v>10166068.975556999</v>
      </c>
      <c r="AK533" s="5">
        <f>IFERROR(vp.tbl[[#This Row],[Dens]]*vp.tbl[[#This Row],[VolumeM3]],"")</f>
        <v>17230625.382300001</v>
      </c>
      <c r="AL533" s="5">
        <f>IFERROR(vp.tbl[[#This Row],[VP]]*vp.tbl[[#This Row],[VolumeM3]],"")</f>
        <v>1911709.8099000002</v>
      </c>
      <c r="AM533" s="4">
        <f>IFERROR((vp.tbl[[#This Row],[VP]]-INDEX(crudeBD.lkup.complete[Mean_VP],MATCH(vp.tbl[[#This Row],[Crude_Breakdown]],crudeBD.lkup.complete[Crude Breakdown],0)))^2,"")</f>
        <v>0.41755578701246776</v>
      </c>
      <c r="AN533" s="4">
        <f>IFERROR((vp.tbl[[#This Row],[Dens]]-INDEX(crudeBD.lkup.complete[Mean_Dens],MATCH(vp.tbl[[#This Row],[Crude_Breakdown]],crudeBD.lkup.complete[Crude Breakdown],0)))^2,"")</f>
        <v>0.61344960971216256</v>
      </c>
      <c r="AO533" s="4">
        <f>IFERROR((vp.tbl[[#This Row],[Sulf]]-INDEX(crudeBD.lkup.complete[Mean_Sulf],MATCH(vp.tbl[[#This Row],[Crude_Breakdown]],crudeBD.lkup.complete[Crude Breakdown],0)))^2,"")</f>
        <v>0.11086979897559178</v>
      </c>
      <c r="AP533">
        <f>IF(AND(vp.tbl[[#This Row],[SDate]]&gt;=DATE(YEAR(vp.tbl[[#This Row],[SDate]]),5,1),vp.tbl[[#This Row],[SDate]]&lt;=DATE(YEAR(vp.tbl[[#This Row],[SDate]]),9,15)),1,0)</f>
        <v>0</v>
      </c>
      <c r="AQ533" s="15">
        <f>IF(vp.tbl[[#This Row],[SDate]]&lt;DATE(2016,12,1),0,1)</f>
        <v>1</v>
      </c>
    </row>
    <row r="534" spans="1:43" x14ac:dyDescent="0.25">
      <c r="A534">
        <v>533</v>
      </c>
      <c r="B534" t="s">
        <v>49</v>
      </c>
      <c r="C534" t="s">
        <v>49</v>
      </c>
      <c r="D534" t="s">
        <v>89</v>
      </c>
      <c r="F534" s="1">
        <v>42742</v>
      </c>
      <c r="G534" s="2">
        <v>104.5</v>
      </c>
      <c r="H534" s="2"/>
      <c r="I534" s="2">
        <v>0.7</v>
      </c>
      <c r="J534" s="2">
        <v>2.8</v>
      </c>
      <c r="K534" s="2">
        <v>-28</v>
      </c>
      <c r="L534" s="2">
        <v>819.4</v>
      </c>
      <c r="M534" s="2">
        <v>819.4</v>
      </c>
      <c r="N534" s="2">
        <f ca="1">INDEX(INDIRECT(_xlfn.CONCAT("weather.tbl[",N$1,"]")),MATCH(vp.tbl[[#This Row],[SDate]],weather.tbl[Date],0))</f>
        <v>-24.45</v>
      </c>
      <c r="O534" s="2">
        <f ca="1">INDEX(INDIRECT(_xlfn.CONCAT("weather.tbl[",O$1,"]")),MATCH(vp.tbl[[#This Row],[SDate]],weather.tbl[Date],0))</f>
        <v>-20.764285714285712</v>
      </c>
      <c r="P534" s="2">
        <f ca="1">INDEX(INDIRECT(_xlfn.CONCAT("weather.tbl[",P$1,"]")),MATCH(vp.tbl[[#This Row],[SDate]],weather.tbl[Date],0))</f>
        <v>-26.6</v>
      </c>
      <c r="Q534" s="2">
        <f ca="1">INDEX(INDIRECT(_xlfn.CONCAT("weather.tbl[",Q$1,"]")),MATCH(vp.tbl[[#This Row],[SDate]],weather.tbl[Date],0))</f>
        <v>-22.8</v>
      </c>
      <c r="R534" s="2">
        <f ca="1">INDEX(INDIRECT(_xlfn.CONCAT("weather.tbl[",R$1,"]")),MATCH(vp.tbl[[#This Row],[SDate]],weather.tbl[Date],0))</f>
        <v>-25</v>
      </c>
      <c r="S534" s="2">
        <f ca="1">INDEX(INDIRECT(_xlfn.CONCAT("weather.tbl[",S$1,"]")),MATCH(vp.tbl[[#This Row],[SDate]],weather.tbl[Date],0))</f>
        <v>-24.8</v>
      </c>
      <c r="T534" s="2">
        <f ca="1">INDEX(INDIRECT(_xlfn.CONCAT("weather.tbl[",T$1,"]")),MATCH(vp.tbl[[#This Row],[SDate]],weather.tbl[Date],0))</f>
        <v>-27</v>
      </c>
      <c r="U534" s="2">
        <f ca="1">INDEX(INDIRECT(_xlfn.CONCAT("weather.tbl[",U$1,"]")),MATCH(vp.tbl[[#This Row],[SDate]],weather.tbl[Date],0))</f>
        <v>-20.5</v>
      </c>
      <c r="V534" s="2">
        <v>6179.5609999999997</v>
      </c>
      <c r="W534" t="s">
        <v>48</v>
      </c>
      <c r="X534">
        <f>IF(OR(vp.tbl[[#This Row],[Sulf]]="",vp.tbl[[#This Row],[Dens]]=""),1,0)</f>
        <v>0</v>
      </c>
      <c r="Y534">
        <f>IF(vp.tbl[[#This Row],[CrudeType]]="C5+",1,0)</f>
        <v>0</v>
      </c>
      <c r="Z534">
        <f>IF(AND(vp.tbl[[#This Row],[CrudeType]]="Crude",vp.tbl[[#This Row],[Dens]]&lt;=825,vp.tbl[[#This Row],[Sulf]]&gt;0.5,vp.tbl[[#This Row],[Unknown]]=0),1,0)</f>
        <v>1</v>
      </c>
      <c r="AA534">
        <f>IF(AND(vp.tbl[[#This Row],[CrudeType]]="Crude",vp.tbl[[#This Row],[Dens]]&lt;=825,vp.tbl[[#This Row],[Sulf]]&lt;=0.5,vp.tbl[[#This Row],[Unknown]]=0),1,0)</f>
        <v>0</v>
      </c>
      <c r="AB534">
        <f>IF(AND(vp.tbl[[#This Row],[CrudeType]]="Crude",vp.tbl[[#This Row],[Dens]]&gt;825,vp.tbl[[#This Row],[Dens]]&lt;=870,vp.tbl[[#This Row],[Sulf]]&gt;0.5,vp.tbl[[#This Row],[Unknown]]=0),1,0)</f>
        <v>0</v>
      </c>
      <c r="AC534">
        <f>IF(AND(vp.tbl[[#This Row],[CrudeType]]="Crude",vp.tbl[[#This Row],[Dens]]&gt;825,vp.tbl[[#This Row],[Dens]]&lt;=900,vp.tbl[[#This Row],[Sulf]]&lt;=0.5,vp.tbl[[#This Row],[Unknown]]=0),1,0)</f>
        <v>0</v>
      </c>
      <c r="AD534">
        <f>IF(AND(vp.tbl[[#This Row],[CrudeType]]="Crude",vp.tbl[[#This Row],[Dens]]&gt;870,vp.tbl[[#This Row],[Dens]]&lt;=900,vp.tbl[[#This Row],[Sulf]]&gt;0.5,vp.tbl[[#This Row],[Unknown]]=0),1,0)</f>
        <v>0</v>
      </c>
      <c r="AE534">
        <f>IF(AND(vp.tbl[[#This Row],[CrudeType]]="Crude",vp.tbl[[#This Row],[Dens]]&gt;900,vp.tbl[[#This Row],[Sulf]]&lt;=0.5,vp.tbl[[#This Row],[Unknown]]=0),1,0)</f>
        <v>0</v>
      </c>
      <c r="AF534">
        <f>IF(AND(vp.tbl[[#This Row],[CrudeType]]="Crude",vp.tbl[[#This Row],[Dens]]&gt;900,vp.tbl[[#This Row],[Sulf]]&lt;=0.5,vp.tbl[[#This Row],[Unknown]]=0),1,0)</f>
        <v>0</v>
      </c>
      <c r="AG534" t="str">
        <f>INDEX(vp.tbl[[#Headers],[Unknown]:[Heavy_SW]],MATCH(1,vp.tbl[[#This Row],[Unknown]:[Heavy_SW]],0))</f>
        <v>Light_LSB</v>
      </c>
      <c r="AH534" t="e">
        <f>INDEX([1]!crudeBD.lkup[Number],MATCH(vp.tbl[[#This Row],[Crude_Breakdown]],[1]!crudeBD.lkup[Crude Breakdown],0))</f>
        <v>#REF!</v>
      </c>
      <c r="AI534">
        <f>MONTH(vp.tbl[[#This Row],[SDate]])</f>
        <v>1</v>
      </c>
      <c r="AJ534" s="5">
        <f>IFERROR(vp.tbl[[#This Row],[Sulf]]*vp.tbl[[#This Row],[Net Dens]],"")</f>
        <v>3544472.5983799999</v>
      </c>
      <c r="AK534" s="5">
        <f>IFERROR(vp.tbl[[#This Row],[Dens]]*vp.tbl[[#This Row],[VolumeM3]],"")</f>
        <v>5063532.2834000001</v>
      </c>
      <c r="AL534" s="5">
        <f>IFERROR(vp.tbl[[#This Row],[VP]]*vp.tbl[[#This Row],[VolumeM3]],"")</f>
        <v>645764.12449999992</v>
      </c>
      <c r="AM534" s="4">
        <f>IFERROR((vp.tbl[[#This Row],[VP]]-INDEX(crudeBD.lkup.complete[Mean_VP],MATCH(vp.tbl[[#This Row],[Crude_Breakdown]],crudeBD.lkup.complete[Crude Breakdown],0)))^2,"")</f>
        <v>167.80130836433122</v>
      </c>
      <c r="AN534" s="4">
        <f>IFERROR((vp.tbl[[#This Row],[Dens]]-INDEX(crudeBD.lkup.complete[Mean_Dens],MATCH(vp.tbl[[#This Row],[Crude_Breakdown]],crudeBD.lkup.complete[Crude Breakdown],0)))^2,"")</f>
        <v>0.78009565782222201</v>
      </c>
      <c r="AO534" s="4">
        <f>IFERROR((vp.tbl[[#This Row],[Sulf]]-INDEX(crudeBD.lkup.complete[Mean_Sulf],MATCH(vp.tbl[[#This Row],[Crude_Breakdown]],crudeBD.lkup.complete[Crude Breakdown],0)))^2,"")</f>
        <v>4.9716141930918292E-2</v>
      </c>
      <c r="AP534">
        <f>IF(AND(vp.tbl[[#This Row],[SDate]]&gt;=DATE(YEAR(vp.tbl[[#This Row],[SDate]]),5,1),vp.tbl[[#This Row],[SDate]]&lt;=DATE(YEAR(vp.tbl[[#This Row],[SDate]]),9,15)),1,0)</f>
        <v>0</v>
      </c>
      <c r="AQ534" s="15">
        <f>IF(vp.tbl[[#This Row],[SDate]]&lt;DATE(2016,12,1),0,1)</f>
        <v>1</v>
      </c>
    </row>
    <row r="535" spans="1:43" x14ac:dyDescent="0.25">
      <c r="A535">
        <v>534</v>
      </c>
      <c r="B535" t="s">
        <v>49</v>
      </c>
      <c r="C535" t="s">
        <v>49</v>
      </c>
      <c r="D535" t="s">
        <v>101</v>
      </c>
      <c r="F535" s="1">
        <v>42742</v>
      </c>
      <c r="G535" s="2">
        <v>76.7</v>
      </c>
      <c r="H535" s="2"/>
      <c r="I535" s="2">
        <v>0.27</v>
      </c>
      <c r="J535" s="2">
        <v>-9</v>
      </c>
      <c r="K535" s="2">
        <v>-28</v>
      </c>
      <c r="L535" s="2">
        <v>821.8</v>
      </c>
      <c r="M535" s="2">
        <v>821.8</v>
      </c>
      <c r="N535" s="2">
        <f ca="1">INDEX(INDIRECT(_xlfn.CONCAT("weather.tbl[",N$1,"]")),MATCH(vp.tbl[[#This Row],[SDate]],weather.tbl[Date],0))</f>
        <v>-24.45</v>
      </c>
      <c r="O535" s="2">
        <f ca="1">INDEX(INDIRECT(_xlfn.CONCAT("weather.tbl[",O$1,"]")),MATCH(vp.tbl[[#This Row],[SDate]],weather.tbl[Date],0))</f>
        <v>-20.764285714285712</v>
      </c>
      <c r="P535" s="2">
        <f ca="1">INDEX(INDIRECT(_xlfn.CONCAT("weather.tbl[",P$1,"]")),MATCH(vp.tbl[[#This Row],[SDate]],weather.tbl[Date],0))</f>
        <v>-26.6</v>
      </c>
      <c r="Q535" s="2">
        <f ca="1">INDEX(INDIRECT(_xlfn.CONCAT("weather.tbl[",Q$1,"]")),MATCH(vp.tbl[[#This Row],[SDate]],weather.tbl[Date],0))</f>
        <v>-22.8</v>
      </c>
      <c r="R535" s="2">
        <f ca="1">INDEX(INDIRECT(_xlfn.CONCAT("weather.tbl[",R$1,"]")),MATCH(vp.tbl[[#This Row],[SDate]],weather.tbl[Date],0))</f>
        <v>-25</v>
      </c>
      <c r="S535" s="2">
        <f ca="1">INDEX(INDIRECT(_xlfn.CONCAT("weather.tbl[",S$1,"]")),MATCH(vp.tbl[[#This Row],[SDate]],weather.tbl[Date],0))</f>
        <v>-24.8</v>
      </c>
      <c r="T535" s="2">
        <f ca="1">INDEX(INDIRECT(_xlfn.CONCAT("weather.tbl[",T$1,"]")),MATCH(vp.tbl[[#This Row],[SDate]],weather.tbl[Date],0))</f>
        <v>-27</v>
      </c>
      <c r="U535" s="2">
        <f ca="1">INDEX(INDIRECT(_xlfn.CONCAT("weather.tbl[",U$1,"]")),MATCH(vp.tbl[[#This Row],[SDate]],weather.tbl[Date],0))</f>
        <v>-20.5</v>
      </c>
      <c r="V535" s="2">
        <v>421.06</v>
      </c>
      <c r="W535" t="s">
        <v>48</v>
      </c>
      <c r="X535">
        <f>IF(OR(vp.tbl[[#This Row],[Sulf]]="",vp.tbl[[#This Row],[Dens]]=""),1,0)</f>
        <v>0</v>
      </c>
      <c r="Y535">
        <f>IF(vp.tbl[[#This Row],[CrudeType]]="C5+",1,0)</f>
        <v>0</v>
      </c>
      <c r="Z535">
        <f>IF(AND(vp.tbl[[#This Row],[CrudeType]]="Crude",vp.tbl[[#This Row],[Dens]]&lt;=825,vp.tbl[[#This Row],[Sulf]]&gt;0.5,vp.tbl[[#This Row],[Unknown]]=0),1,0)</f>
        <v>0</v>
      </c>
      <c r="AA535">
        <f>IF(AND(vp.tbl[[#This Row],[CrudeType]]="Crude",vp.tbl[[#This Row],[Dens]]&lt;=825,vp.tbl[[#This Row],[Sulf]]&lt;=0.5,vp.tbl[[#This Row],[Unknown]]=0),1,0)</f>
        <v>1</v>
      </c>
      <c r="AB535">
        <f>IF(AND(vp.tbl[[#This Row],[CrudeType]]="Crude",vp.tbl[[#This Row],[Dens]]&gt;825,vp.tbl[[#This Row],[Dens]]&lt;=870,vp.tbl[[#This Row],[Sulf]]&gt;0.5,vp.tbl[[#This Row],[Unknown]]=0),1,0)</f>
        <v>0</v>
      </c>
      <c r="AC535">
        <f>IF(AND(vp.tbl[[#This Row],[CrudeType]]="Crude",vp.tbl[[#This Row],[Dens]]&gt;825,vp.tbl[[#This Row],[Dens]]&lt;=900,vp.tbl[[#This Row],[Sulf]]&lt;=0.5,vp.tbl[[#This Row],[Unknown]]=0),1,0)</f>
        <v>0</v>
      </c>
      <c r="AD535">
        <f>IF(AND(vp.tbl[[#This Row],[CrudeType]]="Crude",vp.tbl[[#This Row],[Dens]]&gt;870,vp.tbl[[#This Row],[Dens]]&lt;=900,vp.tbl[[#This Row],[Sulf]]&gt;0.5,vp.tbl[[#This Row],[Unknown]]=0),1,0)</f>
        <v>0</v>
      </c>
      <c r="AE535">
        <f>IF(AND(vp.tbl[[#This Row],[CrudeType]]="Crude",vp.tbl[[#This Row],[Dens]]&gt;900,vp.tbl[[#This Row],[Sulf]]&lt;=0.5,vp.tbl[[#This Row],[Unknown]]=0),1,0)</f>
        <v>0</v>
      </c>
      <c r="AF535">
        <f>IF(AND(vp.tbl[[#This Row],[CrudeType]]="Crude",vp.tbl[[#This Row],[Dens]]&gt;900,vp.tbl[[#This Row],[Sulf]]&lt;=0.5,vp.tbl[[#This Row],[Unknown]]=0),1,0)</f>
        <v>0</v>
      </c>
      <c r="AG535" t="str">
        <f>INDEX(vp.tbl[[#Headers],[Unknown]:[Heavy_SW]],MATCH(1,vp.tbl[[#This Row],[Unknown]:[Heavy_SW]],0))</f>
        <v>Light_SW</v>
      </c>
      <c r="AH535" t="e">
        <f>INDEX([1]!crudeBD.lkup[Number],MATCH(vp.tbl[[#This Row],[Crude_Breakdown]],[1]!crudeBD.lkup[Crude Breakdown],0))</f>
        <v>#REF!</v>
      </c>
      <c r="AI535">
        <f>MONTH(vp.tbl[[#This Row],[SDate]])</f>
        <v>1</v>
      </c>
      <c r="AJ535" s="5">
        <f>IFERROR(vp.tbl[[#This Row],[Sulf]]*vp.tbl[[#This Row],[Net Dens]],"")</f>
        <v>93427.319160000014</v>
      </c>
      <c r="AK535" s="5">
        <f>IFERROR(vp.tbl[[#This Row],[Dens]]*vp.tbl[[#This Row],[VolumeM3]],"")</f>
        <v>346027.10800000001</v>
      </c>
      <c r="AL535" s="5">
        <f>IFERROR(vp.tbl[[#This Row],[VP]]*vp.tbl[[#This Row],[VolumeM3]],"")</f>
        <v>32295.302</v>
      </c>
      <c r="AM535" s="4">
        <f>IFERROR((vp.tbl[[#This Row],[VP]]-INDEX(crudeBD.lkup.complete[Mean_VP],MATCH(vp.tbl[[#This Row],[Crude_Breakdown]],crudeBD.lkup.complete[Crude Breakdown],0)))^2,"")</f>
        <v>251.23244086488745</v>
      </c>
      <c r="AN535" s="4">
        <f>IFERROR((vp.tbl[[#This Row],[Dens]]-INDEX(crudeBD.lkup.complete[Mean_Dens],MATCH(vp.tbl[[#This Row],[Crude_Breakdown]],crudeBD.lkup.complete[Crude Breakdown],0)))^2,"")</f>
        <v>181.93967924826555</v>
      </c>
      <c r="AO535" s="4">
        <f>IFERROR((vp.tbl[[#This Row],[Sulf]]-INDEX(crudeBD.lkup.complete[Mean_Sulf],MATCH(vp.tbl[[#This Row],[Crude_Breakdown]],crudeBD.lkup.complete[Crude Breakdown],0)))^2,"")</f>
        <v>1.1396152673942982E-3</v>
      </c>
      <c r="AP535">
        <f>IF(AND(vp.tbl[[#This Row],[SDate]]&gt;=DATE(YEAR(vp.tbl[[#This Row],[SDate]]),5,1),vp.tbl[[#This Row],[SDate]]&lt;=DATE(YEAR(vp.tbl[[#This Row],[SDate]]),9,15)),1,0)</f>
        <v>0</v>
      </c>
      <c r="AQ535" s="15">
        <f>IF(vp.tbl[[#This Row],[SDate]]&lt;DATE(2016,12,1),0,1)</f>
        <v>1</v>
      </c>
    </row>
    <row r="536" spans="1:43" x14ac:dyDescent="0.25">
      <c r="A536">
        <v>535</v>
      </c>
      <c r="B536" t="s">
        <v>108</v>
      </c>
      <c r="C536" t="s">
        <v>108</v>
      </c>
      <c r="D536" t="s">
        <v>113</v>
      </c>
      <c r="F536" s="1">
        <v>42742</v>
      </c>
      <c r="G536" s="2">
        <v>106.6</v>
      </c>
      <c r="H536" s="2"/>
      <c r="I536" s="2">
        <v>1.28</v>
      </c>
      <c r="J536" s="2">
        <v>6.7</v>
      </c>
      <c r="K536" s="2">
        <v>-28</v>
      </c>
      <c r="L536" s="2">
        <v>836.9</v>
      </c>
      <c r="M536" s="2">
        <v>836.9</v>
      </c>
      <c r="N536" s="2">
        <f ca="1">INDEX(INDIRECT(_xlfn.CONCAT("weather.tbl[",N$1,"]")),MATCH(vp.tbl[[#This Row],[SDate]],weather.tbl[Date],0))</f>
        <v>-24.45</v>
      </c>
      <c r="O536" s="2">
        <f ca="1">INDEX(INDIRECT(_xlfn.CONCAT("weather.tbl[",O$1,"]")),MATCH(vp.tbl[[#This Row],[SDate]],weather.tbl[Date],0))</f>
        <v>-20.764285714285712</v>
      </c>
      <c r="P536" s="2">
        <f ca="1">INDEX(INDIRECT(_xlfn.CONCAT("weather.tbl[",P$1,"]")),MATCH(vp.tbl[[#This Row],[SDate]],weather.tbl[Date],0))</f>
        <v>-26.6</v>
      </c>
      <c r="Q536" s="2">
        <f ca="1">INDEX(INDIRECT(_xlfn.CONCAT("weather.tbl[",Q$1,"]")),MATCH(vp.tbl[[#This Row],[SDate]],weather.tbl[Date],0))</f>
        <v>-22.8</v>
      </c>
      <c r="R536" s="2">
        <f ca="1">INDEX(INDIRECT(_xlfn.CONCAT("weather.tbl[",R$1,"]")),MATCH(vp.tbl[[#This Row],[SDate]],weather.tbl[Date],0))</f>
        <v>-25</v>
      </c>
      <c r="S536" s="2">
        <f ca="1">INDEX(INDIRECT(_xlfn.CONCAT("weather.tbl[",S$1,"]")),MATCH(vp.tbl[[#This Row],[SDate]],weather.tbl[Date],0))</f>
        <v>-24.8</v>
      </c>
      <c r="T536" s="2">
        <f ca="1">INDEX(INDIRECT(_xlfn.CONCAT("weather.tbl[",T$1,"]")),MATCH(vp.tbl[[#This Row],[SDate]],weather.tbl[Date],0))</f>
        <v>-27</v>
      </c>
      <c r="U536" s="2">
        <f ca="1">INDEX(INDIRECT(_xlfn.CONCAT("weather.tbl[",U$1,"]")),MATCH(vp.tbl[[#This Row],[SDate]],weather.tbl[Date],0))</f>
        <v>-20.5</v>
      </c>
      <c r="V536" s="2">
        <v>745.88199999999995</v>
      </c>
      <c r="W536" t="s">
        <v>48</v>
      </c>
      <c r="X536">
        <f>IF(OR(vp.tbl[[#This Row],[Sulf]]="",vp.tbl[[#This Row],[Dens]]=""),1,0)</f>
        <v>0</v>
      </c>
      <c r="Y536">
        <f>IF(vp.tbl[[#This Row],[CrudeType]]="C5+",1,0)</f>
        <v>0</v>
      </c>
      <c r="Z536">
        <f>IF(AND(vp.tbl[[#This Row],[CrudeType]]="Crude",vp.tbl[[#This Row],[Dens]]&lt;=825,vp.tbl[[#This Row],[Sulf]]&gt;0.5,vp.tbl[[#This Row],[Unknown]]=0),1,0)</f>
        <v>0</v>
      </c>
      <c r="AA536">
        <f>IF(AND(vp.tbl[[#This Row],[CrudeType]]="Crude",vp.tbl[[#This Row],[Dens]]&lt;=825,vp.tbl[[#This Row],[Sulf]]&lt;=0.5,vp.tbl[[#This Row],[Unknown]]=0),1,0)</f>
        <v>0</v>
      </c>
      <c r="AB536">
        <f>IF(AND(vp.tbl[[#This Row],[CrudeType]]="Crude",vp.tbl[[#This Row],[Dens]]&gt;825,vp.tbl[[#This Row],[Dens]]&lt;=870,vp.tbl[[#This Row],[Sulf]]&gt;0.5,vp.tbl[[#This Row],[Unknown]]=0),1,0)</f>
        <v>1</v>
      </c>
      <c r="AC536">
        <f>IF(AND(vp.tbl[[#This Row],[CrudeType]]="Crude",vp.tbl[[#This Row],[Dens]]&gt;825,vp.tbl[[#This Row],[Dens]]&lt;=900,vp.tbl[[#This Row],[Sulf]]&lt;=0.5,vp.tbl[[#This Row],[Unknown]]=0),1,0)</f>
        <v>0</v>
      </c>
      <c r="AD536">
        <f>IF(AND(vp.tbl[[#This Row],[CrudeType]]="Crude",vp.tbl[[#This Row],[Dens]]&gt;870,vp.tbl[[#This Row],[Dens]]&lt;=900,vp.tbl[[#This Row],[Sulf]]&gt;0.5,vp.tbl[[#This Row],[Unknown]]=0),1,0)</f>
        <v>0</v>
      </c>
      <c r="AE536">
        <f>IF(AND(vp.tbl[[#This Row],[CrudeType]]="Crude",vp.tbl[[#This Row],[Dens]]&gt;900,vp.tbl[[#This Row],[Sulf]]&lt;=0.5,vp.tbl[[#This Row],[Unknown]]=0),1,0)</f>
        <v>0</v>
      </c>
      <c r="AF536">
        <f>IF(AND(vp.tbl[[#This Row],[CrudeType]]="Crude",vp.tbl[[#This Row],[Dens]]&gt;900,vp.tbl[[#This Row],[Sulf]]&lt;=0.5,vp.tbl[[#This Row],[Unknown]]=0),1,0)</f>
        <v>0</v>
      </c>
      <c r="AG536" t="str">
        <f>INDEX(vp.tbl[[#Headers],[Unknown]:[Heavy_SW]],MATCH(1,vp.tbl[[#This Row],[Unknown]:[Heavy_SW]],0))</f>
        <v>Medium_LSB</v>
      </c>
      <c r="AH536" t="e">
        <f>INDEX([1]!crudeBD.lkup[Number],MATCH(vp.tbl[[#This Row],[Crude_Breakdown]],[1]!crudeBD.lkup[Crude Breakdown],0))</f>
        <v>#REF!</v>
      </c>
      <c r="AI536">
        <f>MONTH(vp.tbl[[#This Row],[SDate]])</f>
        <v>1</v>
      </c>
      <c r="AJ536" s="5">
        <f>IFERROR(vp.tbl[[#This Row],[Sulf]]*vp.tbl[[#This Row],[Net Dens]],"")</f>
        <v>799012.66662399995</v>
      </c>
      <c r="AK536" s="5">
        <f>IFERROR(vp.tbl[[#This Row],[Dens]]*vp.tbl[[#This Row],[VolumeM3]],"")</f>
        <v>624228.64579999994</v>
      </c>
      <c r="AL536" s="5">
        <f>IFERROR(vp.tbl[[#This Row],[VP]]*vp.tbl[[#This Row],[VolumeM3]],"")</f>
        <v>79511.021199999988</v>
      </c>
      <c r="AM536" s="4">
        <f>IFERROR((vp.tbl[[#This Row],[VP]]-INDEX(crudeBD.lkup.complete[Mean_VP],MATCH(vp.tbl[[#This Row],[Crude_Breakdown]],crudeBD.lkup.complete[Crude Breakdown],0)))^2,"")</f>
        <v>698.35488456914118</v>
      </c>
      <c r="AN536" s="4">
        <f>IFERROR((vp.tbl[[#This Row],[Dens]]-INDEX(crudeBD.lkup.complete[Mean_Dens],MATCH(vp.tbl[[#This Row],[Crude_Breakdown]],crudeBD.lkup.complete[Crude Breakdown],0)))^2,"")</f>
        <v>70.422689651642244</v>
      </c>
      <c r="AO536" s="4">
        <f>IFERROR((vp.tbl[[#This Row],[Sulf]]-INDEX(crudeBD.lkup.complete[Mean_Sulf],MATCH(vp.tbl[[#This Row],[Crude_Breakdown]],crudeBD.lkup.complete[Crude Breakdown],0)))^2,"")</f>
        <v>3.0600456185336352E-2</v>
      </c>
      <c r="AP536">
        <f>IF(AND(vp.tbl[[#This Row],[SDate]]&gt;=DATE(YEAR(vp.tbl[[#This Row],[SDate]]),5,1),vp.tbl[[#This Row],[SDate]]&lt;=DATE(YEAR(vp.tbl[[#This Row],[SDate]]),9,15)),1,0)</f>
        <v>0</v>
      </c>
      <c r="AQ536" s="15">
        <f>IF(vp.tbl[[#This Row],[SDate]]&lt;DATE(2016,12,1),0,1)</f>
        <v>1</v>
      </c>
    </row>
    <row r="537" spans="1:43" x14ac:dyDescent="0.25">
      <c r="A537">
        <v>536</v>
      </c>
      <c r="B537" t="s">
        <v>49</v>
      </c>
      <c r="C537" t="s">
        <v>49</v>
      </c>
      <c r="D537" t="s">
        <v>114</v>
      </c>
      <c r="F537" s="1">
        <v>42742</v>
      </c>
      <c r="G537" s="2">
        <v>66.400000000000006</v>
      </c>
      <c r="H537" s="2"/>
      <c r="I537" s="2">
        <v>1.94</v>
      </c>
      <c r="J537" s="2">
        <v>19</v>
      </c>
      <c r="K537" s="2">
        <v>-28</v>
      </c>
      <c r="L537" s="2">
        <v>865.9</v>
      </c>
      <c r="M537" s="2">
        <v>865.9</v>
      </c>
      <c r="N537" s="2">
        <f ca="1">INDEX(INDIRECT(_xlfn.CONCAT("weather.tbl[",N$1,"]")),MATCH(vp.tbl[[#This Row],[SDate]],weather.tbl[Date],0))</f>
        <v>-24.45</v>
      </c>
      <c r="O537" s="2">
        <f ca="1">INDEX(INDIRECT(_xlfn.CONCAT("weather.tbl[",O$1,"]")),MATCH(vp.tbl[[#This Row],[SDate]],weather.tbl[Date],0))</f>
        <v>-20.764285714285712</v>
      </c>
      <c r="P537" s="2">
        <f ca="1">INDEX(INDIRECT(_xlfn.CONCAT("weather.tbl[",P$1,"]")),MATCH(vp.tbl[[#This Row],[SDate]],weather.tbl[Date],0))</f>
        <v>-26.6</v>
      </c>
      <c r="Q537" s="2">
        <f ca="1">INDEX(INDIRECT(_xlfn.CONCAT("weather.tbl[",Q$1,"]")),MATCH(vp.tbl[[#This Row],[SDate]],weather.tbl[Date],0))</f>
        <v>-22.8</v>
      </c>
      <c r="R537" s="2">
        <f ca="1">INDEX(INDIRECT(_xlfn.CONCAT("weather.tbl[",R$1,"]")),MATCH(vp.tbl[[#This Row],[SDate]],weather.tbl[Date],0))</f>
        <v>-25</v>
      </c>
      <c r="S537" s="2">
        <f ca="1">INDEX(INDIRECT(_xlfn.CONCAT("weather.tbl[",S$1,"]")),MATCH(vp.tbl[[#This Row],[SDate]],weather.tbl[Date],0))</f>
        <v>-24.8</v>
      </c>
      <c r="T537" s="2">
        <f ca="1">INDEX(INDIRECT(_xlfn.CONCAT("weather.tbl[",T$1,"]")),MATCH(vp.tbl[[#This Row],[SDate]],weather.tbl[Date],0))</f>
        <v>-27</v>
      </c>
      <c r="U537" s="2">
        <f ca="1">INDEX(INDIRECT(_xlfn.CONCAT("weather.tbl[",U$1,"]")),MATCH(vp.tbl[[#This Row],[SDate]],weather.tbl[Date],0))</f>
        <v>-20.5</v>
      </c>
      <c r="V537" s="2">
        <v>1529.1980000000001</v>
      </c>
      <c r="W537" t="s">
        <v>48</v>
      </c>
      <c r="X537">
        <f>IF(OR(vp.tbl[[#This Row],[Sulf]]="",vp.tbl[[#This Row],[Dens]]=""),1,0)</f>
        <v>0</v>
      </c>
      <c r="Y537">
        <f>IF(vp.tbl[[#This Row],[CrudeType]]="C5+",1,0)</f>
        <v>0</v>
      </c>
      <c r="Z537">
        <f>IF(AND(vp.tbl[[#This Row],[CrudeType]]="Crude",vp.tbl[[#This Row],[Dens]]&lt;=825,vp.tbl[[#This Row],[Sulf]]&gt;0.5,vp.tbl[[#This Row],[Unknown]]=0),1,0)</f>
        <v>0</v>
      </c>
      <c r="AA537">
        <f>IF(AND(vp.tbl[[#This Row],[CrudeType]]="Crude",vp.tbl[[#This Row],[Dens]]&lt;=825,vp.tbl[[#This Row],[Sulf]]&lt;=0.5,vp.tbl[[#This Row],[Unknown]]=0),1,0)</f>
        <v>0</v>
      </c>
      <c r="AB537">
        <f>IF(AND(vp.tbl[[#This Row],[CrudeType]]="Crude",vp.tbl[[#This Row],[Dens]]&gt;825,vp.tbl[[#This Row],[Dens]]&lt;=870,vp.tbl[[#This Row],[Sulf]]&gt;0.5,vp.tbl[[#This Row],[Unknown]]=0),1,0)</f>
        <v>1</v>
      </c>
      <c r="AC537">
        <f>IF(AND(vp.tbl[[#This Row],[CrudeType]]="Crude",vp.tbl[[#This Row],[Dens]]&gt;825,vp.tbl[[#This Row],[Dens]]&lt;=900,vp.tbl[[#This Row],[Sulf]]&lt;=0.5,vp.tbl[[#This Row],[Unknown]]=0),1,0)</f>
        <v>0</v>
      </c>
      <c r="AD537">
        <f>IF(AND(vp.tbl[[#This Row],[CrudeType]]="Crude",vp.tbl[[#This Row],[Dens]]&gt;870,vp.tbl[[#This Row],[Dens]]&lt;=900,vp.tbl[[#This Row],[Sulf]]&gt;0.5,vp.tbl[[#This Row],[Unknown]]=0),1,0)</f>
        <v>0</v>
      </c>
      <c r="AE537">
        <f>IF(AND(vp.tbl[[#This Row],[CrudeType]]="Crude",vp.tbl[[#This Row],[Dens]]&gt;900,vp.tbl[[#This Row],[Sulf]]&lt;=0.5,vp.tbl[[#This Row],[Unknown]]=0),1,0)</f>
        <v>0</v>
      </c>
      <c r="AF537">
        <f>IF(AND(vp.tbl[[#This Row],[CrudeType]]="Crude",vp.tbl[[#This Row],[Dens]]&gt;900,vp.tbl[[#This Row],[Sulf]]&lt;=0.5,vp.tbl[[#This Row],[Unknown]]=0),1,0)</f>
        <v>0</v>
      </c>
      <c r="AG537" t="str">
        <f>INDEX(vp.tbl[[#Headers],[Unknown]:[Heavy_SW]],MATCH(1,vp.tbl[[#This Row],[Unknown]:[Heavy_SW]],0))</f>
        <v>Medium_LSB</v>
      </c>
      <c r="AH537" t="e">
        <f>INDEX([1]!crudeBD.lkup[Number],MATCH(vp.tbl[[#This Row],[Crude_Breakdown]],[1]!crudeBD.lkup[Crude Breakdown],0))</f>
        <v>#REF!</v>
      </c>
      <c r="AI537">
        <f>MONTH(vp.tbl[[#This Row],[SDate]])</f>
        <v>1</v>
      </c>
      <c r="AJ537" s="5">
        <f>IFERROR(vp.tbl[[#This Row],[Sulf]]*vp.tbl[[#This Row],[Net Dens]],"")</f>
        <v>2568817.1435080003</v>
      </c>
      <c r="AK537" s="5">
        <f>IFERROR(vp.tbl[[#This Row],[Dens]]*vp.tbl[[#This Row],[VolumeM3]],"")</f>
        <v>1324132.5482000001</v>
      </c>
      <c r="AL537" s="5">
        <f>IFERROR(vp.tbl[[#This Row],[VP]]*vp.tbl[[#This Row],[VolumeM3]],"")</f>
        <v>101538.74720000001</v>
      </c>
      <c r="AM537" s="4">
        <f>IFERROR((vp.tbl[[#This Row],[VP]]-INDEX(crudeBD.lkup.complete[Mean_VP],MATCH(vp.tbl[[#This Row],[Crude_Breakdown]],crudeBD.lkup.complete[Crude Breakdown],0)))^2,"")</f>
        <v>189.71191748053079</v>
      </c>
      <c r="AN537" s="4">
        <f>IFERROR((vp.tbl[[#This Row],[Dens]]-INDEX(crudeBD.lkup.complete[Mean_Dens],MATCH(vp.tbl[[#This Row],[Crude_Breakdown]],crudeBD.lkup.complete[Crude Breakdown],0)))^2,"")</f>
        <v>424.69696813271071</v>
      </c>
      <c r="AO537" s="4">
        <f>IFERROR((vp.tbl[[#This Row],[Sulf]]-INDEX(crudeBD.lkup.complete[Mean_Sulf],MATCH(vp.tbl[[#This Row],[Crude_Breakdown]],crudeBD.lkup.complete[Crude Breakdown],0)))^2,"")</f>
        <v>0.23529303998280271</v>
      </c>
      <c r="AP537">
        <f>IF(AND(vp.tbl[[#This Row],[SDate]]&gt;=DATE(YEAR(vp.tbl[[#This Row],[SDate]]),5,1),vp.tbl[[#This Row],[SDate]]&lt;=DATE(YEAR(vp.tbl[[#This Row],[SDate]]),9,15)),1,0)</f>
        <v>0</v>
      </c>
      <c r="AQ537" s="15">
        <f>IF(vp.tbl[[#This Row],[SDate]]&lt;DATE(2016,12,1),0,1)</f>
        <v>1</v>
      </c>
    </row>
    <row r="538" spans="1:43" x14ac:dyDescent="0.25">
      <c r="A538">
        <v>537</v>
      </c>
      <c r="B538" t="s">
        <v>49</v>
      </c>
      <c r="C538" t="s">
        <v>49</v>
      </c>
      <c r="D538" t="s">
        <v>115</v>
      </c>
      <c r="F538" s="1">
        <v>42742</v>
      </c>
      <c r="G538" s="2">
        <v>74.099999999999994</v>
      </c>
      <c r="H538" s="2"/>
      <c r="I538" s="2">
        <v>2.19</v>
      </c>
      <c r="J538" s="2">
        <v>6</v>
      </c>
      <c r="K538" s="2">
        <v>-28</v>
      </c>
      <c r="L538" s="2">
        <v>881.7</v>
      </c>
      <c r="M538" s="2">
        <v>881.7</v>
      </c>
      <c r="N538" s="2">
        <f ca="1">INDEX(INDIRECT(_xlfn.CONCAT("weather.tbl[",N$1,"]")),MATCH(vp.tbl[[#This Row],[SDate]],weather.tbl[Date],0))</f>
        <v>-24.45</v>
      </c>
      <c r="O538" s="2">
        <f ca="1">INDEX(INDIRECT(_xlfn.CONCAT("weather.tbl[",O$1,"]")),MATCH(vp.tbl[[#This Row],[SDate]],weather.tbl[Date],0))</f>
        <v>-20.764285714285712</v>
      </c>
      <c r="P538" s="2">
        <f ca="1">INDEX(INDIRECT(_xlfn.CONCAT("weather.tbl[",P$1,"]")),MATCH(vp.tbl[[#This Row],[SDate]],weather.tbl[Date],0))</f>
        <v>-26.6</v>
      </c>
      <c r="Q538" s="2">
        <f ca="1">INDEX(INDIRECT(_xlfn.CONCAT("weather.tbl[",Q$1,"]")),MATCH(vp.tbl[[#This Row],[SDate]],weather.tbl[Date],0))</f>
        <v>-22.8</v>
      </c>
      <c r="R538" s="2">
        <f ca="1">INDEX(INDIRECT(_xlfn.CONCAT("weather.tbl[",R$1,"]")),MATCH(vp.tbl[[#This Row],[SDate]],weather.tbl[Date],0))</f>
        <v>-25</v>
      </c>
      <c r="S538" s="2">
        <f ca="1">INDEX(INDIRECT(_xlfn.CONCAT("weather.tbl[",S$1,"]")),MATCH(vp.tbl[[#This Row],[SDate]],weather.tbl[Date],0))</f>
        <v>-24.8</v>
      </c>
      <c r="T538" s="2">
        <f ca="1">INDEX(INDIRECT(_xlfn.CONCAT("weather.tbl[",T$1,"]")),MATCH(vp.tbl[[#This Row],[SDate]],weather.tbl[Date],0))</f>
        <v>-27</v>
      </c>
      <c r="U538" s="2">
        <f ca="1">INDEX(INDIRECT(_xlfn.CONCAT("weather.tbl[",U$1,"]")),MATCH(vp.tbl[[#This Row],[SDate]],weather.tbl[Date],0))</f>
        <v>-20.5</v>
      </c>
      <c r="V538" s="2">
        <v>1113.117</v>
      </c>
      <c r="W538" t="s">
        <v>48</v>
      </c>
      <c r="X538">
        <f>IF(OR(vp.tbl[[#This Row],[Sulf]]="",vp.tbl[[#This Row],[Dens]]=""),1,0)</f>
        <v>0</v>
      </c>
      <c r="Y538">
        <f>IF(vp.tbl[[#This Row],[CrudeType]]="C5+",1,0)</f>
        <v>0</v>
      </c>
      <c r="Z538">
        <f>IF(AND(vp.tbl[[#This Row],[CrudeType]]="Crude",vp.tbl[[#This Row],[Dens]]&lt;=825,vp.tbl[[#This Row],[Sulf]]&gt;0.5,vp.tbl[[#This Row],[Unknown]]=0),1,0)</f>
        <v>0</v>
      </c>
      <c r="AA538">
        <f>IF(AND(vp.tbl[[#This Row],[CrudeType]]="Crude",vp.tbl[[#This Row],[Dens]]&lt;=825,vp.tbl[[#This Row],[Sulf]]&lt;=0.5,vp.tbl[[#This Row],[Unknown]]=0),1,0)</f>
        <v>0</v>
      </c>
      <c r="AB538">
        <f>IF(AND(vp.tbl[[#This Row],[CrudeType]]="Crude",vp.tbl[[#This Row],[Dens]]&gt;825,vp.tbl[[#This Row],[Dens]]&lt;=870,vp.tbl[[#This Row],[Sulf]]&gt;0.5,vp.tbl[[#This Row],[Unknown]]=0),1,0)</f>
        <v>0</v>
      </c>
      <c r="AC538">
        <f>IF(AND(vp.tbl[[#This Row],[CrudeType]]="Crude",vp.tbl[[#This Row],[Dens]]&gt;825,vp.tbl[[#This Row],[Dens]]&lt;=900,vp.tbl[[#This Row],[Sulf]]&lt;=0.5,vp.tbl[[#This Row],[Unknown]]=0),1,0)</f>
        <v>0</v>
      </c>
      <c r="AD538">
        <f>IF(AND(vp.tbl[[#This Row],[CrudeType]]="Crude",vp.tbl[[#This Row],[Dens]]&gt;870,vp.tbl[[#This Row],[Dens]]&lt;=900,vp.tbl[[#This Row],[Sulf]]&gt;0.5,vp.tbl[[#This Row],[Unknown]]=0),1,0)</f>
        <v>1</v>
      </c>
      <c r="AE538">
        <f>IF(AND(vp.tbl[[#This Row],[CrudeType]]="Crude",vp.tbl[[#This Row],[Dens]]&gt;900,vp.tbl[[#This Row],[Sulf]]&lt;=0.5,vp.tbl[[#This Row],[Unknown]]=0),1,0)</f>
        <v>0</v>
      </c>
      <c r="AF538">
        <f>IF(AND(vp.tbl[[#This Row],[CrudeType]]="Crude",vp.tbl[[#This Row],[Dens]]&gt;900,vp.tbl[[#This Row],[Sulf]]&lt;=0.5,vp.tbl[[#This Row],[Unknown]]=0),1,0)</f>
        <v>0</v>
      </c>
      <c r="AG538" t="str">
        <f>INDEX(vp.tbl[[#Headers],[Unknown]:[Heavy_SW]],MATCH(1,vp.tbl[[#This Row],[Unknown]:[Heavy_SW]],0))</f>
        <v>Midale</v>
      </c>
      <c r="AH538" t="e">
        <f>INDEX([1]!crudeBD.lkup[Number],MATCH(vp.tbl[[#This Row],[Crude_Breakdown]],[1]!crudeBD.lkup[Crude Breakdown],0))</f>
        <v>#REF!</v>
      </c>
      <c r="AI538">
        <f>MONTH(vp.tbl[[#This Row],[SDate]])</f>
        <v>1</v>
      </c>
      <c r="AJ538" s="5">
        <f>IFERROR(vp.tbl[[#This Row],[Sulf]]*vp.tbl[[#This Row],[Net Dens]],"")</f>
        <v>2149343.2169909999</v>
      </c>
      <c r="AK538" s="5">
        <f>IFERROR(vp.tbl[[#This Row],[Dens]]*vp.tbl[[#This Row],[VolumeM3]],"")</f>
        <v>981435.25890000002</v>
      </c>
      <c r="AL538" s="5">
        <f>IFERROR(vp.tbl[[#This Row],[VP]]*vp.tbl[[#This Row],[VolumeM3]],"")</f>
        <v>82481.969699999987</v>
      </c>
      <c r="AM538" s="4">
        <f>IFERROR((vp.tbl[[#This Row],[VP]]-INDEX(crudeBD.lkup.complete[Mean_VP],MATCH(vp.tbl[[#This Row],[Crude_Breakdown]],crudeBD.lkup.complete[Crude Breakdown],0)))^2,"")</f>
        <v>34.358868455619969</v>
      </c>
      <c r="AN538" s="4">
        <f>IFERROR((vp.tbl[[#This Row],[Dens]]-INDEX(crudeBD.lkup.complete[Mean_Dens],MATCH(vp.tbl[[#This Row],[Crude_Breakdown]],crudeBD.lkup.complete[Crude Breakdown],0)))^2,"")</f>
        <v>17.205449427662863</v>
      </c>
      <c r="AO538" s="4">
        <f>IFERROR((vp.tbl[[#This Row],[Sulf]]-INDEX(crudeBD.lkup.complete[Mean_Sulf],MATCH(vp.tbl[[#This Row],[Crude_Breakdown]],crudeBD.lkup.complete[Crude Breakdown],0)))^2,"")</f>
        <v>5.0778177337004529E-2</v>
      </c>
      <c r="AP538">
        <f>IF(AND(vp.tbl[[#This Row],[SDate]]&gt;=DATE(YEAR(vp.tbl[[#This Row],[SDate]]),5,1),vp.tbl[[#This Row],[SDate]]&lt;=DATE(YEAR(vp.tbl[[#This Row],[SDate]]),9,15)),1,0)</f>
        <v>0</v>
      </c>
      <c r="AQ538" s="15">
        <f>IF(vp.tbl[[#This Row],[SDate]]&lt;DATE(2016,12,1),0,1)</f>
        <v>1</v>
      </c>
    </row>
    <row r="539" spans="1:43" x14ac:dyDescent="0.25">
      <c r="A539">
        <v>538</v>
      </c>
      <c r="B539" t="s">
        <v>49</v>
      </c>
      <c r="C539" t="s">
        <v>49</v>
      </c>
      <c r="D539" t="s">
        <v>67</v>
      </c>
      <c r="F539" s="1">
        <v>42743</v>
      </c>
      <c r="G539" s="2">
        <v>106.4</v>
      </c>
      <c r="H539" s="2"/>
      <c r="I539" s="2">
        <v>0.59</v>
      </c>
      <c r="J539" s="2">
        <v>-0.8</v>
      </c>
      <c r="K539" s="2">
        <v>-24</v>
      </c>
      <c r="L539" s="2">
        <v>822.6</v>
      </c>
      <c r="M539" s="2">
        <v>822.6</v>
      </c>
      <c r="N539" s="2">
        <f ca="1">INDEX(INDIRECT(_xlfn.CONCAT("weather.tbl[",N$1,"]")),MATCH(vp.tbl[[#This Row],[SDate]],weather.tbl[Date],0))</f>
        <v>-22.016666666666669</v>
      </c>
      <c r="O539" s="2">
        <f ca="1">INDEX(INDIRECT(_xlfn.CONCAT("weather.tbl[",O$1,"]")),MATCH(vp.tbl[[#This Row],[SDate]],weather.tbl[Date],0))</f>
        <v>-21.792857142857144</v>
      </c>
      <c r="P539" s="2">
        <f ca="1">INDEX(INDIRECT(_xlfn.CONCAT("weather.tbl[",P$1,"]")),MATCH(vp.tbl[[#This Row],[SDate]],weather.tbl[Date],0))</f>
        <v>-22.4</v>
      </c>
      <c r="Q539" s="2">
        <f ca="1">INDEX(INDIRECT(_xlfn.CONCAT("weather.tbl[",Q$1,"]")),MATCH(vp.tbl[[#This Row],[SDate]],weather.tbl[Date],0))</f>
        <v>-22.1</v>
      </c>
      <c r="R539" s="2">
        <f ca="1">INDEX(INDIRECT(_xlfn.CONCAT("weather.tbl[",R$1,"]")),MATCH(vp.tbl[[#This Row],[SDate]],weather.tbl[Date],0))</f>
        <v>-24.5</v>
      </c>
      <c r="S539" s="2">
        <f ca="1">INDEX(INDIRECT(_xlfn.CONCAT("weather.tbl[",S$1,"]")),MATCH(vp.tbl[[#This Row],[SDate]],weather.tbl[Date],0))</f>
        <v>-20.9</v>
      </c>
      <c r="T539" s="2">
        <f ca="1">INDEX(INDIRECT(_xlfn.CONCAT("weather.tbl[",T$1,"]")),MATCH(vp.tbl[[#This Row],[SDate]],weather.tbl[Date],0))</f>
        <v>-22.2</v>
      </c>
      <c r="U539" s="2">
        <f ca="1">INDEX(INDIRECT(_xlfn.CONCAT("weather.tbl[",U$1,"]")),MATCH(vp.tbl[[#This Row],[SDate]],weather.tbl[Date],0))</f>
        <v>-20</v>
      </c>
      <c r="V539" s="2">
        <v>122139.87</v>
      </c>
      <c r="W539" t="s">
        <v>48</v>
      </c>
      <c r="X539">
        <f>IF(OR(vp.tbl[[#This Row],[Sulf]]="",vp.tbl[[#This Row],[Dens]]=""),1,0)</f>
        <v>0</v>
      </c>
      <c r="Y539">
        <f>IF(vp.tbl[[#This Row],[CrudeType]]="C5+",1,0)</f>
        <v>0</v>
      </c>
      <c r="Z539">
        <f>IF(AND(vp.tbl[[#This Row],[CrudeType]]="Crude",vp.tbl[[#This Row],[Dens]]&lt;=825,vp.tbl[[#This Row],[Sulf]]&gt;0.5,vp.tbl[[#This Row],[Unknown]]=0),1,0)</f>
        <v>1</v>
      </c>
      <c r="AA539">
        <f>IF(AND(vp.tbl[[#This Row],[CrudeType]]="Crude",vp.tbl[[#This Row],[Dens]]&lt;=825,vp.tbl[[#This Row],[Sulf]]&lt;=0.5,vp.tbl[[#This Row],[Unknown]]=0),1,0)</f>
        <v>0</v>
      </c>
      <c r="AB539">
        <f>IF(AND(vp.tbl[[#This Row],[CrudeType]]="Crude",vp.tbl[[#This Row],[Dens]]&gt;825,vp.tbl[[#This Row],[Dens]]&lt;=870,vp.tbl[[#This Row],[Sulf]]&gt;0.5,vp.tbl[[#This Row],[Unknown]]=0),1,0)</f>
        <v>0</v>
      </c>
      <c r="AC539">
        <f>IF(AND(vp.tbl[[#This Row],[CrudeType]]="Crude",vp.tbl[[#This Row],[Dens]]&gt;825,vp.tbl[[#This Row],[Dens]]&lt;=900,vp.tbl[[#This Row],[Sulf]]&lt;=0.5,vp.tbl[[#This Row],[Unknown]]=0),1,0)</f>
        <v>0</v>
      </c>
      <c r="AD539">
        <f>IF(AND(vp.tbl[[#This Row],[CrudeType]]="Crude",vp.tbl[[#This Row],[Dens]]&gt;870,vp.tbl[[#This Row],[Dens]]&lt;=900,vp.tbl[[#This Row],[Sulf]]&gt;0.5,vp.tbl[[#This Row],[Unknown]]=0),1,0)</f>
        <v>0</v>
      </c>
      <c r="AE539">
        <f>IF(AND(vp.tbl[[#This Row],[CrudeType]]="Crude",vp.tbl[[#This Row],[Dens]]&gt;900,vp.tbl[[#This Row],[Sulf]]&lt;=0.5,vp.tbl[[#This Row],[Unknown]]=0),1,0)</f>
        <v>0</v>
      </c>
      <c r="AF539">
        <f>IF(AND(vp.tbl[[#This Row],[CrudeType]]="Crude",vp.tbl[[#This Row],[Dens]]&gt;900,vp.tbl[[#This Row],[Sulf]]&lt;=0.5,vp.tbl[[#This Row],[Unknown]]=0),1,0)</f>
        <v>0</v>
      </c>
      <c r="AG539" t="str">
        <f>INDEX(vp.tbl[[#Headers],[Unknown]:[Heavy_SW]],MATCH(1,vp.tbl[[#This Row],[Unknown]:[Heavy_SW]],0))</f>
        <v>Light_LSB</v>
      </c>
      <c r="AH539" t="e">
        <f>INDEX([1]!crudeBD.lkup[Number],MATCH(vp.tbl[[#This Row],[Crude_Breakdown]],[1]!crudeBD.lkup[Crude Breakdown],0))</f>
        <v>#REF!</v>
      </c>
      <c r="AI539">
        <f>MONTH(vp.tbl[[#This Row],[SDate]])</f>
        <v>1</v>
      </c>
      <c r="AJ539" s="5">
        <f>IFERROR(vp.tbl[[#This Row],[Sulf]]*vp.tbl[[#This Row],[Net Dens]],"")</f>
        <v>59278631.666579992</v>
      </c>
      <c r="AK539" s="5">
        <f>IFERROR(vp.tbl[[#This Row],[Dens]]*vp.tbl[[#This Row],[VolumeM3]],"")</f>
        <v>100472257.06199999</v>
      </c>
      <c r="AL539" s="5">
        <f>IFERROR(vp.tbl[[#This Row],[VP]]*vp.tbl[[#This Row],[VolumeM3]],"")</f>
        <v>12995682.168</v>
      </c>
      <c r="AM539" s="4">
        <f>IFERROR((vp.tbl[[#This Row],[VP]]-INDEX(crudeBD.lkup.complete[Mean_VP],MATCH(vp.tbl[[#This Row],[Crude_Breakdown]],crudeBD.lkup.complete[Crude Breakdown],0)))^2,"")</f>
        <v>220.63580320969209</v>
      </c>
      <c r="AN539" s="4">
        <f>IFERROR((vp.tbl[[#This Row],[Dens]]-INDEX(crudeBD.lkup.complete[Mean_Dens],MATCH(vp.tbl[[#This Row],[Crude_Breakdown]],crudeBD.lkup.complete[Crude Breakdown],0)))^2,"")</f>
        <v>16.67276919734336</v>
      </c>
      <c r="AO539" s="4">
        <f>IFERROR((vp.tbl[[#This Row],[Sulf]]-INDEX(crudeBD.lkup.complete[Mean_Sulf],MATCH(vp.tbl[[#This Row],[Crude_Breakdown]],crudeBD.lkup.complete[Crude Breakdown],0)))^2,"")</f>
        <v>0.11086979897559178</v>
      </c>
      <c r="AP539">
        <f>IF(AND(vp.tbl[[#This Row],[SDate]]&gt;=DATE(YEAR(vp.tbl[[#This Row],[SDate]]),5,1),vp.tbl[[#This Row],[SDate]]&lt;=DATE(YEAR(vp.tbl[[#This Row],[SDate]]),9,15)),1,0)</f>
        <v>0</v>
      </c>
      <c r="AQ539" s="15">
        <f>IF(vp.tbl[[#This Row],[SDate]]&lt;DATE(2016,12,1),0,1)</f>
        <v>1</v>
      </c>
    </row>
    <row r="540" spans="1:43" x14ac:dyDescent="0.25">
      <c r="A540">
        <v>539</v>
      </c>
      <c r="B540" t="s">
        <v>56</v>
      </c>
      <c r="C540" t="s">
        <v>56</v>
      </c>
      <c r="D540" t="s">
        <v>57</v>
      </c>
      <c r="F540" s="1">
        <v>42743</v>
      </c>
      <c r="G540" s="2">
        <v>80.099999999999994</v>
      </c>
      <c r="H540" s="2"/>
      <c r="I540" s="2">
        <v>1.68</v>
      </c>
      <c r="J540" s="2">
        <v>15.6</v>
      </c>
      <c r="K540" s="2">
        <v>-24</v>
      </c>
      <c r="L540" s="2">
        <v>852.6</v>
      </c>
      <c r="M540" s="2">
        <v>852.6</v>
      </c>
      <c r="N540" s="2">
        <f ca="1">INDEX(INDIRECT(_xlfn.CONCAT("weather.tbl[",N$1,"]")),MATCH(vp.tbl[[#This Row],[SDate]],weather.tbl[Date],0))</f>
        <v>-22.016666666666669</v>
      </c>
      <c r="O540" s="2">
        <f ca="1">INDEX(INDIRECT(_xlfn.CONCAT("weather.tbl[",O$1,"]")),MATCH(vp.tbl[[#This Row],[SDate]],weather.tbl[Date],0))</f>
        <v>-21.792857142857144</v>
      </c>
      <c r="P540" s="2">
        <f ca="1">INDEX(INDIRECT(_xlfn.CONCAT("weather.tbl[",P$1,"]")),MATCH(vp.tbl[[#This Row],[SDate]],weather.tbl[Date],0))</f>
        <v>-22.4</v>
      </c>
      <c r="Q540" s="2">
        <f ca="1">INDEX(INDIRECT(_xlfn.CONCAT("weather.tbl[",Q$1,"]")),MATCH(vp.tbl[[#This Row],[SDate]],weather.tbl[Date],0))</f>
        <v>-22.1</v>
      </c>
      <c r="R540" s="2">
        <f ca="1">INDEX(INDIRECT(_xlfn.CONCAT("weather.tbl[",R$1,"]")),MATCH(vp.tbl[[#This Row],[SDate]],weather.tbl[Date],0))</f>
        <v>-24.5</v>
      </c>
      <c r="S540" s="2">
        <f ca="1">INDEX(INDIRECT(_xlfn.CONCAT("weather.tbl[",S$1,"]")),MATCH(vp.tbl[[#This Row],[SDate]],weather.tbl[Date],0))</f>
        <v>-20.9</v>
      </c>
      <c r="T540" s="2">
        <f ca="1">INDEX(INDIRECT(_xlfn.CONCAT("weather.tbl[",T$1,"]")),MATCH(vp.tbl[[#This Row],[SDate]],weather.tbl[Date],0))</f>
        <v>-22.2</v>
      </c>
      <c r="U540" s="2">
        <f ca="1">INDEX(INDIRECT(_xlfn.CONCAT("weather.tbl[",U$1,"]")),MATCH(vp.tbl[[#This Row],[SDate]],weather.tbl[Date],0))</f>
        <v>-20</v>
      </c>
      <c r="V540" s="2">
        <v>3079.645</v>
      </c>
      <c r="W540" t="s">
        <v>48</v>
      </c>
      <c r="X540">
        <f>IF(OR(vp.tbl[[#This Row],[Sulf]]="",vp.tbl[[#This Row],[Dens]]=""),1,0)</f>
        <v>0</v>
      </c>
      <c r="Y540">
        <f>IF(vp.tbl[[#This Row],[CrudeType]]="C5+",1,0)</f>
        <v>0</v>
      </c>
      <c r="Z540">
        <f>IF(AND(vp.tbl[[#This Row],[CrudeType]]="Crude",vp.tbl[[#This Row],[Dens]]&lt;=825,vp.tbl[[#This Row],[Sulf]]&gt;0.5,vp.tbl[[#This Row],[Unknown]]=0),1,0)</f>
        <v>0</v>
      </c>
      <c r="AA540">
        <f>IF(AND(vp.tbl[[#This Row],[CrudeType]]="Crude",vp.tbl[[#This Row],[Dens]]&lt;=825,vp.tbl[[#This Row],[Sulf]]&lt;=0.5,vp.tbl[[#This Row],[Unknown]]=0),1,0)</f>
        <v>0</v>
      </c>
      <c r="AB540">
        <f>IF(AND(vp.tbl[[#This Row],[CrudeType]]="Crude",vp.tbl[[#This Row],[Dens]]&gt;825,vp.tbl[[#This Row],[Dens]]&lt;=870,vp.tbl[[#This Row],[Sulf]]&gt;0.5,vp.tbl[[#This Row],[Unknown]]=0),1,0)</f>
        <v>1</v>
      </c>
      <c r="AC540">
        <f>IF(AND(vp.tbl[[#This Row],[CrudeType]]="Crude",vp.tbl[[#This Row],[Dens]]&gt;825,vp.tbl[[#This Row],[Dens]]&lt;=900,vp.tbl[[#This Row],[Sulf]]&lt;=0.5,vp.tbl[[#This Row],[Unknown]]=0),1,0)</f>
        <v>0</v>
      </c>
      <c r="AD540">
        <f>IF(AND(vp.tbl[[#This Row],[CrudeType]]="Crude",vp.tbl[[#This Row],[Dens]]&gt;870,vp.tbl[[#This Row],[Dens]]&lt;=900,vp.tbl[[#This Row],[Sulf]]&gt;0.5,vp.tbl[[#This Row],[Unknown]]=0),1,0)</f>
        <v>0</v>
      </c>
      <c r="AE540">
        <f>IF(AND(vp.tbl[[#This Row],[CrudeType]]="Crude",vp.tbl[[#This Row],[Dens]]&gt;900,vp.tbl[[#This Row],[Sulf]]&lt;=0.5,vp.tbl[[#This Row],[Unknown]]=0),1,0)</f>
        <v>0</v>
      </c>
      <c r="AF540">
        <f>IF(AND(vp.tbl[[#This Row],[CrudeType]]="Crude",vp.tbl[[#This Row],[Dens]]&gt;900,vp.tbl[[#This Row],[Sulf]]&lt;=0.5,vp.tbl[[#This Row],[Unknown]]=0),1,0)</f>
        <v>0</v>
      </c>
      <c r="AG540" t="str">
        <f>INDEX(vp.tbl[[#Headers],[Unknown]:[Heavy_SW]],MATCH(1,vp.tbl[[#This Row],[Unknown]:[Heavy_SW]],0))</f>
        <v>Medium_LSB</v>
      </c>
      <c r="AH540" t="e">
        <f>INDEX([1]!crudeBD.lkup[Number],MATCH(vp.tbl[[#This Row],[Crude_Breakdown]],[1]!crudeBD.lkup[Crude Breakdown],0))</f>
        <v>#REF!</v>
      </c>
      <c r="AI540">
        <f>MONTH(vp.tbl[[#This Row],[SDate]])</f>
        <v>1</v>
      </c>
      <c r="AJ540" s="5">
        <f>IFERROR(vp.tbl[[#This Row],[Sulf]]*vp.tbl[[#This Row],[Net Dens]],"")</f>
        <v>4411184.94936</v>
      </c>
      <c r="AK540" s="5">
        <f>IFERROR(vp.tbl[[#This Row],[Dens]]*vp.tbl[[#This Row],[VolumeM3]],"")</f>
        <v>2625705.327</v>
      </c>
      <c r="AL540" s="5">
        <f>IFERROR(vp.tbl[[#This Row],[VP]]*vp.tbl[[#This Row],[VolumeM3]],"")</f>
        <v>246679.56449999998</v>
      </c>
      <c r="AM540" s="4">
        <f>IFERROR((vp.tbl[[#This Row],[VP]]-INDEX(crudeBD.lkup.complete[Mean_VP],MATCH(vp.tbl[[#This Row],[Crude_Breakdown]],crudeBD.lkup.complete[Crude Breakdown],0)))^2,"")</f>
        <v>5.4162147091766271E-3</v>
      </c>
      <c r="AN540" s="4">
        <f>IFERROR((vp.tbl[[#This Row],[Dens]]-INDEX(crudeBD.lkup.complete[Mean_Dens],MATCH(vp.tbl[[#This Row],[Crude_Breakdown]],crudeBD.lkup.complete[Crude Breakdown],0)))^2,"")</f>
        <v>53.40945420863514</v>
      </c>
      <c r="AO540" s="4">
        <f>IFERROR((vp.tbl[[#This Row],[Sulf]]-INDEX(crudeBD.lkup.complete[Mean_Sulf],MATCH(vp.tbl[[#This Row],[Crude_Breakdown]],crudeBD.lkup.complete[Crude Breakdown],0)))^2,"")</f>
        <v>5.0656567577740209E-2</v>
      </c>
      <c r="AP540">
        <f>IF(AND(vp.tbl[[#This Row],[SDate]]&gt;=DATE(YEAR(vp.tbl[[#This Row],[SDate]]),5,1),vp.tbl[[#This Row],[SDate]]&lt;=DATE(YEAR(vp.tbl[[#This Row],[SDate]]),9,15)),1,0)</f>
        <v>0</v>
      </c>
      <c r="AQ540" s="15">
        <f>IF(vp.tbl[[#This Row],[SDate]]&lt;DATE(2016,12,1),0,1)</f>
        <v>1</v>
      </c>
    </row>
    <row r="541" spans="1:43" x14ac:dyDescent="0.25">
      <c r="A541">
        <v>540</v>
      </c>
      <c r="B541" t="s">
        <v>51</v>
      </c>
      <c r="C541" t="s">
        <v>51</v>
      </c>
      <c r="D541" t="s">
        <v>52</v>
      </c>
      <c r="F541" s="1">
        <v>42743</v>
      </c>
      <c r="G541" s="2">
        <v>80.3</v>
      </c>
      <c r="H541" s="2"/>
      <c r="I541" s="2">
        <v>2.41</v>
      </c>
      <c r="J541" s="2">
        <v>27</v>
      </c>
      <c r="K541" s="2">
        <v>-24</v>
      </c>
      <c r="L541" s="2">
        <v>866.5</v>
      </c>
      <c r="M541" s="2">
        <v>866.5</v>
      </c>
      <c r="N541" s="2">
        <f ca="1">INDEX(INDIRECT(_xlfn.CONCAT("weather.tbl[",N$1,"]")),MATCH(vp.tbl[[#This Row],[SDate]],weather.tbl[Date],0))</f>
        <v>-22.016666666666669</v>
      </c>
      <c r="O541" s="2">
        <f ca="1">INDEX(INDIRECT(_xlfn.CONCAT("weather.tbl[",O$1,"]")),MATCH(vp.tbl[[#This Row],[SDate]],weather.tbl[Date],0))</f>
        <v>-21.792857142857144</v>
      </c>
      <c r="P541" s="2">
        <f ca="1">INDEX(INDIRECT(_xlfn.CONCAT("weather.tbl[",P$1,"]")),MATCH(vp.tbl[[#This Row],[SDate]],weather.tbl[Date],0))</f>
        <v>-22.4</v>
      </c>
      <c r="Q541" s="2">
        <f ca="1">INDEX(INDIRECT(_xlfn.CONCAT("weather.tbl[",Q$1,"]")),MATCH(vp.tbl[[#This Row],[SDate]],weather.tbl[Date],0))</f>
        <v>-22.1</v>
      </c>
      <c r="R541" s="2">
        <f ca="1">INDEX(INDIRECT(_xlfn.CONCAT("weather.tbl[",R$1,"]")),MATCH(vp.tbl[[#This Row],[SDate]],weather.tbl[Date],0))</f>
        <v>-24.5</v>
      </c>
      <c r="S541" s="2">
        <f ca="1">INDEX(INDIRECT(_xlfn.CONCAT("weather.tbl[",S$1,"]")),MATCH(vp.tbl[[#This Row],[SDate]],weather.tbl[Date],0))</f>
        <v>-20.9</v>
      </c>
      <c r="T541" s="2">
        <f ca="1">INDEX(INDIRECT(_xlfn.CONCAT("weather.tbl[",T$1,"]")),MATCH(vp.tbl[[#This Row],[SDate]],weather.tbl[Date],0))</f>
        <v>-22.2</v>
      </c>
      <c r="U541" s="2">
        <f ca="1">INDEX(INDIRECT(_xlfn.CONCAT("weather.tbl[",U$1,"]")),MATCH(vp.tbl[[#This Row],[SDate]],weather.tbl[Date],0))</f>
        <v>-20</v>
      </c>
      <c r="V541" s="2">
        <v>7492.5379999999996</v>
      </c>
      <c r="W541" t="s">
        <v>48</v>
      </c>
      <c r="X541">
        <f>IF(OR(vp.tbl[[#This Row],[Sulf]]="",vp.tbl[[#This Row],[Dens]]=""),1,0)</f>
        <v>0</v>
      </c>
      <c r="Y541">
        <f>IF(vp.tbl[[#This Row],[CrudeType]]="C5+",1,0)</f>
        <v>0</v>
      </c>
      <c r="Z541">
        <f>IF(AND(vp.tbl[[#This Row],[CrudeType]]="Crude",vp.tbl[[#This Row],[Dens]]&lt;=825,vp.tbl[[#This Row],[Sulf]]&gt;0.5,vp.tbl[[#This Row],[Unknown]]=0),1,0)</f>
        <v>0</v>
      </c>
      <c r="AA541">
        <f>IF(AND(vp.tbl[[#This Row],[CrudeType]]="Crude",vp.tbl[[#This Row],[Dens]]&lt;=825,vp.tbl[[#This Row],[Sulf]]&lt;=0.5,vp.tbl[[#This Row],[Unknown]]=0),1,0)</f>
        <v>0</v>
      </c>
      <c r="AB541">
        <f>IF(AND(vp.tbl[[#This Row],[CrudeType]]="Crude",vp.tbl[[#This Row],[Dens]]&gt;825,vp.tbl[[#This Row],[Dens]]&lt;=870,vp.tbl[[#This Row],[Sulf]]&gt;0.5,vp.tbl[[#This Row],[Unknown]]=0),1,0)</f>
        <v>1</v>
      </c>
      <c r="AC541">
        <f>IF(AND(vp.tbl[[#This Row],[CrudeType]]="Crude",vp.tbl[[#This Row],[Dens]]&gt;825,vp.tbl[[#This Row],[Dens]]&lt;=900,vp.tbl[[#This Row],[Sulf]]&lt;=0.5,vp.tbl[[#This Row],[Unknown]]=0),1,0)</f>
        <v>0</v>
      </c>
      <c r="AD541">
        <f>IF(AND(vp.tbl[[#This Row],[CrudeType]]="Crude",vp.tbl[[#This Row],[Dens]]&gt;870,vp.tbl[[#This Row],[Dens]]&lt;=900,vp.tbl[[#This Row],[Sulf]]&gt;0.5,vp.tbl[[#This Row],[Unknown]]=0),1,0)</f>
        <v>0</v>
      </c>
      <c r="AE541">
        <f>IF(AND(vp.tbl[[#This Row],[CrudeType]]="Crude",vp.tbl[[#This Row],[Dens]]&gt;900,vp.tbl[[#This Row],[Sulf]]&lt;=0.5,vp.tbl[[#This Row],[Unknown]]=0),1,0)</f>
        <v>0</v>
      </c>
      <c r="AF541">
        <f>IF(AND(vp.tbl[[#This Row],[CrudeType]]="Crude",vp.tbl[[#This Row],[Dens]]&gt;900,vp.tbl[[#This Row],[Sulf]]&lt;=0.5,vp.tbl[[#This Row],[Unknown]]=0),1,0)</f>
        <v>0</v>
      </c>
      <c r="AG541" t="str">
        <f>INDEX(vp.tbl[[#Headers],[Unknown]:[Heavy_SW]],MATCH(1,vp.tbl[[#This Row],[Unknown]:[Heavy_SW]],0))</f>
        <v>Medium_LSB</v>
      </c>
      <c r="AH541" t="e">
        <f>INDEX([1]!crudeBD.lkup[Number],MATCH(vp.tbl[[#This Row],[Crude_Breakdown]],[1]!crudeBD.lkup[Crude Breakdown],0))</f>
        <v>#REF!</v>
      </c>
      <c r="AI541">
        <f>MONTH(vp.tbl[[#This Row],[SDate]])</f>
        <v>1</v>
      </c>
      <c r="AJ541" s="5">
        <f>IFERROR(vp.tbl[[#This Row],[Sulf]]*vp.tbl[[#This Row],[Net Dens]],"")</f>
        <v>15646404.86657</v>
      </c>
      <c r="AK541" s="5">
        <f>IFERROR(vp.tbl[[#This Row],[Dens]]*vp.tbl[[#This Row],[VolumeM3]],"")</f>
        <v>6492284.1769999992</v>
      </c>
      <c r="AL541" s="5">
        <f>IFERROR(vp.tbl[[#This Row],[VP]]*vp.tbl[[#This Row],[VolumeM3]],"")</f>
        <v>601650.8014</v>
      </c>
      <c r="AM541" s="4">
        <f>IFERROR((vp.tbl[[#This Row],[VP]]-INDEX(crudeBD.lkup.complete[Mean_VP],MATCH(vp.tbl[[#This Row],[Crude_Breakdown]],crudeBD.lkup.complete[Crude Breakdown],0)))^2,"")</f>
        <v>1.5978240025645525E-2</v>
      </c>
      <c r="AN541" s="4">
        <f>IFERROR((vp.tbl[[#This Row],[Dens]]-INDEX(crudeBD.lkup.complete[Mean_Dens],MATCH(vp.tbl[[#This Row],[Crude_Breakdown]],crudeBD.lkup.complete[Crude Breakdown],0)))^2,"")</f>
        <v>449.78678079094067</v>
      </c>
      <c r="AO541" s="4">
        <f>IFERROR((vp.tbl[[#This Row],[Sulf]]-INDEX(crudeBD.lkup.complete[Mean_Sulf],MATCH(vp.tbl[[#This Row],[Crude_Breakdown]],crudeBD.lkup.complete[Crude Breakdown],0)))^2,"")</f>
        <v>0.91215897086887754</v>
      </c>
      <c r="AP541">
        <f>IF(AND(vp.tbl[[#This Row],[SDate]]&gt;=DATE(YEAR(vp.tbl[[#This Row],[SDate]]),5,1),vp.tbl[[#This Row],[SDate]]&lt;=DATE(YEAR(vp.tbl[[#This Row],[SDate]]),9,15)),1,0)</f>
        <v>0</v>
      </c>
      <c r="AQ541" s="15">
        <f>IF(vp.tbl[[#This Row],[SDate]]&lt;DATE(2016,12,1),0,1)</f>
        <v>1</v>
      </c>
    </row>
    <row r="542" spans="1:43" x14ac:dyDescent="0.25">
      <c r="A542">
        <v>541</v>
      </c>
      <c r="B542" t="s">
        <v>46</v>
      </c>
      <c r="C542" t="s">
        <v>46</v>
      </c>
      <c r="D542" t="s">
        <v>47</v>
      </c>
      <c r="F542" s="1">
        <v>42743</v>
      </c>
      <c r="G542" s="2">
        <v>60.7</v>
      </c>
      <c r="H542" s="2"/>
      <c r="I542" s="2">
        <v>2.34</v>
      </c>
      <c r="J542" s="2">
        <v>28.1</v>
      </c>
      <c r="K542" s="2">
        <v>-24</v>
      </c>
      <c r="L542" s="2">
        <v>867.4</v>
      </c>
      <c r="M542" s="2">
        <v>867.4</v>
      </c>
      <c r="N542" s="2">
        <f ca="1">INDEX(INDIRECT(_xlfn.CONCAT("weather.tbl[",N$1,"]")),MATCH(vp.tbl[[#This Row],[SDate]],weather.tbl[Date],0))</f>
        <v>-22.016666666666669</v>
      </c>
      <c r="O542" s="2">
        <f ca="1">INDEX(INDIRECT(_xlfn.CONCAT("weather.tbl[",O$1,"]")),MATCH(vp.tbl[[#This Row],[SDate]],weather.tbl[Date],0))</f>
        <v>-21.792857142857144</v>
      </c>
      <c r="P542" s="2">
        <f ca="1">INDEX(INDIRECT(_xlfn.CONCAT("weather.tbl[",P$1,"]")),MATCH(vp.tbl[[#This Row],[SDate]],weather.tbl[Date],0))</f>
        <v>-22.4</v>
      </c>
      <c r="Q542" s="2">
        <f ca="1">INDEX(INDIRECT(_xlfn.CONCAT("weather.tbl[",Q$1,"]")),MATCH(vp.tbl[[#This Row],[SDate]],weather.tbl[Date],0))</f>
        <v>-22.1</v>
      </c>
      <c r="R542" s="2">
        <f ca="1">INDEX(INDIRECT(_xlfn.CONCAT("weather.tbl[",R$1,"]")),MATCH(vp.tbl[[#This Row],[SDate]],weather.tbl[Date],0))</f>
        <v>-24.5</v>
      </c>
      <c r="S542" s="2">
        <f ca="1">INDEX(INDIRECT(_xlfn.CONCAT("weather.tbl[",S$1,"]")),MATCH(vp.tbl[[#This Row],[SDate]],weather.tbl[Date],0))</f>
        <v>-20.9</v>
      </c>
      <c r="T542" s="2">
        <f ca="1">INDEX(INDIRECT(_xlfn.CONCAT("weather.tbl[",T$1,"]")),MATCH(vp.tbl[[#This Row],[SDate]],weather.tbl[Date],0))</f>
        <v>-22.2</v>
      </c>
      <c r="U542" s="2">
        <f ca="1">INDEX(INDIRECT(_xlfn.CONCAT("weather.tbl[",U$1,"]")),MATCH(vp.tbl[[#This Row],[SDate]],weather.tbl[Date],0))</f>
        <v>-20</v>
      </c>
      <c r="V542" s="2">
        <v>115522.52099999999</v>
      </c>
      <c r="W542" t="s">
        <v>48</v>
      </c>
      <c r="X542">
        <f>IF(OR(vp.tbl[[#This Row],[Sulf]]="",vp.tbl[[#This Row],[Dens]]=""),1,0)</f>
        <v>0</v>
      </c>
      <c r="Y542">
        <f>IF(vp.tbl[[#This Row],[CrudeType]]="C5+",1,0)</f>
        <v>0</v>
      </c>
      <c r="Z542">
        <f>IF(AND(vp.tbl[[#This Row],[CrudeType]]="Crude",vp.tbl[[#This Row],[Dens]]&lt;=825,vp.tbl[[#This Row],[Sulf]]&gt;0.5,vp.tbl[[#This Row],[Unknown]]=0),1,0)</f>
        <v>0</v>
      </c>
      <c r="AA542">
        <f>IF(AND(vp.tbl[[#This Row],[CrudeType]]="Crude",vp.tbl[[#This Row],[Dens]]&lt;=825,vp.tbl[[#This Row],[Sulf]]&lt;=0.5,vp.tbl[[#This Row],[Unknown]]=0),1,0)</f>
        <v>0</v>
      </c>
      <c r="AB542">
        <f>IF(AND(vp.tbl[[#This Row],[CrudeType]]="Crude",vp.tbl[[#This Row],[Dens]]&gt;825,vp.tbl[[#This Row],[Dens]]&lt;=870,vp.tbl[[#This Row],[Sulf]]&gt;0.5,vp.tbl[[#This Row],[Unknown]]=0),1,0)</f>
        <v>1</v>
      </c>
      <c r="AC542">
        <f>IF(AND(vp.tbl[[#This Row],[CrudeType]]="Crude",vp.tbl[[#This Row],[Dens]]&gt;825,vp.tbl[[#This Row],[Dens]]&lt;=900,vp.tbl[[#This Row],[Sulf]]&lt;=0.5,vp.tbl[[#This Row],[Unknown]]=0),1,0)</f>
        <v>0</v>
      </c>
      <c r="AD542">
        <f>IF(AND(vp.tbl[[#This Row],[CrudeType]]="Crude",vp.tbl[[#This Row],[Dens]]&gt;870,vp.tbl[[#This Row],[Dens]]&lt;=900,vp.tbl[[#This Row],[Sulf]]&gt;0.5,vp.tbl[[#This Row],[Unknown]]=0),1,0)</f>
        <v>0</v>
      </c>
      <c r="AE542">
        <f>IF(AND(vp.tbl[[#This Row],[CrudeType]]="Crude",vp.tbl[[#This Row],[Dens]]&gt;900,vp.tbl[[#This Row],[Sulf]]&lt;=0.5,vp.tbl[[#This Row],[Unknown]]=0),1,0)</f>
        <v>0</v>
      </c>
      <c r="AF542">
        <f>IF(AND(vp.tbl[[#This Row],[CrudeType]]="Crude",vp.tbl[[#This Row],[Dens]]&gt;900,vp.tbl[[#This Row],[Sulf]]&lt;=0.5,vp.tbl[[#This Row],[Unknown]]=0),1,0)</f>
        <v>0</v>
      </c>
      <c r="AG542" t="str">
        <f>INDEX(vp.tbl[[#Headers],[Unknown]:[Heavy_SW]],MATCH(1,vp.tbl[[#This Row],[Unknown]:[Heavy_SW]],0))</f>
        <v>Medium_LSB</v>
      </c>
      <c r="AH542" t="e">
        <f>INDEX([1]!crudeBD.lkup[Number],MATCH(vp.tbl[[#This Row],[Crude_Breakdown]],[1]!crudeBD.lkup[Crude Breakdown],0))</f>
        <v>#REF!</v>
      </c>
      <c r="AI542">
        <f>MONTH(vp.tbl[[#This Row],[SDate]])</f>
        <v>1</v>
      </c>
      <c r="AJ542" s="5">
        <f>IFERROR(vp.tbl[[#This Row],[Sulf]]*vp.tbl[[#This Row],[Net Dens]],"")</f>
        <v>234477909.23403597</v>
      </c>
      <c r="AK542" s="5">
        <f>IFERROR(vp.tbl[[#This Row],[Dens]]*vp.tbl[[#This Row],[VolumeM3]],"")</f>
        <v>100204234.7154</v>
      </c>
      <c r="AL542" s="5">
        <f>IFERROR(vp.tbl[[#This Row],[VP]]*vp.tbl[[#This Row],[VolumeM3]],"")</f>
        <v>7012217.0247</v>
      </c>
      <c r="AM542" s="4">
        <f>IFERROR((vp.tbl[[#This Row],[VP]]-INDEX(crudeBD.lkup.complete[Mean_VP],MATCH(vp.tbl[[#This Row],[Crude_Breakdown]],crudeBD.lkup.complete[Crude Breakdown],0)))^2,"")</f>
        <v>379.22089975901144</v>
      </c>
      <c r="AN542" s="4">
        <f>IFERROR((vp.tbl[[#This Row],[Dens]]-INDEX(crudeBD.lkup.complete[Mean_Dens],MATCH(vp.tbl[[#This Row],[Crude_Breakdown]],crudeBD.lkup.complete[Crude Breakdown],0)))^2,"")</f>
        <v>488.77149977828321</v>
      </c>
      <c r="AO542" s="4">
        <f>IFERROR((vp.tbl[[#This Row],[Sulf]]-INDEX(crudeBD.lkup.complete[Mean_Sulf],MATCH(vp.tbl[[#This Row],[Crude_Breakdown]],crudeBD.lkup.complete[Crude Breakdown],0)))^2,"")</f>
        <v>0.78334915137520633</v>
      </c>
      <c r="AP542">
        <f>IF(AND(vp.tbl[[#This Row],[SDate]]&gt;=DATE(YEAR(vp.tbl[[#This Row],[SDate]]),5,1),vp.tbl[[#This Row],[SDate]]&lt;=DATE(YEAR(vp.tbl[[#This Row],[SDate]]),9,15)),1,0)</f>
        <v>0</v>
      </c>
      <c r="AQ542" s="15">
        <f>IF(vp.tbl[[#This Row],[SDate]]&lt;DATE(2016,12,1),0,1)</f>
        <v>1</v>
      </c>
    </row>
    <row r="543" spans="1:43" x14ac:dyDescent="0.25">
      <c r="A543">
        <v>542</v>
      </c>
      <c r="B543" t="s">
        <v>49</v>
      </c>
      <c r="C543" t="s">
        <v>49</v>
      </c>
      <c r="D543" t="s">
        <v>75</v>
      </c>
      <c r="F543" s="1">
        <v>42745</v>
      </c>
      <c r="G543" s="2">
        <v>104.8</v>
      </c>
      <c r="H543" s="2"/>
      <c r="I543" s="2">
        <v>0.26</v>
      </c>
      <c r="J543" s="2">
        <v>17.100000000000001</v>
      </c>
      <c r="K543" s="2">
        <v>-23</v>
      </c>
      <c r="L543" s="2">
        <v>799.2</v>
      </c>
      <c r="M543" s="2">
        <v>799.2</v>
      </c>
      <c r="N543" s="2">
        <f ca="1">INDEX(INDIRECT(_xlfn.CONCAT("weather.tbl[",N$1,"]")),MATCH(vp.tbl[[#This Row],[SDate]],weather.tbl[Date],0))</f>
        <v>-21.166666666666668</v>
      </c>
      <c r="O543" s="2">
        <f ca="1">INDEX(INDIRECT(_xlfn.CONCAT("weather.tbl[",O$1,"]")),MATCH(vp.tbl[[#This Row],[SDate]],weather.tbl[Date],0))</f>
        <v>-22.107142857142858</v>
      </c>
      <c r="P543" s="2">
        <f ca="1">INDEX(INDIRECT(_xlfn.CONCAT("weather.tbl[",P$1,"]")),MATCH(vp.tbl[[#This Row],[SDate]],weather.tbl[Date],0))</f>
        <v>-20.6</v>
      </c>
      <c r="Q543" s="2">
        <f ca="1">INDEX(INDIRECT(_xlfn.CONCAT("weather.tbl[",Q$1,"]")),MATCH(vp.tbl[[#This Row],[SDate]],weather.tbl[Date],0))</f>
        <v>-22.2</v>
      </c>
      <c r="R543" s="2">
        <f ca="1">INDEX(INDIRECT(_xlfn.CONCAT("weather.tbl[",R$1,"]")),MATCH(vp.tbl[[#This Row],[SDate]],weather.tbl[Date],0))</f>
        <v>-21.5</v>
      </c>
      <c r="S543" s="2">
        <f ca="1">INDEX(INDIRECT(_xlfn.CONCAT("weather.tbl[",S$1,"]")),MATCH(vp.tbl[[#This Row],[SDate]],weather.tbl[Date],0))</f>
        <v>-21.3</v>
      </c>
      <c r="T543" s="2">
        <f ca="1">INDEX(INDIRECT(_xlfn.CONCAT("weather.tbl[",T$1,"]")),MATCH(vp.tbl[[#This Row],[SDate]],weather.tbl[Date],0))</f>
        <v>-19.899999999999999</v>
      </c>
      <c r="U543" s="2">
        <f ca="1">INDEX(INDIRECT(_xlfn.CONCAT("weather.tbl[",U$1,"]")),MATCH(vp.tbl[[#This Row],[SDate]],weather.tbl[Date],0))</f>
        <v>-21.5</v>
      </c>
      <c r="V543" s="2">
        <v>12738.714</v>
      </c>
      <c r="W543" t="s">
        <v>48</v>
      </c>
      <c r="X543">
        <f>IF(OR(vp.tbl[[#This Row],[Sulf]]="",vp.tbl[[#This Row],[Dens]]=""),1,0)</f>
        <v>0</v>
      </c>
      <c r="Y543">
        <f>IF(vp.tbl[[#This Row],[CrudeType]]="C5+",1,0)</f>
        <v>0</v>
      </c>
      <c r="Z543">
        <f>IF(AND(vp.tbl[[#This Row],[CrudeType]]="Crude",vp.tbl[[#This Row],[Dens]]&lt;=825,vp.tbl[[#This Row],[Sulf]]&gt;0.5,vp.tbl[[#This Row],[Unknown]]=0),1,0)</f>
        <v>0</v>
      </c>
      <c r="AA543">
        <f>IF(AND(vp.tbl[[#This Row],[CrudeType]]="Crude",vp.tbl[[#This Row],[Dens]]&lt;=825,vp.tbl[[#This Row],[Sulf]]&lt;=0.5,vp.tbl[[#This Row],[Unknown]]=0),1,0)</f>
        <v>1</v>
      </c>
      <c r="AB543">
        <f>IF(AND(vp.tbl[[#This Row],[CrudeType]]="Crude",vp.tbl[[#This Row],[Dens]]&gt;825,vp.tbl[[#This Row],[Dens]]&lt;=870,vp.tbl[[#This Row],[Sulf]]&gt;0.5,vp.tbl[[#This Row],[Unknown]]=0),1,0)</f>
        <v>0</v>
      </c>
      <c r="AC543">
        <f>IF(AND(vp.tbl[[#This Row],[CrudeType]]="Crude",vp.tbl[[#This Row],[Dens]]&gt;825,vp.tbl[[#This Row],[Dens]]&lt;=900,vp.tbl[[#This Row],[Sulf]]&lt;=0.5,vp.tbl[[#This Row],[Unknown]]=0),1,0)</f>
        <v>0</v>
      </c>
      <c r="AD543">
        <f>IF(AND(vp.tbl[[#This Row],[CrudeType]]="Crude",vp.tbl[[#This Row],[Dens]]&gt;870,vp.tbl[[#This Row],[Dens]]&lt;=900,vp.tbl[[#This Row],[Sulf]]&gt;0.5,vp.tbl[[#This Row],[Unknown]]=0),1,0)</f>
        <v>0</v>
      </c>
      <c r="AE543">
        <f>IF(AND(vp.tbl[[#This Row],[CrudeType]]="Crude",vp.tbl[[#This Row],[Dens]]&gt;900,vp.tbl[[#This Row],[Sulf]]&lt;=0.5,vp.tbl[[#This Row],[Unknown]]=0),1,0)</f>
        <v>0</v>
      </c>
      <c r="AF543">
        <f>IF(AND(vp.tbl[[#This Row],[CrudeType]]="Crude",vp.tbl[[#This Row],[Dens]]&gt;900,vp.tbl[[#This Row],[Sulf]]&lt;=0.5,vp.tbl[[#This Row],[Unknown]]=0),1,0)</f>
        <v>0</v>
      </c>
      <c r="AG543" t="str">
        <f>INDEX(vp.tbl[[#Headers],[Unknown]:[Heavy_SW]],MATCH(1,vp.tbl[[#This Row],[Unknown]:[Heavy_SW]],0))</f>
        <v>Light_SW</v>
      </c>
      <c r="AH543" t="e">
        <f>INDEX([1]!crudeBD.lkup[Number],MATCH(vp.tbl[[#This Row],[Crude_Breakdown]],[1]!crudeBD.lkup[Crude Breakdown],0))</f>
        <v>#REF!</v>
      </c>
      <c r="AI543">
        <f>MONTH(vp.tbl[[#This Row],[SDate]])</f>
        <v>1</v>
      </c>
      <c r="AJ543" s="5">
        <f>IFERROR(vp.tbl[[#This Row],[Sulf]]*vp.tbl[[#This Row],[Net Dens]],"")</f>
        <v>2647002.8594880002</v>
      </c>
      <c r="AK543" s="5">
        <f>IFERROR(vp.tbl[[#This Row],[Dens]]*vp.tbl[[#This Row],[VolumeM3]],"")</f>
        <v>10180780.228800001</v>
      </c>
      <c r="AL543" s="5">
        <f>IFERROR(vp.tbl[[#This Row],[VP]]*vp.tbl[[#This Row],[VolumeM3]],"")</f>
        <v>1335017.2271999998</v>
      </c>
      <c r="AM543" s="4">
        <f>IFERROR((vp.tbl[[#This Row],[VP]]-INDEX(crudeBD.lkup.complete[Mean_VP],MATCH(vp.tbl[[#This Row],[Crude_Breakdown]],crudeBD.lkup.complete[Crude Breakdown],0)))^2,"")</f>
        <v>150.05481717150934</v>
      </c>
      <c r="AN543" s="4">
        <f>IFERROR((vp.tbl[[#This Row],[Dens]]-INDEX(crudeBD.lkup.complete[Mean_Dens],MATCH(vp.tbl[[#This Row],[Crude_Breakdown]],crudeBD.lkup.complete[Crude Breakdown],0)))^2,"")</f>
        <v>83.019400502611461</v>
      </c>
      <c r="AO543" s="4">
        <f>IFERROR((vp.tbl[[#This Row],[Sulf]]-INDEX(crudeBD.lkup.complete[Mean_Sulf],MATCH(vp.tbl[[#This Row],[Crude_Breakdown]],crudeBD.lkup.complete[Crude Breakdown],0)))^2,"")</f>
        <v>5.644515043280923E-4</v>
      </c>
      <c r="AP543">
        <f>IF(AND(vp.tbl[[#This Row],[SDate]]&gt;=DATE(YEAR(vp.tbl[[#This Row],[SDate]]),5,1),vp.tbl[[#This Row],[SDate]]&lt;=DATE(YEAR(vp.tbl[[#This Row],[SDate]]),9,15)),1,0)</f>
        <v>0</v>
      </c>
      <c r="AQ543" s="15">
        <f>IF(vp.tbl[[#This Row],[SDate]]&lt;DATE(2016,12,1),0,1)</f>
        <v>1</v>
      </c>
    </row>
    <row r="544" spans="1:43" x14ac:dyDescent="0.25">
      <c r="A544">
        <v>543</v>
      </c>
      <c r="B544" t="s">
        <v>49</v>
      </c>
      <c r="C544" t="s">
        <v>49</v>
      </c>
      <c r="D544" t="s">
        <v>78</v>
      </c>
      <c r="F544" s="1">
        <v>42745</v>
      </c>
      <c r="G544" s="2">
        <v>95.9</v>
      </c>
      <c r="H544" s="2"/>
      <c r="I544" s="2">
        <v>0.33</v>
      </c>
      <c r="J544" s="2">
        <v>6.7</v>
      </c>
      <c r="K544" s="2">
        <v>-23</v>
      </c>
      <c r="L544" s="2">
        <v>805.4</v>
      </c>
      <c r="M544" s="2">
        <v>805.4</v>
      </c>
      <c r="N544" s="2">
        <f ca="1">INDEX(INDIRECT(_xlfn.CONCAT("weather.tbl[",N$1,"]")),MATCH(vp.tbl[[#This Row],[SDate]],weather.tbl[Date],0))</f>
        <v>-21.166666666666668</v>
      </c>
      <c r="O544" s="2">
        <f ca="1">INDEX(INDIRECT(_xlfn.CONCAT("weather.tbl[",O$1,"]")),MATCH(vp.tbl[[#This Row],[SDate]],weather.tbl[Date],0))</f>
        <v>-22.107142857142858</v>
      </c>
      <c r="P544" s="2">
        <f ca="1">INDEX(INDIRECT(_xlfn.CONCAT("weather.tbl[",P$1,"]")),MATCH(vp.tbl[[#This Row],[SDate]],weather.tbl[Date],0))</f>
        <v>-20.6</v>
      </c>
      <c r="Q544" s="2">
        <f ca="1">INDEX(INDIRECT(_xlfn.CONCAT("weather.tbl[",Q$1,"]")),MATCH(vp.tbl[[#This Row],[SDate]],weather.tbl[Date],0))</f>
        <v>-22.2</v>
      </c>
      <c r="R544" s="2">
        <f ca="1">INDEX(INDIRECT(_xlfn.CONCAT("weather.tbl[",R$1,"]")),MATCH(vp.tbl[[#This Row],[SDate]],weather.tbl[Date],0))</f>
        <v>-21.5</v>
      </c>
      <c r="S544" s="2">
        <f ca="1">INDEX(INDIRECT(_xlfn.CONCAT("weather.tbl[",S$1,"]")),MATCH(vp.tbl[[#This Row],[SDate]],weather.tbl[Date],0))</f>
        <v>-21.3</v>
      </c>
      <c r="T544" s="2">
        <f ca="1">INDEX(INDIRECT(_xlfn.CONCAT("weather.tbl[",T$1,"]")),MATCH(vp.tbl[[#This Row],[SDate]],weather.tbl[Date],0))</f>
        <v>-19.899999999999999</v>
      </c>
      <c r="U544" s="2">
        <f ca="1">INDEX(INDIRECT(_xlfn.CONCAT("weather.tbl[",U$1,"]")),MATCH(vp.tbl[[#This Row],[SDate]],weather.tbl[Date],0))</f>
        <v>-21.5</v>
      </c>
      <c r="V544" s="2">
        <v>19960.418000000001</v>
      </c>
      <c r="W544" t="s">
        <v>48</v>
      </c>
      <c r="X544">
        <f>IF(OR(vp.tbl[[#This Row],[Sulf]]="",vp.tbl[[#This Row],[Dens]]=""),1,0)</f>
        <v>0</v>
      </c>
      <c r="Y544">
        <f>IF(vp.tbl[[#This Row],[CrudeType]]="C5+",1,0)</f>
        <v>0</v>
      </c>
      <c r="Z544">
        <f>IF(AND(vp.tbl[[#This Row],[CrudeType]]="Crude",vp.tbl[[#This Row],[Dens]]&lt;=825,vp.tbl[[#This Row],[Sulf]]&gt;0.5,vp.tbl[[#This Row],[Unknown]]=0),1,0)</f>
        <v>0</v>
      </c>
      <c r="AA544">
        <f>IF(AND(vp.tbl[[#This Row],[CrudeType]]="Crude",vp.tbl[[#This Row],[Dens]]&lt;=825,vp.tbl[[#This Row],[Sulf]]&lt;=0.5,vp.tbl[[#This Row],[Unknown]]=0),1,0)</f>
        <v>1</v>
      </c>
      <c r="AB544">
        <f>IF(AND(vp.tbl[[#This Row],[CrudeType]]="Crude",vp.tbl[[#This Row],[Dens]]&gt;825,vp.tbl[[#This Row],[Dens]]&lt;=870,vp.tbl[[#This Row],[Sulf]]&gt;0.5,vp.tbl[[#This Row],[Unknown]]=0),1,0)</f>
        <v>0</v>
      </c>
      <c r="AC544">
        <f>IF(AND(vp.tbl[[#This Row],[CrudeType]]="Crude",vp.tbl[[#This Row],[Dens]]&gt;825,vp.tbl[[#This Row],[Dens]]&lt;=900,vp.tbl[[#This Row],[Sulf]]&lt;=0.5,vp.tbl[[#This Row],[Unknown]]=0),1,0)</f>
        <v>0</v>
      </c>
      <c r="AD544">
        <f>IF(AND(vp.tbl[[#This Row],[CrudeType]]="Crude",vp.tbl[[#This Row],[Dens]]&gt;870,vp.tbl[[#This Row],[Dens]]&lt;=900,vp.tbl[[#This Row],[Sulf]]&gt;0.5,vp.tbl[[#This Row],[Unknown]]=0),1,0)</f>
        <v>0</v>
      </c>
      <c r="AE544">
        <f>IF(AND(vp.tbl[[#This Row],[CrudeType]]="Crude",vp.tbl[[#This Row],[Dens]]&gt;900,vp.tbl[[#This Row],[Sulf]]&lt;=0.5,vp.tbl[[#This Row],[Unknown]]=0),1,0)</f>
        <v>0</v>
      </c>
      <c r="AF544">
        <f>IF(AND(vp.tbl[[#This Row],[CrudeType]]="Crude",vp.tbl[[#This Row],[Dens]]&gt;900,vp.tbl[[#This Row],[Sulf]]&lt;=0.5,vp.tbl[[#This Row],[Unknown]]=0),1,0)</f>
        <v>0</v>
      </c>
      <c r="AG544" t="str">
        <f>INDEX(vp.tbl[[#Headers],[Unknown]:[Heavy_SW]],MATCH(1,vp.tbl[[#This Row],[Unknown]:[Heavy_SW]],0))</f>
        <v>Light_SW</v>
      </c>
      <c r="AH544" t="e">
        <f>INDEX([1]!crudeBD.lkup[Number],MATCH(vp.tbl[[#This Row],[Crude_Breakdown]],[1]!crudeBD.lkup[Crude Breakdown],0))</f>
        <v>#REF!</v>
      </c>
      <c r="AI544">
        <f>MONTH(vp.tbl[[#This Row],[SDate]])</f>
        <v>1</v>
      </c>
      <c r="AJ544" s="5">
        <f>IFERROR(vp.tbl[[#This Row],[Sulf]]*vp.tbl[[#This Row],[Net Dens]],"")</f>
        <v>5305119.8168760007</v>
      </c>
      <c r="AK544" s="5">
        <f>IFERROR(vp.tbl[[#This Row],[Dens]]*vp.tbl[[#This Row],[VolumeM3]],"")</f>
        <v>16076120.657200001</v>
      </c>
      <c r="AL544" s="5">
        <f>IFERROR(vp.tbl[[#This Row],[VP]]*vp.tbl[[#This Row],[VolumeM3]],"")</f>
        <v>1914204.0862000003</v>
      </c>
      <c r="AM544" s="4">
        <f>IFERROR((vp.tbl[[#This Row],[VP]]-INDEX(crudeBD.lkup.complete[Mean_VP],MATCH(vp.tbl[[#This Row],[Crude_Breakdown]],crudeBD.lkup.complete[Crude Breakdown],0)))^2,"")</f>
        <v>11.220399053042035</v>
      </c>
      <c r="AN544" s="4">
        <f>IFERROR((vp.tbl[[#This Row],[Dens]]-INDEX(crudeBD.lkup.complete[Mean_Dens],MATCH(vp.tbl[[#This Row],[Crude_Breakdown]],crudeBD.lkup.complete[Crude Breakdown],0)))^2,"")</f>
        <v>8.4768221054025936</v>
      </c>
      <c r="AO544" s="4">
        <f>IFERROR((vp.tbl[[#This Row],[Sulf]]-INDEX(crudeBD.lkup.complete[Mean_Sulf],MATCH(vp.tbl[[#This Row],[Crude_Breakdown]],crudeBD.lkup.complete[Crude Breakdown],0)))^2,"")</f>
        <v>8.7905978457915313E-3</v>
      </c>
      <c r="AP544">
        <f>IF(AND(vp.tbl[[#This Row],[SDate]]&gt;=DATE(YEAR(vp.tbl[[#This Row],[SDate]]),5,1),vp.tbl[[#This Row],[SDate]]&lt;=DATE(YEAR(vp.tbl[[#This Row],[SDate]]),9,15)),1,0)</f>
        <v>0</v>
      </c>
      <c r="AQ544" s="15">
        <f>IF(vp.tbl[[#This Row],[SDate]]&lt;DATE(2016,12,1),0,1)</f>
        <v>1</v>
      </c>
    </row>
    <row r="545" spans="1:43" x14ac:dyDescent="0.25">
      <c r="A545">
        <v>544</v>
      </c>
      <c r="B545" t="s">
        <v>62</v>
      </c>
      <c r="C545" t="s">
        <v>62</v>
      </c>
      <c r="D545" t="s">
        <v>93</v>
      </c>
      <c r="F545" s="1">
        <v>42745</v>
      </c>
      <c r="G545" s="2">
        <v>111.5</v>
      </c>
      <c r="H545" s="2"/>
      <c r="I545" s="2">
        <v>0.43</v>
      </c>
      <c r="J545" s="2">
        <v>-16</v>
      </c>
      <c r="K545" s="2">
        <v>-23</v>
      </c>
      <c r="L545" s="2">
        <v>807.8</v>
      </c>
      <c r="M545" s="2">
        <v>807.8</v>
      </c>
      <c r="N545" s="2">
        <f ca="1">INDEX(INDIRECT(_xlfn.CONCAT("weather.tbl[",N$1,"]")),MATCH(vp.tbl[[#This Row],[SDate]],weather.tbl[Date],0))</f>
        <v>-21.166666666666668</v>
      </c>
      <c r="O545" s="2">
        <f ca="1">INDEX(INDIRECT(_xlfn.CONCAT("weather.tbl[",O$1,"]")),MATCH(vp.tbl[[#This Row],[SDate]],weather.tbl[Date],0))</f>
        <v>-22.107142857142858</v>
      </c>
      <c r="P545" s="2">
        <f ca="1">INDEX(INDIRECT(_xlfn.CONCAT("weather.tbl[",P$1,"]")),MATCH(vp.tbl[[#This Row],[SDate]],weather.tbl[Date],0))</f>
        <v>-20.6</v>
      </c>
      <c r="Q545" s="2">
        <f ca="1">INDEX(INDIRECT(_xlfn.CONCAT("weather.tbl[",Q$1,"]")),MATCH(vp.tbl[[#This Row],[SDate]],weather.tbl[Date],0))</f>
        <v>-22.2</v>
      </c>
      <c r="R545" s="2">
        <f ca="1">INDEX(INDIRECT(_xlfn.CONCAT("weather.tbl[",R$1,"]")),MATCH(vp.tbl[[#This Row],[SDate]],weather.tbl[Date],0))</f>
        <v>-21.5</v>
      </c>
      <c r="S545" s="2">
        <f ca="1">INDEX(INDIRECT(_xlfn.CONCAT("weather.tbl[",S$1,"]")),MATCH(vp.tbl[[#This Row],[SDate]],weather.tbl[Date],0))</f>
        <v>-21.3</v>
      </c>
      <c r="T545" s="2">
        <f ca="1">INDEX(INDIRECT(_xlfn.CONCAT("weather.tbl[",T$1,"]")),MATCH(vp.tbl[[#This Row],[SDate]],weather.tbl[Date],0))</f>
        <v>-19.899999999999999</v>
      </c>
      <c r="U545" s="2">
        <f ca="1">INDEX(INDIRECT(_xlfn.CONCAT("weather.tbl[",U$1,"]")),MATCH(vp.tbl[[#This Row],[SDate]],weather.tbl[Date],0))</f>
        <v>-21.5</v>
      </c>
      <c r="V545" s="2">
        <v>505.60500000000002</v>
      </c>
      <c r="W545" t="s">
        <v>48</v>
      </c>
      <c r="X545">
        <f>IF(OR(vp.tbl[[#This Row],[Sulf]]="",vp.tbl[[#This Row],[Dens]]=""),1,0)</f>
        <v>0</v>
      </c>
      <c r="Y545">
        <f>IF(vp.tbl[[#This Row],[CrudeType]]="C5+",1,0)</f>
        <v>0</v>
      </c>
      <c r="Z545">
        <f>IF(AND(vp.tbl[[#This Row],[CrudeType]]="Crude",vp.tbl[[#This Row],[Dens]]&lt;=825,vp.tbl[[#This Row],[Sulf]]&gt;0.5,vp.tbl[[#This Row],[Unknown]]=0),1,0)</f>
        <v>0</v>
      </c>
      <c r="AA545">
        <f>IF(AND(vp.tbl[[#This Row],[CrudeType]]="Crude",vp.tbl[[#This Row],[Dens]]&lt;=825,vp.tbl[[#This Row],[Sulf]]&lt;=0.5,vp.tbl[[#This Row],[Unknown]]=0),1,0)</f>
        <v>1</v>
      </c>
      <c r="AB545">
        <f>IF(AND(vp.tbl[[#This Row],[CrudeType]]="Crude",vp.tbl[[#This Row],[Dens]]&gt;825,vp.tbl[[#This Row],[Dens]]&lt;=870,vp.tbl[[#This Row],[Sulf]]&gt;0.5,vp.tbl[[#This Row],[Unknown]]=0),1,0)</f>
        <v>0</v>
      </c>
      <c r="AC545">
        <f>IF(AND(vp.tbl[[#This Row],[CrudeType]]="Crude",vp.tbl[[#This Row],[Dens]]&gt;825,vp.tbl[[#This Row],[Dens]]&lt;=900,vp.tbl[[#This Row],[Sulf]]&lt;=0.5,vp.tbl[[#This Row],[Unknown]]=0),1,0)</f>
        <v>0</v>
      </c>
      <c r="AD545">
        <f>IF(AND(vp.tbl[[#This Row],[CrudeType]]="Crude",vp.tbl[[#This Row],[Dens]]&gt;870,vp.tbl[[#This Row],[Dens]]&lt;=900,vp.tbl[[#This Row],[Sulf]]&gt;0.5,vp.tbl[[#This Row],[Unknown]]=0),1,0)</f>
        <v>0</v>
      </c>
      <c r="AE545">
        <f>IF(AND(vp.tbl[[#This Row],[CrudeType]]="Crude",vp.tbl[[#This Row],[Dens]]&gt;900,vp.tbl[[#This Row],[Sulf]]&lt;=0.5,vp.tbl[[#This Row],[Unknown]]=0),1,0)</f>
        <v>0</v>
      </c>
      <c r="AF545">
        <f>IF(AND(vp.tbl[[#This Row],[CrudeType]]="Crude",vp.tbl[[#This Row],[Dens]]&gt;900,vp.tbl[[#This Row],[Sulf]]&lt;=0.5,vp.tbl[[#This Row],[Unknown]]=0),1,0)</f>
        <v>0</v>
      </c>
      <c r="AG545" t="str">
        <f>INDEX(vp.tbl[[#Headers],[Unknown]:[Heavy_SW]],MATCH(1,vp.tbl[[#This Row],[Unknown]:[Heavy_SW]],0))</f>
        <v>Light_SW</v>
      </c>
      <c r="AH545" t="e">
        <f>INDEX([1]!crudeBD.lkup[Number],MATCH(vp.tbl[[#This Row],[Crude_Breakdown]],[1]!crudeBD.lkup[Crude Breakdown],0))</f>
        <v>#REF!</v>
      </c>
      <c r="AI545">
        <f>MONTH(vp.tbl[[#This Row],[SDate]])</f>
        <v>1</v>
      </c>
      <c r="AJ545" s="5">
        <f>IFERROR(vp.tbl[[#This Row],[Sulf]]*vp.tbl[[#This Row],[Net Dens]],"")</f>
        <v>175623.91916999998</v>
      </c>
      <c r="AK545" s="5">
        <f>IFERROR(vp.tbl[[#This Row],[Dens]]*vp.tbl[[#This Row],[VolumeM3]],"")</f>
        <v>408427.71899999998</v>
      </c>
      <c r="AL545" s="5">
        <f>IFERROR(vp.tbl[[#This Row],[VP]]*vp.tbl[[#This Row],[VolumeM3]],"")</f>
        <v>56374.957500000004</v>
      </c>
      <c r="AM545" s="4">
        <f>IFERROR((vp.tbl[[#This Row],[VP]]-INDEX(crudeBD.lkup.complete[Mean_VP],MATCH(vp.tbl[[#This Row],[Crude_Breakdown]],crudeBD.lkup.complete[Crude Breakdown],0)))^2,"")</f>
        <v>359.09061508091747</v>
      </c>
      <c r="AN545" s="4">
        <f>IFERROR((vp.tbl[[#This Row],[Dens]]-INDEX(crudeBD.lkup.complete[Mean_Dens],MATCH(vp.tbl[[#This Row],[Crude_Breakdown]],crudeBD.lkup.complete[Crude Breakdown],0)))^2,"")</f>
        <v>0.26163046777289312</v>
      </c>
      <c r="AO545" s="4">
        <f>IFERROR((vp.tbl[[#This Row],[Sulf]]-INDEX(crudeBD.lkup.complete[Mean_Sulf],MATCH(vp.tbl[[#This Row],[Crude_Breakdown]],crudeBD.lkup.complete[Crude Breakdown],0)))^2,"")</f>
        <v>3.7542235476453578E-2</v>
      </c>
      <c r="AP545">
        <f>IF(AND(vp.tbl[[#This Row],[SDate]]&gt;=DATE(YEAR(vp.tbl[[#This Row],[SDate]]),5,1),vp.tbl[[#This Row],[SDate]]&lt;=DATE(YEAR(vp.tbl[[#This Row],[SDate]]),9,15)),1,0)</f>
        <v>0</v>
      </c>
      <c r="AQ545" s="15">
        <f>IF(vp.tbl[[#This Row],[SDate]]&lt;DATE(2016,12,1),0,1)</f>
        <v>1</v>
      </c>
    </row>
    <row r="546" spans="1:43" x14ac:dyDescent="0.25">
      <c r="A546">
        <v>545</v>
      </c>
      <c r="B546" t="s">
        <v>62</v>
      </c>
      <c r="C546" t="s">
        <v>62</v>
      </c>
      <c r="D546" t="s">
        <v>83</v>
      </c>
      <c r="F546" s="1">
        <v>42745</v>
      </c>
      <c r="G546" s="2">
        <v>92.6</v>
      </c>
      <c r="H546" s="2"/>
      <c r="I546" s="2">
        <v>0.17</v>
      </c>
      <c r="J546" s="2">
        <v>-2.8</v>
      </c>
      <c r="K546" s="2">
        <v>-23</v>
      </c>
      <c r="L546" s="2">
        <v>808.4</v>
      </c>
      <c r="M546" s="2">
        <v>808.4</v>
      </c>
      <c r="N546" s="2">
        <f ca="1">INDEX(INDIRECT(_xlfn.CONCAT("weather.tbl[",N$1,"]")),MATCH(vp.tbl[[#This Row],[SDate]],weather.tbl[Date],0))</f>
        <v>-21.166666666666668</v>
      </c>
      <c r="O546" s="2">
        <f ca="1">INDEX(INDIRECT(_xlfn.CONCAT("weather.tbl[",O$1,"]")),MATCH(vp.tbl[[#This Row],[SDate]],weather.tbl[Date],0))</f>
        <v>-22.107142857142858</v>
      </c>
      <c r="P546" s="2">
        <f ca="1">INDEX(INDIRECT(_xlfn.CONCAT("weather.tbl[",P$1,"]")),MATCH(vp.tbl[[#This Row],[SDate]],weather.tbl[Date],0))</f>
        <v>-20.6</v>
      </c>
      <c r="Q546" s="2">
        <f ca="1">INDEX(INDIRECT(_xlfn.CONCAT("weather.tbl[",Q$1,"]")),MATCH(vp.tbl[[#This Row],[SDate]],weather.tbl[Date],0))</f>
        <v>-22.2</v>
      </c>
      <c r="R546" s="2">
        <f ca="1">INDEX(INDIRECT(_xlfn.CONCAT("weather.tbl[",R$1,"]")),MATCH(vp.tbl[[#This Row],[SDate]],weather.tbl[Date],0))</f>
        <v>-21.5</v>
      </c>
      <c r="S546" s="2">
        <f ca="1">INDEX(INDIRECT(_xlfn.CONCAT("weather.tbl[",S$1,"]")),MATCH(vp.tbl[[#This Row],[SDate]],weather.tbl[Date],0))</f>
        <v>-21.3</v>
      </c>
      <c r="T546" s="2">
        <f ca="1">INDEX(INDIRECT(_xlfn.CONCAT("weather.tbl[",T$1,"]")),MATCH(vp.tbl[[#This Row],[SDate]],weather.tbl[Date],0))</f>
        <v>-19.899999999999999</v>
      </c>
      <c r="U546" s="2">
        <f ca="1">INDEX(INDIRECT(_xlfn.CONCAT("weather.tbl[",U$1,"]")),MATCH(vp.tbl[[#This Row],[SDate]],weather.tbl[Date],0))</f>
        <v>-21.5</v>
      </c>
      <c r="V546" s="2">
        <v>8873.2939999999999</v>
      </c>
      <c r="W546" t="s">
        <v>48</v>
      </c>
      <c r="X546">
        <f>IF(OR(vp.tbl[[#This Row],[Sulf]]="",vp.tbl[[#This Row],[Dens]]=""),1,0)</f>
        <v>0</v>
      </c>
      <c r="Y546">
        <f>IF(vp.tbl[[#This Row],[CrudeType]]="C5+",1,0)</f>
        <v>0</v>
      </c>
      <c r="Z546">
        <f>IF(AND(vp.tbl[[#This Row],[CrudeType]]="Crude",vp.tbl[[#This Row],[Dens]]&lt;=825,vp.tbl[[#This Row],[Sulf]]&gt;0.5,vp.tbl[[#This Row],[Unknown]]=0),1,0)</f>
        <v>0</v>
      </c>
      <c r="AA546">
        <f>IF(AND(vp.tbl[[#This Row],[CrudeType]]="Crude",vp.tbl[[#This Row],[Dens]]&lt;=825,vp.tbl[[#This Row],[Sulf]]&lt;=0.5,vp.tbl[[#This Row],[Unknown]]=0),1,0)</f>
        <v>1</v>
      </c>
      <c r="AB546">
        <f>IF(AND(vp.tbl[[#This Row],[CrudeType]]="Crude",vp.tbl[[#This Row],[Dens]]&gt;825,vp.tbl[[#This Row],[Dens]]&lt;=870,vp.tbl[[#This Row],[Sulf]]&gt;0.5,vp.tbl[[#This Row],[Unknown]]=0),1,0)</f>
        <v>0</v>
      </c>
      <c r="AC546">
        <f>IF(AND(vp.tbl[[#This Row],[CrudeType]]="Crude",vp.tbl[[#This Row],[Dens]]&gt;825,vp.tbl[[#This Row],[Dens]]&lt;=900,vp.tbl[[#This Row],[Sulf]]&lt;=0.5,vp.tbl[[#This Row],[Unknown]]=0),1,0)</f>
        <v>0</v>
      </c>
      <c r="AD546">
        <f>IF(AND(vp.tbl[[#This Row],[CrudeType]]="Crude",vp.tbl[[#This Row],[Dens]]&gt;870,vp.tbl[[#This Row],[Dens]]&lt;=900,vp.tbl[[#This Row],[Sulf]]&gt;0.5,vp.tbl[[#This Row],[Unknown]]=0),1,0)</f>
        <v>0</v>
      </c>
      <c r="AE546">
        <f>IF(AND(vp.tbl[[#This Row],[CrudeType]]="Crude",vp.tbl[[#This Row],[Dens]]&gt;900,vp.tbl[[#This Row],[Sulf]]&lt;=0.5,vp.tbl[[#This Row],[Unknown]]=0),1,0)</f>
        <v>0</v>
      </c>
      <c r="AF546">
        <f>IF(AND(vp.tbl[[#This Row],[CrudeType]]="Crude",vp.tbl[[#This Row],[Dens]]&gt;900,vp.tbl[[#This Row],[Sulf]]&lt;=0.5,vp.tbl[[#This Row],[Unknown]]=0),1,0)</f>
        <v>0</v>
      </c>
      <c r="AG546" t="str">
        <f>INDEX(vp.tbl[[#Headers],[Unknown]:[Heavy_SW]],MATCH(1,vp.tbl[[#This Row],[Unknown]:[Heavy_SW]],0))</f>
        <v>Light_SW</v>
      </c>
      <c r="AH546" t="e">
        <f>INDEX([1]!crudeBD.lkup[Number],MATCH(vp.tbl[[#This Row],[Crude_Breakdown]],[1]!crudeBD.lkup[Crude Breakdown],0))</f>
        <v>#REF!</v>
      </c>
      <c r="AI546">
        <f>MONTH(vp.tbl[[#This Row],[SDate]])</f>
        <v>1</v>
      </c>
      <c r="AJ546" s="5">
        <f>IFERROR(vp.tbl[[#This Row],[Sulf]]*vp.tbl[[#This Row],[Net Dens]],"")</f>
        <v>1219439.0478320001</v>
      </c>
      <c r="AK546" s="5">
        <f>IFERROR(vp.tbl[[#This Row],[Dens]]*vp.tbl[[#This Row],[VolumeM3]],"")</f>
        <v>7173170.8695999999</v>
      </c>
      <c r="AL546" s="5">
        <f>IFERROR(vp.tbl[[#This Row],[VP]]*vp.tbl[[#This Row],[VolumeM3]],"")</f>
        <v>821667.02439999999</v>
      </c>
      <c r="AM546" s="4">
        <f>IFERROR((vp.tbl[[#This Row],[VP]]-INDEX(crudeBD.lkup.complete[Mean_VP],MATCH(vp.tbl[[#This Row],[Crude_Breakdown]],crudeBD.lkup.complete[Crude Breakdown],0)))^2,"")</f>
        <v>2.4687394529519006E-3</v>
      </c>
      <c r="AN546" s="4">
        <f>IFERROR((vp.tbl[[#This Row],[Dens]]-INDEX(crudeBD.lkup.complete[Mean_Dens],MATCH(vp.tbl[[#This Row],[Crude_Breakdown]],crudeBD.lkup.complete[Crude Breakdown],0)))^2,"")</f>
        <v>7.8325583654390834E-3</v>
      </c>
      <c r="AO546" s="4">
        <f>IFERROR((vp.tbl[[#This Row],[Sulf]]-INDEX(crudeBD.lkup.complete[Mean_Sulf],MATCH(vp.tbl[[#This Row],[Crude_Breakdown]],crudeBD.lkup.complete[Crude Breakdown],0)))^2,"")</f>
        <v>4.3879776367322437E-3</v>
      </c>
      <c r="AP546">
        <f>IF(AND(vp.tbl[[#This Row],[SDate]]&gt;=DATE(YEAR(vp.tbl[[#This Row],[SDate]]),5,1),vp.tbl[[#This Row],[SDate]]&lt;=DATE(YEAR(vp.tbl[[#This Row],[SDate]]),9,15)),1,0)</f>
        <v>0</v>
      </c>
      <c r="AQ546" s="15">
        <f>IF(vp.tbl[[#This Row],[SDate]]&lt;DATE(2016,12,1),0,1)</f>
        <v>1</v>
      </c>
    </row>
    <row r="547" spans="1:43" x14ac:dyDescent="0.25">
      <c r="A547">
        <v>546</v>
      </c>
      <c r="B547" t="s">
        <v>62</v>
      </c>
      <c r="C547" t="s">
        <v>62</v>
      </c>
      <c r="D547" t="s">
        <v>79</v>
      </c>
      <c r="F547" s="1">
        <v>42745</v>
      </c>
      <c r="G547" s="2">
        <v>100.5</v>
      </c>
      <c r="H547" s="2"/>
      <c r="I547" s="2">
        <v>0.28000000000000003</v>
      </c>
      <c r="J547" s="2">
        <v>8.1999999999999993</v>
      </c>
      <c r="K547" s="2">
        <v>-23</v>
      </c>
      <c r="L547" s="2">
        <v>808.8</v>
      </c>
      <c r="M547" s="2">
        <v>808.8</v>
      </c>
      <c r="N547" s="2">
        <f ca="1">INDEX(INDIRECT(_xlfn.CONCAT("weather.tbl[",N$1,"]")),MATCH(vp.tbl[[#This Row],[SDate]],weather.tbl[Date],0))</f>
        <v>-21.166666666666668</v>
      </c>
      <c r="O547" s="2">
        <f ca="1">INDEX(INDIRECT(_xlfn.CONCAT("weather.tbl[",O$1,"]")),MATCH(vp.tbl[[#This Row],[SDate]],weather.tbl[Date],0))</f>
        <v>-22.107142857142858</v>
      </c>
      <c r="P547" s="2">
        <f ca="1">INDEX(INDIRECT(_xlfn.CONCAT("weather.tbl[",P$1,"]")),MATCH(vp.tbl[[#This Row],[SDate]],weather.tbl[Date],0))</f>
        <v>-20.6</v>
      </c>
      <c r="Q547" s="2">
        <f ca="1">INDEX(INDIRECT(_xlfn.CONCAT("weather.tbl[",Q$1,"]")),MATCH(vp.tbl[[#This Row],[SDate]],weather.tbl[Date],0))</f>
        <v>-22.2</v>
      </c>
      <c r="R547" s="2">
        <f ca="1">INDEX(INDIRECT(_xlfn.CONCAT("weather.tbl[",R$1,"]")),MATCH(vp.tbl[[#This Row],[SDate]],weather.tbl[Date],0))</f>
        <v>-21.5</v>
      </c>
      <c r="S547" s="2">
        <f ca="1">INDEX(INDIRECT(_xlfn.CONCAT("weather.tbl[",S$1,"]")),MATCH(vp.tbl[[#This Row],[SDate]],weather.tbl[Date],0))</f>
        <v>-21.3</v>
      </c>
      <c r="T547" s="2">
        <f ca="1">INDEX(INDIRECT(_xlfn.CONCAT("weather.tbl[",T$1,"]")),MATCH(vp.tbl[[#This Row],[SDate]],weather.tbl[Date],0))</f>
        <v>-19.899999999999999</v>
      </c>
      <c r="U547" s="2">
        <f ca="1">INDEX(INDIRECT(_xlfn.CONCAT("weather.tbl[",U$1,"]")),MATCH(vp.tbl[[#This Row],[SDate]],weather.tbl[Date],0))</f>
        <v>-21.5</v>
      </c>
      <c r="V547" s="2">
        <v>14036.508</v>
      </c>
      <c r="W547" t="s">
        <v>48</v>
      </c>
      <c r="X547">
        <f>IF(OR(vp.tbl[[#This Row],[Sulf]]="",vp.tbl[[#This Row],[Dens]]=""),1,0)</f>
        <v>0</v>
      </c>
      <c r="Y547">
        <f>IF(vp.tbl[[#This Row],[CrudeType]]="C5+",1,0)</f>
        <v>0</v>
      </c>
      <c r="Z547">
        <f>IF(AND(vp.tbl[[#This Row],[CrudeType]]="Crude",vp.tbl[[#This Row],[Dens]]&lt;=825,vp.tbl[[#This Row],[Sulf]]&gt;0.5,vp.tbl[[#This Row],[Unknown]]=0),1,0)</f>
        <v>0</v>
      </c>
      <c r="AA547">
        <f>IF(AND(vp.tbl[[#This Row],[CrudeType]]="Crude",vp.tbl[[#This Row],[Dens]]&lt;=825,vp.tbl[[#This Row],[Sulf]]&lt;=0.5,vp.tbl[[#This Row],[Unknown]]=0),1,0)</f>
        <v>1</v>
      </c>
      <c r="AB547">
        <f>IF(AND(vp.tbl[[#This Row],[CrudeType]]="Crude",vp.tbl[[#This Row],[Dens]]&gt;825,vp.tbl[[#This Row],[Dens]]&lt;=870,vp.tbl[[#This Row],[Sulf]]&gt;0.5,vp.tbl[[#This Row],[Unknown]]=0),1,0)</f>
        <v>0</v>
      </c>
      <c r="AC547">
        <f>IF(AND(vp.tbl[[#This Row],[CrudeType]]="Crude",vp.tbl[[#This Row],[Dens]]&gt;825,vp.tbl[[#This Row],[Dens]]&lt;=900,vp.tbl[[#This Row],[Sulf]]&lt;=0.5,vp.tbl[[#This Row],[Unknown]]=0),1,0)</f>
        <v>0</v>
      </c>
      <c r="AD547">
        <f>IF(AND(vp.tbl[[#This Row],[CrudeType]]="Crude",vp.tbl[[#This Row],[Dens]]&gt;870,vp.tbl[[#This Row],[Dens]]&lt;=900,vp.tbl[[#This Row],[Sulf]]&gt;0.5,vp.tbl[[#This Row],[Unknown]]=0),1,0)</f>
        <v>0</v>
      </c>
      <c r="AE547">
        <f>IF(AND(vp.tbl[[#This Row],[CrudeType]]="Crude",vp.tbl[[#This Row],[Dens]]&gt;900,vp.tbl[[#This Row],[Sulf]]&lt;=0.5,vp.tbl[[#This Row],[Unknown]]=0),1,0)</f>
        <v>0</v>
      </c>
      <c r="AF547">
        <f>IF(AND(vp.tbl[[#This Row],[CrudeType]]="Crude",vp.tbl[[#This Row],[Dens]]&gt;900,vp.tbl[[#This Row],[Sulf]]&lt;=0.5,vp.tbl[[#This Row],[Unknown]]=0),1,0)</f>
        <v>0</v>
      </c>
      <c r="AG547" t="str">
        <f>INDEX(vp.tbl[[#Headers],[Unknown]:[Heavy_SW]],MATCH(1,vp.tbl[[#This Row],[Unknown]:[Heavy_SW]],0))</f>
        <v>Light_SW</v>
      </c>
      <c r="AH547" t="e">
        <f>INDEX([1]!crudeBD.lkup[Number],MATCH(vp.tbl[[#This Row],[Crude_Breakdown]],[1]!crudeBD.lkup[Crude Breakdown],0))</f>
        <v>#REF!</v>
      </c>
      <c r="AI547">
        <f>MONTH(vp.tbl[[#This Row],[SDate]])</f>
        <v>1</v>
      </c>
      <c r="AJ547" s="5">
        <f>IFERROR(vp.tbl[[#This Row],[Sulf]]*vp.tbl[[#This Row],[Net Dens]],"")</f>
        <v>3178763.7477120003</v>
      </c>
      <c r="AK547" s="5">
        <f>IFERROR(vp.tbl[[#This Row],[Dens]]*vp.tbl[[#This Row],[VolumeM3]],"")</f>
        <v>11352727.670399999</v>
      </c>
      <c r="AL547" s="5">
        <f>IFERROR(vp.tbl[[#This Row],[VP]]*vp.tbl[[#This Row],[VolumeM3]],"")</f>
        <v>1410669.054</v>
      </c>
      <c r="AM547" s="4">
        <f>IFERROR((vp.tbl[[#This Row],[VP]]-INDEX(crudeBD.lkup.complete[Mean_VP],MATCH(vp.tbl[[#This Row],[Crude_Breakdown]],crudeBD.lkup.complete[Crude Breakdown],0)))^2,"")</f>
        <v>63.197514035620664</v>
      </c>
      <c r="AN547" s="4">
        <f>IFERROR((vp.tbl[[#This Row],[Dens]]-INDEX(crudeBD.lkup.complete[Mean_Dens],MATCH(vp.tbl[[#This Row],[Crude_Breakdown]],crudeBD.lkup.complete[Crude Breakdown],0)))^2,"")</f>
        <v>0.23863395209379634</v>
      </c>
      <c r="AO547" s="4">
        <f>IFERROR((vp.tbl[[#This Row],[Sulf]]-INDEX(crudeBD.lkup.complete[Mean_Sulf],MATCH(vp.tbl[[#This Row],[Crude_Breakdown]],crudeBD.lkup.complete[Crude Breakdown],0)))^2,"")</f>
        <v>1.9147790304605045E-3</v>
      </c>
      <c r="AP547">
        <f>IF(AND(vp.tbl[[#This Row],[SDate]]&gt;=DATE(YEAR(vp.tbl[[#This Row],[SDate]]),5,1),vp.tbl[[#This Row],[SDate]]&lt;=DATE(YEAR(vp.tbl[[#This Row],[SDate]]),9,15)),1,0)</f>
        <v>0</v>
      </c>
      <c r="AQ547" s="15">
        <f>IF(vp.tbl[[#This Row],[SDate]]&lt;DATE(2016,12,1),0,1)</f>
        <v>1</v>
      </c>
    </row>
    <row r="548" spans="1:43" x14ac:dyDescent="0.25">
      <c r="A548">
        <v>547</v>
      </c>
      <c r="B548" t="s">
        <v>49</v>
      </c>
      <c r="C548" t="s">
        <v>49</v>
      </c>
      <c r="D548" t="s">
        <v>100</v>
      </c>
      <c r="F548" s="1">
        <v>42745</v>
      </c>
      <c r="G548" s="2">
        <v>111.4</v>
      </c>
      <c r="H548" s="2"/>
      <c r="I548" s="2">
        <v>0.66</v>
      </c>
      <c r="J548" s="2">
        <v>1.9</v>
      </c>
      <c r="K548" s="2">
        <v>-23</v>
      </c>
      <c r="L548" s="2">
        <v>816.4</v>
      </c>
      <c r="M548" s="2">
        <v>816.4</v>
      </c>
      <c r="N548" s="2">
        <f ca="1">INDEX(INDIRECT(_xlfn.CONCAT("weather.tbl[",N$1,"]")),MATCH(vp.tbl[[#This Row],[SDate]],weather.tbl[Date],0))</f>
        <v>-21.166666666666668</v>
      </c>
      <c r="O548" s="2">
        <f ca="1">INDEX(INDIRECT(_xlfn.CONCAT("weather.tbl[",O$1,"]")),MATCH(vp.tbl[[#This Row],[SDate]],weather.tbl[Date],0))</f>
        <v>-22.107142857142858</v>
      </c>
      <c r="P548" s="2">
        <f ca="1">INDEX(INDIRECT(_xlfn.CONCAT("weather.tbl[",P$1,"]")),MATCH(vp.tbl[[#This Row],[SDate]],weather.tbl[Date],0))</f>
        <v>-20.6</v>
      </c>
      <c r="Q548" s="2">
        <f ca="1">INDEX(INDIRECT(_xlfn.CONCAT("weather.tbl[",Q$1,"]")),MATCH(vp.tbl[[#This Row],[SDate]],weather.tbl[Date],0))</f>
        <v>-22.2</v>
      </c>
      <c r="R548" s="2">
        <f ca="1">INDEX(INDIRECT(_xlfn.CONCAT("weather.tbl[",R$1,"]")),MATCH(vp.tbl[[#This Row],[SDate]],weather.tbl[Date],0))</f>
        <v>-21.5</v>
      </c>
      <c r="S548" s="2">
        <f ca="1">INDEX(INDIRECT(_xlfn.CONCAT("weather.tbl[",S$1,"]")),MATCH(vp.tbl[[#This Row],[SDate]],weather.tbl[Date],0))</f>
        <v>-21.3</v>
      </c>
      <c r="T548" s="2">
        <f ca="1">INDEX(INDIRECT(_xlfn.CONCAT("weather.tbl[",T$1,"]")),MATCH(vp.tbl[[#This Row],[SDate]],weather.tbl[Date],0))</f>
        <v>-19.899999999999999</v>
      </c>
      <c r="U548" s="2">
        <f ca="1">INDEX(INDIRECT(_xlfn.CONCAT("weather.tbl[",U$1,"]")),MATCH(vp.tbl[[#This Row],[SDate]],weather.tbl[Date],0))</f>
        <v>-21.5</v>
      </c>
      <c r="V548" s="2">
        <v>11216.892</v>
      </c>
      <c r="W548" t="s">
        <v>48</v>
      </c>
      <c r="X548">
        <f>IF(OR(vp.tbl[[#This Row],[Sulf]]="",vp.tbl[[#This Row],[Dens]]=""),1,0)</f>
        <v>0</v>
      </c>
      <c r="Y548">
        <f>IF(vp.tbl[[#This Row],[CrudeType]]="C5+",1,0)</f>
        <v>0</v>
      </c>
      <c r="Z548">
        <f>IF(AND(vp.tbl[[#This Row],[CrudeType]]="Crude",vp.tbl[[#This Row],[Dens]]&lt;=825,vp.tbl[[#This Row],[Sulf]]&gt;0.5,vp.tbl[[#This Row],[Unknown]]=0),1,0)</f>
        <v>1</v>
      </c>
      <c r="AA548">
        <f>IF(AND(vp.tbl[[#This Row],[CrudeType]]="Crude",vp.tbl[[#This Row],[Dens]]&lt;=825,vp.tbl[[#This Row],[Sulf]]&lt;=0.5,vp.tbl[[#This Row],[Unknown]]=0),1,0)</f>
        <v>0</v>
      </c>
      <c r="AB548">
        <f>IF(AND(vp.tbl[[#This Row],[CrudeType]]="Crude",vp.tbl[[#This Row],[Dens]]&gt;825,vp.tbl[[#This Row],[Dens]]&lt;=870,vp.tbl[[#This Row],[Sulf]]&gt;0.5,vp.tbl[[#This Row],[Unknown]]=0),1,0)</f>
        <v>0</v>
      </c>
      <c r="AC548">
        <f>IF(AND(vp.tbl[[#This Row],[CrudeType]]="Crude",vp.tbl[[#This Row],[Dens]]&gt;825,vp.tbl[[#This Row],[Dens]]&lt;=900,vp.tbl[[#This Row],[Sulf]]&lt;=0.5,vp.tbl[[#This Row],[Unknown]]=0),1,0)</f>
        <v>0</v>
      </c>
      <c r="AD548">
        <f>IF(AND(vp.tbl[[#This Row],[CrudeType]]="Crude",vp.tbl[[#This Row],[Dens]]&gt;870,vp.tbl[[#This Row],[Dens]]&lt;=900,vp.tbl[[#This Row],[Sulf]]&gt;0.5,vp.tbl[[#This Row],[Unknown]]=0),1,0)</f>
        <v>0</v>
      </c>
      <c r="AE548">
        <f>IF(AND(vp.tbl[[#This Row],[CrudeType]]="Crude",vp.tbl[[#This Row],[Dens]]&gt;900,vp.tbl[[#This Row],[Sulf]]&lt;=0.5,vp.tbl[[#This Row],[Unknown]]=0),1,0)</f>
        <v>0</v>
      </c>
      <c r="AF548">
        <f>IF(AND(vp.tbl[[#This Row],[CrudeType]]="Crude",vp.tbl[[#This Row],[Dens]]&gt;900,vp.tbl[[#This Row],[Sulf]]&lt;=0.5,vp.tbl[[#This Row],[Unknown]]=0),1,0)</f>
        <v>0</v>
      </c>
      <c r="AG548" t="str">
        <f>INDEX(vp.tbl[[#Headers],[Unknown]:[Heavy_SW]],MATCH(1,vp.tbl[[#This Row],[Unknown]:[Heavy_SW]],0))</f>
        <v>Light_LSB</v>
      </c>
      <c r="AH548" t="e">
        <f>INDEX([1]!crudeBD.lkup[Number],MATCH(vp.tbl[[#This Row],[Crude_Breakdown]],[1]!crudeBD.lkup[Crude Breakdown],0))</f>
        <v>#REF!</v>
      </c>
      <c r="AI548">
        <f>MONTH(vp.tbl[[#This Row],[SDate]])</f>
        <v>1</v>
      </c>
      <c r="AJ548" s="5">
        <f>IFERROR(vp.tbl[[#This Row],[Sulf]]*vp.tbl[[#This Row],[Net Dens]],"")</f>
        <v>6043930.6150079994</v>
      </c>
      <c r="AK548" s="5">
        <f>IFERROR(vp.tbl[[#This Row],[Dens]]*vp.tbl[[#This Row],[VolumeM3]],"")</f>
        <v>9157470.6287999991</v>
      </c>
      <c r="AL548" s="5">
        <f>IFERROR(vp.tbl[[#This Row],[VP]]*vp.tbl[[#This Row],[VolumeM3]],"")</f>
        <v>1249561.7688</v>
      </c>
      <c r="AM548" s="4">
        <f>IFERROR((vp.tbl[[#This Row],[VP]]-INDEX(crudeBD.lkup.complete[Mean_VP],MATCH(vp.tbl[[#This Row],[Crude_Breakdown]],crudeBD.lkup.complete[Crude Breakdown],0)))^2,"")</f>
        <v>394.17394753958877</v>
      </c>
      <c r="AN548" s="4">
        <f>IFERROR((vp.tbl[[#This Row],[Dens]]-INDEX(crudeBD.lkup.complete[Mean_Dens],MATCH(vp.tbl[[#This Row],[Crude_Breakdown]],crudeBD.lkup.complete[Crude Breakdown],0)))^2,"")</f>
        <v>4.4807142145215044</v>
      </c>
      <c r="AO548" s="4">
        <f>IFERROR((vp.tbl[[#This Row],[Sulf]]-INDEX(crudeBD.lkup.complete[Mean_Sulf],MATCH(vp.tbl[[#This Row],[Crude_Breakdown]],crudeBD.lkup.complete[Crude Breakdown],0)))^2,"")</f>
        <v>6.9153835401708622E-2</v>
      </c>
      <c r="AP548">
        <f>IF(AND(vp.tbl[[#This Row],[SDate]]&gt;=DATE(YEAR(vp.tbl[[#This Row],[SDate]]),5,1),vp.tbl[[#This Row],[SDate]]&lt;=DATE(YEAR(vp.tbl[[#This Row],[SDate]]),9,15)),1,0)</f>
        <v>0</v>
      </c>
      <c r="AQ548" s="15">
        <f>IF(vp.tbl[[#This Row],[SDate]]&lt;DATE(2016,12,1),0,1)</f>
        <v>1</v>
      </c>
    </row>
    <row r="549" spans="1:43" x14ac:dyDescent="0.25">
      <c r="A549">
        <v>548</v>
      </c>
      <c r="B549" t="s">
        <v>49</v>
      </c>
      <c r="C549" t="s">
        <v>49</v>
      </c>
      <c r="D549" t="s">
        <v>89</v>
      </c>
      <c r="F549" s="1">
        <v>42745</v>
      </c>
      <c r="G549" s="2">
        <v>100.9</v>
      </c>
      <c r="H549" s="2"/>
      <c r="I549" s="2">
        <v>0.7</v>
      </c>
      <c r="J549" s="2">
        <v>1.8</v>
      </c>
      <c r="K549" s="2">
        <v>-23</v>
      </c>
      <c r="L549" s="2">
        <v>819.8</v>
      </c>
      <c r="M549" s="2">
        <v>819.8</v>
      </c>
      <c r="N549" s="2">
        <f ca="1">INDEX(INDIRECT(_xlfn.CONCAT("weather.tbl[",N$1,"]")),MATCH(vp.tbl[[#This Row],[SDate]],weather.tbl[Date],0))</f>
        <v>-21.166666666666668</v>
      </c>
      <c r="O549" s="2">
        <f ca="1">INDEX(INDIRECT(_xlfn.CONCAT("weather.tbl[",O$1,"]")),MATCH(vp.tbl[[#This Row],[SDate]],weather.tbl[Date],0))</f>
        <v>-22.107142857142858</v>
      </c>
      <c r="P549" s="2">
        <f ca="1">INDEX(INDIRECT(_xlfn.CONCAT("weather.tbl[",P$1,"]")),MATCH(vp.tbl[[#This Row],[SDate]],weather.tbl[Date],0))</f>
        <v>-20.6</v>
      </c>
      <c r="Q549" s="2">
        <f ca="1">INDEX(INDIRECT(_xlfn.CONCAT("weather.tbl[",Q$1,"]")),MATCH(vp.tbl[[#This Row],[SDate]],weather.tbl[Date],0))</f>
        <v>-22.2</v>
      </c>
      <c r="R549" s="2">
        <f ca="1">INDEX(INDIRECT(_xlfn.CONCAT("weather.tbl[",R$1,"]")),MATCH(vp.tbl[[#This Row],[SDate]],weather.tbl[Date],0))</f>
        <v>-21.5</v>
      </c>
      <c r="S549" s="2">
        <f ca="1">INDEX(INDIRECT(_xlfn.CONCAT("weather.tbl[",S$1,"]")),MATCH(vp.tbl[[#This Row],[SDate]],weather.tbl[Date],0))</f>
        <v>-21.3</v>
      </c>
      <c r="T549" s="2">
        <f ca="1">INDEX(INDIRECT(_xlfn.CONCAT("weather.tbl[",T$1,"]")),MATCH(vp.tbl[[#This Row],[SDate]],weather.tbl[Date],0))</f>
        <v>-19.899999999999999</v>
      </c>
      <c r="U549" s="2">
        <f ca="1">INDEX(INDIRECT(_xlfn.CONCAT("weather.tbl[",U$1,"]")),MATCH(vp.tbl[[#This Row],[SDate]],weather.tbl[Date],0))</f>
        <v>-21.5</v>
      </c>
      <c r="V549" s="2">
        <v>6179.5609999999997</v>
      </c>
      <c r="W549" t="s">
        <v>48</v>
      </c>
      <c r="X549">
        <f>IF(OR(vp.tbl[[#This Row],[Sulf]]="",vp.tbl[[#This Row],[Dens]]=""),1,0)</f>
        <v>0</v>
      </c>
      <c r="Y549">
        <f>IF(vp.tbl[[#This Row],[CrudeType]]="C5+",1,0)</f>
        <v>0</v>
      </c>
      <c r="Z549">
        <f>IF(AND(vp.tbl[[#This Row],[CrudeType]]="Crude",vp.tbl[[#This Row],[Dens]]&lt;=825,vp.tbl[[#This Row],[Sulf]]&gt;0.5,vp.tbl[[#This Row],[Unknown]]=0),1,0)</f>
        <v>1</v>
      </c>
      <c r="AA549">
        <f>IF(AND(vp.tbl[[#This Row],[CrudeType]]="Crude",vp.tbl[[#This Row],[Dens]]&lt;=825,vp.tbl[[#This Row],[Sulf]]&lt;=0.5,vp.tbl[[#This Row],[Unknown]]=0),1,0)</f>
        <v>0</v>
      </c>
      <c r="AB549">
        <f>IF(AND(vp.tbl[[#This Row],[CrudeType]]="Crude",vp.tbl[[#This Row],[Dens]]&gt;825,vp.tbl[[#This Row],[Dens]]&lt;=870,vp.tbl[[#This Row],[Sulf]]&gt;0.5,vp.tbl[[#This Row],[Unknown]]=0),1,0)</f>
        <v>0</v>
      </c>
      <c r="AC549">
        <f>IF(AND(vp.tbl[[#This Row],[CrudeType]]="Crude",vp.tbl[[#This Row],[Dens]]&gt;825,vp.tbl[[#This Row],[Dens]]&lt;=900,vp.tbl[[#This Row],[Sulf]]&lt;=0.5,vp.tbl[[#This Row],[Unknown]]=0),1,0)</f>
        <v>0</v>
      </c>
      <c r="AD549">
        <f>IF(AND(vp.tbl[[#This Row],[CrudeType]]="Crude",vp.tbl[[#This Row],[Dens]]&gt;870,vp.tbl[[#This Row],[Dens]]&lt;=900,vp.tbl[[#This Row],[Sulf]]&gt;0.5,vp.tbl[[#This Row],[Unknown]]=0),1,0)</f>
        <v>0</v>
      </c>
      <c r="AE549">
        <f>IF(AND(vp.tbl[[#This Row],[CrudeType]]="Crude",vp.tbl[[#This Row],[Dens]]&gt;900,vp.tbl[[#This Row],[Sulf]]&lt;=0.5,vp.tbl[[#This Row],[Unknown]]=0),1,0)</f>
        <v>0</v>
      </c>
      <c r="AF549">
        <f>IF(AND(vp.tbl[[#This Row],[CrudeType]]="Crude",vp.tbl[[#This Row],[Dens]]&gt;900,vp.tbl[[#This Row],[Sulf]]&lt;=0.5,vp.tbl[[#This Row],[Unknown]]=0),1,0)</f>
        <v>0</v>
      </c>
      <c r="AG549" t="str">
        <f>INDEX(vp.tbl[[#Headers],[Unknown]:[Heavy_SW]],MATCH(1,vp.tbl[[#This Row],[Unknown]:[Heavy_SW]],0))</f>
        <v>Light_LSB</v>
      </c>
      <c r="AH549" t="e">
        <f>INDEX([1]!crudeBD.lkup[Number],MATCH(vp.tbl[[#This Row],[Crude_Breakdown]],[1]!crudeBD.lkup[Crude Breakdown],0))</f>
        <v>#REF!</v>
      </c>
      <c r="AI549">
        <f>MONTH(vp.tbl[[#This Row],[SDate]])</f>
        <v>1</v>
      </c>
      <c r="AJ549" s="5">
        <f>IFERROR(vp.tbl[[#This Row],[Sulf]]*vp.tbl[[#This Row],[Net Dens]],"")</f>
        <v>3546202.8754599993</v>
      </c>
      <c r="AK549" s="5">
        <f>IFERROR(vp.tbl[[#This Row],[Dens]]*vp.tbl[[#This Row],[VolumeM3]],"")</f>
        <v>5066004.1077999994</v>
      </c>
      <c r="AL549" s="5">
        <f>IFERROR(vp.tbl[[#This Row],[VP]]*vp.tbl[[#This Row],[VolumeM3]],"")</f>
        <v>623517.70490000001</v>
      </c>
      <c r="AM549" s="4">
        <f>IFERROR((vp.tbl[[#This Row],[VP]]-INDEX(crudeBD.lkup.complete[Mean_VP],MATCH(vp.tbl[[#This Row],[Crude_Breakdown]],crudeBD.lkup.complete[Crude Breakdown],0)))^2,"")</f>
        <v>87.493844446805767</v>
      </c>
      <c r="AN549" s="4">
        <f>IFERROR((vp.tbl[[#This Row],[Dens]]-INDEX(crudeBD.lkup.complete[Mean_Dens],MATCH(vp.tbl[[#This Row],[Crude_Breakdown]],crudeBD.lkup.complete[Crude Breakdown],0)))^2,"")</f>
        <v>1.6466798502622593</v>
      </c>
      <c r="AO549" s="4">
        <f>IFERROR((vp.tbl[[#This Row],[Sulf]]-INDEX(crudeBD.lkup.complete[Mean_Sulf],MATCH(vp.tbl[[#This Row],[Crude_Breakdown]],crudeBD.lkup.complete[Crude Breakdown],0)))^2,"")</f>
        <v>4.9716141930918292E-2</v>
      </c>
      <c r="AP549">
        <f>IF(AND(vp.tbl[[#This Row],[SDate]]&gt;=DATE(YEAR(vp.tbl[[#This Row],[SDate]]),5,1),vp.tbl[[#This Row],[SDate]]&lt;=DATE(YEAR(vp.tbl[[#This Row],[SDate]]),9,15)),1,0)</f>
        <v>0</v>
      </c>
      <c r="AQ549" s="15">
        <f>IF(vp.tbl[[#This Row],[SDate]]&lt;DATE(2016,12,1),0,1)</f>
        <v>1</v>
      </c>
    </row>
    <row r="550" spans="1:43" x14ac:dyDescent="0.25">
      <c r="A550">
        <v>549</v>
      </c>
      <c r="B550" t="s">
        <v>49</v>
      </c>
      <c r="C550" t="s">
        <v>49</v>
      </c>
      <c r="D550" t="s">
        <v>92</v>
      </c>
      <c r="F550" s="1">
        <v>42745</v>
      </c>
      <c r="G550" s="2">
        <v>91.4</v>
      </c>
      <c r="H550" s="2"/>
      <c r="I550" s="2">
        <v>0.68</v>
      </c>
      <c r="J550" s="2">
        <v>15.8</v>
      </c>
      <c r="K550" s="2">
        <v>-23</v>
      </c>
      <c r="L550" s="2">
        <v>821.2</v>
      </c>
      <c r="M550" s="2">
        <v>821.2</v>
      </c>
      <c r="N550" s="2">
        <f ca="1">INDEX(INDIRECT(_xlfn.CONCAT("weather.tbl[",N$1,"]")),MATCH(vp.tbl[[#This Row],[SDate]],weather.tbl[Date],0))</f>
        <v>-21.166666666666668</v>
      </c>
      <c r="O550" s="2">
        <f ca="1">INDEX(INDIRECT(_xlfn.CONCAT("weather.tbl[",O$1,"]")),MATCH(vp.tbl[[#This Row],[SDate]],weather.tbl[Date],0))</f>
        <v>-22.107142857142858</v>
      </c>
      <c r="P550" s="2">
        <f ca="1">INDEX(INDIRECT(_xlfn.CONCAT("weather.tbl[",P$1,"]")),MATCH(vp.tbl[[#This Row],[SDate]],weather.tbl[Date],0))</f>
        <v>-20.6</v>
      </c>
      <c r="Q550" s="2">
        <f ca="1">INDEX(INDIRECT(_xlfn.CONCAT("weather.tbl[",Q$1,"]")),MATCH(vp.tbl[[#This Row],[SDate]],weather.tbl[Date],0))</f>
        <v>-22.2</v>
      </c>
      <c r="R550" s="2">
        <f ca="1">INDEX(INDIRECT(_xlfn.CONCAT("weather.tbl[",R$1,"]")),MATCH(vp.tbl[[#This Row],[SDate]],weather.tbl[Date],0))</f>
        <v>-21.5</v>
      </c>
      <c r="S550" s="2">
        <f ca="1">INDEX(INDIRECT(_xlfn.CONCAT("weather.tbl[",S$1,"]")),MATCH(vp.tbl[[#This Row],[SDate]],weather.tbl[Date],0))</f>
        <v>-21.3</v>
      </c>
      <c r="T550" s="2">
        <f ca="1">INDEX(INDIRECT(_xlfn.CONCAT("weather.tbl[",T$1,"]")),MATCH(vp.tbl[[#This Row],[SDate]],weather.tbl[Date],0))</f>
        <v>-19.899999999999999</v>
      </c>
      <c r="U550" s="2">
        <f ca="1">INDEX(INDIRECT(_xlfn.CONCAT("weather.tbl[",U$1,"]")),MATCH(vp.tbl[[#This Row],[SDate]],weather.tbl[Date],0))</f>
        <v>-21.5</v>
      </c>
      <c r="V550" s="2">
        <v>25785.918000000001</v>
      </c>
      <c r="W550" t="s">
        <v>48</v>
      </c>
      <c r="X550">
        <f>IF(OR(vp.tbl[[#This Row],[Sulf]]="",vp.tbl[[#This Row],[Dens]]=""),1,0)</f>
        <v>0</v>
      </c>
      <c r="Y550">
        <f>IF(vp.tbl[[#This Row],[CrudeType]]="C5+",1,0)</f>
        <v>0</v>
      </c>
      <c r="Z550">
        <f>IF(AND(vp.tbl[[#This Row],[CrudeType]]="Crude",vp.tbl[[#This Row],[Dens]]&lt;=825,vp.tbl[[#This Row],[Sulf]]&gt;0.5,vp.tbl[[#This Row],[Unknown]]=0),1,0)</f>
        <v>1</v>
      </c>
      <c r="AA550">
        <f>IF(AND(vp.tbl[[#This Row],[CrudeType]]="Crude",vp.tbl[[#This Row],[Dens]]&lt;=825,vp.tbl[[#This Row],[Sulf]]&lt;=0.5,vp.tbl[[#This Row],[Unknown]]=0),1,0)</f>
        <v>0</v>
      </c>
      <c r="AB550">
        <f>IF(AND(vp.tbl[[#This Row],[CrudeType]]="Crude",vp.tbl[[#This Row],[Dens]]&gt;825,vp.tbl[[#This Row],[Dens]]&lt;=870,vp.tbl[[#This Row],[Sulf]]&gt;0.5,vp.tbl[[#This Row],[Unknown]]=0),1,0)</f>
        <v>0</v>
      </c>
      <c r="AC550">
        <f>IF(AND(vp.tbl[[#This Row],[CrudeType]]="Crude",vp.tbl[[#This Row],[Dens]]&gt;825,vp.tbl[[#This Row],[Dens]]&lt;=900,vp.tbl[[#This Row],[Sulf]]&lt;=0.5,vp.tbl[[#This Row],[Unknown]]=0),1,0)</f>
        <v>0</v>
      </c>
      <c r="AD550">
        <f>IF(AND(vp.tbl[[#This Row],[CrudeType]]="Crude",vp.tbl[[#This Row],[Dens]]&gt;870,vp.tbl[[#This Row],[Dens]]&lt;=900,vp.tbl[[#This Row],[Sulf]]&gt;0.5,vp.tbl[[#This Row],[Unknown]]=0),1,0)</f>
        <v>0</v>
      </c>
      <c r="AE550">
        <f>IF(AND(vp.tbl[[#This Row],[CrudeType]]="Crude",vp.tbl[[#This Row],[Dens]]&gt;900,vp.tbl[[#This Row],[Sulf]]&lt;=0.5,vp.tbl[[#This Row],[Unknown]]=0),1,0)</f>
        <v>0</v>
      </c>
      <c r="AF550">
        <f>IF(AND(vp.tbl[[#This Row],[CrudeType]]="Crude",vp.tbl[[#This Row],[Dens]]&gt;900,vp.tbl[[#This Row],[Sulf]]&lt;=0.5,vp.tbl[[#This Row],[Unknown]]=0),1,0)</f>
        <v>0</v>
      </c>
      <c r="AG550" t="str">
        <f>INDEX(vp.tbl[[#Headers],[Unknown]:[Heavy_SW]],MATCH(1,vp.tbl[[#This Row],[Unknown]:[Heavy_SW]],0))</f>
        <v>Light_LSB</v>
      </c>
      <c r="AH550" t="e">
        <f>INDEX([1]!crudeBD.lkup[Number],MATCH(vp.tbl[[#This Row],[Crude_Breakdown]],[1]!crudeBD.lkup[Crude Breakdown],0))</f>
        <v>#REF!</v>
      </c>
      <c r="AI550">
        <f>MONTH(vp.tbl[[#This Row],[SDate]])</f>
        <v>1</v>
      </c>
      <c r="AJ550" s="5">
        <f>IFERROR(vp.tbl[[#This Row],[Sulf]]*vp.tbl[[#This Row],[Net Dens]],"")</f>
        <v>14399269.185888004</v>
      </c>
      <c r="AK550" s="5">
        <f>IFERROR(vp.tbl[[#This Row],[Dens]]*vp.tbl[[#This Row],[VolumeM3]],"")</f>
        <v>21175395.861600004</v>
      </c>
      <c r="AL550" s="5">
        <f>IFERROR(vp.tbl[[#This Row],[VP]]*vp.tbl[[#This Row],[VolumeM3]],"")</f>
        <v>2356832.9052000004</v>
      </c>
      <c r="AM550" s="4">
        <f>IFERROR((vp.tbl[[#This Row],[VP]]-INDEX(crudeBD.lkup.complete[Mean_VP],MATCH(vp.tbl[[#This Row],[Crude_Breakdown]],crudeBD.lkup.complete[Crude Breakdown],0)))^2,"")</f>
        <v>2.1370220002133056E-2</v>
      </c>
      <c r="AN550" s="4">
        <f>IFERROR((vp.tbl[[#This Row],[Dens]]-INDEX(crudeBD.lkup.complete[Mean_Dens],MATCH(vp.tbl[[#This Row],[Crude_Breakdown]],crudeBD.lkup.complete[Crude Breakdown],0)))^2,"")</f>
        <v>7.1997245238030185</v>
      </c>
      <c r="AO550" s="4">
        <f>IFERROR((vp.tbl[[#This Row],[Sulf]]-INDEX(crudeBD.lkup.complete[Mean_Sulf],MATCH(vp.tbl[[#This Row],[Crude_Breakdown]],crudeBD.lkup.complete[Crude Breakdown],0)))^2,"")</f>
        <v>5.9034988666313432E-2</v>
      </c>
      <c r="AP550">
        <f>IF(AND(vp.tbl[[#This Row],[SDate]]&gt;=DATE(YEAR(vp.tbl[[#This Row],[SDate]]),5,1),vp.tbl[[#This Row],[SDate]]&lt;=DATE(YEAR(vp.tbl[[#This Row],[SDate]]),9,15)),1,0)</f>
        <v>0</v>
      </c>
      <c r="AQ550" s="15">
        <f>IF(vp.tbl[[#This Row],[SDate]]&lt;DATE(2016,12,1),0,1)</f>
        <v>1</v>
      </c>
    </row>
    <row r="551" spans="1:43" x14ac:dyDescent="0.25">
      <c r="A551">
        <v>550</v>
      </c>
      <c r="B551" t="s">
        <v>51</v>
      </c>
      <c r="C551" t="s">
        <v>51</v>
      </c>
      <c r="D551" t="s">
        <v>71</v>
      </c>
      <c r="F551" s="1">
        <v>42745</v>
      </c>
      <c r="G551" s="2">
        <v>89.3</v>
      </c>
      <c r="H551" s="2"/>
      <c r="I551" s="2">
        <v>1.42</v>
      </c>
      <c r="J551" s="2">
        <v>0</v>
      </c>
      <c r="K551" s="2">
        <v>-23</v>
      </c>
      <c r="L551" s="2">
        <v>823.2</v>
      </c>
      <c r="M551" s="2">
        <v>823.2</v>
      </c>
      <c r="N551" s="2">
        <f ca="1">INDEX(INDIRECT(_xlfn.CONCAT("weather.tbl[",N$1,"]")),MATCH(vp.tbl[[#This Row],[SDate]],weather.tbl[Date],0))</f>
        <v>-21.166666666666668</v>
      </c>
      <c r="O551" s="2">
        <f ca="1">INDEX(INDIRECT(_xlfn.CONCAT("weather.tbl[",O$1,"]")),MATCH(vp.tbl[[#This Row],[SDate]],weather.tbl[Date],0))</f>
        <v>-22.107142857142858</v>
      </c>
      <c r="P551" s="2">
        <f ca="1">INDEX(INDIRECT(_xlfn.CONCAT("weather.tbl[",P$1,"]")),MATCH(vp.tbl[[#This Row],[SDate]],weather.tbl[Date],0))</f>
        <v>-20.6</v>
      </c>
      <c r="Q551" s="2">
        <f ca="1">INDEX(INDIRECT(_xlfn.CONCAT("weather.tbl[",Q$1,"]")),MATCH(vp.tbl[[#This Row],[SDate]],weather.tbl[Date],0))</f>
        <v>-22.2</v>
      </c>
      <c r="R551" s="2">
        <f ca="1">INDEX(INDIRECT(_xlfn.CONCAT("weather.tbl[",R$1,"]")),MATCH(vp.tbl[[#This Row],[SDate]],weather.tbl[Date],0))</f>
        <v>-21.5</v>
      </c>
      <c r="S551" s="2">
        <f ca="1">INDEX(INDIRECT(_xlfn.CONCAT("weather.tbl[",S$1,"]")),MATCH(vp.tbl[[#This Row],[SDate]],weather.tbl[Date],0))</f>
        <v>-21.3</v>
      </c>
      <c r="T551" s="2">
        <f ca="1">INDEX(INDIRECT(_xlfn.CONCAT("weather.tbl[",T$1,"]")),MATCH(vp.tbl[[#This Row],[SDate]],weather.tbl[Date],0))</f>
        <v>-19.899999999999999</v>
      </c>
      <c r="U551" s="2">
        <f ca="1">INDEX(INDIRECT(_xlfn.CONCAT("weather.tbl[",U$1,"]")),MATCH(vp.tbl[[#This Row],[SDate]],weather.tbl[Date],0))</f>
        <v>-21.5</v>
      </c>
      <c r="V551" s="2">
        <v>7460.0540000000001</v>
      </c>
      <c r="W551" t="s">
        <v>48</v>
      </c>
      <c r="X551">
        <f>IF(OR(vp.tbl[[#This Row],[Sulf]]="",vp.tbl[[#This Row],[Dens]]=""),1,0)</f>
        <v>0</v>
      </c>
      <c r="Y551">
        <f>IF(vp.tbl[[#This Row],[CrudeType]]="C5+",1,0)</f>
        <v>0</v>
      </c>
      <c r="Z551">
        <f>IF(AND(vp.tbl[[#This Row],[CrudeType]]="Crude",vp.tbl[[#This Row],[Dens]]&lt;=825,vp.tbl[[#This Row],[Sulf]]&gt;0.5,vp.tbl[[#This Row],[Unknown]]=0),1,0)</f>
        <v>1</v>
      </c>
      <c r="AA551">
        <f>IF(AND(vp.tbl[[#This Row],[CrudeType]]="Crude",vp.tbl[[#This Row],[Dens]]&lt;=825,vp.tbl[[#This Row],[Sulf]]&lt;=0.5,vp.tbl[[#This Row],[Unknown]]=0),1,0)</f>
        <v>0</v>
      </c>
      <c r="AB551">
        <f>IF(AND(vp.tbl[[#This Row],[CrudeType]]="Crude",vp.tbl[[#This Row],[Dens]]&gt;825,vp.tbl[[#This Row],[Dens]]&lt;=870,vp.tbl[[#This Row],[Sulf]]&gt;0.5,vp.tbl[[#This Row],[Unknown]]=0),1,0)</f>
        <v>0</v>
      </c>
      <c r="AC551">
        <f>IF(AND(vp.tbl[[#This Row],[CrudeType]]="Crude",vp.tbl[[#This Row],[Dens]]&gt;825,vp.tbl[[#This Row],[Dens]]&lt;=900,vp.tbl[[#This Row],[Sulf]]&lt;=0.5,vp.tbl[[#This Row],[Unknown]]=0),1,0)</f>
        <v>0</v>
      </c>
      <c r="AD551">
        <f>IF(AND(vp.tbl[[#This Row],[CrudeType]]="Crude",vp.tbl[[#This Row],[Dens]]&gt;870,vp.tbl[[#This Row],[Dens]]&lt;=900,vp.tbl[[#This Row],[Sulf]]&gt;0.5,vp.tbl[[#This Row],[Unknown]]=0),1,0)</f>
        <v>0</v>
      </c>
      <c r="AE551">
        <f>IF(AND(vp.tbl[[#This Row],[CrudeType]]="Crude",vp.tbl[[#This Row],[Dens]]&gt;900,vp.tbl[[#This Row],[Sulf]]&lt;=0.5,vp.tbl[[#This Row],[Unknown]]=0),1,0)</f>
        <v>0</v>
      </c>
      <c r="AF551">
        <f>IF(AND(vp.tbl[[#This Row],[CrudeType]]="Crude",vp.tbl[[#This Row],[Dens]]&gt;900,vp.tbl[[#This Row],[Sulf]]&lt;=0.5,vp.tbl[[#This Row],[Unknown]]=0),1,0)</f>
        <v>0</v>
      </c>
      <c r="AG551" t="str">
        <f>INDEX(vp.tbl[[#Headers],[Unknown]:[Heavy_SW]],MATCH(1,vp.tbl[[#This Row],[Unknown]:[Heavy_SW]],0))</f>
        <v>Light_LSB</v>
      </c>
      <c r="AH551" t="e">
        <f>INDEX([1]!crudeBD.lkup[Number],MATCH(vp.tbl[[#This Row],[Crude_Breakdown]],[1]!crudeBD.lkup[Crude Breakdown],0))</f>
        <v>#REF!</v>
      </c>
      <c r="AI551">
        <f>MONTH(vp.tbl[[#This Row],[SDate]])</f>
        <v>1</v>
      </c>
      <c r="AJ551" s="5">
        <f>IFERROR(vp.tbl[[#This Row],[Sulf]]*vp.tbl[[#This Row],[Net Dens]],"")</f>
        <v>8720385.3629759997</v>
      </c>
      <c r="AK551" s="5">
        <f>IFERROR(vp.tbl[[#This Row],[Dens]]*vp.tbl[[#This Row],[VolumeM3]],"")</f>
        <v>6141116.4528000001</v>
      </c>
      <c r="AL551" s="5">
        <f>IFERROR(vp.tbl[[#This Row],[VP]]*vp.tbl[[#This Row],[VolumeM3]],"")</f>
        <v>666182.82219999994</v>
      </c>
      <c r="AM551" s="4">
        <f>IFERROR((vp.tbl[[#This Row],[VP]]-INDEX(crudeBD.lkup.complete[Mean_VP],MATCH(vp.tbl[[#This Row],[Crude_Breakdown]],crudeBD.lkup.complete[Crude Breakdown],0)))^2,"")</f>
        <v>5.0453496014455768</v>
      </c>
      <c r="AN551" s="4">
        <f>IFERROR((vp.tbl[[#This Row],[Dens]]-INDEX(crudeBD.lkup.complete[Mean_Dens],MATCH(vp.tbl[[#This Row],[Crude_Breakdown]],crudeBD.lkup.complete[Crude Breakdown],0)))^2,"")</f>
        <v>21.932645486003771</v>
      </c>
      <c r="AO551" s="4">
        <f>IFERROR((vp.tbl[[#This Row],[Sulf]]-INDEX(crudeBD.lkup.complete[Mean_Sulf],MATCH(vp.tbl[[#This Row],[Crude_Breakdown]],crudeBD.lkup.complete[Crude Breakdown],0)))^2,"")</f>
        <v>0.24703765945669176</v>
      </c>
      <c r="AP551">
        <f>IF(AND(vp.tbl[[#This Row],[SDate]]&gt;=DATE(YEAR(vp.tbl[[#This Row],[SDate]]),5,1),vp.tbl[[#This Row],[SDate]]&lt;=DATE(YEAR(vp.tbl[[#This Row],[SDate]]),9,15)),1,0)</f>
        <v>0</v>
      </c>
      <c r="AQ551" s="15">
        <f>IF(vp.tbl[[#This Row],[SDate]]&lt;DATE(2016,12,1),0,1)</f>
        <v>1</v>
      </c>
    </row>
    <row r="552" spans="1:43" x14ac:dyDescent="0.25">
      <c r="A552">
        <v>551</v>
      </c>
      <c r="B552" t="s">
        <v>62</v>
      </c>
      <c r="C552" t="s">
        <v>62</v>
      </c>
      <c r="D552" t="s">
        <v>63</v>
      </c>
      <c r="F552" s="1">
        <v>42745</v>
      </c>
      <c r="G552" s="2">
        <v>92.5</v>
      </c>
      <c r="H552" s="2"/>
      <c r="I552" s="2">
        <v>1.48</v>
      </c>
      <c r="J552" s="2">
        <v>8.1999999999999993</v>
      </c>
      <c r="K552" s="2">
        <v>-23</v>
      </c>
      <c r="L552" s="2">
        <v>826.2</v>
      </c>
      <c r="M552" s="2">
        <v>826.2</v>
      </c>
      <c r="N552" s="2">
        <f ca="1">INDEX(INDIRECT(_xlfn.CONCAT("weather.tbl[",N$1,"]")),MATCH(vp.tbl[[#This Row],[SDate]],weather.tbl[Date],0))</f>
        <v>-21.166666666666668</v>
      </c>
      <c r="O552" s="2">
        <f ca="1">INDEX(INDIRECT(_xlfn.CONCAT("weather.tbl[",O$1,"]")),MATCH(vp.tbl[[#This Row],[SDate]],weather.tbl[Date],0))</f>
        <v>-22.107142857142858</v>
      </c>
      <c r="P552" s="2">
        <f ca="1">INDEX(INDIRECT(_xlfn.CONCAT("weather.tbl[",P$1,"]")),MATCH(vp.tbl[[#This Row],[SDate]],weather.tbl[Date],0))</f>
        <v>-20.6</v>
      </c>
      <c r="Q552" s="2">
        <f ca="1">INDEX(INDIRECT(_xlfn.CONCAT("weather.tbl[",Q$1,"]")),MATCH(vp.tbl[[#This Row],[SDate]],weather.tbl[Date],0))</f>
        <v>-22.2</v>
      </c>
      <c r="R552" s="2">
        <f ca="1">INDEX(INDIRECT(_xlfn.CONCAT("weather.tbl[",R$1,"]")),MATCH(vp.tbl[[#This Row],[SDate]],weather.tbl[Date],0))</f>
        <v>-21.5</v>
      </c>
      <c r="S552" s="2">
        <f ca="1">INDEX(INDIRECT(_xlfn.CONCAT("weather.tbl[",S$1,"]")),MATCH(vp.tbl[[#This Row],[SDate]],weather.tbl[Date],0))</f>
        <v>-21.3</v>
      </c>
      <c r="T552" s="2">
        <f ca="1">INDEX(INDIRECT(_xlfn.CONCAT("weather.tbl[",T$1,"]")),MATCH(vp.tbl[[#This Row],[SDate]],weather.tbl[Date],0))</f>
        <v>-19.899999999999999</v>
      </c>
      <c r="U552" s="2">
        <f ca="1">INDEX(INDIRECT(_xlfn.CONCAT("weather.tbl[",U$1,"]")),MATCH(vp.tbl[[#This Row],[SDate]],weather.tbl[Date],0))</f>
        <v>-21.5</v>
      </c>
      <c r="V552" s="2">
        <v>4893.7520000000004</v>
      </c>
      <c r="W552" t="s">
        <v>48</v>
      </c>
      <c r="X552">
        <f>IF(OR(vp.tbl[[#This Row],[Sulf]]="",vp.tbl[[#This Row],[Dens]]=""),1,0)</f>
        <v>0</v>
      </c>
      <c r="Y552">
        <f>IF(vp.tbl[[#This Row],[CrudeType]]="C5+",1,0)</f>
        <v>0</v>
      </c>
      <c r="Z552">
        <f>IF(AND(vp.tbl[[#This Row],[CrudeType]]="Crude",vp.tbl[[#This Row],[Dens]]&lt;=825,vp.tbl[[#This Row],[Sulf]]&gt;0.5,vp.tbl[[#This Row],[Unknown]]=0),1,0)</f>
        <v>0</v>
      </c>
      <c r="AA552">
        <f>IF(AND(vp.tbl[[#This Row],[CrudeType]]="Crude",vp.tbl[[#This Row],[Dens]]&lt;=825,vp.tbl[[#This Row],[Sulf]]&lt;=0.5,vp.tbl[[#This Row],[Unknown]]=0),1,0)</f>
        <v>0</v>
      </c>
      <c r="AB552">
        <f>IF(AND(vp.tbl[[#This Row],[CrudeType]]="Crude",vp.tbl[[#This Row],[Dens]]&gt;825,vp.tbl[[#This Row],[Dens]]&lt;=870,vp.tbl[[#This Row],[Sulf]]&gt;0.5,vp.tbl[[#This Row],[Unknown]]=0),1,0)</f>
        <v>1</v>
      </c>
      <c r="AC552">
        <f>IF(AND(vp.tbl[[#This Row],[CrudeType]]="Crude",vp.tbl[[#This Row],[Dens]]&gt;825,vp.tbl[[#This Row],[Dens]]&lt;=900,vp.tbl[[#This Row],[Sulf]]&lt;=0.5,vp.tbl[[#This Row],[Unknown]]=0),1,0)</f>
        <v>0</v>
      </c>
      <c r="AD552">
        <f>IF(AND(vp.tbl[[#This Row],[CrudeType]]="Crude",vp.tbl[[#This Row],[Dens]]&gt;870,vp.tbl[[#This Row],[Dens]]&lt;=900,vp.tbl[[#This Row],[Sulf]]&gt;0.5,vp.tbl[[#This Row],[Unknown]]=0),1,0)</f>
        <v>0</v>
      </c>
      <c r="AE552">
        <f>IF(AND(vp.tbl[[#This Row],[CrudeType]]="Crude",vp.tbl[[#This Row],[Dens]]&gt;900,vp.tbl[[#This Row],[Sulf]]&lt;=0.5,vp.tbl[[#This Row],[Unknown]]=0),1,0)</f>
        <v>0</v>
      </c>
      <c r="AF552">
        <f>IF(AND(vp.tbl[[#This Row],[CrudeType]]="Crude",vp.tbl[[#This Row],[Dens]]&gt;900,vp.tbl[[#This Row],[Sulf]]&lt;=0.5,vp.tbl[[#This Row],[Unknown]]=0),1,0)</f>
        <v>0</v>
      </c>
      <c r="AG552" t="str">
        <f>INDEX(vp.tbl[[#Headers],[Unknown]:[Heavy_SW]],MATCH(1,vp.tbl[[#This Row],[Unknown]:[Heavy_SW]],0))</f>
        <v>Medium_LSB</v>
      </c>
      <c r="AH552" t="e">
        <f>INDEX([1]!crudeBD.lkup[Number],MATCH(vp.tbl[[#This Row],[Crude_Breakdown]],[1]!crudeBD.lkup[Crude Breakdown],0))</f>
        <v>#REF!</v>
      </c>
      <c r="AI552">
        <f>MONTH(vp.tbl[[#This Row],[SDate]])</f>
        <v>1</v>
      </c>
      <c r="AJ552" s="5">
        <f>IFERROR(vp.tbl[[#This Row],[Sulf]]*vp.tbl[[#This Row],[Net Dens]],"")</f>
        <v>5983962.4955520006</v>
      </c>
      <c r="AK552" s="5">
        <f>IFERROR(vp.tbl[[#This Row],[Dens]]*vp.tbl[[#This Row],[VolumeM3]],"")</f>
        <v>4043217.9024000005</v>
      </c>
      <c r="AL552" s="5">
        <f>IFERROR(vp.tbl[[#This Row],[VP]]*vp.tbl[[#This Row],[VolumeM3]],"")</f>
        <v>452672.06000000006</v>
      </c>
      <c r="AM552" s="4">
        <f>IFERROR((vp.tbl[[#This Row],[VP]]-INDEX(crudeBD.lkup.complete[Mean_VP],MATCH(vp.tbl[[#This Row],[Crude_Breakdown]],crudeBD.lkup.complete[Crude Breakdown],0)))^2,"")</f>
        <v>151.94026178433035</v>
      </c>
      <c r="AN552" s="4">
        <f>IFERROR((vp.tbl[[#This Row],[Dens]]-INDEX(crudeBD.lkup.complete[Mean_Dens],MATCH(vp.tbl[[#This Row],[Crude_Breakdown]],crudeBD.lkup.complete[Crude Breakdown],0)))^2,"")</f>
        <v>364.49769724655579</v>
      </c>
      <c r="AO552" s="4">
        <f>IFERROR((vp.tbl[[#This Row],[Sulf]]-INDEX(crudeBD.lkup.complete[Mean_Sulf],MATCH(vp.tbl[[#This Row],[Crude_Breakdown]],crudeBD.lkup.complete[Crude Breakdown],0)))^2,"")</f>
        <v>6.2851188153830004E-4</v>
      </c>
      <c r="AP552">
        <f>IF(AND(vp.tbl[[#This Row],[SDate]]&gt;=DATE(YEAR(vp.tbl[[#This Row],[SDate]]),5,1),vp.tbl[[#This Row],[SDate]]&lt;=DATE(YEAR(vp.tbl[[#This Row],[SDate]]),9,15)),1,0)</f>
        <v>0</v>
      </c>
      <c r="AQ552" s="15">
        <f>IF(vp.tbl[[#This Row],[SDate]]&lt;DATE(2016,12,1),0,1)</f>
        <v>1</v>
      </c>
    </row>
    <row r="553" spans="1:43" x14ac:dyDescent="0.25">
      <c r="A553">
        <v>552</v>
      </c>
      <c r="B553" t="s">
        <v>108</v>
      </c>
      <c r="C553" t="s">
        <v>108</v>
      </c>
      <c r="D553" t="s">
        <v>113</v>
      </c>
      <c r="F553" s="1">
        <v>42745</v>
      </c>
      <c r="G553" s="2">
        <v>98.5</v>
      </c>
      <c r="H553" s="2"/>
      <c r="I553" s="2">
        <v>1.28</v>
      </c>
      <c r="J553" s="2">
        <v>11.6</v>
      </c>
      <c r="K553" s="2">
        <v>-23</v>
      </c>
      <c r="L553" s="2">
        <v>841.1</v>
      </c>
      <c r="M553" s="2">
        <v>841.1</v>
      </c>
      <c r="N553" s="2">
        <f ca="1">INDEX(INDIRECT(_xlfn.CONCAT("weather.tbl[",N$1,"]")),MATCH(vp.tbl[[#This Row],[SDate]],weather.tbl[Date],0))</f>
        <v>-21.166666666666668</v>
      </c>
      <c r="O553" s="2">
        <f ca="1">INDEX(INDIRECT(_xlfn.CONCAT("weather.tbl[",O$1,"]")),MATCH(vp.tbl[[#This Row],[SDate]],weather.tbl[Date],0))</f>
        <v>-22.107142857142858</v>
      </c>
      <c r="P553" s="2">
        <f ca="1">INDEX(INDIRECT(_xlfn.CONCAT("weather.tbl[",P$1,"]")),MATCH(vp.tbl[[#This Row],[SDate]],weather.tbl[Date],0))</f>
        <v>-20.6</v>
      </c>
      <c r="Q553" s="2">
        <f ca="1">INDEX(INDIRECT(_xlfn.CONCAT("weather.tbl[",Q$1,"]")),MATCH(vp.tbl[[#This Row],[SDate]],weather.tbl[Date],0))</f>
        <v>-22.2</v>
      </c>
      <c r="R553" s="2">
        <f ca="1">INDEX(INDIRECT(_xlfn.CONCAT("weather.tbl[",R$1,"]")),MATCH(vp.tbl[[#This Row],[SDate]],weather.tbl[Date],0))</f>
        <v>-21.5</v>
      </c>
      <c r="S553" s="2">
        <f ca="1">INDEX(INDIRECT(_xlfn.CONCAT("weather.tbl[",S$1,"]")),MATCH(vp.tbl[[#This Row],[SDate]],weather.tbl[Date],0))</f>
        <v>-21.3</v>
      </c>
      <c r="T553" s="2">
        <f ca="1">INDEX(INDIRECT(_xlfn.CONCAT("weather.tbl[",T$1,"]")),MATCH(vp.tbl[[#This Row],[SDate]],weather.tbl[Date],0))</f>
        <v>-19.899999999999999</v>
      </c>
      <c r="U553" s="2">
        <f ca="1">INDEX(INDIRECT(_xlfn.CONCAT("weather.tbl[",U$1,"]")),MATCH(vp.tbl[[#This Row],[SDate]],weather.tbl[Date],0))</f>
        <v>-21.5</v>
      </c>
      <c r="V553" s="2">
        <v>745.88199999999995</v>
      </c>
      <c r="W553" t="s">
        <v>48</v>
      </c>
      <c r="X553">
        <f>IF(OR(vp.tbl[[#This Row],[Sulf]]="",vp.tbl[[#This Row],[Dens]]=""),1,0)</f>
        <v>0</v>
      </c>
      <c r="Y553">
        <f>IF(vp.tbl[[#This Row],[CrudeType]]="C5+",1,0)</f>
        <v>0</v>
      </c>
      <c r="Z553">
        <f>IF(AND(vp.tbl[[#This Row],[CrudeType]]="Crude",vp.tbl[[#This Row],[Dens]]&lt;=825,vp.tbl[[#This Row],[Sulf]]&gt;0.5,vp.tbl[[#This Row],[Unknown]]=0),1,0)</f>
        <v>0</v>
      </c>
      <c r="AA553">
        <f>IF(AND(vp.tbl[[#This Row],[CrudeType]]="Crude",vp.tbl[[#This Row],[Dens]]&lt;=825,vp.tbl[[#This Row],[Sulf]]&lt;=0.5,vp.tbl[[#This Row],[Unknown]]=0),1,0)</f>
        <v>0</v>
      </c>
      <c r="AB553">
        <f>IF(AND(vp.tbl[[#This Row],[CrudeType]]="Crude",vp.tbl[[#This Row],[Dens]]&gt;825,vp.tbl[[#This Row],[Dens]]&lt;=870,vp.tbl[[#This Row],[Sulf]]&gt;0.5,vp.tbl[[#This Row],[Unknown]]=0),1,0)</f>
        <v>1</v>
      </c>
      <c r="AC553">
        <f>IF(AND(vp.tbl[[#This Row],[CrudeType]]="Crude",vp.tbl[[#This Row],[Dens]]&gt;825,vp.tbl[[#This Row],[Dens]]&lt;=900,vp.tbl[[#This Row],[Sulf]]&lt;=0.5,vp.tbl[[#This Row],[Unknown]]=0),1,0)</f>
        <v>0</v>
      </c>
      <c r="AD553">
        <f>IF(AND(vp.tbl[[#This Row],[CrudeType]]="Crude",vp.tbl[[#This Row],[Dens]]&gt;870,vp.tbl[[#This Row],[Dens]]&lt;=900,vp.tbl[[#This Row],[Sulf]]&gt;0.5,vp.tbl[[#This Row],[Unknown]]=0),1,0)</f>
        <v>0</v>
      </c>
      <c r="AE553">
        <f>IF(AND(vp.tbl[[#This Row],[CrudeType]]="Crude",vp.tbl[[#This Row],[Dens]]&gt;900,vp.tbl[[#This Row],[Sulf]]&lt;=0.5,vp.tbl[[#This Row],[Unknown]]=0),1,0)</f>
        <v>0</v>
      </c>
      <c r="AF553">
        <f>IF(AND(vp.tbl[[#This Row],[CrudeType]]="Crude",vp.tbl[[#This Row],[Dens]]&gt;900,vp.tbl[[#This Row],[Sulf]]&lt;=0.5,vp.tbl[[#This Row],[Unknown]]=0),1,0)</f>
        <v>0</v>
      </c>
      <c r="AG553" t="str">
        <f>INDEX(vp.tbl[[#Headers],[Unknown]:[Heavy_SW]],MATCH(1,vp.tbl[[#This Row],[Unknown]:[Heavy_SW]],0))</f>
        <v>Medium_LSB</v>
      </c>
      <c r="AH553" t="e">
        <f>INDEX([1]!crudeBD.lkup[Number],MATCH(vp.tbl[[#This Row],[Crude_Breakdown]],[1]!crudeBD.lkup[Crude Breakdown],0))</f>
        <v>#REF!</v>
      </c>
      <c r="AI553">
        <f>MONTH(vp.tbl[[#This Row],[SDate]])</f>
        <v>1</v>
      </c>
      <c r="AJ553" s="5">
        <f>IFERROR(vp.tbl[[#This Row],[Sulf]]*vp.tbl[[#This Row],[Net Dens]],"")</f>
        <v>803022.52825600002</v>
      </c>
      <c r="AK553" s="5">
        <f>IFERROR(vp.tbl[[#This Row],[Dens]]*vp.tbl[[#This Row],[VolumeM3]],"")</f>
        <v>627361.35019999999</v>
      </c>
      <c r="AL553" s="5">
        <f>IFERROR(vp.tbl[[#This Row],[VP]]*vp.tbl[[#This Row],[VolumeM3]],"")</f>
        <v>73469.376999999993</v>
      </c>
      <c r="AM553" s="4">
        <f>IFERROR((vp.tbl[[#This Row],[VP]]-INDEX(crudeBD.lkup.complete[Mean_VP],MATCH(vp.tbl[[#This Row],[Crude_Breakdown]],crudeBD.lkup.complete[Crude Breakdown],0)))^2,"")</f>
        <v>335.85712254382446</v>
      </c>
      <c r="AN553" s="4">
        <f>IFERROR((vp.tbl[[#This Row],[Dens]]-INDEX(crudeBD.lkup.complete[Mean_Dens],MATCH(vp.tbl[[#This Row],[Crude_Breakdown]],crudeBD.lkup.complete[Crude Breakdown],0)))^2,"")</f>
        <v>17.571378259244881</v>
      </c>
      <c r="AO553" s="4">
        <f>IFERROR((vp.tbl[[#This Row],[Sulf]]-INDEX(crudeBD.lkup.complete[Mean_Sulf],MATCH(vp.tbl[[#This Row],[Crude_Breakdown]],crudeBD.lkup.complete[Crude Breakdown],0)))^2,"")</f>
        <v>3.0600456185336352E-2</v>
      </c>
      <c r="AP553">
        <f>IF(AND(vp.tbl[[#This Row],[SDate]]&gt;=DATE(YEAR(vp.tbl[[#This Row],[SDate]]),5,1),vp.tbl[[#This Row],[SDate]]&lt;=DATE(YEAR(vp.tbl[[#This Row],[SDate]]),9,15)),1,0)</f>
        <v>0</v>
      </c>
      <c r="AQ553" s="15">
        <f>IF(vp.tbl[[#This Row],[SDate]]&lt;DATE(2016,12,1),0,1)</f>
        <v>1</v>
      </c>
    </row>
    <row r="554" spans="1:43" x14ac:dyDescent="0.25">
      <c r="A554">
        <v>553</v>
      </c>
      <c r="B554" t="s">
        <v>56</v>
      </c>
      <c r="C554" t="s">
        <v>56</v>
      </c>
      <c r="D554" t="s">
        <v>94</v>
      </c>
      <c r="F554" s="1">
        <v>42745</v>
      </c>
      <c r="G554" s="2">
        <v>85.7</v>
      </c>
      <c r="H554" s="2"/>
      <c r="I554" s="2">
        <v>1.98</v>
      </c>
      <c r="J554" s="2">
        <v>11.5</v>
      </c>
      <c r="K554" s="2">
        <v>-23</v>
      </c>
      <c r="L554" s="2">
        <v>851</v>
      </c>
      <c r="M554" s="2">
        <v>851</v>
      </c>
      <c r="N554" s="2">
        <f ca="1">INDEX(INDIRECT(_xlfn.CONCAT("weather.tbl[",N$1,"]")),MATCH(vp.tbl[[#This Row],[SDate]],weather.tbl[Date],0))</f>
        <v>-21.166666666666668</v>
      </c>
      <c r="O554" s="2">
        <f ca="1">INDEX(INDIRECT(_xlfn.CONCAT("weather.tbl[",O$1,"]")),MATCH(vp.tbl[[#This Row],[SDate]],weather.tbl[Date],0))</f>
        <v>-22.107142857142858</v>
      </c>
      <c r="P554" s="2">
        <f ca="1">INDEX(INDIRECT(_xlfn.CONCAT("weather.tbl[",P$1,"]")),MATCH(vp.tbl[[#This Row],[SDate]],weather.tbl[Date],0))</f>
        <v>-20.6</v>
      </c>
      <c r="Q554" s="2">
        <f ca="1">INDEX(INDIRECT(_xlfn.CONCAT("weather.tbl[",Q$1,"]")),MATCH(vp.tbl[[#This Row],[SDate]],weather.tbl[Date],0))</f>
        <v>-22.2</v>
      </c>
      <c r="R554" s="2">
        <f ca="1">INDEX(INDIRECT(_xlfn.CONCAT("weather.tbl[",R$1,"]")),MATCH(vp.tbl[[#This Row],[SDate]],weather.tbl[Date],0))</f>
        <v>-21.5</v>
      </c>
      <c r="S554" s="2">
        <f ca="1">INDEX(INDIRECT(_xlfn.CONCAT("weather.tbl[",S$1,"]")),MATCH(vp.tbl[[#This Row],[SDate]],weather.tbl[Date],0))</f>
        <v>-21.3</v>
      </c>
      <c r="T554" s="2">
        <f ca="1">INDEX(INDIRECT(_xlfn.CONCAT("weather.tbl[",T$1,"]")),MATCH(vp.tbl[[#This Row],[SDate]],weather.tbl[Date],0))</f>
        <v>-19.899999999999999</v>
      </c>
      <c r="U554" s="2">
        <f ca="1">INDEX(INDIRECT(_xlfn.CONCAT("weather.tbl[",U$1,"]")),MATCH(vp.tbl[[#This Row],[SDate]],weather.tbl[Date],0))</f>
        <v>-21.5</v>
      </c>
      <c r="V554" s="2">
        <v>3861.2350000000001</v>
      </c>
      <c r="W554" t="s">
        <v>48</v>
      </c>
      <c r="X554">
        <f>IF(OR(vp.tbl[[#This Row],[Sulf]]="",vp.tbl[[#This Row],[Dens]]=""),1,0)</f>
        <v>0</v>
      </c>
      <c r="Y554">
        <f>IF(vp.tbl[[#This Row],[CrudeType]]="C5+",1,0)</f>
        <v>0</v>
      </c>
      <c r="Z554">
        <f>IF(AND(vp.tbl[[#This Row],[CrudeType]]="Crude",vp.tbl[[#This Row],[Dens]]&lt;=825,vp.tbl[[#This Row],[Sulf]]&gt;0.5,vp.tbl[[#This Row],[Unknown]]=0),1,0)</f>
        <v>0</v>
      </c>
      <c r="AA554">
        <f>IF(AND(vp.tbl[[#This Row],[CrudeType]]="Crude",vp.tbl[[#This Row],[Dens]]&lt;=825,vp.tbl[[#This Row],[Sulf]]&lt;=0.5,vp.tbl[[#This Row],[Unknown]]=0),1,0)</f>
        <v>0</v>
      </c>
      <c r="AB554">
        <f>IF(AND(vp.tbl[[#This Row],[CrudeType]]="Crude",vp.tbl[[#This Row],[Dens]]&gt;825,vp.tbl[[#This Row],[Dens]]&lt;=870,vp.tbl[[#This Row],[Sulf]]&gt;0.5,vp.tbl[[#This Row],[Unknown]]=0),1,0)</f>
        <v>1</v>
      </c>
      <c r="AC554">
        <f>IF(AND(vp.tbl[[#This Row],[CrudeType]]="Crude",vp.tbl[[#This Row],[Dens]]&gt;825,vp.tbl[[#This Row],[Dens]]&lt;=900,vp.tbl[[#This Row],[Sulf]]&lt;=0.5,vp.tbl[[#This Row],[Unknown]]=0),1,0)</f>
        <v>0</v>
      </c>
      <c r="AD554">
        <f>IF(AND(vp.tbl[[#This Row],[CrudeType]]="Crude",vp.tbl[[#This Row],[Dens]]&gt;870,vp.tbl[[#This Row],[Dens]]&lt;=900,vp.tbl[[#This Row],[Sulf]]&gt;0.5,vp.tbl[[#This Row],[Unknown]]=0),1,0)</f>
        <v>0</v>
      </c>
      <c r="AE554">
        <f>IF(AND(vp.tbl[[#This Row],[CrudeType]]="Crude",vp.tbl[[#This Row],[Dens]]&gt;900,vp.tbl[[#This Row],[Sulf]]&lt;=0.5,vp.tbl[[#This Row],[Unknown]]=0),1,0)</f>
        <v>0</v>
      </c>
      <c r="AF554">
        <f>IF(AND(vp.tbl[[#This Row],[CrudeType]]="Crude",vp.tbl[[#This Row],[Dens]]&gt;900,vp.tbl[[#This Row],[Sulf]]&lt;=0.5,vp.tbl[[#This Row],[Unknown]]=0),1,0)</f>
        <v>0</v>
      </c>
      <c r="AG554" t="str">
        <f>INDEX(vp.tbl[[#Headers],[Unknown]:[Heavy_SW]],MATCH(1,vp.tbl[[#This Row],[Unknown]:[Heavy_SW]],0))</f>
        <v>Medium_LSB</v>
      </c>
      <c r="AH554" t="e">
        <f>INDEX([1]!crudeBD.lkup[Number],MATCH(vp.tbl[[#This Row],[Crude_Breakdown]],[1]!crudeBD.lkup[Crude Breakdown],0))</f>
        <v>#REF!</v>
      </c>
      <c r="AI554">
        <f>MONTH(vp.tbl[[#This Row],[SDate]])</f>
        <v>1</v>
      </c>
      <c r="AJ554" s="5">
        <f>IFERROR(vp.tbl[[#This Row],[Sulf]]*vp.tbl[[#This Row],[Net Dens]],"")</f>
        <v>6506103.7503000004</v>
      </c>
      <c r="AK554" s="5">
        <f>IFERROR(vp.tbl[[#This Row],[Dens]]*vp.tbl[[#This Row],[VolumeM3]],"")</f>
        <v>3285910.9850000003</v>
      </c>
      <c r="AL554" s="5">
        <f>IFERROR(vp.tbl[[#This Row],[VP]]*vp.tbl[[#This Row],[VolumeM3]],"")</f>
        <v>330907.8395</v>
      </c>
      <c r="AM554" s="4">
        <f>IFERROR((vp.tbl[[#This Row],[VP]]-INDEX(crudeBD.lkup.complete[Mean_VP],MATCH(vp.tbl[[#This Row],[Crude_Breakdown]],crudeBD.lkup.complete[Crude Breakdown],0)))^2,"")</f>
        <v>30.54115292357038</v>
      </c>
      <c r="AN554" s="4">
        <f>IFERROR((vp.tbl[[#This Row],[Dens]]-INDEX(crudeBD.lkup.complete[Mean_Dens],MATCH(vp.tbl[[#This Row],[Crude_Breakdown]],crudeBD.lkup.complete[Crude Breakdown],0)))^2,"")</f>
        <v>32.58328712002406</v>
      </c>
      <c r="AO554" s="4">
        <f>IFERROR((vp.tbl[[#This Row],[Sulf]]-INDEX(crudeBD.lkup.complete[Mean_Sulf],MATCH(vp.tbl[[#This Row],[Crude_Breakdown]],crudeBD.lkup.complete[Crude Breakdown],0)))^2,"")</f>
        <v>0.27569865112204311</v>
      </c>
      <c r="AP554">
        <f>IF(AND(vp.tbl[[#This Row],[SDate]]&gt;=DATE(YEAR(vp.tbl[[#This Row],[SDate]]),5,1),vp.tbl[[#This Row],[SDate]]&lt;=DATE(YEAR(vp.tbl[[#This Row],[SDate]]),9,15)),1,0)</f>
        <v>0</v>
      </c>
      <c r="AQ554" s="15">
        <f>IF(vp.tbl[[#This Row],[SDate]]&lt;DATE(2016,12,1),0,1)</f>
        <v>1</v>
      </c>
    </row>
    <row r="555" spans="1:43" x14ac:dyDescent="0.25">
      <c r="A555">
        <v>554</v>
      </c>
      <c r="B555" t="s">
        <v>51</v>
      </c>
      <c r="C555" t="s">
        <v>51</v>
      </c>
      <c r="D555" t="s">
        <v>58</v>
      </c>
      <c r="F555" s="1">
        <v>42745</v>
      </c>
      <c r="G555" s="2">
        <v>80.8</v>
      </c>
      <c r="H555" s="2"/>
      <c r="I555" s="2">
        <v>1.64</v>
      </c>
      <c r="J555" s="2">
        <v>25.9</v>
      </c>
      <c r="K555" s="2">
        <v>-23</v>
      </c>
      <c r="L555" s="2">
        <v>858.2</v>
      </c>
      <c r="M555" s="2">
        <v>858.2</v>
      </c>
      <c r="N555" s="2">
        <f ca="1">INDEX(INDIRECT(_xlfn.CONCAT("weather.tbl[",N$1,"]")),MATCH(vp.tbl[[#This Row],[SDate]],weather.tbl[Date],0))</f>
        <v>-21.166666666666668</v>
      </c>
      <c r="O555" s="2">
        <f ca="1">INDEX(INDIRECT(_xlfn.CONCAT("weather.tbl[",O$1,"]")),MATCH(vp.tbl[[#This Row],[SDate]],weather.tbl[Date],0))</f>
        <v>-22.107142857142858</v>
      </c>
      <c r="P555" s="2">
        <f ca="1">INDEX(INDIRECT(_xlfn.CONCAT("weather.tbl[",P$1,"]")),MATCH(vp.tbl[[#This Row],[SDate]],weather.tbl[Date],0))</f>
        <v>-20.6</v>
      </c>
      <c r="Q555" s="2">
        <f ca="1">INDEX(INDIRECT(_xlfn.CONCAT("weather.tbl[",Q$1,"]")),MATCH(vp.tbl[[#This Row],[SDate]],weather.tbl[Date],0))</f>
        <v>-22.2</v>
      </c>
      <c r="R555" s="2">
        <f ca="1">INDEX(INDIRECT(_xlfn.CONCAT("weather.tbl[",R$1,"]")),MATCH(vp.tbl[[#This Row],[SDate]],weather.tbl[Date],0))</f>
        <v>-21.5</v>
      </c>
      <c r="S555" s="2">
        <f ca="1">INDEX(INDIRECT(_xlfn.CONCAT("weather.tbl[",S$1,"]")),MATCH(vp.tbl[[#This Row],[SDate]],weather.tbl[Date],0))</f>
        <v>-21.3</v>
      </c>
      <c r="T555" s="2">
        <f ca="1">INDEX(INDIRECT(_xlfn.CONCAT("weather.tbl[",T$1,"]")),MATCH(vp.tbl[[#This Row],[SDate]],weather.tbl[Date],0))</f>
        <v>-19.899999999999999</v>
      </c>
      <c r="U555" s="2">
        <f ca="1">INDEX(INDIRECT(_xlfn.CONCAT("weather.tbl[",U$1,"]")),MATCH(vp.tbl[[#This Row],[SDate]],weather.tbl[Date],0))</f>
        <v>-21.5</v>
      </c>
      <c r="V555" s="2">
        <v>5017.2560000000003</v>
      </c>
      <c r="W555" t="s">
        <v>48</v>
      </c>
      <c r="X555">
        <f>IF(OR(vp.tbl[[#This Row],[Sulf]]="",vp.tbl[[#This Row],[Dens]]=""),1,0)</f>
        <v>0</v>
      </c>
      <c r="Y555">
        <f>IF(vp.tbl[[#This Row],[CrudeType]]="C5+",1,0)</f>
        <v>0</v>
      </c>
      <c r="Z555">
        <f>IF(AND(vp.tbl[[#This Row],[CrudeType]]="Crude",vp.tbl[[#This Row],[Dens]]&lt;=825,vp.tbl[[#This Row],[Sulf]]&gt;0.5,vp.tbl[[#This Row],[Unknown]]=0),1,0)</f>
        <v>0</v>
      </c>
      <c r="AA555">
        <f>IF(AND(vp.tbl[[#This Row],[CrudeType]]="Crude",vp.tbl[[#This Row],[Dens]]&lt;=825,vp.tbl[[#This Row],[Sulf]]&lt;=0.5,vp.tbl[[#This Row],[Unknown]]=0),1,0)</f>
        <v>0</v>
      </c>
      <c r="AB555">
        <f>IF(AND(vp.tbl[[#This Row],[CrudeType]]="Crude",vp.tbl[[#This Row],[Dens]]&gt;825,vp.tbl[[#This Row],[Dens]]&lt;=870,vp.tbl[[#This Row],[Sulf]]&gt;0.5,vp.tbl[[#This Row],[Unknown]]=0),1,0)</f>
        <v>1</v>
      </c>
      <c r="AC555">
        <f>IF(AND(vp.tbl[[#This Row],[CrudeType]]="Crude",vp.tbl[[#This Row],[Dens]]&gt;825,vp.tbl[[#This Row],[Dens]]&lt;=900,vp.tbl[[#This Row],[Sulf]]&lt;=0.5,vp.tbl[[#This Row],[Unknown]]=0),1,0)</f>
        <v>0</v>
      </c>
      <c r="AD555">
        <f>IF(AND(vp.tbl[[#This Row],[CrudeType]]="Crude",vp.tbl[[#This Row],[Dens]]&gt;870,vp.tbl[[#This Row],[Dens]]&lt;=900,vp.tbl[[#This Row],[Sulf]]&gt;0.5,vp.tbl[[#This Row],[Unknown]]=0),1,0)</f>
        <v>0</v>
      </c>
      <c r="AE555">
        <f>IF(AND(vp.tbl[[#This Row],[CrudeType]]="Crude",vp.tbl[[#This Row],[Dens]]&gt;900,vp.tbl[[#This Row],[Sulf]]&lt;=0.5,vp.tbl[[#This Row],[Unknown]]=0),1,0)</f>
        <v>0</v>
      </c>
      <c r="AF555">
        <f>IF(AND(vp.tbl[[#This Row],[CrudeType]]="Crude",vp.tbl[[#This Row],[Dens]]&gt;900,vp.tbl[[#This Row],[Sulf]]&lt;=0.5,vp.tbl[[#This Row],[Unknown]]=0),1,0)</f>
        <v>0</v>
      </c>
      <c r="AG555" t="str">
        <f>INDEX(vp.tbl[[#Headers],[Unknown]:[Heavy_SW]],MATCH(1,vp.tbl[[#This Row],[Unknown]:[Heavy_SW]],0))</f>
        <v>Medium_LSB</v>
      </c>
      <c r="AH555" t="e">
        <f>INDEX([1]!crudeBD.lkup[Number],MATCH(vp.tbl[[#This Row],[Crude_Breakdown]],[1]!crudeBD.lkup[Crude Breakdown],0))</f>
        <v>#REF!</v>
      </c>
      <c r="AI555">
        <f>MONTH(vp.tbl[[#This Row],[SDate]])</f>
        <v>1</v>
      </c>
      <c r="AJ555" s="5">
        <f>IFERROR(vp.tbl[[#This Row],[Sulf]]*vp.tbl[[#This Row],[Net Dens]],"")</f>
        <v>7061526.9226879999</v>
      </c>
      <c r="AK555" s="5">
        <f>IFERROR(vp.tbl[[#This Row],[Dens]]*vp.tbl[[#This Row],[VolumeM3]],"")</f>
        <v>4305809.0992000001</v>
      </c>
      <c r="AL555" s="5">
        <f>IFERROR(vp.tbl[[#This Row],[VP]]*vp.tbl[[#This Row],[VolumeM3]],"")</f>
        <v>405394.28480000002</v>
      </c>
      <c r="AM555" s="4">
        <f>IFERROR((vp.tbl[[#This Row],[VP]]-INDEX(crudeBD.lkup.complete[Mean_VP],MATCH(vp.tbl[[#This Row],[Crude_Breakdown]],crudeBD.lkup.complete[Crude Breakdown],0)))^2,"")</f>
        <v>0.39238330331681881</v>
      </c>
      <c r="AN555" s="4">
        <f>IFERROR((vp.tbl[[#This Row],[Dens]]-INDEX(crudeBD.lkup.complete[Mean_Dens],MATCH(vp.tbl[[#This Row],[Crude_Breakdown]],crudeBD.lkup.complete[Crude Breakdown],0)))^2,"")</f>
        <v>166.62103901877359</v>
      </c>
      <c r="AO555" s="4">
        <f>IFERROR((vp.tbl[[#This Row],[Sulf]]-INDEX(crudeBD.lkup.complete[Mean_Sulf],MATCH(vp.tbl[[#This Row],[Crude_Breakdown]],crudeBD.lkup.complete[Crude Breakdown],0)))^2,"")</f>
        <v>3.4250956438499819E-2</v>
      </c>
      <c r="AP555">
        <f>IF(AND(vp.tbl[[#This Row],[SDate]]&gt;=DATE(YEAR(vp.tbl[[#This Row],[SDate]]),5,1),vp.tbl[[#This Row],[SDate]]&lt;=DATE(YEAR(vp.tbl[[#This Row],[SDate]]),9,15)),1,0)</f>
        <v>0</v>
      </c>
      <c r="AQ555" s="15">
        <f>IF(vp.tbl[[#This Row],[SDate]]&lt;DATE(2016,12,1),0,1)</f>
        <v>1</v>
      </c>
    </row>
    <row r="556" spans="1:43" x14ac:dyDescent="0.25">
      <c r="A556">
        <v>555</v>
      </c>
      <c r="B556" t="s">
        <v>49</v>
      </c>
      <c r="C556" t="s">
        <v>49</v>
      </c>
      <c r="D556" t="s">
        <v>81</v>
      </c>
      <c r="F556" s="1">
        <v>42746</v>
      </c>
      <c r="G556" s="2">
        <v>91</v>
      </c>
      <c r="H556" s="2"/>
      <c r="I556" s="2">
        <v>0.7</v>
      </c>
      <c r="J556" s="2">
        <v>0.1</v>
      </c>
      <c r="K556" s="2">
        <v>-28</v>
      </c>
      <c r="L556" s="2">
        <v>818.4</v>
      </c>
      <c r="M556" s="2">
        <v>818.4</v>
      </c>
      <c r="N556" s="2">
        <f ca="1">INDEX(INDIRECT(_xlfn.CONCAT("weather.tbl[",N$1,"]")),MATCH(vp.tbl[[#This Row],[SDate]],weather.tbl[Date],0))</f>
        <v>-22.516666666666666</v>
      </c>
      <c r="O556" s="2">
        <f ca="1">INDEX(INDIRECT(_xlfn.CONCAT("weather.tbl[",O$1,"]")),MATCH(vp.tbl[[#This Row],[SDate]],weather.tbl[Date],0))</f>
        <v>-22.078571428571429</v>
      </c>
      <c r="P556" s="2">
        <f ca="1">INDEX(INDIRECT(_xlfn.CONCAT("weather.tbl[",P$1,"]")),MATCH(vp.tbl[[#This Row],[SDate]],weather.tbl[Date],0))</f>
        <v>-24.4</v>
      </c>
      <c r="Q556" s="2">
        <f ca="1">INDEX(INDIRECT(_xlfn.CONCAT("weather.tbl[",Q$1,"]")),MATCH(vp.tbl[[#This Row],[SDate]],weather.tbl[Date],0))</f>
        <v>-19.899999999999999</v>
      </c>
      <c r="R556" s="2">
        <f ca="1">INDEX(INDIRECT(_xlfn.CONCAT("weather.tbl[",R$1,"]")),MATCH(vp.tbl[[#This Row],[SDate]],weather.tbl[Date],0))</f>
        <v>-23.3</v>
      </c>
      <c r="S556" s="2">
        <f ca="1">INDEX(INDIRECT(_xlfn.CONCAT("weather.tbl[",S$1,"]")),MATCH(vp.tbl[[#This Row],[SDate]],weather.tbl[Date],0))</f>
        <v>-20.9</v>
      </c>
      <c r="T556" s="2">
        <f ca="1">INDEX(INDIRECT(_xlfn.CONCAT("weather.tbl[",T$1,"]")),MATCH(vp.tbl[[#This Row],[SDate]],weather.tbl[Date],0))</f>
        <v>-24.1</v>
      </c>
      <c r="U556" s="2">
        <f ca="1">INDEX(INDIRECT(_xlfn.CONCAT("weather.tbl[",U$1,"]")),MATCH(vp.tbl[[#This Row],[SDate]],weather.tbl[Date],0))</f>
        <v>-22.5</v>
      </c>
      <c r="V556" s="2">
        <v>18973.987000000001</v>
      </c>
      <c r="W556" t="s">
        <v>48</v>
      </c>
      <c r="X556">
        <f>IF(OR(vp.tbl[[#This Row],[Sulf]]="",vp.tbl[[#This Row],[Dens]]=""),1,0)</f>
        <v>0</v>
      </c>
      <c r="Y556">
        <f>IF(vp.tbl[[#This Row],[CrudeType]]="C5+",1,0)</f>
        <v>0</v>
      </c>
      <c r="Z556">
        <f>IF(AND(vp.tbl[[#This Row],[CrudeType]]="Crude",vp.tbl[[#This Row],[Dens]]&lt;=825,vp.tbl[[#This Row],[Sulf]]&gt;0.5,vp.tbl[[#This Row],[Unknown]]=0),1,0)</f>
        <v>1</v>
      </c>
      <c r="AA556">
        <f>IF(AND(vp.tbl[[#This Row],[CrudeType]]="Crude",vp.tbl[[#This Row],[Dens]]&lt;=825,vp.tbl[[#This Row],[Sulf]]&lt;=0.5,vp.tbl[[#This Row],[Unknown]]=0),1,0)</f>
        <v>0</v>
      </c>
      <c r="AB556">
        <f>IF(AND(vp.tbl[[#This Row],[CrudeType]]="Crude",vp.tbl[[#This Row],[Dens]]&gt;825,vp.tbl[[#This Row],[Dens]]&lt;=870,vp.tbl[[#This Row],[Sulf]]&gt;0.5,vp.tbl[[#This Row],[Unknown]]=0),1,0)</f>
        <v>0</v>
      </c>
      <c r="AC556">
        <f>IF(AND(vp.tbl[[#This Row],[CrudeType]]="Crude",vp.tbl[[#This Row],[Dens]]&gt;825,vp.tbl[[#This Row],[Dens]]&lt;=900,vp.tbl[[#This Row],[Sulf]]&lt;=0.5,vp.tbl[[#This Row],[Unknown]]=0),1,0)</f>
        <v>0</v>
      </c>
      <c r="AD556">
        <f>IF(AND(vp.tbl[[#This Row],[CrudeType]]="Crude",vp.tbl[[#This Row],[Dens]]&gt;870,vp.tbl[[#This Row],[Dens]]&lt;=900,vp.tbl[[#This Row],[Sulf]]&gt;0.5,vp.tbl[[#This Row],[Unknown]]=0),1,0)</f>
        <v>0</v>
      </c>
      <c r="AE556">
        <f>IF(AND(vp.tbl[[#This Row],[CrudeType]]="Crude",vp.tbl[[#This Row],[Dens]]&gt;900,vp.tbl[[#This Row],[Sulf]]&lt;=0.5,vp.tbl[[#This Row],[Unknown]]=0),1,0)</f>
        <v>0</v>
      </c>
      <c r="AF556">
        <f>IF(AND(vp.tbl[[#This Row],[CrudeType]]="Crude",vp.tbl[[#This Row],[Dens]]&gt;900,vp.tbl[[#This Row],[Sulf]]&lt;=0.5,vp.tbl[[#This Row],[Unknown]]=0),1,0)</f>
        <v>0</v>
      </c>
      <c r="AG556" t="str">
        <f>INDEX(vp.tbl[[#Headers],[Unknown]:[Heavy_SW]],MATCH(1,vp.tbl[[#This Row],[Unknown]:[Heavy_SW]],0))</f>
        <v>Light_LSB</v>
      </c>
      <c r="AH556" t="e">
        <f>INDEX([1]!crudeBD.lkup[Number],MATCH(vp.tbl[[#This Row],[Crude_Breakdown]],[1]!crudeBD.lkup[Crude Breakdown],0))</f>
        <v>#REF!</v>
      </c>
      <c r="AI556">
        <f>MONTH(vp.tbl[[#This Row],[SDate]])</f>
        <v>1</v>
      </c>
      <c r="AJ556" s="5">
        <f>IFERROR(vp.tbl[[#This Row],[Sulf]]*vp.tbl[[#This Row],[Net Dens]],"")</f>
        <v>10869817.672559999</v>
      </c>
      <c r="AK556" s="5">
        <f>IFERROR(vp.tbl[[#This Row],[Dens]]*vp.tbl[[#This Row],[VolumeM3]],"")</f>
        <v>15528310.9608</v>
      </c>
      <c r="AL556" s="5">
        <f>IFERROR(vp.tbl[[#This Row],[VP]]*vp.tbl[[#This Row],[VolumeM3]],"")</f>
        <v>1726632.817</v>
      </c>
      <c r="AM556" s="4">
        <f>IFERROR((vp.tbl[[#This Row],[VP]]-INDEX(crudeBD.lkup.complete[Mean_VP],MATCH(vp.tbl[[#This Row],[Crude_Breakdown]],crudeBD.lkup.complete[Crude Breakdown],0)))^2,"")</f>
        <v>0.29831867361040704</v>
      </c>
      <c r="AN556" s="4">
        <f>IFERROR((vp.tbl[[#This Row],[Dens]]-INDEX(crudeBD.lkup.complete[Mean_Dens],MATCH(vp.tbl[[#This Row],[Crude_Breakdown]],crudeBD.lkup.complete[Crude Breakdown],0)))^2,"")</f>
        <v>1.3635176721982943E-2</v>
      </c>
      <c r="AO556" s="4">
        <f>IFERROR((vp.tbl[[#This Row],[Sulf]]-INDEX(crudeBD.lkup.complete[Mean_Sulf],MATCH(vp.tbl[[#This Row],[Crude_Breakdown]],crudeBD.lkup.complete[Crude Breakdown],0)))^2,"")</f>
        <v>4.9716141930918292E-2</v>
      </c>
      <c r="AP556">
        <f>IF(AND(vp.tbl[[#This Row],[SDate]]&gt;=DATE(YEAR(vp.tbl[[#This Row],[SDate]]),5,1),vp.tbl[[#This Row],[SDate]]&lt;=DATE(YEAR(vp.tbl[[#This Row],[SDate]]),9,15)),1,0)</f>
        <v>0</v>
      </c>
      <c r="AQ556" s="15">
        <f>IF(vp.tbl[[#This Row],[SDate]]&lt;DATE(2016,12,1),0,1)</f>
        <v>1</v>
      </c>
    </row>
    <row r="557" spans="1:43" x14ac:dyDescent="0.25">
      <c r="A557">
        <v>556</v>
      </c>
      <c r="B557" t="s">
        <v>49</v>
      </c>
      <c r="C557" t="s">
        <v>49</v>
      </c>
      <c r="D557" t="s">
        <v>88</v>
      </c>
      <c r="F557" s="1">
        <v>42746</v>
      </c>
      <c r="G557" s="2">
        <v>87.3</v>
      </c>
      <c r="H557" s="2"/>
      <c r="I557" s="2">
        <v>1.56</v>
      </c>
      <c r="J557" s="2">
        <v>11.5</v>
      </c>
      <c r="K557" s="2">
        <v>-28</v>
      </c>
      <c r="L557" s="2">
        <v>822.4</v>
      </c>
      <c r="M557" s="2">
        <v>822.4</v>
      </c>
      <c r="N557" s="2">
        <f ca="1">INDEX(INDIRECT(_xlfn.CONCAT("weather.tbl[",N$1,"]")),MATCH(vp.tbl[[#This Row],[SDate]],weather.tbl[Date],0))</f>
        <v>-22.516666666666666</v>
      </c>
      <c r="O557" s="2">
        <f ca="1">INDEX(INDIRECT(_xlfn.CONCAT("weather.tbl[",O$1,"]")),MATCH(vp.tbl[[#This Row],[SDate]],weather.tbl[Date],0))</f>
        <v>-22.078571428571429</v>
      </c>
      <c r="P557" s="2">
        <f ca="1">INDEX(INDIRECT(_xlfn.CONCAT("weather.tbl[",P$1,"]")),MATCH(vp.tbl[[#This Row],[SDate]],weather.tbl[Date],0))</f>
        <v>-24.4</v>
      </c>
      <c r="Q557" s="2">
        <f ca="1">INDEX(INDIRECT(_xlfn.CONCAT("weather.tbl[",Q$1,"]")),MATCH(vp.tbl[[#This Row],[SDate]],weather.tbl[Date],0))</f>
        <v>-19.899999999999999</v>
      </c>
      <c r="R557" s="2">
        <f ca="1">INDEX(INDIRECT(_xlfn.CONCAT("weather.tbl[",R$1,"]")),MATCH(vp.tbl[[#This Row],[SDate]],weather.tbl[Date],0))</f>
        <v>-23.3</v>
      </c>
      <c r="S557" s="2">
        <f ca="1">INDEX(INDIRECT(_xlfn.CONCAT("weather.tbl[",S$1,"]")),MATCH(vp.tbl[[#This Row],[SDate]],weather.tbl[Date],0))</f>
        <v>-20.9</v>
      </c>
      <c r="T557" s="2">
        <f ca="1">INDEX(INDIRECT(_xlfn.CONCAT("weather.tbl[",T$1,"]")),MATCH(vp.tbl[[#This Row],[SDate]],weather.tbl[Date],0))</f>
        <v>-24.1</v>
      </c>
      <c r="U557" s="2">
        <f ca="1">INDEX(INDIRECT(_xlfn.CONCAT("weather.tbl[",U$1,"]")),MATCH(vp.tbl[[#This Row],[SDate]],weather.tbl[Date],0))</f>
        <v>-22.5</v>
      </c>
      <c r="V557" s="2">
        <v>4602.0349999999999</v>
      </c>
      <c r="W557" t="s">
        <v>48</v>
      </c>
      <c r="X557">
        <f>IF(OR(vp.tbl[[#This Row],[Sulf]]="",vp.tbl[[#This Row],[Dens]]=""),1,0)</f>
        <v>0</v>
      </c>
      <c r="Y557">
        <f>IF(vp.tbl[[#This Row],[CrudeType]]="C5+",1,0)</f>
        <v>0</v>
      </c>
      <c r="Z557">
        <f>IF(AND(vp.tbl[[#This Row],[CrudeType]]="Crude",vp.tbl[[#This Row],[Dens]]&lt;=825,vp.tbl[[#This Row],[Sulf]]&gt;0.5,vp.tbl[[#This Row],[Unknown]]=0),1,0)</f>
        <v>1</v>
      </c>
      <c r="AA557">
        <f>IF(AND(vp.tbl[[#This Row],[CrudeType]]="Crude",vp.tbl[[#This Row],[Dens]]&lt;=825,vp.tbl[[#This Row],[Sulf]]&lt;=0.5,vp.tbl[[#This Row],[Unknown]]=0),1,0)</f>
        <v>0</v>
      </c>
      <c r="AB557">
        <f>IF(AND(vp.tbl[[#This Row],[CrudeType]]="Crude",vp.tbl[[#This Row],[Dens]]&gt;825,vp.tbl[[#This Row],[Dens]]&lt;=870,vp.tbl[[#This Row],[Sulf]]&gt;0.5,vp.tbl[[#This Row],[Unknown]]=0),1,0)</f>
        <v>0</v>
      </c>
      <c r="AC557">
        <f>IF(AND(vp.tbl[[#This Row],[CrudeType]]="Crude",vp.tbl[[#This Row],[Dens]]&gt;825,vp.tbl[[#This Row],[Dens]]&lt;=900,vp.tbl[[#This Row],[Sulf]]&lt;=0.5,vp.tbl[[#This Row],[Unknown]]=0),1,0)</f>
        <v>0</v>
      </c>
      <c r="AD557">
        <f>IF(AND(vp.tbl[[#This Row],[CrudeType]]="Crude",vp.tbl[[#This Row],[Dens]]&gt;870,vp.tbl[[#This Row],[Dens]]&lt;=900,vp.tbl[[#This Row],[Sulf]]&gt;0.5,vp.tbl[[#This Row],[Unknown]]=0),1,0)</f>
        <v>0</v>
      </c>
      <c r="AE557">
        <f>IF(AND(vp.tbl[[#This Row],[CrudeType]]="Crude",vp.tbl[[#This Row],[Dens]]&gt;900,vp.tbl[[#This Row],[Sulf]]&lt;=0.5,vp.tbl[[#This Row],[Unknown]]=0),1,0)</f>
        <v>0</v>
      </c>
      <c r="AF557">
        <f>IF(AND(vp.tbl[[#This Row],[CrudeType]]="Crude",vp.tbl[[#This Row],[Dens]]&gt;900,vp.tbl[[#This Row],[Sulf]]&lt;=0.5,vp.tbl[[#This Row],[Unknown]]=0),1,0)</f>
        <v>0</v>
      </c>
      <c r="AG557" t="str">
        <f>INDEX(vp.tbl[[#Headers],[Unknown]:[Heavy_SW]],MATCH(1,vp.tbl[[#This Row],[Unknown]:[Heavy_SW]],0))</f>
        <v>Light_LSB</v>
      </c>
      <c r="AH557" t="e">
        <f>INDEX([1]!crudeBD.lkup[Number],MATCH(vp.tbl[[#This Row],[Crude_Breakdown]],[1]!crudeBD.lkup[Crude Breakdown],0))</f>
        <v>#REF!</v>
      </c>
      <c r="AI557">
        <f>MONTH(vp.tbl[[#This Row],[SDate]])</f>
        <v>1</v>
      </c>
      <c r="AJ557" s="5">
        <f>IFERROR(vp.tbl[[#This Row],[Sulf]]*vp.tbl[[#This Row],[Net Dens]],"")</f>
        <v>5904153.1910399999</v>
      </c>
      <c r="AK557" s="5">
        <f>IFERROR(vp.tbl[[#This Row],[Dens]]*vp.tbl[[#This Row],[VolumeM3]],"")</f>
        <v>3784713.5839999998</v>
      </c>
      <c r="AL557" s="5">
        <f>IFERROR(vp.tbl[[#This Row],[VP]]*vp.tbl[[#This Row],[VolumeM3]],"")</f>
        <v>401757.65549999999</v>
      </c>
      <c r="AM557" s="4">
        <f>IFERROR((vp.tbl[[#This Row],[VP]]-INDEX(crudeBD.lkup.complete[Mean_VP],MATCH(vp.tbl[[#This Row],[Crude_Breakdown]],crudeBD.lkup.complete[Crude Breakdown],0)))^2,"")</f>
        <v>18.030091869486949</v>
      </c>
      <c r="AN557" s="4">
        <f>IFERROR((vp.tbl[[#This Row],[Dens]]-INDEX(crudeBD.lkup.complete[Mean_Dens],MATCH(vp.tbl[[#This Row],[Crude_Breakdown]],crudeBD.lkup.complete[Crude Breakdown],0)))^2,"")</f>
        <v>15.07947710112294</v>
      </c>
      <c r="AO557" s="4">
        <f>IFERROR((vp.tbl[[#This Row],[Sulf]]-INDEX(crudeBD.lkup.complete[Mean_Sulf],MATCH(vp.tbl[[#This Row],[Crude_Breakdown]],crudeBD.lkup.complete[Crude Breakdown],0)))^2,"")</f>
        <v>0.40580573230892564</v>
      </c>
      <c r="AP557">
        <f>IF(AND(vp.tbl[[#This Row],[SDate]]&gt;=DATE(YEAR(vp.tbl[[#This Row],[SDate]]),5,1),vp.tbl[[#This Row],[SDate]]&lt;=DATE(YEAR(vp.tbl[[#This Row],[SDate]]),9,15)),1,0)</f>
        <v>0</v>
      </c>
      <c r="AQ557" s="15">
        <f>IF(vp.tbl[[#This Row],[SDate]]&lt;DATE(2016,12,1),0,1)</f>
        <v>1</v>
      </c>
    </row>
    <row r="558" spans="1:43" x14ac:dyDescent="0.25">
      <c r="A558">
        <v>557</v>
      </c>
      <c r="B558" t="s">
        <v>49</v>
      </c>
      <c r="C558" t="s">
        <v>49</v>
      </c>
      <c r="D558" t="s">
        <v>116</v>
      </c>
      <c r="F558" s="1">
        <v>42746</v>
      </c>
      <c r="G558" s="2">
        <v>66.099999999999994</v>
      </c>
      <c r="H558" s="2"/>
      <c r="I558" s="2">
        <v>0.98</v>
      </c>
      <c r="J558" s="2">
        <v>-14</v>
      </c>
      <c r="K558" s="2">
        <v>-28</v>
      </c>
      <c r="L558" s="2">
        <v>835.8</v>
      </c>
      <c r="M558" s="2">
        <v>835.8</v>
      </c>
      <c r="N558" s="2">
        <f ca="1">INDEX(INDIRECT(_xlfn.CONCAT("weather.tbl[",N$1,"]")),MATCH(vp.tbl[[#This Row],[SDate]],weather.tbl[Date],0))</f>
        <v>-22.516666666666666</v>
      </c>
      <c r="O558" s="2">
        <f ca="1">INDEX(INDIRECT(_xlfn.CONCAT("weather.tbl[",O$1,"]")),MATCH(vp.tbl[[#This Row],[SDate]],weather.tbl[Date],0))</f>
        <v>-22.078571428571429</v>
      </c>
      <c r="P558" s="2">
        <f ca="1">INDEX(INDIRECT(_xlfn.CONCAT("weather.tbl[",P$1,"]")),MATCH(vp.tbl[[#This Row],[SDate]],weather.tbl[Date],0))</f>
        <v>-24.4</v>
      </c>
      <c r="Q558" s="2">
        <f ca="1">INDEX(INDIRECT(_xlfn.CONCAT("weather.tbl[",Q$1,"]")),MATCH(vp.tbl[[#This Row],[SDate]],weather.tbl[Date],0))</f>
        <v>-19.899999999999999</v>
      </c>
      <c r="R558" s="2">
        <f ca="1">INDEX(INDIRECT(_xlfn.CONCAT("weather.tbl[",R$1,"]")),MATCH(vp.tbl[[#This Row],[SDate]],weather.tbl[Date],0))</f>
        <v>-23.3</v>
      </c>
      <c r="S558" s="2">
        <f ca="1">INDEX(INDIRECT(_xlfn.CONCAT("weather.tbl[",S$1,"]")),MATCH(vp.tbl[[#This Row],[SDate]],weather.tbl[Date],0))</f>
        <v>-20.9</v>
      </c>
      <c r="T558" s="2">
        <f ca="1">INDEX(INDIRECT(_xlfn.CONCAT("weather.tbl[",T$1,"]")),MATCH(vp.tbl[[#This Row],[SDate]],weather.tbl[Date],0))</f>
        <v>-24.1</v>
      </c>
      <c r="U558" s="2">
        <f ca="1">INDEX(INDIRECT(_xlfn.CONCAT("weather.tbl[",U$1,"]")),MATCH(vp.tbl[[#This Row],[SDate]],weather.tbl[Date],0))</f>
        <v>-22.5</v>
      </c>
      <c r="V558" s="2">
        <v>156.07499999999999</v>
      </c>
      <c r="W558" t="s">
        <v>48</v>
      </c>
      <c r="X558">
        <f>IF(OR(vp.tbl[[#This Row],[Sulf]]="",vp.tbl[[#This Row],[Dens]]=""),1,0)</f>
        <v>0</v>
      </c>
      <c r="Y558">
        <f>IF(vp.tbl[[#This Row],[CrudeType]]="C5+",1,0)</f>
        <v>0</v>
      </c>
      <c r="Z558">
        <f>IF(AND(vp.tbl[[#This Row],[CrudeType]]="Crude",vp.tbl[[#This Row],[Dens]]&lt;=825,vp.tbl[[#This Row],[Sulf]]&gt;0.5,vp.tbl[[#This Row],[Unknown]]=0),1,0)</f>
        <v>0</v>
      </c>
      <c r="AA558">
        <f>IF(AND(vp.tbl[[#This Row],[CrudeType]]="Crude",vp.tbl[[#This Row],[Dens]]&lt;=825,vp.tbl[[#This Row],[Sulf]]&lt;=0.5,vp.tbl[[#This Row],[Unknown]]=0),1,0)</f>
        <v>0</v>
      </c>
      <c r="AB558">
        <f>IF(AND(vp.tbl[[#This Row],[CrudeType]]="Crude",vp.tbl[[#This Row],[Dens]]&gt;825,vp.tbl[[#This Row],[Dens]]&lt;=870,vp.tbl[[#This Row],[Sulf]]&gt;0.5,vp.tbl[[#This Row],[Unknown]]=0),1,0)</f>
        <v>1</v>
      </c>
      <c r="AC558">
        <f>IF(AND(vp.tbl[[#This Row],[CrudeType]]="Crude",vp.tbl[[#This Row],[Dens]]&gt;825,vp.tbl[[#This Row],[Dens]]&lt;=900,vp.tbl[[#This Row],[Sulf]]&lt;=0.5,vp.tbl[[#This Row],[Unknown]]=0),1,0)</f>
        <v>0</v>
      </c>
      <c r="AD558">
        <f>IF(AND(vp.tbl[[#This Row],[CrudeType]]="Crude",vp.tbl[[#This Row],[Dens]]&gt;870,vp.tbl[[#This Row],[Dens]]&lt;=900,vp.tbl[[#This Row],[Sulf]]&gt;0.5,vp.tbl[[#This Row],[Unknown]]=0),1,0)</f>
        <v>0</v>
      </c>
      <c r="AE558">
        <f>IF(AND(vp.tbl[[#This Row],[CrudeType]]="Crude",vp.tbl[[#This Row],[Dens]]&gt;900,vp.tbl[[#This Row],[Sulf]]&lt;=0.5,vp.tbl[[#This Row],[Unknown]]=0),1,0)</f>
        <v>0</v>
      </c>
      <c r="AF558">
        <f>IF(AND(vp.tbl[[#This Row],[CrudeType]]="Crude",vp.tbl[[#This Row],[Dens]]&gt;900,vp.tbl[[#This Row],[Sulf]]&lt;=0.5,vp.tbl[[#This Row],[Unknown]]=0),1,0)</f>
        <v>0</v>
      </c>
      <c r="AG558" t="str">
        <f>INDEX(vp.tbl[[#Headers],[Unknown]:[Heavy_SW]],MATCH(1,vp.tbl[[#This Row],[Unknown]:[Heavy_SW]],0))</f>
        <v>Medium_LSB</v>
      </c>
      <c r="AH558" t="e">
        <f>INDEX([1]!crudeBD.lkup[Number],MATCH(vp.tbl[[#This Row],[Crude_Breakdown]],[1]!crudeBD.lkup[Crude Breakdown],0))</f>
        <v>#REF!</v>
      </c>
      <c r="AI558">
        <f>MONTH(vp.tbl[[#This Row],[SDate]])</f>
        <v>1</v>
      </c>
      <c r="AJ558" s="5">
        <f>IFERROR(vp.tbl[[#This Row],[Sulf]]*vp.tbl[[#This Row],[Net Dens]],"")</f>
        <v>127838.53529999999</v>
      </c>
      <c r="AK558" s="5">
        <f>IFERROR(vp.tbl[[#This Row],[Dens]]*vp.tbl[[#This Row],[VolumeM3]],"")</f>
        <v>130447.48499999999</v>
      </c>
      <c r="AL558" s="5">
        <f>IFERROR(vp.tbl[[#This Row],[VP]]*vp.tbl[[#This Row],[VolumeM3]],"")</f>
        <v>10316.557499999999</v>
      </c>
      <c r="AM558" s="4">
        <f>IFERROR((vp.tbl[[#This Row],[VP]]-INDEX(crudeBD.lkup.complete[Mean_VP],MATCH(vp.tbl[[#This Row],[Crude_Breakdown]],crudeBD.lkup.complete[Crude Breakdown],0)))^2,"")</f>
        <v>198.06607444255641</v>
      </c>
      <c r="AN558" s="4">
        <f>IFERROR((vp.tbl[[#This Row],[Dens]]-INDEX(crudeBD.lkup.complete[Mean_Dens],MATCH(vp.tbl[[#This Row],[Crude_Breakdown]],crudeBD.lkup.complete[Crude Breakdown],0)))^2,"")</f>
        <v>90.094699778222832</v>
      </c>
      <c r="AO558" s="4">
        <f>IFERROR((vp.tbl[[#This Row],[Sulf]]-INDEX(crudeBD.lkup.complete[Mean_Sulf],MATCH(vp.tbl[[#This Row],[Crude_Breakdown]],crudeBD.lkup.complete[Crude Breakdown],0)))^2,"")</f>
        <v>0.22555837264103348</v>
      </c>
      <c r="AP558">
        <f>IF(AND(vp.tbl[[#This Row],[SDate]]&gt;=DATE(YEAR(vp.tbl[[#This Row],[SDate]]),5,1),vp.tbl[[#This Row],[SDate]]&lt;=DATE(YEAR(vp.tbl[[#This Row],[SDate]]),9,15)),1,0)</f>
        <v>0</v>
      </c>
      <c r="AQ558" s="15">
        <f>IF(vp.tbl[[#This Row],[SDate]]&lt;DATE(2016,12,1),0,1)</f>
        <v>1</v>
      </c>
    </row>
    <row r="559" spans="1:43" x14ac:dyDescent="0.25">
      <c r="A559">
        <v>558</v>
      </c>
      <c r="B559" t="s">
        <v>51</v>
      </c>
      <c r="C559" t="s">
        <v>51</v>
      </c>
      <c r="D559" t="s">
        <v>72</v>
      </c>
      <c r="F559" s="1">
        <v>42746</v>
      </c>
      <c r="G559" s="2">
        <v>93.1</v>
      </c>
      <c r="H559" s="2"/>
      <c r="I559" s="2">
        <v>1.1599999999999999</v>
      </c>
      <c r="J559" s="2">
        <v>20.6</v>
      </c>
      <c r="K559" s="2">
        <v>-28</v>
      </c>
      <c r="L559" s="2">
        <v>837.2</v>
      </c>
      <c r="M559" s="2">
        <v>837.2</v>
      </c>
      <c r="N559" s="2">
        <f ca="1">INDEX(INDIRECT(_xlfn.CONCAT("weather.tbl[",N$1,"]")),MATCH(vp.tbl[[#This Row],[SDate]],weather.tbl[Date],0))</f>
        <v>-22.516666666666666</v>
      </c>
      <c r="O559" s="2">
        <f ca="1">INDEX(INDIRECT(_xlfn.CONCAT("weather.tbl[",O$1,"]")),MATCH(vp.tbl[[#This Row],[SDate]],weather.tbl[Date],0))</f>
        <v>-22.078571428571429</v>
      </c>
      <c r="P559" s="2">
        <f ca="1">INDEX(INDIRECT(_xlfn.CONCAT("weather.tbl[",P$1,"]")),MATCH(vp.tbl[[#This Row],[SDate]],weather.tbl[Date],0))</f>
        <v>-24.4</v>
      </c>
      <c r="Q559" s="2">
        <f ca="1">INDEX(INDIRECT(_xlfn.CONCAT("weather.tbl[",Q$1,"]")),MATCH(vp.tbl[[#This Row],[SDate]],weather.tbl[Date],0))</f>
        <v>-19.899999999999999</v>
      </c>
      <c r="R559" s="2">
        <f ca="1">INDEX(INDIRECT(_xlfn.CONCAT("weather.tbl[",R$1,"]")),MATCH(vp.tbl[[#This Row],[SDate]],weather.tbl[Date],0))</f>
        <v>-23.3</v>
      </c>
      <c r="S559" s="2">
        <f ca="1">INDEX(INDIRECT(_xlfn.CONCAT("weather.tbl[",S$1,"]")),MATCH(vp.tbl[[#This Row],[SDate]],weather.tbl[Date],0))</f>
        <v>-20.9</v>
      </c>
      <c r="T559" s="2">
        <f ca="1">INDEX(INDIRECT(_xlfn.CONCAT("weather.tbl[",T$1,"]")),MATCH(vp.tbl[[#This Row],[SDate]],weather.tbl[Date],0))</f>
        <v>-24.1</v>
      </c>
      <c r="U559" s="2">
        <f ca="1">INDEX(INDIRECT(_xlfn.CONCAT("weather.tbl[",U$1,"]")),MATCH(vp.tbl[[#This Row],[SDate]],weather.tbl[Date],0))</f>
        <v>-22.5</v>
      </c>
      <c r="V559" s="2">
        <v>14039.305</v>
      </c>
      <c r="W559" t="s">
        <v>48</v>
      </c>
      <c r="X559">
        <f>IF(OR(vp.tbl[[#This Row],[Sulf]]="",vp.tbl[[#This Row],[Dens]]=""),1,0)</f>
        <v>0</v>
      </c>
      <c r="Y559">
        <f>IF(vp.tbl[[#This Row],[CrudeType]]="C5+",1,0)</f>
        <v>0</v>
      </c>
      <c r="Z559">
        <f>IF(AND(vp.tbl[[#This Row],[CrudeType]]="Crude",vp.tbl[[#This Row],[Dens]]&lt;=825,vp.tbl[[#This Row],[Sulf]]&gt;0.5,vp.tbl[[#This Row],[Unknown]]=0),1,0)</f>
        <v>0</v>
      </c>
      <c r="AA559">
        <f>IF(AND(vp.tbl[[#This Row],[CrudeType]]="Crude",vp.tbl[[#This Row],[Dens]]&lt;=825,vp.tbl[[#This Row],[Sulf]]&lt;=0.5,vp.tbl[[#This Row],[Unknown]]=0),1,0)</f>
        <v>0</v>
      </c>
      <c r="AB559">
        <f>IF(AND(vp.tbl[[#This Row],[CrudeType]]="Crude",vp.tbl[[#This Row],[Dens]]&gt;825,vp.tbl[[#This Row],[Dens]]&lt;=870,vp.tbl[[#This Row],[Sulf]]&gt;0.5,vp.tbl[[#This Row],[Unknown]]=0),1,0)</f>
        <v>1</v>
      </c>
      <c r="AC559">
        <f>IF(AND(vp.tbl[[#This Row],[CrudeType]]="Crude",vp.tbl[[#This Row],[Dens]]&gt;825,vp.tbl[[#This Row],[Dens]]&lt;=900,vp.tbl[[#This Row],[Sulf]]&lt;=0.5,vp.tbl[[#This Row],[Unknown]]=0),1,0)</f>
        <v>0</v>
      </c>
      <c r="AD559">
        <f>IF(AND(vp.tbl[[#This Row],[CrudeType]]="Crude",vp.tbl[[#This Row],[Dens]]&gt;870,vp.tbl[[#This Row],[Dens]]&lt;=900,vp.tbl[[#This Row],[Sulf]]&gt;0.5,vp.tbl[[#This Row],[Unknown]]=0),1,0)</f>
        <v>0</v>
      </c>
      <c r="AE559">
        <f>IF(AND(vp.tbl[[#This Row],[CrudeType]]="Crude",vp.tbl[[#This Row],[Dens]]&gt;900,vp.tbl[[#This Row],[Sulf]]&lt;=0.5,vp.tbl[[#This Row],[Unknown]]=0),1,0)</f>
        <v>0</v>
      </c>
      <c r="AF559">
        <f>IF(AND(vp.tbl[[#This Row],[CrudeType]]="Crude",vp.tbl[[#This Row],[Dens]]&gt;900,vp.tbl[[#This Row],[Sulf]]&lt;=0.5,vp.tbl[[#This Row],[Unknown]]=0),1,0)</f>
        <v>0</v>
      </c>
      <c r="AG559" t="str">
        <f>INDEX(vp.tbl[[#Headers],[Unknown]:[Heavy_SW]],MATCH(1,vp.tbl[[#This Row],[Unknown]:[Heavy_SW]],0))</f>
        <v>Medium_LSB</v>
      </c>
      <c r="AH559" t="e">
        <f>INDEX([1]!crudeBD.lkup[Number],MATCH(vp.tbl[[#This Row],[Crude_Breakdown]],[1]!crudeBD.lkup[Crude Breakdown],0))</f>
        <v>#REF!</v>
      </c>
      <c r="AI559">
        <f>MONTH(vp.tbl[[#This Row],[SDate]])</f>
        <v>1</v>
      </c>
      <c r="AJ559" s="5">
        <f>IFERROR(vp.tbl[[#This Row],[Sulf]]*vp.tbl[[#This Row],[Net Dens]],"")</f>
        <v>13634299.129360002</v>
      </c>
      <c r="AK559" s="5">
        <f>IFERROR(vp.tbl[[#This Row],[Dens]]*vp.tbl[[#This Row],[VolumeM3]],"")</f>
        <v>11753706.146000002</v>
      </c>
      <c r="AL559" s="5">
        <f>IFERROR(vp.tbl[[#This Row],[VP]]*vp.tbl[[#This Row],[VolumeM3]],"")</f>
        <v>1307059.2955</v>
      </c>
      <c r="AM559" s="4">
        <f>IFERROR((vp.tbl[[#This Row],[VP]]-INDEX(crudeBD.lkup.complete[Mean_VP],MATCH(vp.tbl[[#This Row],[Crude_Breakdown]],crudeBD.lkup.complete[Crude Breakdown],0)))^2,"")</f>
        <v>167.09194786027962</v>
      </c>
      <c r="AN559" s="4">
        <f>IFERROR((vp.tbl[[#This Row],[Dens]]-INDEX(crudeBD.lkup.complete[Mean_Dens],MATCH(vp.tbl[[#This Row],[Crude_Breakdown]],crudeBD.lkup.complete[Crude Breakdown],0)))^2,"")</f>
        <v>65.477595980755638</v>
      </c>
      <c r="AO559" s="4">
        <f>IFERROR((vp.tbl[[#This Row],[Sulf]]-INDEX(crudeBD.lkup.complete[Mean_Sulf],MATCH(vp.tbl[[#This Row],[Crude_Breakdown]],crudeBD.lkup.complete[Crude Breakdown],0)))^2,"")</f>
        <v>8.6983622767615246E-2</v>
      </c>
      <c r="AP559">
        <f>IF(AND(vp.tbl[[#This Row],[SDate]]&gt;=DATE(YEAR(vp.tbl[[#This Row],[SDate]]),5,1),vp.tbl[[#This Row],[SDate]]&lt;=DATE(YEAR(vp.tbl[[#This Row],[SDate]]),9,15)),1,0)</f>
        <v>0</v>
      </c>
      <c r="AQ559" s="15">
        <f>IF(vp.tbl[[#This Row],[SDate]]&lt;DATE(2016,12,1),0,1)</f>
        <v>1</v>
      </c>
    </row>
    <row r="560" spans="1:43" x14ac:dyDescent="0.25">
      <c r="A560">
        <v>559</v>
      </c>
      <c r="B560" t="s">
        <v>49</v>
      </c>
      <c r="C560" t="s">
        <v>49</v>
      </c>
      <c r="D560" t="s">
        <v>90</v>
      </c>
      <c r="F560" s="1">
        <v>42746</v>
      </c>
      <c r="G560" s="2">
        <v>80.5</v>
      </c>
      <c r="H560" s="2"/>
      <c r="I560" s="2">
        <v>1.32</v>
      </c>
      <c r="J560" s="2">
        <v>24.4</v>
      </c>
      <c r="K560" s="2">
        <v>-28</v>
      </c>
      <c r="L560" s="2">
        <v>846.7</v>
      </c>
      <c r="M560" s="2">
        <v>846.7</v>
      </c>
      <c r="N560" s="2">
        <f ca="1">INDEX(INDIRECT(_xlfn.CONCAT("weather.tbl[",N$1,"]")),MATCH(vp.tbl[[#This Row],[SDate]],weather.tbl[Date],0))</f>
        <v>-22.516666666666666</v>
      </c>
      <c r="O560" s="2">
        <f ca="1">INDEX(INDIRECT(_xlfn.CONCAT("weather.tbl[",O$1,"]")),MATCH(vp.tbl[[#This Row],[SDate]],weather.tbl[Date],0))</f>
        <v>-22.078571428571429</v>
      </c>
      <c r="P560" s="2">
        <f ca="1">INDEX(INDIRECT(_xlfn.CONCAT("weather.tbl[",P$1,"]")),MATCH(vp.tbl[[#This Row],[SDate]],weather.tbl[Date],0))</f>
        <v>-24.4</v>
      </c>
      <c r="Q560" s="2">
        <f ca="1">INDEX(INDIRECT(_xlfn.CONCAT("weather.tbl[",Q$1,"]")),MATCH(vp.tbl[[#This Row],[SDate]],weather.tbl[Date],0))</f>
        <v>-19.899999999999999</v>
      </c>
      <c r="R560" s="2">
        <f ca="1">INDEX(INDIRECT(_xlfn.CONCAT("weather.tbl[",R$1,"]")),MATCH(vp.tbl[[#This Row],[SDate]],weather.tbl[Date],0))</f>
        <v>-23.3</v>
      </c>
      <c r="S560" s="2">
        <f ca="1">INDEX(INDIRECT(_xlfn.CONCAT("weather.tbl[",S$1,"]")),MATCH(vp.tbl[[#This Row],[SDate]],weather.tbl[Date],0))</f>
        <v>-20.9</v>
      </c>
      <c r="T560" s="2">
        <f ca="1">INDEX(INDIRECT(_xlfn.CONCAT("weather.tbl[",T$1,"]")),MATCH(vp.tbl[[#This Row],[SDate]],weather.tbl[Date],0))</f>
        <v>-24.1</v>
      </c>
      <c r="U560" s="2">
        <f ca="1">INDEX(INDIRECT(_xlfn.CONCAT("weather.tbl[",U$1,"]")),MATCH(vp.tbl[[#This Row],[SDate]],weather.tbl[Date],0))</f>
        <v>-22.5</v>
      </c>
      <c r="V560" s="2">
        <v>4841.0649999999996</v>
      </c>
      <c r="W560" t="s">
        <v>48</v>
      </c>
      <c r="X560">
        <f>IF(OR(vp.tbl[[#This Row],[Sulf]]="",vp.tbl[[#This Row],[Dens]]=""),1,0)</f>
        <v>0</v>
      </c>
      <c r="Y560">
        <f>IF(vp.tbl[[#This Row],[CrudeType]]="C5+",1,0)</f>
        <v>0</v>
      </c>
      <c r="Z560">
        <f>IF(AND(vp.tbl[[#This Row],[CrudeType]]="Crude",vp.tbl[[#This Row],[Dens]]&lt;=825,vp.tbl[[#This Row],[Sulf]]&gt;0.5,vp.tbl[[#This Row],[Unknown]]=0),1,0)</f>
        <v>0</v>
      </c>
      <c r="AA560">
        <f>IF(AND(vp.tbl[[#This Row],[CrudeType]]="Crude",vp.tbl[[#This Row],[Dens]]&lt;=825,vp.tbl[[#This Row],[Sulf]]&lt;=0.5,vp.tbl[[#This Row],[Unknown]]=0),1,0)</f>
        <v>0</v>
      </c>
      <c r="AB560">
        <f>IF(AND(vp.tbl[[#This Row],[CrudeType]]="Crude",vp.tbl[[#This Row],[Dens]]&gt;825,vp.tbl[[#This Row],[Dens]]&lt;=870,vp.tbl[[#This Row],[Sulf]]&gt;0.5,vp.tbl[[#This Row],[Unknown]]=0),1,0)</f>
        <v>1</v>
      </c>
      <c r="AC560">
        <f>IF(AND(vp.tbl[[#This Row],[CrudeType]]="Crude",vp.tbl[[#This Row],[Dens]]&gt;825,vp.tbl[[#This Row],[Dens]]&lt;=900,vp.tbl[[#This Row],[Sulf]]&lt;=0.5,vp.tbl[[#This Row],[Unknown]]=0),1,0)</f>
        <v>0</v>
      </c>
      <c r="AD560">
        <f>IF(AND(vp.tbl[[#This Row],[CrudeType]]="Crude",vp.tbl[[#This Row],[Dens]]&gt;870,vp.tbl[[#This Row],[Dens]]&lt;=900,vp.tbl[[#This Row],[Sulf]]&gt;0.5,vp.tbl[[#This Row],[Unknown]]=0),1,0)</f>
        <v>0</v>
      </c>
      <c r="AE560">
        <f>IF(AND(vp.tbl[[#This Row],[CrudeType]]="Crude",vp.tbl[[#This Row],[Dens]]&gt;900,vp.tbl[[#This Row],[Sulf]]&lt;=0.5,vp.tbl[[#This Row],[Unknown]]=0),1,0)</f>
        <v>0</v>
      </c>
      <c r="AF560">
        <f>IF(AND(vp.tbl[[#This Row],[CrudeType]]="Crude",vp.tbl[[#This Row],[Dens]]&gt;900,vp.tbl[[#This Row],[Sulf]]&lt;=0.5,vp.tbl[[#This Row],[Unknown]]=0),1,0)</f>
        <v>0</v>
      </c>
      <c r="AG560" t="str">
        <f>INDEX(vp.tbl[[#Headers],[Unknown]:[Heavy_SW]],MATCH(1,vp.tbl[[#This Row],[Unknown]:[Heavy_SW]],0))</f>
        <v>Medium_LSB</v>
      </c>
      <c r="AH560" t="e">
        <f>INDEX([1]!crudeBD.lkup[Number],MATCH(vp.tbl[[#This Row],[Crude_Breakdown]],[1]!crudeBD.lkup[Crude Breakdown],0))</f>
        <v>#REF!</v>
      </c>
      <c r="AI560">
        <f>MONTH(vp.tbl[[#This Row],[SDate]])</f>
        <v>1</v>
      </c>
      <c r="AJ560" s="5">
        <f>IFERROR(vp.tbl[[#This Row],[Sulf]]*vp.tbl[[#This Row],[Net Dens]],"")</f>
        <v>5410587.25086</v>
      </c>
      <c r="AK560" s="5">
        <f>IFERROR(vp.tbl[[#This Row],[Dens]]*vp.tbl[[#This Row],[VolumeM3]],"")</f>
        <v>4098929.7355</v>
      </c>
      <c r="AL560" s="5">
        <f>IFERROR(vp.tbl[[#This Row],[VP]]*vp.tbl[[#This Row],[VolumeM3]],"")</f>
        <v>389705.73249999998</v>
      </c>
      <c r="AM560" s="4">
        <f>IFERROR((vp.tbl[[#This Row],[VP]]-INDEX(crudeBD.lkup.complete[Mean_VP],MATCH(vp.tbl[[#This Row],[Crude_Breakdown]],crudeBD.lkup.complete[Crude Breakdown],0)))^2,"")</f>
        <v>0.10654026534211669</v>
      </c>
      <c r="AN560" s="4">
        <f>IFERROR((vp.tbl[[#This Row],[Dens]]-INDEX(crudeBD.lkup.complete[Mean_Dens],MATCH(vp.tbl[[#This Row],[Crude_Breakdown]],crudeBD.lkup.complete[Crude Breakdown],0)))^2,"")</f>
        <v>1.9829630693828082</v>
      </c>
      <c r="AO560" s="4">
        <f>IFERROR((vp.tbl[[#This Row],[Sulf]]-INDEX(crudeBD.lkup.complete[Mean_Sulf],MATCH(vp.tbl[[#This Row],[Crude_Breakdown]],crudeBD.lkup.complete[Crude Breakdown],0)))^2,"")</f>
        <v>1.8206067324576733E-2</v>
      </c>
      <c r="AP560">
        <f>IF(AND(vp.tbl[[#This Row],[SDate]]&gt;=DATE(YEAR(vp.tbl[[#This Row],[SDate]]),5,1),vp.tbl[[#This Row],[SDate]]&lt;=DATE(YEAR(vp.tbl[[#This Row],[SDate]]),9,15)),1,0)</f>
        <v>0</v>
      </c>
      <c r="AQ560" s="15">
        <f>IF(vp.tbl[[#This Row],[SDate]]&lt;DATE(2016,12,1),0,1)</f>
        <v>1</v>
      </c>
    </row>
    <row r="561" spans="1:43" x14ac:dyDescent="0.25">
      <c r="A561">
        <v>560</v>
      </c>
      <c r="B561" t="s">
        <v>56</v>
      </c>
      <c r="C561" t="s">
        <v>56</v>
      </c>
      <c r="D561" t="s">
        <v>117</v>
      </c>
      <c r="F561" s="1">
        <v>42746</v>
      </c>
      <c r="G561" s="2">
        <v>80.3</v>
      </c>
      <c r="H561" s="2"/>
      <c r="I561" s="2">
        <v>1.58</v>
      </c>
      <c r="J561" s="2">
        <v>10.1</v>
      </c>
      <c r="K561" s="2">
        <v>-28</v>
      </c>
      <c r="L561" s="2">
        <v>851.3</v>
      </c>
      <c r="M561" s="2">
        <v>851.3</v>
      </c>
      <c r="N561" s="2">
        <f ca="1">INDEX(INDIRECT(_xlfn.CONCAT("weather.tbl[",N$1,"]")),MATCH(vp.tbl[[#This Row],[SDate]],weather.tbl[Date],0))</f>
        <v>-22.516666666666666</v>
      </c>
      <c r="O561" s="2">
        <f ca="1">INDEX(INDIRECT(_xlfn.CONCAT("weather.tbl[",O$1,"]")),MATCH(vp.tbl[[#This Row],[SDate]],weather.tbl[Date],0))</f>
        <v>-22.078571428571429</v>
      </c>
      <c r="P561" s="2">
        <f ca="1">INDEX(INDIRECT(_xlfn.CONCAT("weather.tbl[",P$1,"]")),MATCH(vp.tbl[[#This Row],[SDate]],weather.tbl[Date],0))</f>
        <v>-24.4</v>
      </c>
      <c r="Q561" s="2">
        <f ca="1">INDEX(INDIRECT(_xlfn.CONCAT("weather.tbl[",Q$1,"]")),MATCH(vp.tbl[[#This Row],[SDate]],weather.tbl[Date],0))</f>
        <v>-19.899999999999999</v>
      </c>
      <c r="R561" s="2">
        <f ca="1">INDEX(INDIRECT(_xlfn.CONCAT("weather.tbl[",R$1,"]")),MATCH(vp.tbl[[#This Row],[SDate]],weather.tbl[Date],0))</f>
        <v>-23.3</v>
      </c>
      <c r="S561" s="2">
        <f ca="1">INDEX(INDIRECT(_xlfn.CONCAT("weather.tbl[",S$1,"]")),MATCH(vp.tbl[[#This Row],[SDate]],weather.tbl[Date],0))</f>
        <v>-20.9</v>
      </c>
      <c r="T561" s="2">
        <f ca="1">INDEX(INDIRECT(_xlfn.CONCAT("weather.tbl[",T$1,"]")),MATCH(vp.tbl[[#This Row],[SDate]],weather.tbl[Date],0))</f>
        <v>-24.1</v>
      </c>
      <c r="U561" s="2">
        <f ca="1">INDEX(INDIRECT(_xlfn.CONCAT("weather.tbl[",U$1,"]")),MATCH(vp.tbl[[#This Row],[SDate]],weather.tbl[Date],0))</f>
        <v>-22.5</v>
      </c>
      <c r="V561" s="2">
        <v>3101.835</v>
      </c>
      <c r="W561" t="s">
        <v>48</v>
      </c>
      <c r="X561">
        <f>IF(OR(vp.tbl[[#This Row],[Sulf]]="",vp.tbl[[#This Row],[Dens]]=""),1,0)</f>
        <v>0</v>
      </c>
      <c r="Y561">
        <f>IF(vp.tbl[[#This Row],[CrudeType]]="C5+",1,0)</f>
        <v>0</v>
      </c>
      <c r="Z561">
        <f>IF(AND(vp.tbl[[#This Row],[CrudeType]]="Crude",vp.tbl[[#This Row],[Dens]]&lt;=825,vp.tbl[[#This Row],[Sulf]]&gt;0.5,vp.tbl[[#This Row],[Unknown]]=0),1,0)</f>
        <v>0</v>
      </c>
      <c r="AA561">
        <f>IF(AND(vp.tbl[[#This Row],[CrudeType]]="Crude",vp.tbl[[#This Row],[Dens]]&lt;=825,vp.tbl[[#This Row],[Sulf]]&lt;=0.5,vp.tbl[[#This Row],[Unknown]]=0),1,0)</f>
        <v>0</v>
      </c>
      <c r="AB561">
        <f>IF(AND(vp.tbl[[#This Row],[CrudeType]]="Crude",vp.tbl[[#This Row],[Dens]]&gt;825,vp.tbl[[#This Row],[Dens]]&lt;=870,vp.tbl[[#This Row],[Sulf]]&gt;0.5,vp.tbl[[#This Row],[Unknown]]=0),1,0)</f>
        <v>1</v>
      </c>
      <c r="AC561">
        <f>IF(AND(vp.tbl[[#This Row],[CrudeType]]="Crude",vp.tbl[[#This Row],[Dens]]&gt;825,vp.tbl[[#This Row],[Dens]]&lt;=900,vp.tbl[[#This Row],[Sulf]]&lt;=0.5,vp.tbl[[#This Row],[Unknown]]=0),1,0)</f>
        <v>0</v>
      </c>
      <c r="AD561">
        <f>IF(AND(vp.tbl[[#This Row],[CrudeType]]="Crude",vp.tbl[[#This Row],[Dens]]&gt;870,vp.tbl[[#This Row],[Dens]]&lt;=900,vp.tbl[[#This Row],[Sulf]]&gt;0.5,vp.tbl[[#This Row],[Unknown]]=0),1,0)</f>
        <v>0</v>
      </c>
      <c r="AE561">
        <f>IF(AND(vp.tbl[[#This Row],[CrudeType]]="Crude",vp.tbl[[#This Row],[Dens]]&gt;900,vp.tbl[[#This Row],[Sulf]]&lt;=0.5,vp.tbl[[#This Row],[Unknown]]=0),1,0)</f>
        <v>0</v>
      </c>
      <c r="AF561">
        <f>IF(AND(vp.tbl[[#This Row],[CrudeType]]="Crude",vp.tbl[[#This Row],[Dens]]&gt;900,vp.tbl[[#This Row],[Sulf]]&lt;=0.5,vp.tbl[[#This Row],[Unknown]]=0),1,0)</f>
        <v>0</v>
      </c>
      <c r="AG561" t="str">
        <f>INDEX(vp.tbl[[#Headers],[Unknown]:[Heavy_SW]],MATCH(1,vp.tbl[[#This Row],[Unknown]:[Heavy_SW]],0))</f>
        <v>Medium_LSB</v>
      </c>
      <c r="AH561" t="e">
        <f>INDEX([1]!crudeBD.lkup[Number],MATCH(vp.tbl[[#This Row],[Crude_Breakdown]],[1]!crudeBD.lkup[Crude Breakdown],0))</f>
        <v>#REF!</v>
      </c>
      <c r="AI561">
        <f>MONTH(vp.tbl[[#This Row],[SDate]])</f>
        <v>1</v>
      </c>
      <c r="AJ561" s="5">
        <f>IFERROR(vp.tbl[[#This Row],[Sulf]]*vp.tbl[[#This Row],[Net Dens]],"")</f>
        <v>4172135.5740899998</v>
      </c>
      <c r="AK561" s="5">
        <f>IFERROR(vp.tbl[[#This Row],[Dens]]*vp.tbl[[#This Row],[VolumeM3]],"")</f>
        <v>2640592.1354999999</v>
      </c>
      <c r="AL561" s="5">
        <f>IFERROR(vp.tbl[[#This Row],[VP]]*vp.tbl[[#This Row],[VolumeM3]],"")</f>
        <v>249077.3505</v>
      </c>
      <c r="AM561" s="4">
        <f>IFERROR((vp.tbl[[#This Row],[VP]]-INDEX(crudeBD.lkup.complete[Mean_VP],MATCH(vp.tbl[[#This Row],[Crude_Breakdown]],crudeBD.lkup.complete[Crude Breakdown],0)))^2,"")</f>
        <v>1.5978240025645525E-2</v>
      </c>
      <c r="AN561" s="4">
        <f>IFERROR((vp.tbl[[#This Row],[Dens]]-INDEX(crudeBD.lkup.complete[Mean_Dens],MATCH(vp.tbl[[#This Row],[Crude_Breakdown]],crudeBD.lkup.complete[Crude Breakdown],0)))^2,"")</f>
        <v>36.09819344913803</v>
      </c>
      <c r="AO561" s="4">
        <f>IFERROR((vp.tbl[[#This Row],[Sulf]]-INDEX(crudeBD.lkup.complete[Mean_Sulf],MATCH(vp.tbl[[#This Row],[Crude_Breakdown]],crudeBD.lkup.complete[Crude Breakdown],0)))^2,"")</f>
        <v>1.5642539729639287E-2</v>
      </c>
      <c r="AP561">
        <f>IF(AND(vp.tbl[[#This Row],[SDate]]&gt;=DATE(YEAR(vp.tbl[[#This Row],[SDate]]),5,1),vp.tbl[[#This Row],[SDate]]&lt;=DATE(YEAR(vp.tbl[[#This Row],[SDate]]),9,15)),1,0)</f>
        <v>0</v>
      </c>
      <c r="AQ561" s="15">
        <f>IF(vp.tbl[[#This Row],[SDate]]&lt;DATE(2016,12,1),0,1)</f>
        <v>1</v>
      </c>
    </row>
    <row r="562" spans="1:43" x14ac:dyDescent="0.25">
      <c r="A562">
        <v>561</v>
      </c>
      <c r="B562" t="s">
        <v>68</v>
      </c>
      <c r="C562" t="s">
        <v>68</v>
      </c>
      <c r="D562" t="s">
        <v>118</v>
      </c>
      <c r="F562" s="1">
        <v>42746</v>
      </c>
      <c r="G562" s="2">
        <v>54.8</v>
      </c>
      <c r="H562" s="2"/>
      <c r="I562" s="2">
        <v>0.79</v>
      </c>
      <c r="J562" s="2">
        <v>24.1</v>
      </c>
      <c r="K562" s="2">
        <v>-28</v>
      </c>
      <c r="L562" s="2">
        <v>852</v>
      </c>
      <c r="M562" s="2">
        <v>852</v>
      </c>
      <c r="N562" s="2">
        <f ca="1">INDEX(INDIRECT(_xlfn.CONCAT("weather.tbl[",N$1,"]")),MATCH(vp.tbl[[#This Row],[SDate]],weather.tbl[Date],0))</f>
        <v>-22.516666666666666</v>
      </c>
      <c r="O562" s="2">
        <f ca="1">INDEX(INDIRECT(_xlfn.CONCAT("weather.tbl[",O$1,"]")),MATCH(vp.tbl[[#This Row],[SDate]],weather.tbl[Date],0))</f>
        <v>-22.078571428571429</v>
      </c>
      <c r="P562" s="2">
        <f ca="1">INDEX(INDIRECT(_xlfn.CONCAT("weather.tbl[",P$1,"]")),MATCH(vp.tbl[[#This Row],[SDate]],weather.tbl[Date],0))</f>
        <v>-24.4</v>
      </c>
      <c r="Q562" s="2">
        <f ca="1">INDEX(INDIRECT(_xlfn.CONCAT("weather.tbl[",Q$1,"]")),MATCH(vp.tbl[[#This Row],[SDate]],weather.tbl[Date],0))</f>
        <v>-19.899999999999999</v>
      </c>
      <c r="R562" s="2">
        <f ca="1">INDEX(INDIRECT(_xlfn.CONCAT("weather.tbl[",R$1,"]")),MATCH(vp.tbl[[#This Row],[SDate]],weather.tbl[Date],0))</f>
        <v>-23.3</v>
      </c>
      <c r="S562" s="2">
        <f ca="1">INDEX(INDIRECT(_xlfn.CONCAT("weather.tbl[",S$1,"]")),MATCH(vp.tbl[[#This Row],[SDate]],weather.tbl[Date],0))</f>
        <v>-20.9</v>
      </c>
      <c r="T562" s="2">
        <f ca="1">INDEX(INDIRECT(_xlfn.CONCAT("weather.tbl[",T$1,"]")),MATCH(vp.tbl[[#This Row],[SDate]],weather.tbl[Date],0))</f>
        <v>-24.1</v>
      </c>
      <c r="U562" s="2">
        <f ca="1">INDEX(INDIRECT(_xlfn.CONCAT("weather.tbl[",U$1,"]")),MATCH(vp.tbl[[#This Row],[SDate]],weather.tbl[Date],0))</f>
        <v>-22.5</v>
      </c>
      <c r="V562" s="2">
        <v>2506.3490000000002</v>
      </c>
      <c r="W562" t="s">
        <v>48</v>
      </c>
      <c r="X562">
        <f>IF(OR(vp.tbl[[#This Row],[Sulf]]="",vp.tbl[[#This Row],[Dens]]=""),1,0)</f>
        <v>0</v>
      </c>
      <c r="Y562">
        <f>IF(vp.tbl[[#This Row],[CrudeType]]="C5+",1,0)</f>
        <v>0</v>
      </c>
      <c r="Z562">
        <f>IF(AND(vp.tbl[[#This Row],[CrudeType]]="Crude",vp.tbl[[#This Row],[Dens]]&lt;=825,vp.tbl[[#This Row],[Sulf]]&gt;0.5,vp.tbl[[#This Row],[Unknown]]=0),1,0)</f>
        <v>0</v>
      </c>
      <c r="AA562">
        <f>IF(AND(vp.tbl[[#This Row],[CrudeType]]="Crude",vp.tbl[[#This Row],[Dens]]&lt;=825,vp.tbl[[#This Row],[Sulf]]&lt;=0.5,vp.tbl[[#This Row],[Unknown]]=0),1,0)</f>
        <v>0</v>
      </c>
      <c r="AB562">
        <f>IF(AND(vp.tbl[[#This Row],[CrudeType]]="Crude",vp.tbl[[#This Row],[Dens]]&gt;825,vp.tbl[[#This Row],[Dens]]&lt;=870,vp.tbl[[#This Row],[Sulf]]&gt;0.5,vp.tbl[[#This Row],[Unknown]]=0),1,0)</f>
        <v>1</v>
      </c>
      <c r="AC562">
        <f>IF(AND(vp.tbl[[#This Row],[CrudeType]]="Crude",vp.tbl[[#This Row],[Dens]]&gt;825,vp.tbl[[#This Row],[Dens]]&lt;=900,vp.tbl[[#This Row],[Sulf]]&lt;=0.5,vp.tbl[[#This Row],[Unknown]]=0),1,0)</f>
        <v>0</v>
      </c>
      <c r="AD562">
        <f>IF(AND(vp.tbl[[#This Row],[CrudeType]]="Crude",vp.tbl[[#This Row],[Dens]]&gt;870,vp.tbl[[#This Row],[Dens]]&lt;=900,vp.tbl[[#This Row],[Sulf]]&gt;0.5,vp.tbl[[#This Row],[Unknown]]=0),1,0)</f>
        <v>0</v>
      </c>
      <c r="AE562">
        <f>IF(AND(vp.tbl[[#This Row],[CrudeType]]="Crude",vp.tbl[[#This Row],[Dens]]&gt;900,vp.tbl[[#This Row],[Sulf]]&lt;=0.5,vp.tbl[[#This Row],[Unknown]]=0),1,0)</f>
        <v>0</v>
      </c>
      <c r="AF562">
        <f>IF(AND(vp.tbl[[#This Row],[CrudeType]]="Crude",vp.tbl[[#This Row],[Dens]]&gt;900,vp.tbl[[#This Row],[Sulf]]&lt;=0.5,vp.tbl[[#This Row],[Unknown]]=0),1,0)</f>
        <v>0</v>
      </c>
      <c r="AG562" t="str">
        <f>INDEX(vp.tbl[[#Headers],[Unknown]:[Heavy_SW]],MATCH(1,vp.tbl[[#This Row],[Unknown]:[Heavy_SW]],0))</f>
        <v>Medium_LSB</v>
      </c>
      <c r="AH562" t="e">
        <f>INDEX([1]!crudeBD.lkup[Number],MATCH(vp.tbl[[#This Row],[Crude_Breakdown]],[1]!crudeBD.lkup[Crude Breakdown],0))</f>
        <v>#REF!</v>
      </c>
      <c r="AI562">
        <f>MONTH(vp.tbl[[#This Row],[SDate]])</f>
        <v>1</v>
      </c>
      <c r="AJ562" s="5">
        <f>IFERROR(vp.tbl[[#This Row],[Sulf]]*vp.tbl[[#This Row],[Net Dens]],"")</f>
        <v>1686973.3849200003</v>
      </c>
      <c r="AK562" s="5">
        <f>IFERROR(vp.tbl[[#This Row],[Dens]]*vp.tbl[[#This Row],[VolumeM3]],"")</f>
        <v>2135409.3480000002</v>
      </c>
      <c r="AL562" s="5">
        <f>IFERROR(vp.tbl[[#This Row],[VP]]*vp.tbl[[#This Row],[VolumeM3]],"")</f>
        <v>137347.9252</v>
      </c>
      <c r="AM562" s="4">
        <f>IFERROR((vp.tbl[[#This Row],[VP]]-INDEX(crudeBD.lkup.complete[Mean_VP],MATCH(vp.tbl[[#This Row],[Crude_Breakdown]],crudeBD.lkup.complete[Crude Breakdown],0)))^2,"")</f>
        <v>643.81932001217581</v>
      </c>
      <c r="AN562" s="4">
        <f>IFERROR((vp.tbl[[#This Row],[Dens]]-INDEX(crudeBD.lkup.complete[Mean_Dens],MATCH(vp.tbl[[#This Row],[Crude_Breakdown]],crudeBD.lkup.complete[Crude Breakdown],0)))^2,"")</f>
        <v>44.999641550405777</v>
      </c>
      <c r="AO562" s="4">
        <f>IFERROR((vp.tbl[[#This Row],[Sulf]]-INDEX(crudeBD.lkup.complete[Mean_Sulf],MATCH(vp.tbl[[#This Row],[Crude_Breakdown]],crudeBD.lkup.complete[Crude Breakdown],0)))^2,"")</f>
        <v>0.44213171972964155</v>
      </c>
      <c r="AP562">
        <f>IF(AND(vp.tbl[[#This Row],[SDate]]&gt;=DATE(YEAR(vp.tbl[[#This Row],[SDate]]),5,1),vp.tbl[[#This Row],[SDate]]&lt;=DATE(YEAR(vp.tbl[[#This Row],[SDate]]),9,15)),1,0)</f>
        <v>0</v>
      </c>
      <c r="AQ562" s="15">
        <f>IF(vp.tbl[[#This Row],[SDate]]&lt;DATE(2016,12,1),0,1)</f>
        <v>1</v>
      </c>
    </row>
    <row r="563" spans="1:43" x14ac:dyDescent="0.25">
      <c r="A563">
        <v>562</v>
      </c>
      <c r="B563" t="s">
        <v>68</v>
      </c>
      <c r="C563" t="s">
        <v>68</v>
      </c>
      <c r="D563" t="s">
        <v>110</v>
      </c>
      <c r="F563" s="1">
        <v>42746</v>
      </c>
      <c r="G563" s="2">
        <v>65.5</v>
      </c>
      <c r="H563" s="2"/>
      <c r="I563" s="2">
        <v>1.49</v>
      </c>
      <c r="J563" s="2">
        <v>31.1</v>
      </c>
      <c r="K563" s="2">
        <v>-28</v>
      </c>
      <c r="L563" s="2">
        <v>852.9</v>
      </c>
      <c r="M563" s="2">
        <v>852.9</v>
      </c>
      <c r="N563" s="2">
        <f ca="1">INDEX(INDIRECT(_xlfn.CONCAT("weather.tbl[",N$1,"]")),MATCH(vp.tbl[[#This Row],[SDate]],weather.tbl[Date],0))</f>
        <v>-22.516666666666666</v>
      </c>
      <c r="O563" s="2">
        <f ca="1">INDEX(INDIRECT(_xlfn.CONCAT("weather.tbl[",O$1,"]")),MATCH(vp.tbl[[#This Row],[SDate]],weather.tbl[Date],0))</f>
        <v>-22.078571428571429</v>
      </c>
      <c r="P563" s="2">
        <f ca="1">INDEX(INDIRECT(_xlfn.CONCAT("weather.tbl[",P$1,"]")),MATCH(vp.tbl[[#This Row],[SDate]],weather.tbl[Date],0))</f>
        <v>-24.4</v>
      </c>
      <c r="Q563" s="2">
        <f ca="1">INDEX(INDIRECT(_xlfn.CONCAT("weather.tbl[",Q$1,"]")),MATCH(vp.tbl[[#This Row],[SDate]],weather.tbl[Date],0))</f>
        <v>-19.899999999999999</v>
      </c>
      <c r="R563" s="2">
        <f ca="1">INDEX(INDIRECT(_xlfn.CONCAT("weather.tbl[",R$1,"]")),MATCH(vp.tbl[[#This Row],[SDate]],weather.tbl[Date],0))</f>
        <v>-23.3</v>
      </c>
      <c r="S563" s="2">
        <f ca="1">INDEX(INDIRECT(_xlfn.CONCAT("weather.tbl[",S$1,"]")),MATCH(vp.tbl[[#This Row],[SDate]],weather.tbl[Date],0))</f>
        <v>-20.9</v>
      </c>
      <c r="T563" s="2">
        <f ca="1">INDEX(INDIRECT(_xlfn.CONCAT("weather.tbl[",T$1,"]")),MATCH(vp.tbl[[#This Row],[SDate]],weather.tbl[Date],0))</f>
        <v>-24.1</v>
      </c>
      <c r="U563" s="2">
        <f ca="1">INDEX(INDIRECT(_xlfn.CONCAT("weather.tbl[",U$1,"]")),MATCH(vp.tbl[[#This Row],[SDate]],weather.tbl[Date],0))</f>
        <v>-22.5</v>
      </c>
      <c r="V563" s="2">
        <v>4545.6329999999998</v>
      </c>
      <c r="W563" t="s">
        <v>48</v>
      </c>
      <c r="X563">
        <f>IF(OR(vp.tbl[[#This Row],[Sulf]]="",vp.tbl[[#This Row],[Dens]]=""),1,0)</f>
        <v>0</v>
      </c>
      <c r="Y563">
        <f>IF(vp.tbl[[#This Row],[CrudeType]]="C5+",1,0)</f>
        <v>0</v>
      </c>
      <c r="Z563">
        <f>IF(AND(vp.tbl[[#This Row],[CrudeType]]="Crude",vp.tbl[[#This Row],[Dens]]&lt;=825,vp.tbl[[#This Row],[Sulf]]&gt;0.5,vp.tbl[[#This Row],[Unknown]]=0),1,0)</f>
        <v>0</v>
      </c>
      <c r="AA563">
        <f>IF(AND(vp.tbl[[#This Row],[CrudeType]]="Crude",vp.tbl[[#This Row],[Dens]]&lt;=825,vp.tbl[[#This Row],[Sulf]]&lt;=0.5,vp.tbl[[#This Row],[Unknown]]=0),1,0)</f>
        <v>0</v>
      </c>
      <c r="AB563">
        <f>IF(AND(vp.tbl[[#This Row],[CrudeType]]="Crude",vp.tbl[[#This Row],[Dens]]&gt;825,vp.tbl[[#This Row],[Dens]]&lt;=870,vp.tbl[[#This Row],[Sulf]]&gt;0.5,vp.tbl[[#This Row],[Unknown]]=0),1,0)</f>
        <v>1</v>
      </c>
      <c r="AC563">
        <f>IF(AND(vp.tbl[[#This Row],[CrudeType]]="Crude",vp.tbl[[#This Row],[Dens]]&gt;825,vp.tbl[[#This Row],[Dens]]&lt;=900,vp.tbl[[#This Row],[Sulf]]&lt;=0.5,vp.tbl[[#This Row],[Unknown]]=0),1,0)</f>
        <v>0</v>
      </c>
      <c r="AD563">
        <f>IF(AND(vp.tbl[[#This Row],[CrudeType]]="Crude",vp.tbl[[#This Row],[Dens]]&gt;870,vp.tbl[[#This Row],[Dens]]&lt;=900,vp.tbl[[#This Row],[Sulf]]&gt;0.5,vp.tbl[[#This Row],[Unknown]]=0),1,0)</f>
        <v>0</v>
      </c>
      <c r="AE563">
        <f>IF(AND(vp.tbl[[#This Row],[CrudeType]]="Crude",vp.tbl[[#This Row],[Dens]]&gt;900,vp.tbl[[#This Row],[Sulf]]&lt;=0.5,vp.tbl[[#This Row],[Unknown]]=0),1,0)</f>
        <v>0</v>
      </c>
      <c r="AF563">
        <f>IF(AND(vp.tbl[[#This Row],[CrudeType]]="Crude",vp.tbl[[#This Row],[Dens]]&gt;900,vp.tbl[[#This Row],[Sulf]]&lt;=0.5,vp.tbl[[#This Row],[Unknown]]=0),1,0)</f>
        <v>0</v>
      </c>
      <c r="AG563" t="str">
        <f>INDEX(vp.tbl[[#Headers],[Unknown]:[Heavy_SW]],MATCH(1,vp.tbl[[#This Row],[Unknown]:[Heavy_SW]],0))</f>
        <v>Medium_LSB</v>
      </c>
      <c r="AH563" t="e">
        <f>INDEX([1]!crudeBD.lkup[Number],MATCH(vp.tbl[[#This Row],[Crude_Breakdown]],[1]!crudeBD.lkup[Crude Breakdown],0))</f>
        <v>#REF!</v>
      </c>
      <c r="AI563">
        <f>MONTH(vp.tbl[[#This Row],[SDate]])</f>
        <v>1</v>
      </c>
      <c r="AJ563" s="5">
        <f>IFERROR(vp.tbl[[#This Row],[Sulf]]*vp.tbl[[#This Row],[Net Dens]],"")</f>
        <v>5776685.8746929988</v>
      </c>
      <c r="AK563" s="5">
        <f>IFERROR(vp.tbl[[#This Row],[Dens]]*vp.tbl[[#This Row],[VolumeM3]],"")</f>
        <v>3876970.3856999995</v>
      </c>
      <c r="AL563" s="5">
        <f>IFERROR(vp.tbl[[#This Row],[VP]]*vp.tbl[[#This Row],[VolumeM3]],"")</f>
        <v>297738.96149999998</v>
      </c>
      <c r="AM563" s="4">
        <f>IFERROR((vp.tbl[[#This Row],[VP]]-INDEX(crudeBD.lkup.complete[Mean_VP],MATCH(vp.tbl[[#This Row],[Crude_Breakdown]],crudeBD.lkup.complete[Crude Breakdown],0)))^2,"")</f>
        <v>215.31438836660683</v>
      </c>
      <c r="AN563" s="4">
        <f>IFERROR((vp.tbl[[#This Row],[Dens]]-INDEX(crudeBD.lkup.complete[Mean_Dens],MATCH(vp.tbl[[#This Row],[Crude_Breakdown]],crudeBD.lkup.complete[Crude Breakdown],0)))^2,"")</f>
        <v>57.884360537748975</v>
      </c>
      <c r="AO563" s="4">
        <f>IFERROR((vp.tbl[[#This Row],[Sulf]]-INDEX(crudeBD.lkup.complete[Mean_Sulf],MATCH(vp.tbl[[#This Row],[Crude_Breakdown]],crudeBD.lkup.complete[Crude Breakdown],0)))^2,"")</f>
        <v>1.2299146663483974E-3</v>
      </c>
      <c r="AP563">
        <f>IF(AND(vp.tbl[[#This Row],[SDate]]&gt;=DATE(YEAR(vp.tbl[[#This Row],[SDate]]),5,1),vp.tbl[[#This Row],[SDate]]&lt;=DATE(YEAR(vp.tbl[[#This Row],[SDate]]),9,15)),1,0)</f>
        <v>0</v>
      </c>
      <c r="AQ563" s="15">
        <f>IF(vp.tbl[[#This Row],[SDate]]&lt;DATE(2016,12,1),0,1)</f>
        <v>1</v>
      </c>
    </row>
    <row r="564" spans="1:43" x14ac:dyDescent="0.25">
      <c r="A564">
        <v>563</v>
      </c>
      <c r="B564" t="s">
        <v>68</v>
      </c>
      <c r="C564" t="s">
        <v>68</v>
      </c>
      <c r="D564" t="s">
        <v>98</v>
      </c>
      <c r="F564" s="1">
        <v>42746</v>
      </c>
      <c r="G564" s="2">
        <v>61.6</v>
      </c>
      <c r="H564" s="2"/>
      <c r="I564" s="2">
        <v>1.26</v>
      </c>
      <c r="J564" s="2">
        <v>26.4</v>
      </c>
      <c r="K564" s="2">
        <v>-28</v>
      </c>
      <c r="L564" s="2">
        <v>853.3</v>
      </c>
      <c r="M564" s="2">
        <v>853.3</v>
      </c>
      <c r="N564" s="2">
        <f ca="1">INDEX(INDIRECT(_xlfn.CONCAT("weather.tbl[",N$1,"]")),MATCH(vp.tbl[[#This Row],[SDate]],weather.tbl[Date],0))</f>
        <v>-22.516666666666666</v>
      </c>
      <c r="O564" s="2">
        <f ca="1">INDEX(INDIRECT(_xlfn.CONCAT("weather.tbl[",O$1,"]")),MATCH(vp.tbl[[#This Row],[SDate]],weather.tbl[Date],0))</f>
        <v>-22.078571428571429</v>
      </c>
      <c r="P564" s="2">
        <f ca="1">INDEX(INDIRECT(_xlfn.CONCAT("weather.tbl[",P$1,"]")),MATCH(vp.tbl[[#This Row],[SDate]],weather.tbl[Date],0))</f>
        <v>-24.4</v>
      </c>
      <c r="Q564" s="2">
        <f ca="1">INDEX(INDIRECT(_xlfn.CONCAT("weather.tbl[",Q$1,"]")),MATCH(vp.tbl[[#This Row],[SDate]],weather.tbl[Date],0))</f>
        <v>-19.899999999999999</v>
      </c>
      <c r="R564" s="2">
        <f ca="1">INDEX(INDIRECT(_xlfn.CONCAT("weather.tbl[",R$1,"]")),MATCH(vp.tbl[[#This Row],[SDate]],weather.tbl[Date],0))</f>
        <v>-23.3</v>
      </c>
      <c r="S564" s="2">
        <f ca="1">INDEX(INDIRECT(_xlfn.CONCAT("weather.tbl[",S$1,"]")),MATCH(vp.tbl[[#This Row],[SDate]],weather.tbl[Date],0))</f>
        <v>-20.9</v>
      </c>
      <c r="T564" s="2">
        <f ca="1">INDEX(INDIRECT(_xlfn.CONCAT("weather.tbl[",T$1,"]")),MATCH(vp.tbl[[#This Row],[SDate]],weather.tbl[Date],0))</f>
        <v>-24.1</v>
      </c>
      <c r="U564" s="2">
        <f ca="1">INDEX(INDIRECT(_xlfn.CONCAT("weather.tbl[",U$1,"]")),MATCH(vp.tbl[[#This Row],[SDate]],weather.tbl[Date],0))</f>
        <v>-22.5</v>
      </c>
      <c r="V564" s="2">
        <v>5406.71</v>
      </c>
      <c r="W564" t="s">
        <v>48</v>
      </c>
      <c r="X564">
        <f>IF(OR(vp.tbl[[#This Row],[Sulf]]="",vp.tbl[[#This Row],[Dens]]=""),1,0)</f>
        <v>0</v>
      </c>
      <c r="Y564">
        <f>IF(vp.tbl[[#This Row],[CrudeType]]="C5+",1,0)</f>
        <v>0</v>
      </c>
      <c r="Z564">
        <f>IF(AND(vp.tbl[[#This Row],[CrudeType]]="Crude",vp.tbl[[#This Row],[Dens]]&lt;=825,vp.tbl[[#This Row],[Sulf]]&gt;0.5,vp.tbl[[#This Row],[Unknown]]=0),1,0)</f>
        <v>0</v>
      </c>
      <c r="AA564">
        <f>IF(AND(vp.tbl[[#This Row],[CrudeType]]="Crude",vp.tbl[[#This Row],[Dens]]&lt;=825,vp.tbl[[#This Row],[Sulf]]&lt;=0.5,vp.tbl[[#This Row],[Unknown]]=0),1,0)</f>
        <v>0</v>
      </c>
      <c r="AB564">
        <f>IF(AND(vp.tbl[[#This Row],[CrudeType]]="Crude",vp.tbl[[#This Row],[Dens]]&gt;825,vp.tbl[[#This Row],[Dens]]&lt;=870,vp.tbl[[#This Row],[Sulf]]&gt;0.5,vp.tbl[[#This Row],[Unknown]]=0),1,0)</f>
        <v>1</v>
      </c>
      <c r="AC564">
        <f>IF(AND(vp.tbl[[#This Row],[CrudeType]]="Crude",vp.tbl[[#This Row],[Dens]]&gt;825,vp.tbl[[#This Row],[Dens]]&lt;=900,vp.tbl[[#This Row],[Sulf]]&lt;=0.5,vp.tbl[[#This Row],[Unknown]]=0),1,0)</f>
        <v>0</v>
      </c>
      <c r="AD564">
        <f>IF(AND(vp.tbl[[#This Row],[CrudeType]]="Crude",vp.tbl[[#This Row],[Dens]]&gt;870,vp.tbl[[#This Row],[Dens]]&lt;=900,vp.tbl[[#This Row],[Sulf]]&gt;0.5,vp.tbl[[#This Row],[Unknown]]=0),1,0)</f>
        <v>0</v>
      </c>
      <c r="AE564">
        <f>IF(AND(vp.tbl[[#This Row],[CrudeType]]="Crude",vp.tbl[[#This Row],[Dens]]&gt;900,vp.tbl[[#This Row],[Sulf]]&lt;=0.5,vp.tbl[[#This Row],[Unknown]]=0),1,0)</f>
        <v>0</v>
      </c>
      <c r="AF564">
        <f>IF(AND(vp.tbl[[#This Row],[CrudeType]]="Crude",vp.tbl[[#This Row],[Dens]]&gt;900,vp.tbl[[#This Row],[Sulf]]&lt;=0.5,vp.tbl[[#This Row],[Unknown]]=0),1,0)</f>
        <v>0</v>
      </c>
      <c r="AG564" t="str">
        <f>INDEX(vp.tbl[[#Headers],[Unknown]:[Heavy_SW]],MATCH(1,vp.tbl[[#This Row],[Unknown]:[Heavy_SW]],0))</f>
        <v>Medium_LSB</v>
      </c>
      <c r="AH564" t="e">
        <f>INDEX([1]!crudeBD.lkup[Number],MATCH(vp.tbl[[#This Row],[Crude_Breakdown]],[1]!crudeBD.lkup[Crude Breakdown],0))</f>
        <v>#REF!</v>
      </c>
      <c r="AI564">
        <f>MONTH(vp.tbl[[#This Row],[SDate]])</f>
        <v>1</v>
      </c>
      <c r="AJ564" s="5">
        <f>IFERROR(vp.tbl[[#This Row],[Sulf]]*vp.tbl[[#This Row],[Net Dens]],"")</f>
        <v>5813067.5101800002</v>
      </c>
      <c r="AK564" s="5">
        <f>IFERROR(vp.tbl[[#This Row],[Dens]]*vp.tbl[[#This Row],[VolumeM3]],"")</f>
        <v>4613545.6430000002</v>
      </c>
      <c r="AL564" s="5">
        <f>IFERROR(vp.tbl[[#This Row],[VP]]*vp.tbl[[#This Row],[VolumeM3]],"")</f>
        <v>333053.33600000001</v>
      </c>
      <c r="AM564" s="4">
        <f>IFERROR((vp.tbl[[#This Row],[VP]]-INDEX(crudeBD.lkup.complete[Mean_VP],MATCH(vp.tbl[[#This Row],[Crude_Breakdown]],crudeBD.lkup.complete[Crude Breakdown],0)))^2,"")</f>
        <v>344.97842887293558</v>
      </c>
      <c r="AN564" s="4">
        <f>IFERROR((vp.tbl[[#This Row],[Dens]]-INDEX(crudeBD.lkup.complete[Mean_Dens],MATCH(vp.tbl[[#This Row],[Crude_Breakdown]],crudeBD.lkup.complete[Crude Breakdown],0)))^2,"")</f>
        <v>64.130902309901273</v>
      </c>
      <c r="AO564" s="4">
        <f>IFERROR((vp.tbl[[#This Row],[Sulf]]-INDEX(crudeBD.lkup.complete[Mean_Sulf],MATCH(vp.tbl[[#This Row],[Crude_Breakdown]],crudeBD.lkup.complete[Crude Breakdown],0)))^2,"")</f>
        <v>3.7997650615716166E-2</v>
      </c>
      <c r="AP564">
        <f>IF(AND(vp.tbl[[#This Row],[SDate]]&gt;=DATE(YEAR(vp.tbl[[#This Row],[SDate]]),5,1),vp.tbl[[#This Row],[SDate]]&lt;=DATE(YEAR(vp.tbl[[#This Row],[SDate]]),9,15)),1,0)</f>
        <v>0</v>
      </c>
      <c r="AQ564" s="15">
        <f>IF(vp.tbl[[#This Row],[SDate]]&lt;DATE(2016,12,1),0,1)</f>
        <v>1</v>
      </c>
    </row>
    <row r="565" spans="1:43" x14ac:dyDescent="0.25">
      <c r="A565">
        <v>564</v>
      </c>
      <c r="B565" t="s">
        <v>119</v>
      </c>
      <c r="C565" t="s">
        <v>119</v>
      </c>
      <c r="D565" t="s">
        <v>120</v>
      </c>
      <c r="F565" s="1">
        <v>42746</v>
      </c>
      <c r="G565" s="2">
        <v>78.3</v>
      </c>
      <c r="H565" s="2"/>
      <c r="I565" s="2">
        <v>2.08</v>
      </c>
      <c r="J565" s="2">
        <v>12.1</v>
      </c>
      <c r="K565" s="2">
        <v>-28</v>
      </c>
      <c r="L565" s="2">
        <v>864.1</v>
      </c>
      <c r="M565" s="2">
        <v>864.1</v>
      </c>
      <c r="N565" s="2">
        <f ca="1">INDEX(INDIRECT(_xlfn.CONCAT("weather.tbl[",N$1,"]")),MATCH(vp.tbl[[#This Row],[SDate]],weather.tbl[Date],0))</f>
        <v>-22.516666666666666</v>
      </c>
      <c r="O565" s="2">
        <f ca="1">INDEX(INDIRECT(_xlfn.CONCAT("weather.tbl[",O$1,"]")),MATCH(vp.tbl[[#This Row],[SDate]],weather.tbl[Date],0))</f>
        <v>-22.078571428571429</v>
      </c>
      <c r="P565" s="2">
        <f ca="1">INDEX(INDIRECT(_xlfn.CONCAT("weather.tbl[",P$1,"]")),MATCH(vp.tbl[[#This Row],[SDate]],weather.tbl[Date],0))</f>
        <v>-24.4</v>
      </c>
      <c r="Q565" s="2">
        <f ca="1">INDEX(INDIRECT(_xlfn.CONCAT("weather.tbl[",Q$1,"]")),MATCH(vp.tbl[[#This Row],[SDate]],weather.tbl[Date],0))</f>
        <v>-19.899999999999999</v>
      </c>
      <c r="R565" s="2">
        <f ca="1">INDEX(INDIRECT(_xlfn.CONCAT("weather.tbl[",R$1,"]")),MATCH(vp.tbl[[#This Row],[SDate]],weather.tbl[Date],0))</f>
        <v>-23.3</v>
      </c>
      <c r="S565" s="2">
        <f ca="1">INDEX(INDIRECT(_xlfn.CONCAT("weather.tbl[",S$1,"]")),MATCH(vp.tbl[[#This Row],[SDate]],weather.tbl[Date],0))</f>
        <v>-20.9</v>
      </c>
      <c r="T565" s="2">
        <f ca="1">INDEX(INDIRECT(_xlfn.CONCAT("weather.tbl[",T$1,"]")),MATCH(vp.tbl[[#This Row],[SDate]],weather.tbl[Date],0))</f>
        <v>-24.1</v>
      </c>
      <c r="U565" s="2">
        <f ca="1">INDEX(INDIRECT(_xlfn.CONCAT("weather.tbl[",U$1,"]")),MATCH(vp.tbl[[#This Row],[SDate]],weather.tbl[Date],0))</f>
        <v>-22.5</v>
      </c>
      <c r="V565" s="2">
        <v>2612.9479999999999</v>
      </c>
      <c r="W565" t="s">
        <v>48</v>
      </c>
      <c r="X565">
        <f>IF(OR(vp.tbl[[#This Row],[Sulf]]="",vp.tbl[[#This Row],[Dens]]=""),1,0)</f>
        <v>0</v>
      </c>
      <c r="Y565">
        <f>IF(vp.tbl[[#This Row],[CrudeType]]="C5+",1,0)</f>
        <v>0</v>
      </c>
      <c r="Z565">
        <f>IF(AND(vp.tbl[[#This Row],[CrudeType]]="Crude",vp.tbl[[#This Row],[Dens]]&lt;=825,vp.tbl[[#This Row],[Sulf]]&gt;0.5,vp.tbl[[#This Row],[Unknown]]=0),1,0)</f>
        <v>0</v>
      </c>
      <c r="AA565">
        <f>IF(AND(vp.tbl[[#This Row],[CrudeType]]="Crude",vp.tbl[[#This Row],[Dens]]&lt;=825,vp.tbl[[#This Row],[Sulf]]&lt;=0.5,vp.tbl[[#This Row],[Unknown]]=0),1,0)</f>
        <v>0</v>
      </c>
      <c r="AB565">
        <f>IF(AND(vp.tbl[[#This Row],[CrudeType]]="Crude",vp.tbl[[#This Row],[Dens]]&gt;825,vp.tbl[[#This Row],[Dens]]&lt;=870,vp.tbl[[#This Row],[Sulf]]&gt;0.5,vp.tbl[[#This Row],[Unknown]]=0),1,0)</f>
        <v>1</v>
      </c>
      <c r="AC565">
        <f>IF(AND(vp.tbl[[#This Row],[CrudeType]]="Crude",vp.tbl[[#This Row],[Dens]]&gt;825,vp.tbl[[#This Row],[Dens]]&lt;=900,vp.tbl[[#This Row],[Sulf]]&lt;=0.5,vp.tbl[[#This Row],[Unknown]]=0),1,0)</f>
        <v>0</v>
      </c>
      <c r="AD565">
        <f>IF(AND(vp.tbl[[#This Row],[CrudeType]]="Crude",vp.tbl[[#This Row],[Dens]]&gt;870,vp.tbl[[#This Row],[Dens]]&lt;=900,vp.tbl[[#This Row],[Sulf]]&gt;0.5,vp.tbl[[#This Row],[Unknown]]=0),1,0)</f>
        <v>0</v>
      </c>
      <c r="AE565">
        <f>IF(AND(vp.tbl[[#This Row],[CrudeType]]="Crude",vp.tbl[[#This Row],[Dens]]&gt;900,vp.tbl[[#This Row],[Sulf]]&lt;=0.5,vp.tbl[[#This Row],[Unknown]]=0),1,0)</f>
        <v>0</v>
      </c>
      <c r="AF565">
        <f>IF(AND(vp.tbl[[#This Row],[CrudeType]]="Crude",vp.tbl[[#This Row],[Dens]]&gt;900,vp.tbl[[#This Row],[Sulf]]&lt;=0.5,vp.tbl[[#This Row],[Unknown]]=0),1,0)</f>
        <v>0</v>
      </c>
      <c r="AG565" t="str">
        <f>INDEX(vp.tbl[[#Headers],[Unknown]:[Heavy_SW]],MATCH(1,vp.tbl[[#This Row],[Unknown]:[Heavy_SW]],0))</f>
        <v>Medium_LSB</v>
      </c>
      <c r="AH565" t="e">
        <f>INDEX([1]!crudeBD.lkup[Number],MATCH(vp.tbl[[#This Row],[Crude_Breakdown]],[1]!crudeBD.lkup[Crude Breakdown],0))</f>
        <v>#REF!</v>
      </c>
      <c r="AI565">
        <f>MONTH(vp.tbl[[#This Row],[SDate]])</f>
        <v>1</v>
      </c>
      <c r="AJ565" s="5">
        <f>IFERROR(vp.tbl[[#This Row],[Sulf]]*vp.tbl[[#This Row],[Net Dens]],"")</f>
        <v>4696324.6029439997</v>
      </c>
      <c r="AK565" s="5">
        <f>IFERROR(vp.tbl[[#This Row],[Dens]]*vp.tbl[[#This Row],[VolumeM3]],"")</f>
        <v>2257848.3668</v>
      </c>
      <c r="AL565" s="5">
        <f>IFERROR(vp.tbl[[#This Row],[VP]]*vp.tbl[[#This Row],[VolumeM3]],"")</f>
        <v>204593.82839999997</v>
      </c>
      <c r="AM565" s="4">
        <f>IFERROR((vp.tbl[[#This Row],[VP]]-INDEX(crudeBD.lkup.complete[Mean_VP],MATCH(vp.tbl[[#This Row],[Crude_Breakdown]],crudeBD.lkup.complete[Crude Breakdown],0)))^2,"")</f>
        <v>3.5103579868609525</v>
      </c>
      <c r="AN565" s="4">
        <f>IFERROR((vp.tbl[[#This Row],[Dens]]-INDEX(crudeBD.lkup.complete[Mean_Dens],MATCH(vp.tbl[[#This Row],[Crude_Breakdown]],crudeBD.lkup.complete[Crude Breakdown],0)))^2,"")</f>
        <v>353.74753015802537</v>
      </c>
      <c r="AO565" s="4">
        <f>IFERROR((vp.tbl[[#This Row],[Sulf]]-INDEX(crudeBD.lkup.complete[Mean_Sulf],MATCH(vp.tbl[[#This Row],[Crude_Breakdown]],crudeBD.lkup.complete[Crude Breakdown],0)))^2,"")</f>
        <v>0.39071267897014422</v>
      </c>
      <c r="AP565">
        <f>IF(AND(vp.tbl[[#This Row],[SDate]]&gt;=DATE(YEAR(vp.tbl[[#This Row],[SDate]]),5,1),vp.tbl[[#This Row],[SDate]]&lt;=DATE(YEAR(vp.tbl[[#This Row],[SDate]]),9,15)),1,0)</f>
        <v>0</v>
      </c>
      <c r="AQ565" s="15">
        <f>IF(vp.tbl[[#This Row],[SDate]]&lt;DATE(2016,12,1),0,1)</f>
        <v>1</v>
      </c>
    </row>
    <row r="566" spans="1:43" x14ac:dyDescent="0.25">
      <c r="A566">
        <v>565</v>
      </c>
      <c r="B566" t="s">
        <v>49</v>
      </c>
      <c r="C566" t="s">
        <v>49</v>
      </c>
      <c r="D566" t="s">
        <v>121</v>
      </c>
      <c r="F566" s="1">
        <v>42746</v>
      </c>
      <c r="G566" s="2">
        <v>69.900000000000006</v>
      </c>
      <c r="H566" s="2"/>
      <c r="I566" s="2">
        <v>1.98</v>
      </c>
      <c r="J566" s="2">
        <v>12.2</v>
      </c>
      <c r="K566" s="2">
        <v>-28</v>
      </c>
      <c r="L566" s="2">
        <v>868.3</v>
      </c>
      <c r="M566" s="2">
        <v>868.3</v>
      </c>
      <c r="N566" s="2">
        <f ca="1">INDEX(INDIRECT(_xlfn.CONCAT("weather.tbl[",N$1,"]")),MATCH(vp.tbl[[#This Row],[SDate]],weather.tbl[Date],0))</f>
        <v>-22.516666666666666</v>
      </c>
      <c r="O566" s="2">
        <f ca="1">INDEX(INDIRECT(_xlfn.CONCAT("weather.tbl[",O$1,"]")),MATCH(vp.tbl[[#This Row],[SDate]],weather.tbl[Date],0))</f>
        <v>-22.078571428571429</v>
      </c>
      <c r="P566" s="2">
        <f ca="1">INDEX(INDIRECT(_xlfn.CONCAT("weather.tbl[",P$1,"]")),MATCH(vp.tbl[[#This Row],[SDate]],weather.tbl[Date],0))</f>
        <v>-24.4</v>
      </c>
      <c r="Q566" s="2">
        <f ca="1">INDEX(INDIRECT(_xlfn.CONCAT("weather.tbl[",Q$1,"]")),MATCH(vp.tbl[[#This Row],[SDate]],weather.tbl[Date],0))</f>
        <v>-19.899999999999999</v>
      </c>
      <c r="R566" s="2">
        <f ca="1">INDEX(INDIRECT(_xlfn.CONCAT("weather.tbl[",R$1,"]")),MATCH(vp.tbl[[#This Row],[SDate]],weather.tbl[Date],0))</f>
        <v>-23.3</v>
      </c>
      <c r="S566" s="2">
        <f ca="1">INDEX(INDIRECT(_xlfn.CONCAT("weather.tbl[",S$1,"]")),MATCH(vp.tbl[[#This Row],[SDate]],weather.tbl[Date],0))</f>
        <v>-20.9</v>
      </c>
      <c r="T566" s="2">
        <f ca="1">INDEX(INDIRECT(_xlfn.CONCAT("weather.tbl[",T$1,"]")),MATCH(vp.tbl[[#This Row],[SDate]],weather.tbl[Date],0))</f>
        <v>-24.1</v>
      </c>
      <c r="U566" s="2">
        <f ca="1">INDEX(INDIRECT(_xlfn.CONCAT("weather.tbl[",U$1,"]")),MATCH(vp.tbl[[#This Row],[SDate]],weather.tbl[Date],0))</f>
        <v>-22.5</v>
      </c>
      <c r="V566" s="2">
        <v>1819.5609999999999</v>
      </c>
      <c r="W566" t="s">
        <v>48</v>
      </c>
      <c r="X566">
        <f>IF(OR(vp.tbl[[#This Row],[Sulf]]="",vp.tbl[[#This Row],[Dens]]=""),1,0)</f>
        <v>0</v>
      </c>
      <c r="Y566">
        <f>IF(vp.tbl[[#This Row],[CrudeType]]="C5+",1,0)</f>
        <v>0</v>
      </c>
      <c r="Z566">
        <f>IF(AND(vp.tbl[[#This Row],[CrudeType]]="Crude",vp.tbl[[#This Row],[Dens]]&lt;=825,vp.tbl[[#This Row],[Sulf]]&gt;0.5,vp.tbl[[#This Row],[Unknown]]=0),1,0)</f>
        <v>0</v>
      </c>
      <c r="AA566">
        <f>IF(AND(vp.tbl[[#This Row],[CrudeType]]="Crude",vp.tbl[[#This Row],[Dens]]&lt;=825,vp.tbl[[#This Row],[Sulf]]&lt;=0.5,vp.tbl[[#This Row],[Unknown]]=0),1,0)</f>
        <v>0</v>
      </c>
      <c r="AB566">
        <f>IF(AND(vp.tbl[[#This Row],[CrudeType]]="Crude",vp.tbl[[#This Row],[Dens]]&gt;825,vp.tbl[[#This Row],[Dens]]&lt;=870,vp.tbl[[#This Row],[Sulf]]&gt;0.5,vp.tbl[[#This Row],[Unknown]]=0),1,0)</f>
        <v>1</v>
      </c>
      <c r="AC566">
        <f>IF(AND(vp.tbl[[#This Row],[CrudeType]]="Crude",vp.tbl[[#This Row],[Dens]]&gt;825,vp.tbl[[#This Row],[Dens]]&lt;=900,vp.tbl[[#This Row],[Sulf]]&lt;=0.5,vp.tbl[[#This Row],[Unknown]]=0),1,0)</f>
        <v>0</v>
      </c>
      <c r="AD566">
        <f>IF(AND(vp.tbl[[#This Row],[CrudeType]]="Crude",vp.tbl[[#This Row],[Dens]]&gt;870,vp.tbl[[#This Row],[Dens]]&lt;=900,vp.tbl[[#This Row],[Sulf]]&gt;0.5,vp.tbl[[#This Row],[Unknown]]=0),1,0)</f>
        <v>0</v>
      </c>
      <c r="AE566">
        <f>IF(AND(vp.tbl[[#This Row],[CrudeType]]="Crude",vp.tbl[[#This Row],[Dens]]&gt;900,vp.tbl[[#This Row],[Sulf]]&lt;=0.5,vp.tbl[[#This Row],[Unknown]]=0),1,0)</f>
        <v>0</v>
      </c>
      <c r="AF566">
        <f>IF(AND(vp.tbl[[#This Row],[CrudeType]]="Crude",vp.tbl[[#This Row],[Dens]]&gt;900,vp.tbl[[#This Row],[Sulf]]&lt;=0.5,vp.tbl[[#This Row],[Unknown]]=0),1,0)</f>
        <v>0</v>
      </c>
      <c r="AG566" t="str">
        <f>INDEX(vp.tbl[[#Headers],[Unknown]:[Heavy_SW]],MATCH(1,vp.tbl[[#This Row],[Unknown]:[Heavy_SW]],0))</f>
        <v>Medium_LSB</v>
      </c>
      <c r="AH566" t="e">
        <f>INDEX([1]!crudeBD.lkup[Number],MATCH(vp.tbl[[#This Row],[Crude_Breakdown]],[1]!crudeBD.lkup[Crude Breakdown],0))</f>
        <v>#REF!</v>
      </c>
      <c r="AI566">
        <f>MONTH(vp.tbl[[#This Row],[SDate]])</f>
        <v>1</v>
      </c>
      <c r="AJ566" s="5">
        <f>IFERROR(vp.tbl[[#This Row],[Sulf]]*vp.tbl[[#This Row],[Net Dens]],"")</f>
        <v>3128251.1362739997</v>
      </c>
      <c r="AK566" s="5">
        <f>IFERROR(vp.tbl[[#This Row],[Dens]]*vp.tbl[[#This Row],[VolumeM3]],"")</f>
        <v>1579924.8162999998</v>
      </c>
      <c r="AL566" s="5">
        <f>IFERROR(vp.tbl[[#This Row],[VP]]*vp.tbl[[#This Row],[VolumeM3]],"")</f>
        <v>127187.31390000001</v>
      </c>
      <c r="AM566" s="4">
        <f>IFERROR((vp.tbl[[#This Row],[VP]]-INDEX(crudeBD.lkup.complete[Mean_VP],MATCH(vp.tbl[[#This Row],[Crude_Breakdown]],crudeBD.lkup.complete[Crude Breakdown],0)))^2,"")</f>
        <v>105.54675292356906</v>
      </c>
      <c r="AN566" s="4">
        <f>IFERROR((vp.tbl[[#This Row],[Dens]]-INDEX(crudeBD.lkup.complete[Mean_Dens],MATCH(vp.tbl[[#This Row],[Crude_Breakdown]],crudeBD.lkup.complete[Crude Breakdown],0)))^2,"")</f>
        <v>529.37621876562571</v>
      </c>
      <c r="AO566" s="4">
        <f>IFERROR((vp.tbl[[#This Row],[Sulf]]-INDEX(crudeBD.lkup.complete[Mean_Sulf],MATCH(vp.tbl[[#This Row],[Crude_Breakdown]],crudeBD.lkup.complete[Crude Breakdown],0)))^2,"")</f>
        <v>0.27569865112204311</v>
      </c>
      <c r="AP566">
        <f>IF(AND(vp.tbl[[#This Row],[SDate]]&gt;=DATE(YEAR(vp.tbl[[#This Row],[SDate]]),5,1),vp.tbl[[#This Row],[SDate]]&lt;=DATE(YEAR(vp.tbl[[#This Row],[SDate]]),9,15)),1,0)</f>
        <v>0</v>
      </c>
      <c r="AQ566" s="15">
        <f>IF(vp.tbl[[#This Row],[SDate]]&lt;DATE(2016,12,1),0,1)</f>
        <v>1</v>
      </c>
    </row>
    <row r="567" spans="1:43" x14ac:dyDescent="0.25">
      <c r="A567">
        <v>566</v>
      </c>
      <c r="B567" t="s">
        <v>49</v>
      </c>
      <c r="C567" t="s">
        <v>49</v>
      </c>
      <c r="D567" t="s">
        <v>82</v>
      </c>
      <c r="F567" s="1">
        <v>42746</v>
      </c>
      <c r="G567" s="2">
        <v>62.3</v>
      </c>
      <c r="H567" s="2"/>
      <c r="I567" s="2">
        <v>2.37</v>
      </c>
      <c r="J567" s="2">
        <v>10.7</v>
      </c>
      <c r="K567" s="2">
        <v>-28</v>
      </c>
      <c r="L567" s="2">
        <v>871.3</v>
      </c>
      <c r="M567" s="2">
        <v>871.3</v>
      </c>
      <c r="N567" s="2">
        <f ca="1">INDEX(INDIRECT(_xlfn.CONCAT("weather.tbl[",N$1,"]")),MATCH(vp.tbl[[#This Row],[SDate]],weather.tbl[Date],0))</f>
        <v>-22.516666666666666</v>
      </c>
      <c r="O567" s="2">
        <f ca="1">INDEX(INDIRECT(_xlfn.CONCAT("weather.tbl[",O$1,"]")),MATCH(vp.tbl[[#This Row],[SDate]],weather.tbl[Date],0))</f>
        <v>-22.078571428571429</v>
      </c>
      <c r="P567" s="2">
        <f ca="1">INDEX(INDIRECT(_xlfn.CONCAT("weather.tbl[",P$1,"]")),MATCH(vp.tbl[[#This Row],[SDate]],weather.tbl[Date],0))</f>
        <v>-24.4</v>
      </c>
      <c r="Q567" s="2">
        <f ca="1">INDEX(INDIRECT(_xlfn.CONCAT("weather.tbl[",Q$1,"]")),MATCH(vp.tbl[[#This Row],[SDate]],weather.tbl[Date],0))</f>
        <v>-19.899999999999999</v>
      </c>
      <c r="R567" s="2">
        <f ca="1">INDEX(INDIRECT(_xlfn.CONCAT("weather.tbl[",R$1,"]")),MATCH(vp.tbl[[#This Row],[SDate]],weather.tbl[Date],0))</f>
        <v>-23.3</v>
      </c>
      <c r="S567" s="2">
        <f ca="1">INDEX(INDIRECT(_xlfn.CONCAT("weather.tbl[",S$1,"]")),MATCH(vp.tbl[[#This Row],[SDate]],weather.tbl[Date],0))</f>
        <v>-20.9</v>
      </c>
      <c r="T567" s="2">
        <f ca="1">INDEX(INDIRECT(_xlfn.CONCAT("weather.tbl[",T$1,"]")),MATCH(vp.tbl[[#This Row],[SDate]],weather.tbl[Date],0))</f>
        <v>-24.1</v>
      </c>
      <c r="U567" s="2">
        <f ca="1">INDEX(INDIRECT(_xlfn.CONCAT("weather.tbl[",U$1,"]")),MATCH(vp.tbl[[#This Row],[SDate]],weather.tbl[Date],0))</f>
        <v>-22.5</v>
      </c>
      <c r="V567" s="2">
        <v>2421.1320000000001</v>
      </c>
      <c r="W567" t="s">
        <v>48</v>
      </c>
      <c r="X567">
        <f>IF(OR(vp.tbl[[#This Row],[Sulf]]="",vp.tbl[[#This Row],[Dens]]=""),1,0)</f>
        <v>0</v>
      </c>
      <c r="Y567">
        <f>IF(vp.tbl[[#This Row],[CrudeType]]="C5+",1,0)</f>
        <v>0</v>
      </c>
      <c r="Z567">
        <f>IF(AND(vp.tbl[[#This Row],[CrudeType]]="Crude",vp.tbl[[#This Row],[Dens]]&lt;=825,vp.tbl[[#This Row],[Sulf]]&gt;0.5,vp.tbl[[#This Row],[Unknown]]=0),1,0)</f>
        <v>0</v>
      </c>
      <c r="AA567">
        <f>IF(AND(vp.tbl[[#This Row],[CrudeType]]="Crude",vp.tbl[[#This Row],[Dens]]&lt;=825,vp.tbl[[#This Row],[Sulf]]&lt;=0.5,vp.tbl[[#This Row],[Unknown]]=0),1,0)</f>
        <v>0</v>
      </c>
      <c r="AB567">
        <f>IF(AND(vp.tbl[[#This Row],[CrudeType]]="Crude",vp.tbl[[#This Row],[Dens]]&gt;825,vp.tbl[[#This Row],[Dens]]&lt;=870,vp.tbl[[#This Row],[Sulf]]&gt;0.5,vp.tbl[[#This Row],[Unknown]]=0),1,0)</f>
        <v>0</v>
      </c>
      <c r="AC567">
        <f>IF(AND(vp.tbl[[#This Row],[CrudeType]]="Crude",vp.tbl[[#This Row],[Dens]]&gt;825,vp.tbl[[#This Row],[Dens]]&lt;=900,vp.tbl[[#This Row],[Sulf]]&lt;=0.5,vp.tbl[[#This Row],[Unknown]]=0),1,0)</f>
        <v>0</v>
      </c>
      <c r="AD567">
        <f>IF(AND(vp.tbl[[#This Row],[CrudeType]]="Crude",vp.tbl[[#This Row],[Dens]]&gt;870,vp.tbl[[#This Row],[Dens]]&lt;=900,vp.tbl[[#This Row],[Sulf]]&gt;0.5,vp.tbl[[#This Row],[Unknown]]=0),1,0)</f>
        <v>1</v>
      </c>
      <c r="AE567">
        <f>IF(AND(vp.tbl[[#This Row],[CrudeType]]="Crude",vp.tbl[[#This Row],[Dens]]&gt;900,vp.tbl[[#This Row],[Sulf]]&lt;=0.5,vp.tbl[[#This Row],[Unknown]]=0),1,0)</f>
        <v>0</v>
      </c>
      <c r="AF567">
        <f>IF(AND(vp.tbl[[#This Row],[CrudeType]]="Crude",vp.tbl[[#This Row],[Dens]]&gt;900,vp.tbl[[#This Row],[Sulf]]&lt;=0.5,vp.tbl[[#This Row],[Unknown]]=0),1,0)</f>
        <v>0</v>
      </c>
      <c r="AG567" t="str">
        <f>INDEX(vp.tbl[[#Headers],[Unknown]:[Heavy_SW]],MATCH(1,vp.tbl[[#This Row],[Unknown]:[Heavy_SW]],0))</f>
        <v>Midale</v>
      </c>
      <c r="AH567" t="e">
        <f>INDEX([1]!crudeBD.lkup[Number],MATCH(vp.tbl[[#This Row],[Crude_Breakdown]],[1]!crudeBD.lkup[Crude Breakdown],0))</f>
        <v>#REF!</v>
      </c>
      <c r="AI567">
        <f>MONTH(vp.tbl[[#This Row],[SDate]])</f>
        <v>1</v>
      </c>
      <c r="AJ567" s="5">
        <f>IFERROR(vp.tbl[[#This Row],[Sulf]]*vp.tbl[[#This Row],[Net Dens]],"")</f>
        <v>4999591.5784920007</v>
      </c>
      <c r="AK567" s="5">
        <f>IFERROR(vp.tbl[[#This Row],[Dens]]*vp.tbl[[#This Row],[VolumeM3]],"")</f>
        <v>2109532.3116000001</v>
      </c>
      <c r="AL567" s="5">
        <f>IFERROR(vp.tbl[[#This Row],[VP]]*vp.tbl[[#This Row],[VolumeM3]],"")</f>
        <v>150836.52359999999</v>
      </c>
      <c r="AM567" s="4">
        <f>IFERROR((vp.tbl[[#This Row],[VP]]-INDEX(crudeBD.lkup.complete[Mean_VP],MATCH(vp.tbl[[#This Row],[Crude_Breakdown]],crudeBD.lkup.complete[Crude Breakdown],0)))^2,"")</f>
        <v>35.264073935072439</v>
      </c>
      <c r="AN567" s="4">
        <f>IFERROR((vp.tbl[[#This Row],[Dens]]-INDEX(crudeBD.lkup.complete[Mean_Dens],MATCH(vp.tbl[[#This Row],[Crude_Breakdown]],crudeBD.lkup.complete[Crude Breakdown],0)))^2,"")</f>
        <v>39.088189153684155</v>
      </c>
      <c r="AO567" s="4">
        <f>IFERROR((vp.tbl[[#This Row],[Sulf]]-INDEX(crudeBD.lkup.complete[Mean_Sulf],MATCH(vp.tbl[[#This Row],[Crude_Breakdown]],crudeBD.lkup.complete[Crude Breakdown],0)))^2,"")</f>
        <v>2.0557280219364506E-3</v>
      </c>
      <c r="AP567">
        <f>IF(AND(vp.tbl[[#This Row],[SDate]]&gt;=DATE(YEAR(vp.tbl[[#This Row],[SDate]]),5,1),vp.tbl[[#This Row],[SDate]]&lt;=DATE(YEAR(vp.tbl[[#This Row],[SDate]]),9,15)),1,0)</f>
        <v>0</v>
      </c>
      <c r="AQ567" s="15">
        <f>IF(vp.tbl[[#This Row],[SDate]]&lt;DATE(2016,12,1),0,1)</f>
        <v>1</v>
      </c>
    </row>
    <row r="568" spans="1:43" x14ac:dyDescent="0.25">
      <c r="A568">
        <v>567</v>
      </c>
      <c r="B568" t="s">
        <v>51</v>
      </c>
      <c r="C568" t="s">
        <v>51</v>
      </c>
      <c r="D568" t="s">
        <v>122</v>
      </c>
      <c r="F568" s="1">
        <v>42746</v>
      </c>
      <c r="G568" s="2">
        <v>56.3</v>
      </c>
      <c r="H568" s="2"/>
      <c r="I568" s="2">
        <v>1.17</v>
      </c>
      <c r="J568" s="2">
        <v>16.100000000000001</v>
      </c>
      <c r="K568" s="2">
        <v>-28</v>
      </c>
      <c r="L568" s="2"/>
      <c r="M568" s="2">
        <v>847.7</v>
      </c>
      <c r="N568" s="2">
        <f ca="1">INDEX(INDIRECT(_xlfn.CONCAT("weather.tbl[",N$1,"]")),MATCH(vp.tbl[[#This Row],[SDate]],weather.tbl[Date],0))</f>
        <v>-22.516666666666666</v>
      </c>
      <c r="O568" s="2">
        <f ca="1">INDEX(INDIRECT(_xlfn.CONCAT("weather.tbl[",O$1,"]")),MATCH(vp.tbl[[#This Row],[SDate]],weather.tbl[Date],0))</f>
        <v>-22.078571428571429</v>
      </c>
      <c r="P568" s="2">
        <f ca="1">INDEX(INDIRECT(_xlfn.CONCAT("weather.tbl[",P$1,"]")),MATCH(vp.tbl[[#This Row],[SDate]],weather.tbl[Date],0))</f>
        <v>-24.4</v>
      </c>
      <c r="Q568" s="2">
        <f ca="1">INDEX(INDIRECT(_xlfn.CONCAT("weather.tbl[",Q$1,"]")),MATCH(vp.tbl[[#This Row],[SDate]],weather.tbl[Date],0))</f>
        <v>-19.899999999999999</v>
      </c>
      <c r="R568" s="2">
        <f ca="1">INDEX(INDIRECT(_xlfn.CONCAT("weather.tbl[",R$1,"]")),MATCH(vp.tbl[[#This Row],[SDate]],weather.tbl[Date],0))</f>
        <v>-23.3</v>
      </c>
      <c r="S568" s="2">
        <f ca="1">INDEX(INDIRECT(_xlfn.CONCAT("weather.tbl[",S$1,"]")),MATCH(vp.tbl[[#This Row],[SDate]],weather.tbl[Date],0))</f>
        <v>-20.9</v>
      </c>
      <c r="T568" s="2">
        <f ca="1">INDEX(INDIRECT(_xlfn.CONCAT("weather.tbl[",T$1,"]")),MATCH(vp.tbl[[#This Row],[SDate]],weather.tbl[Date],0))</f>
        <v>-24.1</v>
      </c>
      <c r="U568" s="2">
        <f ca="1">INDEX(INDIRECT(_xlfn.CONCAT("weather.tbl[",U$1,"]")),MATCH(vp.tbl[[#This Row],[SDate]],weather.tbl[Date],0))</f>
        <v>-22.5</v>
      </c>
      <c r="V568" s="2">
        <v>715.02499999999998</v>
      </c>
      <c r="W568" t="s">
        <v>48</v>
      </c>
      <c r="X568">
        <f>IF(OR(vp.tbl[[#This Row],[Sulf]]="",vp.tbl[[#This Row],[Dens]]=""),1,0)</f>
        <v>0</v>
      </c>
      <c r="Y568">
        <f>IF(vp.tbl[[#This Row],[CrudeType]]="C5+",1,0)</f>
        <v>0</v>
      </c>
      <c r="Z568">
        <f>IF(AND(vp.tbl[[#This Row],[CrudeType]]="Crude",vp.tbl[[#This Row],[Dens]]&lt;=825,vp.tbl[[#This Row],[Sulf]]&gt;0.5,vp.tbl[[#This Row],[Unknown]]=0),1,0)</f>
        <v>0</v>
      </c>
      <c r="AA568">
        <f>IF(AND(vp.tbl[[#This Row],[CrudeType]]="Crude",vp.tbl[[#This Row],[Dens]]&lt;=825,vp.tbl[[#This Row],[Sulf]]&lt;=0.5,vp.tbl[[#This Row],[Unknown]]=0),1,0)</f>
        <v>0</v>
      </c>
      <c r="AB568">
        <f>IF(AND(vp.tbl[[#This Row],[CrudeType]]="Crude",vp.tbl[[#This Row],[Dens]]&gt;825,vp.tbl[[#This Row],[Dens]]&lt;=870,vp.tbl[[#This Row],[Sulf]]&gt;0.5,vp.tbl[[#This Row],[Unknown]]=0),1,0)</f>
        <v>1</v>
      </c>
      <c r="AC568">
        <f>IF(AND(vp.tbl[[#This Row],[CrudeType]]="Crude",vp.tbl[[#This Row],[Dens]]&gt;825,vp.tbl[[#This Row],[Dens]]&lt;=900,vp.tbl[[#This Row],[Sulf]]&lt;=0.5,vp.tbl[[#This Row],[Unknown]]=0),1,0)</f>
        <v>0</v>
      </c>
      <c r="AD568">
        <f>IF(AND(vp.tbl[[#This Row],[CrudeType]]="Crude",vp.tbl[[#This Row],[Dens]]&gt;870,vp.tbl[[#This Row],[Dens]]&lt;=900,vp.tbl[[#This Row],[Sulf]]&gt;0.5,vp.tbl[[#This Row],[Unknown]]=0),1,0)</f>
        <v>0</v>
      </c>
      <c r="AE568">
        <f>IF(AND(vp.tbl[[#This Row],[CrudeType]]="Crude",vp.tbl[[#This Row],[Dens]]&gt;900,vp.tbl[[#This Row],[Sulf]]&lt;=0.5,vp.tbl[[#This Row],[Unknown]]=0),1,0)</f>
        <v>0</v>
      </c>
      <c r="AF568">
        <f>IF(AND(vp.tbl[[#This Row],[CrudeType]]="Crude",vp.tbl[[#This Row],[Dens]]&gt;900,vp.tbl[[#This Row],[Sulf]]&lt;=0.5,vp.tbl[[#This Row],[Unknown]]=0),1,0)</f>
        <v>0</v>
      </c>
      <c r="AG568" t="str">
        <f>INDEX(vp.tbl[[#Headers],[Unknown]:[Heavy_SW]],MATCH(1,vp.tbl[[#This Row],[Unknown]:[Heavy_SW]],0))</f>
        <v>Medium_LSB</v>
      </c>
      <c r="AH568" t="e">
        <f>INDEX([1]!crudeBD.lkup[Number],MATCH(vp.tbl[[#This Row],[Crude_Breakdown]],[1]!crudeBD.lkup[Crude Breakdown],0))</f>
        <v>#REF!</v>
      </c>
      <c r="AI568">
        <f>MONTH(vp.tbl[[#This Row],[SDate]])</f>
        <v>1</v>
      </c>
      <c r="AJ568" s="5">
        <f>IFERROR(vp.tbl[[#This Row],[Sulf]]*vp.tbl[[#This Row],[Net Dens]],"")</f>
        <v>709168.23022499995</v>
      </c>
      <c r="AK568" s="5">
        <f>IFERROR(vp.tbl[[#This Row],[Dens]]*vp.tbl[[#This Row],[VolumeM3]],"")</f>
        <v>606126.6925</v>
      </c>
      <c r="AL568" s="5">
        <f>IFERROR(vp.tbl[[#This Row],[VP]]*vp.tbl[[#This Row],[VolumeM3]],"")</f>
        <v>40255.907499999994</v>
      </c>
      <c r="AM568" s="4">
        <f>IFERROR((vp.tbl[[#This Row],[VP]]-INDEX(crudeBD.lkup.complete[Mean_VP],MATCH(vp.tbl[[#This Row],[Crude_Breakdown]],crudeBD.lkup.complete[Crude Breakdown],0)))^2,"")</f>
        <v>569.94853520204936</v>
      </c>
      <c r="AN568" s="4">
        <f>IFERROR((vp.tbl[[#This Row],[Dens]]-INDEX(crudeBD.lkup.complete[Mean_Dens],MATCH(vp.tbl[[#This Row],[Crude_Breakdown]],crudeBD.lkup.complete[Crude Breakdown],0)))^2,"")</f>
        <v>5.7993174997646157</v>
      </c>
      <c r="AO568" s="4">
        <f>IFERROR((vp.tbl[[#This Row],[Sulf]]-INDEX(crudeBD.lkup.complete[Mean_Sulf],MATCH(vp.tbl[[#This Row],[Crude_Breakdown]],crudeBD.lkup.complete[Crude Breakdown],0)))^2,"")</f>
        <v>8.1185025552425336E-2</v>
      </c>
      <c r="AP568">
        <f>IF(AND(vp.tbl[[#This Row],[SDate]]&gt;=DATE(YEAR(vp.tbl[[#This Row],[SDate]]),5,1),vp.tbl[[#This Row],[SDate]]&lt;=DATE(YEAR(vp.tbl[[#This Row],[SDate]]),9,15)),1,0)</f>
        <v>0</v>
      </c>
      <c r="AQ568" s="15">
        <f>IF(vp.tbl[[#This Row],[SDate]]&lt;DATE(2016,12,1),0,1)</f>
        <v>1</v>
      </c>
    </row>
    <row r="569" spans="1:43" x14ac:dyDescent="0.25">
      <c r="A569">
        <v>568</v>
      </c>
      <c r="B569" t="s">
        <v>60</v>
      </c>
      <c r="C569" t="s">
        <v>60</v>
      </c>
      <c r="D569" t="s">
        <v>61</v>
      </c>
      <c r="E569" t="s">
        <v>73</v>
      </c>
      <c r="F569" s="1">
        <v>42748</v>
      </c>
      <c r="G569" s="2">
        <v>83.9</v>
      </c>
      <c r="H569" s="2"/>
      <c r="I569" s="2">
        <v>1.23</v>
      </c>
      <c r="J569" s="2">
        <v>3</v>
      </c>
      <c r="K569" s="2">
        <v>-30</v>
      </c>
      <c r="L569" s="2">
        <v>840</v>
      </c>
      <c r="M569" s="2">
        <v>840</v>
      </c>
      <c r="N569" s="2">
        <f ca="1">INDEX(INDIRECT(_xlfn.CONCAT("weather.tbl[",N$1,"]")),MATCH(vp.tbl[[#This Row],[SDate]],weather.tbl[Date],0))</f>
        <v>-23.633333333333336</v>
      </c>
      <c r="O569" s="2">
        <f ca="1">INDEX(INDIRECT(_xlfn.CONCAT("weather.tbl[",O$1,"]")),MATCH(vp.tbl[[#This Row],[SDate]],weather.tbl[Date],0))</f>
        <v>-22.773809523809522</v>
      </c>
      <c r="P569" s="2">
        <f ca="1">INDEX(INDIRECT(_xlfn.CONCAT("weather.tbl[",P$1,"]")),MATCH(vp.tbl[[#This Row],[SDate]],weather.tbl[Date],0))</f>
        <v>-24</v>
      </c>
      <c r="Q569" s="2">
        <f ca="1">INDEX(INDIRECT(_xlfn.CONCAT("weather.tbl[",Q$1,"]")),MATCH(vp.tbl[[#This Row],[SDate]],weather.tbl[Date],0))</f>
        <v>-21.3</v>
      </c>
      <c r="R569" s="2">
        <f ca="1">INDEX(INDIRECT(_xlfn.CONCAT("weather.tbl[",R$1,"]")),MATCH(vp.tbl[[#This Row],[SDate]],weather.tbl[Date],0))</f>
        <v>-26.5</v>
      </c>
      <c r="S569" s="2">
        <f ca="1">INDEX(INDIRECT(_xlfn.CONCAT("weather.tbl[",S$1,"]")),MATCH(vp.tbl[[#This Row],[SDate]],weather.tbl[Date],0))</f>
        <v>-20.6</v>
      </c>
      <c r="T569" s="2">
        <f ca="1">INDEX(INDIRECT(_xlfn.CONCAT("weather.tbl[",T$1,"]")),MATCH(vp.tbl[[#This Row],[SDate]],weather.tbl[Date],0))</f>
        <v>-25.6</v>
      </c>
      <c r="U569" s="2">
        <f ca="1">INDEX(INDIRECT(_xlfn.CONCAT("weather.tbl[",U$1,"]")),MATCH(vp.tbl[[#This Row],[SDate]],weather.tbl[Date],0))</f>
        <v>-23.8</v>
      </c>
      <c r="V569" s="2">
        <v>105136.144</v>
      </c>
      <c r="W569" t="s">
        <v>48</v>
      </c>
      <c r="X569">
        <f>IF(OR(vp.tbl[[#This Row],[Sulf]]="",vp.tbl[[#This Row],[Dens]]=""),1,0)</f>
        <v>0</v>
      </c>
      <c r="Y569">
        <f>IF(vp.tbl[[#This Row],[CrudeType]]="C5+",1,0)</f>
        <v>0</v>
      </c>
      <c r="Z569">
        <f>IF(AND(vp.tbl[[#This Row],[CrudeType]]="Crude",vp.tbl[[#This Row],[Dens]]&lt;=825,vp.tbl[[#This Row],[Sulf]]&gt;0.5,vp.tbl[[#This Row],[Unknown]]=0),1,0)</f>
        <v>0</v>
      </c>
      <c r="AA569">
        <f>IF(AND(vp.tbl[[#This Row],[CrudeType]]="Crude",vp.tbl[[#This Row],[Dens]]&lt;=825,vp.tbl[[#This Row],[Sulf]]&lt;=0.5,vp.tbl[[#This Row],[Unknown]]=0),1,0)</f>
        <v>0</v>
      </c>
      <c r="AB569">
        <f>IF(AND(vp.tbl[[#This Row],[CrudeType]]="Crude",vp.tbl[[#This Row],[Dens]]&gt;825,vp.tbl[[#This Row],[Dens]]&lt;=870,vp.tbl[[#This Row],[Sulf]]&gt;0.5,vp.tbl[[#This Row],[Unknown]]=0),1,0)</f>
        <v>1</v>
      </c>
      <c r="AC569">
        <f>IF(AND(vp.tbl[[#This Row],[CrudeType]]="Crude",vp.tbl[[#This Row],[Dens]]&gt;825,vp.tbl[[#This Row],[Dens]]&lt;=900,vp.tbl[[#This Row],[Sulf]]&lt;=0.5,vp.tbl[[#This Row],[Unknown]]=0),1,0)</f>
        <v>0</v>
      </c>
      <c r="AD569">
        <f>IF(AND(vp.tbl[[#This Row],[CrudeType]]="Crude",vp.tbl[[#This Row],[Dens]]&gt;870,vp.tbl[[#This Row],[Dens]]&lt;=900,vp.tbl[[#This Row],[Sulf]]&gt;0.5,vp.tbl[[#This Row],[Unknown]]=0),1,0)</f>
        <v>0</v>
      </c>
      <c r="AE569">
        <f>IF(AND(vp.tbl[[#This Row],[CrudeType]]="Crude",vp.tbl[[#This Row],[Dens]]&gt;900,vp.tbl[[#This Row],[Sulf]]&lt;=0.5,vp.tbl[[#This Row],[Unknown]]=0),1,0)</f>
        <v>0</v>
      </c>
      <c r="AF569">
        <f>IF(AND(vp.tbl[[#This Row],[CrudeType]]="Crude",vp.tbl[[#This Row],[Dens]]&gt;900,vp.tbl[[#This Row],[Sulf]]&lt;=0.5,vp.tbl[[#This Row],[Unknown]]=0),1,0)</f>
        <v>0</v>
      </c>
      <c r="AG569" t="str">
        <f>INDEX(vp.tbl[[#Headers],[Unknown]:[Heavy_SW]],MATCH(1,vp.tbl[[#This Row],[Unknown]:[Heavy_SW]],0))</f>
        <v>Medium_LSB</v>
      </c>
      <c r="AH569" t="e">
        <f>INDEX([1]!crudeBD.lkup[Number],MATCH(vp.tbl[[#This Row],[Crude_Breakdown]],[1]!crudeBD.lkup[Crude Breakdown],0))</f>
        <v>#REF!</v>
      </c>
      <c r="AI569">
        <f>MONTH(vp.tbl[[#This Row],[SDate]])</f>
        <v>1</v>
      </c>
      <c r="AJ569" s="5">
        <f>IFERROR(vp.tbl[[#This Row],[Sulf]]*vp.tbl[[#This Row],[Net Dens]],"")</f>
        <v>108626663.98079999</v>
      </c>
      <c r="AK569" s="5">
        <f>IFERROR(vp.tbl[[#This Row],[Dens]]*vp.tbl[[#This Row],[VolumeM3]],"")</f>
        <v>88314360.959999993</v>
      </c>
      <c r="AL569" s="5">
        <f>IFERROR(vp.tbl[[#This Row],[VP]]*vp.tbl[[#This Row],[VolumeM3]],"")</f>
        <v>8820922.4816000015</v>
      </c>
      <c r="AM569" s="4">
        <f>IFERROR((vp.tbl[[#This Row],[VP]]-INDEX(crudeBD.lkup.complete[Mean_VP],MATCH(vp.tbl[[#This Row],[Crude_Breakdown]],crudeBD.lkup.complete[Crude Breakdown],0)))^2,"")</f>
        <v>13.886094695722157</v>
      </c>
      <c r="AN569" s="4">
        <f>IFERROR((vp.tbl[[#This Row],[Dens]]-INDEX(crudeBD.lkup.complete[Mean_Dens],MATCH(vp.tbl[[#This Row],[Crude_Breakdown]],crudeBD.lkup.complete[Crude Breakdown],0)))^2,"")</f>
        <v>28.003388385825183</v>
      </c>
      <c r="AO569" s="4">
        <f>IFERROR((vp.tbl[[#This Row],[Sulf]]-INDEX(crudeBD.lkup.complete[Mean_Sulf],MATCH(vp.tbl[[#This Row],[Crude_Breakdown]],crudeBD.lkup.complete[Crude Breakdown],0)))^2,"")</f>
        <v>5.0593442261285884E-2</v>
      </c>
      <c r="AP569">
        <f>IF(AND(vp.tbl[[#This Row],[SDate]]&gt;=DATE(YEAR(vp.tbl[[#This Row],[SDate]]),5,1),vp.tbl[[#This Row],[SDate]]&lt;=DATE(YEAR(vp.tbl[[#This Row],[SDate]]),9,15)),1,0)</f>
        <v>0</v>
      </c>
      <c r="AQ569" s="15">
        <f>IF(vp.tbl[[#This Row],[SDate]]&lt;DATE(2016,12,1),0,1)</f>
        <v>1</v>
      </c>
    </row>
    <row r="570" spans="1:43" x14ac:dyDescent="0.25">
      <c r="A570">
        <v>569</v>
      </c>
      <c r="B570" t="s">
        <v>96</v>
      </c>
      <c r="C570" t="s">
        <v>96</v>
      </c>
      <c r="D570" t="s">
        <v>97</v>
      </c>
      <c r="F570" s="1">
        <v>42748</v>
      </c>
      <c r="G570" s="2">
        <v>92</v>
      </c>
      <c r="H570" s="2"/>
      <c r="I570" s="2">
        <v>0.79</v>
      </c>
      <c r="J570" s="2">
        <v>22</v>
      </c>
      <c r="K570" s="2">
        <v>-30</v>
      </c>
      <c r="L570" s="2">
        <v>821.1</v>
      </c>
      <c r="M570" s="2">
        <v>821.1</v>
      </c>
      <c r="N570" s="2">
        <f ca="1">INDEX(INDIRECT(_xlfn.CONCAT("weather.tbl[",N$1,"]")),MATCH(vp.tbl[[#This Row],[SDate]],weather.tbl[Date],0))</f>
        <v>-23.633333333333336</v>
      </c>
      <c r="O570" s="2">
        <f ca="1">INDEX(INDIRECT(_xlfn.CONCAT("weather.tbl[",O$1,"]")),MATCH(vp.tbl[[#This Row],[SDate]],weather.tbl[Date],0))</f>
        <v>-22.773809523809522</v>
      </c>
      <c r="P570" s="2">
        <f ca="1">INDEX(INDIRECT(_xlfn.CONCAT("weather.tbl[",P$1,"]")),MATCH(vp.tbl[[#This Row],[SDate]],weather.tbl[Date],0))</f>
        <v>-24</v>
      </c>
      <c r="Q570" s="2">
        <f ca="1">INDEX(INDIRECT(_xlfn.CONCAT("weather.tbl[",Q$1,"]")),MATCH(vp.tbl[[#This Row],[SDate]],weather.tbl[Date],0))</f>
        <v>-21.3</v>
      </c>
      <c r="R570" s="2">
        <f ca="1">INDEX(INDIRECT(_xlfn.CONCAT("weather.tbl[",R$1,"]")),MATCH(vp.tbl[[#This Row],[SDate]],weather.tbl[Date],0))</f>
        <v>-26.5</v>
      </c>
      <c r="S570" s="2">
        <f ca="1">INDEX(INDIRECT(_xlfn.CONCAT("weather.tbl[",S$1,"]")),MATCH(vp.tbl[[#This Row],[SDate]],weather.tbl[Date],0))</f>
        <v>-20.6</v>
      </c>
      <c r="T570" s="2">
        <f ca="1">INDEX(INDIRECT(_xlfn.CONCAT("weather.tbl[",T$1,"]")),MATCH(vp.tbl[[#This Row],[SDate]],weather.tbl[Date],0))</f>
        <v>-25.6</v>
      </c>
      <c r="U570" s="2">
        <f ca="1">INDEX(INDIRECT(_xlfn.CONCAT("weather.tbl[",U$1,"]")),MATCH(vp.tbl[[#This Row],[SDate]],weather.tbl[Date],0))</f>
        <v>-23.8</v>
      </c>
      <c r="V570" s="2">
        <v>8927.0429999999997</v>
      </c>
      <c r="W570" t="s">
        <v>48</v>
      </c>
      <c r="X570">
        <f>IF(OR(vp.tbl[[#This Row],[Sulf]]="",vp.tbl[[#This Row],[Dens]]=""),1,0)</f>
        <v>0</v>
      </c>
      <c r="Y570">
        <f>IF(vp.tbl[[#This Row],[CrudeType]]="C5+",1,0)</f>
        <v>0</v>
      </c>
      <c r="Z570">
        <f>IF(AND(vp.tbl[[#This Row],[CrudeType]]="Crude",vp.tbl[[#This Row],[Dens]]&lt;=825,vp.tbl[[#This Row],[Sulf]]&gt;0.5,vp.tbl[[#This Row],[Unknown]]=0),1,0)</f>
        <v>1</v>
      </c>
      <c r="AA570">
        <f>IF(AND(vp.tbl[[#This Row],[CrudeType]]="Crude",vp.tbl[[#This Row],[Dens]]&lt;=825,vp.tbl[[#This Row],[Sulf]]&lt;=0.5,vp.tbl[[#This Row],[Unknown]]=0),1,0)</f>
        <v>0</v>
      </c>
      <c r="AB570">
        <f>IF(AND(vp.tbl[[#This Row],[CrudeType]]="Crude",vp.tbl[[#This Row],[Dens]]&gt;825,vp.tbl[[#This Row],[Dens]]&lt;=870,vp.tbl[[#This Row],[Sulf]]&gt;0.5,vp.tbl[[#This Row],[Unknown]]=0),1,0)</f>
        <v>0</v>
      </c>
      <c r="AC570">
        <f>IF(AND(vp.tbl[[#This Row],[CrudeType]]="Crude",vp.tbl[[#This Row],[Dens]]&gt;825,vp.tbl[[#This Row],[Dens]]&lt;=900,vp.tbl[[#This Row],[Sulf]]&lt;=0.5,vp.tbl[[#This Row],[Unknown]]=0),1,0)</f>
        <v>0</v>
      </c>
      <c r="AD570">
        <f>IF(AND(vp.tbl[[#This Row],[CrudeType]]="Crude",vp.tbl[[#This Row],[Dens]]&gt;870,vp.tbl[[#This Row],[Dens]]&lt;=900,vp.tbl[[#This Row],[Sulf]]&gt;0.5,vp.tbl[[#This Row],[Unknown]]=0),1,0)</f>
        <v>0</v>
      </c>
      <c r="AE570">
        <f>IF(AND(vp.tbl[[#This Row],[CrudeType]]="Crude",vp.tbl[[#This Row],[Dens]]&gt;900,vp.tbl[[#This Row],[Sulf]]&lt;=0.5,vp.tbl[[#This Row],[Unknown]]=0),1,0)</f>
        <v>0</v>
      </c>
      <c r="AF570">
        <f>IF(AND(vp.tbl[[#This Row],[CrudeType]]="Crude",vp.tbl[[#This Row],[Dens]]&gt;900,vp.tbl[[#This Row],[Sulf]]&lt;=0.5,vp.tbl[[#This Row],[Unknown]]=0),1,0)</f>
        <v>0</v>
      </c>
      <c r="AG570" t="str">
        <f>INDEX(vp.tbl[[#Headers],[Unknown]:[Heavy_SW]],MATCH(1,vp.tbl[[#This Row],[Unknown]:[Heavy_SW]],0))</f>
        <v>Light_LSB</v>
      </c>
      <c r="AH570" t="e">
        <f>INDEX([1]!crudeBD.lkup[Number],MATCH(vp.tbl[[#This Row],[Crude_Breakdown]],[1]!crudeBD.lkup[Crude Breakdown],0))</f>
        <v>#REF!</v>
      </c>
      <c r="AI570">
        <f>MONTH(vp.tbl[[#This Row],[SDate]])</f>
        <v>1</v>
      </c>
      <c r="AJ570" s="5">
        <f>IFERROR(vp.tbl[[#This Row],[Sulf]]*vp.tbl[[#This Row],[Net Dens]],"")</f>
        <v>5790696.0557669997</v>
      </c>
      <c r="AK570" s="5">
        <f>IFERROR(vp.tbl[[#This Row],[Dens]]*vp.tbl[[#This Row],[VolumeM3]],"")</f>
        <v>7329995.0072999997</v>
      </c>
      <c r="AL570" s="5">
        <f>IFERROR(vp.tbl[[#This Row],[VP]]*vp.tbl[[#This Row],[VolumeM3]],"")</f>
        <v>821287.95600000001</v>
      </c>
      <c r="AM570" s="4">
        <f>IFERROR((vp.tbl[[#This Row],[VP]]-INDEX(crudeBD.lkup.complete[Mean_VP],MATCH(vp.tbl[[#This Row],[Crude_Breakdown]],crudeBD.lkup.complete[Crude Breakdown],0)))^2,"")</f>
        <v>0.20594753958972625</v>
      </c>
      <c r="AN570" s="4">
        <f>IFERROR((vp.tbl[[#This Row],[Dens]]-INDEX(crudeBD.lkup.complete[Mean_Dens],MATCH(vp.tbl[[#This Row],[Crude_Breakdown]],crudeBD.lkup.complete[Crude Breakdown],0)))^2,"")</f>
        <v>6.6730784756928632</v>
      </c>
      <c r="AO570" s="4">
        <f>IFERROR((vp.tbl[[#This Row],[Sulf]]-INDEX(crudeBD.lkup.complete[Mean_Sulf],MATCH(vp.tbl[[#This Row],[Crude_Breakdown]],crudeBD.lkup.complete[Crude Breakdown],0)))^2,"")</f>
        <v>1.768133162163996E-2</v>
      </c>
      <c r="AP570">
        <f>IF(AND(vp.tbl[[#This Row],[SDate]]&gt;=DATE(YEAR(vp.tbl[[#This Row],[SDate]]),5,1),vp.tbl[[#This Row],[SDate]]&lt;=DATE(YEAR(vp.tbl[[#This Row],[SDate]]),9,15)),1,0)</f>
        <v>0</v>
      </c>
      <c r="AQ570" s="15">
        <f>IF(vp.tbl[[#This Row],[SDate]]&lt;DATE(2016,12,1),0,1)</f>
        <v>1</v>
      </c>
    </row>
    <row r="571" spans="1:43" x14ac:dyDescent="0.25">
      <c r="A571">
        <v>570</v>
      </c>
      <c r="B571" t="s">
        <v>51</v>
      </c>
      <c r="C571" t="s">
        <v>51</v>
      </c>
      <c r="D571" t="s">
        <v>66</v>
      </c>
      <c r="F571" s="1">
        <v>42748</v>
      </c>
      <c r="G571" s="2">
        <v>93.6</v>
      </c>
      <c r="H571" s="2"/>
      <c r="I571" s="2">
        <v>1.62</v>
      </c>
      <c r="J571" s="2">
        <v>-14</v>
      </c>
      <c r="K571" s="2">
        <v>-30</v>
      </c>
      <c r="L571" s="2">
        <v>827.1</v>
      </c>
      <c r="M571" s="2">
        <v>827.1</v>
      </c>
      <c r="N571" s="2">
        <f ca="1">INDEX(INDIRECT(_xlfn.CONCAT("weather.tbl[",N$1,"]")),MATCH(vp.tbl[[#This Row],[SDate]],weather.tbl[Date],0))</f>
        <v>-23.633333333333336</v>
      </c>
      <c r="O571" s="2">
        <f ca="1">INDEX(INDIRECT(_xlfn.CONCAT("weather.tbl[",O$1,"]")),MATCH(vp.tbl[[#This Row],[SDate]],weather.tbl[Date],0))</f>
        <v>-22.773809523809522</v>
      </c>
      <c r="P571" s="2">
        <f ca="1">INDEX(INDIRECT(_xlfn.CONCAT("weather.tbl[",P$1,"]")),MATCH(vp.tbl[[#This Row],[SDate]],weather.tbl[Date],0))</f>
        <v>-24</v>
      </c>
      <c r="Q571" s="2">
        <f ca="1">INDEX(INDIRECT(_xlfn.CONCAT("weather.tbl[",Q$1,"]")),MATCH(vp.tbl[[#This Row],[SDate]],weather.tbl[Date],0))</f>
        <v>-21.3</v>
      </c>
      <c r="R571" s="2">
        <f ca="1">INDEX(INDIRECT(_xlfn.CONCAT("weather.tbl[",R$1,"]")),MATCH(vp.tbl[[#This Row],[SDate]],weather.tbl[Date],0))</f>
        <v>-26.5</v>
      </c>
      <c r="S571" s="2">
        <f ca="1">INDEX(INDIRECT(_xlfn.CONCAT("weather.tbl[",S$1,"]")),MATCH(vp.tbl[[#This Row],[SDate]],weather.tbl[Date],0))</f>
        <v>-20.6</v>
      </c>
      <c r="T571" s="2">
        <f ca="1">INDEX(INDIRECT(_xlfn.CONCAT("weather.tbl[",T$1,"]")),MATCH(vp.tbl[[#This Row],[SDate]],weather.tbl[Date],0))</f>
        <v>-25.6</v>
      </c>
      <c r="U571" s="2">
        <f ca="1">INDEX(INDIRECT(_xlfn.CONCAT("weather.tbl[",U$1,"]")),MATCH(vp.tbl[[#This Row],[SDate]],weather.tbl[Date],0))</f>
        <v>-23.8</v>
      </c>
      <c r="V571" s="2">
        <v>3297.86</v>
      </c>
      <c r="W571" t="s">
        <v>48</v>
      </c>
      <c r="X571">
        <f>IF(OR(vp.tbl[[#This Row],[Sulf]]="",vp.tbl[[#This Row],[Dens]]=""),1,0)</f>
        <v>0</v>
      </c>
      <c r="Y571">
        <f>IF(vp.tbl[[#This Row],[CrudeType]]="C5+",1,0)</f>
        <v>0</v>
      </c>
      <c r="Z571">
        <f>IF(AND(vp.tbl[[#This Row],[CrudeType]]="Crude",vp.tbl[[#This Row],[Dens]]&lt;=825,vp.tbl[[#This Row],[Sulf]]&gt;0.5,vp.tbl[[#This Row],[Unknown]]=0),1,0)</f>
        <v>0</v>
      </c>
      <c r="AA571">
        <f>IF(AND(vp.tbl[[#This Row],[CrudeType]]="Crude",vp.tbl[[#This Row],[Dens]]&lt;=825,vp.tbl[[#This Row],[Sulf]]&lt;=0.5,vp.tbl[[#This Row],[Unknown]]=0),1,0)</f>
        <v>0</v>
      </c>
      <c r="AB571">
        <f>IF(AND(vp.tbl[[#This Row],[CrudeType]]="Crude",vp.tbl[[#This Row],[Dens]]&gt;825,vp.tbl[[#This Row],[Dens]]&lt;=870,vp.tbl[[#This Row],[Sulf]]&gt;0.5,vp.tbl[[#This Row],[Unknown]]=0),1,0)</f>
        <v>1</v>
      </c>
      <c r="AC571">
        <f>IF(AND(vp.tbl[[#This Row],[CrudeType]]="Crude",vp.tbl[[#This Row],[Dens]]&gt;825,vp.tbl[[#This Row],[Dens]]&lt;=900,vp.tbl[[#This Row],[Sulf]]&lt;=0.5,vp.tbl[[#This Row],[Unknown]]=0),1,0)</f>
        <v>0</v>
      </c>
      <c r="AD571">
        <f>IF(AND(vp.tbl[[#This Row],[CrudeType]]="Crude",vp.tbl[[#This Row],[Dens]]&gt;870,vp.tbl[[#This Row],[Dens]]&lt;=900,vp.tbl[[#This Row],[Sulf]]&gt;0.5,vp.tbl[[#This Row],[Unknown]]=0),1,0)</f>
        <v>0</v>
      </c>
      <c r="AE571">
        <f>IF(AND(vp.tbl[[#This Row],[CrudeType]]="Crude",vp.tbl[[#This Row],[Dens]]&gt;900,vp.tbl[[#This Row],[Sulf]]&lt;=0.5,vp.tbl[[#This Row],[Unknown]]=0),1,0)</f>
        <v>0</v>
      </c>
      <c r="AF571">
        <f>IF(AND(vp.tbl[[#This Row],[CrudeType]]="Crude",vp.tbl[[#This Row],[Dens]]&gt;900,vp.tbl[[#This Row],[Sulf]]&lt;=0.5,vp.tbl[[#This Row],[Unknown]]=0),1,0)</f>
        <v>0</v>
      </c>
      <c r="AG571" t="str">
        <f>INDEX(vp.tbl[[#Headers],[Unknown]:[Heavy_SW]],MATCH(1,vp.tbl[[#This Row],[Unknown]:[Heavy_SW]],0))</f>
        <v>Medium_LSB</v>
      </c>
      <c r="AH571" t="e">
        <f>INDEX([1]!crudeBD.lkup[Number],MATCH(vp.tbl[[#This Row],[Crude_Breakdown]],[1]!crudeBD.lkup[Crude Breakdown],0))</f>
        <v>#REF!</v>
      </c>
      <c r="AI571">
        <f>MONTH(vp.tbl[[#This Row],[SDate]])</f>
        <v>1</v>
      </c>
      <c r="AJ571" s="5">
        <f>IFERROR(vp.tbl[[#This Row],[Sulf]]*vp.tbl[[#This Row],[Net Dens]],"")</f>
        <v>4418809.2097200006</v>
      </c>
      <c r="AK571" s="5">
        <f>IFERROR(vp.tbl[[#This Row],[Dens]]*vp.tbl[[#This Row],[VolumeM3]],"")</f>
        <v>2727660.0060000001</v>
      </c>
      <c r="AL571" s="5">
        <f>IFERROR(vp.tbl[[#This Row],[VP]]*vp.tbl[[#This Row],[VolumeM3]],"")</f>
        <v>308679.696</v>
      </c>
      <c r="AM571" s="4">
        <f>IFERROR((vp.tbl[[#This Row],[VP]]-INDEX(crudeBD.lkup.complete[Mean_VP],MATCH(vp.tbl[[#This Row],[Crude_Breakdown]],crudeBD.lkup.complete[Crude Breakdown],0)))^2,"")</f>
        <v>180.26835292357077</v>
      </c>
      <c r="AN571" s="4">
        <f>IFERROR((vp.tbl[[#This Row],[Dens]]-INDEX(crudeBD.lkup.complete[Mean_Dens],MATCH(vp.tbl[[#This Row],[Crude_Breakdown]],crudeBD.lkup.complete[Crude Breakdown],0)))^2,"")</f>
        <v>330.94241623390019</v>
      </c>
      <c r="AO571" s="4">
        <f>IFERROR((vp.tbl[[#This Row],[Sulf]]-INDEX(crudeBD.lkup.complete[Mean_Sulf],MATCH(vp.tbl[[#This Row],[Crude_Breakdown]],crudeBD.lkup.complete[Crude Breakdown],0)))^2,"")</f>
        <v>2.7248150868879693E-2</v>
      </c>
      <c r="AP571">
        <f>IF(AND(vp.tbl[[#This Row],[SDate]]&gt;=DATE(YEAR(vp.tbl[[#This Row],[SDate]]),5,1),vp.tbl[[#This Row],[SDate]]&lt;=DATE(YEAR(vp.tbl[[#This Row],[SDate]]),9,15)),1,0)</f>
        <v>0</v>
      </c>
      <c r="AQ571" s="15">
        <f>IF(vp.tbl[[#This Row],[SDate]]&lt;DATE(2016,12,1),0,1)</f>
        <v>1</v>
      </c>
    </row>
    <row r="572" spans="1:43" x14ac:dyDescent="0.25">
      <c r="A572">
        <v>571</v>
      </c>
      <c r="B572" t="s">
        <v>49</v>
      </c>
      <c r="C572" t="s">
        <v>49</v>
      </c>
      <c r="D572" t="s">
        <v>70</v>
      </c>
      <c r="F572" s="1">
        <v>42748</v>
      </c>
      <c r="G572" s="2">
        <v>72.599999999999994</v>
      </c>
      <c r="H572" s="2"/>
      <c r="I572" s="2">
        <v>1.01</v>
      </c>
      <c r="J572" s="2">
        <v>9</v>
      </c>
      <c r="K572" s="2">
        <v>-30</v>
      </c>
      <c r="L572" s="2">
        <v>828.3</v>
      </c>
      <c r="M572" s="2">
        <v>828.3</v>
      </c>
      <c r="N572" s="2">
        <f ca="1">INDEX(INDIRECT(_xlfn.CONCAT("weather.tbl[",N$1,"]")),MATCH(vp.tbl[[#This Row],[SDate]],weather.tbl[Date],0))</f>
        <v>-23.633333333333336</v>
      </c>
      <c r="O572" s="2">
        <f ca="1">INDEX(INDIRECT(_xlfn.CONCAT("weather.tbl[",O$1,"]")),MATCH(vp.tbl[[#This Row],[SDate]],weather.tbl[Date],0))</f>
        <v>-22.773809523809522</v>
      </c>
      <c r="P572" s="2">
        <f ca="1">INDEX(INDIRECT(_xlfn.CONCAT("weather.tbl[",P$1,"]")),MATCH(vp.tbl[[#This Row],[SDate]],weather.tbl[Date],0))</f>
        <v>-24</v>
      </c>
      <c r="Q572" s="2">
        <f ca="1">INDEX(INDIRECT(_xlfn.CONCAT("weather.tbl[",Q$1,"]")),MATCH(vp.tbl[[#This Row],[SDate]],weather.tbl[Date],0))</f>
        <v>-21.3</v>
      </c>
      <c r="R572" s="2">
        <f ca="1">INDEX(INDIRECT(_xlfn.CONCAT("weather.tbl[",R$1,"]")),MATCH(vp.tbl[[#This Row],[SDate]],weather.tbl[Date],0))</f>
        <v>-26.5</v>
      </c>
      <c r="S572" s="2">
        <f ca="1">INDEX(INDIRECT(_xlfn.CONCAT("weather.tbl[",S$1,"]")),MATCH(vp.tbl[[#This Row],[SDate]],weather.tbl[Date],0))</f>
        <v>-20.6</v>
      </c>
      <c r="T572" s="2">
        <f ca="1">INDEX(INDIRECT(_xlfn.CONCAT("weather.tbl[",T$1,"]")),MATCH(vp.tbl[[#This Row],[SDate]],weather.tbl[Date],0))</f>
        <v>-25.6</v>
      </c>
      <c r="U572" s="2">
        <f ca="1">INDEX(INDIRECT(_xlfn.CONCAT("weather.tbl[",U$1,"]")),MATCH(vp.tbl[[#This Row],[SDate]],weather.tbl[Date],0))</f>
        <v>-23.8</v>
      </c>
      <c r="V572" s="2">
        <v>3332.451</v>
      </c>
      <c r="W572" t="s">
        <v>48</v>
      </c>
      <c r="X572">
        <f>IF(OR(vp.tbl[[#This Row],[Sulf]]="",vp.tbl[[#This Row],[Dens]]=""),1,0)</f>
        <v>0</v>
      </c>
      <c r="Y572">
        <f>IF(vp.tbl[[#This Row],[CrudeType]]="C5+",1,0)</f>
        <v>0</v>
      </c>
      <c r="Z572">
        <f>IF(AND(vp.tbl[[#This Row],[CrudeType]]="Crude",vp.tbl[[#This Row],[Dens]]&lt;=825,vp.tbl[[#This Row],[Sulf]]&gt;0.5,vp.tbl[[#This Row],[Unknown]]=0),1,0)</f>
        <v>0</v>
      </c>
      <c r="AA572">
        <f>IF(AND(vp.tbl[[#This Row],[CrudeType]]="Crude",vp.tbl[[#This Row],[Dens]]&lt;=825,vp.tbl[[#This Row],[Sulf]]&lt;=0.5,vp.tbl[[#This Row],[Unknown]]=0),1,0)</f>
        <v>0</v>
      </c>
      <c r="AB572">
        <f>IF(AND(vp.tbl[[#This Row],[CrudeType]]="Crude",vp.tbl[[#This Row],[Dens]]&gt;825,vp.tbl[[#This Row],[Dens]]&lt;=870,vp.tbl[[#This Row],[Sulf]]&gt;0.5,vp.tbl[[#This Row],[Unknown]]=0),1,0)</f>
        <v>1</v>
      </c>
      <c r="AC572">
        <f>IF(AND(vp.tbl[[#This Row],[CrudeType]]="Crude",vp.tbl[[#This Row],[Dens]]&gt;825,vp.tbl[[#This Row],[Dens]]&lt;=900,vp.tbl[[#This Row],[Sulf]]&lt;=0.5,vp.tbl[[#This Row],[Unknown]]=0),1,0)</f>
        <v>0</v>
      </c>
      <c r="AD572">
        <f>IF(AND(vp.tbl[[#This Row],[CrudeType]]="Crude",vp.tbl[[#This Row],[Dens]]&gt;870,vp.tbl[[#This Row],[Dens]]&lt;=900,vp.tbl[[#This Row],[Sulf]]&gt;0.5,vp.tbl[[#This Row],[Unknown]]=0),1,0)</f>
        <v>0</v>
      </c>
      <c r="AE572">
        <f>IF(AND(vp.tbl[[#This Row],[CrudeType]]="Crude",vp.tbl[[#This Row],[Dens]]&gt;900,vp.tbl[[#This Row],[Sulf]]&lt;=0.5,vp.tbl[[#This Row],[Unknown]]=0),1,0)</f>
        <v>0</v>
      </c>
      <c r="AF572">
        <f>IF(AND(vp.tbl[[#This Row],[CrudeType]]="Crude",vp.tbl[[#This Row],[Dens]]&gt;900,vp.tbl[[#This Row],[Sulf]]&lt;=0.5,vp.tbl[[#This Row],[Unknown]]=0),1,0)</f>
        <v>0</v>
      </c>
      <c r="AG572" t="str">
        <f>INDEX(vp.tbl[[#Headers],[Unknown]:[Heavy_SW]],MATCH(1,vp.tbl[[#This Row],[Unknown]:[Heavy_SW]],0))</f>
        <v>Medium_LSB</v>
      </c>
      <c r="AH572" t="e">
        <f>INDEX([1]!crudeBD.lkup[Number],MATCH(vp.tbl[[#This Row],[Crude_Breakdown]],[1]!crudeBD.lkup[Crude Breakdown],0))</f>
        <v>#REF!</v>
      </c>
      <c r="AI572">
        <f>MONTH(vp.tbl[[#This Row],[SDate]])</f>
        <v>1</v>
      </c>
      <c r="AJ572" s="5">
        <f>IFERROR(vp.tbl[[#This Row],[Sulf]]*vp.tbl[[#This Row],[Net Dens]],"")</f>
        <v>2787871.8549329997</v>
      </c>
      <c r="AK572" s="5">
        <f>IFERROR(vp.tbl[[#This Row],[Dens]]*vp.tbl[[#This Row],[VolumeM3]],"")</f>
        <v>2760269.1632999997</v>
      </c>
      <c r="AL572" s="5">
        <f>IFERROR(vp.tbl[[#This Row],[VP]]*vp.tbl[[#This Row],[VolumeM3]],"")</f>
        <v>241935.94259999998</v>
      </c>
      <c r="AM572" s="4">
        <f>IFERROR((vp.tbl[[#This Row],[VP]]-INDEX(crudeBD.lkup.complete[Mean_VP],MATCH(vp.tbl[[#This Row],[Crude_Breakdown]],crudeBD.lkup.complete[Crude Breakdown],0)))^2,"")</f>
        <v>57.359340265341622</v>
      </c>
      <c r="AN572" s="4">
        <f>IFERROR((vp.tbl[[#This Row],[Dens]]-INDEX(crudeBD.lkup.complete[Mean_Dens],MATCH(vp.tbl[[#This Row],[Crude_Breakdown]],crudeBD.lkup.complete[Crude Breakdown],0)))^2,"")</f>
        <v>288.72204155036064</v>
      </c>
      <c r="AO572" s="4">
        <f>IFERROR((vp.tbl[[#This Row],[Sulf]]-INDEX(crudeBD.lkup.complete[Mean_Sulf],MATCH(vp.tbl[[#This Row],[Crude_Breakdown]],crudeBD.lkup.complete[Crude Breakdown],0)))^2,"")</f>
        <v>0.19796258099546374</v>
      </c>
      <c r="AP572">
        <f>IF(AND(vp.tbl[[#This Row],[SDate]]&gt;=DATE(YEAR(vp.tbl[[#This Row],[SDate]]),5,1),vp.tbl[[#This Row],[SDate]]&lt;=DATE(YEAR(vp.tbl[[#This Row],[SDate]]),9,15)),1,0)</f>
        <v>0</v>
      </c>
      <c r="AQ572" s="15">
        <f>IF(vp.tbl[[#This Row],[SDate]]&lt;DATE(2016,12,1),0,1)</f>
        <v>1</v>
      </c>
    </row>
    <row r="573" spans="1:43" x14ac:dyDescent="0.25">
      <c r="A573">
        <v>572</v>
      </c>
      <c r="B573" t="s">
        <v>51</v>
      </c>
      <c r="C573" t="s">
        <v>51</v>
      </c>
      <c r="D573" t="s">
        <v>95</v>
      </c>
      <c r="F573" s="1">
        <v>42748</v>
      </c>
      <c r="G573" s="2">
        <v>64.8</v>
      </c>
      <c r="H573" s="2"/>
      <c r="I573" s="2">
        <v>1.22</v>
      </c>
      <c r="J573" s="2">
        <v>32</v>
      </c>
      <c r="K573" s="2">
        <v>-30</v>
      </c>
      <c r="L573" s="2">
        <v>841.1</v>
      </c>
      <c r="M573" s="2">
        <v>841.1</v>
      </c>
      <c r="N573" s="2">
        <f ca="1">INDEX(INDIRECT(_xlfn.CONCAT("weather.tbl[",N$1,"]")),MATCH(vp.tbl[[#This Row],[SDate]],weather.tbl[Date],0))</f>
        <v>-23.633333333333336</v>
      </c>
      <c r="O573" s="2">
        <f ca="1">INDEX(INDIRECT(_xlfn.CONCAT("weather.tbl[",O$1,"]")),MATCH(vp.tbl[[#This Row],[SDate]],weather.tbl[Date],0))</f>
        <v>-22.773809523809522</v>
      </c>
      <c r="P573" s="2">
        <f ca="1">INDEX(INDIRECT(_xlfn.CONCAT("weather.tbl[",P$1,"]")),MATCH(vp.tbl[[#This Row],[SDate]],weather.tbl[Date],0))</f>
        <v>-24</v>
      </c>
      <c r="Q573" s="2">
        <f ca="1">INDEX(INDIRECT(_xlfn.CONCAT("weather.tbl[",Q$1,"]")),MATCH(vp.tbl[[#This Row],[SDate]],weather.tbl[Date],0))</f>
        <v>-21.3</v>
      </c>
      <c r="R573" s="2">
        <f ca="1">INDEX(INDIRECT(_xlfn.CONCAT("weather.tbl[",R$1,"]")),MATCH(vp.tbl[[#This Row],[SDate]],weather.tbl[Date],0))</f>
        <v>-26.5</v>
      </c>
      <c r="S573" s="2">
        <f ca="1">INDEX(INDIRECT(_xlfn.CONCAT("weather.tbl[",S$1,"]")),MATCH(vp.tbl[[#This Row],[SDate]],weather.tbl[Date],0))</f>
        <v>-20.6</v>
      </c>
      <c r="T573" s="2">
        <f ca="1">INDEX(INDIRECT(_xlfn.CONCAT("weather.tbl[",T$1,"]")),MATCH(vp.tbl[[#This Row],[SDate]],weather.tbl[Date],0))</f>
        <v>-25.6</v>
      </c>
      <c r="U573" s="2">
        <f ca="1">INDEX(INDIRECT(_xlfn.CONCAT("weather.tbl[",U$1,"]")),MATCH(vp.tbl[[#This Row],[SDate]],weather.tbl[Date],0))</f>
        <v>-23.8</v>
      </c>
      <c r="V573" s="2">
        <v>6182.9449999999997</v>
      </c>
      <c r="W573" t="s">
        <v>48</v>
      </c>
      <c r="X573">
        <f>IF(OR(vp.tbl[[#This Row],[Sulf]]="",vp.tbl[[#This Row],[Dens]]=""),1,0)</f>
        <v>0</v>
      </c>
      <c r="Y573">
        <f>IF(vp.tbl[[#This Row],[CrudeType]]="C5+",1,0)</f>
        <v>0</v>
      </c>
      <c r="Z573">
        <f>IF(AND(vp.tbl[[#This Row],[CrudeType]]="Crude",vp.tbl[[#This Row],[Dens]]&lt;=825,vp.tbl[[#This Row],[Sulf]]&gt;0.5,vp.tbl[[#This Row],[Unknown]]=0),1,0)</f>
        <v>0</v>
      </c>
      <c r="AA573">
        <f>IF(AND(vp.tbl[[#This Row],[CrudeType]]="Crude",vp.tbl[[#This Row],[Dens]]&lt;=825,vp.tbl[[#This Row],[Sulf]]&lt;=0.5,vp.tbl[[#This Row],[Unknown]]=0),1,0)</f>
        <v>0</v>
      </c>
      <c r="AB573">
        <f>IF(AND(vp.tbl[[#This Row],[CrudeType]]="Crude",vp.tbl[[#This Row],[Dens]]&gt;825,vp.tbl[[#This Row],[Dens]]&lt;=870,vp.tbl[[#This Row],[Sulf]]&gt;0.5,vp.tbl[[#This Row],[Unknown]]=0),1,0)</f>
        <v>1</v>
      </c>
      <c r="AC573">
        <f>IF(AND(vp.tbl[[#This Row],[CrudeType]]="Crude",vp.tbl[[#This Row],[Dens]]&gt;825,vp.tbl[[#This Row],[Dens]]&lt;=900,vp.tbl[[#This Row],[Sulf]]&lt;=0.5,vp.tbl[[#This Row],[Unknown]]=0),1,0)</f>
        <v>0</v>
      </c>
      <c r="AD573">
        <f>IF(AND(vp.tbl[[#This Row],[CrudeType]]="Crude",vp.tbl[[#This Row],[Dens]]&gt;870,vp.tbl[[#This Row],[Dens]]&lt;=900,vp.tbl[[#This Row],[Sulf]]&gt;0.5,vp.tbl[[#This Row],[Unknown]]=0),1,0)</f>
        <v>0</v>
      </c>
      <c r="AE573">
        <f>IF(AND(vp.tbl[[#This Row],[CrudeType]]="Crude",vp.tbl[[#This Row],[Dens]]&gt;900,vp.tbl[[#This Row],[Sulf]]&lt;=0.5,vp.tbl[[#This Row],[Unknown]]=0),1,0)</f>
        <v>0</v>
      </c>
      <c r="AF573">
        <f>IF(AND(vp.tbl[[#This Row],[CrudeType]]="Crude",vp.tbl[[#This Row],[Dens]]&gt;900,vp.tbl[[#This Row],[Sulf]]&lt;=0.5,vp.tbl[[#This Row],[Unknown]]=0),1,0)</f>
        <v>0</v>
      </c>
      <c r="AG573" t="str">
        <f>INDEX(vp.tbl[[#Headers],[Unknown]:[Heavy_SW]],MATCH(1,vp.tbl[[#This Row],[Unknown]:[Heavy_SW]],0))</f>
        <v>Medium_LSB</v>
      </c>
      <c r="AH573" t="e">
        <f>INDEX([1]!crudeBD.lkup[Number],MATCH(vp.tbl[[#This Row],[Crude_Breakdown]],[1]!crudeBD.lkup[Crude Breakdown],0))</f>
        <v>#REF!</v>
      </c>
      <c r="AI573">
        <f>MONTH(vp.tbl[[#This Row],[SDate]])</f>
        <v>1</v>
      </c>
      <c r="AJ573" s="5">
        <f>IFERROR(vp.tbl[[#This Row],[Sulf]]*vp.tbl[[#This Row],[Net Dens]],"")</f>
        <v>6344579.5481899995</v>
      </c>
      <c r="AK573" s="5">
        <f>IFERROR(vp.tbl[[#This Row],[Dens]]*vp.tbl[[#This Row],[VolumeM3]],"")</f>
        <v>5200475.0395</v>
      </c>
      <c r="AL573" s="5">
        <f>IFERROR(vp.tbl[[#This Row],[VP]]*vp.tbl[[#This Row],[VolumeM3]],"")</f>
        <v>400654.83599999995</v>
      </c>
      <c r="AM573" s="4">
        <f>IFERROR((vp.tbl[[#This Row],[VP]]-INDEX(crudeBD.lkup.complete[Mean_VP],MATCH(vp.tbl[[#This Row],[Crude_Breakdown]],crudeBD.lkup.complete[Crude Breakdown],0)))^2,"")</f>
        <v>236.34742127799927</v>
      </c>
      <c r="AN573" s="4">
        <f>IFERROR((vp.tbl[[#This Row],[Dens]]-INDEX(crudeBD.lkup.complete[Mean_Dens],MATCH(vp.tbl[[#This Row],[Crude_Breakdown]],crudeBD.lkup.complete[Crude Breakdown],0)))^2,"")</f>
        <v>17.571378259244881</v>
      </c>
      <c r="AO573" s="4">
        <f>IFERROR((vp.tbl[[#This Row],[Sulf]]-INDEX(crudeBD.lkup.complete[Mean_Sulf],MATCH(vp.tbl[[#This Row],[Crude_Breakdown]],crudeBD.lkup.complete[Crude Breakdown],0)))^2,"")</f>
        <v>5.5192039476475795E-2</v>
      </c>
      <c r="AP573">
        <f>IF(AND(vp.tbl[[#This Row],[SDate]]&gt;=DATE(YEAR(vp.tbl[[#This Row],[SDate]]),5,1),vp.tbl[[#This Row],[SDate]]&lt;=DATE(YEAR(vp.tbl[[#This Row],[SDate]]),9,15)),1,0)</f>
        <v>0</v>
      </c>
      <c r="AQ573" s="15">
        <f>IF(vp.tbl[[#This Row],[SDate]]&lt;DATE(2016,12,1),0,1)</f>
        <v>1</v>
      </c>
    </row>
    <row r="574" spans="1:43" x14ac:dyDescent="0.25">
      <c r="A574">
        <v>573</v>
      </c>
      <c r="B574" t="s">
        <v>68</v>
      </c>
      <c r="C574" t="s">
        <v>68</v>
      </c>
      <c r="D574" t="s">
        <v>123</v>
      </c>
      <c r="F574" s="1">
        <v>42748</v>
      </c>
      <c r="G574" s="2">
        <v>95.6</v>
      </c>
      <c r="H574" s="2"/>
      <c r="I574" s="2">
        <v>1.43</v>
      </c>
      <c r="J574" s="2">
        <v>4</v>
      </c>
      <c r="K574" s="2">
        <v>-30</v>
      </c>
      <c r="L574" s="2"/>
      <c r="M574" s="2">
        <v>860.1</v>
      </c>
      <c r="N574" s="2">
        <f ca="1">INDEX(INDIRECT(_xlfn.CONCAT("weather.tbl[",N$1,"]")),MATCH(vp.tbl[[#This Row],[SDate]],weather.tbl[Date],0))</f>
        <v>-23.633333333333336</v>
      </c>
      <c r="O574" s="2">
        <f ca="1">INDEX(INDIRECT(_xlfn.CONCAT("weather.tbl[",O$1,"]")),MATCH(vp.tbl[[#This Row],[SDate]],weather.tbl[Date],0))</f>
        <v>-22.773809523809522</v>
      </c>
      <c r="P574" s="2">
        <f ca="1">INDEX(INDIRECT(_xlfn.CONCAT("weather.tbl[",P$1,"]")),MATCH(vp.tbl[[#This Row],[SDate]],weather.tbl[Date],0))</f>
        <v>-24</v>
      </c>
      <c r="Q574" s="2">
        <f ca="1">INDEX(INDIRECT(_xlfn.CONCAT("weather.tbl[",Q$1,"]")),MATCH(vp.tbl[[#This Row],[SDate]],weather.tbl[Date],0))</f>
        <v>-21.3</v>
      </c>
      <c r="R574" s="2">
        <f ca="1">INDEX(INDIRECT(_xlfn.CONCAT("weather.tbl[",R$1,"]")),MATCH(vp.tbl[[#This Row],[SDate]],weather.tbl[Date],0))</f>
        <v>-26.5</v>
      </c>
      <c r="S574" s="2">
        <f ca="1">INDEX(INDIRECT(_xlfn.CONCAT("weather.tbl[",S$1,"]")),MATCH(vp.tbl[[#This Row],[SDate]],weather.tbl[Date],0))</f>
        <v>-20.6</v>
      </c>
      <c r="T574" s="2">
        <f ca="1">INDEX(INDIRECT(_xlfn.CONCAT("weather.tbl[",T$1,"]")),MATCH(vp.tbl[[#This Row],[SDate]],weather.tbl[Date],0))</f>
        <v>-25.6</v>
      </c>
      <c r="U574" s="2">
        <f ca="1">INDEX(INDIRECT(_xlfn.CONCAT("weather.tbl[",U$1,"]")),MATCH(vp.tbl[[#This Row],[SDate]],weather.tbl[Date],0))</f>
        <v>-23.8</v>
      </c>
      <c r="V574" s="2">
        <v>1098.0409999999999</v>
      </c>
      <c r="W574" t="s">
        <v>48</v>
      </c>
      <c r="X574">
        <f>IF(OR(vp.tbl[[#This Row],[Sulf]]="",vp.tbl[[#This Row],[Dens]]=""),1,0)</f>
        <v>0</v>
      </c>
      <c r="Y574">
        <f>IF(vp.tbl[[#This Row],[CrudeType]]="C5+",1,0)</f>
        <v>0</v>
      </c>
      <c r="Z574">
        <f>IF(AND(vp.tbl[[#This Row],[CrudeType]]="Crude",vp.tbl[[#This Row],[Dens]]&lt;=825,vp.tbl[[#This Row],[Sulf]]&gt;0.5,vp.tbl[[#This Row],[Unknown]]=0),1,0)</f>
        <v>0</v>
      </c>
      <c r="AA574">
        <f>IF(AND(vp.tbl[[#This Row],[CrudeType]]="Crude",vp.tbl[[#This Row],[Dens]]&lt;=825,vp.tbl[[#This Row],[Sulf]]&lt;=0.5,vp.tbl[[#This Row],[Unknown]]=0),1,0)</f>
        <v>0</v>
      </c>
      <c r="AB574">
        <f>IF(AND(vp.tbl[[#This Row],[CrudeType]]="Crude",vp.tbl[[#This Row],[Dens]]&gt;825,vp.tbl[[#This Row],[Dens]]&lt;=870,vp.tbl[[#This Row],[Sulf]]&gt;0.5,vp.tbl[[#This Row],[Unknown]]=0),1,0)</f>
        <v>1</v>
      </c>
      <c r="AC574">
        <f>IF(AND(vp.tbl[[#This Row],[CrudeType]]="Crude",vp.tbl[[#This Row],[Dens]]&gt;825,vp.tbl[[#This Row],[Dens]]&lt;=900,vp.tbl[[#This Row],[Sulf]]&lt;=0.5,vp.tbl[[#This Row],[Unknown]]=0),1,0)</f>
        <v>0</v>
      </c>
      <c r="AD574">
        <f>IF(AND(vp.tbl[[#This Row],[CrudeType]]="Crude",vp.tbl[[#This Row],[Dens]]&gt;870,vp.tbl[[#This Row],[Dens]]&lt;=900,vp.tbl[[#This Row],[Sulf]]&gt;0.5,vp.tbl[[#This Row],[Unknown]]=0),1,0)</f>
        <v>0</v>
      </c>
      <c r="AE574">
        <f>IF(AND(vp.tbl[[#This Row],[CrudeType]]="Crude",vp.tbl[[#This Row],[Dens]]&gt;900,vp.tbl[[#This Row],[Sulf]]&lt;=0.5,vp.tbl[[#This Row],[Unknown]]=0),1,0)</f>
        <v>0</v>
      </c>
      <c r="AF574">
        <f>IF(AND(vp.tbl[[#This Row],[CrudeType]]="Crude",vp.tbl[[#This Row],[Dens]]&gt;900,vp.tbl[[#This Row],[Sulf]]&lt;=0.5,vp.tbl[[#This Row],[Unknown]]=0),1,0)</f>
        <v>0</v>
      </c>
      <c r="AG574" t="str">
        <f>INDEX(vp.tbl[[#Headers],[Unknown]:[Heavy_SW]],MATCH(1,vp.tbl[[#This Row],[Unknown]:[Heavy_SW]],0))</f>
        <v>Medium_LSB</v>
      </c>
      <c r="AH574" t="e">
        <f>INDEX([1]!crudeBD.lkup[Number],MATCH(vp.tbl[[#This Row],[Crude_Breakdown]],[1]!crudeBD.lkup[Crude Breakdown],0))</f>
        <v>#REF!</v>
      </c>
      <c r="AI574">
        <f>MONTH(vp.tbl[[#This Row],[SDate]])</f>
        <v>1</v>
      </c>
      <c r="AJ574" s="5">
        <f>IFERROR(vp.tbl[[#This Row],[Sulf]]*vp.tbl[[#This Row],[Net Dens]],"")</f>
        <v>1350527.8416629999</v>
      </c>
      <c r="AK574" s="5">
        <f>IFERROR(vp.tbl[[#This Row],[Dens]]*vp.tbl[[#This Row],[VolumeM3]],"")</f>
        <v>944425.06409999996</v>
      </c>
      <c r="AL574" s="5">
        <f>IFERROR(vp.tbl[[#This Row],[VP]]*vp.tbl[[#This Row],[VolumeM3]],"")</f>
        <v>104972.71959999998</v>
      </c>
      <c r="AM574" s="4">
        <f>IFERROR((vp.tbl[[#This Row],[VP]]-INDEX(crudeBD.lkup.complete[Mean_VP],MATCH(vp.tbl[[#This Row],[Crude_Breakdown]],crudeBD.lkup.complete[Crude Breakdown],0)))^2,"")</f>
        <v>237.97397317673546</v>
      </c>
      <c r="AN574" s="4">
        <f>IFERROR((vp.tbl[[#This Row],[Dens]]-INDEX(crudeBD.lkup.complete[Mean_Dens],MATCH(vp.tbl[[#This Row],[Crude_Breakdown]],crudeBD.lkup.complete[Crude Breakdown],0)))^2,"")</f>
        <v>219.28211243649835</v>
      </c>
      <c r="AO574" s="4">
        <f>IFERROR((vp.tbl[[#This Row],[Sulf]]-INDEX(crudeBD.lkup.complete[Mean_Sulf],MATCH(vp.tbl[[#This Row],[Crude_Breakdown]],crudeBD.lkup.complete[Crude Breakdown],0)))^2,"")</f>
        <v>6.2149795748781933E-4</v>
      </c>
      <c r="AP574">
        <f>IF(AND(vp.tbl[[#This Row],[SDate]]&gt;=DATE(YEAR(vp.tbl[[#This Row],[SDate]]),5,1),vp.tbl[[#This Row],[SDate]]&lt;=DATE(YEAR(vp.tbl[[#This Row],[SDate]]),9,15)),1,0)</f>
        <v>0</v>
      </c>
      <c r="AQ574" s="15">
        <f>IF(vp.tbl[[#This Row],[SDate]]&lt;DATE(2016,12,1),0,1)</f>
        <v>1</v>
      </c>
    </row>
    <row r="575" spans="1:43" x14ac:dyDescent="0.25">
      <c r="A575">
        <v>574</v>
      </c>
      <c r="B575" t="s">
        <v>60</v>
      </c>
      <c r="C575" t="s">
        <v>60</v>
      </c>
      <c r="D575" t="s">
        <v>61</v>
      </c>
      <c r="E575" t="s">
        <v>55</v>
      </c>
      <c r="F575" s="1">
        <v>42748</v>
      </c>
      <c r="G575" s="2">
        <v>98.4</v>
      </c>
      <c r="H575" s="2"/>
      <c r="I575" s="2">
        <v>1.23</v>
      </c>
      <c r="J575" s="2">
        <v>1</v>
      </c>
      <c r="K575" s="2">
        <v>-30</v>
      </c>
      <c r="L575" s="2">
        <v>837</v>
      </c>
      <c r="M575" s="2">
        <v>837</v>
      </c>
      <c r="N575" s="2">
        <f ca="1">INDEX(INDIRECT(_xlfn.CONCAT("weather.tbl[",N$1,"]")),MATCH(vp.tbl[[#This Row],[SDate]],weather.tbl[Date],0))</f>
        <v>-23.633333333333336</v>
      </c>
      <c r="O575" s="2">
        <f ca="1">INDEX(INDIRECT(_xlfn.CONCAT("weather.tbl[",O$1,"]")),MATCH(vp.tbl[[#This Row],[SDate]],weather.tbl[Date],0))</f>
        <v>-22.773809523809522</v>
      </c>
      <c r="P575" s="2">
        <f ca="1">INDEX(INDIRECT(_xlfn.CONCAT("weather.tbl[",P$1,"]")),MATCH(vp.tbl[[#This Row],[SDate]],weather.tbl[Date],0))</f>
        <v>-24</v>
      </c>
      <c r="Q575" s="2">
        <f ca="1">INDEX(INDIRECT(_xlfn.CONCAT("weather.tbl[",Q$1,"]")),MATCH(vp.tbl[[#This Row],[SDate]],weather.tbl[Date],0))</f>
        <v>-21.3</v>
      </c>
      <c r="R575" s="2">
        <f ca="1">INDEX(INDIRECT(_xlfn.CONCAT("weather.tbl[",R$1,"]")),MATCH(vp.tbl[[#This Row],[SDate]],weather.tbl[Date],0))</f>
        <v>-26.5</v>
      </c>
      <c r="S575" s="2">
        <f ca="1">INDEX(INDIRECT(_xlfn.CONCAT("weather.tbl[",S$1,"]")),MATCH(vp.tbl[[#This Row],[SDate]],weather.tbl[Date],0))</f>
        <v>-20.6</v>
      </c>
      <c r="T575" s="2">
        <f ca="1">INDEX(INDIRECT(_xlfn.CONCAT("weather.tbl[",T$1,"]")),MATCH(vp.tbl[[#This Row],[SDate]],weather.tbl[Date],0))</f>
        <v>-25.6</v>
      </c>
      <c r="U575" s="2">
        <f ca="1">INDEX(INDIRECT(_xlfn.CONCAT("weather.tbl[",U$1,"]")),MATCH(vp.tbl[[#This Row],[SDate]],weather.tbl[Date],0))</f>
        <v>-23.8</v>
      </c>
      <c r="V575" s="2">
        <v>105136.144</v>
      </c>
      <c r="W575" t="s">
        <v>48</v>
      </c>
      <c r="X575">
        <f>IF(OR(vp.tbl[[#This Row],[Sulf]]="",vp.tbl[[#This Row],[Dens]]=""),1,0)</f>
        <v>0</v>
      </c>
      <c r="Y575">
        <f>IF(vp.tbl[[#This Row],[CrudeType]]="C5+",1,0)</f>
        <v>0</v>
      </c>
      <c r="Z575">
        <f>IF(AND(vp.tbl[[#This Row],[CrudeType]]="Crude",vp.tbl[[#This Row],[Dens]]&lt;=825,vp.tbl[[#This Row],[Sulf]]&gt;0.5,vp.tbl[[#This Row],[Unknown]]=0),1,0)</f>
        <v>0</v>
      </c>
      <c r="AA575">
        <f>IF(AND(vp.tbl[[#This Row],[CrudeType]]="Crude",vp.tbl[[#This Row],[Dens]]&lt;=825,vp.tbl[[#This Row],[Sulf]]&lt;=0.5,vp.tbl[[#This Row],[Unknown]]=0),1,0)</f>
        <v>0</v>
      </c>
      <c r="AB575">
        <f>IF(AND(vp.tbl[[#This Row],[CrudeType]]="Crude",vp.tbl[[#This Row],[Dens]]&gt;825,vp.tbl[[#This Row],[Dens]]&lt;=870,vp.tbl[[#This Row],[Sulf]]&gt;0.5,vp.tbl[[#This Row],[Unknown]]=0),1,0)</f>
        <v>1</v>
      </c>
      <c r="AC575">
        <f>IF(AND(vp.tbl[[#This Row],[CrudeType]]="Crude",vp.tbl[[#This Row],[Dens]]&gt;825,vp.tbl[[#This Row],[Dens]]&lt;=900,vp.tbl[[#This Row],[Sulf]]&lt;=0.5,vp.tbl[[#This Row],[Unknown]]=0),1,0)</f>
        <v>0</v>
      </c>
      <c r="AD575">
        <f>IF(AND(vp.tbl[[#This Row],[CrudeType]]="Crude",vp.tbl[[#This Row],[Dens]]&gt;870,vp.tbl[[#This Row],[Dens]]&lt;=900,vp.tbl[[#This Row],[Sulf]]&gt;0.5,vp.tbl[[#This Row],[Unknown]]=0),1,0)</f>
        <v>0</v>
      </c>
      <c r="AE575">
        <f>IF(AND(vp.tbl[[#This Row],[CrudeType]]="Crude",vp.tbl[[#This Row],[Dens]]&gt;900,vp.tbl[[#This Row],[Sulf]]&lt;=0.5,vp.tbl[[#This Row],[Unknown]]=0),1,0)</f>
        <v>0</v>
      </c>
      <c r="AF575">
        <f>IF(AND(vp.tbl[[#This Row],[CrudeType]]="Crude",vp.tbl[[#This Row],[Dens]]&gt;900,vp.tbl[[#This Row],[Sulf]]&lt;=0.5,vp.tbl[[#This Row],[Unknown]]=0),1,0)</f>
        <v>0</v>
      </c>
      <c r="AG575" t="str">
        <f>INDEX(vp.tbl[[#Headers],[Unknown]:[Heavy_SW]],MATCH(1,vp.tbl[[#This Row],[Unknown]:[Heavy_SW]],0))</f>
        <v>Medium_LSB</v>
      </c>
      <c r="AH575" t="e">
        <f>INDEX([1]!crudeBD.lkup[Number],MATCH(vp.tbl[[#This Row],[Crude_Breakdown]],[1]!crudeBD.lkup[Crude Breakdown],0))</f>
        <v>#REF!</v>
      </c>
      <c r="AI575">
        <f>MONTH(vp.tbl[[#This Row],[SDate]])</f>
        <v>1</v>
      </c>
      <c r="AJ575" s="5">
        <f>IFERROR(vp.tbl[[#This Row],[Sulf]]*vp.tbl[[#This Row],[Net Dens]],"")</f>
        <v>108238711.60944</v>
      </c>
      <c r="AK575" s="5">
        <f>IFERROR(vp.tbl[[#This Row],[Dens]]*vp.tbl[[#This Row],[VolumeM3]],"")</f>
        <v>87998952.527999997</v>
      </c>
      <c r="AL575" s="5">
        <f>IFERROR(vp.tbl[[#This Row],[VP]]*vp.tbl[[#This Row],[VolumeM3]],"")</f>
        <v>10345396.569600001</v>
      </c>
      <c r="AM575" s="4">
        <f>IFERROR((vp.tbl[[#This Row],[VP]]-INDEX(crudeBD.lkup.complete[Mean_VP],MATCH(vp.tbl[[#This Row],[Crude_Breakdown]],crudeBD.lkup.complete[Crude Breakdown],0)))^2,"")</f>
        <v>332.20184153116645</v>
      </c>
      <c r="AN575" s="4">
        <f>IFERROR((vp.tbl[[#This Row],[Dens]]-INDEX(crudeBD.lkup.complete[Mean_Dens],MATCH(vp.tbl[[#This Row],[Crude_Breakdown]],crudeBD.lkup.complete[Crude Breakdown],0)))^2,"")</f>
        <v>68.754325094680027</v>
      </c>
      <c r="AO575" s="4">
        <f>IFERROR((vp.tbl[[#This Row],[Sulf]]-INDEX(crudeBD.lkup.complete[Mean_Sulf],MATCH(vp.tbl[[#This Row],[Crude_Breakdown]],crudeBD.lkup.complete[Crude Breakdown],0)))^2,"")</f>
        <v>5.0593442261285884E-2</v>
      </c>
      <c r="AP575">
        <f>IF(AND(vp.tbl[[#This Row],[SDate]]&gt;=DATE(YEAR(vp.tbl[[#This Row],[SDate]]),5,1),vp.tbl[[#This Row],[SDate]]&lt;=DATE(YEAR(vp.tbl[[#This Row],[SDate]]),9,15)),1,0)</f>
        <v>0</v>
      </c>
      <c r="AQ575" s="15">
        <f>IF(vp.tbl[[#This Row],[SDate]]&lt;DATE(2016,12,1),0,1)</f>
        <v>1</v>
      </c>
    </row>
    <row r="576" spans="1:43" x14ac:dyDescent="0.25">
      <c r="A576">
        <v>575</v>
      </c>
      <c r="B576" t="s">
        <v>62</v>
      </c>
      <c r="C576" t="s">
        <v>62</v>
      </c>
      <c r="D576" t="s">
        <v>93</v>
      </c>
      <c r="F576" s="1">
        <v>42749</v>
      </c>
      <c r="G576" s="2">
        <v>107.3</v>
      </c>
      <c r="H576" s="2"/>
      <c r="I576" s="2">
        <v>0.43</v>
      </c>
      <c r="J576" s="2">
        <v>-16</v>
      </c>
      <c r="K576" s="2">
        <v>-22</v>
      </c>
      <c r="L576" s="2">
        <v>803</v>
      </c>
      <c r="M576" s="2">
        <v>803</v>
      </c>
      <c r="N576" s="2">
        <f ca="1">INDEX(INDIRECT(_xlfn.CONCAT("weather.tbl[",N$1,"]")),MATCH(vp.tbl[[#This Row],[SDate]],weather.tbl[Date],0))</f>
        <v>-16.366666666666667</v>
      </c>
      <c r="O576" s="2">
        <f ca="1">INDEX(INDIRECT(_xlfn.CONCAT("weather.tbl[",O$1,"]")),MATCH(vp.tbl[[#This Row],[SDate]],weather.tbl[Date],0))</f>
        <v>-21.61904761904762</v>
      </c>
      <c r="P576" s="2">
        <f ca="1">INDEX(INDIRECT(_xlfn.CONCAT("weather.tbl[",P$1,"]")),MATCH(vp.tbl[[#This Row],[SDate]],weather.tbl[Date],0))</f>
        <v>-17.2</v>
      </c>
      <c r="Q576" s="2">
        <f ca="1">INDEX(INDIRECT(_xlfn.CONCAT("weather.tbl[",Q$1,"]")),MATCH(vp.tbl[[#This Row],[SDate]],weather.tbl[Date],0))</f>
        <v>-17.3</v>
      </c>
      <c r="R576" s="2">
        <f ca="1">INDEX(INDIRECT(_xlfn.CONCAT("weather.tbl[",R$1,"]")),MATCH(vp.tbl[[#This Row],[SDate]],weather.tbl[Date],0))</f>
        <v>-16</v>
      </c>
      <c r="S576" s="2">
        <f ca="1">INDEX(INDIRECT(_xlfn.CONCAT("weather.tbl[",S$1,"]")),MATCH(vp.tbl[[#This Row],[SDate]],weather.tbl[Date],0))</f>
        <v>-15.2</v>
      </c>
      <c r="T576" s="2">
        <f ca="1">INDEX(INDIRECT(_xlfn.CONCAT("weather.tbl[",T$1,"]")),MATCH(vp.tbl[[#This Row],[SDate]],weather.tbl[Date],0))</f>
        <v>-18.7</v>
      </c>
      <c r="U576" s="2">
        <f ca="1">INDEX(INDIRECT(_xlfn.CONCAT("weather.tbl[",U$1,"]")),MATCH(vp.tbl[[#This Row],[SDate]],weather.tbl[Date],0))</f>
        <v>-13.8</v>
      </c>
      <c r="V576" s="2">
        <v>505.60500000000002</v>
      </c>
      <c r="W576" t="s">
        <v>48</v>
      </c>
      <c r="X576">
        <f>IF(OR(vp.tbl[[#This Row],[Sulf]]="",vp.tbl[[#This Row],[Dens]]=""),1,0)</f>
        <v>0</v>
      </c>
      <c r="Y576">
        <f>IF(vp.tbl[[#This Row],[CrudeType]]="C5+",1,0)</f>
        <v>0</v>
      </c>
      <c r="Z576">
        <f>IF(AND(vp.tbl[[#This Row],[CrudeType]]="Crude",vp.tbl[[#This Row],[Dens]]&lt;=825,vp.tbl[[#This Row],[Sulf]]&gt;0.5,vp.tbl[[#This Row],[Unknown]]=0),1,0)</f>
        <v>0</v>
      </c>
      <c r="AA576">
        <f>IF(AND(vp.tbl[[#This Row],[CrudeType]]="Crude",vp.tbl[[#This Row],[Dens]]&lt;=825,vp.tbl[[#This Row],[Sulf]]&lt;=0.5,vp.tbl[[#This Row],[Unknown]]=0),1,0)</f>
        <v>1</v>
      </c>
      <c r="AB576">
        <f>IF(AND(vp.tbl[[#This Row],[CrudeType]]="Crude",vp.tbl[[#This Row],[Dens]]&gt;825,vp.tbl[[#This Row],[Dens]]&lt;=870,vp.tbl[[#This Row],[Sulf]]&gt;0.5,vp.tbl[[#This Row],[Unknown]]=0),1,0)</f>
        <v>0</v>
      </c>
      <c r="AC576">
        <f>IF(AND(vp.tbl[[#This Row],[CrudeType]]="Crude",vp.tbl[[#This Row],[Dens]]&gt;825,vp.tbl[[#This Row],[Dens]]&lt;=900,vp.tbl[[#This Row],[Sulf]]&lt;=0.5,vp.tbl[[#This Row],[Unknown]]=0),1,0)</f>
        <v>0</v>
      </c>
      <c r="AD576">
        <f>IF(AND(vp.tbl[[#This Row],[CrudeType]]="Crude",vp.tbl[[#This Row],[Dens]]&gt;870,vp.tbl[[#This Row],[Dens]]&lt;=900,vp.tbl[[#This Row],[Sulf]]&gt;0.5,vp.tbl[[#This Row],[Unknown]]=0),1,0)</f>
        <v>0</v>
      </c>
      <c r="AE576">
        <f>IF(AND(vp.tbl[[#This Row],[CrudeType]]="Crude",vp.tbl[[#This Row],[Dens]]&gt;900,vp.tbl[[#This Row],[Sulf]]&lt;=0.5,vp.tbl[[#This Row],[Unknown]]=0),1,0)</f>
        <v>0</v>
      </c>
      <c r="AF576">
        <f>IF(AND(vp.tbl[[#This Row],[CrudeType]]="Crude",vp.tbl[[#This Row],[Dens]]&gt;900,vp.tbl[[#This Row],[Sulf]]&lt;=0.5,vp.tbl[[#This Row],[Unknown]]=0),1,0)</f>
        <v>0</v>
      </c>
      <c r="AG576" t="str">
        <f>INDEX(vp.tbl[[#Headers],[Unknown]:[Heavy_SW]],MATCH(1,vp.tbl[[#This Row],[Unknown]:[Heavy_SW]],0))</f>
        <v>Light_SW</v>
      </c>
      <c r="AH576" t="e">
        <f>INDEX([1]!crudeBD.lkup[Number],MATCH(vp.tbl[[#This Row],[Crude_Breakdown]],[1]!crudeBD.lkup[Crude Breakdown],0))</f>
        <v>#REF!</v>
      </c>
      <c r="AI576">
        <f>MONTH(vp.tbl[[#This Row],[SDate]])</f>
        <v>1</v>
      </c>
      <c r="AJ576" s="5">
        <f>IFERROR(vp.tbl[[#This Row],[Sulf]]*vp.tbl[[#This Row],[Net Dens]],"")</f>
        <v>174580.35045</v>
      </c>
      <c r="AK576" s="5">
        <f>IFERROR(vp.tbl[[#This Row],[Dens]]*vp.tbl[[#This Row],[VolumeM3]],"")</f>
        <v>406000.815</v>
      </c>
      <c r="AL576" s="5">
        <f>IFERROR(vp.tbl[[#This Row],[VP]]*vp.tbl[[#This Row],[VolumeM3]],"")</f>
        <v>54251.416499999999</v>
      </c>
      <c r="AM576" s="4">
        <f>IFERROR((vp.tbl[[#This Row],[VP]]-INDEX(crudeBD.lkup.complete[Mean_VP],MATCH(vp.tbl[[#This Row],[Crude_Breakdown]],crudeBD.lkup.complete[Crude Breakdown],0)))^2,"")</f>
        <v>217.55324922725862</v>
      </c>
      <c r="AN576" s="4">
        <f>IFERROR((vp.tbl[[#This Row],[Dens]]-INDEX(crudeBD.lkup.complete[Mean_Dens],MATCH(vp.tbl[[#This Row],[Crude_Breakdown]],crudeBD.lkup.complete[Crude Breakdown],0)))^2,"")</f>
        <v>28.212013743032074</v>
      </c>
      <c r="AO576" s="4">
        <f>IFERROR((vp.tbl[[#This Row],[Sulf]]-INDEX(crudeBD.lkup.complete[Mean_Sulf],MATCH(vp.tbl[[#This Row],[Crude_Breakdown]],crudeBD.lkup.complete[Crude Breakdown],0)))^2,"")</f>
        <v>3.7542235476453578E-2</v>
      </c>
      <c r="AP576">
        <f>IF(AND(vp.tbl[[#This Row],[SDate]]&gt;=DATE(YEAR(vp.tbl[[#This Row],[SDate]]),5,1),vp.tbl[[#This Row],[SDate]]&lt;=DATE(YEAR(vp.tbl[[#This Row],[SDate]]),9,15)),1,0)</f>
        <v>0</v>
      </c>
      <c r="AQ576" s="15">
        <f>IF(vp.tbl[[#This Row],[SDate]]&lt;DATE(2016,12,1),0,1)</f>
        <v>1</v>
      </c>
    </row>
    <row r="577" spans="1:43" x14ac:dyDescent="0.25">
      <c r="A577">
        <v>576</v>
      </c>
      <c r="B577" t="s">
        <v>49</v>
      </c>
      <c r="C577" t="s">
        <v>49</v>
      </c>
      <c r="D577" t="s">
        <v>75</v>
      </c>
      <c r="F577" s="1">
        <v>42749</v>
      </c>
      <c r="G577" s="2">
        <v>105.8</v>
      </c>
      <c r="H577" s="2"/>
      <c r="I577" s="2">
        <v>0.26</v>
      </c>
      <c r="J577" s="2">
        <v>20</v>
      </c>
      <c r="K577" s="2">
        <v>-22</v>
      </c>
      <c r="L577" s="2">
        <v>804.3</v>
      </c>
      <c r="M577" s="2">
        <v>804.3</v>
      </c>
      <c r="N577" s="2">
        <f ca="1">INDEX(INDIRECT(_xlfn.CONCAT("weather.tbl[",N$1,"]")),MATCH(vp.tbl[[#This Row],[SDate]],weather.tbl[Date],0))</f>
        <v>-16.366666666666667</v>
      </c>
      <c r="O577" s="2">
        <f ca="1">INDEX(INDIRECT(_xlfn.CONCAT("weather.tbl[",O$1,"]")),MATCH(vp.tbl[[#This Row],[SDate]],weather.tbl[Date],0))</f>
        <v>-21.61904761904762</v>
      </c>
      <c r="P577" s="2">
        <f ca="1">INDEX(INDIRECT(_xlfn.CONCAT("weather.tbl[",P$1,"]")),MATCH(vp.tbl[[#This Row],[SDate]],weather.tbl[Date],0))</f>
        <v>-17.2</v>
      </c>
      <c r="Q577" s="2">
        <f ca="1">INDEX(INDIRECT(_xlfn.CONCAT("weather.tbl[",Q$1,"]")),MATCH(vp.tbl[[#This Row],[SDate]],weather.tbl[Date],0))</f>
        <v>-17.3</v>
      </c>
      <c r="R577" s="2">
        <f ca="1">INDEX(INDIRECT(_xlfn.CONCAT("weather.tbl[",R$1,"]")),MATCH(vp.tbl[[#This Row],[SDate]],weather.tbl[Date],0))</f>
        <v>-16</v>
      </c>
      <c r="S577" s="2">
        <f ca="1">INDEX(INDIRECT(_xlfn.CONCAT("weather.tbl[",S$1,"]")),MATCH(vp.tbl[[#This Row],[SDate]],weather.tbl[Date],0))</f>
        <v>-15.2</v>
      </c>
      <c r="T577" s="2">
        <f ca="1">INDEX(INDIRECT(_xlfn.CONCAT("weather.tbl[",T$1,"]")),MATCH(vp.tbl[[#This Row],[SDate]],weather.tbl[Date],0))</f>
        <v>-18.7</v>
      </c>
      <c r="U577" s="2">
        <f ca="1">INDEX(INDIRECT(_xlfn.CONCAT("weather.tbl[",U$1,"]")),MATCH(vp.tbl[[#This Row],[SDate]],weather.tbl[Date],0))</f>
        <v>-13.8</v>
      </c>
      <c r="V577" s="2">
        <v>12738.714</v>
      </c>
      <c r="W577" t="s">
        <v>48</v>
      </c>
      <c r="X577">
        <f>IF(OR(vp.tbl[[#This Row],[Sulf]]="",vp.tbl[[#This Row],[Dens]]=""),1,0)</f>
        <v>0</v>
      </c>
      <c r="Y577">
        <f>IF(vp.tbl[[#This Row],[CrudeType]]="C5+",1,0)</f>
        <v>0</v>
      </c>
      <c r="Z577">
        <f>IF(AND(vp.tbl[[#This Row],[CrudeType]]="Crude",vp.tbl[[#This Row],[Dens]]&lt;=825,vp.tbl[[#This Row],[Sulf]]&gt;0.5,vp.tbl[[#This Row],[Unknown]]=0),1,0)</f>
        <v>0</v>
      </c>
      <c r="AA577">
        <f>IF(AND(vp.tbl[[#This Row],[CrudeType]]="Crude",vp.tbl[[#This Row],[Dens]]&lt;=825,vp.tbl[[#This Row],[Sulf]]&lt;=0.5,vp.tbl[[#This Row],[Unknown]]=0),1,0)</f>
        <v>1</v>
      </c>
      <c r="AB577">
        <f>IF(AND(vp.tbl[[#This Row],[CrudeType]]="Crude",vp.tbl[[#This Row],[Dens]]&gt;825,vp.tbl[[#This Row],[Dens]]&lt;=870,vp.tbl[[#This Row],[Sulf]]&gt;0.5,vp.tbl[[#This Row],[Unknown]]=0),1,0)</f>
        <v>0</v>
      </c>
      <c r="AC577">
        <f>IF(AND(vp.tbl[[#This Row],[CrudeType]]="Crude",vp.tbl[[#This Row],[Dens]]&gt;825,vp.tbl[[#This Row],[Dens]]&lt;=900,vp.tbl[[#This Row],[Sulf]]&lt;=0.5,vp.tbl[[#This Row],[Unknown]]=0),1,0)</f>
        <v>0</v>
      </c>
      <c r="AD577">
        <f>IF(AND(vp.tbl[[#This Row],[CrudeType]]="Crude",vp.tbl[[#This Row],[Dens]]&gt;870,vp.tbl[[#This Row],[Dens]]&lt;=900,vp.tbl[[#This Row],[Sulf]]&gt;0.5,vp.tbl[[#This Row],[Unknown]]=0),1,0)</f>
        <v>0</v>
      </c>
      <c r="AE577">
        <f>IF(AND(vp.tbl[[#This Row],[CrudeType]]="Crude",vp.tbl[[#This Row],[Dens]]&gt;900,vp.tbl[[#This Row],[Sulf]]&lt;=0.5,vp.tbl[[#This Row],[Unknown]]=0),1,0)</f>
        <v>0</v>
      </c>
      <c r="AF577">
        <f>IF(AND(vp.tbl[[#This Row],[CrudeType]]="Crude",vp.tbl[[#This Row],[Dens]]&gt;900,vp.tbl[[#This Row],[Sulf]]&lt;=0.5,vp.tbl[[#This Row],[Unknown]]=0),1,0)</f>
        <v>0</v>
      </c>
      <c r="AG577" t="str">
        <f>INDEX(vp.tbl[[#Headers],[Unknown]:[Heavy_SW]],MATCH(1,vp.tbl[[#This Row],[Unknown]:[Heavy_SW]],0))</f>
        <v>Light_SW</v>
      </c>
      <c r="AH577" t="e">
        <f>INDEX([1]!crudeBD.lkup[Number],MATCH(vp.tbl[[#This Row],[Crude_Breakdown]],[1]!crudeBD.lkup[Crude Breakdown],0))</f>
        <v>#REF!</v>
      </c>
      <c r="AI577">
        <f>MONTH(vp.tbl[[#This Row],[SDate]])</f>
        <v>1</v>
      </c>
      <c r="AJ577" s="5">
        <f>IFERROR(vp.tbl[[#This Row],[Sulf]]*vp.tbl[[#This Row],[Net Dens]],"")</f>
        <v>2663894.3942519999</v>
      </c>
      <c r="AK577" s="5">
        <f>IFERROR(vp.tbl[[#This Row],[Dens]]*vp.tbl[[#This Row],[VolumeM3]],"")</f>
        <v>10245747.6702</v>
      </c>
      <c r="AL577" s="5">
        <f>IFERROR(vp.tbl[[#This Row],[VP]]*vp.tbl[[#This Row],[VolumeM3]],"")</f>
        <v>1347755.9412</v>
      </c>
      <c r="AM577" s="4">
        <f>IFERROR((vp.tbl[[#This Row],[VP]]-INDEX(crudeBD.lkup.complete[Mean_VP],MATCH(vp.tbl[[#This Row],[Crude_Breakdown]],crudeBD.lkup.complete[Crude Breakdown],0)))^2,"")</f>
        <v>175.55418999380905</v>
      </c>
      <c r="AN577" s="4">
        <f>IFERROR((vp.tbl[[#This Row],[Dens]]-INDEX(crudeBD.lkup.complete[Mean_Dens],MATCH(vp.tbl[[#This Row],[Crude_Breakdown]],crudeBD.lkup.complete[Crude Breakdown],0)))^2,"")</f>
        <v>16.092118272649731</v>
      </c>
      <c r="AO577" s="4">
        <f>IFERROR((vp.tbl[[#This Row],[Sulf]]-INDEX(crudeBD.lkup.complete[Mean_Sulf],MATCH(vp.tbl[[#This Row],[Crude_Breakdown]],crudeBD.lkup.complete[Crude Breakdown],0)))^2,"")</f>
        <v>5.644515043280923E-4</v>
      </c>
      <c r="AP577">
        <f>IF(AND(vp.tbl[[#This Row],[SDate]]&gt;=DATE(YEAR(vp.tbl[[#This Row],[SDate]]),5,1),vp.tbl[[#This Row],[SDate]]&lt;=DATE(YEAR(vp.tbl[[#This Row],[SDate]]),9,15)),1,0)</f>
        <v>0</v>
      </c>
      <c r="AQ577" s="15">
        <f>IF(vp.tbl[[#This Row],[SDate]]&lt;DATE(2016,12,1),0,1)</f>
        <v>1</v>
      </c>
    </row>
    <row r="578" spans="1:43" x14ac:dyDescent="0.25">
      <c r="A578">
        <v>577</v>
      </c>
      <c r="B578" t="s">
        <v>62</v>
      </c>
      <c r="C578" t="s">
        <v>62</v>
      </c>
      <c r="D578" t="s">
        <v>87</v>
      </c>
      <c r="F578" s="1">
        <v>42749</v>
      </c>
      <c r="G578" s="2">
        <v>84.1</v>
      </c>
      <c r="H578" s="2"/>
      <c r="I578" s="2">
        <v>0.19</v>
      </c>
      <c r="J578" s="2">
        <v>22</v>
      </c>
      <c r="K578" s="2">
        <v>-22</v>
      </c>
      <c r="L578" s="2">
        <v>804.6</v>
      </c>
      <c r="M578" s="2">
        <v>804.6</v>
      </c>
      <c r="N578" s="2">
        <f ca="1">INDEX(INDIRECT(_xlfn.CONCAT("weather.tbl[",N$1,"]")),MATCH(vp.tbl[[#This Row],[SDate]],weather.tbl[Date],0))</f>
        <v>-16.366666666666667</v>
      </c>
      <c r="O578" s="2">
        <f ca="1">INDEX(INDIRECT(_xlfn.CONCAT("weather.tbl[",O$1,"]")),MATCH(vp.tbl[[#This Row],[SDate]],weather.tbl[Date],0))</f>
        <v>-21.61904761904762</v>
      </c>
      <c r="P578" s="2">
        <f ca="1">INDEX(INDIRECT(_xlfn.CONCAT("weather.tbl[",P$1,"]")),MATCH(vp.tbl[[#This Row],[SDate]],weather.tbl[Date],0))</f>
        <v>-17.2</v>
      </c>
      <c r="Q578" s="2">
        <f ca="1">INDEX(INDIRECT(_xlfn.CONCAT("weather.tbl[",Q$1,"]")),MATCH(vp.tbl[[#This Row],[SDate]],weather.tbl[Date],0))</f>
        <v>-17.3</v>
      </c>
      <c r="R578" s="2">
        <f ca="1">INDEX(INDIRECT(_xlfn.CONCAT("weather.tbl[",R$1,"]")),MATCH(vp.tbl[[#This Row],[SDate]],weather.tbl[Date],0))</f>
        <v>-16</v>
      </c>
      <c r="S578" s="2">
        <f ca="1">INDEX(INDIRECT(_xlfn.CONCAT("weather.tbl[",S$1,"]")),MATCH(vp.tbl[[#This Row],[SDate]],weather.tbl[Date],0))</f>
        <v>-15.2</v>
      </c>
      <c r="T578" s="2">
        <f ca="1">INDEX(INDIRECT(_xlfn.CONCAT("weather.tbl[",T$1,"]")),MATCH(vp.tbl[[#This Row],[SDate]],weather.tbl[Date],0))</f>
        <v>-18.7</v>
      </c>
      <c r="U578" s="2">
        <f ca="1">INDEX(INDIRECT(_xlfn.CONCAT("weather.tbl[",U$1,"]")),MATCH(vp.tbl[[#This Row],[SDate]],weather.tbl[Date],0))</f>
        <v>-13.8</v>
      </c>
      <c r="V578" s="2">
        <v>7624.6970000000001</v>
      </c>
      <c r="W578" t="s">
        <v>48</v>
      </c>
      <c r="X578">
        <f>IF(OR(vp.tbl[[#This Row],[Sulf]]="",vp.tbl[[#This Row],[Dens]]=""),1,0)</f>
        <v>0</v>
      </c>
      <c r="Y578">
        <f>IF(vp.tbl[[#This Row],[CrudeType]]="C5+",1,0)</f>
        <v>0</v>
      </c>
      <c r="Z578">
        <f>IF(AND(vp.tbl[[#This Row],[CrudeType]]="Crude",vp.tbl[[#This Row],[Dens]]&lt;=825,vp.tbl[[#This Row],[Sulf]]&gt;0.5,vp.tbl[[#This Row],[Unknown]]=0),1,0)</f>
        <v>0</v>
      </c>
      <c r="AA578">
        <f>IF(AND(vp.tbl[[#This Row],[CrudeType]]="Crude",vp.tbl[[#This Row],[Dens]]&lt;=825,vp.tbl[[#This Row],[Sulf]]&lt;=0.5,vp.tbl[[#This Row],[Unknown]]=0),1,0)</f>
        <v>1</v>
      </c>
      <c r="AB578">
        <f>IF(AND(vp.tbl[[#This Row],[CrudeType]]="Crude",vp.tbl[[#This Row],[Dens]]&gt;825,vp.tbl[[#This Row],[Dens]]&lt;=870,vp.tbl[[#This Row],[Sulf]]&gt;0.5,vp.tbl[[#This Row],[Unknown]]=0),1,0)</f>
        <v>0</v>
      </c>
      <c r="AC578">
        <f>IF(AND(vp.tbl[[#This Row],[CrudeType]]="Crude",vp.tbl[[#This Row],[Dens]]&gt;825,vp.tbl[[#This Row],[Dens]]&lt;=900,vp.tbl[[#This Row],[Sulf]]&lt;=0.5,vp.tbl[[#This Row],[Unknown]]=0),1,0)</f>
        <v>0</v>
      </c>
      <c r="AD578">
        <f>IF(AND(vp.tbl[[#This Row],[CrudeType]]="Crude",vp.tbl[[#This Row],[Dens]]&gt;870,vp.tbl[[#This Row],[Dens]]&lt;=900,vp.tbl[[#This Row],[Sulf]]&gt;0.5,vp.tbl[[#This Row],[Unknown]]=0),1,0)</f>
        <v>0</v>
      </c>
      <c r="AE578">
        <f>IF(AND(vp.tbl[[#This Row],[CrudeType]]="Crude",vp.tbl[[#This Row],[Dens]]&gt;900,vp.tbl[[#This Row],[Sulf]]&lt;=0.5,vp.tbl[[#This Row],[Unknown]]=0),1,0)</f>
        <v>0</v>
      </c>
      <c r="AF578">
        <f>IF(AND(vp.tbl[[#This Row],[CrudeType]]="Crude",vp.tbl[[#This Row],[Dens]]&gt;900,vp.tbl[[#This Row],[Sulf]]&lt;=0.5,vp.tbl[[#This Row],[Unknown]]=0),1,0)</f>
        <v>0</v>
      </c>
      <c r="AG578" t="str">
        <f>INDEX(vp.tbl[[#Headers],[Unknown]:[Heavy_SW]],MATCH(1,vp.tbl[[#This Row],[Unknown]:[Heavy_SW]],0))</f>
        <v>Light_SW</v>
      </c>
      <c r="AH578" t="e">
        <f>INDEX([1]!crudeBD.lkup[Number],MATCH(vp.tbl[[#This Row],[Crude_Breakdown]],[1]!crudeBD.lkup[Crude Breakdown],0))</f>
        <v>#REF!</v>
      </c>
      <c r="AI578">
        <f>MONTH(vp.tbl[[#This Row],[SDate]])</f>
        <v>1</v>
      </c>
      <c r="AJ578" s="5">
        <f>IFERROR(vp.tbl[[#This Row],[Sulf]]*vp.tbl[[#This Row],[Net Dens]],"")</f>
        <v>1165617.929178</v>
      </c>
      <c r="AK578" s="5">
        <f>IFERROR(vp.tbl[[#This Row],[Dens]]*vp.tbl[[#This Row],[VolumeM3]],"")</f>
        <v>6134831.2061999999</v>
      </c>
      <c r="AL578" s="5">
        <f>IFERROR(vp.tbl[[#This Row],[VP]]*vp.tbl[[#This Row],[VolumeM3]],"")</f>
        <v>641237.01769999997</v>
      </c>
      <c r="AM578" s="4">
        <f>IFERROR((vp.tbl[[#This Row],[VP]]-INDEX(crudeBD.lkup.complete[Mean_VP],MATCH(vp.tbl[[#This Row],[Crude_Breakdown]],crudeBD.lkup.complete[Crude Breakdown],0)))^2,"")</f>
        <v>71.407799749905507</v>
      </c>
      <c r="AN578" s="4">
        <f>IFERROR((vp.tbl[[#This Row],[Dens]]-INDEX(crudeBD.lkup.complete[Mean_Dens],MATCH(vp.tbl[[#This Row],[Crude_Breakdown]],crudeBD.lkup.complete[Crude Breakdown],0)))^2,"")</f>
        <v>13.775219317945496</v>
      </c>
      <c r="AO578" s="4">
        <f>IFERROR((vp.tbl[[#This Row],[Sulf]]-INDEX(crudeBD.lkup.complete[Mean_Sulf],MATCH(vp.tbl[[#This Row],[Crude_Breakdown]],crudeBD.lkup.complete[Crude Breakdown],0)))^2,"")</f>
        <v>2.1383051628646554E-3</v>
      </c>
      <c r="AP578">
        <f>IF(AND(vp.tbl[[#This Row],[SDate]]&gt;=DATE(YEAR(vp.tbl[[#This Row],[SDate]]),5,1),vp.tbl[[#This Row],[SDate]]&lt;=DATE(YEAR(vp.tbl[[#This Row],[SDate]]),9,15)),1,0)</f>
        <v>0</v>
      </c>
      <c r="AQ578" s="15">
        <f>IF(vp.tbl[[#This Row],[SDate]]&lt;DATE(2016,12,1),0,1)</f>
        <v>1</v>
      </c>
    </row>
    <row r="579" spans="1:43" x14ac:dyDescent="0.25">
      <c r="A579">
        <v>578</v>
      </c>
      <c r="B579" t="s">
        <v>49</v>
      </c>
      <c r="C579" t="s">
        <v>49</v>
      </c>
      <c r="D579" t="s">
        <v>100</v>
      </c>
      <c r="F579" s="1">
        <v>42749</v>
      </c>
      <c r="G579" s="2">
        <v>77.5</v>
      </c>
      <c r="H579" s="2"/>
      <c r="I579" s="2">
        <v>0.66</v>
      </c>
      <c r="J579" s="2">
        <v>6</v>
      </c>
      <c r="K579" s="2">
        <v>-22</v>
      </c>
      <c r="L579" s="2">
        <v>806.9</v>
      </c>
      <c r="M579" s="2">
        <v>806.9</v>
      </c>
      <c r="N579" s="2">
        <f ca="1">INDEX(INDIRECT(_xlfn.CONCAT("weather.tbl[",N$1,"]")),MATCH(vp.tbl[[#This Row],[SDate]],weather.tbl[Date],0))</f>
        <v>-16.366666666666667</v>
      </c>
      <c r="O579" s="2">
        <f ca="1">INDEX(INDIRECT(_xlfn.CONCAT("weather.tbl[",O$1,"]")),MATCH(vp.tbl[[#This Row],[SDate]],weather.tbl[Date],0))</f>
        <v>-21.61904761904762</v>
      </c>
      <c r="P579" s="2">
        <f ca="1">INDEX(INDIRECT(_xlfn.CONCAT("weather.tbl[",P$1,"]")),MATCH(vp.tbl[[#This Row],[SDate]],weather.tbl[Date],0))</f>
        <v>-17.2</v>
      </c>
      <c r="Q579" s="2">
        <f ca="1">INDEX(INDIRECT(_xlfn.CONCAT("weather.tbl[",Q$1,"]")),MATCH(vp.tbl[[#This Row],[SDate]],weather.tbl[Date],0))</f>
        <v>-17.3</v>
      </c>
      <c r="R579" s="2">
        <f ca="1">INDEX(INDIRECT(_xlfn.CONCAT("weather.tbl[",R$1,"]")),MATCH(vp.tbl[[#This Row],[SDate]],weather.tbl[Date],0))</f>
        <v>-16</v>
      </c>
      <c r="S579" s="2">
        <f ca="1">INDEX(INDIRECT(_xlfn.CONCAT("weather.tbl[",S$1,"]")),MATCH(vp.tbl[[#This Row],[SDate]],weather.tbl[Date],0))</f>
        <v>-15.2</v>
      </c>
      <c r="T579" s="2">
        <f ca="1">INDEX(INDIRECT(_xlfn.CONCAT("weather.tbl[",T$1,"]")),MATCH(vp.tbl[[#This Row],[SDate]],weather.tbl[Date],0))</f>
        <v>-18.7</v>
      </c>
      <c r="U579" s="2">
        <f ca="1">INDEX(INDIRECT(_xlfn.CONCAT("weather.tbl[",U$1,"]")),MATCH(vp.tbl[[#This Row],[SDate]],weather.tbl[Date],0))</f>
        <v>-13.8</v>
      </c>
      <c r="V579" s="2">
        <v>11216.892</v>
      </c>
      <c r="W579" t="s">
        <v>48</v>
      </c>
      <c r="X579">
        <f>IF(OR(vp.tbl[[#This Row],[Sulf]]="",vp.tbl[[#This Row],[Dens]]=""),1,0)</f>
        <v>0</v>
      </c>
      <c r="Y579">
        <f>IF(vp.tbl[[#This Row],[CrudeType]]="C5+",1,0)</f>
        <v>0</v>
      </c>
      <c r="Z579">
        <f>IF(AND(vp.tbl[[#This Row],[CrudeType]]="Crude",vp.tbl[[#This Row],[Dens]]&lt;=825,vp.tbl[[#This Row],[Sulf]]&gt;0.5,vp.tbl[[#This Row],[Unknown]]=0),1,0)</f>
        <v>1</v>
      </c>
      <c r="AA579">
        <f>IF(AND(vp.tbl[[#This Row],[CrudeType]]="Crude",vp.tbl[[#This Row],[Dens]]&lt;=825,vp.tbl[[#This Row],[Sulf]]&lt;=0.5,vp.tbl[[#This Row],[Unknown]]=0),1,0)</f>
        <v>0</v>
      </c>
      <c r="AB579">
        <f>IF(AND(vp.tbl[[#This Row],[CrudeType]]="Crude",vp.tbl[[#This Row],[Dens]]&gt;825,vp.tbl[[#This Row],[Dens]]&lt;=870,vp.tbl[[#This Row],[Sulf]]&gt;0.5,vp.tbl[[#This Row],[Unknown]]=0),1,0)</f>
        <v>0</v>
      </c>
      <c r="AC579">
        <f>IF(AND(vp.tbl[[#This Row],[CrudeType]]="Crude",vp.tbl[[#This Row],[Dens]]&gt;825,vp.tbl[[#This Row],[Dens]]&lt;=900,vp.tbl[[#This Row],[Sulf]]&lt;=0.5,vp.tbl[[#This Row],[Unknown]]=0),1,0)</f>
        <v>0</v>
      </c>
      <c r="AD579">
        <f>IF(AND(vp.tbl[[#This Row],[CrudeType]]="Crude",vp.tbl[[#This Row],[Dens]]&gt;870,vp.tbl[[#This Row],[Dens]]&lt;=900,vp.tbl[[#This Row],[Sulf]]&gt;0.5,vp.tbl[[#This Row],[Unknown]]=0),1,0)</f>
        <v>0</v>
      </c>
      <c r="AE579">
        <f>IF(AND(vp.tbl[[#This Row],[CrudeType]]="Crude",vp.tbl[[#This Row],[Dens]]&gt;900,vp.tbl[[#This Row],[Sulf]]&lt;=0.5,vp.tbl[[#This Row],[Unknown]]=0),1,0)</f>
        <v>0</v>
      </c>
      <c r="AF579">
        <f>IF(AND(vp.tbl[[#This Row],[CrudeType]]="Crude",vp.tbl[[#This Row],[Dens]]&gt;900,vp.tbl[[#This Row],[Sulf]]&lt;=0.5,vp.tbl[[#This Row],[Unknown]]=0),1,0)</f>
        <v>0</v>
      </c>
      <c r="AG579" t="str">
        <f>INDEX(vp.tbl[[#Headers],[Unknown]:[Heavy_SW]],MATCH(1,vp.tbl[[#This Row],[Unknown]:[Heavy_SW]],0))</f>
        <v>Light_LSB</v>
      </c>
      <c r="AH579" t="e">
        <f>INDEX([1]!crudeBD.lkup[Number],MATCH(vp.tbl[[#This Row],[Crude_Breakdown]],[1]!crudeBD.lkup[Crude Breakdown],0))</f>
        <v>#REF!</v>
      </c>
      <c r="AI579">
        <f>MONTH(vp.tbl[[#This Row],[SDate]])</f>
        <v>1</v>
      </c>
      <c r="AJ579" s="5">
        <f>IFERROR(vp.tbl[[#This Row],[Sulf]]*vp.tbl[[#This Row],[Net Dens]],"")</f>
        <v>5973600.7021679999</v>
      </c>
      <c r="AK579" s="5">
        <f>IFERROR(vp.tbl[[#This Row],[Dens]]*vp.tbl[[#This Row],[VolumeM3]],"")</f>
        <v>9050910.1547999997</v>
      </c>
      <c r="AL579" s="5">
        <f>IFERROR(vp.tbl[[#This Row],[VP]]*vp.tbl[[#This Row],[VolumeM3]],"")</f>
        <v>869309.13</v>
      </c>
      <c r="AM579" s="4">
        <f>IFERROR((vp.tbl[[#This Row],[VP]]-INDEX(crudeBD.lkup.complete[Mean_VP],MATCH(vp.tbl[[#This Row],[Crude_Breakdown]],crudeBD.lkup.complete[Crude Breakdown],0)))^2,"")</f>
        <v>197.2953289828896</v>
      </c>
      <c r="AN579" s="4">
        <f>IFERROR((vp.tbl[[#This Row],[Dens]]-INDEX(crudeBD.lkup.complete[Mean_Dens],MATCH(vp.tbl[[#This Row],[Crude_Breakdown]],crudeBD.lkup.complete[Crude Breakdown],0)))^2,"")</f>
        <v>134.94933964406923</v>
      </c>
      <c r="AO579" s="4">
        <f>IFERROR((vp.tbl[[#This Row],[Sulf]]-INDEX(crudeBD.lkup.complete[Mean_Sulf],MATCH(vp.tbl[[#This Row],[Crude_Breakdown]],crudeBD.lkup.complete[Crude Breakdown],0)))^2,"")</f>
        <v>6.9153835401708622E-2</v>
      </c>
      <c r="AP579">
        <f>IF(AND(vp.tbl[[#This Row],[SDate]]&gt;=DATE(YEAR(vp.tbl[[#This Row],[SDate]]),5,1),vp.tbl[[#This Row],[SDate]]&lt;=DATE(YEAR(vp.tbl[[#This Row],[SDate]]),9,15)),1,0)</f>
        <v>0</v>
      </c>
      <c r="AQ579" s="15">
        <f>IF(vp.tbl[[#This Row],[SDate]]&lt;DATE(2016,12,1),0,1)</f>
        <v>1</v>
      </c>
    </row>
    <row r="580" spans="1:43" x14ac:dyDescent="0.25">
      <c r="A580">
        <v>579</v>
      </c>
      <c r="B580" t="s">
        <v>49</v>
      </c>
      <c r="C580" t="s">
        <v>49</v>
      </c>
      <c r="D580" t="s">
        <v>80</v>
      </c>
      <c r="F580" s="1">
        <v>42749</v>
      </c>
      <c r="G580" s="2">
        <v>99.9</v>
      </c>
      <c r="H580" s="2"/>
      <c r="I580" s="2">
        <v>0.59</v>
      </c>
      <c r="J580" s="2">
        <v>13</v>
      </c>
      <c r="K580" s="2">
        <v>-22</v>
      </c>
      <c r="L580" s="2">
        <v>809.9</v>
      </c>
      <c r="M580" s="2">
        <v>809.9</v>
      </c>
      <c r="N580" s="2">
        <f ca="1">INDEX(INDIRECT(_xlfn.CONCAT("weather.tbl[",N$1,"]")),MATCH(vp.tbl[[#This Row],[SDate]],weather.tbl[Date],0))</f>
        <v>-16.366666666666667</v>
      </c>
      <c r="O580" s="2">
        <f ca="1">INDEX(INDIRECT(_xlfn.CONCAT("weather.tbl[",O$1,"]")),MATCH(vp.tbl[[#This Row],[SDate]],weather.tbl[Date],0))</f>
        <v>-21.61904761904762</v>
      </c>
      <c r="P580" s="2">
        <f ca="1">INDEX(INDIRECT(_xlfn.CONCAT("weather.tbl[",P$1,"]")),MATCH(vp.tbl[[#This Row],[SDate]],weather.tbl[Date],0))</f>
        <v>-17.2</v>
      </c>
      <c r="Q580" s="2">
        <f ca="1">INDEX(INDIRECT(_xlfn.CONCAT("weather.tbl[",Q$1,"]")),MATCH(vp.tbl[[#This Row],[SDate]],weather.tbl[Date],0))</f>
        <v>-17.3</v>
      </c>
      <c r="R580" s="2">
        <f ca="1">INDEX(INDIRECT(_xlfn.CONCAT("weather.tbl[",R$1,"]")),MATCH(vp.tbl[[#This Row],[SDate]],weather.tbl[Date],0))</f>
        <v>-16</v>
      </c>
      <c r="S580" s="2">
        <f ca="1">INDEX(INDIRECT(_xlfn.CONCAT("weather.tbl[",S$1,"]")),MATCH(vp.tbl[[#This Row],[SDate]],weather.tbl[Date],0))</f>
        <v>-15.2</v>
      </c>
      <c r="T580" s="2">
        <f ca="1">INDEX(INDIRECT(_xlfn.CONCAT("weather.tbl[",T$1,"]")),MATCH(vp.tbl[[#This Row],[SDate]],weather.tbl[Date],0))</f>
        <v>-18.7</v>
      </c>
      <c r="U580" s="2">
        <f ca="1">INDEX(INDIRECT(_xlfn.CONCAT("weather.tbl[",U$1,"]")),MATCH(vp.tbl[[#This Row],[SDate]],weather.tbl[Date],0))</f>
        <v>-13.8</v>
      </c>
      <c r="V580" s="2">
        <v>21030.911</v>
      </c>
      <c r="W580" t="s">
        <v>48</v>
      </c>
      <c r="X580">
        <f>IF(OR(vp.tbl[[#This Row],[Sulf]]="",vp.tbl[[#This Row],[Dens]]=""),1,0)</f>
        <v>0</v>
      </c>
      <c r="Y580">
        <f>IF(vp.tbl[[#This Row],[CrudeType]]="C5+",1,0)</f>
        <v>0</v>
      </c>
      <c r="Z580">
        <f>IF(AND(vp.tbl[[#This Row],[CrudeType]]="Crude",vp.tbl[[#This Row],[Dens]]&lt;=825,vp.tbl[[#This Row],[Sulf]]&gt;0.5,vp.tbl[[#This Row],[Unknown]]=0),1,0)</f>
        <v>1</v>
      </c>
      <c r="AA580">
        <f>IF(AND(vp.tbl[[#This Row],[CrudeType]]="Crude",vp.tbl[[#This Row],[Dens]]&lt;=825,vp.tbl[[#This Row],[Sulf]]&lt;=0.5,vp.tbl[[#This Row],[Unknown]]=0),1,0)</f>
        <v>0</v>
      </c>
      <c r="AB580">
        <f>IF(AND(vp.tbl[[#This Row],[CrudeType]]="Crude",vp.tbl[[#This Row],[Dens]]&gt;825,vp.tbl[[#This Row],[Dens]]&lt;=870,vp.tbl[[#This Row],[Sulf]]&gt;0.5,vp.tbl[[#This Row],[Unknown]]=0),1,0)</f>
        <v>0</v>
      </c>
      <c r="AC580">
        <f>IF(AND(vp.tbl[[#This Row],[CrudeType]]="Crude",vp.tbl[[#This Row],[Dens]]&gt;825,vp.tbl[[#This Row],[Dens]]&lt;=900,vp.tbl[[#This Row],[Sulf]]&lt;=0.5,vp.tbl[[#This Row],[Unknown]]=0),1,0)</f>
        <v>0</v>
      </c>
      <c r="AD580">
        <f>IF(AND(vp.tbl[[#This Row],[CrudeType]]="Crude",vp.tbl[[#This Row],[Dens]]&gt;870,vp.tbl[[#This Row],[Dens]]&lt;=900,vp.tbl[[#This Row],[Sulf]]&gt;0.5,vp.tbl[[#This Row],[Unknown]]=0),1,0)</f>
        <v>0</v>
      </c>
      <c r="AE580">
        <f>IF(AND(vp.tbl[[#This Row],[CrudeType]]="Crude",vp.tbl[[#This Row],[Dens]]&gt;900,vp.tbl[[#This Row],[Sulf]]&lt;=0.5,vp.tbl[[#This Row],[Unknown]]=0),1,0)</f>
        <v>0</v>
      </c>
      <c r="AF580">
        <f>IF(AND(vp.tbl[[#This Row],[CrudeType]]="Crude",vp.tbl[[#This Row],[Dens]]&gt;900,vp.tbl[[#This Row],[Sulf]]&lt;=0.5,vp.tbl[[#This Row],[Unknown]]=0),1,0)</f>
        <v>0</v>
      </c>
      <c r="AG580" t="str">
        <f>INDEX(vp.tbl[[#Headers],[Unknown]:[Heavy_SW]],MATCH(1,vp.tbl[[#This Row],[Unknown]:[Heavy_SW]],0))</f>
        <v>Light_LSB</v>
      </c>
      <c r="AH580" t="e">
        <f>INDEX([1]!crudeBD.lkup[Number],MATCH(vp.tbl[[#This Row],[Crude_Breakdown]],[1]!crudeBD.lkup[Crude Breakdown],0))</f>
        <v>#REF!</v>
      </c>
      <c r="AI580">
        <f>MONTH(vp.tbl[[#This Row],[SDate]])</f>
        <v>1</v>
      </c>
      <c r="AJ580" s="5">
        <f>IFERROR(vp.tbl[[#This Row],[Sulf]]*vp.tbl[[#This Row],[Net Dens]],"")</f>
        <v>10049431.543151001</v>
      </c>
      <c r="AK580" s="5">
        <f>IFERROR(vp.tbl[[#This Row],[Dens]]*vp.tbl[[#This Row],[VolumeM3]],"")</f>
        <v>17032934.8189</v>
      </c>
      <c r="AL580" s="5">
        <f>IFERROR(vp.tbl[[#This Row],[VP]]*vp.tbl[[#This Row],[VolumeM3]],"")</f>
        <v>2100988.0089000002</v>
      </c>
      <c r="AM580" s="4">
        <f>IFERROR((vp.tbl[[#This Row],[VP]]-INDEX(crudeBD.lkup.complete[Mean_VP],MATCH(vp.tbl[[#This Row],[Crude_Breakdown]],crudeBD.lkup.complete[Crude Breakdown],0)))^2,"")</f>
        <v>69.786215580826436</v>
      </c>
      <c r="AN580" s="4">
        <f>IFERROR((vp.tbl[[#This Row],[Dens]]-INDEX(crudeBD.lkup.complete[Mean_Dens],MATCH(vp.tbl[[#This Row],[Crude_Breakdown]],crudeBD.lkup.complete[Crude Breakdown],0)))^2,"")</f>
        <v>74.248721087369944</v>
      </c>
      <c r="AO580" s="4">
        <f>IFERROR((vp.tbl[[#This Row],[Sulf]]-INDEX(crudeBD.lkup.complete[Mean_Sulf],MATCH(vp.tbl[[#This Row],[Crude_Breakdown]],crudeBD.lkup.complete[Crude Breakdown],0)))^2,"")</f>
        <v>0.11086979897559178</v>
      </c>
      <c r="AP580">
        <f>IF(AND(vp.tbl[[#This Row],[SDate]]&gt;=DATE(YEAR(vp.tbl[[#This Row],[SDate]]),5,1),vp.tbl[[#This Row],[SDate]]&lt;=DATE(YEAR(vp.tbl[[#This Row],[SDate]]),9,15)),1,0)</f>
        <v>0</v>
      </c>
      <c r="AQ580" s="15">
        <f>IF(vp.tbl[[#This Row],[SDate]]&lt;DATE(2016,12,1),0,1)</f>
        <v>1</v>
      </c>
    </row>
    <row r="581" spans="1:43" x14ac:dyDescent="0.25">
      <c r="A581">
        <v>580</v>
      </c>
      <c r="B581" t="s">
        <v>49</v>
      </c>
      <c r="C581" t="s">
        <v>49</v>
      </c>
      <c r="D581" t="s">
        <v>89</v>
      </c>
      <c r="F581" s="1">
        <v>42749</v>
      </c>
      <c r="G581" s="2">
        <v>104.1</v>
      </c>
      <c r="H581" s="2"/>
      <c r="I581" s="2">
        <v>0.7</v>
      </c>
      <c r="J581" s="2">
        <v>3</v>
      </c>
      <c r="K581" s="2">
        <v>-22</v>
      </c>
      <c r="L581" s="2">
        <v>810.3</v>
      </c>
      <c r="M581" s="2">
        <v>810.3</v>
      </c>
      <c r="N581" s="2">
        <f ca="1">INDEX(INDIRECT(_xlfn.CONCAT("weather.tbl[",N$1,"]")),MATCH(vp.tbl[[#This Row],[SDate]],weather.tbl[Date],0))</f>
        <v>-16.366666666666667</v>
      </c>
      <c r="O581" s="2">
        <f ca="1">INDEX(INDIRECT(_xlfn.CONCAT("weather.tbl[",O$1,"]")),MATCH(vp.tbl[[#This Row],[SDate]],weather.tbl[Date],0))</f>
        <v>-21.61904761904762</v>
      </c>
      <c r="P581" s="2">
        <f ca="1">INDEX(INDIRECT(_xlfn.CONCAT("weather.tbl[",P$1,"]")),MATCH(vp.tbl[[#This Row],[SDate]],weather.tbl[Date],0))</f>
        <v>-17.2</v>
      </c>
      <c r="Q581" s="2">
        <f ca="1">INDEX(INDIRECT(_xlfn.CONCAT("weather.tbl[",Q$1,"]")),MATCH(vp.tbl[[#This Row],[SDate]],weather.tbl[Date],0))</f>
        <v>-17.3</v>
      </c>
      <c r="R581" s="2">
        <f ca="1">INDEX(INDIRECT(_xlfn.CONCAT("weather.tbl[",R$1,"]")),MATCH(vp.tbl[[#This Row],[SDate]],weather.tbl[Date],0))</f>
        <v>-16</v>
      </c>
      <c r="S581" s="2">
        <f ca="1">INDEX(INDIRECT(_xlfn.CONCAT("weather.tbl[",S$1,"]")),MATCH(vp.tbl[[#This Row],[SDate]],weather.tbl[Date],0))</f>
        <v>-15.2</v>
      </c>
      <c r="T581" s="2">
        <f ca="1">INDEX(INDIRECT(_xlfn.CONCAT("weather.tbl[",T$1,"]")),MATCH(vp.tbl[[#This Row],[SDate]],weather.tbl[Date],0))</f>
        <v>-18.7</v>
      </c>
      <c r="U581" s="2">
        <f ca="1">INDEX(INDIRECT(_xlfn.CONCAT("weather.tbl[",U$1,"]")),MATCH(vp.tbl[[#This Row],[SDate]],weather.tbl[Date],0))</f>
        <v>-13.8</v>
      </c>
      <c r="V581" s="2">
        <v>6179.5609999999997</v>
      </c>
      <c r="W581" t="s">
        <v>48</v>
      </c>
      <c r="X581">
        <f>IF(OR(vp.tbl[[#This Row],[Sulf]]="",vp.tbl[[#This Row],[Dens]]=""),1,0)</f>
        <v>0</v>
      </c>
      <c r="Y581">
        <f>IF(vp.tbl[[#This Row],[CrudeType]]="C5+",1,0)</f>
        <v>0</v>
      </c>
      <c r="Z581">
        <f>IF(AND(vp.tbl[[#This Row],[CrudeType]]="Crude",vp.tbl[[#This Row],[Dens]]&lt;=825,vp.tbl[[#This Row],[Sulf]]&gt;0.5,vp.tbl[[#This Row],[Unknown]]=0),1,0)</f>
        <v>1</v>
      </c>
      <c r="AA581">
        <f>IF(AND(vp.tbl[[#This Row],[CrudeType]]="Crude",vp.tbl[[#This Row],[Dens]]&lt;=825,vp.tbl[[#This Row],[Sulf]]&lt;=0.5,vp.tbl[[#This Row],[Unknown]]=0),1,0)</f>
        <v>0</v>
      </c>
      <c r="AB581">
        <f>IF(AND(vp.tbl[[#This Row],[CrudeType]]="Crude",vp.tbl[[#This Row],[Dens]]&gt;825,vp.tbl[[#This Row],[Dens]]&lt;=870,vp.tbl[[#This Row],[Sulf]]&gt;0.5,vp.tbl[[#This Row],[Unknown]]=0),1,0)</f>
        <v>0</v>
      </c>
      <c r="AC581">
        <f>IF(AND(vp.tbl[[#This Row],[CrudeType]]="Crude",vp.tbl[[#This Row],[Dens]]&gt;825,vp.tbl[[#This Row],[Dens]]&lt;=900,vp.tbl[[#This Row],[Sulf]]&lt;=0.5,vp.tbl[[#This Row],[Unknown]]=0),1,0)</f>
        <v>0</v>
      </c>
      <c r="AD581">
        <f>IF(AND(vp.tbl[[#This Row],[CrudeType]]="Crude",vp.tbl[[#This Row],[Dens]]&gt;870,vp.tbl[[#This Row],[Dens]]&lt;=900,vp.tbl[[#This Row],[Sulf]]&gt;0.5,vp.tbl[[#This Row],[Unknown]]=0),1,0)</f>
        <v>0</v>
      </c>
      <c r="AE581">
        <f>IF(AND(vp.tbl[[#This Row],[CrudeType]]="Crude",vp.tbl[[#This Row],[Dens]]&gt;900,vp.tbl[[#This Row],[Sulf]]&lt;=0.5,vp.tbl[[#This Row],[Unknown]]=0),1,0)</f>
        <v>0</v>
      </c>
      <c r="AF581">
        <f>IF(AND(vp.tbl[[#This Row],[CrudeType]]="Crude",vp.tbl[[#This Row],[Dens]]&gt;900,vp.tbl[[#This Row],[Sulf]]&lt;=0.5,vp.tbl[[#This Row],[Unknown]]=0),1,0)</f>
        <v>0</v>
      </c>
      <c r="AG581" t="str">
        <f>INDEX(vp.tbl[[#Headers],[Unknown]:[Heavy_SW]],MATCH(1,vp.tbl[[#This Row],[Unknown]:[Heavy_SW]],0))</f>
        <v>Light_LSB</v>
      </c>
      <c r="AH581" t="e">
        <f>INDEX([1]!crudeBD.lkup[Number],MATCH(vp.tbl[[#This Row],[Crude_Breakdown]],[1]!crudeBD.lkup[Crude Breakdown],0))</f>
        <v>#REF!</v>
      </c>
      <c r="AI581">
        <f>MONTH(vp.tbl[[#This Row],[SDate]])</f>
        <v>1</v>
      </c>
      <c r="AJ581" s="5">
        <f>IFERROR(vp.tbl[[#This Row],[Sulf]]*vp.tbl[[#This Row],[Net Dens]],"")</f>
        <v>3505108.7948099994</v>
      </c>
      <c r="AK581" s="5">
        <f>IFERROR(vp.tbl[[#This Row],[Dens]]*vp.tbl[[#This Row],[VolumeM3]],"")</f>
        <v>5007298.2782999994</v>
      </c>
      <c r="AL581" s="5">
        <f>IFERROR(vp.tbl[[#This Row],[VP]]*vp.tbl[[#This Row],[VolumeM3]],"")</f>
        <v>643292.30009999988</v>
      </c>
      <c r="AM581" s="4">
        <f>IFERROR((vp.tbl[[#This Row],[VP]]-INDEX(crudeBD.lkup.complete[Mean_VP],MATCH(vp.tbl[[#This Row],[Crude_Breakdown]],crudeBD.lkup.complete[Crude Breakdown],0)))^2,"")</f>
        <v>157.59825681793936</v>
      </c>
      <c r="AN581" s="4">
        <f>IFERROR((vp.tbl[[#This Row],[Dens]]-INDEX(crudeBD.lkup.complete[Mean_Dens],MATCH(vp.tbl[[#This Row],[Crude_Breakdown]],crudeBD.lkup.complete[Crude Breakdown],0)))^2,"")</f>
        <v>67.51530527981042</v>
      </c>
      <c r="AO581" s="4">
        <f>IFERROR((vp.tbl[[#This Row],[Sulf]]-INDEX(crudeBD.lkup.complete[Mean_Sulf],MATCH(vp.tbl[[#This Row],[Crude_Breakdown]],crudeBD.lkup.complete[Crude Breakdown],0)))^2,"")</f>
        <v>4.9716141930918292E-2</v>
      </c>
      <c r="AP581">
        <f>IF(AND(vp.tbl[[#This Row],[SDate]]&gt;=DATE(YEAR(vp.tbl[[#This Row],[SDate]]),5,1),vp.tbl[[#This Row],[SDate]]&lt;=DATE(YEAR(vp.tbl[[#This Row],[SDate]]),9,15)),1,0)</f>
        <v>0</v>
      </c>
      <c r="AQ581" s="15">
        <f>IF(vp.tbl[[#This Row],[SDate]]&lt;DATE(2016,12,1),0,1)</f>
        <v>1</v>
      </c>
    </row>
    <row r="582" spans="1:43" x14ac:dyDescent="0.25">
      <c r="A582">
        <v>581</v>
      </c>
      <c r="B582" t="s">
        <v>49</v>
      </c>
      <c r="C582" t="s">
        <v>49</v>
      </c>
      <c r="D582" t="s">
        <v>99</v>
      </c>
      <c r="F582" s="1">
        <v>42749</v>
      </c>
      <c r="G582" s="2">
        <v>84</v>
      </c>
      <c r="H582" s="2"/>
      <c r="I582" s="2">
        <v>0.47</v>
      </c>
      <c r="J582" s="2">
        <v>8</v>
      </c>
      <c r="K582" s="2">
        <v>-22</v>
      </c>
      <c r="L582" s="2">
        <v>814.6</v>
      </c>
      <c r="M582" s="2">
        <v>814.6</v>
      </c>
      <c r="N582" s="2">
        <f ca="1">INDEX(INDIRECT(_xlfn.CONCAT("weather.tbl[",N$1,"]")),MATCH(vp.tbl[[#This Row],[SDate]],weather.tbl[Date],0))</f>
        <v>-16.366666666666667</v>
      </c>
      <c r="O582" s="2">
        <f ca="1">INDEX(INDIRECT(_xlfn.CONCAT("weather.tbl[",O$1,"]")),MATCH(vp.tbl[[#This Row],[SDate]],weather.tbl[Date],0))</f>
        <v>-21.61904761904762</v>
      </c>
      <c r="P582" s="2">
        <f ca="1">INDEX(INDIRECT(_xlfn.CONCAT("weather.tbl[",P$1,"]")),MATCH(vp.tbl[[#This Row],[SDate]],weather.tbl[Date],0))</f>
        <v>-17.2</v>
      </c>
      <c r="Q582" s="2">
        <f ca="1">INDEX(INDIRECT(_xlfn.CONCAT("weather.tbl[",Q$1,"]")),MATCH(vp.tbl[[#This Row],[SDate]],weather.tbl[Date],0))</f>
        <v>-17.3</v>
      </c>
      <c r="R582" s="2">
        <f ca="1">INDEX(INDIRECT(_xlfn.CONCAT("weather.tbl[",R$1,"]")),MATCH(vp.tbl[[#This Row],[SDate]],weather.tbl[Date],0))</f>
        <v>-16</v>
      </c>
      <c r="S582" s="2">
        <f ca="1">INDEX(INDIRECT(_xlfn.CONCAT("weather.tbl[",S$1,"]")),MATCH(vp.tbl[[#This Row],[SDate]],weather.tbl[Date],0))</f>
        <v>-15.2</v>
      </c>
      <c r="T582" s="2">
        <f ca="1">INDEX(INDIRECT(_xlfn.CONCAT("weather.tbl[",T$1,"]")),MATCH(vp.tbl[[#This Row],[SDate]],weather.tbl[Date],0))</f>
        <v>-18.7</v>
      </c>
      <c r="U582" s="2">
        <f ca="1">INDEX(INDIRECT(_xlfn.CONCAT("weather.tbl[",U$1,"]")),MATCH(vp.tbl[[#This Row],[SDate]],weather.tbl[Date],0))</f>
        <v>-13.8</v>
      </c>
      <c r="V582" s="2">
        <v>2607.1970000000001</v>
      </c>
      <c r="W582" t="s">
        <v>48</v>
      </c>
      <c r="X582">
        <f>IF(OR(vp.tbl[[#This Row],[Sulf]]="",vp.tbl[[#This Row],[Dens]]=""),1,0)</f>
        <v>0</v>
      </c>
      <c r="Y582">
        <f>IF(vp.tbl[[#This Row],[CrudeType]]="C5+",1,0)</f>
        <v>0</v>
      </c>
      <c r="Z582">
        <f>IF(AND(vp.tbl[[#This Row],[CrudeType]]="Crude",vp.tbl[[#This Row],[Dens]]&lt;=825,vp.tbl[[#This Row],[Sulf]]&gt;0.5,vp.tbl[[#This Row],[Unknown]]=0),1,0)</f>
        <v>0</v>
      </c>
      <c r="AA582">
        <f>IF(AND(vp.tbl[[#This Row],[CrudeType]]="Crude",vp.tbl[[#This Row],[Dens]]&lt;=825,vp.tbl[[#This Row],[Sulf]]&lt;=0.5,vp.tbl[[#This Row],[Unknown]]=0),1,0)</f>
        <v>1</v>
      </c>
      <c r="AB582">
        <f>IF(AND(vp.tbl[[#This Row],[CrudeType]]="Crude",vp.tbl[[#This Row],[Dens]]&gt;825,vp.tbl[[#This Row],[Dens]]&lt;=870,vp.tbl[[#This Row],[Sulf]]&gt;0.5,vp.tbl[[#This Row],[Unknown]]=0),1,0)</f>
        <v>0</v>
      </c>
      <c r="AC582">
        <f>IF(AND(vp.tbl[[#This Row],[CrudeType]]="Crude",vp.tbl[[#This Row],[Dens]]&gt;825,vp.tbl[[#This Row],[Dens]]&lt;=900,vp.tbl[[#This Row],[Sulf]]&lt;=0.5,vp.tbl[[#This Row],[Unknown]]=0),1,0)</f>
        <v>0</v>
      </c>
      <c r="AD582">
        <f>IF(AND(vp.tbl[[#This Row],[CrudeType]]="Crude",vp.tbl[[#This Row],[Dens]]&gt;870,vp.tbl[[#This Row],[Dens]]&lt;=900,vp.tbl[[#This Row],[Sulf]]&gt;0.5,vp.tbl[[#This Row],[Unknown]]=0),1,0)</f>
        <v>0</v>
      </c>
      <c r="AE582">
        <f>IF(AND(vp.tbl[[#This Row],[CrudeType]]="Crude",vp.tbl[[#This Row],[Dens]]&gt;900,vp.tbl[[#This Row],[Sulf]]&lt;=0.5,vp.tbl[[#This Row],[Unknown]]=0),1,0)</f>
        <v>0</v>
      </c>
      <c r="AF582">
        <f>IF(AND(vp.tbl[[#This Row],[CrudeType]]="Crude",vp.tbl[[#This Row],[Dens]]&gt;900,vp.tbl[[#This Row],[Sulf]]&lt;=0.5,vp.tbl[[#This Row],[Unknown]]=0),1,0)</f>
        <v>0</v>
      </c>
      <c r="AG582" t="str">
        <f>INDEX(vp.tbl[[#Headers],[Unknown]:[Heavy_SW]],MATCH(1,vp.tbl[[#This Row],[Unknown]:[Heavy_SW]],0))</f>
        <v>Light_SW</v>
      </c>
      <c r="AH582" t="e">
        <f>INDEX([1]!crudeBD.lkup[Number],MATCH(vp.tbl[[#This Row],[Crude_Breakdown]],[1]!crudeBD.lkup[Crude Breakdown],0))</f>
        <v>#REF!</v>
      </c>
      <c r="AI582">
        <f>MONTH(vp.tbl[[#This Row],[SDate]])</f>
        <v>1</v>
      </c>
      <c r="AJ582" s="5">
        <f>IFERROR(vp.tbl[[#This Row],[Sulf]]*vp.tbl[[#This Row],[Net Dens]],"")</f>
        <v>998196.65781400003</v>
      </c>
      <c r="AK582" s="5">
        <f>IFERROR(vp.tbl[[#This Row],[Dens]]*vp.tbl[[#This Row],[VolumeM3]],"")</f>
        <v>2123822.6762000001</v>
      </c>
      <c r="AL582" s="5">
        <f>IFERROR(vp.tbl[[#This Row],[VP]]*vp.tbl[[#This Row],[VolumeM3]],"")</f>
        <v>219004.54800000001</v>
      </c>
      <c r="AM582" s="4">
        <f>IFERROR((vp.tbl[[#This Row],[VP]]-INDEX(crudeBD.lkup.complete[Mean_VP],MATCH(vp.tbl[[#This Row],[Crude_Breakdown]],crudeBD.lkup.complete[Crude Breakdown],0)))^2,"")</f>
        <v>73.107862467675446</v>
      </c>
      <c r="AN582" s="4">
        <f>IFERROR((vp.tbl[[#This Row],[Dens]]-INDEX(crudeBD.lkup.complete[Mean_Dens],MATCH(vp.tbl[[#This Row],[Crude_Breakdown]],crudeBD.lkup.complete[Crude Breakdown],0)))^2,"")</f>
        <v>39.545254161155896</v>
      </c>
      <c r="AO582" s="4">
        <f>IFERROR((vp.tbl[[#This Row],[Sulf]]-INDEX(crudeBD.lkup.complete[Mean_Sulf],MATCH(vp.tbl[[#This Row],[Crude_Breakdown]],crudeBD.lkup.complete[Crude Breakdown],0)))^2,"")</f>
        <v>5.4642890528718388E-2</v>
      </c>
      <c r="AP582">
        <f>IF(AND(vp.tbl[[#This Row],[SDate]]&gt;=DATE(YEAR(vp.tbl[[#This Row],[SDate]]),5,1),vp.tbl[[#This Row],[SDate]]&lt;=DATE(YEAR(vp.tbl[[#This Row],[SDate]]),9,15)),1,0)</f>
        <v>0</v>
      </c>
      <c r="AQ582" s="15">
        <f>IF(vp.tbl[[#This Row],[SDate]]&lt;DATE(2016,12,1),0,1)</f>
        <v>1</v>
      </c>
    </row>
    <row r="583" spans="1:43" x14ac:dyDescent="0.25">
      <c r="A583">
        <v>582</v>
      </c>
      <c r="B583" t="s">
        <v>49</v>
      </c>
      <c r="C583" t="s">
        <v>49</v>
      </c>
      <c r="D583" t="s">
        <v>67</v>
      </c>
      <c r="F583" s="1">
        <v>42749</v>
      </c>
      <c r="G583" s="2">
        <v>110.7</v>
      </c>
      <c r="H583" s="2"/>
      <c r="I583" s="2">
        <v>0.59</v>
      </c>
      <c r="J583" s="2">
        <v>0</v>
      </c>
      <c r="K583" s="2">
        <v>-22</v>
      </c>
      <c r="L583" s="2">
        <v>814.8</v>
      </c>
      <c r="M583" s="2">
        <v>814.8</v>
      </c>
      <c r="N583" s="2">
        <f ca="1">INDEX(INDIRECT(_xlfn.CONCAT("weather.tbl[",N$1,"]")),MATCH(vp.tbl[[#This Row],[SDate]],weather.tbl[Date],0))</f>
        <v>-16.366666666666667</v>
      </c>
      <c r="O583" s="2">
        <f ca="1">INDEX(INDIRECT(_xlfn.CONCAT("weather.tbl[",O$1,"]")),MATCH(vp.tbl[[#This Row],[SDate]],weather.tbl[Date],0))</f>
        <v>-21.61904761904762</v>
      </c>
      <c r="P583" s="2">
        <f ca="1">INDEX(INDIRECT(_xlfn.CONCAT("weather.tbl[",P$1,"]")),MATCH(vp.tbl[[#This Row],[SDate]],weather.tbl[Date],0))</f>
        <v>-17.2</v>
      </c>
      <c r="Q583" s="2">
        <f ca="1">INDEX(INDIRECT(_xlfn.CONCAT("weather.tbl[",Q$1,"]")),MATCH(vp.tbl[[#This Row],[SDate]],weather.tbl[Date],0))</f>
        <v>-17.3</v>
      </c>
      <c r="R583" s="2">
        <f ca="1">INDEX(INDIRECT(_xlfn.CONCAT("weather.tbl[",R$1,"]")),MATCH(vp.tbl[[#This Row],[SDate]],weather.tbl[Date],0))</f>
        <v>-16</v>
      </c>
      <c r="S583" s="2">
        <f ca="1">INDEX(INDIRECT(_xlfn.CONCAT("weather.tbl[",S$1,"]")),MATCH(vp.tbl[[#This Row],[SDate]],weather.tbl[Date],0))</f>
        <v>-15.2</v>
      </c>
      <c r="T583" s="2">
        <f ca="1">INDEX(INDIRECT(_xlfn.CONCAT("weather.tbl[",T$1,"]")),MATCH(vp.tbl[[#This Row],[SDate]],weather.tbl[Date],0))</f>
        <v>-18.7</v>
      </c>
      <c r="U583" s="2">
        <f ca="1">INDEX(INDIRECT(_xlfn.CONCAT("weather.tbl[",U$1,"]")),MATCH(vp.tbl[[#This Row],[SDate]],weather.tbl[Date],0))</f>
        <v>-13.8</v>
      </c>
      <c r="V583" s="2">
        <v>122139.87</v>
      </c>
      <c r="W583" t="s">
        <v>48</v>
      </c>
      <c r="X583">
        <f>IF(OR(vp.tbl[[#This Row],[Sulf]]="",vp.tbl[[#This Row],[Dens]]=""),1,0)</f>
        <v>0</v>
      </c>
      <c r="Y583">
        <f>IF(vp.tbl[[#This Row],[CrudeType]]="C5+",1,0)</f>
        <v>0</v>
      </c>
      <c r="Z583">
        <f>IF(AND(vp.tbl[[#This Row],[CrudeType]]="Crude",vp.tbl[[#This Row],[Dens]]&lt;=825,vp.tbl[[#This Row],[Sulf]]&gt;0.5,vp.tbl[[#This Row],[Unknown]]=0),1,0)</f>
        <v>1</v>
      </c>
      <c r="AA583">
        <f>IF(AND(vp.tbl[[#This Row],[CrudeType]]="Crude",vp.tbl[[#This Row],[Dens]]&lt;=825,vp.tbl[[#This Row],[Sulf]]&lt;=0.5,vp.tbl[[#This Row],[Unknown]]=0),1,0)</f>
        <v>0</v>
      </c>
      <c r="AB583">
        <f>IF(AND(vp.tbl[[#This Row],[CrudeType]]="Crude",vp.tbl[[#This Row],[Dens]]&gt;825,vp.tbl[[#This Row],[Dens]]&lt;=870,vp.tbl[[#This Row],[Sulf]]&gt;0.5,vp.tbl[[#This Row],[Unknown]]=0),1,0)</f>
        <v>0</v>
      </c>
      <c r="AC583">
        <f>IF(AND(vp.tbl[[#This Row],[CrudeType]]="Crude",vp.tbl[[#This Row],[Dens]]&gt;825,vp.tbl[[#This Row],[Dens]]&lt;=900,vp.tbl[[#This Row],[Sulf]]&lt;=0.5,vp.tbl[[#This Row],[Unknown]]=0),1,0)</f>
        <v>0</v>
      </c>
      <c r="AD583">
        <f>IF(AND(vp.tbl[[#This Row],[CrudeType]]="Crude",vp.tbl[[#This Row],[Dens]]&gt;870,vp.tbl[[#This Row],[Dens]]&lt;=900,vp.tbl[[#This Row],[Sulf]]&gt;0.5,vp.tbl[[#This Row],[Unknown]]=0),1,0)</f>
        <v>0</v>
      </c>
      <c r="AE583">
        <f>IF(AND(vp.tbl[[#This Row],[CrudeType]]="Crude",vp.tbl[[#This Row],[Dens]]&gt;900,vp.tbl[[#This Row],[Sulf]]&lt;=0.5,vp.tbl[[#This Row],[Unknown]]=0),1,0)</f>
        <v>0</v>
      </c>
      <c r="AF583">
        <f>IF(AND(vp.tbl[[#This Row],[CrudeType]]="Crude",vp.tbl[[#This Row],[Dens]]&gt;900,vp.tbl[[#This Row],[Sulf]]&lt;=0.5,vp.tbl[[#This Row],[Unknown]]=0),1,0)</f>
        <v>0</v>
      </c>
      <c r="AG583" t="str">
        <f>INDEX(vp.tbl[[#Headers],[Unknown]:[Heavy_SW]],MATCH(1,vp.tbl[[#This Row],[Unknown]:[Heavy_SW]],0))</f>
        <v>Light_LSB</v>
      </c>
      <c r="AH583" t="e">
        <f>INDEX([1]!crudeBD.lkup[Number],MATCH(vp.tbl[[#This Row],[Crude_Breakdown]],[1]!crudeBD.lkup[Crude Breakdown],0))</f>
        <v>#REF!</v>
      </c>
      <c r="AI583">
        <f>MONTH(vp.tbl[[#This Row],[SDate]])</f>
        <v>1</v>
      </c>
      <c r="AJ583" s="5">
        <f>IFERROR(vp.tbl[[#This Row],[Sulf]]*vp.tbl[[#This Row],[Net Dens]],"")</f>
        <v>58716543.984839991</v>
      </c>
      <c r="AK583" s="5">
        <f>IFERROR(vp.tbl[[#This Row],[Dens]]*vp.tbl[[#This Row],[VolumeM3]],"")</f>
        <v>99519566.07599999</v>
      </c>
      <c r="AL583" s="5">
        <f>IFERROR(vp.tbl[[#This Row],[VP]]*vp.tbl[[#This Row],[VolumeM3]],"")</f>
        <v>13520883.608999999</v>
      </c>
      <c r="AM583" s="4">
        <f>IFERROR((vp.tbl[[#This Row],[VP]]-INDEX(crudeBD.lkup.complete[Mean_VP],MATCH(vp.tbl[[#This Row],[Crude_Breakdown]],crudeBD.lkup.complete[Crude Breakdown],0)))^2,"")</f>
        <v>366.86860733340308</v>
      </c>
      <c r="AN583" s="4">
        <f>IFERROR((vp.tbl[[#This Row],[Dens]]-INDEX(crudeBD.lkup.complete[Mean_Dens],MATCH(vp.tbl[[#This Row],[Crude_Breakdown]],crudeBD.lkup.complete[Crude Breakdown],0)))^2,"")</f>
        <v>13.814377444761291</v>
      </c>
      <c r="AO583" s="4">
        <f>IFERROR((vp.tbl[[#This Row],[Sulf]]-INDEX(crudeBD.lkup.complete[Mean_Sulf],MATCH(vp.tbl[[#This Row],[Crude_Breakdown]],crudeBD.lkup.complete[Crude Breakdown],0)))^2,"")</f>
        <v>0.11086979897559178</v>
      </c>
      <c r="AP583">
        <f>IF(AND(vp.tbl[[#This Row],[SDate]]&gt;=DATE(YEAR(vp.tbl[[#This Row],[SDate]]),5,1),vp.tbl[[#This Row],[SDate]]&lt;=DATE(YEAR(vp.tbl[[#This Row],[SDate]]),9,15)),1,0)</f>
        <v>0</v>
      </c>
      <c r="AQ583" s="15">
        <f>IF(vp.tbl[[#This Row],[SDate]]&lt;DATE(2016,12,1),0,1)</f>
        <v>1</v>
      </c>
    </row>
    <row r="584" spans="1:43" x14ac:dyDescent="0.25">
      <c r="A584">
        <v>583</v>
      </c>
      <c r="B584" t="s">
        <v>49</v>
      </c>
      <c r="C584" t="s">
        <v>49</v>
      </c>
      <c r="D584" t="s">
        <v>124</v>
      </c>
      <c r="F584" s="1">
        <v>42749</v>
      </c>
      <c r="G584" s="2">
        <v>61.4</v>
      </c>
      <c r="H584" s="2"/>
      <c r="I584" s="2">
        <v>2.2999999999999998</v>
      </c>
      <c r="J584" s="2">
        <v>17</v>
      </c>
      <c r="K584" s="2">
        <v>-22</v>
      </c>
      <c r="L584" s="2">
        <v>848.8</v>
      </c>
      <c r="M584" s="2">
        <v>848.8</v>
      </c>
      <c r="N584" s="2">
        <f ca="1">INDEX(INDIRECT(_xlfn.CONCAT("weather.tbl[",N$1,"]")),MATCH(vp.tbl[[#This Row],[SDate]],weather.tbl[Date],0))</f>
        <v>-16.366666666666667</v>
      </c>
      <c r="O584" s="2">
        <f ca="1">INDEX(INDIRECT(_xlfn.CONCAT("weather.tbl[",O$1,"]")),MATCH(vp.tbl[[#This Row],[SDate]],weather.tbl[Date],0))</f>
        <v>-21.61904761904762</v>
      </c>
      <c r="P584" s="2">
        <f ca="1">INDEX(INDIRECT(_xlfn.CONCAT("weather.tbl[",P$1,"]")),MATCH(vp.tbl[[#This Row],[SDate]],weather.tbl[Date],0))</f>
        <v>-17.2</v>
      </c>
      <c r="Q584" s="2">
        <f ca="1">INDEX(INDIRECT(_xlfn.CONCAT("weather.tbl[",Q$1,"]")),MATCH(vp.tbl[[#This Row],[SDate]],weather.tbl[Date],0))</f>
        <v>-17.3</v>
      </c>
      <c r="R584" s="2">
        <f ca="1">INDEX(INDIRECT(_xlfn.CONCAT("weather.tbl[",R$1,"]")),MATCH(vp.tbl[[#This Row],[SDate]],weather.tbl[Date],0))</f>
        <v>-16</v>
      </c>
      <c r="S584" s="2">
        <f ca="1">INDEX(INDIRECT(_xlfn.CONCAT("weather.tbl[",S$1,"]")),MATCH(vp.tbl[[#This Row],[SDate]],weather.tbl[Date],0))</f>
        <v>-15.2</v>
      </c>
      <c r="T584" s="2">
        <f ca="1">INDEX(INDIRECT(_xlfn.CONCAT("weather.tbl[",T$1,"]")),MATCH(vp.tbl[[#This Row],[SDate]],weather.tbl[Date],0))</f>
        <v>-18.7</v>
      </c>
      <c r="U584" s="2">
        <f ca="1">INDEX(INDIRECT(_xlfn.CONCAT("weather.tbl[",U$1,"]")),MATCH(vp.tbl[[#This Row],[SDate]],weather.tbl[Date],0))</f>
        <v>-13.8</v>
      </c>
      <c r="V584" s="2">
        <v>1326.066</v>
      </c>
      <c r="W584" t="s">
        <v>48</v>
      </c>
      <c r="X584">
        <f>IF(OR(vp.tbl[[#This Row],[Sulf]]="",vp.tbl[[#This Row],[Dens]]=""),1,0)</f>
        <v>0</v>
      </c>
      <c r="Y584">
        <f>IF(vp.tbl[[#This Row],[CrudeType]]="C5+",1,0)</f>
        <v>0</v>
      </c>
      <c r="Z584">
        <f>IF(AND(vp.tbl[[#This Row],[CrudeType]]="Crude",vp.tbl[[#This Row],[Dens]]&lt;=825,vp.tbl[[#This Row],[Sulf]]&gt;0.5,vp.tbl[[#This Row],[Unknown]]=0),1,0)</f>
        <v>0</v>
      </c>
      <c r="AA584">
        <f>IF(AND(vp.tbl[[#This Row],[CrudeType]]="Crude",vp.tbl[[#This Row],[Dens]]&lt;=825,vp.tbl[[#This Row],[Sulf]]&lt;=0.5,vp.tbl[[#This Row],[Unknown]]=0),1,0)</f>
        <v>0</v>
      </c>
      <c r="AB584">
        <f>IF(AND(vp.tbl[[#This Row],[CrudeType]]="Crude",vp.tbl[[#This Row],[Dens]]&gt;825,vp.tbl[[#This Row],[Dens]]&lt;=870,vp.tbl[[#This Row],[Sulf]]&gt;0.5,vp.tbl[[#This Row],[Unknown]]=0),1,0)</f>
        <v>1</v>
      </c>
      <c r="AC584">
        <f>IF(AND(vp.tbl[[#This Row],[CrudeType]]="Crude",vp.tbl[[#This Row],[Dens]]&gt;825,vp.tbl[[#This Row],[Dens]]&lt;=900,vp.tbl[[#This Row],[Sulf]]&lt;=0.5,vp.tbl[[#This Row],[Unknown]]=0),1,0)</f>
        <v>0</v>
      </c>
      <c r="AD584">
        <f>IF(AND(vp.tbl[[#This Row],[CrudeType]]="Crude",vp.tbl[[#This Row],[Dens]]&gt;870,vp.tbl[[#This Row],[Dens]]&lt;=900,vp.tbl[[#This Row],[Sulf]]&gt;0.5,vp.tbl[[#This Row],[Unknown]]=0),1,0)</f>
        <v>0</v>
      </c>
      <c r="AE584">
        <f>IF(AND(vp.tbl[[#This Row],[CrudeType]]="Crude",vp.tbl[[#This Row],[Dens]]&gt;900,vp.tbl[[#This Row],[Sulf]]&lt;=0.5,vp.tbl[[#This Row],[Unknown]]=0),1,0)</f>
        <v>0</v>
      </c>
      <c r="AF584">
        <f>IF(AND(vp.tbl[[#This Row],[CrudeType]]="Crude",vp.tbl[[#This Row],[Dens]]&gt;900,vp.tbl[[#This Row],[Sulf]]&lt;=0.5,vp.tbl[[#This Row],[Unknown]]=0),1,0)</f>
        <v>0</v>
      </c>
      <c r="AG584" t="str">
        <f>INDEX(vp.tbl[[#Headers],[Unknown]:[Heavy_SW]],MATCH(1,vp.tbl[[#This Row],[Unknown]:[Heavy_SW]],0))</f>
        <v>Medium_LSB</v>
      </c>
      <c r="AH584" t="e">
        <f>INDEX([1]!crudeBD.lkup[Number],MATCH(vp.tbl[[#This Row],[Crude_Breakdown]],[1]!crudeBD.lkup[Crude Breakdown],0))</f>
        <v>#REF!</v>
      </c>
      <c r="AI584">
        <f>MONTH(vp.tbl[[#This Row],[SDate]])</f>
        <v>1</v>
      </c>
      <c r="AJ584" s="5">
        <f>IFERROR(vp.tbl[[#This Row],[Sulf]]*vp.tbl[[#This Row],[Net Dens]],"")</f>
        <v>2588799.0878399997</v>
      </c>
      <c r="AK584" s="5">
        <f>IFERROR(vp.tbl[[#This Row],[Dens]]*vp.tbl[[#This Row],[VolumeM3]],"")</f>
        <v>1125564.8207999999</v>
      </c>
      <c r="AL584" s="5">
        <f>IFERROR(vp.tbl[[#This Row],[VP]]*vp.tbl[[#This Row],[VolumeM3]],"")</f>
        <v>81420.452399999995</v>
      </c>
      <c r="AM584" s="4">
        <f>IFERROR((vp.tbl[[#This Row],[VP]]-INDEX(crudeBD.lkup.complete[Mean_VP],MATCH(vp.tbl[[#This Row],[Crude_Breakdown]],crudeBD.lkup.complete[Crude Breakdown],0)))^2,"")</f>
        <v>352.44786684761925</v>
      </c>
      <c r="AN584" s="4">
        <f>IFERROR((vp.tbl[[#This Row],[Dens]]-INDEX(crudeBD.lkup.complete[Mean_Dens],MATCH(vp.tbl[[#This Row],[Crude_Breakdown]],crudeBD.lkup.complete[Crude Breakdown],0)))^2,"")</f>
        <v>12.307307373183965</v>
      </c>
      <c r="AO584" s="4">
        <f>IFERROR((vp.tbl[[#This Row],[Sulf]]-INDEX(crudeBD.lkup.complete[Mean_Sulf],MATCH(vp.tbl[[#This Row],[Crude_Breakdown]],crudeBD.lkup.complete[Crude Breakdown],0)))^2,"")</f>
        <v>0.71414354023596593</v>
      </c>
      <c r="AP584">
        <f>IF(AND(vp.tbl[[#This Row],[SDate]]&gt;=DATE(YEAR(vp.tbl[[#This Row],[SDate]]),5,1),vp.tbl[[#This Row],[SDate]]&lt;=DATE(YEAR(vp.tbl[[#This Row],[SDate]]),9,15)),1,0)</f>
        <v>0</v>
      </c>
      <c r="AQ584" s="15">
        <f>IF(vp.tbl[[#This Row],[SDate]]&lt;DATE(2016,12,1),0,1)</f>
        <v>1</v>
      </c>
    </row>
    <row r="585" spans="1:43" x14ac:dyDescent="0.25">
      <c r="A585">
        <v>584</v>
      </c>
      <c r="B585" t="s">
        <v>68</v>
      </c>
      <c r="C585" t="s">
        <v>68</v>
      </c>
      <c r="D585" t="s">
        <v>125</v>
      </c>
      <c r="F585" s="1">
        <v>42749</v>
      </c>
      <c r="G585" s="2">
        <v>67.2</v>
      </c>
      <c r="H585" s="2"/>
      <c r="I585" s="2">
        <v>1.57</v>
      </c>
      <c r="J585" s="2">
        <v>1</v>
      </c>
      <c r="K585" s="2">
        <v>-22</v>
      </c>
      <c r="L585" s="2">
        <v>853.5</v>
      </c>
      <c r="M585" s="2">
        <v>853.5</v>
      </c>
      <c r="N585" s="2">
        <f ca="1">INDEX(INDIRECT(_xlfn.CONCAT("weather.tbl[",N$1,"]")),MATCH(vp.tbl[[#This Row],[SDate]],weather.tbl[Date],0))</f>
        <v>-16.366666666666667</v>
      </c>
      <c r="O585" s="2">
        <f ca="1">INDEX(INDIRECT(_xlfn.CONCAT("weather.tbl[",O$1,"]")),MATCH(vp.tbl[[#This Row],[SDate]],weather.tbl[Date],0))</f>
        <v>-21.61904761904762</v>
      </c>
      <c r="P585" s="2">
        <f ca="1">INDEX(INDIRECT(_xlfn.CONCAT("weather.tbl[",P$1,"]")),MATCH(vp.tbl[[#This Row],[SDate]],weather.tbl[Date],0))</f>
        <v>-17.2</v>
      </c>
      <c r="Q585" s="2">
        <f ca="1">INDEX(INDIRECT(_xlfn.CONCAT("weather.tbl[",Q$1,"]")),MATCH(vp.tbl[[#This Row],[SDate]],weather.tbl[Date],0))</f>
        <v>-17.3</v>
      </c>
      <c r="R585" s="2">
        <f ca="1">INDEX(INDIRECT(_xlfn.CONCAT("weather.tbl[",R$1,"]")),MATCH(vp.tbl[[#This Row],[SDate]],weather.tbl[Date],0))</f>
        <v>-16</v>
      </c>
      <c r="S585" s="2">
        <f ca="1">INDEX(INDIRECT(_xlfn.CONCAT("weather.tbl[",S$1,"]")),MATCH(vp.tbl[[#This Row],[SDate]],weather.tbl[Date],0))</f>
        <v>-15.2</v>
      </c>
      <c r="T585" s="2">
        <f ca="1">INDEX(INDIRECT(_xlfn.CONCAT("weather.tbl[",T$1,"]")),MATCH(vp.tbl[[#This Row],[SDate]],weather.tbl[Date],0))</f>
        <v>-18.7</v>
      </c>
      <c r="U585" s="2">
        <f ca="1">INDEX(INDIRECT(_xlfn.CONCAT("weather.tbl[",U$1,"]")),MATCH(vp.tbl[[#This Row],[SDate]],weather.tbl[Date],0))</f>
        <v>-13.8</v>
      </c>
      <c r="V585" s="2">
        <v>2281.7359999999999</v>
      </c>
      <c r="W585" t="s">
        <v>48</v>
      </c>
      <c r="X585">
        <f>IF(OR(vp.tbl[[#This Row],[Sulf]]="",vp.tbl[[#This Row],[Dens]]=""),1,0)</f>
        <v>0</v>
      </c>
      <c r="Y585">
        <f>IF(vp.tbl[[#This Row],[CrudeType]]="C5+",1,0)</f>
        <v>0</v>
      </c>
      <c r="Z585">
        <f>IF(AND(vp.tbl[[#This Row],[CrudeType]]="Crude",vp.tbl[[#This Row],[Dens]]&lt;=825,vp.tbl[[#This Row],[Sulf]]&gt;0.5,vp.tbl[[#This Row],[Unknown]]=0),1,0)</f>
        <v>0</v>
      </c>
      <c r="AA585">
        <f>IF(AND(vp.tbl[[#This Row],[CrudeType]]="Crude",vp.tbl[[#This Row],[Dens]]&lt;=825,vp.tbl[[#This Row],[Sulf]]&lt;=0.5,vp.tbl[[#This Row],[Unknown]]=0),1,0)</f>
        <v>0</v>
      </c>
      <c r="AB585">
        <f>IF(AND(vp.tbl[[#This Row],[CrudeType]]="Crude",vp.tbl[[#This Row],[Dens]]&gt;825,vp.tbl[[#This Row],[Dens]]&lt;=870,vp.tbl[[#This Row],[Sulf]]&gt;0.5,vp.tbl[[#This Row],[Unknown]]=0),1,0)</f>
        <v>1</v>
      </c>
      <c r="AC585">
        <f>IF(AND(vp.tbl[[#This Row],[CrudeType]]="Crude",vp.tbl[[#This Row],[Dens]]&gt;825,vp.tbl[[#This Row],[Dens]]&lt;=900,vp.tbl[[#This Row],[Sulf]]&lt;=0.5,vp.tbl[[#This Row],[Unknown]]=0),1,0)</f>
        <v>0</v>
      </c>
      <c r="AD585">
        <f>IF(AND(vp.tbl[[#This Row],[CrudeType]]="Crude",vp.tbl[[#This Row],[Dens]]&gt;870,vp.tbl[[#This Row],[Dens]]&lt;=900,vp.tbl[[#This Row],[Sulf]]&gt;0.5,vp.tbl[[#This Row],[Unknown]]=0),1,0)</f>
        <v>0</v>
      </c>
      <c r="AE585">
        <f>IF(AND(vp.tbl[[#This Row],[CrudeType]]="Crude",vp.tbl[[#This Row],[Dens]]&gt;900,vp.tbl[[#This Row],[Sulf]]&lt;=0.5,vp.tbl[[#This Row],[Unknown]]=0),1,0)</f>
        <v>0</v>
      </c>
      <c r="AF585">
        <f>IF(AND(vp.tbl[[#This Row],[CrudeType]]="Crude",vp.tbl[[#This Row],[Dens]]&gt;900,vp.tbl[[#This Row],[Sulf]]&lt;=0.5,vp.tbl[[#This Row],[Unknown]]=0),1,0)</f>
        <v>0</v>
      </c>
      <c r="AG585" t="str">
        <f>INDEX(vp.tbl[[#Headers],[Unknown]:[Heavy_SW]],MATCH(1,vp.tbl[[#This Row],[Unknown]:[Heavy_SW]],0))</f>
        <v>Medium_LSB</v>
      </c>
      <c r="AH585" t="e">
        <f>INDEX([1]!crudeBD.lkup[Number],MATCH(vp.tbl[[#This Row],[Crude_Breakdown]],[1]!crudeBD.lkup[Crude Breakdown],0))</f>
        <v>#REF!</v>
      </c>
      <c r="AI585">
        <f>MONTH(vp.tbl[[#This Row],[SDate]])</f>
        <v>1</v>
      </c>
      <c r="AJ585" s="5">
        <f>IFERROR(vp.tbl[[#This Row],[Sulf]]*vp.tbl[[#This Row],[Net Dens]],"")</f>
        <v>3057514.8313199999</v>
      </c>
      <c r="AK585" s="5">
        <f>IFERROR(vp.tbl[[#This Row],[Dens]]*vp.tbl[[#This Row],[VolumeM3]],"")</f>
        <v>1947461.676</v>
      </c>
      <c r="AL585" s="5">
        <f>IFERROR(vp.tbl[[#This Row],[VP]]*vp.tbl[[#This Row],[VolumeM3]],"")</f>
        <v>153332.65919999999</v>
      </c>
      <c r="AM585" s="4">
        <f>IFERROR((vp.tbl[[#This Row],[VP]]-INDEX(crudeBD.lkup.complete[Mean_VP],MATCH(vp.tbl[[#This Row],[Crude_Breakdown]],crudeBD.lkup.complete[Crude Breakdown],0)))^2,"")</f>
        <v>168.31416558179677</v>
      </c>
      <c r="AN585" s="4">
        <f>IFERROR((vp.tbl[[#This Row],[Dens]]-INDEX(crudeBD.lkup.complete[Mean_Dens],MATCH(vp.tbl[[#This Row],[Crude_Breakdown]],crudeBD.lkup.complete[Crude Breakdown],0)))^2,"")</f>
        <v>67.374173195978344</v>
      </c>
      <c r="AO585" s="4">
        <f>IFERROR((vp.tbl[[#This Row],[Sulf]]-INDEX(crudeBD.lkup.complete[Mean_Sulf],MATCH(vp.tbl[[#This Row],[Crude_Breakdown]],crudeBD.lkup.complete[Crude Breakdown],0)))^2,"")</f>
        <v>1.3241136944829188E-2</v>
      </c>
      <c r="AP585">
        <f>IF(AND(vp.tbl[[#This Row],[SDate]]&gt;=DATE(YEAR(vp.tbl[[#This Row],[SDate]]),5,1),vp.tbl[[#This Row],[SDate]]&lt;=DATE(YEAR(vp.tbl[[#This Row],[SDate]]),9,15)),1,0)</f>
        <v>0</v>
      </c>
      <c r="AQ585" s="15">
        <f>IF(vp.tbl[[#This Row],[SDate]]&lt;DATE(2016,12,1),0,1)</f>
        <v>1</v>
      </c>
    </row>
    <row r="586" spans="1:43" x14ac:dyDescent="0.25">
      <c r="A586">
        <v>585</v>
      </c>
      <c r="B586" t="s">
        <v>62</v>
      </c>
      <c r="C586" t="s">
        <v>62</v>
      </c>
      <c r="D586" t="s">
        <v>63</v>
      </c>
      <c r="F586" s="1">
        <v>42750</v>
      </c>
      <c r="G586" s="2">
        <v>85.1</v>
      </c>
      <c r="H586" s="2"/>
      <c r="I586" s="2">
        <v>1.48</v>
      </c>
      <c r="J586" s="2">
        <v>13</v>
      </c>
      <c r="K586" s="2">
        <v>-8</v>
      </c>
      <c r="L586" s="2">
        <v>837.2</v>
      </c>
      <c r="M586" s="2">
        <v>837.2</v>
      </c>
      <c r="N586" s="2">
        <f ca="1">INDEX(INDIRECT(_xlfn.CONCAT("weather.tbl[",N$1,"]")),MATCH(vp.tbl[[#This Row],[SDate]],weather.tbl[Date],0))</f>
        <v>-12.466666666666667</v>
      </c>
      <c r="O586" s="2">
        <f ca="1">INDEX(INDIRECT(_xlfn.CONCAT("weather.tbl[",O$1,"]")),MATCH(vp.tbl[[#This Row],[SDate]],weather.tbl[Date],0))</f>
        <v>-20.254761904761903</v>
      </c>
      <c r="P586" s="2">
        <f ca="1">INDEX(INDIRECT(_xlfn.CONCAT("weather.tbl[",P$1,"]")),MATCH(vp.tbl[[#This Row],[SDate]],weather.tbl[Date],0))</f>
        <v>-12.9</v>
      </c>
      <c r="Q586" s="2">
        <f ca="1">INDEX(INDIRECT(_xlfn.CONCAT("weather.tbl[",Q$1,"]")),MATCH(vp.tbl[[#This Row],[SDate]],weather.tbl[Date],0))</f>
        <v>-12.5</v>
      </c>
      <c r="R586" s="2">
        <f ca="1">INDEX(INDIRECT(_xlfn.CONCAT("weather.tbl[",R$1,"]")),MATCH(vp.tbl[[#This Row],[SDate]],weather.tbl[Date],0))</f>
        <v>-13.8</v>
      </c>
      <c r="S586" s="2">
        <f ca="1">INDEX(INDIRECT(_xlfn.CONCAT("weather.tbl[",S$1,"]")),MATCH(vp.tbl[[#This Row],[SDate]],weather.tbl[Date],0))</f>
        <v>-11.4</v>
      </c>
      <c r="T586" s="2">
        <f ca="1">INDEX(INDIRECT(_xlfn.CONCAT("weather.tbl[",T$1,"]")),MATCH(vp.tbl[[#This Row],[SDate]],weather.tbl[Date],0))</f>
        <v>-13.7</v>
      </c>
      <c r="U586" s="2">
        <f ca="1">INDEX(INDIRECT(_xlfn.CONCAT("weather.tbl[",U$1,"]")),MATCH(vp.tbl[[#This Row],[SDate]],weather.tbl[Date],0))</f>
        <v>-10.5</v>
      </c>
      <c r="V586" s="2">
        <v>4893.7520000000004</v>
      </c>
      <c r="W586" t="s">
        <v>48</v>
      </c>
      <c r="X586">
        <f>IF(OR(vp.tbl[[#This Row],[Sulf]]="",vp.tbl[[#This Row],[Dens]]=""),1,0)</f>
        <v>0</v>
      </c>
      <c r="Y586">
        <f>IF(vp.tbl[[#This Row],[CrudeType]]="C5+",1,0)</f>
        <v>0</v>
      </c>
      <c r="Z586">
        <f>IF(AND(vp.tbl[[#This Row],[CrudeType]]="Crude",vp.tbl[[#This Row],[Dens]]&lt;=825,vp.tbl[[#This Row],[Sulf]]&gt;0.5,vp.tbl[[#This Row],[Unknown]]=0),1,0)</f>
        <v>0</v>
      </c>
      <c r="AA586">
        <f>IF(AND(vp.tbl[[#This Row],[CrudeType]]="Crude",vp.tbl[[#This Row],[Dens]]&lt;=825,vp.tbl[[#This Row],[Sulf]]&lt;=0.5,vp.tbl[[#This Row],[Unknown]]=0),1,0)</f>
        <v>0</v>
      </c>
      <c r="AB586">
        <f>IF(AND(vp.tbl[[#This Row],[CrudeType]]="Crude",vp.tbl[[#This Row],[Dens]]&gt;825,vp.tbl[[#This Row],[Dens]]&lt;=870,vp.tbl[[#This Row],[Sulf]]&gt;0.5,vp.tbl[[#This Row],[Unknown]]=0),1,0)</f>
        <v>1</v>
      </c>
      <c r="AC586">
        <f>IF(AND(vp.tbl[[#This Row],[CrudeType]]="Crude",vp.tbl[[#This Row],[Dens]]&gt;825,vp.tbl[[#This Row],[Dens]]&lt;=900,vp.tbl[[#This Row],[Sulf]]&lt;=0.5,vp.tbl[[#This Row],[Unknown]]=0),1,0)</f>
        <v>0</v>
      </c>
      <c r="AD586">
        <f>IF(AND(vp.tbl[[#This Row],[CrudeType]]="Crude",vp.tbl[[#This Row],[Dens]]&gt;870,vp.tbl[[#This Row],[Dens]]&lt;=900,vp.tbl[[#This Row],[Sulf]]&gt;0.5,vp.tbl[[#This Row],[Unknown]]=0),1,0)</f>
        <v>0</v>
      </c>
      <c r="AE586">
        <f>IF(AND(vp.tbl[[#This Row],[CrudeType]]="Crude",vp.tbl[[#This Row],[Dens]]&gt;900,vp.tbl[[#This Row],[Sulf]]&lt;=0.5,vp.tbl[[#This Row],[Unknown]]=0),1,0)</f>
        <v>0</v>
      </c>
      <c r="AF586">
        <f>IF(AND(vp.tbl[[#This Row],[CrudeType]]="Crude",vp.tbl[[#This Row],[Dens]]&gt;900,vp.tbl[[#This Row],[Sulf]]&lt;=0.5,vp.tbl[[#This Row],[Unknown]]=0),1,0)</f>
        <v>0</v>
      </c>
      <c r="AG586" t="str">
        <f>INDEX(vp.tbl[[#Headers],[Unknown]:[Heavy_SW]],MATCH(1,vp.tbl[[#This Row],[Unknown]:[Heavy_SW]],0))</f>
        <v>Medium_LSB</v>
      </c>
      <c r="AH586" t="e">
        <f>INDEX([1]!crudeBD.lkup[Number],MATCH(vp.tbl[[#This Row],[Crude_Breakdown]],[1]!crudeBD.lkup[Crude Breakdown],0))</f>
        <v>#REF!</v>
      </c>
      <c r="AI586">
        <f>MONTH(vp.tbl[[#This Row],[SDate]])</f>
        <v>1</v>
      </c>
      <c r="AJ586" s="5">
        <f>IFERROR(vp.tbl[[#This Row],[Sulf]]*vp.tbl[[#This Row],[Net Dens]],"")</f>
        <v>6063632.7781120008</v>
      </c>
      <c r="AK586" s="5">
        <f>IFERROR(vp.tbl[[#This Row],[Dens]]*vp.tbl[[#This Row],[VolumeM3]],"")</f>
        <v>4097049.1744000004</v>
      </c>
      <c r="AL586" s="5">
        <f>IFERROR(vp.tbl[[#This Row],[VP]]*vp.tbl[[#This Row],[VolumeM3]],"")</f>
        <v>416458.29519999999</v>
      </c>
      <c r="AM586" s="4">
        <f>IFERROR((vp.tbl[[#This Row],[VP]]-INDEX(crudeBD.lkup.complete[Mean_VP],MATCH(vp.tbl[[#This Row],[Crude_Breakdown]],crudeBD.lkup.complete[Crude Breakdown],0)))^2,"")</f>
        <v>24.26946684762088</v>
      </c>
      <c r="AN586" s="4">
        <f>IFERROR((vp.tbl[[#This Row],[Dens]]-INDEX(crudeBD.lkup.complete[Mean_Dens],MATCH(vp.tbl[[#This Row],[Crude_Breakdown]],crudeBD.lkup.complete[Crude Breakdown],0)))^2,"")</f>
        <v>65.477595980755638</v>
      </c>
      <c r="AO586" s="4">
        <f>IFERROR((vp.tbl[[#This Row],[Sulf]]-INDEX(crudeBD.lkup.complete[Mean_Sulf],MATCH(vp.tbl[[#This Row],[Crude_Breakdown]],crudeBD.lkup.complete[Crude Breakdown],0)))^2,"")</f>
        <v>6.2851188153830004E-4</v>
      </c>
      <c r="AP586">
        <f>IF(AND(vp.tbl[[#This Row],[SDate]]&gt;=DATE(YEAR(vp.tbl[[#This Row],[SDate]]),5,1),vp.tbl[[#This Row],[SDate]]&lt;=DATE(YEAR(vp.tbl[[#This Row],[SDate]]),9,15)),1,0)</f>
        <v>0</v>
      </c>
      <c r="AQ586" s="15">
        <f>IF(vp.tbl[[#This Row],[SDate]]&lt;DATE(2016,12,1),0,1)</f>
        <v>1</v>
      </c>
    </row>
    <row r="587" spans="1:43" x14ac:dyDescent="0.25">
      <c r="A587">
        <v>586</v>
      </c>
      <c r="B587" t="s">
        <v>51</v>
      </c>
      <c r="C587" t="s">
        <v>51</v>
      </c>
      <c r="D587" t="s">
        <v>126</v>
      </c>
      <c r="F587" s="1">
        <v>42750</v>
      </c>
      <c r="G587" s="2">
        <v>106.5</v>
      </c>
      <c r="H587" s="2"/>
      <c r="I587" s="2">
        <v>1.71</v>
      </c>
      <c r="J587" s="2">
        <v>5</v>
      </c>
      <c r="K587" s="2">
        <v>-8</v>
      </c>
      <c r="L587" s="2">
        <v>840.9</v>
      </c>
      <c r="M587" s="2">
        <v>840.9</v>
      </c>
      <c r="N587" s="2">
        <f ca="1">INDEX(INDIRECT(_xlfn.CONCAT("weather.tbl[",N$1,"]")),MATCH(vp.tbl[[#This Row],[SDate]],weather.tbl[Date],0))</f>
        <v>-12.466666666666667</v>
      </c>
      <c r="O587" s="2">
        <f ca="1">INDEX(INDIRECT(_xlfn.CONCAT("weather.tbl[",O$1,"]")),MATCH(vp.tbl[[#This Row],[SDate]],weather.tbl[Date],0))</f>
        <v>-20.254761904761903</v>
      </c>
      <c r="P587" s="2">
        <f ca="1">INDEX(INDIRECT(_xlfn.CONCAT("weather.tbl[",P$1,"]")),MATCH(vp.tbl[[#This Row],[SDate]],weather.tbl[Date],0))</f>
        <v>-12.9</v>
      </c>
      <c r="Q587" s="2">
        <f ca="1">INDEX(INDIRECT(_xlfn.CONCAT("weather.tbl[",Q$1,"]")),MATCH(vp.tbl[[#This Row],[SDate]],weather.tbl[Date],0))</f>
        <v>-12.5</v>
      </c>
      <c r="R587" s="2">
        <f ca="1">INDEX(INDIRECT(_xlfn.CONCAT("weather.tbl[",R$1,"]")),MATCH(vp.tbl[[#This Row],[SDate]],weather.tbl[Date],0))</f>
        <v>-13.8</v>
      </c>
      <c r="S587" s="2">
        <f ca="1">INDEX(INDIRECT(_xlfn.CONCAT("weather.tbl[",S$1,"]")),MATCH(vp.tbl[[#This Row],[SDate]],weather.tbl[Date],0))</f>
        <v>-11.4</v>
      </c>
      <c r="T587" s="2">
        <f ca="1">INDEX(INDIRECT(_xlfn.CONCAT("weather.tbl[",T$1,"]")),MATCH(vp.tbl[[#This Row],[SDate]],weather.tbl[Date],0))</f>
        <v>-13.7</v>
      </c>
      <c r="U587" s="2">
        <f ca="1">INDEX(INDIRECT(_xlfn.CONCAT("weather.tbl[",U$1,"]")),MATCH(vp.tbl[[#This Row],[SDate]],weather.tbl[Date],0))</f>
        <v>-10.5</v>
      </c>
      <c r="V587" s="2">
        <v>1144.7719999999999</v>
      </c>
      <c r="W587" t="s">
        <v>48</v>
      </c>
      <c r="X587">
        <f>IF(OR(vp.tbl[[#This Row],[Sulf]]="",vp.tbl[[#This Row],[Dens]]=""),1,0)</f>
        <v>0</v>
      </c>
      <c r="Y587">
        <f>IF(vp.tbl[[#This Row],[CrudeType]]="C5+",1,0)</f>
        <v>0</v>
      </c>
      <c r="Z587">
        <f>IF(AND(vp.tbl[[#This Row],[CrudeType]]="Crude",vp.tbl[[#This Row],[Dens]]&lt;=825,vp.tbl[[#This Row],[Sulf]]&gt;0.5,vp.tbl[[#This Row],[Unknown]]=0),1,0)</f>
        <v>0</v>
      </c>
      <c r="AA587">
        <f>IF(AND(vp.tbl[[#This Row],[CrudeType]]="Crude",vp.tbl[[#This Row],[Dens]]&lt;=825,vp.tbl[[#This Row],[Sulf]]&lt;=0.5,vp.tbl[[#This Row],[Unknown]]=0),1,0)</f>
        <v>0</v>
      </c>
      <c r="AB587">
        <f>IF(AND(vp.tbl[[#This Row],[CrudeType]]="Crude",vp.tbl[[#This Row],[Dens]]&gt;825,vp.tbl[[#This Row],[Dens]]&lt;=870,vp.tbl[[#This Row],[Sulf]]&gt;0.5,vp.tbl[[#This Row],[Unknown]]=0),1,0)</f>
        <v>1</v>
      </c>
      <c r="AC587">
        <f>IF(AND(vp.tbl[[#This Row],[CrudeType]]="Crude",vp.tbl[[#This Row],[Dens]]&gt;825,vp.tbl[[#This Row],[Dens]]&lt;=900,vp.tbl[[#This Row],[Sulf]]&lt;=0.5,vp.tbl[[#This Row],[Unknown]]=0),1,0)</f>
        <v>0</v>
      </c>
      <c r="AD587">
        <f>IF(AND(vp.tbl[[#This Row],[CrudeType]]="Crude",vp.tbl[[#This Row],[Dens]]&gt;870,vp.tbl[[#This Row],[Dens]]&lt;=900,vp.tbl[[#This Row],[Sulf]]&gt;0.5,vp.tbl[[#This Row],[Unknown]]=0),1,0)</f>
        <v>0</v>
      </c>
      <c r="AE587">
        <f>IF(AND(vp.tbl[[#This Row],[CrudeType]]="Crude",vp.tbl[[#This Row],[Dens]]&gt;900,vp.tbl[[#This Row],[Sulf]]&lt;=0.5,vp.tbl[[#This Row],[Unknown]]=0),1,0)</f>
        <v>0</v>
      </c>
      <c r="AF587">
        <f>IF(AND(vp.tbl[[#This Row],[CrudeType]]="Crude",vp.tbl[[#This Row],[Dens]]&gt;900,vp.tbl[[#This Row],[Sulf]]&lt;=0.5,vp.tbl[[#This Row],[Unknown]]=0),1,0)</f>
        <v>0</v>
      </c>
      <c r="AG587" t="str">
        <f>INDEX(vp.tbl[[#Headers],[Unknown]:[Heavy_SW]],MATCH(1,vp.tbl[[#This Row],[Unknown]:[Heavy_SW]],0))</f>
        <v>Medium_LSB</v>
      </c>
      <c r="AH587" t="e">
        <f>INDEX([1]!crudeBD.lkup[Number],MATCH(vp.tbl[[#This Row],[Crude_Breakdown]],[1]!crudeBD.lkup[Crude Breakdown],0))</f>
        <v>#REF!</v>
      </c>
      <c r="AI587">
        <f>MONTH(vp.tbl[[#This Row],[SDate]])</f>
        <v>1</v>
      </c>
      <c r="AJ587" s="5">
        <f>IFERROR(vp.tbl[[#This Row],[Sulf]]*vp.tbl[[#This Row],[Net Dens]],"")</f>
        <v>1646112.3049079997</v>
      </c>
      <c r="AK587" s="5">
        <f>IFERROR(vp.tbl[[#This Row],[Dens]]*vp.tbl[[#This Row],[VolumeM3]],"")</f>
        <v>962638.7747999999</v>
      </c>
      <c r="AL587" s="5">
        <f>IFERROR(vp.tbl[[#This Row],[VP]]*vp.tbl[[#This Row],[VolumeM3]],"")</f>
        <v>121918.21799999999</v>
      </c>
      <c r="AM587" s="4">
        <f>IFERROR((vp.tbl[[#This Row],[VP]]-INDEX(crudeBD.lkup.complete[Mean_VP],MATCH(vp.tbl[[#This Row],[Crude_Breakdown]],crudeBD.lkup.complete[Crude Breakdown],0)))^2,"")</f>
        <v>693.07960355648322</v>
      </c>
      <c r="AN587" s="4">
        <f>IFERROR((vp.tbl[[#This Row],[Dens]]-INDEX(crudeBD.lkup.complete[Mean_Dens],MATCH(vp.tbl[[#This Row],[Crude_Breakdown]],crudeBD.lkup.complete[Crude Breakdown],0)))^2,"")</f>
        <v>19.288107373168927</v>
      </c>
      <c r="AO587" s="4">
        <f>IFERROR((vp.tbl[[#This Row],[Sulf]]-INDEX(crudeBD.lkup.complete[Mean_Sulf],MATCH(vp.tbl[[#This Row],[Crude_Breakdown]],crudeBD.lkup.complete[Crude Breakdown],0)))^2,"")</f>
        <v>6.5060775932170509E-2</v>
      </c>
      <c r="AP587">
        <f>IF(AND(vp.tbl[[#This Row],[SDate]]&gt;=DATE(YEAR(vp.tbl[[#This Row],[SDate]]),5,1),vp.tbl[[#This Row],[SDate]]&lt;=DATE(YEAR(vp.tbl[[#This Row],[SDate]]),9,15)),1,0)</f>
        <v>0</v>
      </c>
      <c r="AQ587" s="15">
        <f>IF(vp.tbl[[#This Row],[SDate]]&lt;DATE(2016,12,1),0,1)</f>
        <v>1</v>
      </c>
    </row>
    <row r="588" spans="1:43" x14ac:dyDescent="0.25">
      <c r="A588">
        <v>587</v>
      </c>
      <c r="B588" t="s">
        <v>127</v>
      </c>
      <c r="C588" t="s">
        <v>127</v>
      </c>
      <c r="D588" t="s">
        <v>128</v>
      </c>
      <c r="F588" s="1">
        <v>42750</v>
      </c>
      <c r="G588" s="2">
        <v>81.5</v>
      </c>
      <c r="H588" s="2"/>
      <c r="I588" s="2">
        <v>1.7</v>
      </c>
      <c r="J588" s="2">
        <v>-4</v>
      </c>
      <c r="K588" s="2">
        <v>-8</v>
      </c>
      <c r="L588" s="2">
        <v>845.5</v>
      </c>
      <c r="M588" s="2">
        <v>845.5</v>
      </c>
      <c r="N588" s="2">
        <f ca="1">INDEX(INDIRECT(_xlfn.CONCAT("weather.tbl[",N$1,"]")),MATCH(vp.tbl[[#This Row],[SDate]],weather.tbl[Date],0))</f>
        <v>-12.466666666666667</v>
      </c>
      <c r="O588" s="2">
        <f ca="1">INDEX(INDIRECT(_xlfn.CONCAT("weather.tbl[",O$1,"]")),MATCH(vp.tbl[[#This Row],[SDate]],weather.tbl[Date],0))</f>
        <v>-20.254761904761903</v>
      </c>
      <c r="P588" s="2">
        <f ca="1">INDEX(INDIRECT(_xlfn.CONCAT("weather.tbl[",P$1,"]")),MATCH(vp.tbl[[#This Row],[SDate]],weather.tbl[Date],0))</f>
        <v>-12.9</v>
      </c>
      <c r="Q588" s="2">
        <f ca="1">INDEX(INDIRECT(_xlfn.CONCAT("weather.tbl[",Q$1,"]")),MATCH(vp.tbl[[#This Row],[SDate]],weather.tbl[Date],0))</f>
        <v>-12.5</v>
      </c>
      <c r="R588" s="2">
        <f ca="1">INDEX(INDIRECT(_xlfn.CONCAT("weather.tbl[",R$1,"]")),MATCH(vp.tbl[[#This Row],[SDate]],weather.tbl[Date],0))</f>
        <v>-13.8</v>
      </c>
      <c r="S588" s="2">
        <f ca="1">INDEX(INDIRECT(_xlfn.CONCAT("weather.tbl[",S$1,"]")),MATCH(vp.tbl[[#This Row],[SDate]],weather.tbl[Date],0))</f>
        <v>-11.4</v>
      </c>
      <c r="T588" s="2">
        <f ca="1">INDEX(INDIRECT(_xlfn.CONCAT("weather.tbl[",T$1,"]")),MATCH(vp.tbl[[#This Row],[SDate]],weather.tbl[Date],0))</f>
        <v>-13.7</v>
      </c>
      <c r="U588" s="2">
        <f ca="1">INDEX(INDIRECT(_xlfn.CONCAT("weather.tbl[",U$1,"]")),MATCH(vp.tbl[[#This Row],[SDate]],weather.tbl[Date],0))</f>
        <v>-10.5</v>
      </c>
      <c r="V588" s="2">
        <v>346.90199999999999</v>
      </c>
      <c r="W588" t="s">
        <v>48</v>
      </c>
      <c r="X588">
        <f>IF(OR(vp.tbl[[#This Row],[Sulf]]="",vp.tbl[[#This Row],[Dens]]=""),1,0)</f>
        <v>0</v>
      </c>
      <c r="Y588">
        <f>IF(vp.tbl[[#This Row],[CrudeType]]="C5+",1,0)</f>
        <v>0</v>
      </c>
      <c r="Z588">
        <f>IF(AND(vp.tbl[[#This Row],[CrudeType]]="Crude",vp.tbl[[#This Row],[Dens]]&lt;=825,vp.tbl[[#This Row],[Sulf]]&gt;0.5,vp.tbl[[#This Row],[Unknown]]=0),1,0)</f>
        <v>0</v>
      </c>
      <c r="AA588">
        <f>IF(AND(vp.tbl[[#This Row],[CrudeType]]="Crude",vp.tbl[[#This Row],[Dens]]&lt;=825,vp.tbl[[#This Row],[Sulf]]&lt;=0.5,vp.tbl[[#This Row],[Unknown]]=0),1,0)</f>
        <v>0</v>
      </c>
      <c r="AB588">
        <f>IF(AND(vp.tbl[[#This Row],[CrudeType]]="Crude",vp.tbl[[#This Row],[Dens]]&gt;825,vp.tbl[[#This Row],[Dens]]&lt;=870,vp.tbl[[#This Row],[Sulf]]&gt;0.5,vp.tbl[[#This Row],[Unknown]]=0),1,0)</f>
        <v>1</v>
      </c>
      <c r="AC588">
        <f>IF(AND(vp.tbl[[#This Row],[CrudeType]]="Crude",vp.tbl[[#This Row],[Dens]]&gt;825,vp.tbl[[#This Row],[Dens]]&lt;=900,vp.tbl[[#This Row],[Sulf]]&lt;=0.5,vp.tbl[[#This Row],[Unknown]]=0),1,0)</f>
        <v>0</v>
      </c>
      <c r="AD588">
        <f>IF(AND(vp.tbl[[#This Row],[CrudeType]]="Crude",vp.tbl[[#This Row],[Dens]]&gt;870,vp.tbl[[#This Row],[Dens]]&lt;=900,vp.tbl[[#This Row],[Sulf]]&gt;0.5,vp.tbl[[#This Row],[Unknown]]=0),1,0)</f>
        <v>0</v>
      </c>
      <c r="AE588">
        <f>IF(AND(vp.tbl[[#This Row],[CrudeType]]="Crude",vp.tbl[[#This Row],[Dens]]&gt;900,vp.tbl[[#This Row],[Sulf]]&lt;=0.5,vp.tbl[[#This Row],[Unknown]]=0),1,0)</f>
        <v>0</v>
      </c>
      <c r="AF588">
        <f>IF(AND(vp.tbl[[#This Row],[CrudeType]]="Crude",vp.tbl[[#This Row],[Dens]]&gt;900,vp.tbl[[#This Row],[Sulf]]&lt;=0.5,vp.tbl[[#This Row],[Unknown]]=0),1,0)</f>
        <v>0</v>
      </c>
      <c r="AG588" t="str">
        <f>INDEX(vp.tbl[[#Headers],[Unknown]:[Heavy_SW]],MATCH(1,vp.tbl[[#This Row],[Unknown]:[Heavy_SW]],0))</f>
        <v>Medium_LSB</v>
      </c>
      <c r="AH588" t="e">
        <f>INDEX([1]!crudeBD.lkup[Number],MATCH(vp.tbl[[#This Row],[Crude_Breakdown]],[1]!crudeBD.lkup[Crude Breakdown],0))</f>
        <v>#REF!</v>
      </c>
      <c r="AI588">
        <f>MONTH(vp.tbl[[#This Row],[SDate]])</f>
        <v>1</v>
      </c>
      <c r="AJ588" s="5">
        <f>IFERROR(vp.tbl[[#This Row],[Sulf]]*vp.tbl[[#This Row],[Net Dens]],"")</f>
        <v>498619.58970000001</v>
      </c>
      <c r="AK588" s="5">
        <f>IFERROR(vp.tbl[[#This Row],[Dens]]*vp.tbl[[#This Row],[VolumeM3]],"")</f>
        <v>293305.641</v>
      </c>
      <c r="AL588" s="5">
        <f>IFERROR(vp.tbl[[#This Row],[VP]]*vp.tbl[[#This Row],[VolumeM3]],"")</f>
        <v>28272.512999999999</v>
      </c>
      <c r="AM588" s="4">
        <f>IFERROR((vp.tbl[[#This Row],[VP]]-INDEX(crudeBD.lkup.complete[Mean_VP],MATCH(vp.tbl[[#This Row],[Crude_Breakdown]],crudeBD.lkup.complete[Crude Breakdown],0)))^2,"")</f>
        <v>1.7593503919244691</v>
      </c>
      <c r="AN588" s="4">
        <f>IFERROR((vp.tbl[[#This Row],[Dens]]-INDEX(crudeBD.lkup.complete[Mean_Dens],MATCH(vp.tbl[[#This Row],[Crude_Breakdown]],crudeBD.lkup.complete[Crude Breakdown],0)))^2,"")</f>
        <v>4.3337752924620832E-2</v>
      </c>
      <c r="AO588" s="4">
        <f>IFERROR((vp.tbl[[#This Row],[Sulf]]-INDEX(crudeBD.lkup.complete[Mean_Sulf],MATCH(vp.tbl[[#This Row],[Crude_Breakdown]],crudeBD.lkup.complete[Crude Breakdown],0)))^2,"")</f>
        <v>6.0059373147360415E-2</v>
      </c>
      <c r="AP588">
        <f>IF(AND(vp.tbl[[#This Row],[SDate]]&gt;=DATE(YEAR(vp.tbl[[#This Row],[SDate]]),5,1),vp.tbl[[#This Row],[SDate]]&lt;=DATE(YEAR(vp.tbl[[#This Row],[SDate]]),9,15)),1,0)</f>
        <v>0</v>
      </c>
      <c r="AQ588" s="15">
        <f>IF(vp.tbl[[#This Row],[SDate]]&lt;DATE(2016,12,1),0,1)</f>
        <v>1</v>
      </c>
    </row>
    <row r="589" spans="1:43" x14ac:dyDescent="0.25">
      <c r="A589">
        <v>588</v>
      </c>
      <c r="B589" t="s">
        <v>129</v>
      </c>
      <c r="C589" t="s">
        <v>129</v>
      </c>
      <c r="D589" t="s">
        <v>130</v>
      </c>
      <c r="F589" s="1">
        <v>42750</v>
      </c>
      <c r="G589" s="2">
        <v>92</v>
      </c>
      <c r="H589" s="2"/>
      <c r="I589" s="2">
        <v>1.71</v>
      </c>
      <c r="J589" s="2">
        <v>20</v>
      </c>
      <c r="K589" s="2">
        <v>-8</v>
      </c>
      <c r="L589" s="2">
        <v>845.7</v>
      </c>
      <c r="M589" s="2">
        <v>845.7</v>
      </c>
      <c r="N589" s="2">
        <f ca="1">INDEX(INDIRECT(_xlfn.CONCAT("weather.tbl[",N$1,"]")),MATCH(vp.tbl[[#This Row],[SDate]],weather.tbl[Date],0))</f>
        <v>-12.466666666666667</v>
      </c>
      <c r="O589" s="2">
        <f ca="1">INDEX(INDIRECT(_xlfn.CONCAT("weather.tbl[",O$1,"]")),MATCH(vp.tbl[[#This Row],[SDate]],weather.tbl[Date],0))</f>
        <v>-20.254761904761903</v>
      </c>
      <c r="P589" s="2">
        <f ca="1">INDEX(INDIRECT(_xlfn.CONCAT("weather.tbl[",P$1,"]")),MATCH(vp.tbl[[#This Row],[SDate]],weather.tbl[Date],0))</f>
        <v>-12.9</v>
      </c>
      <c r="Q589" s="2">
        <f ca="1">INDEX(INDIRECT(_xlfn.CONCAT("weather.tbl[",Q$1,"]")),MATCH(vp.tbl[[#This Row],[SDate]],weather.tbl[Date],0))</f>
        <v>-12.5</v>
      </c>
      <c r="R589" s="2">
        <f ca="1">INDEX(INDIRECT(_xlfn.CONCAT("weather.tbl[",R$1,"]")),MATCH(vp.tbl[[#This Row],[SDate]],weather.tbl[Date],0))</f>
        <v>-13.8</v>
      </c>
      <c r="S589" s="2">
        <f ca="1">INDEX(INDIRECT(_xlfn.CONCAT("weather.tbl[",S$1,"]")),MATCH(vp.tbl[[#This Row],[SDate]],weather.tbl[Date],0))</f>
        <v>-11.4</v>
      </c>
      <c r="T589" s="2">
        <f ca="1">INDEX(INDIRECT(_xlfn.CONCAT("weather.tbl[",T$1,"]")),MATCH(vp.tbl[[#This Row],[SDate]],weather.tbl[Date],0))</f>
        <v>-13.7</v>
      </c>
      <c r="U589" s="2">
        <f ca="1">INDEX(INDIRECT(_xlfn.CONCAT("weather.tbl[",U$1,"]")),MATCH(vp.tbl[[#This Row],[SDate]],weather.tbl[Date],0))</f>
        <v>-10.5</v>
      </c>
      <c r="V589" s="2">
        <v>2227.4670000000001</v>
      </c>
      <c r="W589" t="s">
        <v>48</v>
      </c>
      <c r="X589">
        <f>IF(OR(vp.tbl[[#This Row],[Sulf]]="",vp.tbl[[#This Row],[Dens]]=""),1,0)</f>
        <v>0</v>
      </c>
      <c r="Y589">
        <f>IF(vp.tbl[[#This Row],[CrudeType]]="C5+",1,0)</f>
        <v>0</v>
      </c>
      <c r="Z589">
        <f>IF(AND(vp.tbl[[#This Row],[CrudeType]]="Crude",vp.tbl[[#This Row],[Dens]]&lt;=825,vp.tbl[[#This Row],[Sulf]]&gt;0.5,vp.tbl[[#This Row],[Unknown]]=0),1,0)</f>
        <v>0</v>
      </c>
      <c r="AA589">
        <f>IF(AND(vp.tbl[[#This Row],[CrudeType]]="Crude",vp.tbl[[#This Row],[Dens]]&lt;=825,vp.tbl[[#This Row],[Sulf]]&lt;=0.5,vp.tbl[[#This Row],[Unknown]]=0),1,0)</f>
        <v>0</v>
      </c>
      <c r="AB589">
        <f>IF(AND(vp.tbl[[#This Row],[CrudeType]]="Crude",vp.tbl[[#This Row],[Dens]]&gt;825,vp.tbl[[#This Row],[Dens]]&lt;=870,vp.tbl[[#This Row],[Sulf]]&gt;0.5,vp.tbl[[#This Row],[Unknown]]=0),1,0)</f>
        <v>1</v>
      </c>
      <c r="AC589">
        <f>IF(AND(vp.tbl[[#This Row],[CrudeType]]="Crude",vp.tbl[[#This Row],[Dens]]&gt;825,vp.tbl[[#This Row],[Dens]]&lt;=900,vp.tbl[[#This Row],[Sulf]]&lt;=0.5,vp.tbl[[#This Row],[Unknown]]=0),1,0)</f>
        <v>0</v>
      </c>
      <c r="AD589">
        <f>IF(AND(vp.tbl[[#This Row],[CrudeType]]="Crude",vp.tbl[[#This Row],[Dens]]&gt;870,vp.tbl[[#This Row],[Dens]]&lt;=900,vp.tbl[[#This Row],[Sulf]]&gt;0.5,vp.tbl[[#This Row],[Unknown]]=0),1,0)</f>
        <v>0</v>
      </c>
      <c r="AE589">
        <f>IF(AND(vp.tbl[[#This Row],[CrudeType]]="Crude",vp.tbl[[#This Row],[Dens]]&gt;900,vp.tbl[[#This Row],[Sulf]]&lt;=0.5,vp.tbl[[#This Row],[Unknown]]=0),1,0)</f>
        <v>0</v>
      </c>
      <c r="AF589">
        <f>IF(AND(vp.tbl[[#This Row],[CrudeType]]="Crude",vp.tbl[[#This Row],[Dens]]&gt;900,vp.tbl[[#This Row],[Sulf]]&lt;=0.5,vp.tbl[[#This Row],[Unknown]]=0),1,0)</f>
        <v>0</v>
      </c>
      <c r="AG589" t="str">
        <f>INDEX(vp.tbl[[#Headers],[Unknown]:[Heavy_SW]],MATCH(1,vp.tbl[[#This Row],[Unknown]:[Heavy_SW]],0))</f>
        <v>Medium_LSB</v>
      </c>
      <c r="AH589" t="e">
        <f>INDEX([1]!crudeBD.lkup[Number],MATCH(vp.tbl[[#This Row],[Crude_Breakdown]],[1]!crudeBD.lkup[Crude Breakdown],0))</f>
        <v>#REF!</v>
      </c>
      <c r="AI589">
        <f>MONTH(vp.tbl[[#This Row],[SDate]])</f>
        <v>1</v>
      </c>
      <c r="AJ589" s="5">
        <f>IFERROR(vp.tbl[[#This Row],[Sulf]]*vp.tbl[[#This Row],[Net Dens]],"")</f>
        <v>3221244.7196490001</v>
      </c>
      <c r="AK589" s="5">
        <f>IFERROR(vp.tbl[[#This Row],[Dens]]*vp.tbl[[#This Row],[VolumeM3]],"")</f>
        <v>1883768.8419000001</v>
      </c>
      <c r="AL589" s="5">
        <f>IFERROR(vp.tbl[[#This Row],[VP]]*vp.tbl[[#This Row],[VolumeM3]],"")</f>
        <v>204926.96400000001</v>
      </c>
      <c r="AM589" s="4">
        <f>IFERROR((vp.tbl[[#This Row],[VP]]-INDEX(crudeBD.lkup.complete[Mean_VP],MATCH(vp.tbl[[#This Row],[Crude_Breakdown]],crudeBD.lkup.complete[Crude Breakdown],0)))^2,"")</f>
        <v>139.86385672103916</v>
      </c>
      <c r="AN589" s="4">
        <f>IFERROR((vp.tbl[[#This Row],[Dens]]-INDEX(crudeBD.lkup.complete[Mean_Dens],MATCH(vp.tbl[[#This Row],[Crude_Breakdown]],crudeBD.lkup.complete[Crude Breakdown],0)))^2,"")</f>
        <v>0.16660863900100117</v>
      </c>
      <c r="AO589" s="4">
        <f>IFERROR((vp.tbl[[#This Row],[Sulf]]-INDEX(crudeBD.lkup.complete[Mean_Sulf],MATCH(vp.tbl[[#This Row],[Crude_Breakdown]],crudeBD.lkup.complete[Crude Breakdown],0)))^2,"")</f>
        <v>6.5060775932170509E-2</v>
      </c>
      <c r="AP589">
        <f>IF(AND(vp.tbl[[#This Row],[SDate]]&gt;=DATE(YEAR(vp.tbl[[#This Row],[SDate]]),5,1),vp.tbl[[#This Row],[SDate]]&lt;=DATE(YEAR(vp.tbl[[#This Row],[SDate]]),9,15)),1,0)</f>
        <v>0</v>
      </c>
      <c r="AQ589" s="15">
        <f>IF(vp.tbl[[#This Row],[SDate]]&lt;DATE(2016,12,1),0,1)</f>
        <v>1</v>
      </c>
    </row>
    <row r="590" spans="1:43" x14ac:dyDescent="0.25">
      <c r="A590">
        <v>589</v>
      </c>
      <c r="B590" t="s">
        <v>108</v>
      </c>
      <c r="C590" t="s">
        <v>108</v>
      </c>
      <c r="D590" t="s">
        <v>131</v>
      </c>
      <c r="F590" s="1">
        <v>42750</v>
      </c>
      <c r="G590" s="2">
        <v>81.900000000000006</v>
      </c>
      <c r="H590" s="2"/>
      <c r="I590" s="2">
        <v>2.1</v>
      </c>
      <c r="J590" s="2">
        <v>7</v>
      </c>
      <c r="K590" s="2">
        <v>-8</v>
      </c>
      <c r="L590" s="2">
        <v>846.7</v>
      </c>
      <c r="M590" s="2">
        <v>846.7</v>
      </c>
      <c r="N590" s="2">
        <f ca="1">INDEX(INDIRECT(_xlfn.CONCAT("weather.tbl[",N$1,"]")),MATCH(vp.tbl[[#This Row],[SDate]],weather.tbl[Date],0))</f>
        <v>-12.466666666666667</v>
      </c>
      <c r="O590" s="2">
        <f ca="1">INDEX(INDIRECT(_xlfn.CONCAT("weather.tbl[",O$1,"]")),MATCH(vp.tbl[[#This Row],[SDate]],weather.tbl[Date],0))</f>
        <v>-20.254761904761903</v>
      </c>
      <c r="P590" s="2">
        <f ca="1">INDEX(INDIRECT(_xlfn.CONCAT("weather.tbl[",P$1,"]")),MATCH(vp.tbl[[#This Row],[SDate]],weather.tbl[Date],0))</f>
        <v>-12.9</v>
      </c>
      <c r="Q590" s="2">
        <f ca="1">INDEX(INDIRECT(_xlfn.CONCAT("weather.tbl[",Q$1,"]")),MATCH(vp.tbl[[#This Row],[SDate]],weather.tbl[Date],0))</f>
        <v>-12.5</v>
      </c>
      <c r="R590" s="2">
        <f ca="1">INDEX(INDIRECT(_xlfn.CONCAT("weather.tbl[",R$1,"]")),MATCH(vp.tbl[[#This Row],[SDate]],weather.tbl[Date],0))</f>
        <v>-13.8</v>
      </c>
      <c r="S590" s="2">
        <f ca="1">INDEX(INDIRECT(_xlfn.CONCAT("weather.tbl[",S$1,"]")),MATCH(vp.tbl[[#This Row],[SDate]],weather.tbl[Date],0))</f>
        <v>-11.4</v>
      </c>
      <c r="T590" s="2">
        <f ca="1">INDEX(INDIRECT(_xlfn.CONCAT("weather.tbl[",T$1,"]")),MATCH(vp.tbl[[#This Row],[SDate]],weather.tbl[Date],0))</f>
        <v>-13.7</v>
      </c>
      <c r="U590" s="2">
        <f ca="1">INDEX(INDIRECT(_xlfn.CONCAT("weather.tbl[",U$1,"]")),MATCH(vp.tbl[[#This Row],[SDate]],weather.tbl[Date],0))</f>
        <v>-10.5</v>
      </c>
      <c r="V590" s="2">
        <v>1334.7170000000001</v>
      </c>
      <c r="W590" t="s">
        <v>48</v>
      </c>
      <c r="X590">
        <f>IF(OR(vp.tbl[[#This Row],[Sulf]]="",vp.tbl[[#This Row],[Dens]]=""),1,0)</f>
        <v>0</v>
      </c>
      <c r="Y590">
        <f>IF(vp.tbl[[#This Row],[CrudeType]]="C5+",1,0)</f>
        <v>0</v>
      </c>
      <c r="Z590">
        <f>IF(AND(vp.tbl[[#This Row],[CrudeType]]="Crude",vp.tbl[[#This Row],[Dens]]&lt;=825,vp.tbl[[#This Row],[Sulf]]&gt;0.5,vp.tbl[[#This Row],[Unknown]]=0),1,0)</f>
        <v>0</v>
      </c>
      <c r="AA590">
        <f>IF(AND(vp.tbl[[#This Row],[CrudeType]]="Crude",vp.tbl[[#This Row],[Dens]]&lt;=825,vp.tbl[[#This Row],[Sulf]]&lt;=0.5,vp.tbl[[#This Row],[Unknown]]=0),1,0)</f>
        <v>0</v>
      </c>
      <c r="AB590">
        <f>IF(AND(vp.tbl[[#This Row],[CrudeType]]="Crude",vp.tbl[[#This Row],[Dens]]&gt;825,vp.tbl[[#This Row],[Dens]]&lt;=870,vp.tbl[[#This Row],[Sulf]]&gt;0.5,vp.tbl[[#This Row],[Unknown]]=0),1,0)</f>
        <v>1</v>
      </c>
      <c r="AC590">
        <f>IF(AND(vp.tbl[[#This Row],[CrudeType]]="Crude",vp.tbl[[#This Row],[Dens]]&gt;825,vp.tbl[[#This Row],[Dens]]&lt;=900,vp.tbl[[#This Row],[Sulf]]&lt;=0.5,vp.tbl[[#This Row],[Unknown]]=0),1,0)</f>
        <v>0</v>
      </c>
      <c r="AD590">
        <f>IF(AND(vp.tbl[[#This Row],[CrudeType]]="Crude",vp.tbl[[#This Row],[Dens]]&gt;870,vp.tbl[[#This Row],[Dens]]&lt;=900,vp.tbl[[#This Row],[Sulf]]&gt;0.5,vp.tbl[[#This Row],[Unknown]]=0),1,0)</f>
        <v>0</v>
      </c>
      <c r="AE590">
        <f>IF(AND(vp.tbl[[#This Row],[CrudeType]]="Crude",vp.tbl[[#This Row],[Dens]]&gt;900,vp.tbl[[#This Row],[Sulf]]&lt;=0.5,vp.tbl[[#This Row],[Unknown]]=0),1,0)</f>
        <v>0</v>
      </c>
      <c r="AF590">
        <f>IF(AND(vp.tbl[[#This Row],[CrudeType]]="Crude",vp.tbl[[#This Row],[Dens]]&gt;900,vp.tbl[[#This Row],[Sulf]]&lt;=0.5,vp.tbl[[#This Row],[Unknown]]=0),1,0)</f>
        <v>0</v>
      </c>
      <c r="AG590" t="str">
        <f>INDEX(vp.tbl[[#Headers],[Unknown]:[Heavy_SW]],MATCH(1,vp.tbl[[#This Row],[Unknown]:[Heavy_SW]],0))</f>
        <v>Medium_LSB</v>
      </c>
      <c r="AH590" t="e">
        <f>INDEX([1]!crudeBD.lkup[Number],MATCH(vp.tbl[[#This Row],[Crude_Breakdown]],[1]!crudeBD.lkup[Crude Breakdown],0))</f>
        <v>#REF!</v>
      </c>
      <c r="AI590">
        <f>MONTH(vp.tbl[[#This Row],[SDate]])</f>
        <v>1</v>
      </c>
      <c r="AJ590" s="5">
        <f>IFERROR(vp.tbl[[#This Row],[Sulf]]*vp.tbl[[#This Row],[Net Dens]],"")</f>
        <v>2373220.2561900006</v>
      </c>
      <c r="AK590" s="5">
        <f>IFERROR(vp.tbl[[#This Row],[Dens]]*vp.tbl[[#This Row],[VolumeM3]],"")</f>
        <v>1130104.8839000002</v>
      </c>
      <c r="AL590" s="5">
        <f>IFERROR(vp.tbl[[#This Row],[VP]]*vp.tbl[[#This Row],[VolumeM3]],"")</f>
        <v>109313.32230000001</v>
      </c>
      <c r="AM590" s="4">
        <f>IFERROR((vp.tbl[[#This Row],[VP]]-INDEX(crudeBD.lkup.complete[Mean_VP],MATCH(vp.tbl[[#This Row],[Crude_Breakdown]],crudeBD.lkup.complete[Crude Breakdown],0)))^2,"")</f>
        <v>2.9804744425574294</v>
      </c>
      <c r="AN590" s="4">
        <f>IFERROR((vp.tbl[[#This Row],[Dens]]-INDEX(crudeBD.lkup.complete[Mean_Dens],MATCH(vp.tbl[[#This Row],[Crude_Breakdown]],crudeBD.lkup.complete[Crude Breakdown],0)))^2,"")</f>
        <v>1.9829630693828082</v>
      </c>
      <c r="AO590" s="4">
        <f>IFERROR((vp.tbl[[#This Row],[Sulf]]-INDEX(crudeBD.lkup.complete[Mean_Sulf],MATCH(vp.tbl[[#This Row],[Crude_Breakdown]],crudeBD.lkup.complete[Crude Breakdown],0)))^2,"")</f>
        <v>0.41611548453976444</v>
      </c>
      <c r="AP590">
        <f>IF(AND(vp.tbl[[#This Row],[SDate]]&gt;=DATE(YEAR(vp.tbl[[#This Row],[SDate]]),5,1),vp.tbl[[#This Row],[SDate]]&lt;=DATE(YEAR(vp.tbl[[#This Row],[SDate]]),9,15)),1,0)</f>
        <v>0</v>
      </c>
      <c r="AQ590" s="15">
        <f>IF(vp.tbl[[#This Row],[SDate]]&lt;DATE(2016,12,1),0,1)</f>
        <v>1</v>
      </c>
    </row>
    <row r="591" spans="1:43" x14ac:dyDescent="0.25">
      <c r="A591">
        <v>590</v>
      </c>
      <c r="B591" t="s">
        <v>49</v>
      </c>
      <c r="C591" t="s">
        <v>49</v>
      </c>
      <c r="D591" t="s">
        <v>91</v>
      </c>
      <c r="F591" s="1">
        <v>42750</v>
      </c>
      <c r="G591" s="2">
        <v>95.5</v>
      </c>
      <c r="H591" s="2"/>
      <c r="I591" s="2">
        <v>1.9</v>
      </c>
      <c r="J591" s="2">
        <v>20</v>
      </c>
      <c r="K591" s="2">
        <v>-8</v>
      </c>
      <c r="L591" s="2">
        <v>849.7</v>
      </c>
      <c r="M591" s="2">
        <v>849.7</v>
      </c>
      <c r="N591" s="2">
        <f ca="1">INDEX(INDIRECT(_xlfn.CONCAT("weather.tbl[",N$1,"]")),MATCH(vp.tbl[[#This Row],[SDate]],weather.tbl[Date],0))</f>
        <v>-12.466666666666667</v>
      </c>
      <c r="O591" s="2">
        <f ca="1">INDEX(INDIRECT(_xlfn.CONCAT("weather.tbl[",O$1,"]")),MATCH(vp.tbl[[#This Row],[SDate]],weather.tbl[Date],0))</f>
        <v>-20.254761904761903</v>
      </c>
      <c r="P591" s="2">
        <f ca="1">INDEX(INDIRECT(_xlfn.CONCAT("weather.tbl[",P$1,"]")),MATCH(vp.tbl[[#This Row],[SDate]],weather.tbl[Date],0))</f>
        <v>-12.9</v>
      </c>
      <c r="Q591" s="2">
        <f ca="1">INDEX(INDIRECT(_xlfn.CONCAT("weather.tbl[",Q$1,"]")),MATCH(vp.tbl[[#This Row],[SDate]],weather.tbl[Date],0))</f>
        <v>-12.5</v>
      </c>
      <c r="R591" s="2">
        <f ca="1">INDEX(INDIRECT(_xlfn.CONCAT("weather.tbl[",R$1,"]")),MATCH(vp.tbl[[#This Row],[SDate]],weather.tbl[Date],0))</f>
        <v>-13.8</v>
      </c>
      <c r="S591" s="2">
        <f ca="1">INDEX(INDIRECT(_xlfn.CONCAT("weather.tbl[",S$1,"]")),MATCH(vp.tbl[[#This Row],[SDate]],weather.tbl[Date],0))</f>
        <v>-11.4</v>
      </c>
      <c r="T591" s="2">
        <f ca="1">INDEX(INDIRECT(_xlfn.CONCAT("weather.tbl[",T$1,"]")),MATCH(vp.tbl[[#This Row],[SDate]],weather.tbl[Date],0))</f>
        <v>-13.7</v>
      </c>
      <c r="U591" s="2">
        <f ca="1">INDEX(INDIRECT(_xlfn.CONCAT("weather.tbl[",U$1,"]")),MATCH(vp.tbl[[#This Row],[SDate]],weather.tbl[Date],0))</f>
        <v>-10.5</v>
      </c>
      <c r="V591" s="2">
        <v>1597.9079999999999</v>
      </c>
      <c r="W591" t="s">
        <v>48</v>
      </c>
      <c r="X591">
        <f>IF(OR(vp.tbl[[#This Row],[Sulf]]="",vp.tbl[[#This Row],[Dens]]=""),1,0)</f>
        <v>0</v>
      </c>
      <c r="Y591">
        <f>IF(vp.tbl[[#This Row],[CrudeType]]="C5+",1,0)</f>
        <v>0</v>
      </c>
      <c r="Z591">
        <f>IF(AND(vp.tbl[[#This Row],[CrudeType]]="Crude",vp.tbl[[#This Row],[Dens]]&lt;=825,vp.tbl[[#This Row],[Sulf]]&gt;0.5,vp.tbl[[#This Row],[Unknown]]=0),1,0)</f>
        <v>0</v>
      </c>
      <c r="AA591">
        <f>IF(AND(vp.tbl[[#This Row],[CrudeType]]="Crude",vp.tbl[[#This Row],[Dens]]&lt;=825,vp.tbl[[#This Row],[Sulf]]&lt;=0.5,vp.tbl[[#This Row],[Unknown]]=0),1,0)</f>
        <v>0</v>
      </c>
      <c r="AB591">
        <f>IF(AND(vp.tbl[[#This Row],[CrudeType]]="Crude",vp.tbl[[#This Row],[Dens]]&gt;825,vp.tbl[[#This Row],[Dens]]&lt;=870,vp.tbl[[#This Row],[Sulf]]&gt;0.5,vp.tbl[[#This Row],[Unknown]]=0),1,0)</f>
        <v>1</v>
      </c>
      <c r="AC591">
        <f>IF(AND(vp.tbl[[#This Row],[CrudeType]]="Crude",vp.tbl[[#This Row],[Dens]]&gt;825,vp.tbl[[#This Row],[Dens]]&lt;=900,vp.tbl[[#This Row],[Sulf]]&lt;=0.5,vp.tbl[[#This Row],[Unknown]]=0),1,0)</f>
        <v>0</v>
      </c>
      <c r="AD591">
        <f>IF(AND(vp.tbl[[#This Row],[CrudeType]]="Crude",vp.tbl[[#This Row],[Dens]]&gt;870,vp.tbl[[#This Row],[Dens]]&lt;=900,vp.tbl[[#This Row],[Sulf]]&gt;0.5,vp.tbl[[#This Row],[Unknown]]=0),1,0)</f>
        <v>0</v>
      </c>
      <c r="AE591">
        <f>IF(AND(vp.tbl[[#This Row],[CrudeType]]="Crude",vp.tbl[[#This Row],[Dens]]&gt;900,vp.tbl[[#This Row],[Sulf]]&lt;=0.5,vp.tbl[[#This Row],[Unknown]]=0),1,0)</f>
        <v>0</v>
      </c>
      <c r="AF591">
        <f>IF(AND(vp.tbl[[#This Row],[CrudeType]]="Crude",vp.tbl[[#This Row],[Dens]]&gt;900,vp.tbl[[#This Row],[Sulf]]&lt;=0.5,vp.tbl[[#This Row],[Unknown]]=0),1,0)</f>
        <v>0</v>
      </c>
      <c r="AG591" t="str">
        <f>INDEX(vp.tbl[[#Headers],[Unknown]:[Heavy_SW]],MATCH(1,vp.tbl[[#This Row],[Unknown]:[Heavy_SW]],0))</f>
        <v>Medium_LSB</v>
      </c>
      <c r="AH591" t="e">
        <f>INDEX([1]!crudeBD.lkup[Number],MATCH(vp.tbl[[#This Row],[Crude_Breakdown]],[1]!crudeBD.lkup[Crude Breakdown],0))</f>
        <v>#REF!</v>
      </c>
      <c r="AI591">
        <f>MONTH(vp.tbl[[#This Row],[SDate]])</f>
        <v>1</v>
      </c>
      <c r="AJ591" s="5">
        <f>IFERROR(vp.tbl[[#This Row],[Sulf]]*vp.tbl[[#This Row],[Net Dens]],"")</f>
        <v>2579710.6124399998</v>
      </c>
      <c r="AK591" s="5">
        <f>IFERROR(vp.tbl[[#This Row],[Dens]]*vp.tbl[[#This Row],[VolumeM3]],"")</f>
        <v>1357742.4276000001</v>
      </c>
      <c r="AL591" s="5">
        <f>IFERROR(vp.tbl[[#This Row],[VP]]*vp.tbl[[#This Row],[VolumeM3]],"")</f>
        <v>152600.21399999998</v>
      </c>
      <c r="AM591" s="4">
        <f>IFERROR((vp.tbl[[#This Row],[VP]]-INDEX(crudeBD.lkup.complete[Mean_VP],MATCH(vp.tbl[[#This Row],[Crude_Breakdown]],crudeBD.lkup.complete[Crude Breakdown],0)))^2,"")</f>
        <v>234.8986921640774</v>
      </c>
      <c r="AN591" s="4">
        <f>IFERROR((vp.tbl[[#This Row],[Dens]]-INDEX(crudeBD.lkup.complete[Mean_Dens],MATCH(vp.tbl[[#This Row],[Crude_Breakdown]],crudeBD.lkup.complete[Crude Breakdown],0)))^2,"")</f>
        <v>19.43202636052823</v>
      </c>
      <c r="AO591" s="4">
        <f>IFERROR((vp.tbl[[#This Row],[Sulf]]-INDEX(crudeBD.lkup.complete[Mean_Sulf],MATCH(vp.tbl[[#This Row],[Crude_Breakdown]],crudeBD.lkup.complete[Crude Breakdown],0)))^2,"")</f>
        <v>0.19808742884356229</v>
      </c>
      <c r="AP591">
        <f>IF(AND(vp.tbl[[#This Row],[SDate]]&gt;=DATE(YEAR(vp.tbl[[#This Row],[SDate]]),5,1),vp.tbl[[#This Row],[SDate]]&lt;=DATE(YEAR(vp.tbl[[#This Row],[SDate]]),9,15)),1,0)</f>
        <v>0</v>
      </c>
      <c r="AQ591" s="15">
        <f>IF(vp.tbl[[#This Row],[SDate]]&lt;DATE(2016,12,1),0,1)</f>
        <v>1</v>
      </c>
    </row>
    <row r="592" spans="1:43" x14ac:dyDescent="0.25">
      <c r="A592">
        <v>591</v>
      </c>
      <c r="B592" t="s">
        <v>132</v>
      </c>
      <c r="C592" t="s">
        <v>132</v>
      </c>
      <c r="D592" t="s">
        <v>133</v>
      </c>
      <c r="F592" s="1">
        <v>42750</v>
      </c>
      <c r="G592" s="2">
        <v>92.4</v>
      </c>
      <c r="H592" s="2"/>
      <c r="I592" s="2">
        <v>2.02</v>
      </c>
      <c r="J592" s="2">
        <v>24</v>
      </c>
      <c r="K592" s="2">
        <v>-8</v>
      </c>
      <c r="L592" s="2">
        <v>853.5</v>
      </c>
      <c r="M592" s="2">
        <v>853.5</v>
      </c>
      <c r="N592" s="2">
        <f ca="1">INDEX(INDIRECT(_xlfn.CONCAT("weather.tbl[",N$1,"]")),MATCH(vp.tbl[[#This Row],[SDate]],weather.tbl[Date],0))</f>
        <v>-12.466666666666667</v>
      </c>
      <c r="O592" s="2">
        <f ca="1">INDEX(INDIRECT(_xlfn.CONCAT("weather.tbl[",O$1,"]")),MATCH(vp.tbl[[#This Row],[SDate]],weather.tbl[Date],0))</f>
        <v>-20.254761904761903</v>
      </c>
      <c r="P592" s="2">
        <f ca="1">INDEX(INDIRECT(_xlfn.CONCAT("weather.tbl[",P$1,"]")),MATCH(vp.tbl[[#This Row],[SDate]],weather.tbl[Date],0))</f>
        <v>-12.9</v>
      </c>
      <c r="Q592" s="2">
        <f ca="1">INDEX(INDIRECT(_xlfn.CONCAT("weather.tbl[",Q$1,"]")),MATCH(vp.tbl[[#This Row],[SDate]],weather.tbl[Date],0))</f>
        <v>-12.5</v>
      </c>
      <c r="R592" s="2">
        <f ca="1">INDEX(INDIRECT(_xlfn.CONCAT("weather.tbl[",R$1,"]")),MATCH(vp.tbl[[#This Row],[SDate]],weather.tbl[Date],0))</f>
        <v>-13.8</v>
      </c>
      <c r="S592" s="2">
        <f ca="1">INDEX(INDIRECT(_xlfn.CONCAT("weather.tbl[",S$1,"]")),MATCH(vp.tbl[[#This Row],[SDate]],weather.tbl[Date],0))</f>
        <v>-11.4</v>
      </c>
      <c r="T592" s="2">
        <f ca="1">INDEX(INDIRECT(_xlfn.CONCAT("weather.tbl[",T$1,"]")),MATCH(vp.tbl[[#This Row],[SDate]],weather.tbl[Date],0))</f>
        <v>-13.7</v>
      </c>
      <c r="U592" s="2">
        <f ca="1">INDEX(INDIRECT(_xlfn.CONCAT("weather.tbl[",U$1,"]")),MATCH(vp.tbl[[#This Row],[SDate]],weather.tbl[Date],0))</f>
        <v>-10.5</v>
      </c>
      <c r="V592" s="2">
        <v>2779.951</v>
      </c>
      <c r="W592" t="s">
        <v>48</v>
      </c>
      <c r="X592">
        <f>IF(OR(vp.tbl[[#This Row],[Sulf]]="",vp.tbl[[#This Row],[Dens]]=""),1,0)</f>
        <v>0</v>
      </c>
      <c r="Y592">
        <f>IF(vp.tbl[[#This Row],[CrudeType]]="C5+",1,0)</f>
        <v>0</v>
      </c>
      <c r="Z592">
        <f>IF(AND(vp.tbl[[#This Row],[CrudeType]]="Crude",vp.tbl[[#This Row],[Dens]]&lt;=825,vp.tbl[[#This Row],[Sulf]]&gt;0.5,vp.tbl[[#This Row],[Unknown]]=0),1,0)</f>
        <v>0</v>
      </c>
      <c r="AA592">
        <f>IF(AND(vp.tbl[[#This Row],[CrudeType]]="Crude",vp.tbl[[#This Row],[Dens]]&lt;=825,vp.tbl[[#This Row],[Sulf]]&lt;=0.5,vp.tbl[[#This Row],[Unknown]]=0),1,0)</f>
        <v>0</v>
      </c>
      <c r="AB592">
        <f>IF(AND(vp.tbl[[#This Row],[CrudeType]]="Crude",vp.tbl[[#This Row],[Dens]]&gt;825,vp.tbl[[#This Row],[Dens]]&lt;=870,vp.tbl[[#This Row],[Sulf]]&gt;0.5,vp.tbl[[#This Row],[Unknown]]=0),1,0)</f>
        <v>1</v>
      </c>
      <c r="AC592">
        <f>IF(AND(vp.tbl[[#This Row],[CrudeType]]="Crude",vp.tbl[[#This Row],[Dens]]&gt;825,vp.tbl[[#This Row],[Dens]]&lt;=900,vp.tbl[[#This Row],[Sulf]]&lt;=0.5,vp.tbl[[#This Row],[Unknown]]=0),1,0)</f>
        <v>0</v>
      </c>
      <c r="AD592">
        <f>IF(AND(vp.tbl[[#This Row],[CrudeType]]="Crude",vp.tbl[[#This Row],[Dens]]&gt;870,vp.tbl[[#This Row],[Dens]]&lt;=900,vp.tbl[[#This Row],[Sulf]]&gt;0.5,vp.tbl[[#This Row],[Unknown]]=0),1,0)</f>
        <v>0</v>
      </c>
      <c r="AE592">
        <f>IF(AND(vp.tbl[[#This Row],[CrudeType]]="Crude",vp.tbl[[#This Row],[Dens]]&gt;900,vp.tbl[[#This Row],[Sulf]]&lt;=0.5,vp.tbl[[#This Row],[Unknown]]=0),1,0)</f>
        <v>0</v>
      </c>
      <c r="AF592">
        <f>IF(AND(vp.tbl[[#This Row],[CrudeType]]="Crude",vp.tbl[[#This Row],[Dens]]&gt;900,vp.tbl[[#This Row],[Sulf]]&lt;=0.5,vp.tbl[[#This Row],[Unknown]]=0),1,0)</f>
        <v>0</v>
      </c>
      <c r="AG592" t="str">
        <f>INDEX(vp.tbl[[#Headers],[Unknown]:[Heavy_SW]],MATCH(1,vp.tbl[[#This Row],[Unknown]:[Heavy_SW]],0))</f>
        <v>Medium_LSB</v>
      </c>
      <c r="AH592" t="e">
        <f>INDEX([1]!crudeBD.lkup[Number],MATCH(vp.tbl[[#This Row],[Crude_Breakdown]],[1]!crudeBD.lkup[Crude Breakdown],0))</f>
        <v>#REF!</v>
      </c>
      <c r="AI592">
        <f>MONTH(vp.tbl[[#This Row],[SDate]])</f>
        <v>1</v>
      </c>
      <c r="AJ592" s="5">
        <f>IFERROR(vp.tbl[[#This Row],[Sulf]]*vp.tbl[[#This Row],[Net Dens]],"")</f>
        <v>4792830.1205700003</v>
      </c>
      <c r="AK592" s="5">
        <f>IFERROR(vp.tbl[[#This Row],[Dens]]*vp.tbl[[#This Row],[VolumeM3]],"")</f>
        <v>2372688.1784999999</v>
      </c>
      <c r="AL592" s="5">
        <f>IFERROR(vp.tbl[[#This Row],[VP]]*vp.tbl[[#This Row],[VolumeM3]],"")</f>
        <v>256867.47240000003</v>
      </c>
      <c r="AM592" s="4">
        <f>IFERROR((vp.tbl[[#This Row],[VP]]-INDEX(crudeBD.lkup.complete[Mean_VP],MATCH(vp.tbl[[#This Row],[Crude_Breakdown]],crudeBD.lkup.complete[Crude Breakdown],0)))^2,"")</f>
        <v>149.48498077167224</v>
      </c>
      <c r="AN592" s="4">
        <f>IFERROR((vp.tbl[[#This Row],[Dens]]-INDEX(crudeBD.lkup.complete[Mean_Dens],MATCH(vp.tbl[[#This Row],[Crude_Breakdown]],crudeBD.lkup.complete[Crude Breakdown],0)))^2,"")</f>
        <v>67.374173195978344</v>
      </c>
      <c r="AO592" s="4">
        <f>IFERROR((vp.tbl[[#This Row],[Sulf]]-INDEX(crudeBD.lkup.complete[Mean_Sulf],MATCH(vp.tbl[[#This Row],[Crude_Breakdown]],crudeBD.lkup.complete[Crude Breakdown],0)))^2,"")</f>
        <v>0.31930426226128356</v>
      </c>
      <c r="AP592">
        <f>IF(AND(vp.tbl[[#This Row],[SDate]]&gt;=DATE(YEAR(vp.tbl[[#This Row],[SDate]]),5,1),vp.tbl[[#This Row],[SDate]]&lt;=DATE(YEAR(vp.tbl[[#This Row],[SDate]]),9,15)),1,0)</f>
        <v>0</v>
      </c>
      <c r="AQ592" s="15">
        <f>IF(vp.tbl[[#This Row],[SDate]]&lt;DATE(2016,12,1),0,1)</f>
        <v>1</v>
      </c>
    </row>
    <row r="593" spans="1:43" x14ac:dyDescent="0.25">
      <c r="A593">
        <v>592</v>
      </c>
      <c r="B593" t="s">
        <v>134</v>
      </c>
      <c r="C593" t="s">
        <v>134</v>
      </c>
      <c r="D593" t="s">
        <v>135</v>
      </c>
      <c r="F593" s="1">
        <v>42750</v>
      </c>
      <c r="G593" s="2">
        <v>71</v>
      </c>
      <c r="H593" s="2"/>
      <c r="I593" s="2">
        <v>2.4300000000000002</v>
      </c>
      <c r="J593" s="2">
        <v>9</v>
      </c>
      <c r="K593" s="2">
        <v>-8</v>
      </c>
      <c r="L593" s="2">
        <v>864.7</v>
      </c>
      <c r="M593" s="2">
        <v>864.7</v>
      </c>
      <c r="N593" s="2">
        <f ca="1">INDEX(INDIRECT(_xlfn.CONCAT("weather.tbl[",N$1,"]")),MATCH(vp.tbl[[#This Row],[SDate]],weather.tbl[Date],0))</f>
        <v>-12.466666666666667</v>
      </c>
      <c r="O593" s="2">
        <f ca="1">INDEX(INDIRECT(_xlfn.CONCAT("weather.tbl[",O$1,"]")),MATCH(vp.tbl[[#This Row],[SDate]],weather.tbl[Date],0))</f>
        <v>-20.254761904761903</v>
      </c>
      <c r="P593" s="2">
        <f ca="1">INDEX(INDIRECT(_xlfn.CONCAT("weather.tbl[",P$1,"]")),MATCH(vp.tbl[[#This Row],[SDate]],weather.tbl[Date],0))</f>
        <v>-12.9</v>
      </c>
      <c r="Q593" s="2">
        <f ca="1">INDEX(INDIRECT(_xlfn.CONCAT("weather.tbl[",Q$1,"]")),MATCH(vp.tbl[[#This Row],[SDate]],weather.tbl[Date],0))</f>
        <v>-12.5</v>
      </c>
      <c r="R593" s="2">
        <f ca="1">INDEX(INDIRECT(_xlfn.CONCAT("weather.tbl[",R$1,"]")),MATCH(vp.tbl[[#This Row],[SDate]],weather.tbl[Date],0))</f>
        <v>-13.8</v>
      </c>
      <c r="S593" s="2">
        <f ca="1">INDEX(INDIRECT(_xlfn.CONCAT("weather.tbl[",S$1,"]")),MATCH(vp.tbl[[#This Row],[SDate]],weather.tbl[Date],0))</f>
        <v>-11.4</v>
      </c>
      <c r="T593" s="2">
        <f ca="1">INDEX(INDIRECT(_xlfn.CONCAT("weather.tbl[",T$1,"]")),MATCH(vp.tbl[[#This Row],[SDate]],weather.tbl[Date],0))</f>
        <v>-13.7</v>
      </c>
      <c r="U593" s="2">
        <f ca="1">INDEX(INDIRECT(_xlfn.CONCAT("weather.tbl[",U$1,"]")),MATCH(vp.tbl[[#This Row],[SDate]],weather.tbl[Date],0))</f>
        <v>-10.5</v>
      </c>
      <c r="V593" s="2">
        <v>305.85899999999998</v>
      </c>
      <c r="W593" t="s">
        <v>48</v>
      </c>
      <c r="X593">
        <f>IF(OR(vp.tbl[[#This Row],[Sulf]]="",vp.tbl[[#This Row],[Dens]]=""),1,0)</f>
        <v>0</v>
      </c>
      <c r="Y593">
        <f>IF(vp.tbl[[#This Row],[CrudeType]]="C5+",1,0)</f>
        <v>0</v>
      </c>
      <c r="Z593">
        <f>IF(AND(vp.tbl[[#This Row],[CrudeType]]="Crude",vp.tbl[[#This Row],[Dens]]&lt;=825,vp.tbl[[#This Row],[Sulf]]&gt;0.5,vp.tbl[[#This Row],[Unknown]]=0),1,0)</f>
        <v>0</v>
      </c>
      <c r="AA593">
        <f>IF(AND(vp.tbl[[#This Row],[CrudeType]]="Crude",vp.tbl[[#This Row],[Dens]]&lt;=825,vp.tbl[[#This Row],[Sulf]]&lt;=0.5,vp.tbl[[#This Row],[Unknown]]=0),1,0)</f>
        <v>0</v>
      </c>
      <c r="AB593">
        <f>IF(AND(vp.tbl[[#This Row],[CrudeType]]="Crude",vp.tbl[[#This Row],[Dens]]&gt;825,vp.tbl[[#This Row],[Dens]]&lt;=870,vp.tbl[[#This Row],[Sulf]]&gt;0.5,vp.tbl[[#This Row],[Unknown]]=0),1,0)</f>
        <v>1</v>
      </c>
      <c r="AC593">
        <f>IF(AND(vp.tbl[[#This Row],[CrudeType]]="Crude",vp.tbl[[#This Row],[Dens]]&gt;825,vp.tbl[[#This Row],[Dens]]&lt;=900,vp.tbl[[#This Row],[Sulf]]&lt;=0.5,vp.tbl[[#This Row],[Unknown]]=0),1,0)</f>
        <v>0</v>
      </c>
      <c r="AD593">
        <f>IF(AND(vp.tbl[[#This Row],[CrudeType]]="Crude",vp.tbl[[#This Row],[Dens]]&gt;870,vp.tbl[[#This Row],[Dens]]&lt;=900,vp.tbl[[#This Row],[Sulf]]&gt;0.5,vp.tbl[[#This Row],[Unknown]]=0),1,0)</f>
        <v>0</v>
      </c>
      <c r="AE593">
        <f>IF(AND(vp.tbl[[#This Row],[CrudeType]]="Crude",vp.tbl[[#This Row],[Dens]]&gt;900,vp.tbl[[#This Row],[Sulf]]&lt;=0.5,vp.tbl[[#This Row],[Unknown]]=0),1,0)</f>
        <v>0</v>
      </c>
      <c r="AF593">
        <f>IF(AND(vp.tbl[[#This Row],[CrudeType]]="Crude",vp.tbl[[#This Row],[Dens]]&gt;900,vp.tbl[[#This Row],[Sulf]]&lt;=0.5,vp.tbl[[#This Row],[Unknown]]=0),1,0)</f>
        <v>0</v>
      </c>
      <c r="AG593" t="str">
        <f>INDEX(vp.tbl[[#Headers],[Unknown]:[Heavy_SW]],MATCH(1,vp.tbl[[#This Row],[Unknown]:[Heavy_SW]],0))</f>
        <v>Medium_LSB</v>
      </c>
      <c r="AH593" t="e">
        <f>INDEX([1]!crudeBD.lkup[Number],MATCH(vp.tbl[[#This Row],[Crude_Breakdown]],[1]!crudeBD.lkup[Crude Breakdown],0))</f>
        <v>#REF!</v>
      </c>
      <c r="AI593">
        <f>MONTH(vp.tbl[[#This Row],[SDate]])</f>
        <v>1</v>
      </c>
      <c r="AJ593" s="5">
        <f>IFERROR(vp.tbl[[#This Row],[Sulf]]*vp.tbl[[#This Row],[Net Dens]],"")</f>
        <v>642677.3538390001</v>
      </c>
      <c r="AK593" s="5">
        <f>IFERROR(vp.tbl[[#This Row],[Dens]]*vp.tbl[[#This Row],[VolumeM3]],"")</f>
        <v>264476.27730000002</v>
      </c>
      <c r="AL593" s="5">
        <f>IFERROR(vp.tbl[[#This Row],[VP]]*vp.tbl[[#This Row],[VolumeM3]],"")</f>
        <v>21715.988999999998</v>
      </c>
      <c r="AM593" s="4">
        <f>IFERROR((vp.tbl[[#This Row],[VP]]-INDEX(crudeBD.lkup.complete[Mean_VP],MATCH(vp.tbl[[#This Row],[Crude_Breakdown]],crudeBD.lkup.complete[Crude Breakdown],0)))^2,"")</f>
        <v>84.154844062809772</v>
      </c>
      <c r="AN593" s="4">
        <f>IFERROR((vp.tbl[[#This Row],[Dens]]-INDEX(crudeBD.lkup.complete[Mean_Dens],MATCH(vp.tbl[[#This Row],[Crude_Breakdown]],crudeBD.lkup.complete[Crude Breakdown],0)))^2,"")</f>
        <v>376.67734281625536</v>
      </c>
      <c r="AO593" s="4">
        <f>IFERROR((vp.tbl[[#This Row],[Sulf]]-INDEX(crudeBD.lkup.complete[Mean_Sulf],MATCH(vp.tbl[[#This Row],[Crude_Breakdown]],crudeBD.lkup.complete[Crude Breakdown],0)))^2,"")</f>
        <v>0.9507617764384978</v>
      </c>
      <c r="AP593">
        <f>IF(AND(vp.tbl[[#This Row],[SDate]]&gt;=DATE(YEAR(vp.tbl[[#This Row],[SDate]]),5,1),vp.tbl[[#This Row],[SDate]]&lt;=DATE(YEAR(vp.tbl[[#This Row],[SDate]]),9,15)),1,0)</f>
        <v>0</v>
      </c>
      <c r="AQ593" s="15">
        <f>IF(vp.tbl[[#This Row],[SDate]]&lt;DATE(2016,12,1),0,1)</f>
        <v>1</v>
      </c>
    </row>
    <row r="594" spans="1:43" x14ac:dyDescent="0.25">
      <c r="A594">
        <v>593</v>
      </c>
      <c r="B594" t="s">
        <v>51</v>
      </c>
      <c r="C594" t="s">
        <v>51</v>
      </c>
      <c r="D594" t="s">
        <v>136</v>
      </c>
      <c r="F594" s="1">
        <v>42750</v>
      </c>
      <c r="G594" s="2">
        <v>61</v>
      </c>
      <c r="H594" s="2"/>
      <c r="I594" s="2">
        <v>2.38</v>
      </c>
      <c r="J594" s="2">
        <v>-1</v>
      </c>
      <c r="K594" s="2">
        <v>-8</v>
      </c>
      <c r="L594" s="2">
        <v>866.5</v>
      </c>
      <c r="M594" s="2">
        <v>866.5</v>
      </c>
      <c r="N594" s="2">
        <f ca="1">INDEX(INDIRECT(_xlfn.CONCAT("weather.tbl[",N$1,"]")),MATCH(vp.tbl[[#This Row],[SDate]],weather.tbl[Date],0))</f>
        <v>-12.466666666666667</v>
      </c>
      <c r="O594" s="2">
        <f ca="1">INDEX(INDIRECT(_xlfn.CONCAT("weather.tbl[",O$1,"]")),MATCH(vp.tbl[[#This Row],[SDate]],weather.tbl[Date],0))</f>
        <v>-20.254761904761903</v>
      </c>
      <c r="P594" s="2">
        <f ca="1">INDEX(INDIRECT(_xlfn.CONCAT("weather.tbl[",P$1,"]")),MATCH(vp.tbl[[#This Row],[SDate]],weather.tbl[Date],0))</f>
        <v>-12.9</v>
      </c>
      <c r="Q594" s="2">
        <f ca="1">INDEX(INDIRECT(_xlfn.CONCAT("weather.tbl[",Q$1,"]")),MATCH(vp.tbl[[#This Row],[SDate]],weather.tbl[Date],0))</f>
        <v>-12.5</v>
      </c>
      <c r="R594" s="2">
        <f ca="1">INDEX(INDIRECT(_xlfn.CONCAT("weather.tbl[",R$1,"]")),MATCH(vp.tbl[[#This Row],[SDate]],weather.tbl[Date],0))</f>
        <v>-13.8</v>
      </c>
      <c r="S594" s="2">
        <f ca="1">INDEX(INDIRECT(_xlfn.CONCAT("weather.tbl[",S$1,"]")),MATCH(vp.tbl[[#This Row],[SDate]],weather.tbl[Date],0))</f>
        <v>-11.4</v>
      </c>
      <c r="T594" s="2">
        <f ca="1">INDEX(INDIRECT(_xlfn.CONCAT("weather.tbl[",T$1,"]")),MATCH(vp.tbl[[#This Row],[SDate]],weather.tbl[Date],0))</f>
        <v>-13.7</v>
      </c>
      <c r="U594" s="2">
        <f ca="1">INDEX(INDIRECT(_xlfn.CONCAT("weather.tbl[",U$1,"]")),MATCH(vp.tbl[[#This Row],[SDate]],weather.tbl[Date],0))</f>
        <v>-10.5</v>
      </c>
      <c r="V594" s="2">
        <v>127.054</v>
      </c>
      <c r="W594" t="s">
        <v>48</v>
      </c>
      <c r="X594">
        <f>IF(OR(vp.tbl[[#This Row],[Sulf]]="",vp.tbl[[#This Row],[Dens]]=""),1,0)</f>
        <v>0</v>
      </c>
      <c r="Y594">
        <f>IF(vp.tbl[[#This Row],[CrudeType]]="C5+",1,0)</f>
        <v>0</v>
      </c>
      <c r="Z594">
        <f>IF(AND(vp.tbl[[#This Row],[CrudeType]]="Crude",vp.tbl[[#This Row],[Dens]]&lt;=825,vp.tbl[[#This Row],[Sulf]]&gt;0.5,vp.tbl[[#This Row],[Unknown]]=0),1,0)</f>
        <v>0</v>
      </c>
      <c r="AA594">
        <f>IF(AND(vp.tbl[[#This Row],[CrudeType]]="Crude",vp.tbl[[#This Row],[Dens]]&lt;=825,vp.tbl[[#This Row],[Sulf]]&lt;=0.5,vp.tbl[[#This Row],[Unknown]]=0),1,0)</f>
        <v>0</v>
      </c>
      <c r="AB594">
        <f>IF(AND(vp.tbl[[#This Row],[CrudeType]]="Crude",vp.tbl[[#This Row],[Dens]]&gt;825,vp.tbl[[#This Row],[Dens]]&lt;=870,vp.tbl[[#This Row],[Sulf]]&gt;0.5,vp.tbl[[#This Row],[Unknown]]=0),1,0)</f>
        <v>1</v>
      </c>
      <c r="AC594">
        <f>IF(AND(vp.tbl[[#This Row],[CrudeType]]="Crude",vp.tbl[[#This Row],[Dens]]&gt;825,vp.tbl[[#This Row],[Dens]]&lt;=900,vp.tbl[[#This Row],[Sulf]]&lt;=0.5,vp.tbl[[#This Row],[Unknown]]=0),1,0)</f>
        <v>0</v>
      </c>
      <c r="AD594">
        <f>IF(AND(vp.tbl[[#This Row],[CrudeType]]="Crude",vp.tbl[[#This Row],[Dens]]&gt;870,vp.tbl[[#This Row],[Dens]]&lt;=900,vp.tbl[[#This Row],[Sulf]]&gt;0.5,vp.tbl[[#This Row],[Unknown]]=0),1,0)</f>
        <v>0</v>
      </c>
      <c r="AE594">
        <f>IF(AND(vp.tbl[[#This Row],[CrudeType]]="Crude",vp.tbl[[#This Row],[Dens]]&gt;900,vp.tbl[[#This Row],[Sulf]]&lt;=0.5,vp.tbl[[#This Row],[Unknown]]=0),1,0)</f>
        <v>0</v>
      </c>
      <c r="AF594">
        <f>IF(AND(vp.tbl[[#This Row],[CrudeType]]="Crude",vp.tbl[[#This Row],[Dens]]&gt;900,vp.tbl[[#This Row],[Sulf]]&lt;=0.5,vp.tbl[[#This Row],[Unknown]]=0),1,0)</f>
        <v>0</v>
      </c>
      <c r="AG594" t="str">
        <f>INDEX(vp.tbl[[#Headers],[Unknown]:[Heavy_SW]],MATCH(1,vp.tbl[[#This Row],[Unknown]:[Heavy_SW]],0))</f>
        <v>Medium_LSB</v>
      </c>
      <c r="AH594" t="e">
        <f>INDEX([1]!crudeBD.lkup[Number],MATCH(vp.tbl[[#This Row],[Crude_Breakdown]],[1]!crudeBD.lkup[Crude Breakdown],0))</f>
        <v>#REF!</v>
      </c>
      <c r="AI594">
        <f>MONTH(vp.tbl[[#This Row],[SDate]])</f>
        <v>1</v>
      </c>
      <c r="AJ594" s="5">
        <f>IFERROR(vp.tbl[[#This Row],[Sulf]]*vp.tbl[[#This Row],[Net Dens]],"")</f>
        <v>262019.65257999999</v>
      </c>
      <c r="AK594" s="5">
        <f>IFERROR(vp.tbl[[#This Row],[Dens]]*vp.tbl[[#This Row],[VolumeM3]],"")</f>
        <v>110092.291</v>
      </c>
      <c r="AL594" s="5">
        <f>IFERROR(vp.tbl[[#This Row],[VP]]*vp.tbl[[#This Row],[VolumeM3]],"")</f>
        <v>7750.2939999999999</v>
      </c>
      <c r="AM594" s="4">
        <f>IFERROR((vp.tbl[[#This Row],[VP]]-INDEX(crudeBD.lkup.complete[Mean_VP],MATCH(vp.tbl[[#This Row],[Crude_Breakdown]],crudeBD.lkup.complete[Crude Breakdown],0)))^2,"")</f>
        <v>367.62674279698626</v>
      </c>
      <c r="AN594" s="4">
        <f>IFERROR((vp.tbl[[#This Row],[Dens]]-INDEX(crudeBD.lkup.complete[Mean_Dens],MATCH(vp.tbl[[#This Row],[Crude_Breakdown]],crudeBD.lkup.complete[Crude Breakdown],0)))^2,"")</f>
        <v>449.78678079094067</v>
      </c>
      <c r="AO594" s="4">
        <f>IFERROR((vp.tbl[[#This Row],[Sulf]]-INDEX(crudeBD.lkup.complete[Mean_Sulf],MATCH(vp.tbl[[#This Row],[Crude_Breakdown]],crudeBD.lkup.complete[Crude Breakdown],0)))^2,"")</f>
        <v>0.85575476251444682</v>
      </c>
      <c r="AP594">
        <f>IF(AND(vp.tbl[[#This Row],[SDate]]&gt;=DATE(YEAR(vp.tbl[[#This Row],[SDate]]),5,1),vp.tbl[[#This Row],[SDate]]&lt;=DATE(YEAR(vp.tbl[[#This Row],[SDate]]),9,15)),1,0)</f>
        <v>0</v>
      </c>
      <c r="AQ594" s="15">
        <f>IF(vp.tbl[[#This Row],[SDate]]&lt;DATE(2016,12,1),0,1)</f>
        <v>1</v>
      </c>
    </row>
    <row r="595" spans="1:43" x14ac:dyDescent="0.25">
      <c r="A595">
        <v>594</v>
      </c>
      <c r="B595" t="s">
        <v>53</v>
      </c>
      <c r="C595" t="s">
        <v>53</v>
      </c>
      <c r="D595" t="s">
        <v>54</v>
      </c>
      <c r="E595" t="s">
        <v>55</v>
      </c>
      <c r="F595" s="1">
        <v>42752</v>
      </c>
      <c r="G595" s="2">
        <v>96.2</v>
      </c>
      <c r="H595" s="2"/>
      <c r="I595" s="2">
        <v>1.54</v>
      </c>
      <c r="J595" s="2">
        <v>6</v>
      </c>
      <c r="K595" s="2">
        <v>-2</v>
      </c>
      <c r="L595" s="2">
        <v>888.5</v>
      </c>
      <c r="M595" s="2">
        <v>888.5</v>
      </c>
      <c r="N595" s="2">
        <f ca="1">INDEX(INDIRECT(_xlfn.CONCAT("weather.tbl[",N$1,"]")),MATCH(vp.tbl[[#This Row],[SDate]],weather.tbl[Date],0))</f>
        <v>-5.3999999999999995</v>
      </c>
      <c r="O595" s="2">
        <f ca="1">INDEX(INDIRECT(_xlfn.CONCAT("weather.tbl[",O$1,"]")),MATCH(vp.tbl[[#This Row],[SDate]],weather.tbl[Date],0))</f>
        <v>-16.290476190476195</v>
      </c>
      <c r="P595" s="2">
        <f ca="1">INDEX(INDIRECT(_xlfn.CONCAT("weather.tbl[",P$1,"]")),MATCH(vp.tbl[[#This Row],[SDate]],weather.tbl[Date],0))</f>
        <v>-5.7</v>
      </c>
      <c r="Q595" s="2">
        <f ca="1">INDEX(INDIRECT(_xlfn.CONCAT("weather.tbl[",Q$1,"]")),MATCH(vp.tbl[[#This Row],[SDate]],weather.tbl[Date],0))</f>
        <v>-4.4000000000000004</v>
      </c>
      <c r="R595" s="2">
        <f ca="1">INDEX(INDIRECT(_xlfn.CONCAT("weather.tbl[",R$1,"]")),MATCH(vp.tbl[[#This Row],[SDate]],weather.tbl[Date],0))</f>
        <v>-7.8</v>
      </c>
      <c r="S595" s="2">
        <f ca="1">INDEX(INDIRECT(_xlfn.CONCAT("weather.tbl[",S$1,"]")),MATCH(vp.tbl[[#This Row],[SDate]],weather.tbl[Date],0))</f>
        <v>-3.1</v>
      </c>
      <c r="T595" s="2">
        <f ca="1">INDEX(INDIRECT(_xlfn.CONCAT("weather.tbl[",T$1,"]")),MATCH(vp.tbl[[#This Row],[SDate]],weather.tbl[Date],0))</f>
        <v>-7.6</v>
      </c>
      <c r="U595" s="2">
        <f ca="1">INDEX(INDIRECT(_xlfn.CONCAT("weather.tbl[",U$1,"]")),MATCH(vp.tbl[[#This Row],[SDate]],weather.tbl[Date],0))</f>
        <v>-3.8</v>
      </c>
      <c r="V595" s="2">
        <v>50817.362000000001</v>
      </c>
      <c r="W595" t="s">
        <v>48</v>
      </c>
      <c r="X595">
        <f>IF(OR(vp.tbl[[#This Row],[Sulf]]="",vp.tbl[[#This Row],[Dens]]=""),1,0)</f>
        <v>0</v>
      </c>
      <c r="Y595">
        <f>IF(vp.tbl[[#This Row],[CrudeType]]="C5+",1,0)</f>
        <v>0</v>
      </c>
      <c r="Z595">
        <f>IF(AND(vp.tbl[[#This Row],[CrudeType]]="Crude",vp.tbl[[#This Row],[Dens]]&lt;=825,vp.tbl[[#This Row],[Sulf]]&gt;0.5,vp.tbl[[#This Row],[Unknown]]=0),1,0)</f>
        <v>0</v>
      </c>
      <c r="AA595">
        <f>IF(AND(vp.tbl[[#This Row],[CrudeType]]="Crude",vp.tbl[[#This Row],[Dens]]&lt;=825,vp.tbl[[#This Row],[Sulf]]&lt;=0.5,vp.tbl[[#This Row],[Unknown]]=0),1,0)</f>
        <v>0</v>
      </c>
      <c r="AB595">
        <f>IF(AND(vp.tbl[[#This Row],[CrudeType]]="Crude",vp.tbl[[#This Row],[Dens]]&gt;825,vp.tbl[[#This Row],[Dens]]&lt;=870,vp.tbl[[#This Row],[Sulf]]&gt;0.5,vp.tbl[[#This Row],[Unknown]]=0),1,0)</f>
        <v>0</v>
      </c>
      <c r="AC595">
        <f>IF(AND(vp.tbl[[#This Row],[CrudeType]]="Crude",vp.tbl[[#This Row],[Dens]]&gt;825,vp.tbl[[#This Row],[Dens]]&lt;=900,vp.tbl[[#This Row],[Sulf]]&lt;=0.5,vp.tbl[[#This Row],[Unknown]]=0),1,0)</f>
        <v>0</v>
      </c>
      <c r="AD595">
        <f>IF(AND(vp.tbl[[#This Row],[CrudeType]]="Crude",vp.tbl[[#This Row],[Dens]]&gt;870,vp.tbl[[#This Row],[Dens]]&lt;=900,vp.tbl[[#This Row],[Sulf]]&gt;0.5,vp.tbl[[#This Row],[Unknown]]=0),1,0)</f>
        <v>1</v>
      </c>
      <c r="AE595">
        <f>IF(AND(vp.tbl[[#This Row],[CrudeType]]="Crude",vp.tbl[[#This Row],[Dens]]&gt;900,vp.tbl[[#This Row],[Sulf]]&lt;=0.5,vp.tbl[[#This Row],[Unknown]]=0),1,0)</f>
        <v>0</v>
      </c>
      <c r="AF595">
        <f>IF(AND(vp.tbl[[#This Row],[CrudeType]]="Crude",vp.tbl[[#This Row],[Dens]]&gt;900,vp.tbl[[#This Row],[Sulf]]&lt;=0.5,vp.tbl[[#This Row],[Unknown]]=0),1,0)</f>
        <v>0</v>
      </c>
      <c r="AG595" t="str">
        <f>INDEX(vp.tbl[[#Headers],[Unknown]:[Heavy_SW]],MATCH(1,vp.tbl[[#This Row],[Unknown]:[Heavy_SW]],0))</f>
        <v>Midale</v>
      </c>
      <c r="AH595" t="e">
        <f>INDEX([1]!crudeBD.lkup[Number],MATCH(vp.tbl[[#This Row],[Crude_Breakdown]],[1]!crudeBD.lkup[Crude Breakdown],0))</f>
        <v>#REF!</v>
      </c>
      <c r="AI595">
        <f>MONTH(vp.tbl[[#This Row],[SDate]])</f>
        <v>1</v>
      </c>
      <c r="AJ595" s="5">
        <f>IFERROR(vp.tbl[[#This Row],[Sulf]]*vp.tbl[[#This Row],[Net Dens]],"")</f>
        <v>69532888.250980005</v>
      </c>
      <c r="AK595" s="5">
        <f>IFERROR(vp.tbl[[#This Row],[Dens]]*vp.tbl[[#This Row],[VolumeM3]],"")</f>
        <v>45151226.137000002</v>
      </c>
      <c r="AL595" s="5">
        <f>IFERROR(vp.tbl[[#This Row],[VP]]*vp.tbl[[#This Row],[VolumeM3]],"")</f>
        <v>4888630.2244000006</v>
      </c>
      <c r="AM595" s="4">
        <f>IFERROR((vp.tbl[[#This Row],[VP]]-INDEX(crudeBD.lkup.complete[Mean_VP],MATCH(vp.tbl[[#This Row],[Crude_Breakdown]],crudeBD.lkup.complete[Crude Breakdown],0)))^2,"")</f>
        <v>781.85352598986617</v>
      </c>
      <c r="AN595" s="4">
        <f>IFERROR((vp.tbl[[#This Row],[Dens]]-INDEX(crudeBD.lkup.complete[Mean_Dens],MATCH(vp.tbl[[#This Row],[Crude_Breakdown]],crudeBD.lkup.complete[Crude Breakdown],0)))^2,"")</f>
        <v>119.85750422218715</v>
      </c>
      <c r="AO595" s="4">
        <f>IFERROR((vp.tbl[[#This Row],[Sulf]]-INDEX(crudeBD.lkup.complete[Mean_Sulf],MATCH(vp.tbl[[#This Row],[Crude_Breakdown]],crudeBD.lkup.complete[Crude Breakdown],0)))^2,"")</f>
        <v>0.76622035541919464</v>
      </c>
      <c r="AP595">
        <f>IF(AND(vp.tbl[[#This Row],[SDate]]&gt;=DATE(YEAR(vp.tbl[[#This Row],[SDate]]),5,1),vp.tbl[[#This Row],[SDate]]&lt;=DATE(YEAR(vp.tbl[[#This Row],[SDate]]),9,15)),1,0)</f>
        <v>0</v>
      </c>
      <c r="AQ595" s="15">
        <f>IF(vp.tbl[[#This Row],[SDate]]&lt;DATE(2016,12,1),0,1)</f>
        <v>1</v>
      </c>
    </row>
    <row r="596" spans="1:43" x14ac:dyDescent="0.25">
      <c r="A596">
        <v>595</v>
      </c>
      <c r="B596" t="s">
        <v>49</v>
      </c>
      <c r="C596" t="s">
        <v>49</v>
      </c>
      <c r="D596" t="s">
        <v>75</v>
      </c>
      <c r="F596" s="1">
        <v>42752</v>
      </c>
      <c r="G596" s="2">
        <v>98.3</v>
      </c>
      <c r="H596" s="2"/>
      <c r="I596" s="2">
        <v>0.26</v>
      </c>
      <c r="J596" s="2">
        <v>21</v>
      </c>
      <c r="K596" s="2">
        <v>-8</v>
      </c>
      <c r="L596" s="2">
        <v>807.5</v>
      </c>
      <c r="M596" s="2">
        <v>807.5</v>
      </c>
      <c r="N596" s="2">
        <f ca="1">INDEX(INDIRECT(_xlfn.CONCAT("weather.tbl[",N$1,"]")),MATCH(vp.tbl[[#This Row],[SDate]],weather.tbl[Date],0))</f>
        <v>-5.3999999999999995</v>
      </c>
      <c r="O596" s="2">
        <f ca="1">INDEX(INDIRECT(_xlfn.CONCAT("weather.tbl[",O$1,"]")),MATCH(vp.tbl[[#This Row],[SDate]],weather.tbl[Date],0))</f>
        <v>-16.290476190476195</v>
      </c>
      <c r="P596" s="2">
        <f ca="1">INDEX(INDIRECT(_xlfn.CONCAT("weather.tbl[",P$1,"]")),MATCH(vp.tbl[[#This Row],[SDate]],weather.tbl[Date],0))</f>
        <v>-5.7</v>
      </c>
      <c r="Q596" s="2">
        <f ca="1">INDEX(INDIRECT(_xlfn.CONCAT("weather.tbl[",Q$1,"]")),MATCH(vp.tbl[[#This Row],[SDate]],weather.tbl[Date],0))</f>
        <v>-4.4000000000000004</v>
      </c>
      <c r="R596" s="2">
        <f ca="1">INDEX(INDIRECT(_xlfn.CONCAT("weather.tbl[",R$1,"]")),MATCH(vp.tbl[[#This Row],[SDate]],weather.tbl[Date],0))</f>
        <v>-7.8</v>
      </c>
      <c r="S596" s="2">
        <f ca="1">INDEX(INDIRECT(_xlfn.CONCAT("weather.tbl[",S$1,"]")),MATCH(vp.tbl[[#This Row],[SDate]],weather.tbl[Date],0))</f>
        <v>-3.1</v>
      </c>
      <c r="T596" s="2">
        <f ca="1">INDEX(INDIRECT(_xlfn.CONCAT("weather.tbl[",T$1,"]")),MATCH(vp.tbl[[#This Row],[SDate]],weather.tbl[Date],0))</f>
        <v>-7.6</v>
      </c>
      <c r="U596" s="2">
        <f ca="1">INDEX(INDIRECT(_xlfn.CONCAT("weather.tbl[",U$1,"]")),MATCH(vp.tbl[[#This Row],[SDate]],weather.tbl[Date],0))</f>
        <v>-3.8</v>
      </c>
      <c r="V596" s="2">
        <v>12738.714</v>
      </c>
      <c r="W596" t="s">
        <v>48</v>
      </c>
      <c r="X596">
        <f>IF(OR(vp.tbl[[#This Row],[Sulf]]="",vp.tbl[[#This Row],[Dens]]=""),1,0)</f>
        <v>0</v>
      </c>
      <c r="Y596">
        <f>IF(vp.tbl[[#This Row],[CrudeType]]="C5+",1,0)</f>
        <v>0</v>
      </c>
      <c r="Z596">
        <f>IF(AND(vp.tbl[[#This Row],[CrudeType]]="Crude",vp.tbl[[#This Row],[Dens]]&lt;=825,vp.tbl[[#This Row],[Sulf]]&gt;0.5,vp.tbl[[#This Row],[Unknown]]=0),1,0)</f>
        <v>0</v>
      </c>
      <c r="AA596">
        <f>IF(AND(vp.tbl[[#This Row],[CrudeType]]="Crude",vp.tbl[[#This Row],[Dens]]&lt;=825,vp.tbl[[#This Row],[Sulf]]&lt;=0.5,vp.tbl[[#This Row],[Unknown]]=0),1,0)</f>
        <v>1</v>
      </c>
      <c r="AB596">
        <f>IF(AND(vp.tbl[[#This Row],[CrudeType]]="Crude",vp.tbl[[#This Row],[Dens]]&gt;825,vp.tbl[[#This Row],[Dens]]&lt;=870,vp.tbl[[#This Row],[Sulf]]&gt;0.5,vp.tbl[[#This Row],[Unknown]]=0),1,0)</f>
        <v>0</v>
      </c>
      <c r="AC596">
        <f>IF(AND(vp.tbl[[#This Row],[CrudeType]]="Crude",vp.tbl[[#This Row],[Dens]]&gt;825,vp.tbl[[#This Row],[Dens]]&lt;=900,vp.tbl[[#This Row],[Sulf]]&lt;=0.5,vp.tbl[[#This Row],[Unknown]]=0),1,0)</f>
        <v>0</v>
      </c>
      <c r="AD596">
        <f>IF(AND(vp.tbl[[#This Row],[CrudeType]]="Crude",vp.tbl[[#This Row],[Dens]]&gt;870,vp.tbl[[#This Row],[Dens]]&lt;=900,vp.tbl[[#This Row],[Sulf]]&gt;0.5,vp.tbl[[#This Row],[Unknown]]=0),1,0)</f>
        <v>0</v>
      </c>
      <c r="AE596">
        <f>IF(AND(vp.tbl[[#This Row],[CrudeType]]="Crude",vp.tbl[[#This Row],[Dens]]&gt;900,vp.tbl[[#This Row],[Sulf]]&lt;=0.5,vp.tbl[[#This Row],[Unknown]]=0),1,0)</f>
        <v>0</v>
      </c>
      <c r="AF596">
        <f>IF(AND(vp.tbl[[#This Row],[CrudeType]]="Crude",vp.tbl[[#This Row],[Dens]]&gt;900,vp.tbl[[#This Row],[Sulf]]&lt;=0.5,vp.tbl[[#This Row],[Unknown]]=0),1,0)</f>
        <v>0</v>
      </c>
      <c r="AG596" t="str">
        <f>INDEX(vp.tbl[[#Headers],[Unknown]:[Heavy_SW]],MATCH(1,vp.tbl[[#This Row],[Unknown]:[Heavy_SW]],0))</f>
        <v>Light_SW</v>
      </c>
      <c r="AH596" t="e">
        <f>INDEX([1]!crudeBD.lkup[Number],MATCH(vp.tbl[[#This Row],[Crude_Breakdown]],[1]!crudeBD.lkup[Crude Breakdown],0))</f>
        <v>#REF!</v>
      </c>
      <c r="AI596">
        <f>MONTH(vp.tbl[[#This Row],[SDate]])</f>
        <v>1</v>
      </c>
      <c r="AJ596" s="5">
        <f>IFERROR(vp.tbl[[#This Row],[Sulf]]*vp.tbl[[#This Row],[Net Dens]],"")</f>
        <v>2674493.0043000001</v>
      </c>
      <c r="AK596" s="5">
        <f>IFERROR(vp.tbl[[#This Row],[Dens]]*vp.tbl[[#This Row],[VolumeM3]],"")</f>
        <v>10286511.555</v>
      </c>
      <c r="AL596" s="5">
        <f>IFERROR(vp.tbl[[#This Row],[VP]]*vp.tbl[[#This Row],[VolumeM3]],"")</f>
        <v>1252215.5862</v>
      </c>
      <c r="AM596" s="4">
        <f>IFERROR((vp.tbl[[#This Row],[VP]]-INDEX(crudeBD.lkup.complete[Mean_VP],MATCH(vp.tbl[[#This Row],[Crude_Breakdown]],crudeBD.lkup.complete[Crude Breakdown],0)))^2,"")</f>
        <v>33.058893826561267</v>
      </c>
      <c r="AN596" s="4">
        <f>IFERROR((vp.tbl[[#This Row],[Dens]]-INDEX(crudeBD.lkup.complete[Mean_Dens],MATCH(vp.tbl[[#This Row],[Crude_Breakdown]],crudeBD.lkup.complete[Crude Breakdown],0)))^2,"")</f>
        <v>0.65852942247654833</v>
      </c>
      <c r="AO596" s="4">
        <f>IFERROR((vp.tbl[[#This Row],[Sulf]]-INDEX(crudeBD.lkup.complete[Mean_Sulf],MATCH(vp.tbl[[#This Row],[Crude_Breakdown]],crudeBD.lkup.complete[Crude Breakdown],0)))^2,"")</f>
        <v>5.644515043280923E-4</v>
      </c>
      <c r="AP596">
        <f>IF(AND(vp.tbl[[#This Row],[SDate]]&gt;=DATE(YEAR(vp.tbl[[#This Row],[SDate]]),5,1),vp.tbl[[#This Row],[SDate]]&lt;=DATE(YEAR(vp.tbl[[#This Row],[SDate]]),9,15)),1,0)</f>
        <v>0</v>
      </c>
      <c r="AQ596" s="15">
        <f>IF(vp.tbl[[#This Row],[SDate]]&lt;DATE(2016,12,1),0,1)</f>
        <v>1</v>
      </c>
    </row>
    <row r="597" spans="1:43" x14ac:dyDescent="0.25">
      <c r="A597">
        <v>596</v>
      </c>
      <c r="B597" t="s">
        <v>62</v>
      </c>
      <c r="C597" t="s">
        <v>62</v>
      </c>
      <c r="D597" t="s">
        <v>79</v>
      </c>
      <c r="F597" s="1">
        <v>42752</v>
      </c>
      <c r="G597" s="2">
        <v>96.4</v>
      </c>
      <c r="H597" s="2"/>
      <c r="I597" s="2">
        <v>0.28000000000000003</v>
      </c>
      <c r="J597" s="2">
        <v>14</v>
      </c>
      <c r="K597" s="2">
        <v>-10</v>
      </c>
      <c r="L597" s="2">
        <v>810.4</v>
      </c>
      <c r="M597" s="2">
        <v>810.4</v>
      </c>
      <c r="N597" s="2">
        <f ca="1">INDEX(INDIRECT(_xlfn.CONCAT("weather.tbl[",N$1,"]")),MATCH(vp.tbl[[#This Row],[SDate]],weather.tbl[Date],0))</f>
        <v>-5.3999999999999995</v>
      </c>
      <c r="O597" s="2">
        <f ca="1">INDEX(INDIRECT(_xlfn.CONCAT("weather.tbl[",O$1,"]")),MATCH(vp.tbl[[#This Row],[SDate]],weather.tbl[Date],0))</f>
        <v>-16.290476190476195</v>
      </c>
      <c r="P597" s="2">
        <f ca="1">INDEX(INDIRECT(_xlfn.CONCAT("weather.tbl[",P$1,"]")),MATCH(vp.tbl[[#This Row],[SDate]],weather.tbl[Date],0))</f>
        <v>-5.7</v>
      </c>
      <c r="Q597" s="2">
        <f ca="1">INDEX(INDIRECT(_xlfn.CONCAT("weather.tbl[",Q$1,"]")),MATCH(vp.tbl[[#This Row],[SDate]],weather.tbl[Date],0))</f>
        <v>-4.4000000000000004</v>
      </c>
      <c r="R597" s="2">
        <f ca="1">INDEX(INDIRECT(_xlfn.CONCAT("weather.tbl[",R$1,"]")),MATCH(vp.tbl[[#This Row],[SDate]],weather.tbl[Date],0))</f>
        <v>-7.8</v>
      </c>
      <c r="S597" s="2">
        <f ca="1">INDEX(INDIRECT(_xlfn.CONCAT("weather.tbl[",S$1,"]")),MATCH(vp.tbl[[#This Row],[SDate]],weather.tbl[Date],0))</f>
        <v>-3.1</v>
      </c>
      <c r="T597" s="2">
        <f ca="1">INDEX(INDIRECT(_xlfn.CONCAT("weather.tbl[",T$1,"]")),MATCH(vp.tbl[[#This Row],[SDate]],weather.tbl[Date],0))</f>
        <v>-7.6</v>
      </c>
      <c r="U597" s="2">
        <f ca="1">INDEX(INDIRECT(_xlfn.CONCAT("weather.tbl[",U$1,"]")),MATCH(vp.tbl[[#This Row],[SDate]],weather.tbl[Date],0))</f>
        <v>-3.8</v>
      </c>
      <c r="V597" s="2">
        <v>14036.508</v>
      </c>
      <c r="W597" t="s">
        <v>48</v>
      </c>
      <c r="X597">
        <f>IF(OR(vp.tbl[[#This Row],[Sulf]]="",vp.tbl[[#This Row],[Dens]]=""),1,0)</f>
        <v>0</v>
      </c>
      <c r="Y597">
        <f>IF(vp.tbl[[#This Row],[CrudeType]]="C5+",1,0)</f>
        <v>0</v>
      </c>
      <c r="Z597">
        <f>IF(AND(vp.tbl[[#This Row],[CrudeType]]="Crude",vp.tbl[[#This Row],[Dens]]&lt;=825,vp.tbl[[#This Row],[Sulf]]&gt;0.5,vp.tbl[[#This Row],[Unknown]]=0),1,0)</f>
        <v>0</v>
      </c>
      <c r="AA597">
        <f>IF(AND(vp.tbl[[#This Row],[CrudeType]]="Crude",vp.tbl[[#This Row],[Dens]]&lt;=825,vp.tbl[[#This Row],[Sulf]]&lt;=0.5,vp.tbl[[#This Row],[Unknown]]=0),1,0)</f>
        <v>1</v>
      </c>
      <c r="AB597">
        <f>IF(AND(vp.tbl[[#This Row],[CrudeType]]="Crude",vp.tbl[[#This Row],[Dens]]&gt;825,vp.tbl[[#This Row],[Dens]]&lt;=870,vp.tbl[[#This Row],[Sulf]]&gt;0.5,vp.tbl[[#This Row],[Unknown]]=0),1,0)</f>
        <v>0</v>
      </c>
      <c r="AC597">
        <f>IF(AND(vp.tbl[[#This Row],[CrudeType]]="Crude",vp.tbl[[#This Row],[Dens]]&gt;825,vp.tbl[[#This Row],[Dens]]&lt;=900,vp.tbl[[#This Row],[Sulf]]&lt;=0.5,vp.tbl[[#This Row],[Unknown]]=0),1,0)</f>
        <v>0</v>
      </c>
      <c r="AD597">
        <f>IF(AND(vp.tbl[[#This Row],[CrudeType]]="Crude",vp.tbl[[#This Row],[Dens]]&gt;870,vp.tbl[[#This Row],[Dens]]&lt;=900,vp.tbl[[#This Row],[Sulf]]&gt;0.5,vp.tbl[[#This Row],[Unknown]]=0),1,0)</f>
        <v>0</v>
      </c>
      <c r="AE597">
        <f>IF(AND(vp.tbl[[#This Row],[CrudeType]]="Crude",vp.tbl[[#This Row],[Dens]]&gt;900,vp.tbl[[#This Row],[Sulf]]&lt;=0.5,vp.tbl[[#This Row],[Unknown]]=0),1,0)</f>
        <v>0</v>
      </c>
      <c r="AF597">
        <f>IF(AND(vp.tbl[[#This Row],[CrudeType]]="Crude",vp.tbl[[#This Row],[Dens]]&gt;900,vp.tbl[[#This Row],[Sulf]]&lt;=0.5,vp.tbl[[#This Row],[Unknown]]=0),1,0)</f>
        <v>0</v>
      </c>
      <c r="AG597" t="str">
        <f>INDEX(vp.tbl[[#Headers],[Unknown]:[Heavy_SW]],MATCH(1,vp.tbl[[#This Row],[Unknown]:[Heavy_SW]],0))</f>
        <v>Light_SW</v>
      </c>
      <c r="AH597" t="e">
        <f>INDEX([1]!crudeBD.lkup[Number],MATCH(vp.tbl[[#This Row],[Crude_Breakdown]],[1]!crudeBD.lkup[Crude Breakdown],0))</f>
        <v>#REF!</v>
      </c>
      <c r="AI597">
        <f>MONTH(vp.tbl[[#This Row],[SDate]])</f>
        <v>1</v>
      </c>
      <c r="AJ597" s="5">
        <f>IFERROR(vp.tbl[[#This Row],[Sulf]]*vp.tbl[[#This Row],[Net Dens]],"")</f>
        <v>3185052.1032960005</v>
      </c>
      <c r="AK597" s="5">
        <f>IFERROR(vp.tbl[[#This Row],[Dens]]*vp.tbl[[#This Row],[VolumeM3]],"")</f>
        <v>11375186.0832</v>
      </c>
      <c r="AL597" s="5">
        <f>IFERROR(vp.tbl[[#This Row],[VP]]*vp.tbl[[#This Row],[VolumeM3]],"")</f>
        <v>1353119.3712000002</v>
      </c>
      <c r="AM597" s="4">
        <f>IFERROR((vp.tbl[[#This Row],[VP]]-INDEX(crudeBD.lkup.complete[Mean_VP],MATCH(vp.tbl[[#This Row],[Crude_Breakdown]],crudeBD.lkup.complete[Crude Breakdown],0)))^2,"")</f>
        <v>14.820085464191896</v>
      </c>
      <c r="AN597" s="4">
        <f>IFERROR((vp.tbl[[#This Row],[Dens]]-INDEX(crudeBD.lkup.complete[Mean_Dens],MATCH(vp.tbl[[#This Row],[Crude_Breakdown]],crudeBD.lkup.complete[Crude Breakdown],0)))^2,"")</f>
        <v>4.3618395270073362</v>
      </c>
      <c r="AO597" s="4">
        <f>IFERROR((vp.tbl[[#This Row],[Sulf]]-INDEX(crudeBD.lkup.complete[Mean_Sulf],MATCH(vp.tbl[[#This Row],[Crude_Breakdown]],crudeBD.lkup.complete[Crude Breakdown],0)))^2,"")</f>
        <v>1.9147790304605045E-3</v>
      </c>
      <c r="AP597">
        <f>IF(AND(vp.tbl[[#This Row],[SDate]]&gt;=DATE(YEAR(vp.tbl[[#This Row],[SDate]]),5,1),vp.tbl[[#This Row],[SDate]]&lt;=DATE(YEAR(vp.tbl[[#This Row],[SDate]]),9,15)),1,0)</f>
        <v>0</v>
      </c>
      <c r="AQ597" s="15">
        <f>IF(vp.tbl[[#This Row],[SDate]]&lt;DATE(2016,12,1),0,1)</f>
        <v>1</v>
      </c>
    </row>
    <row r="598" spans="1:43" x14ac:dyDescent="0.25">
      <c r="A598">
        <v>597</v>
      </c>
      <c r="B598" t="s">
        <v>49</v>
      </c>
      <c r="C598" t="s">
        <v>49</v>
      </c>
      <c r="D598" t="s">
        <v>80</v>
      </c>
      <c r="F598" s="1">
        <v>42752</v>
      </c>
      <c r="G598" s="2">
        <v>110.4</v>
      </c>
      <c r="H598" s="2"/>
      <c r="I598" s="2">
        <v>0.59</v>
      </c>
      <c r="J598" s="2">
        <v>13</v>
      </c>
      <c r="K598" s="2">
        <v>-1</v>
      </c>
      <c r="L598" s="2">
        <v>810.5</v>
      </c>
      <c r="M598" s="2">
        <v>810.5</v>
      </c>
      <c r="N598" s="2">
        <f ca="1">INDEX(INDIRECT(_xlfn.CONCAT("weather.tbl[",N$1,"]")),MATCH(vp.tbl[[#This Row],[SDate]],weather.tbl[Date],0))</f>
        <v>-5.3999999999999995</v>
      </c>
      <c r="O598" s="2">
        <f ca="1">INDEX(INDIRECT(_xlfn.CONCAT("weather.tbl[",O$1,"]")),MATCH(vp.tbl[[#This Row],[SDate]],weather.tbl[Date],0))</f>
        <v>-16.290476190476195</v>
      </c>
      <c r="P598" s="2">
        <f ca="1">INDEX(INDIRECT(_xlfn.CONCAT("weather.tbl[",P$1,"]")),MATCH(vp.tbl[[#This Row],[SDate]],weather.tbl[Date],0))</f>
        <v>-5.7</v>
      </c>
      <c r="Q598" s="2">
        <f ca="1">INDEX(INDIRECT(_xlfn.CONCAT("weather.tbl[",Q$1,"]")),MATCH(vp.tbl[[#This Row],[SDate]],weather.tbl[Date],0))</f>
        <v>-4.4000000000000004</v>
      </c>
      <c r="R598" s="2">
        <f ca="1">INDEX(INDIRECT(_xlfn.CONCAT("weather.tbl[",R$1,"]")),MATCH(vp.tbl[[#This Row],[SDate]],weather.tbl[Date],0))</f>
        <v>-7.8</v>
      </c>
      <c r="S598" s="2">
        <f ca="1">INDEX(INDIRECT(_xlfn.CONCAT("weather.tbl[",S$1,"]")),MATCH(vp.tbl[[#This Row],[SDate]],weather.tbl[Date],0))</f>
        <v>-3.1</v>
      </c>
      <c r="T598" s="2">
        <f ca="1">INDEX(INDIRECT(_xlfn.CONCAT("weather.tbl[",T$1,"]")),MATCH(vp.tbl[[#This Row],[SDate]],weather.tbl[Date],0))</f>
        <v>-7.6</v>
      </c>
      <c r="U598" s="2">
        <f ca="1">INDEX(INDIRECT(_xlfn.CONCAT("weather.tbl[",U$1,"]")),MATCH(vp.tbl[[#This Row],[SDate]],weather.tbl[Date],0))</f>
        <v>-3.8</v>
      </c>
      <c r="V598" s="2">
        <v>21030.911</v>
      </c>
      <c r="W598" t="s">
        <v>48</v>
      </c>
      <c r="X598">
        <f>IF(OR(vp.tbl[[#This Row],[Sulf]]="",vp.tbl[[#This Row],[Dens]]=""),1,0)</f>
        <v>0</v>
      </c>
      <c r="Y598">
        <f>IF(vp.tbl[[#This Row],[CrudeType]]="C5+",1,0)</f>
        <v>0</v>
      </c>
      <c r="Z598">
        <f>IF(AND(vp.tbl[[#This Row],[CrudeType]]="Crude",vp.tbl[[#This Row],[Dens]]&lt;=825,vp.tbl[[#This Row],[Sulf]]&gt;0.5,vp.tbl[[#This Row],[Unknown]]=0),1,0)</f>
        <v>1</v>
      </c>
      <c r="AA598">
        <f>IF(AND(vp.tbl[[#This Row],[CrudeType]]="Crude",vp.tbl[[#This Row],[Dens]]&lt;=825,vp.tbl[[#This Row],[Sulf]]&lt;=0.5,vp.tbl[[#This Row],[Unknown]]=0),1,0)</f>
        <v>0</v>
      </c>
      <c r="AB598">
        <f>IF(AND(vp.tbl[[#This Row],[CrudeType]]="Crude",vp.tbl[[#This Row],[Dens]]&gt;825,vp.tbl[[#This Row],[Dens]]&lt;=870,vp.tbl[[#This Row],[Sulf]]&gt;0.5,vp.tbl[[#This Row],[Unknown]]=0),1,0)</f>
        <v>0</v>
      </c>
      <c r="AC598">
        <f>IF(AND(vp.tbl[[#This Row],[CrudeType]]="Crude",vp.tbl[[#This Row],[Dens]]&gt;825,vp.tbl[[#This Row],[Dens]]&lt;=900,vp.tbl[[#This Row],[Sulf]]&lt;=0.5,vp.tbl[[#This Row],[Unknown]]=0),1,0)</f>
        <v>0</v>
      </c>
      <c r="AD598">
        <f>IF(AND(vp.tbl[[#This Row],[CrudeType]]="Crude",vp.tbl[[#This Row],[Dens]]&gt;870,vp.tbl[[#This Row],[Dens]]&lt;=900,vp.tbl[[#This Row],[Sulf]]&gt;0.5,vp.tbl[[#This Row],[Unknown]]=0),1,0)</f>
        <v>0</v>
      </c>
      <c r="AE598">
        <f>IF(AND(vp.tbl[[#This Row],[CrudeType]]="Crude",vp.tbl[[#This Row],[Dens]]&gt;900,vp.tbl[[#This Row],[Sulf]]&lt;=0.5,vp.tbl[[#This Row],[Unknown]]=0),1,0)</f>
        <v>0</v>
      </c>
      <c r="AF598">
        <f>IF(AND(vp.tbl[[#This Row],[CrudeType]]="Crude",vp.tbl[[#This Row],[Dens]]&gt;900,vp.tbl[[#This Row],[Sulf]]&lt;=0.5,vp.tbl[[#This Row],[Unknown]]=0),1,0)</f>
        <v>0</v>
      </c>
      <c r="AG598" t="str">
        <f>INDEX(vp.tbl[[#Headers],[Unknown]:[Heavy_SW]],MATCH(1,vp.tbl[[#This Row],[Unknown]:[Heavy_SW]],0))</f>
        <v>Light_LSB</v>
      </c>
      <c r="AH598" t="e">
        <f>INDEX([1]!crudeBD.lkup[Number],MATCH(vp.tbl[[#This Row],[Crude_Breakdown]],[1]!crudeBD.lkup[Crude Breakdown],0))</f>
        <v>#REF!</v>
      </c>
      <c r="AI598">
        <f>MONTH(vp.tbl[[#This Row],[SDate]])</f>
        <v>1</v>
      </c>
      <c r="AJ598" s="5">
        <f>IFERROR(vp.tbl[[#This Row],[Sulf]]*vp.tbl[[#This Row],[Net Dens]],"")</f>
        <v>10056876.485645</v>
      </c>
      <c r="AK598" s="5">
        <f>IFERROR(vp.tbl[[#This Row],[Dens]]*vp.tbl[[#This Row],[VolumeM3]],"")</f>
        <v>17045553.365499999</v>
      </c>
      <c r="AL598" s="5">
        <f>IFERROR(vp.tbl[[#This Row],[VP]]*vp.tbl[[#This Row],[VolumeM3]],"")</f>
        <v>2321812.5744000003</v>
      </c>
      <c r="AM598" s="4">
        <f>IFERROR((vp.tbl[[#This Row],[VP]]-INDEX(crudeBD.lkup.complete[Mean_VP],MATCH(vp.tbl[[#This Row],[Crude_Breakdown]],crudeBD.lkup.complete[Crude Breakdown],0)))^2,"")</f>
        <v>355.46631867360941</v>
      </c>
      <c r="AN598" s="4">
        <f>IFERROR((vp.tbl[[#This Row],[Dens]]-INDEX(crudeBD.lkup.complete[Mean_Dens],MATCH(vp.tbl[[#This Row],[Crude_Breakdown]],crudeBD.lkup.complete[Crude Breakdown],0)))^2,"")</f>
        <v>64.268597376029732</v>
      </c>
      <c r="AO598" s="4">
        <f>IFERROR((vp.tbl[[#This Row],[Sulf]]-INDEX(crudeBD.lkup.complete[Mean_Sulf],MATCH(vp.tbl[[#This Row],[Crude_Breakdown]],crudeBD.lkup.complete[Crude Breakdown],0)))^2,"")</f>
        <v>0.11086979897559178</v>
      </c>
      <c r="AP598">
        <f>IF(AND(vp.tbl[[#This Row],[SDate]]&gt;=DATE(YEAR(vp.tbl[[#This Row],[SDate]]),5,1),vp.tbl[[#This Row],[SDate]]&lt;=DATE(YEAR(vp.tbl[[#This Row],[SDate]]),9,15)),1,0)</f>
        <v>0</v>
      </c>
      <c r="AQ598" s="15">
        <f>IF(vp.tbl[[#This Row],[SDate]]&lt;DATE(2016,12,1),0,1)</f>
        <v>1</v>
      </c>
    </row>
    <row r="599" spans="1:43" x14ac:dyDescent="0.25">
      <c r="A599">
        <v>598</v>
      </c>
      <c r="B599" t="s">
        <v>62</v>
      </c>
      <c r="C599" t="s">
        <v>62</v>
      </c>
      <c r="D599" t="s">
        <v>87</v>
      </c>
      <c r="F599" s="1">
        <v>42752</v>
      </c>
      <c r="G599" s="2">
        <v>79.2</v>
      </c>
      <c r="H599" s="2"/>
      <c r="I599" s="2">
        <v>0.19</v>
      </c>
      <c r="J599" s="2">
        <v>18</v>
      </c>
      <c r="K599" s="2">
        <v>-5</v>
      </c>
      <c r="L599" s="2">
        <v>816.6</v>
      </c>
      <c r="M599" s="2">
        <v>816.6</v>
      </c>
      <c r="N599" s="2">
        <f ca="1">INDEX(INDIRECT(_xlfn.CONCAT("weather.tbl[",N$1,"]")),MATCH(vp.tbl[[#This Row],[SDate]],weather.tbl[Date],0))</f>
        <v>-5.3999999999999995</v>
      </c>
      <c r="O599" s="2">
        <f ca="1">INDEX(INDIRECT(_xlfn.CONCAT("weather.tbl[",O$1,"]")),MATCH(vp.tbl[[#This Row],[SDate]],weather.tbl[Date],0))</f>
        <v>-16.290476190476195</v>
      </c>
      <c r="P599" s="2">
        <f ca="1">INDEX(INDIRECT(_xlfn.CONCAT("weather.tbl[",P$1,"]")),MATCH(vp.tbl[[#This Row],[SDate]],weather.tbl[Date],0))</f>
        <v>-5.7</v>
      </c>
      <c r="Q599" s="2">
        <f ca="1">INDEX(INDIRECT(_xlfn.CONCAT("weather.tbl[",Q$1,"]")),MATCH(vp.tbl[[#This Row],[SDate]],weather.tbl[Date],0))</f>
        <v>-4.4000000000000004</v>
      </c>
      <c r="R599" s="2">
        <f ca="1">INDEX(INDIRECT(_xlfn.CONCAT("weather.tbl[",R$1,"]")),MATCH(vp.tbl[[#This Row],[SDate]],weather.tbl[Date],0))</f>
        <v>-7.8</v>
      </c>
      <c r="S599" s="2">
        <f ca="1">INDEX(INDIRECT(_xlfn.CONCAT("weather.tbl[",S$1,"]")),MATCH(vp.tbl[[#This Row],[SDate]],weather.tbl[Date],0))</f>
        <v>-3.1</v>
      </c>
      <c r="T599" s="2">
        <f ca="1">INDEX(INDIRECT(_xlfn.CONCAT("weather.tbl[",T$1,"]")),MATCH(vp.tbl[[#This Row],[SDate]],weather.tbl[Date],0))</f>
        <v>-7.6</v>
      </c>
      <c r="U599" s="2">
        <f ca="1">INDEX(INDIRECT(_xlfn.CONCAT("weather.tbl[",U$1,"]")),MATCH(vp.tbl[[#This Row],[SDate]],weather.tbl[Date],0))</f>
        <v>-3.8</v>
      </c>
      <c r="V599" s="2">
        <v>7624.6970000000001</v>
      </c>
      <c r="W599" t="s">
        <v>48</v>
      </c>
      <c r="X599">
        <f>IF(OR(vp.tbl[[#This Row],[Sulf]]="",vp.tbl[[#This Row],[Dens]]=""),1,0)</f>
        <v>0</v>
      </c>
      <c r="Y599">
        <f>IF(vp.tbl[[#This Row],[CrudeType]]="C5+",1,0)</f>
        <v>0</v>
      </c>
      <c r="Z599">
        <f>IF(AND(vp.tbl[[#This Row],[CrudeType]]="Crude",vp.tbl[[#This Row],[Dens]]&lt;=825,vp.tbl[[#This Row],[Sulf]]&gt;0.5,vp.tbl[[#This Row],[Unknown]]=0),1,0)</f>
        <v>0</v>
      </c>
      <c r="AA599">
        <f>IF(AND(vp.tbl[[#This Row],[CrudeType]]="Crude",vp.tbl[[#This Row],[Dens]]&lt;=825,vp.tbl[[#This Row],[Sulf]]&lt;=0.5,vp.tbl[[#This Row],[Unknown]]=0),1,0)</f>
        <v>1</v>
      </c>
      <c r="AB599">
        <f>IF(AND(vp.tbl[[#This Row],[CrudeType]]="Crude",vp.tbl[[#This Row],[Dens]]&gt;825,vp.tbl[[#This Row],[Dens]]&lt;=870,vp.tbl[[#This Row],[Sulf]]&gt;0.5,vp.tbl[[#This Row],[Unknown]]=0),1,0)</f>
        <v>0</v>
      </c>
      <c r="AC599">
        <f>IF(AND(vp.tbl[[#This Row],[CrudeType]]="Crude",vp.tbl[[#This Row],[Dens]]&gt;825,vp.tbl[[#This Row],[Dens]]&lt;=900,vp.tbl[[#This Row],[Sulf]]&lt;=0.5,vp.tbl[[#This Row],[Unknown]]=0),1,0)</f>
        <v>0</v>
      </c>
      <c r="AD599">
        <f>IF(AND(vp.tbl[[#This Row],[CrudeType]]="Crude",vp.tbl[[#This Row],[Dens]]&gt;870,vp.tbl[[#This Row],[Dens]]&lt;=900,vp.tbl[[#This Row],[Sulf]]&gt;0.5,vp.tbl[[#This Row],[Unknown]]=0),1,0)</f>
        <v>0</v>
      </c>
      <c r="AE599">
        <f>IF(AND(vp.tbl[[#This Row],[CrudeType]]="Crude",vp.tbl[[#This Row],[Dens]]&gt;900,vp.tbl[[#This Row],[Sulf]]&lt;=0.5,vp.tbl[[#This Row],[Unknown]]=0),1,0)</f>
        <v>0</v>
      </c>
      <c r="AF599">
        <f>IF(AND(vp.tbl[[#This Row],[CrudeType]]="Crude",vp.tbl[[#This Row],[Dens]]&gt;900,vp.tbl[[#This Row],[Sulf]]&lt;=0.5,vp.tbl[[#This Row],[Unknown]]=0),1,0)</f>
        <v>0</v>
      </c>
      <c r="AG599" t="str">
        <f>INDEX(vp.tbl[[#Headers],[Unknown]:[Heavy_SW]],MATCH(1,vp.tbl[[#This Row],[Unknown]:[Heavy_SW]],0))</f>
        <v>Light_SW</v>
      </c>
      <c r="AH599" t="e">
        <f>INDEX([1]!crudeBD.lkup[Number],MATCH(vp.tbl[[#This Row],[Crude_Breakdown]],[1]!crudeBD.lkup[Crude Breakdown],0))</f>
        <v>#REF!</v>
      </c>
      <c r="AI599">
        <f>MONTH(vp.tbl[[#This Row],[SDate]])</f>
        <v>1</v>
      </c>
      <c r="AJ599" s="5">
        <f>IFERROR(vp.tbl[[#This Row],[Sulf]]*vp.tbl[[#This Row],[Net Dens]],"")</f>
        <v>1183002.2383379999</v>
      </c>
      <c r="AK599" s="5">
        <f>IFERROR(vp.tbl[[#This Row],[Dens]]*vp.tbl[[#This Row],[VolumeM3]],"")</f>
        <v>6226327.5702</v>
      </c>
      <c r="AL599" s="5">
        <f>IFERROR(vp.tbl[[#This Row],[VP]]*vp.tbl[[#This Row],[VolumeM3]],"")</f>
        <v>603876.0024</v>
      </c>
      <c r="AM599" s="4">
        <f>IFERROR((vp.tbl[[#This Row],[VP]]-INDEX(crudeBD.lkup.complete[Mean_VP],MATCH(vp.tbl[[#This Row],[Crude_Breakdown]],crudeBD.lkup.complete[Crude Breakdown],0)))^2,"")</f>
        <v>178.23087292063676</v>
      </c>
      <c r="AN599" s="4">
        <f>IFERROR((vp.tbl[[#This Row],[Dens]]-INDEX(crudeBD.lkup.complete[Mean_Dens],MATCH(vp.tbl[[#This Row],[Crude_Breakdown]],crudeBD.lkup.complete[Crude Breakdown],0)))^2,"")</f>
        <v>68.699261129797975</v>
      </c>
      <c r="AO599" s="4">
        <f>IFERROR((vp.tbl[[#This Row],[Sulf]]-INDEX(crudeBD.lkup.complete[Mean_Sulf],MATCH(vp.tbl[[#This Row],[Crude_Breakdown]],crudeBD.lkup.complete[Crude Breakdown],0)))^2,"")</f>
        <v>2.1383051628646554E-3</v>
      </c>
      <c r="AP599">
        <f>IF(AND(vp.tbl[[#This Row],[SDate]]&gt;=DATE(YEAR(vp.tbl[[#This Row],[SDate]]),5,1),vp.tbl[[#This Row],[SDate]]&lt;=DATE(YEAR(vp.tbl[[#This Row],[SDate]]),9,15)),1,0)</f>
        <v>0</v>
      </c>
      <c r="AQ599" s="15">
        <f>IF(vp.tbl[[#This Row],[SDate]]&lt;DATE(2016,12,1),0,1)</f>
        <v>1</v>
      </c>
    </row>
    <row r="600" spans="1:43" x14ac:dyDescent="0.25">
      <c r="A600">
        <v>599</v>
      </c>
      <c r="B600" t="s">
        <v>62</v>
      </c>
      <c r="C600" t="s">
        <v>62</v>
      </c>
      <c r="D600" t="s">
        <v>83</v>
      </c>
      <c r="F600" s="1">
        <v>42752</v>
      </c>
      <c r="G600" s="2">
        <v>84.6</v>
      </c>
      <c r="H600" s="2"/>
      <c r="I600" s="2">
        <v>0.17</v>
      </c>
      <c r="J600" s="2">
        <v>0</v>
      </c>
      <c r="K600" s="2">
        <v>-6</v>
      </c>
      <c r="L600" s="2">
        <v>817.4</v>
      </c>
      <c r="M600" s="2">
        <v>817.4</v>
      </c>
      <c r="N600" s="2">
        <f ca="1">INDEX(INDIRECT(_xlfn.CONCAT("weather.tbl[",N$1,"]")),MATCH(vp.tbl[[#This Row],[SDate]],weather.tbl[Date],0))</f>
        <v>-5.3999999999999995</v>
      </c>
      <c r="O600" s="2">
        <f ca="1">INDEX(INDIRECT(_xlfn.CONCAT("weather.tbl[",O$1,"]")),MATCH(vp.tbl[[#This Row],[SDate]],weather.tbl[Date],0))</f>
        <v>-16.290476190476195</v>
      </c>
      <c r="P600" s="2">
        <f ca="1">INDEX(INDIRECT(_xlfn.CONCAT("weather.tbl[",P$1,"]")),MATCH(vp.tbl[[#This Row],[SDate]],weather.tbl[Date],0))</f>
        <v>-5.7</v>
      </c>
      <c r="Q600" s="2">
        <f ca="1">INDEX(INDIRECT(_xlfn.CONCAT("weather.tbl[",Q$1,"]")),MATCH(vp.tbl[[#This Row],[SDate]],weather.tbl[Date],0))</f>
        <v>-4.4000000000000004</v>
      </c>
      <c r="R600" s="2">
        <f ca="1">INDEX(INDIRECT(_xlfn.CONCAT("weather.tbl[",R$1,"]")),MATCH(vp.tbl[[#This Row],[SDate]],weather.tbl[Date],0))</f>
        <v>-7.8</v>
      </c>
      <c r="S600" s="2">
        <f ca="1">INDEX(INDIRECT(_xlfn.CONCAT("weather.tbl[",S$1,"]")),MATCH(vp.tbl[[#This Row],[SDate]],weather.tbl[Date],0))</f>
        <v>-3.1</v>
      </c>
      <c r="T600" s="2">
        <f ca="1">INDEX(INDIRECT(_xlfn.CONCAT("weather.tbl[",T$1,"]")),MATCH(vp.tbl[[#This Row],[SDate]],weather.tbl[Date],0))</f>
        <v>-7.6</v>
      </c>
      <c r="U600" s="2">
        <f ca="1">INDEX(INDIRECT(_xlfn.CONCAT("weather.tbl[",U$1,"]")),MATCH(vp.tbl[[#This Row],[SDate]],weather.tbl[Date],0))</f>
        <v>-3.8</v>
      </c>
      <c r="V600" s="2">
        <v>8873.2939999999999</v>
      </c>
      <c r="W600" t="s">
        <v>48</v>
      </c>
      <c r="X600">
        <f>IF(OR(vp.tbl[[#This Row],[Sulf]]="",vp.tbl[[#This Row],[Dens]]=""),1,0)</f>
        <v>0</v>
      </c>
      <c r="Y600">
        <f>IF(vp.tbl[[#This Row],[CrudeType]]="C5+",1,0)</f>
        <v>0</v>
      </c>
      <c r="Z600">
        <f>IF(AND(vp.tbl[[#This Row],[CrudeType]]="Crude",vp.tbl[[#This Row],[Dens]]&lt;=825,vp.tbl[[#This Row],[Sulf]]&gt;0.5,vp.tbl[[#This Row],[Unknown]]=0),1,0)</f>
        <v>0</v>
      </c>
      <c r="AA600">
        <f>IF(AND(vp.tbl[[#This Row],[CrudeType]]="Crude",vp.tbl[[#This Row],[Dens]]&lt;=825,vp.tbl[[#This Row],[Sulf]]&lt;=0.5,vp.tbl[[#This Row],[Unknown]]=0),1,0)</f>
        <v>1</v>
      </c>
      <c r="AB600">
        <f>IF(AND(vp.tbl[[#This Row],[CrudeType]]="Crude",vp.tbl[[#This Row],[Dens]]&gt;825,vp.tbl[[#This Row],[Dens]]&lt;=870,vp.tbl[[#This Row],[Sulf]]&gt;0.5,vp.tbl[[#This Row],[Unknown]]=0),1,0)</f>
        <v>0</v>
      </c>
      <c r="AC600">
        <f>IF(AND(vp.tbl[[#This Row],[CrudeType]]="Crude",vp.tbl[[#This Row],[Dens]]&gt;825,vp.tbl[[#This Row],[Dens]]&lt;=900,vp.tbl[[#This Row],[Sulf]]&lt;=0.5,vp.tbl[[#This Row],[Unknown]]=0),1,0)</f>
        <v>0</v>
      </c>
      <c r="AD600">
        <f>IF(AND(vp.tbl[[#This Row],[CrudeType]]="Crude",vp.tbl[[#This Row],[Dens]]&gt;870,vp.tbl[[#This Row],[Dens]]&lt;=900,vp.tbl[[#This Row],[Sulf]]&gt;0.5,vp.tbl[[#This Row],[Unknown]]=0),1,0)</f>
        <v>0</v>
      </c>
      <c r="AE600">
        <f>IF(AND(vp.tbl[[#This Row],[CrudeType]]="Crude",vp.tbl[[#This Row],[Dens]]&gt;900,vp.tbl[[#This Row],[Sulf]]&lt;=0.5,vp.tbl[[#This Row],[Unknown]]=0),1,0)</f>
        <v>0</v>
      </c>
      <c r="AF600">
        <f>IF(AND(vp.tbl[[#This Row],[CrudeType]]="Crude",vp.tbl[[#This Row],[Dens]]&gt;900,vp.tbl[[#This Row],[Sulf]]&lt;=0.5,vp.tbl[[#This Row],[Unknown]]=0),1,0)</f>
        <v>0</v>
      </c>
      <c r="AG600" t="str">
        <f>INDEX(vp.tbl[[#Headers],[Unknown]:[Heavy_SW]],MATCH(1,vp.tbl[[#This Row],[Unknown]:[Heavy_SW]],0))</f>
        <v>Light_SW</v>
      </c>
      <c r="AH600" t="e">
        <f>INDEX([1]!crudeBD.lkup[Number],MATCH(vp.tbl[[#This Row],[Crude_Breakdown]],[1]!crudeBD.lkup[Crude Breakdown],0))</f>
        <v>#REF!</v>
      </c>
      <c r="AI600">
        <f>MONTH(vp.tbl[[#This Row],[SDate]])</f>
        <v>1</v>
      </c>
      <c r="AJ600" s="5">
        <f>IFERROR(vp.tbl[[#This Row],[Sulf]]*vp.tbl[[#This Row],[Net Dens]],"")</f>
        <v>1233015.187652</v>
      </c>
      <c r="AK600" s="5">
        <f>IFERROR(vp.tbl[[#This Row],[Dens]]*vp.tbl[[#This Row],[VolumeM3]],"")</f>
        <v>7253030.5155999996</v>
      </c>
      <c r="AL600" s="5">
        <f>IFERROR(vp.tbl[[#This Row],[VP]]*vp.tbl[[#This Row],[VolumeM3]],"")</f>
        <v>750680.67239999992</v>
      </c>
      <c r="AM600" s="4">
        <f>IFERROR((vp.tbl[[#This Row],[VP]]-INDEX(crudeBD.lkup.complete[Mean_VP],MATCH(vp.tbl[[#This Row],[Crude_Breakdown]],crudeBD.lkup.complete[Crude Breakdown],0)))^2,"")</f>
        <v>63.207486161055357</v>
      </c>
      <c r="AN600" s="4">
        <f>IFERROR((vp.tbl[[#This Row],[Dens]]-INDEX(crudeBD.lkup.complete[Mean_Dens],MATCH(vp.tbl[[#This Row],[Crude_Breakdown]],crudeBD.lkup.complete[Crude Breakdown],0)))^2,"")</f>
        <v>82.600863917253974</v>
      </c>
      <c r="AO600" s="4">
        <f>IFERROR((vp.tbl[[#This Row],[Sulf]]-INDEX(crudeBD.lkup.complete[Mean_Sulf],MATCH(vp.tbl[[#This Row],[Crude_Breakdown]],crudeBD.lkup.complete[Crude Breakdown],0)))^2,"")</f>
        <v>4.3879776367322437E-3</v>
      </c>
      <c r="AP600">
        <f>IF(AND(vp.tbl[[#This Row],[SDate]]&gt;=DATE(YEAR(vp.tbl[[#This Row],[SDate]]),5,1),vp.tbl[[#This Row],[SDate]]&lt;=DATE(YEAR(vp.tbl[[#This Row],[SDate]]),9,15)),1,0)</f>
        <v>0</v>
      </c>
      <c r="AQ600" s="15">
        <f>IF(vp.tbl[[#This Row],[SDate]]&lt;DATE(2016,12,1),0,1)</f>
        <v>1</v>
      </c>
    </row>
    <row r="601" spans="1:43" x14ac:dyDescent="0.25">
      <c r="A601">
        <v>600</v>
      </c>
      <c r="B601" t="s">
        <v>49</v>
      </c>
      <c r="C601" t="s">
        <v>49</v>
      </c>
      <c r="D601" t="s">
        <v>67</v>
      </c>
      <c r="F601" s="1">
        <v>42752</v>
      </c>
      <c r="G601" s="2">
        <v>103.2</v>
      </c>
      <c r="H601" s="2"/>
      <c r="I601" s="2">
        <v>0.59</v>
      </c>
      <c r="J601" s="2">
        <v>5</v>
      </c>
      <c r="K601" s="2">
        <v>-4</v>
      </c>
      <c r="L601" s="2">
        <v>819</v>
      </c>
      <c r="M601" s="2">
        <v>819</v>
      </c>
      <c r="N601" s="2">
        <f ca="1">INDEX(INDIRECT(_xlfn.CONCAT("weather.tbl[",N$1,"]")),MATCH(vp.tbl[[#This Row],[SDate]],weather.tbl[Date],0))</f>
        <v>-5.3999999999999995</v>
      </c>
      <c r="O601" s="2">
        <f ca="1">INDEX(INDIRECT(_xlfn.CONCAT("weather.tbl[",O$1,"]")),MATCH(vp.tbl[[#This Row],[SDate]],weather.tbl[Date],0))</f>
        <v>-16.290476190476195</v>
      </c>
      <c r="P601" s="2">
        <f ca="1">INDEX(INDIRECT(_xlfn.CONCAT("weather.tbl[",P$1,"]")),MATCH(vp.tbl[[#This Row],[SDate]],weather.tbl[Date],0))</f>
        <v>-5.7</v>
      </c>
      <c r="Q601" s="2">
        <f ca="1">INDEX(INDIRECT(_xlfn.CONCAT("weather.tbl[",Q$1,"]")),MATCH(vp.tbl[[#This Row],[SDate]],weather.tbl[Date],0))</f>
        <v>-4.4000000000000004</v>
      </c>
      <c r="R601" s="2">
        <f ca="1">INDEX(INDIRECT(_xlfn.CONCAT("weather.tbl[",R$1,"]")),MATCH(vp.tbl[[#This Row],[SDate]],weather.tbl[Date],0))</f>
        <v>-7.8</v>
      </c>
      <c r="S601" s="2">
        <f ca="1">INDEX(INDIRECT(_xlfn.CONCAT("weather.tbl[",S$1,"]")),MATCH(vp.tbl[[#This Row],[SDate]],weather.tbl[Date],0))</f>
        <v>-3.1</v>
      </c>
      <c r="T601" s="2">
        <f ca="1">INDEX(INDIRECT(_xlfn.CONCAT("weather.tbl[",T$1,"]")),MATCH(vp.tbl[[#This Row],[SDate]],weather.tbl[Date],0))</f>
        <v>-7.6</v>
      </c>
      <c r="U601" s="2">
        <f ca="1">INDEX(INDIRECT(_xlfn.CONCAT("weather.tbl[",U$1,"]")),MATCH(vp.tbl[[#This Row],[SDate]],weather.tbl[Date],0))</f>
        <v>-3.8</v>
      </c>
      <c r="V601" s="2">
        <v>122139.87</v>
      </c>
      <c r="W601" t="s">
        <v>48</v>
      </c>
      <c r="X601">
        <f>IF(OR(vp.tbl[[#This Row],[Sulf]]="",vp.tbl[[#This Row],[Dens]]=""),1,0)</f>
        <v>0</v>
      </c>
      <c r="Y601">
        <f>IF(vp.tbl[[#This Row],[CrudeType]]="C5+",1,0)</f>
        <v>0</v>
      </c>
      <c r="Z601">
        <f>IF(AND(vp.tbl[[#This Row],[CrudeType]]="Crude",vp.tbl[[#This Row],[Dens]]&lt;=825,vp.tbl[[#This Row],[Sulf]]&gt;0.5,vp.tbl[[#This Row],[Unknown]]=0),1,0)</f>
        <v>1</v>
      </c>
      <c r="AA601">
        <f>IF(AND(vp.tbl[[#This Row],[CrudeType]]="Crude",vp.tbl[[#This Row],[Dens]]&lt;=825,vp.tbl[[#This Row],[Sulf]]&lt;=0.5,vp.tbl[[#This Row],[Unknown]]=0),1,0)</f>
        <v>0</v>
      </c>
      <c r="AB601">
        <f>IF(AND(vp.tbl[[#This Row],[CrudeType]]="Crude",vp.tbl[[#This Row],[Dens]]&gt;825,vp.tbl[[#This Row],[Dens]]&lt;=870,vp.tbl[[#This Row],[Sulf]]&gt;0.5,vp.tbl[[#This Row],[Unknown]]=0),1,0)</f>
        <v>0</v>
      </c>
      <c r="AC601">
        <f>IF(AND(vp.tbl[[#This Row],[CrudeType]]="Crude",vp.tbl[[#This Row],[Dens]]&gt;825,vp.tbl[[#This Row],[Dens]]&lt;=900,vp.tbl[[#This Row],[Sulf]]&lt;=0.5,vp.tbl[[#This Row],[Unknown]]=0),1,0)</f>
        <v>0</v>
      </c>
      <c r="AD601">
        <f>IF(AND(vp.tbl[[#This Row],[CrudeType]]="Crude",vp.tbl[[#This Row],[Dens]]&gt;870,vp.tbl[[#This Row],[Dens]]&lt;=900,vp.tbl[[#This Row],[Sulf]]&gt;0.5,vp.tbl[[#This Row],[Unknown]]=0),1,0)</f>
        <v>0</v>
      </c>
      <c r="AE601">
        <f>IF(AND(vp.tbl[[#This Row],[CrudeType]]="Crude",vp.tbl[[#This Row],[Dens]]&gt;900,vp.tbl[[#This Row],[Sulf]]&lt;=0.5,vp.tbl[[#This Row],[Unknown]]=0),1,0)</f>
        <v>0</v>
      </c>
      <c r="AF601">
        <f>IF(AND(vp.tbl[[#This Row],[CrudeType]]="Crude",vp.tbl[[#This Row],[Dens]]&gt;900,vp.tbl[[#This Row],[Sulf]]&lt;=0.5,vp.tbl[[#This Row],[Unknown]]=0),1,0)</f>
        <v>0</v>
      </c>
      <c r="AG601" t="str">
        <f>INDEX(vp.tbl[[#Headers],[Unknown]:[Heavy_SW]],MATCH(1,vp.tbl[[#This Row],[Unknown]:[Heavy_SW]],0))</f>
        <v>Light_LSB</v>
      </c>
      <c r="AH601" t="e">
        <f>INDEX([1]!crudeBD.lkup[Number],MATCH(vp.tbl[[#This Row],[Crude_Breakdown]],[1]!crudeBD.lkup[Crude Breakdown],0))</f>
        <v>#REF!</v>
      </c>
      <c r="AI601">
        <f>MONTH(vp.tbl[[#This Row],[SDate]])</f>
        <v>1</v>
      </c>
      <c r="AJ601" s="5">
        <f>IFERROR(vp.tbl[[#This Row],[Sulf]]*vp.tbl[[#This Row],[Net Dens]],"")</f>
        <v>59019206.582699999</v>
      </c>
      <c r="AK601" s="5">
        <f>IFERROR(vp.tbl[[#This Row],[Dens]]*vp.tbl[[#This Row],[VolumeM3]],"")</f>
        <v>100032553.53</v>
      </c>
      <c r="AL601" s="5">
        <f>IFERROR(vp.tbl[[#This Row],[VP]]*vp.tbl[[#This Row],[VolumeM3]],"")</f>
        <v>12604834.584000001</v>
      </c>
      <c r="AM601" s="4">
        <f>IFERROR((vp.tbl[[#This Row],[VP]]-INDEX(crudeBD.lkup.complete[Mean_VP],MATCH(vp.tbl[[#This Row],[Crude_Breakdown]],crudeBD.lkup.complete[Crude Breakdown],0)))^2,"")</f>
        <v>135.81139083855817</v>
      </c>
      <c r="AN601" s="4">
        <f>IFERROR((vp.tbl[[#This Row],[Dens]]-INDEX(crudeBD.lkup.complete[Mean_Dens],MATCH(vp.tbl[[#This Row],[Crude_Breakdown]],crudeBD.lkup.complete[Crude Breakdown],0)))^2,"")</f>
        <v>0.2335114653821484</v>
      </c>
      <c r="AO601" s="4">
        <f>IFERROR((vp.tbl[[#This Row],[Sulf]]-INDEX(crudeBD.lkup.complete[Mean_Sulf],MATCH(vp.tbl[[#This Row],[Crude_Breakdown]],crudeBD.lkup.complete[Crude Breakdown],0)))^2,"")</f>
        <v>0.11086979897559178</v>
      </c>
      <c r="AP601">
        <f>IF(AND(vp.tbl[[#This Row],[SDate]]&gt;=DATE(YEAR(vp.tbl[[#This Row],[SDate]]),5,1),vp.tbl[[#This Row],[SDate]]&lt;=DATE(YEAR(vp.tbl[[#This Row],[SDate]]),9,15)),1,0)</f>
        <v>0</v>
      </c>
      <c r="AQ601" s="15">
        <f>IF(vp.tbl[[#This Row],[SDate]]&lt;DATE(2016,12,1),0,1)</f>
        <v>1</v>
      </c>
    </row>
    <row r="602" spans="1:43" x14ac:dyDescent="0.25">
      <c r="A602">
        <v>601</v>
      </c>
      <c r="B602" t="s">
        <v>49</v>
      </c>
      <c r="C602" t="s">
        <v>49</v>
      </c>
      <c r="D602" t="s">
        <v>89</v>
      </c>
      <c r="F602" s="1">
        <v>42752</v>
      </c>
      <c r="G602" s="2">
        <v>101</v>
      </c>
      <c r="H602" s="2"/>
      <c r="I602" s="2">
        <v>0.7</v>
      </c>
      <c r="J602" s="2">
        <v>4</v>
      </c>
      <c r="K602" s="2">
        <v>-3</v>
      </c>
      <c r="L602" s="2">
        <v>820.1</v>
      </c>
      <c r="M602" s="2">
        <v>820.1</v>
      </c>
      <c r="N602" s="2">
        <f ca="1">INDEX(INDIRECT(_xlfn.CONCAT("weather.tbl[",N$1,"]")),MATCH(vp.tbl[[#This Row],[SDate]],weather.tbl[Date],0))</f>
        <v>-5.3999999999999995</v>
      </c>
      <c r="O602" s="2">
        <f ca="1">INDEX(INDIRECT(_xlfn.CONCAT("weather.tbl[",O$1,"]")),MATCH(vp.tbl[[#This Row],[SDate]],weather.tbl[Date],0))</f>
        <v>-16.290476190476195</v>
      </c>
      <c r="P602" s="2">
        <f ca="1">INDEX(INDIRECT(_xlfn.CONCAT("weather.tbl[",P$1,"]")),MATCH(vp.tbl[[#This Row],[SDate]],weather.tbl[Date],0))</f>
        <v>-5.7</v>
      </c>
      <c r="Q602" s="2">
        <f ca="1">INDEX(INDIRECT(_xlfn.CONCAT("weather.tbl[",Q$1,"]")),MATCH(vp.tbl[[#This Row],[SDate]],weather.tbl[Date],0))</f>
        <v>-4.4000000000000004</v>
      </c>
      <c r="R602" s="2">
        <f ca="1">INDEX(INDIRECT(_xlfn.CONCAT("weather.tbl[",R$1,"]")),MATCH(vp.tbl[[#This Row],[SDate]],weather.tbl[Date],0))</f>
        <v>-7.8</v>
      </c>
      <c r="S602" s="2">
        <f ca="1">INDEX(INDIRECT(_xlfn.CONCAT("weather.tbl[",S$1,"]")),MATCH(vp.tbl[[#This Row],[SDate]],weather.tbl[Date],0))</f>
        <v>-3.1</v>
      </c>
      <c r="T602" s="2">
        <f ca="1">INDEX(INDIRECT(_xlfn.CONCAT("weather.tbl[",T$1,"]")),MATCH(vp.tbl[[#This Row],[SDate]],weather.tbl[Date],0))</f>
        <v>-7.6</v>
      </c>
      <c r="U602" s="2">
        <f ca="1">INDEX(INDIRECT(_xlfn.CONCAT("weather.tbl[",U$1,"]")),MATCH(vp.tbl[[#This Row],[SDate]],weather.tbl[Date],0))</f>
        <v>-3.8</v>
      </c>
      <c r="V602" s="2">
        <v>6179.5609999999997</v>
      </c>
      <c r="W602" t="s">
        <v>48</v>
      </c>
      <c r="X602">
        <f>IF(OR(vp.tbl[[#This Row],[Sulf]]="",vp.tbl[[#This Row],[Dens]]=""),1,0)</f>
        <v>0</v>
      </c>
      <c r="Y602">
        <f>IF(vp.tbl[[#This Row],[CrudeType]]="C5+",1,0)</f>
        <v>0</v>
      </c>
      <c r="Z602">
        <f>IF(AND(vp.tbl[[#This Row],[CrudeType]]="Crude",vp.tbl[[#This Row],[Dens]]&lt;=825,vp.tbl[[#This Row],[Sulf]]&gt;0.5,vp.tbl[[#This Row],[Unknown]]=0),1,0)</f>
        <v>1</v>
      </c>
      <c r="AA602">
        <f>IF(AND(vp.tbl[[#This Row],[CrudeType]]="Crude",vp.tbl[[#This Row],[Dens]]&lt;=825,vp.tbl[[#This Row],[Sulf]]&lt;=0.5,vp.tbl[[#This Row],[Unknown]]=0),1,0)</f>
        <v>0</v>
      </c>
      <c r="AB602">
        <f>IF(AND(vp.tbl[[#This Row],[CrudeType]]="Crude",vp.tbl[[#This Row],[Dens]]&gt;825,vp.tbl[[#This Row],[Dens]]&lt;=870,vp.tbl[[#This Row],[Sulf]]&gt;0.5,vp.tbl[[#This Row],[Unknown]]=0),1,0)</f>
        <v>0</v>
      </c>
      <c r="AC602">
        <f>IF(AND(vp.tbl[[#This Row],[CrudeType]]="Crude",vp.tbl[[#This Row],[Dens]]&gt;825,vp.tbl[[#This Row],[Dens]]&lt;=900,vp.tbl[[#This Row],[Sulf]]&lt;=0.5,vp.tbl[[#This Row],[Unknown]]=0),1,0)</f>
        <v>0</v>
      </c>
      <c r="AD602">
        <f>IF(AND(vp.tbl[[#This Row],[CrudeType]]="Crude",vp.tbl[[#This Row],[Dens]]&gt;870,vp.tbl[[#This Row],[Dens]]&lt;=900,vp.tbl[[#This Row],[Sulf]]&gt;0.5,vp.tbl[[#This Row],[Unknown]]=0),1,0)</f>
        <v>0</v>
      </c>
      <c r="AE602">
        <f>IF(AND(vp.tbl[[#This Row],[CrudeType]]="Crude",vp.tbl[[#This Row],[Dens]]&gt;900,vp.tbl[[#This Row],[Sulf]]&lt;=0.5,vp.tbl[[#This Row],[Unknown]]=0),1,0)</f>
        <v>0</v>
      </c>
      <c r="AF602">
        <f>IF(AND(vp.tbl[[#This Row],[CrudeType]]="Crude",vp.tbl[[#This Row],[Dens]]&gt;900,vp.tbl[[#This Row],[Sulf]]&lt;=0.5,vp.tbl[[#This Row],[Unknown]]=0),1,0)</f>
        <v>0</v>
      </c>
      <c r="AG602" t="str">
        <f>INDEX(vp.tbl[[#Headers],[Unknown]:[Heavy_SW]],MATCH(1,vp.tbl[[#This Row],[Unknown]:[Heavy_SW]],0))</f>
        <v>Light_LSB</v>
      </c>
      <c r="AH602" t="e">
        <f>INDEX([1]!crudeBD.lkup[Number],MATCH(vp.tbl[[#This Row],[Crude_Breakdown]],[1]!crudeBD.lkup[Crude Breakdown],0))</f>
        <v>#REF!</v>
      </c>
      <c r="AI602">
        <f>MONTH(vp.tbl[[#This Row],[SDate]])</f>
        <v>1</v>
      </c>
      <c r="AJ602" s="5">
        <f>IFERROR(vp.tbl[[#This Row],[Sulf]]*vp.tbl[[#This Row],[Net Dens]],"")</f>
        <v>3547500.5832699994</v>
      </c>
      <c r="AK602" s="5">
        <f>IFERROR(vp.tbl[[#This Row],[Dens]]*vp.tbl[[#This Row],[VolumeM3]],"")</f>
        <v>5067857.9760999996</v>
      </c>
      <c r="AL602" s="5">
        <f>IFERROR(vp.tbl[[#This Row],[VP]]*vp.tbl[[#This Row],[VolumeM3]],"")</f>
        <v>624135.66099999996</v>
      </c>
      <c r="AM602" s="4">
        <f>IFERROR((vp.tbl[[#This Row],[VP]]-INDEX(crudeBD.lkup.complete[Mean_VP],MATCH(vp.tbl[[#This Row],[Crude_Breakdown]],crudeBD.lkup.complete[Crude Breakdown],0)))^2,"")</f>
        <v>89.374607333403603</v>
      </c>
      <c r="AN602" s="4">
        <f>IFERROR((vp.tbl[[#This Row],[Dens]]-INDEX(crudeBD.lkup.complete[Mean_Dens],MATCH(vp.tbl[[#This Row],[Crude_Breakdown]],crudeBD.lkup.complete[Crude Breakdown],0)))^2,"")</f>
        <v>2.5066179945925335</v>
      </c>
      <c r="AO602" s="4">
        <f>IFERROR((vp.tbl[[#This Row],[Sulf]]-INDEX(crudeBD.lkup.complete[Mean_Sulf],MATCH(vp.tbl[[#This Row],[Crude_Breakdown]],crudeBD.lkup.complete[Crude Breakdown],0)))^2,"")</f>
        <v>4.9716141930918292E-2</v>
      </c>
      <c r="AP602">
        <f>IF(AND(vp.tbl[[#This Row],[SDate]]&gt;=DATE(YEAR(vp.tbl[[#This Row],[SDate]]),5,1),vp.tbl[[#This Row],[SDate]]&lt;=DATE(YEAR(vp.tbl[[#This Row],[SDate]]),9,15)),1,0)</f>
        <v>0</v>
      </c>
      <c r="AQ602" s="15">
        <f>IF(vp.tbl[[#This Row],[SDate]]&lt;DATE(2016,12,1),0,1)</f>
        <v>1</v>
      </c>
    </row>
    <row r="603" spans="1:43" x14ac:dyDescent="0.25">
      <c r="A603">
        <v>602</v>
      </c>
      <c r="B603" t="s">
        <v>51</v>
      </c>
      <c r="C603" t="s">
        <v>51</v>
      </c>
      <c r="D603" t="s">
        <v>71</v>
      </c>
      <c r="F603" s="1">
        <v>42752</v>
      </c>
      <c r="G603" s="2">
        <v>86.1</v>
      </c>
      <c r="H603" s="2"/>
      <c r="I603" s="2">
        <v>1.42</v>
      </c>
      <c r="J603" s="2">
        <v>4</v>
      </c>
      <c r="K603" s="2">
        <v>-6</v>
      </c>
      <c r="L603" s="2">
        <v>830.6</v>
      </c>
      <c r="M603" s="2">
        <v>830.6</v>
      </c>
      <c r="N603" s="2">
        <f ca="1">INDEX(INDIRECT(_xlfn.CONCAT("weather.tbl[",N$1,"]")),MATCH(vp.tbl[[#This Row],[SDate]],weather.tbl[Date],0))</f>
        <v>-5.3999999999999995</v>
      </c>
      <c r="O603" s="2">
        <f ca="1">INDEX(INDIRECT(_xlfn.CONCAT("weather.tbl[",O$1,"]")),MATCH(vp.tbl[[#This Row],[SDate]],weather.tbl[Date],0))</f>
        <v>-16.290476190476195</v>
      </c>
      <c r="P603" s="2">
        <f ca="1">INDEX(INDIRECT(_xlfn.CONCAT("weather.tbl[",P$1,"]")),MATCH(vp.tbl[[#This Row],[SDate]],weather.tbl[Date],0))</f>
        <v>-5.7</v>
      </c>
      <c r="Q603" s="2">
        <f ca="1">INDEX(INDIRECT(_xlfn.CONCAT("weather.tbl[",Q$1,"]")),MATCH(vp.tbl[[#This Row],[SDate]],weather.tbl[Date],0))</f>
        <v>-4.4000000000000004</v>
      </c>
      <c r="R603" s="2">
        <f ca="1">INDEX(INDIRECT(_xlfn.CONCAT("weather.tbl[",R$1,"]")),MATCH(vp.tbl[[#This Row],[SDate]],weather.tbl[Date],0))</f>
        <v>-7.8</v>
      </c>
      <c r="S603" s="2">
        <f ca="1">INDEX(INDIRECT(_xlfn.CONCAT("weather.tbl[",S$1,"]")),MATCH(vp.tbl[[#This Row],[SDate]],weather.tbl[Date],0))</f>
        <v>-3.1</v>
      </c>
      <c r="T603" s="2">
        <f ca="1">INDEX(INDIRECT(_xlfn.CONCAT("weather.tbl[",T$1,"]")),MATCH(vp.tbl[[#This Row],[SDate]],weather.tbl[Date],0))</f>
        <v>-7.6</v>
      </c>
      <c r="U603" s="2">
        <f ca="1">INDEX(INDIRECT(_xlfn.CONCAT("weather.tbl[",U$1,"]")),MATCH(vp.tbl[[#This Row],[SDate]],weather.tbl[Date],0))</f>
        <v>-3.8</v>
      </c>
      <c r="V603" s="2">
        <v>7460.0540000000001</v>
      </c>
      <c r="W603" t="s">
        <v>48</v>
      </c>
      <c r="X603">
        <f>IF(OR(vp.tbl[[#This Row],[Sulf]]="",vp.tbl[[#This Row],[Dens]]=""),1,0)</f>
        <v>0</v>
      </c>
      <c r="Y603">
        <f>IF(vp.tbl[[#This Row],[CrudeType]]="C5+",1,0)</f>
        <v>0</v>
      </c>
      <c r="Z603">
        <f>IF(AND(vp.tbl[[#This Row],[CrudeType]]="Crude",vp.tbl[[#This Row],[Dens]]&lt;=825,vp.tbl[[#This Row],[Sulf]]&gt;0.5,vp.tbl[[#This Row],[Unknown]]=0),1,0)</f>
        <v>0</v>
      </c>
      <c r="AA603">
        <f>IF(AND(vp.tbl[[#This Row],[CrudeType]]="Crude",vp.tbl[[#This Row],[Dens]]&lt;=825,vp.tbl[[#This Row],[Sulf]]&lt;=0.5,vp.tbl[[#This Row],[Unknown]]=0),1,0)</f>
        <v>0</v>
      </c>
      <c r="AB603">
        <f>IF(AND(vp.tbl[[#This Row],[CrudeType]]="Crude",vp.tbl[[#This Row],[Dens]]&gt;825,vp.tbl[[#This Row],[Dens]]&lt;=870,vp.tbl[[#This Row],[Sulf]]&gt;0.5,vp.tbl[[#This Row],[Unknown]]=0),1,0)</f>
        <v>1</v>
      </c>
      <c r="AC603">
        <f>IF(AND(vp.tbl[[#This Row],[CrudeType]]="Crude",vp.tbl[[#This Row],[Dens]]&gt;825,vp.tbl[[#This Row],[Dens]]&lt;=900,vp.tbl[[#This Row],[Sulf]]&lt;=0.5,vp.tbl[[#This Row],[Unknown]]=0),1,0)</f>
        <v>0</v>
      </c>
      <c r="AD603">
        <f>IF(AND(vp.tbl[[#This Row],[CrudeType]]="Crude",vp.tbl[[#This Row],[Dens]]&gt;870,vp.tbl[[#This Row],[Dens]]&lt;=900,vp.tbl[[#This Row],[Sulf]]&gt;0.5,vp.tbl[[#This Row],[Unknown]]=0),1,0)</f>
        <v>0</v>
      </c>
      <c r="AE603">
        <f>IF(AND(vp.tbl[[#This Row],[CrudeType]]="Crude",vp.tbl[[#This Row],[Dens]]&gt;900,vp.tbl[[#This Row],[Sulf]]&lt;=0.5,vp.tbl[[#This Row],[Unknown]]=0),1,0)</f>
        <v>0</v>
      </c>
      <c r="AF603">
        <f>IF(AND(vp.tbl[[#This Row],[CrudeType]]="Crude",vp.tbl[[#This Row],[Dens]]&gt;900,vp.tbl[[#This Row],[Sulf]]&lt;=0.5,vp.tbl[[#This Row],[Unknown]]=0),1,0)</f>
        <v>0</v>
      </c>
      <c r="AG603" t="str">
        <f>INDEX(vp.tbl[[#Headers],[Unknown]:[Heavy_SW]],MATCH(1,vp.tbl[[#This Row],[Unknown]:[Heavy_SW]],0))</f>
        <v>Medium_LSB</v>
      </c>
      <c r="AH603" t="e">
        <f>INDEX([1]!crudeBD.lkup[Number],MATCH(vp.tbl[[#This Row],[Crude_Breakdown]],[1]!crudeBD.lkup[Crude Breakdown],0))</f>
        <v>#REF!</v>
      </c>
      <c r="AI603">
        <f>MONTH(vp.tbl[[#This Row],[SDate]])</f>
        <v>1</v>
      </c>
      <c r="AJ603" s="5">
        <f>IFERROR(vp.tbl[[#This Row],[Sulf]]*vp.tbl[[#This Row],[Net Dens]],"")</f>
        <v>8798775.6104080006</v>
      </c>
      <c r="AK603" s="5">
        <f>IFERROR(vp.tbl[[#This Row],[Dens]]*vp.tbl[[#This Row],[VolumeM3]],"")</f>
        <v>6196320.8524000002</v>
      </c>
      <c r="AL603" s="5">
        <f>IFERROR(vp.tbl[[#This Row],[VP]]*vp.tbl[[#This Row],[VolumeM3]],"")</f>
        <v>642310.64939999999</v>
      </c>
      <c r="AM603" s="4">
        <f>IFERROR((vp.tbl[[#This Row],[VP]]-INDEX(crudeBD.lkup.complete[Mean_VP],MATCH(vp.tbl[[#This Row],[Crude_Breakdown]],crudeBD.lkup.complete[Crude Breakdown],0)))^2,"")</f>
        <v>35.122276974203224</v>
      </c>
      <c r="AN603" s="4">
        <f>IFERROR((vp.tbl[[#This Row],[Dens]]-INDEX(crudeBD.lkup.complete[Mean_Dens],MATCH(vp.tbl[[#This Row],[Crude_Breakdown]],crudeBD.lkup.complete[Crude Breakdown],0)))^2,"")</f>
        <v>215.84965674023638</v>
      </c>
      <c r="AO603" s="4">
        <f>IFERROR((vp.tbl[[#This Row],[Sulf]]-INDEX(crudeBD.lkup.complete[Mean_Sulf],MATCH(vp.tbl[[#This Row],[Crude_Breakdown]],crudeBD.lkup.complete[Crude Breakdown],0)))^2,"")</f>
        <v>1.2200951726777241E-3</v>
      </c>
      <c r="AP603">
        <f>IF(AND(vp.tbl[[#This Row],[SDate]]&gt;=DATE(YEAR(vp.tbl[[#This Row],[SDate]]),5,1),vp.tbl[[#This Row],[SDate]]&lt;=DATE(YEAR(vp.tbl[[#This Row],[SDate]]),9,15)),1,0)</f>
        <v>0</v>
      </c>
      <c r="AQ603" s="15">
        <f>IF(vp.tbl[[#This Row],[SDate]]&lt;DATE(2016,12,1),0,1)</f>
        <v>1</v>
      </c>
    </row>
    <row r="604" spans="1:43" x14ac:dyDescent="0.25">
      <c r="A604">
        <v>603</v>
      </c>
      <c r="B604" t="s">
        <v>62</v>
      </c>
      <c r="C604" t="s">
        <v>62</v>
      </c>
      <c r="D604" t="s">
        <v>63</v>
      </c>
      <c r="F604" s="1">
        <v>42752</v>
      </c>
      <c r="G604" s="2">
        <v>86.6</v>
      </c>
      <c r="H604" s="2"/>
      <c r="I604" s="2">
        <v>1.48</v>
      </c>
      <c r="J604" s="2">
        <v>12</v>
      </c>
      <c r="K604" s="2">
        <v>1</v>
      </c>
      <c r="L604" s="2">
        <v>838</v>
      </c>
      <c r="M604" s="2">
        <v>838</v>
      </c>
      <c r="N604" s="2">
        <f ca="1">INDEX(INDIRECT(_xlfn.CONCAT("weather.tbl[",N$1,"]")),MATCH(vp.tbl[[#This Row],[SDate]],weather.tbl[Date],0))</f>
        <v>-5.3999999999999995</v>
      </c>
      <c r="O604" s="2">
        <f ca="1">INDEX(INDIRECT(_xlfn.CONCAT("weather.tbl[",O$1,"]")),MATCH(vp.tbl[[#This Row],[SDate]],weather.tbl[Date],0))</f>
        <v>-16.290476190476195</v>
      </c>
      <c r="P604" s="2">
        <f ca="1">INDEX(INDIRECT(_xlfn.CONCAT("weather.tbl[",P$1,"]")),MATCH(vp.tbl[[#This Row],[SDate]],weather.tbl[Date],0))</f>
        <v>-5.7</v>
      </c>
      <c r="Q604" s="2">
        <f ca="1">INDEX(INDIRECT(_xlfn.CONCAT("weather.tbl[",Q$1,"]")),MATCH(vp.tbl[[#This Row],[SDate]],weather.tbl[Date],0))</f>
        <v>-4.4000000000000004</v>
      </c>
      <c r="R604" s="2">
        <f ca="1">INDEX(INDIRECT(_xlfn.CONCAT("weather.tbl[",R$1,"]")),MATCH(vp.tbl[[#This Row],[SDate]],weather.tbl[Date],0))</f>
        <v>-7.8</v>
      </c>
      <c r="S604" s="2">
        <f ca="1">INDEX(INDIRECT(_xlfn.CONCAT("weather.tbl[",S$1,"]")),MATCH(vp.tbl[[#This Row],[SDate]],weather.tbl[Date],0))</f>
        <v>-3.1</v>
      </c>
      <c r="T604" s="2">
        <f ca="1">INDEX(INDIRECT(_xlfn.CONCAT("weather.tbl[",T$1,"]")),MATCH(vp.tbl[[#This Row],[SDate]],weather.tbl[Date],0))</f>
        <v>-7.6</v>
      </c>
      <c r="U604" s="2">
        <f ca="1">INDEX(INDIRECT(_xlfn.CONCAT("weather.tbl[",U$1,"]")),MATCH(vp.tbl[[#This Row],[SDate]],weather.tbl[Date],0))</f>
        <v>-3.8</v>
      </c>
      <c r="V604" s="2">
        <v>4893.7520000000004</v>
      </c>
      <c r="W604" t="s">
        <v>48</v>
      </c>
      <c r="X604">
        <f>IF(OR(vp.tbl[[#This Row],[Sulf]]="",vp.tbl[[#This Row],[Dens]]=""),1,0)</f>
        <v>0</v>
      </c>
      <c r="Y604">
        <f>IF(vp.tbl[[#This Row],[CrudeType]]="C5+",1,0)</f>
        <v>0</v>
      </c>
      <c r="Z604">
        <f>IF(AND(vp.tbl[[#This Row],[CrudeType]]="Crude",vp.tbl[[#This Row],[Dens]]&lt;=825,vp.tbl[[#This Row],[Sulf]]&gt;0.5,vp.tbl[[#This Row],[Unknown]]=0),1,0)</f>
        <v>0</v>
      </c>
      <c r="AA604">
        <f>IF(AND(vp.tbl[[#This Row],[CrudeType]]="Crude",vp.tbl[[#This Row],[Dens]]&lt;=825,vp.tbl[[#This Row],[Sulf]]&lt;=0.5,vp.tbl[[#This Row],[Unknown]]=0),1,0)</f>
        <v>0</v>
      </c>
      <c r="AB604">
        <f>IF(AND(vp.tbl[[#This Row],[CrudeType]]="Crude",vp.tbl[[#This Row],[Dens]]&gt;825,vp.tbl[[#This Row],[Dens]]&lt;=870,vp.tbl[[#This Row],[Sulf]]&gt;0.5,vp.tbl[[#This Row],[Unknown]]=0),1,0)</f>
        <v>1</v>
      </c>
      <c r="AC604">
        <f>IF(AND(vp.tbl[[#This Row],[CrudeType]]="Crude",vp.tbl[[#This Row],[Dens]]&gt;825,vp.tbl[[#This Row],[Dens]]&lt;=900,vp.tbl[[#This Row],[Sulf]]&lt;=0.5,vp.tbl[[#This Row],[Unknown]]=0),1,0)</f>
        <v>0</v>
      </c>
      <c r="AD604">
        <f>IF(AND(vp.tbl[[#This Row],[CrudeType]]="Crude",vp.tbl[[#This Row],[Dens]]&gt;870,vp.tbl[[#This Row],[Dens]]&lt;=900,vp.tbl[[#This Row],[Sulf]]&gt;0.5,vp.tbl[[#This Row],[Unknown]]=0),1,0)</f>
        <v>0</v>
      </c>
      <c r="AE604">
        <f>IF(AND(vp.tbl[[#This Row],[CrudeType]]="Crude",vp.tbl[[#This Row],[Dens]]&gt;900,vp.tbl[[#This Row],[Sulf]]&lt;=0.5,vp.tbl[[#This Row],[Unknown]]=0),1,0)</f>
        <v>0</v>
      </c>
      <c r="AF604">
        <f>IF(AND(vp.tbl[[#This Row],[CrudeType]]="Crude",vp.tbl[[#This Row],[Dens]]&gt;900,vp.tbl[[#This Row],[Sulf]]&lt;=0.5,vp.tbl[[#This Row],[Unknown]]=0),1,0)</f>
        <v>0</v>
      </c>
      <c r="AG604" t="str">
        <f>INDEX(vp.tbl[[#Headers],[Unknown]:[Heavy_SW]],MATCH(1,vp.tbl[[#This Row],[Unknown]:[Heavy_SW]],0))</f>
        <v>Medium_LSB</v>
      </c>
      <c r="AH604" t="e">
        <f>INDEX([1]!crudeBD.lkup[Number],MATCH(vp.tbl[[#This Row],[Crude_Breakdown]],[1]!crudeBD.lkup[Crude Breakdown],0))</f>
        <v>#REF!</v>
      </c>
      <c r="AI604">
        <f>MONTH(vp.tbl[[#This Row],[SDate]])</f>
        <v>1</v>
      </c>
      <c r="AJ604" s="5">
        <f>IFERROR(vp.tbl[[#This Row],[Sulf]]*vp.tbl[[#This Row],[Net Dens]],"")</f>
        <v>6069426.9804800004</v>
      </c>
      <c r="AK604" s="5">
        <f>IFERROR(vp.tbl[[#This Row],[Dens]]*vp.tbl[[#This Row],[VolumeM3]],"")</f>
        <v>4100964.1760000004</v>
      </c>
      <c r="AL604" s="5">
        <f>IFERROR(vp.tbl[[#This Row],[VP]]*vp.tbl[[#This Row],[VolumeM3]],"")</f>
        <v>423798.92320000002</v>
      </c>
      <c r="AM604" s="4">
        <f>IFERROR((vp.tbl[[#This Row],[VP]]-INDEX(crudeBD.lkup.complete[Mean_VP],MATCH(vp.tbl[[#This Row],[Crude_Breakdown]],crudeBD.lkup.complete[Crude Breakdown],0)))^2,"")</f>
        <v>41.298682037494395</v>
      </c>
      <c r="AN604" s="4">
        <f>IFERROR((vp.tbl[[#This Row],[Dens]]-INDEX(crudeBD.lkup.complete[Mean_Dens],MATCH(vp.tbl[[#This Row],[Crude_Breakdown]],crudeBD.lkup.complete[Crude Breakdown],0)))^2,"")</f>
        <v>53.17067952506175</v>
      </c>
      <c r="AO604" s="4">
        <f>IFERROR((vp.tbl[[#This Row],[Sulf]]-INDEX(crudeBD.lkup.complete[Mean_Sulf],MATCH(vp.tbl[[#This Row],[Crude_Breakdown]],crudeBD.lkup.complete[Crude Breakdown],0)))^2,"")</f>
        <v>6.2851188153830004E-4</v>
      </c>
      <c r="AP604">
        <f>IF(AND(vp.tbl[[#This Row],[SDate]]&gt;=DATE(YEAR(vp.tbl[[#This Row],[SDate]]),5,1),vp.tbl[[#This Row],[SDate]]&lt;=DATE(YEAR(vp.tbl[[#This Row],[SDate]]),9,15)),1,0)</f>
        <v>0</v>
      </c>
      <c r="AQ604" s="15">
        <f>IF(vp.tbl[[#This Row],[SDate]]&lt;DATE(2016,12,1),0,1)</f>
        <v>1</v>
      </c>
    </row>
    <row r="605" spans="1:43" x14ac:dyDescent="0.25">
      <c r="A605">
        <v>604</v>
      </c>
      <c r="B605" t="s">
        <v>56</v>
      </c>
      <c r="C605" t="s">
        <v>56</v>
      </c>
      <c r="D605" t="s">
        <v>57</v>
      </c>
      <c r="F605" s="1">
        <v>42752</v>
      </c>
      <c r="G605" s="2">
        <v>80.900000000000006</v>
      </c>
      <c r="H605" s="2"/>
      <c r="I605" s="2">
        <v>1.68</v>
      </c>
      <c r="J605" s="2">
        <v>19</v>
      </c>
      <c r="K605" s="2">
        <v>1</v>
      </c>
      <c r="L605" s="2">
        <v>845.2</v>
      </c>
      <c r="M605" s="2">
        <v>845.2</v>
      </c>
      <c r="N605" s="2">
        <f ca="1">INDEX(INDIRECT(_xlfn.CONCAT("weather.tbl[",N$1,"]")),MATCH(vp.tbl[[#This Row],[SDate]],weather.tbl[Date],0))</f>
        <v>-5.3999999999999995</v>
      </c>
      <c r="O605" s="2">
        <f ca="1">INDEX(INDIRECT(_xlfn.CONCAT("weather.tbl[",O$1,"]")),MATCH(vp.tbl[[#This Row],[SDate]],weather.tbl[Date],0))</f>
        <v>-16.290476190476195</v>
      </c>
      <c r="P605" s="2">
        <f ca="1">INDEX(INDIRECT(_xlfn.CONCAT("weather.tbl[",P$1,"]")),MATCH(vp.tbl[[#This Row],[SDate]],weather.tbl[Date],0))</f>
        <v>-5.7</v>
      </c>
      <c r="Q605" s="2">
        <f ca="1">INDEX(INDIRECT(_xlfn.CONCAT("weather.tbl[",Q$1,"]")),MATCH(vp.tbl[[#This Row],[SDate]],weather.tbl[Date],0))</f>
        <v>-4.4000000000000004</v>
      </c>
      <c r="R605" s="2">
        <f ca="1">INDEX(INDIRECT(_xlfn.CONCAT("weather.tbl[",R$1,"]")),MATCH(vp.tbl[[#This Row],[SDate]],weather.tbl[Date],0))</f>
        <v>-7.8</v>
      </c>
      <c r="S605" s="2">
        <f ca="1">INDEX(INDIRECT(_xlfn.CONCAT("weather.tbl[",S$1,"]")),MATCH(vp.tbl[[#This Row],[SDate]],weather.tbl[Date],0))</f>
        <v>-3.1</v>
      </c>
      <c r="T605" s="2">
        <f ca="1">INDEX(INDIRECT(_xlfn.CONCAT("weather.tbl[",T$1,"]")),MATCH(vp.tbl[[#This Row],[SDate]],weather.tbl[Date],0))</f>
        <v>-7.6</v>
      </c>
      <c r="U605" s="2">
        <f ca="1">INDEX(INDIRECT(_xlfn.CONCAT("weather.tbl[",U$1,"]")),MATCH(vp.tbl[[#This Row],[SDate]],weather.tbl[Date],0))</f>
        <v>-3.8</v>
      </c>
      <c r="V605" s="2">
        <v>3079.645</v>
      </c>
      <c r="W605" t="s">
        <v>48</v>
      </c>
      <c r="X605">
        <f>IF(OR(vp.tbl[[#This Row],[Sulf]]="",vp.tbl[[#This Row],[Dens]]=""),1,0)</f>
        <v>0</v>
      </c>
      <c r="Y605">
        <f>IF(vp.tbl[[#This Row],[CrudeType]]="C5+",1,0)</f>
        <v>0</v>
      </c>
      <c r="Z605">
        <f>IF(AND(vp.tbl[[#This Row],[CrudeType]]="Crude",vp.tbl[[#This Row],[Dens]]&lt;=825,vp.tbl[[#This Row],[Sulf]]&gt;0.5,vp.tbl[[#This Row],[Unknown]]=0),1,0)</f>
        <v>0</v>
      </c>
      <c r="AA605">
        <f>IF(AND(vp.tbl[[#This Row],[CrudeType]]="Crude",vp.tbl[[#This Row],[Dens]]&lt;=825,vp.tbl[[#This Row],[Sulf]]&lt;=0.5,vp.tbl[[#This Row],[Unknown]]=0),1,0)</f>
        <v>0</v>
      </c>
      <c r="AB605">
        <f>IF(AND(vp.tbl[[#This Row],[CrudeType]]="Crude",vp.tbl[[#This Row],[Dens]]&gt;825,vp.tbl[[#This Row],[Dens]]&lt;=870,vp.tbl[[#This Row],[Sulf]]&gt;0.5,vp.tbl[[#This Row],[Unknown]]=0),1,0)</f>
        <v>1</v>
      </c>
      <c r="AC605">
        <f>IF(AND(vp.tbl[[#This Row],[CrudeType]]="Crude",vp.tbl[[#This Row],[Dens]]&gt;825,vp.tbl[[#This Row],[Dens]]&lt;=900,vp.tbl[[#This Row],[Sulf]]&lt;=0.5,vp.tbl[[#This Row],[Unknown]]=0),1,0)</f>
        <v>0</v>
      </c>
      <c r="AD605">
        <f>IF(AND(vp.tbl[[#This Row],[CrudeType]]="Crude",vp.tbl[[#This Row],[Dens]]&gt;870,vp.tbl[[#This Row],[Dens]]&lt;=900,vp.tbl[[#This Row],[Sulf]]&gt;0.5,vp.tbl[[#This Row],[Unknown]]=0),1,0)</f>
        <v>0</v>
      </c>
      <c r="AE605">
        <f>IF(AND(vp.tbl[[#This Row],[CrudeType]]="Crude",vp.tbl[[#This Row],[Dens]]&gt;900,vp.tbl[[#This Row],[Sulf]]&lt;=0.5,vp.tbl[[#This Row],[Unknown]]=0),1,0)</f>
        <v>0</v>
      </c>
      <c r="AF605">
        <f>IF(AND(vp.tbl[[#This Row],[CrudeType]]="Crude",vp.tbl[[#This Row],[Dens]]&gt;900,vp.tbl[[#This Row],[Sulf]]&lt;=0.5,vp.tbl[[#This Row],[Unknown]]=0),1,0)</f>
        <v>0</v>
      </c>
      <c r="AG605" t="str">
        <f>INDEX(vp.tbl[[#Headers],[Unknown]:[Heavy_SW]],MATCH(1,vp.tbl[[#This Row],[Unknown]:[Heavy_SW]],0))</f>
        <v>Medium_LSB</v>
      </c>
      <c r="AH605" t="e">
        <f>INDEX([1]!crudeBD.lkup[Number],MATCH(vp.tbl[[#This Row],[Crude_Breakdown]],[1]!crudeBD.lkup[Crude Breakdown],0))</f>
        <v>#REF!</v>
      </c>
      <c r="AI605">
        <f>MONTH(vp.tbl[[#This Row],[SDate]])</f>
        <v>1</v>
      </c>
      <c r="AJ605" s="5">
        <f>IFERROR(vp.tbl[[#This Row],[Sulf]]*vp.tbl[[#This Row],[Net Dens]],"")</f>
        <v>4372898.80272</v>
      </c>
      <c r="AK605" s="5">
        <f>IFERROR(vp.tbl[[#This Row],[Dens]]*vp.tbl[[#This Row],[VolumeM3]],"")</f>
        <v>2602915.9539999999</v>
      </c>
      <c r="AL605" s="5">
        <f>IFERROR(vp.tbl[[#This Row],[VP]]*vp.tbl[[#This Row],[VolumeM3]],"")</f>
        <v>249143.28050000002</v>
      </c>
      <c r="AM605" s="4">
        <f>IFERROR((vp.tbl[[#This Row],[VP]]-INDEX(crudeBD.lkup.complete[Mean_VP],MATCH(vp.tbl[[#This Row],[Crude_Breakdown]],crudeBD.lkup.complete[Crude Breakdown],0)))^2,"")</f>
        <v>0.52766431597506591</v>
      </c>
      <c r="AN605" s="4">
        <f>IFERROR((vp.tbl[[#This Row],[Dens]]-INDEX(crudeBD.lkup.complete[Mean_Dens],MATCH(vp.tbl[[#This Row],[Crude_Breakdown]],crudeBD.lkup.complete[Crude Breakdown],0)))^2,"")</f>
        <v>8.4314238100976335E-3</v>
      </c>
      <c r="AO605" s="4">
        <f>IFERROR((vp.tbl[[#This Row],[Sulf]]-INDEX(crudeBD.lkup.complete[Mean_Sulf],MATCH(vp.tbl[[#This Row],[Crude_Breakdown]],crudeBD.lkup.complete[Crude Breakdown],0)))^2,"")</f>
        <v>5.0656567577740209E-2</v>
      </c>
      <c r="AP605">
        <f>IF(AND(vp.tbl[[#This Row],[SDate]]&gt;=DATE(YEAR(vp.tbl[[#This Row],[SDate]]),5,1),vp.tbl[[#This Row],[SDate]]&lt;=DATE(YEAR(vp.tbl[[#This Row],[SDate]]),9,15)),1,0)</f>
        <v>0</v>
      </c>
      <c r="AQ605" s="15">
        <f>IF(vp.tbl[[#This Row],[SDate]]&lt;DATE(2016,12,1),0,1)</f>
        <v>1</v>
      </c>
    </row>
    <row r="606" spans="1:43" x14ac:dyDescent="0.25">
      <c r="A606">
        <v>605</v>
      </c>
      <c r="B606" t="s">
        <v>49</v>
      </c>
      <c r="C606" t="s">
        <v>49</v>
      </c>
      <c r="D606" t="s">
        <v>78</v>
      </c>
      <c r="F606" s="1">
        <v>42753</v>
      </c>
      <c r="G606" s="2">
        <v>95.4</v>
      </c>
      <c r="H606" s="2"/>
      <c r="I606" s="2">
        <v>0.33</v>
      </c>
      <c r="J606" s="2">
        <v>8</v>
      </c>
      <c r="K606" s="2">
        <v>2</v>
      </c>
      <c r="L606" s="2">
        <v>812.5</v>
      </c>
      <c r="M606" s="2">
        <v>812.5</v>
      </c>
      <c r="N606" s="2">
        <f ca="1">INDEX(INDIRECT(_xlfn.CONCAT("weather.tbl[",N$1,"]")),MATCH(vp.tbl[[#This Row],[SDate]],weather.tbl[Date],0))</f>
        <v>-0.25000000000000006</v>
      </c>
      <c r="O606" s="2">
        <f ca="1">INDEX(INDIRECT(_xlfn.CONCAT("weather.tbl[",O$1,"]")),MATCH(vp.tbl[[#This Row],[SDate]],weather.tbl[Date],0))</f>
        <v>-13.109523809523811</v>
      </c>
      <c r="P606" s="2">
        <f ca="1">INDEX(INDIRECT(_xlfn.CONCAT("weather.tbl[",P$1,"]")),MATCH(vp.tbl[[#This Row],[SDate]],weather.tbl[Date],0))</f>
        <v>0.2</v>
      </c>
      <c r="Q606" s="2">
        <f ca="1">INDEX(INDIRECT(_xlfn.CONCAT("weather.tbl[",Q$1,"]")),MATCH(vp.tbl[[#This Row],[SDate]],weather.tbl[Date],0))</f>
        <v>-0.1</v>
      </c>
      <c r="R606" s="2">
        <f ca="1">INDEX(INDIRECT(_xlfn.CONCAT("weather.tbl[",R$1,"]")),MATCH(vp.tbl[[#This Row],[SDate]],weather.tbl[Date],0))</f>
        <v>0.3</v>
      </c>
      <c r="S606" s="2">
        <f ca="1">INDEX(INDIRECT(_xlfn.CONCAT("weather.tbl[",S$1,"]")),MATCH(vp.tbl[[#This Row],[SDate]],weather.tbl[Date],0))</f>
        <v>0.5</v>
      </c>
      <c r="T606" s="2">
        <f ca="1">INDEX(INDIRECT(_xlfn.CONCAT("weather.tbl[",T$1,"]")),MATCH(vp.tbl[[#This Row],[SDate]],weather.tbl[Date],0))</f>
        <v>-3.2</v>
      </c>
      <c r="U606" s="2">
        <f ca="1">INDEX(INDIRECT(_xlfn.CONCAT("weather.tbl[",U$1,"]")),MATCH(vp.tbl[[#This Row],[SDate]],weather.tbl[Date],0))</f>
        <v>0.8</v>
      </c>
      <c r="V606" s="2">
        <v>19960.418000000001</v>
      </c>
      <c r="W606" t="s">
        <v>48</v>
      </c>
      <c r="X606">
        <f>IF(OR(vp.tbl[[#This Row],[Sulf]]="",vp.tbl[[#This Row],[Dens]]=""),1,0)</f>
        <v>0</v>
      </c>
      <c r="Y606">
        <f>IF(vp.tbl[[#This Row],[CrudeType]]="C5+",1,0)</f>
        <v>0</v>
      </c>
      <c r="Z606">
        <f>IF(AND(vp.tbl[[#This Row],[CrudeType]]="Crude",vp.tbl[[#This Row],[Dens]]&lt;=825,vp.tbl[[#This Row],[Sulf]]&gt;0.5,vp.tbl[[#This Row],[Unknown]]=0),1,0)</f>
        <v>0</v>
      </c>
      <c r="AA606">
        <f>IF(AND(vp.tbl[[#This Row],[CrudeType]]="Crude",vp.tbl[[#This Row],[Dens]]&lt;=825,vp.tbl[[#This Row],[Sulf]]&lt;=0.5,vp.tbl[[#This Row],[Unknown]]=0),1,0)</f>
        <v>1</v>
      </c>
      <c r="AB606">
        <f>IF(AND(vp.tbl[[#This Row],[CrudeType]]="Crude",vp.tbl[[#This Row],[Dens]]&gt;825,vp.tbl[[#This Row],[Dens]]&lt;=870,vp.tbl[[#This Row],[Sulf]]&gt;0.5,vp.tbl[[#This Row],[Unknown]]=0),1,0)</f>
        <v>0</v>
      </c>
      <c r="AC606">
        <f>IF(AND(vp.tbl[[#This Row],[CrudeType]]="Crude",vp.tbl[[#This Row],[Dens]]&gt;825,vp.tbl[[#This Row],[Dens]]&lt;=900,vp.tbl[[#This Row],[Sulf]]&lt;=0.5,vp.tbl[[#This Row],[Unknown]]=0),1,0)</f>
        <v>0</v>
      </c>
      <c r="AD606">
        <f>IF(AND(vp.tbl[[#This Row],[CrudeType]]="Crude",vp.tbl[[#This Row],[Dens]]&gt;870,vp.tbl[[#This Row],[Dens]]&lt;=900,vp.tbl[[#This Row],[Sulf]]&gt;0.5,vp.tbl[[#This Row],[Unknown]]=0),1,0)</f>
        <v>0</v>
      </c>
      <c r="AE606">
        <f>IF(AND(vp.tbl[[#This Row],[CrudeType]]="Crude",vp.tbl[[#This Row],[Dens]]&gt;900,vp.tbl[[#This Row],[Sulf]]&lt;=0.5,vp.tbl[[#This Row],[Unknown]]=0),1,0)</f>
        <v>0</v>
      </c>
      <c r="AF606">
        <f>IF(AND(vp.tbl[[#This Row],[CrudeType]]="Crude",vp.tbl[[#This Row],[Dens]]&gt;900,vp.tbl[[#This Row],[Sulf]]&lt;=0.5,vp.tbl[[#This Row],[Unknown]]=0),1,0)</f>
        <v>0</v>
      </c>
      <c r="AG606" t="str">
        <f>INDEX(vp.tbl[[#Headers],[Unknown]:[Heavy_SW]],MATCH(1,vp.tbl[[#This Row],[Unknown]:[Heavy_SW]],0))</f>
        <v>Light_SW</v>
      </c>
      <c r="AH606" t="e">
        <f>INDEX([1]!crudeBD.lkup[Number],MATCH(vp.tbl[[#This Row],[Crude_Breakdown]],[1]!crudeBD.lkup[Crude Breakdown],0))</f>
        <v>#REF!</v>
      </c>
      <c r="AI606">
        <f>MONTH(vp.tbl[[#This Row],[SDate]])</f>
        <v>1</v>
      </c>
      <c r="AJ606" s="5">
        <f>IFERROR(vp.tbl[[#This Row],[Sulf]]*vp.tbl[[#This Row],[Net Dens]],"")</f>
        <v>5351887.0762500009</v>
      </c>
      <c r="AK606" s="5">
        <f>IFERROR(vp.tbl[[#This Row],[Dens]]*vp.tbl[[#This Row],[VolumeM3]],"")</f>
        <v>16217839.625000002</v>
      </c>
      <c r="AL606" s="5">
        <f>IFERROR(vp.tbl[[#This Row],[VP]]*vp.tbl[[#This Row],[VolumeM3]],"")</f>
        <v>1904223.8772000002</v>
      </c>
      <c r="AM606" s="4">
        <f>IFERROR((vp.tbl[[#This Row],[VP]]-INDEX(crudeBD.lkup.complete[Mean_VP],MATCH(vp.tbl[[#This Row],[Crude_Breakdown]],crudeBD.lkup.complete[Crude Breakdown],0)))^2,"")</f>
        <v>8.1207126418921742</v>
      </c>
      <c r="AN606" s="4">
        <f>IFERROR((vp.tbl[[#This Row],[Dens]]-INDEX(crudeBD.lkup.complete[Mean_Dens],MATCH(vp.tbl[[#This Row],[Crude_Breakdown]],crudeBD.lkup.complete[Crude Breakdown],0)))^2,"")</f>
        <v>17.543546844081519</v>
      </c>
      <c r="AO606" s="4">
        <f>IFERROR((vp.tbl[[#This Row],[Sulf]]-INDEX(crudeBD.lkup.complete[Mean_Sulf],MATCH(vp.tbl[[#This Row],[Crude_Breakdown]],crudeBD.lkup.complete[Crude Breakdown],0)))^2,"")</f>
        <v>8.7905978457915313E-3</v>
      </c>
      <c r="AP606">
        <f>IF(AND(vp.tbl[[#This Row],[SDate]]&gt;=DATE(YEAR(vp.tbl[[#This Row],[SDate]]),5,1),vp.tbl[[#This Row],[SDate]]&lt;=DATE(YEAR(vp.tbl[[#This Row],[SDate]]),9,15)),1,0)</f>
        <v>0</v>
      </c>
      <c r="AQ606" s="15">
        <f>IF(vp.tbl[[#This Row],[SDate]]&lt;DATE(2016,12,1),0,1)</f>
        <v>1</v>
      </c>
    </row>
    <row r="607" spans="1:43" x14ac:dyDescent="0.25">
      <c r="A607">
        <v>606</v>
      </c>
      <c r="B607" t="s">
        <v>49</v>
      </c>
      <c r="C607" t="s">
        <v>49</v>
      </c>
      <c r="D607" t="s">
        <v>92</v>
      </c>
      <c r="F607" s="1">
        <v>42753</v>
      </c>
      <c r="G607" s="2">
        <v>83.8</v>
      </c>
      <c r="H607" s="2"/>
      <c r="I607" s="2">
        <v>0.68</v>
      </c>
      <c r="J607" s="2">
        <v>21</v>
      </c>
      <c r="K607" s="2">
        <v>3</v>
      </c>
      <c r="L607" s="2">
        <v>827.1</v>
      </c>
      <c r="M607" s="2">
        <v>827.1</v>
      </c>
      <c r="N607" s="2">
        <f ca="1">INDEX(INDIRECT(_xlfn.CONCAT("weather.tbl[",N$1,"]")),MATCH(vp.tbl[[#This Row],[SDate]],weather.tbl[Date],0))</f>
        <v>-0.25000000000000006</v>
      </c>
      <c r="O607" s="2">
        <f ca="1">INDEX(INDIRECT(_xlfn.CONCAT("weather.tbl[",O$1,"]")),MATCH(vp.tbl[[#This Row],[SDate]],weather.tbl[Date],0))</f>
        <v>-13.109523809523811</v>
      </c>
      <c r="P607" s="2">
        <f ca="1">INDEX(INDIRECT(_xlfn.CONCAT("weather.tbl[",P$1,"]")),MATCH(vp.tbl[[#This Row],[SDate]],weather.tbl[Date],0))</f>
        <v>0.2</v>
      </c>
      <c r="Q607" s="2">
        <f ca="1">INDEX(INDIRECT(_xlfn.CONCAT("weather.tbl[",Q$1,"]")),MATCH(vp.tbl[[#This Row],[SDate]],weather.tbl[Date],0))</f>
        <v>-0.1</v>
      </c>
      <c r="R607" s="2">
        <f ca="1">INDEX(INDIRECT(_xlfn.CONCAT("weather.tbl[",R$1,"]")),MATCH(vp.tbl[[#This Row],[SDate]],weather.tbl[Date],0))</f>
        <v>0.3</v>
      </c>
      <c r="S607" s="2">
        <f ca="1">INDEX(INDIRECT(_xlfn.CONCAT("weather.tbl[",S$1,"]")),MATCH(vp.tbl[[#This Row],[SDate]],weather.tbl[Date],0))</f>
        <v>0.5</v>
      </c>
      <c r="T607" s="2">
        <f ca="1">INDEX(INDIRECT(_xlfn.CONCAT("weather.tbl[",T$1,"]")),MATCH(vp.tbl[[#This Row],[SDate]],weather.tbl[Date],0))</f>
        <v>-3.2</v>
      </c>
      <c r="U607" s="2">
        <f ca="1">INDEX(INDIRECT(_xlfn.CONCAT("weather.tbl[",U$1,"]")),MATCH(vp.tbl[[#This Row],[SDate]],weather.tbl[Date],0))</f>
        <v>0.8</v>
      </c>
      <c r="V607" s="2">
        <v>25785.918000000001</v>
      </c>
      <c r="W607" t="s">
        <v>48</v>
      </c>
      <c r="X607">
        <f>IF(OR(vp.tbl[[#This Row],[Sulf]]="",vp.tbl[[#This Row],[Dens]]=""),1,0)</f>
        <v>0</v>
      </c>
      <c r="Y607">
        <f>IF(vp.tbl[[#This Row],[CrudeType]]="C5+",1,0)</f>
        <v>0</v>
      </c>
      <c r="Z607">
        <f>IF(AND(vp.tbl[[#This Row],[CrudeType]]="Crude",vp.tbl[[#This Row],[Dens]]&lt;=825,vp.tbl[[#This Row],[Sulf]]&gt;0.5,vp.tbl[[#This Row],[Unknown]]=0),1,0)</f>
        <v>0</v>
      </c>
      <c r="AA607">
        <f>IF(AND(vp.tbl[[#This Row],[CrudeType]]="Crude",vp.tbl[[#This Row],[Dens]]&lt;=825,vp.tbl[[#This Row],[Sulf]]&lt;=0.5,vp.tbl[[#This Row],[Unknown]]=0),1,0)</f>
        <v>0</v>
      </c>
      <c r="AB607">
        <f>IF(AND(vp.tbl[[#This Row],[CrudeType]]="Crude",vp.tbl[[#This Row],[Dens]]&gt;825,vp.tbl[[#This Row],[Dens]]&lt;=870,vp.tbl[[#This Row],[Sulf]]&gt;0.5,vp.tbl[[#This Row],[Unknown]]=0),1,0)</f>
        <v>1</v>
      </c>
      <c r="AC607">
        <f>IF(AND(vp.tbl[[#This Row],[CrudeType]]="Crude",vp.tbl[[#This Row],[Dens]]&gt;825,vp.tbl[[#This Row],[Dens]]&lt;=900,vp.tbl[[#This Row],[Sulf]]&lt;=0.5,vp.tbl[[#This Row],[Unknown]]=0),1,0)</f>
        <v>0</v>
      </c>
      <c r="AD607">
        <f>IF(AND(vp.tbl[[#This Row],[CrudeType]]="Crude",vp.tbl[[#This Row],[Dens]]&gt;870,vp.tbl[[#This Row],[Dens]]&lt;=900,vp.tbl[[#This Row],[Sulf]]&gt;0.5,vp.tbl[[#This Row],[Unknown]]=0),1,0)</f>
        <v>0</v>
      </c>
      <c r="AE607">
        <f>IF(AND(vp.tbl[[#This Row],[CrudeType]]="Crude",vp.tbl[[#This Row],[Dens]]&gt;900,vp.tbl[[#This Row],[Sulf]]&lt;=0.5,vp.tbl[[#This Row],[Unknown]]=0),1,0)</f>
        <v>0</v>
      </c>
      <c r="AF607">
        <f>IF(AND(vp.tbl[[#This Row],[CrudeType]]="Crude",vp.tbl[[#This Row],[Dens]]&gt;900,vp.tbl[[#This Row],[Sulf]]&lt;=0.5,vp.tbl[[#This Row],[Unknown]]=0),1,0)</f>
        <v>0</v>
      </c>
      <c r="AG607" t="str">
        <f>INDEX(vp.tbl[[#Headers],[Unknown]:[Heavy_SW]],MATCH(1,vp.tbl[[#This Row],[Unknown]:[Heavy_SW]],0))</f>
        <v>Medium_LSB</v>
      </c>
      <c r="AH607" t="e">
        <f>INDEX([1]!crudeBD.lkup[Number],MATCH(vp.tbl[[#This Row],[Crude_Breakdown]],[1]!crudeBD.lkup[Crude Breakdown],0))</f>
        <v>#REF!</v>
      </c>
      <c r="AI607">
        <f>MONTH(vp.tbl[[#This Row],[SDate]])</f>
        <v>1</v>
      </c>
      <c r="AJ607" s="5">
        <f>IFERROR(vp.tbl[[#This Row],[Sulf]]*vp.tbl[[#This Row],[Net Dens]],"")</f>
        <v>14502722.288904002</v>
      </c>
      <c r="AK607" s="5">
        <f>IFERROR(vp.tbl[[#This Row],[Dens]]*vp.tbl[[#This Row],[VolumeM3]],"")</f>
        <v>21327532.777800001</v>
      </c>
      <c r="AL607" s="5">
        <f>IFERROR(vp.tbl[[#This Row],[VP]]*vp.tbl[[#This Row],[VolumeM3]],"")</f>
        <v>2160859.9284000001</v>
      </c>
      <c r="AM607" s="4">
        <f>IFERROR((vp.tbl[[#This Row],[VP]]-INDEX(crudeBD.lkup.complete[Mean_VP],MATCH(vp.tbl[[#This Row],[Crude_Breakdown]],crudeBD.lkup.complete[Crude Breakdown],0)))^2,"")</f>
        <v>13.150813683063859</v>
      </c>
      <c r="AN607" s="4">
        <f>IFERROR((vp.tbl[[#This Row],[Dens]]-INDEX(crudeBD.lkup.complete[Mean_Dens],MATCH(vp.tbl[[#This Row],[Crude_Breakdown]],crudeBD.lkup.complete[Crude Breakdown],0)))^2,"")</f>
        <v>330.94241623390019</v>
      </c>
      <c r="AO607" s="4">
        <f>IFERROR((vp.tbl[[#This Row],[Sulf]]-INDEX(crudeBD.lkup.complete[Mean_Sulf],MATCH(vp.tbl[[#This Row],[Crude_Breakdown]],crudeBD.lkup.complete[Crude Breakdown],0)))^2,"")</f>
        <v>0.60051628909673049</v>
      </c>
      <c r="AP607">
        <f>IF(AND(vp.tbl[[#This Row],[SDate]]&gt;=DATE(YEAR(vp.tbl[[#This Row],[SDate]]),5,1),vp.tbl[[#This Row],[SDate]]&lt;=DATE(YEAR(vp.tbl[[#This Row],[SDate]]),9,15)),1,0)</f>
        <v>0</v>
      </c>
      <c r="AQ607" s="15">
        <f>IF(vp.tbl[[#This Row],[SDate]]&lt;DATE(2016,12,1),0,1)</f>
        <v>1</v>
      </c>
    </row>
    <row r="608" spans="1:43" x14ac:dyDescent="0.25">
      <c r="A608">
        <v>607</v>
      </c>
      <c r="B608" t="s">
        <v>51</v>
      </c>
      <c r="C608" t="s">
        <v>51</v>
      </c>
      <c r="D608" t="s">
        <v>72</v>
      </c>
      <c r="F608" s="1">
        <v>42753</v>
      </c>
      <c r="G608" s="2">
        <v>84.2</v>
      </c>
      <c r="H608" s="2"/>
      <c r="I608" s="2">
        <v>1.1599999999999999</v>
      </c>
      <c r="J608" s="2">
        <v>33</v>
      </c>
      <c r="K608" s="2">
        <v>0</v>
      </c>
      <c r="L608" s="2">
        <v>834.9</v>
      </c>
      <c r="M608" s="2">
        <v>834.9</v>
      </c>
      <c r="N608" s="2">
        <f ca="1">INDEX(INDIRECT(_xlfn.CONCAT("weather.tbl[",N$1,"]")),MATCH(vp.tbl[[#This Row],[SDate]],weather.tbl[Date],0))</f>
        <v>-0.25000000000000006</v>
      </c>
      <c r="O608" s="2">
        <f ca="1">INDEX(INDIRECT(_xlfn.CONCAT("weather.tbl[",O$1,"]")),MATCH(vp.tbl[[#This Row],[SDate]],weather.tbl[Date],0))</f>
        <v>-13.109523809523811</v>
      </c>
      <c r="P608" s="2">
        <f ca="1">INDEX(INDIRECT(_xlfn.CONCAT("weather.tbl[",P$1,"]")),MATCH(vp.tbl[[#This Row],[SDate]],weather.tbl[Date],0))</f>
        <v>0.2</v>
      </c>
      <c r="Q608" s="2">
        <f ca="1">INDEX(INDIRECT(_xlfn.CONCAT("weather.tbl[",Q$1,"]")),MATCH(vp.tbl[[#This Row],[SDate]],weather.tbl[Date],0))</f>
        <v>-0.1</v>
      </c>
      <c r="R608" s="2">
        <f ca="1">INDEX(INDIRECT(_xlfn.CONCAT("weather.tbl[",R$1,"]")),MATCH(vp.tbl[[#This Row],[SDate]],weather.tbl[Date],0))</f>
        <v>0.3</v>
      </c>
      <c r="S608" s="2">
        <f ca="1">INDEX(INDIRECT(_xlfn.CONCAT("weather.tbl[",S$1,"]")),MATCH(vp.tbl[[#This Row],[SDate]],weather.tbl[Date],0))</f>
        <v>0.5</v>
      </c>
      <c r="T608" s="2">
        <f ca="1">INDEX(INDIRECT(_xlfn.CONCAT("weather.tbl[",T$1,"]")),MATCH(vp.tbl[[#This Row],[SDate]],weather.tbl[Date],0))</f>
        <v>-3.2</v>
      </c>
      <c r="U608" s="2">
        <f ca="1">INDEX(INDIRECT(_xlfn.CONCAT("weather.tbl[",U$1,"]")),MATCH(vp.tbl[[#This Row],[SDate]],weather.tbl[Date],0))</f>
        <v>0.8</v>
      </c>
      <c r="V608" s="2">
        <v>14039.305</v>
      </c>
      <c r="W608" t="s">
        <v>48</v>
      </c>
      <c r="X608">
        <f>IF(OR(vp.tbl[[#This Row],[Sulf]]="",vp.tbl[[#This Row],[Dens]]=""),1,0)</f>
        <v>0</v>
      </c>
      <c r="Y608">
        <f>IF(vp.tbl[[#This Row],[CrudeType]]="C5+",1,0)</f>
        <v>0</v>
      </c>
      <c r="Z608">
        <f>IF(AND(vp.tbl[[#This Row],[CrudeType]]="Crude",vp.tbl[[#This Row],[Dens]]&lt;=825,vp.tbl[[#This Row],[Sulf]]&gt;0.5,vp.tbl[[#This Row],[Unknown]]=0),1,0)</f>
        <v>0</v>
      </c>
      <c r="AA608">
        <f>IF(AND(vp.tbl[[#This Row],[CrudeType]]="Crude",vp.tbl[[#This Row],[Dens]]&lt;=825,vp.tbl[[#This Row],[Sulf]]&lt;=0.5,vp.tbl[[#This Row],[Unknown]]=0),1,0)</f>
        <v>0</v>
      </c>
      <c r="AB608">
        <f>IF(AND(vp.tbl[[#This Row],[CrudeType]]="Crude",vp.tbl[[#This Row],[Dens]]&gt;825,vp.tbl[[#This Row],[Dens]]&lt;=870,vp.tbl[[#This Row],[Sulf]]&gt;0.5,vp.tbl[[#This Row],[Unknown]]=0),1,0)</f>
        <v>1</v>
      </c>
      <c r="AC608">
        <f>IF(AND(vp.tbl[[#This Row],[CrudeType]]="Crude",vp.tbl[[#This Row],[Dens]]&gt;825,vp.tbl[[#This Row],[Dens]]&lt;=900,vp.tbl[[#This Row],[Sulf]]&lt;=0.5,vp.tbl[[#This Row],[Unknown]]=0),1,0)</f>
        <v>0</v>
      </c>
      <c r="AD608">
        <f>IF(AND(vp.tbl[[#This Row],[CrudeType]]="Crude",vp.tbl[[#This Row],[Dens]]&gt;870,vp.tbl[[#This Row],[Dens]]&lt;=900,vp.tbl[[#This Row],[Sulf]]&gt;0.5,vp.tbl[[#This Row],[Unknown]]=0),1,0)</f>
        <v>0</v>
      </c>
      <c r="AE608">
        <f>IF(AND(vp.tbl[[#This Row],[CrudeType]]="Crude",vp.tbl[[#This Row],[Dens]]&gt;900,vp.tbl[[#This Row],[Sulf]]&lt;=0.5,vp.tbl[[#This Row],[Unknown]]=0),1,0)</f>
        <v>0</v>
      </c>
      <c r="AF608">
        <f>IF(AND(vp.tbl[[#This Row],[CrudeType]]="Crude",vp.tbl[[#This Row],[Dens]]&gt;900,vp.tbl[[#This Row],[Sulf]]&lt;=0.5,vp.tbl[[#This Row],[Unknown]]=0),1,0)</f>
        <v>0</v>
      </c>
      <c r="AG608" t="str">
        <f>INDEX(vp.tbl[[#Headers],[Unknown]:[Heavy_SW]],MATCH(1,vp.tbl[[#This Row],[Unknown]:[Heavy_SW]],0))</f>
        <v>Medium_LSB</v>
      </c>
      <c r="AH608" t="e">
        <f>INDEX([1]!crudeBD.lkup[Number],MATCH(vp.tbl[[#This Row],[Crude_Breakdown]],[1]!crudeBD.lkup[Crude Breakdown],0))</f>
        <v>#REF!</v>
      </c>
      <c r="AI608">
        <f>MONTH(vp.tbl[[#This Row],[SDate]])</f>
        <v>1</v>
      </c>
      <c r="AJ608" s="5">
        <f>IFERROR(vp.tbl[[#This Row],[Sulf]]*vp.tbl[[#This Row],[Net Dens]],"")</f>
        <v>13596842.263619998</v>
      </c>
      <c r="AK608" s="5">
        <f>IFERROR(vp.tbl[[#This Row],[Dens]]*vp.tbl[[#This Row],[VolumeM3]],"")</f>
        <v>11721415.7445</v>
      </c>
      <c r="AL608" s="5">
        <f>IFERROR(vp.tbl[[#This Row],[VP]]*vp.tbl[[#This Row],[VolumeM3]],"")</f>
        <v>1182109.4810000001</v>
      </c>
      <c r="AM608" s="4">
        <f>IFERROR((vp.tbl[[#This Row],[VP]]-INDEX(crudeBD.lkup.complete[Mean_VP],MATCH(vp.tbl[[#This Row],[Crude_Breakdown]],crudeBD.lkup.complete[Crude Breakdown],0)))^2,"")</f>
        <v>16.211937733696843</v>
      </c>
      <c r="AN608" s="4">
        <f>IFERROR((vp.tbl[[#This Row],[Dens]]-INDEX(crudeBD.lkup.complete[Mean_Dens],MATCH(vp.tbl[[#This Row],[Crude_Breakdown]],crudeBD.lkup.complete[Crude Breakdown],0)))^2,"")</f>
        <v>107.9899807908789</v>
      </c>
      <c r="AO608" s="4">
        <f>IFERROR((vp.tbl[[#This Row],[Sulf]]-INDEX(crudeBD.lkup.complete[Mean_Sulf],MATCH(vp.tbl[[#This Row],[Crude_Breakdown]],crudeBD.lkup.complete[Crude Breakdown],0)))^2,"")</f>
        <v>8.6983622767615246E-2</v>
      </c>
      <c r="AP608">
        <f>IF(AND(vp.tbl[[#This Row],[SDate]]&gt;=DATE(YEAR(vp.tbl[[#This Row],[SDate]]),5,1),vp.tbl[[#This Row],[SDate]]&lt;=DATE(YEAR(vp.tbl[[#This Row],[SDate]]),9,15)),1,0)</f>
        <v>0</v>
      </c>
      <c r="AQ608" s="15">
        <f>IF(vp.tbl[[#This Row],[SDate]]&lt;DATE(2016,12,1),0,1)</f>
        <v>1</v>
      </c>
    </row>
    <row r="609" spans="1:43" x14ac:dyDescent="0.25">
      <c r="A609">
        <v>608</v>
      </c>
      <c r="B609" t="s">
        <v>51</v>
      </c>
      <c r="C609" t="s">
        <v>51</v>
      </c>
      <c r="D609" t="s">
        <v>126</v>
      </c>
      <c r="F609" s="1">
        <v>42753</v>
      </c>
      <c r="G609" s="2">
        <v>107.1</v>
      </c>
      <c r="H609" s="2"/>
      <c r="I609" s="2">
        <v>1.71</v>
      </c>
      <c r="J609" s="2">
        <v>6</v>
      </c>
      <c r="K609" s="2">
        <v>-1</v>
      </c>
      <c r="L609" s="2">
        <v>845.7</v>
      </c>
      <c r="M609" s="2">
        <v>845.7</v>
      </c>
      <c r="N609" s="2">
        <f ca="1">INDEX(INDIRECT(_xlfn.CONCAT("weather.tbl[",N$1,"]")),MATCH(vp.tbl[[#This Row],[SDate]],weather.tbl[Date],0))</f>
        <v>-0.25000000000000006</v>
      </c>
      <c r="O609" s="2">
        <f ca="1">INDEX(INDIRECT(_xlfn.CONCAT("weather.tbl[",O$1,"]")),MATCH(vp.tbl[[#This Row],[SDate]],weather.tbl[Date],0))</f>
        <v>-13.109523809523811</v>
      </c>
      <c r="P609" s="2">
        <f ca="1">INDEX(INDIRECT(_xlfn.CONCAT("weather.tbl[",P$1,"]")),MATCH(vp.tbl[[#This Row],[SDate]],weather.tbl[Date],0))</f>
        <v>0.2</v>
      </c>
      <c r="Q609" s="2">
        <f ca="1">INDEX(INDIRECT(_xlfn.CONCAT("weather.tbl[",Q$1,"]")),MATCH(vp.tbl[[#This Row],[SDate]],weather.tbl[Date],0))</f>
        <v>-0.1</v>
      </c>
      <c r="R609" s="2">
        <f ca="1">INDEX(INDIRECT(_xlfn.CONCAT("weather.tbl[",R$1,"]")),MATCH(vp.tbl[[#This Row],[SDate]],weather.tbl[Date],0))</f>
        <v>0.3</v>
      </c>
      <c r="S609" s="2">
        <f ca="1">INDEX(INDIRECT(_xlfn.CONCAT("weather.tbl[",S$1,"]")),MATCH(vp.tbl[[#This Row],[SDate]],weather.tbl[Date],0))</f>
        <v>0.5</v>
      </c>
      <c r="T609" s="2">
        <f ca="1">INDEX(INDIRECT(_xlfn.CONCAT("weather.tbl[",T$1,"]")),MATCH(vp.tbl[[#This Row],[SDate]],weather.tbl[Date],0))</f>
        <v>-3.2</v>
      </c>
      <c r="U609" s="2">
        <f ca="1">INDEX(INDIRECT(_xlfn.CONCAT("weather.tbl[",U$1,"]")),MATCH(vp.tbl[[#This Row],[SDate]],weather.tbl[Date],0))</f>
        <v>0.8</v>
      </c>
      <c r="V609" s="2">
        <v>1144.7719999999999</v>
      </c>
      <c r="W609" t="s">
        <v>48</v>
      </c>
      <c r="X609">
        <f>IF(OR(vp.tbl[[#This Row],[Sulf]]="",vp.tbl[[#This Row],[Dens]]=""),1,0)</f>
        <v>0</v>
      </c>
      <c r="Y609">
        <f>IF(vp.tbl[[#This Row],[CrudeType]]="C5+",1,0)</f>
        <v>0</v>
      </c>
      <c r="Z609">
        <f>IF(AND(vp.tbl[[#This Row],[CrudeType]]="Crude",vp.tbl[[#This Row],[Dens]]&lt;=825,vp.tbl[[#This Row],[Sulf]]&gt;0.5,vp.tbl[[#This Row],[Unknown]]=0),1,0)</f>
        <v>0</v>
      </c>
      <c r="AA609">
        <f>IF(AND(vp.tbl[[#This Row],[CrudeType]]="Crude",vp.tbl[[#This Row],[Dens]]&lt;=825,vp.tbl[[#This Row],[Sulf]]&lt;=0.5,vp.tbl[[#This Row],[Unknown]]=0),1,0)</f>
        <v>0</v>
      </c>
      <c r="AB609">
        <f>IF(AND(vp.tbl[[#This Row],[CrudeType]]="Crude",vp.tbl[[#This Row],[Dens]]&gt;825,vp.tbl[[#This Row],[Dens]]&lt;=870,vp.tbl[[#This Row],[Sulf]]&gt;0.5,vp.tbl[[#This Row],[Unknown]]=0),1,0)</f>
        <v>1</v>
      </c>
      <c r="AC609">
        <f>IF(AND(vp.tbl[[#This Row],[CrudeType]]="Crude",vp.tbl[[#This Row],[Dens]]&gt;825,vp.tbl[[#This Row],[Dens]]&lt;=900,vp.tbl[[#This Row],[Sulf]]&lt;=0.5,vp.tbl[[#This Row],[Unknown]]=0),1,0)</f>
        <v>0</v>
      </c>
      <c r="AD609">
        <f>IF(AND(vp.tbl[[#This Row],[CrudeType]]="Crude",vp.tbl[[#This Row],[Dens]]&gt;870,vp.tbl[[#This Row],[Dens]]&lt;=900,vp.tbl[[#This Row],[Sulf]]&gt;0.5,vp.tbl[[#This Row],[Unknown]]=0),1,0)</f>
        <v>0</v>
      </c>
      <c r="AE609">
        <f>IF(AND(vp.tbl[[#This Row],[CrudeType]]="Crude",vp.tbl[[#This Row],[Dens]]&gt;900,vp.tbl[[#This Row],[Sulf]]&lt;=0.5,vp.tbl[[#This Row],[Unknown]]=0),1,0)</f>
        <v>0</v>
      </c>
      <c r="AF609">
        <f>IF(AND(vp.tbl[[#This Row],[CrudeType]]="Crude",vp.tbl[[#This Row],[Dens]]&gt;900,vp.tbl[[#This Row],[Sulf]]&lt;=0.5,vp.tbl[[#This Row],[Unknown]]=0),1,0)</f>
        <v>0</v>
      </c>
      <c r="AG609" t="str">
        <f>INDEX(vp.tbl[[#Headers],[Unknown]:[Heavy_SW]],MATCH(1,vp.tbl[[#This Row],[Unknown]:[Heavy_SW]],0))</f>
        <v>Medium_LSB</v>
      </c>
      <c r="AH609" t="e">
        <f>INDEX([1]!crudeBD.lkup[Number],MATCH(vp.tbl[[#This Row],[Crude_Breakdown]],[1]!crudeBD.lkup[Crude Breakdown],0))</f>
        <v>#REF!</v>
      </c>
      <c r="AI609">
        <f>MONTH(vp.tbl[[#This Row],[SDate]])</f>
        <v>1</v>
      </c>
      <c r="AJ609" s="5">
        <f>IFERROR(vp.tbl[[#This Row],[Sulf]]*vp.tbl[[#This Row],[Net Dens]],"")</f>
        <v>1655508.5934839998</v>
      </c>
      <c r="AK609" s="5">
        <f>IFERROR(vp.tbl[[#This Row],[Dens]]*vp.tbl[[#This Row],[VolumeM3]],"")</f>
        <v>968133.68039999995</v>
      </c>
      <c r="AL609" s="5">
        <f>IFERROR(vp.tbl[[#This Row],[VP]]*vp.tbl[[#This Row],[VolumeM3]],"")</f>
        <v>122605.08119999999</v>
      </c>
      <c r="AM609" s="4">
        <f>IFERROR((vp.tbl[[#This Row],[VP]]-INDEX(crudeBD.lkup.complete[Mean_VP],MATCH(vp.tbl[[#This Row],[Crude_Breakdown]],crudeBD.lkup.complete[Crude Breakdown],0)))^2,"")</f>
        <v>725.03128963243239</v>
      </c>
      <c r="AN609" s="4">
        <f>IFERROR((vp.tbl[[#This Row],[Dens]]-INDEX(crudeBD.lkup.complete[Mean_Dens],MATCH(vp.tbl[[#This Row],[Crude_Breakdown]],crudeBD.lkup.complete[Crude Breakdown],0)))^2,"")</f>
        <v>0.16660863900100117</v>
      </c>
      <c r="AO609" s="4">
        <f>IFERROR((vp.tbl[[#This Row],[Sulf]]-INDEX(crudeBD.lkup.complete[Mean_Sulf],MATCH(vp.tbl[[#This Row],[Crude_Breakdown]],crudeBD.lkup.complete[Crude Breakdown],0)))^2,"")</f>
        <v>6.5060775932170509E-2</v>
      </c>
      <c r="AP609">
        <f>IF(AND(vp.tbl[[#This Row],[SDate]]&gt;=DATE(YEAR(vp.tbl[[#This Row],[SDate]]),5,1),vp.tbl[[#This Row],[SDate]]&lt;=DATE(YEAR(vp.tbl[[#This Row],[SDate]]),9,15)),1,0)</f>
        <v>0</v>
      </c>
      <c r="AQ609" s="15">
        <f>IF(vp.tbl[[#This Row],[SDate]]&lt;DATE(2016,12,1),0,1)</f>
        <v>1</v>
      </c>
    </row>
    <row r="610" spans="1:43" x14ac:dyDescent="0.25">
      <c r="A610">
        <v>609</v>
      </c>
      <c r="B610" t="s">
        <v>51</v>
      </c>
      <c r="C610" t="s">
        <v>51</v>
      </c>
      <c r="D610" t="s">
        <v>52</v>
      </c>
      <c r="F610" s="1">
        <v>42753</v>
      </c>
      <c r="G610" s="2">
        <v>71.2</v>
      </c>
      <c r="H610" s="2"/>
      <c r="I610" s="2">
        <v>2.41</v>
      </c>
      <c r="J610" s="2">
        <v>30</v>
      </c>
      <c r="K610" s="2">
        <v>1</v>
      </c>
      <c r="L610" s="2">
        <v>846.5</v>
      </c>
      <c r="M610" s="2">
        <v>846.5</v>
      </c>
      <c r="N610" s="2">
        <f ca="1">INDEX(INDIRECT(_xlfn.CONCAT("weather.tbl[",N$1,"]")),MATCH(vp.tbl[[#This Row],[SDate]],weather.tbl[Date],0))</f>
        <v>-0.25000000000000006</v>
      </c>
      <c r="O610" s="2">
        <f ca="1">INDEX(INDIRECT(_xlfn.CONCAT("weather.tbl[",O$1,"]")),MATCH(vp.tbl[[#This Row],[SDate]],weather.tbl[Date],0))</f>
        <v>-13.109523809523811</v>
      </c>
      <c r="P610" s="2">
        <f ca="1">INDEX(INDIRECT(_xlfn.CONCAT("weather.tbl[",P$1,"]")),MATCH(vp.tbl[[#This Row],[SDate]],weather.tbl[Date],0))</f>
        <v>0.2</v>
      </c>
      <c r="Q610" s="2">
        <f ca="1">INDEX(INDIRECT(_xlfn.CONCAT("weather.tbl[",Q$1,"]")),MATCH(vp.tbl[[#This Row],[SDate]],weather.tbl[Date],0))</f>
        <v>-0.1</v>
      </c>
      <c r="R610" s="2">
        <f ca="1">INDEX(INDIRECT(_xlfn.CONCAT("weather.tbl[",R$1,"]")),MATCH(vp.tbl[[#This Row],[SDate]],weather.tbl[Date],0))</f>
        <v>0.3</v>
      </c>
      <c r="S610" s="2">
        <f ca="1">INDEX(INDIRECT(_xlfn.CONCAT("weather.tbl[",S$1,"]")),MATCH(vp.tbl[[#This Row],[SDate]],weather.tbl[Date],0))</f>
        <v>0.5</v>
      </c>
      <c r="T610" s="2">
        <f ca="1">INDEX(INDIRECT(_xlfn.CONCAT("weather.tbl[",T$1,"]")),MATCH(vp.tbl[[#This Row],[SDate]],weather.tbl[Date],0))</f>
        <v>-3.2</v>
      </c>
      <c r="U610" s="2">
        <f ca="1">INDEX(INDIRECT(_xlfn.CONCAT("weather.tbl[",U$1,"]")),MATCH(vp.tbl[[#This Row],[SDate]],weather.tbl[Date],0))</f>
        <v>0.8</v>
      </c>
      <c r="V610" s="2">
        <v>7492.5379999999996</v>
      </c>
      <c r="W610" t="s">
        <v>48</v>
      </c>
      <c r="X610">
        <f>IF(OR(vp.tbl[[#This Row],[Sulf]]="",vp.tbl[[#This Row],[Dens]]=""),1,0)</f>
        <v>0</v>
      </c>
      <c r="Y610">
        <f>IF(vp.tbl[[#This Row],[CrudeType]]="C5+",1,0)</f>
        <v>0</v>
      </c>
      <c r="Z610">
        <f>IF(AND(vp.tbl[[#This Row],[CrudeType]]="Crude",vp.tbl[[#This Row],[Dens]]&lt;=825,vp.tbl[[#This Row],[Sulf]]&gt;0.5,vp.tbl[[#This Row],[Unknown]]=0),1,0)</f>
        <v>0</v>
      </c>
      <c r="AA610">
        <f>IF(AND(vp.tbl[[#This Row],[CrudeType]]="Crude",vp.tbl[[#This Row],[Dens]]&lt;=825,vp.tbl[[#This Row],[Sulf]]&lt;=0.5,vp.tbl[[#This Row],[Unknown]]=0),1,0)</f>
        <v>0</v>
      </c>
      <c r="AB610">
        <f>IF(AND(vp.tbl[[#This Row],[CrudeType]]="Crude",vp.tbl[[#This Row],[Dens]]&gt;825,vp.tbl[[#This Row],[Dens]]&lt;=870,vp.tbl[[#This Row],[Sulf]]&gt;0.5,vp.tbl[[#This Row],[Unknown]]=0),1,0)</f>
        <v>1</v>
      </c>
      <c r="AC610">
        <f>IF(AND(vp.tbl[[#This Row],[CrudeType]]="Crude",vp.tbl[[#This Row],[Dens]]&gt;825,vp.tbl[[#This Row],[Dens]]&lt;=900,vp.tbl[[#This Row],[Sulf]]&lt;=0.5,vp.tbl[[#This Row],[Unknown]]=0),1,0)</f>
        <v>0</v>
      </c>
      <c r="AD610">
        <f>IF(AND(vp.tbl[[#This Row],[CrudeType]]="Crude",vp.tbl[[#This Row],[Dens]]&gt;870,vp.tbl[[#This Row],[Dens]]&lt;=900,vp.tbl[[#This Row],[Sulf]]&gt;0.5,vp.tbl[[#This Row],[Unknown]]=0),1,0)</f>
        <v>0</v>
      </c>
      <c r="AE610">
        <f>IF(AND(vp.tbl[[#This Row],[CrudeType]]="Crude",vp.tbl[[#This Row],[Dens]]&gt;900,vp.tbl[[#This Row],[Sulf]]&lt;=0.5,vp.tbl[[#This Row],[Unknown]]=0),1,0)</f>
        <v>0</v>
      </c>
      <c r="AF610">
        <f>IF(AND(vp.tbl[[#This Row],[CrudeType]]="Crude",vp.tbl[[#This Row],[Dens]]&gt;900,vp.tbl[[#This Row],[Sulf]]&lt;=0.5,vp.tbl[[#This Row],[Unknown]]=0),1,0)</f>
        <v>0</v>
      </c>
      <c r="AG610" t="str">
        <f>INDEX(vp.tbl[[#Headers],[Unknown]:[Heavy_SW]],MATCH(1,vp.tbl[[#This Row],[Unknown]:[Heavy_SW]],0))</f>
        <v>Medium_LSB</v>
      </c>
      <c r="AH610" t="e">
        <f>INDEX([1]!crudeBD.lkup[Number],MATCH(vp.tbl[[#This Row],[Crude_Breakdown]],[1]!crudeBD.lkup[Crude Breakdown],0))</f>
        <v>#REF!</v>
      </c>
      <c r="AI610">
        <f>MONTH(vp.tbl[[#This Row],[SDate]])</f>
        <v>1</v>
      </c>
      <c r="AJ610" s="5">
        <f>IFERROR(vp.tbl[[#This Row],[Sulf]]*vp.tbl[[#This Row],[Net Dens]],"")</f>
        <v>15285264.53497</v>
      </c>
      <c r="AK610" s="5">
        <f>IFERROR(vp.tbl[[#This Row],[Dens]]*vp.tbl[[#This Row],[VolumeM3]],"")</f>
        <v>6342433.4169999994</v>
      </c>
      <c r="AL610" s="5">
        <f>IFERROR(vp.tbl[[#This Row],[VP]]*vp.tbl[[#This Row],[VolumeM3]],"")</f>
        <v>533468.70559999999</v>
      </c>
      <c r="AM610" s="4">
        <f>IFERROR((vp.tbl[[#This Row],[VP]]-INDEX(crudeBD.lkup.complete[Mean_VP],MATCH(vp.tbl[[#This Row],[Crude_Breakdown]],crudeBD.lkup.complete[Crude Breakdown],0)))^2,"")</f>
        <v>80.525406088126189</v>
      </c>
      <c r="AN610" s="4">
        <f>IFERROR((vp.tbl[[#This Row],[Dens]]-INDEX(crudeBD.lkup.complete[Mean_Dens],MATCH(vp.tbl[[#This Row],[Crude_Breakdown]],crudeBD.lkup.complete[Crude Breakdown],0)))^2,"")</f>
        <v>1.459692183306337</v>
      </c>
      <c r="AO610" s="4">
        <f>IFERROR((vp.tbl[[#This Row],[Sulf]]-INDEX(crudeBD.lkup.complete[Mean_Sulf],MATCH(vp.tbl[[#This Row],[Crude_Breakdown]],crudeBD.lkup.complete[Crude Breakdown],0)))^2,"")</f>
        <v>0.91215897086887754</v>
      </c>
      <c r="AP610">
        <f>IF(AND(vp.tbl[[#This Row],[SDate]]&gt;=DATE(YEAR(vp.tbl[[#This Row],[SDate]]),5,1),vp.tbl[[#This Row],[SDate]]&lt;=DATE(YEAR(vp.tbl[[#This Row],[SDate]]),9,15)),1,0)</f>
        <v>0</v>
      </c>
      <c r="AQ610" s="15">
        <f>IF(vp.tbl[[#This Row],[SDate]]&lt;DATE(2016,12,1),0,1)</f>
        <v>1</v>
      </c>
    </row>
    <row r="611" spans="1:43" x14ac:dyDescent="0.25">
      <c r="A611">
        <v>610</v>
      </c>
      <c r="B611" t="s">
        <v>56</v>
      </c>
      <c r="C611" t="s">
        <v>56</v>
      </c>
      <c r="D611" t="s">
        <v>94</v>
      </c>
      <c r="F611" s="1">
        <v>42753</v>
      </c>
      <c r="G611" s="2">
        <v>75.2</v>
      </c>
      <c r="H611" s="2"/>
      <c r="I611" s="2">
        <v>1.98</v>
      </c>
      <c r="J611" s="2">
        <v>21</v>
      </c>
      <c r="K611" s="2">
        <v>2</v>
      </c>
      <c r="L611" s="2">
        <v>847.2</v>
      </c>
      <c r="M611" s="2">
        <v>847.2</v>
      </c>
      <c r="N611" s="2">
        <f ca="1">INDEX(INDIRECT(_xlfn.CONCAT("weather.tbl[",N$1,"]")),MATCH(vp.tbl[[#This Row],[SDate]],weather.tbl[Date],0))</f>
        <v>-0.25000000000000006</v>
      </c>
      <c r="O611" s="2">
        <f ca="1">INDEX(INDIRECT(_xlfn.CONCAT("weather.tbl[",O$1,"]")),MATCH(vp.tbl[[#This Row],[SDate]],weather.tbl[Date],0))</f>
        <v>-13.109523809523811</v>
      </c>
      <c r="P611" s="2">
        <f ca="1">INDEX(INDIRECT(_xlfn.CONCAT("weather.tbl[",P$1,"]")),MATCH(vp.tbl[[#This Row],[SDate]],weather.tbl[Date],0))</f>
        <v>0.2</v>
      </c>
      <c r="Q611" s="2">
        <f ca="1">INDEX(INDIRECT(_xlfn.CONCAT("weather.tbl[",Q$1,"]")),MATCH(vp.tbl[[#This Row],[SDate]],weather.tbl[Date],0))</f>
        <v>-0.1</v>
      </c>
      <c r="R611" s="2">
        <f ca="1">INDEX(INDIRECT(_xlfn.CONCAT("weather.tbl[",R$1,"]")),MATCH(vp.tbl[[#This Row],[SDate]],weather.tbl[Date],0))</f>
        <v>0.3</v>
      </c>
      <c r="S611" s="2">
        <f ca="1">INDEX(INDIRECT(_xlfn.CONCAT("weather.tbl[",S$1,"]")),MATCH(vp.tbl[[#This Row],[SDate]],weather.tbl[Date],0))</f>
        <v>0.5</v>
      </c>
      <c r="T611" s="2">
        <f ca="1">INDEX(INDIRECT(_xlfn.CONCAT("weather.tbl[",T$1,"]")),MATCH(vp.tbl[[#This Row],[SDate]],weather.tbl[Date],0))</f>
        <v>-3.2</v>
      </c>
      <c r="U611" s="2">
        <f ca="1">INDEX(INDIRECT(_xlfn.CONCAT("weather.tbl[",U$1,"]")),MATCH(vp.tbl[[#This Row],[SDate]],weather.tbl[Date],0))</f>
        <v>0.8</v>
      </c>
      <c r="V611" s="2">
        <v>3861.2350000000001</v>
      </c>
      <c r="W611" t="s">
        <v>48</v>
      </c>
      <c r="X611">
        <f>IF(OR(vp.tbl[[#This Row],[Sulf]]="",vp.tbl[[#This Row],[Dens]]=""),1,0)</f>
        <v>0</v>
      </c>
      <c r="Y611">
        <f>IF(vp.tbl[[#This Row],[CrudeType]]="C5+",1,0)</f>
        <v>0</v>
      </c>
      <c r="Z611">
        <f>IF(AND(vp.tbl[[#This Row],[CrudeType]]="Crude",vp.tbl[[#This Row],[Dens]]&lt;=825,vp.tbl[[#This Row],[Sulf]]&gt;0.5,vp.tbl[[#This Row],[Unknown]]=0),1,0)</f>
        <v>0</v>
      </c>
      <c r="AA611">
        <f>IF(AND(vp.tbl[[#This Row],[CrudeType]]="Crude",vp.tbl[[#This Row],[Dens]]&lt;=825,vp.tbl[[#This Row],[Sulf]]&lt;=0.5,vp.tbl[[#This Row],[Unknown]]=0),1,0)</f>
        <v>0</v>
      </c>
      <c r="AB611">
        <f>IF(AND(vp.tbl[[#This Row],[CrudeType]]="Crude",vp.tbl[[#This Row],[Dens]]&gt;825,vp.tbl[[#This Row],[Dens]]&lt;=870,vp.tbl[[#This Row],[Sulf]]&gt;0.5,vp.tbl[[#This Row],[Unknown]]=0),1,0)</f>
        <v>1</v>
      </c>
      <c r="AC611">
        <f>IF(AND(vp.tbl[[#This Row],[CrudeType]]="Crude",vp.tbl[[#This Row],[Dens]]&gt;825,vp.tbl[[#This Row],[Dens]]&lt;=900,vp.tbl[[#This Row],[Sulf]]&lt;=0.5,vp.tbl[[#This Row],[Unknown]]=0),1,0)</f>
        <v>0</v>
      </c>
      <c r="AD611">
        <f>IF(AND(vp.tbl[[#This Row],[CrudeType]]="Crude",vp.tbl[[#This Row],[Dens]]&gt;870,vp.tbl[[#This Row],[Dens]]&lt;=900,vp.tbl[[#This Row],[Sulf]]&gt;0.5,vp.tbl[[#This Row],[Unknown]]=0),1,0)</f>
        <v>0</v>
      </c>
      <c r="AE611">
        <f>IF(AND(vp.tbl[[#This Row],[CrudeType]]="Crude",vp.tbl[[#This Row],[Dens]]&gt;900,vp.tbl[[#This Row],[Sulf]]&lt;=0.5,vp.tbl[[#This Row],[Unknown]]=0),1,0)</f>
        <v>0</v>
      </c>
      <c r="AF611">
        <f>IF(AND(vp.tbl[[#This Row],[CrudeType]]="Crude",vp.tbl[[#This Row],[Dens]]&gt;900,vp.tbl[[#This Row],[Sulf]]&lt;=0.5,vp.tbl[[#This Row],[Unknown]]=0),1,0)</f>
        <v>0</v>
      </c>
      <c r="AG611" t="str">
        <f>INDEX(vp.tbl[[#Headers],[Unknown]:[Heavy_SW]],MATCH(1,vp.tbl[[#This Row],[Unknown]:[Heavy_SW]],0))</f>
        <v>Medium_LSB</v>
      </c>
      <c r="AH611" t="e">
        <f>INDEX([1]!crudeBD.lkup[Number],MATCH(vp.tbl[[#This Row],[Crude_Breakdown]],[1]!crudeBD.lkup[Crude Breakdown],0))</f>
        <v>#REF!</v>
      </c>
      <c r="AI611">
        <f>MONTH(vp.tbl[[#This Row],[SDate]])</f>
        <v>1</v>
      </c>
      <c r="AJ611" s="5">
        <f>IFERROR(vp.tbl[[#This Row],[Sulf]]*vp.tbl[[#This Row],[Net Dens]],"")</f>
        <v>6477051.8181600003</v>
      </c>
      <c r="AK611" s="5">
        <f>IFERROR(vp.tbl[[#This Row],[Dens]]*vp.tbl[[#This Row],[VolumeM3]],"")</f>
        <v>3271238.2920000004</v>
      </c>
      <c r="AL611" s="5">
        <f>IFERROR(vp.tbl[[#This Row],[VP]]*vp.tbl[[#This Row],[VolumeM3]],"")</f>
        <v>290364.87200000003</v>
      </c>
      <c r="AM611" s="4">
        <f>IFERROR((vp.tbl[[#This Row],[VP]]-INDEX(crudeBD.lkup.complete[Mean_VP],MATCH(vp.tbl[[#This Row],[Crude_Breakdown]],crudeBD.lkup.complete[Crude Breakdown],0)))^2,"")</f>
        <v>24.736646594455621</v>
      </c>
      <c r="AN611" s="4">
        <f>IFERROR((vp.tbl[[#This Row],[Dens]]-INDEX(crudeBD.lkup.complete[Mean_Dens],MATCH(vp.tbl[[#This Row],[Crude_Breakdown]],crudeBD.lkup.complete[Crude Breakdown],0)))^2,"")</f>
        <v>3.6411402845737117</v>
      </c>
      <c r="AO611" s="4">
        <f>IFERROR((vp.tbl[[#This Row],[Sulf]]-INDEX(crudeBD.lkup.complete[Mean_Sulf],MATCH(vp.tbl[[#This Row],[Crude_Breakdown]],crudeBD.lkup.complete[Crude Breakdown],0)))^2,"")</f>
        <v>0.27569865112204311</v>
      </c>
      <c r="AP611">
        <f>IF(AND(vp.tbl[[#This Row],[SDate]]&gt;=DATE(YEAR(vp.tbl[[#This Row],[SDate]]),5,1),vp.tbl[[#This Row],[SDate]]&lt;=DATE(YEAR(vp.tbl[[#This Row],[SDate]]),9,15)),1,0)</f>
        <v>0</v>
      </c>
      <c r="AQ611" s="15">
        <f>IF(vp.tbl[[#This Row],[SDate]]&lt;DATE(2016,12,1),0,1)</f>
        <v>1</v>
      </c>
    </row>
    <row r="612" spans="1:43" x14ac:dyDescent="0.25">
      <c r="A612">
        <v>611</v>
      </c>
      <c r="B612" t="s">
        <v>49</v>
      </c>
      <c r="C612" t="s">
        <v>49</v>
      </c>
      <c r="D612" t="s">
        <v>90</v>
      </c>
      <c r="F612" s="1">
        <v>42753</v>
      </c>
      <c r="G612" s="2">
        <v>67.400000000000006</v>
      </c>
      <c r="H612" s="2"/>
      <c r="I612" s="2">
        <v>1.32</v>
      </c>
      <c r="J612" s="2">
        <v>33</v>
      </c>
      <c r="K612" s="2">
        <v>-8</v>
      </c>
      <c r="L612" s="2">
        <v>849.6</v>
      </c>
      <c r="M612" s="2">
        <v>849.6</v>
      </c>
      <c r="N612" s="2">
        <f ca="1">INDEX(INDIRECT(_xlfn.CONCAT("weather.tbl[",N$1,"]")),MATCH(vp.tbl[[#This Row],[SDate]],weather.tbl[Date],0))</f>
        <v>-0.25000000000000006</v>
      </c>
      <c r="O612" s="2">
        <f ca="1">INDEX(INDIRECT(_xlfn.CONCAT("weather.tbl[",O$1,"]")),MATCH(vp.tbl[[#This Row],[SDate]],weather.tbl[Date],0))</f>
        <v>-13.109523809523811</v>
      </c>
      <c r="P612" s="2">
        <f ca="1">INDEX(INDIRECT(_xlfn.CONCAT("weather.tbl[",P$1,"]")),MATCH(vp.tbl[[#This Row],[SDate]],weather.tbl[Date],0))</f>
        <v>0.2</v>
      </c>
      <c r="Q612" s="2">
        <f ca="1">INDEX(INDIRECT(_xlfn.CONCAT("weather.tbl[",Q$1,"]")),MATCH(vp.tbl[[#This Row],[SDate]],weather.tbl[Date],0))</f>
        <v>-0.1</v>
      </c>
      <c r="R612" s="2">
        <f ca="1">INDEX(INDIRECT(_xlfn.CONCAT("weather.tbl[",R$1,"]")),MATCH(vp.tbl[[#This Row],[SDate]],weather.tbl[Date],0))</f>
        <v>0.3</v>
      </c>
      <c r="S612" s="2">
        <f ca="1">INDEX(INDIRECT(_xlfn.CONCAT("weather.tbl[",S$1,"]")),MATCH(vp.tbl[[#This Row],[SDate]],weather.tbl[Date],0))</f>
        <v>0.5</v>
      </c>
      <c r="T612" s="2">
        <f ca="1">INDEX(INDIRECT(_xlfn.CONCAT("weather.tbl[",T$1,"]")),MATCH(vp.tbl[[#This Row],[SDate]],weather.tbl[Date],0))</f>
        <v>-3.2</v>
      </c>
      <c r="U612" s="2">
        <f ca="1">INDEX(INDIRECT(_xlfn.CONCAT("weather.tbl[",U$1,"]")),MATCH(vp.tbl[[#This Row],[SDate]],weather.tbl[Date],0))</f>
        <v>0.8</v>
      </c>
      <c r="V612" s="2">
        <v>4841.0649999999996</v>
      </c>
      <c r="W612" t="s">
        <v>48</v>
      </c>
      <c r="X612">
        <f>IF(OR(vp.tbl[[#This Row],[Sulf]]="",vp.tbl[[#This Row],[Dens]]=""),1,0)</f>
        <v>0</v>
      </c>
      <c r="Y612">
        <f>IF(vp.tbl[[#This Row],[CrudeType]]="C5+",1,0)</f>
        <v>0</v>
      </c>
      <c r="Z612">
        <f>IF(AND(vp.tbl[[#This Row],[CrudeType]]="Crude",vp.tbl[[#This Row],[Dens]]&lt;=825,vp.tbl[[#This Row],[Sulf]]&gt;0.5,vp.tbl[[#This Row],[Unknown]]=0),1,0)</f>
        <v>0</v>
      </c>
      <c r="AA612">
        <f>IF(AND(vp.tbl[[#This Row],[CrudeType]]="Crude",vp.tbl[[#This Row],[Dens]]&lt;=825,vp.tbl[[#This Row],[Sulf]]&lt;=0.5,vp.tbl[[#This Row],[Unknown]]=0),1,0)</f>
        <v>0</v>
      </c>
      <c r="AB612">
        <f>IF(AND(vp.tbl[[#This Row],[CrudeType]]="Crude",vp.tbl[[#This Row],[Dens]]&gt;825,vp.tbl[[#This Row],[Dens]]&lt;=870,vp.tbl[[#This Row],[Sulf]]&gt;0.5,vp.tbl[[#This Row],[Unknown]]=0),1,0)</f>
        <v>1</v>
      </c>
      <c r="AC612">
        <f>IF(AND(vp.tbl[[#This Row],[CrudeType]]="Crude",vp.tbl[[#This Row],[Dens]]&gt;825,vp.tbl[[#This Row],[Dens]]&lt;=900,vp.tbl[[#This Row],[Sulf]]&lt;=0.5,vp.tbl[[#This Row],[Unknown]]=0),1,0)</f>
        <v>0</v>
      </c>
      <c r="AD612">
        <f>IF(AND(vp.tbl[[#This Row],[CrudeType]]="Crude",vp.tbl[[#This Row],[Dens]]&gt;870,vp.tbl[[#This Row],[Dens]]&lt;=900,vp.tbl[[#This Row],[Sulf]]&gt;0.5,vp.tbl[[#This Row],[Unknown]]=0),1,0)</f>
        <v>0</v>
      </c>
      <c r="AE612">
        <f>IF(AND(vp.tbl[[#This Row],[CrudeType]]="Crude",vp.tbl[[#This Row],[Dens]]&gt;900,vp.tbl[[#This Row],[Sulf]]&lt;=0.5,vp.tbl[[#This Row],[Unknown]]=0),1,0)</f>
        <v>0</v>
      </c>
      <c r="AF612">
        <f>IF(AND(vp.tbl[[#This Row],[CrudeType]]="Crude",vp.tbl[[#This Row],[Dens]]&gt;900,vp.tbl[[#This Row],[Sulf]]&lt;=0.5,vp.tbl[[#This Row],[Unknown]]=0),1,0)</f>
        <v>0</v>
      </c>
      <c r="AG612" t="str">
        <f>INDEX(vp.tbl[[#Headers],[Unknown]:[Heavy_SW]],MATCH(1,vp.tbl[[#This Row],[Unknown]:[Heavy_SW]],0))</f>
        <v>Medium_LSB</v>
      </c>
      <c r="AH612" t="e">
        <f>INDEX([1]!crudeBD.lkup[Number],MATCH(vp.tbl[[#This Row],[Crude_Breakdown]],[1]!crudeBD.lkup[Crude Breakdown],0))</f>
        <v>#REF!</v>
      </c>
      <c r="AI612">
        <f>MONTH(vp.tbl[[#This Row],[SDate]])</f>
        <v>1</v>
      </c>
      <c r="AJ612" s="5">
        <f>IFERROR(vp.tbl[[#This Row],[Sulf]]*vp.tbl[[#This Row],[Net Dens]],"")</f>
        <v>5429118.8476799997</v>
      </c>
      <c r="AK612" s="5">
        <f>IFERROR(vp.tbl[[#This Row],[Dens]]*vp.tbl[[#This Row],[VolumeM3]],"")</f>
        <v>4112968.8239999996</v>
      </c>
      <c r="AL612" s="5">
        <f>IFERROR(vp.tbl[[#This Row],[VP]]*vp.tbl[[#This Row],[VolumeM3]],"")</f>
        <v>326287.78100000002</v>
      </c>
      <c r="AM612" s="4">
        <f>IFERROR((vp.tbl[[#This Row],[VP]]-INDEX(crudeBD.lkup.complete[Mean_VP],MATCH(vp.tbl[[#This Row],[Crude_Breakdown]],crudeBD.lkup.complete[Crude Breakdown],0)))^2,"")</f>
        <v>163.16472760711315</v>
      </c>
      <c r="AN612" s="4">
        <f>IFERROR((vp.tbl[[#This Row],[Dens]]-INDEX(crudeBD.lkup.complete[Mean_Dens],MATCH(vp.tbl[[#This Row],[Crude_Breakdown]],crudeBD.lkup.complete[Crude Breakdown],0)))^2,"")</f>
        <v>18.560390917489855</v>
      </c>
      <c r="AO612" s="4">
        <f>IFERROR((vp.tbl[[#This Row],[Sulf]]-INDEX(crudeBD.lkup.complete[Mean_Sulf],MATCH(vp.tbl[[#This Row],[Crude_Breakdown]],crudeBD.lkup.complete[Crude Breakdown],0)))^2,"")</f>
        <v>1.8206067324576733E-2</v>
      </c>
      <c r="AP612">
        <f>IF(AND(vp.tbl[[#This Row],[SDate]]&gt;=DATE(YEAR(vp.tbl[[#This Row],[SDate]]),5,1),vp.tbl[[#This Row],[SDate]]&lt;=DATE(YEAR(vp.tbl[[#This Row],[SDate]]),9,15)),1,0)</f>
        <v>0</v>
      </c>
      <c r="AQ612" s="15">
        <f>IF(vp.tbl[[#This Row],[SDate]]&lt;DATE(2016,12,1),0,1)</f>
        <v>1</v>
      </c>
    </row>
    <row r="613" spans="1:43" x14ac:dyDescent="0.25">
      <c r="A613">
        <v>612</v>
      </c>
      <c r="B613" t="s">
        <v>51</v>
      </c>
      <c r="C613" t="s">
        <v>51</v>
      </c>
      <c r="D613" t="s">
        <v>58</v>
      </c>
      <c r="F613" s="1">
        <v>42753</v>
      </c>
      <c r="G613" s="2">
        <v>67.8</v>
      </c>
      <c r="H613" s="2"/>
      <c r="I613" s="2">
        <v>1.64</v>
      </c>
      <c r="J613" s="2">
        <v>32</v>
      </c>
      <c r="K613" s="2">
        <v>3</v>
      </c>
      <c r="L613" s="2">
        <v>857.8</v>
      </c>
      <c r="M613" s="2">
        <v>857.8</v>
      </c>
      <c r="N613" s="2">
        <f ca="1">INDEX(INDIRECT(_xlfn.CONCAT("weather.tbl[",N$1,"]")),MATCH(vp.tbl[[#This Row],[SDate]],weather.tbl[Date],0))</f>
        <v>-0.25000000000000006</v>
      </c>
      <c r="O613" s="2">
        <f ca="1">INDEX(INDIRECT(_xlfn.CONCAT("weather.tbl[",O$1,"]")),MATCH(vp.tbl[[#This Row],[SDate]],weather.tbl[Date],0))</f>
        <v>-13.109523809523811</v>
      </c>
      <c r="P613" s="2">
        <f ca="1">INDEX(INDIRECT(_xlfn.CONCAT("weather.tbl[",P$1,"]")),MATCH(vp.tbl[[#This Row],[SDate]],weather.tbl[Date],0))</f>
        <v>0.2</v>
      </c>
      <c r="Q613" s="2">
        <f ca="1">INDEX(INDIRECT(_xlfn.CONCAT("weather.tbl[",Q$1,"]")),MATCH(vp.tbl[[#This Row],[SDate]],weather.tbl[Date],0))</f>
        <v>-0.1</v>
      </c>
      <c r="R613" s="2">
        <f ca="1">INDEX(INDIRECT(_xlfn.CONCAT("weather.tbl[",R$1,"]")),MATCH(vp.tbl[[#This Row],[SDate]],weather.tbl[Date],0))</f>
        <v>0.3</v>
      </c>
      <c r="S613" s="2">
        <f ca="1">INDEX(INDIRECT(_xlfn.CONCAT("weather.tbl[",S$1,"]")),MATCH(vp.tbl[[#This Row],[SDate]],weather.tbl[Date],0))</f>
        <v>0.5</v>
      </c>
      <c r="T613" s="2">
        <f ca="1">INDEX(INDIRECT(_xlfn.CONCAT("weather.tbl[",T$1,"]")),MATCH(vp.tbl[[#This Row],[SDate]],weather.tbl[Date],0))</f>
        <v>-3.2</v>
      </c>
      <c r="U613" s="2">
        <f ca="1">INDEX(INDIRECT(_xlfn.CONCAT("weather.tbl[",U$1,"]")),MATCH(vp.tbl[[#This Row],[SDate]],weather.tbl[Date],0))</f>
        <v>0.8</v>
      </c>
      <c r="V613" s="2">
        <v>5017.2560000000003</v>
      </c>
      <c r="W613" t="s">
        <v>48</v>
      </c>
      <c r="X613">
        <f>IF(OR(vp.tbl[[#This Row],[Sulf]]="",vp.tbl[[#This Row],[Dens]]=""),1,0)</f>
        <v>0</v>
      </c>
      <c r="Y613">
        <f>IF(vp.tbl[[#This Row],[CrudeType]]="C5+",1,0)</f>
        <v>0</v>
      </c>
      <c r="Z613">
        <f>IF(AND(vp.tbl[[#This Row],[CrudeType]]="Crude",vp.tbl[[#This Row],[Dens]]&lt;=825,vp.tbl[[#This Row],[Sulf]]&gt;0.5,vp.tbl[[#This Row],[Unknown]]=0),1,0)</f>
        <v>0</v>
      </c>
      <c r="AA613">
        <f>IF(AND(vp.tbl[[#This Row],[CrudeType]]="Crude",vp.tbl[[#This Row],[Dens]]&lt;=825,vp.tbl[[#This Row],[Sulf]]&lt;=0.5,vp.tbl[[#This Row],[Unknown]]=0),1,0)</f>
        <v>0</v>
      </c>
      <c r="AB613">
        <f>IF(AND(vp.tbl[[#This Row],[CrudeType]]="Crude",vp.tbl[[#This Row],[Dens]]&gt;825,vp.tbl[[#This Row],[Dens]]&lt;=870,vp.tbl[[#This Row],[Sulf]]&gt;0.5,vp.tbl[[#This Row],[Unknown]]=0),1,0)</f>
        <v>1</v>
      </c>
      <c r="AC613">
        <f>IF(AND(vp.tbl[[#This Row],[CrudeType]]="Crude",vp.tbl[[#This Row],[Dens]]&gt;825,vp.tbl[[#This Row],[Dens]]&lt;=900,vp.tbl[[#This Row],[Sulf]]&lt;=0.5,vp.tbl[[#This Row],[Unknown]]=0),1,0)</f>
        <v>0</v>
      </c>
      <c r="AD613">
        <f>IF(AND(vp.tbl[[#This Row],[CrudeType]]="Crude",vp.tbl[[#This Row],[Dens]]&gt;870,vp.tbl[[#This Row],[Dens]]&lt;=900,vp.tbl[[#This Row],[Sulf]]&gt;0.5,vp.tbl[[#This Row],[Unknown]]=0),1,0)</f>
        <v>0</v>
      </c>
      <c r="AE613">
        <f>IF(AND(vp.tbl[[#This Row],[CrudeType]]="Crude",vp.tbl[[#This Row],[Dens]]&gt;900,vp.tbl[[#This Row],[Sulf]]&lt;=0.5,vp.tbl[[#This Row],[Unknown]]=0),1,0)</f>
        <v>0</v>
      </c>
      <c r="AF613">
        <f>IF(AND(vp.tbl[[#This Row],[CrudeType]]="Crude",vp.tbl[[#This Row],[Dens]]&gt;900,vp.tbl[[#This Row],[Sulf]]&lt;=0.5,vp.tbl[[#This Row],[Unknown]]=0),1,0)</f>
        <v>0</v>
      </c>
      <c r="AG613" t="str">
        <f>INDEX(vp.tbl[[#Headers],[Unknown]:[Heavy_SW]],MATCH(1,vp.tbl[[#This Row],[Unknown]:[Heavy_SW]],0))</f>
        <v>Medium_LSB</v>
      </c>
      <c r="AH613" t="e">
        <f>INDEX([1]!crudeBD.lkup[Number],MATCH(vp.tbl[[#This Row],[Crude_Breakdown]],[1]!crudeBD.lkup[Crude Breakdown],0))</f>
        <v>#REF!</v>
      </c>
      <c r="AI613">
        <f>MONTH(vp.tbl[[#This Row],[SDate]])</f>
        <v>1</v>
      </c>
      <c r="AJ613" s="5">
        <f>IFERROR(vp.tbl[[#This Row],[Sulf]]*vp.tbl[[#This Row],[Net Dens]],"")</f>
        <v>7058235.6027520001</v>
      </c>
      <c r="AK613" s="5">
        <f>IFERROR(vp.tbl[[#This Row],[Dens]]*vp.tbl[[#This Row],[VolumeM3]],"")</f>
        <v>4303802.1968</v>
      </c>
      <c r="AL613" s="5">
        <f>IFERROR(vp.tbl[[#This Row],[VP]]*vp.tbl[[#This Row],[VolumeM3]],"")</f>
        <v>340169.95679999999</v>
      </c>
      <c r="AM613" s="4">
        <f>IFERROR((vp.tbl[[#This Row],[VP]]-INDEX(crudeBD.lkup.complete[Mean_VP],MATCH(vp.tbl[[#This Row],[Crude_Breakdown]],crudeBD.lkup.complete[Crude Breakdown],0)))^2,"")</f>
        <v>153.10585165774631</v>
      </c>
      <c r="AN613" s="4">
        <f>IFERROR((vp.tbl[[#This Row],[Dens]]-INDEX(crudeBD.lkup.complete[Mean_Dens],MATCH(vp.tbl[[#This Row],[Crude_Breakdown]],crudeBD.lkup.complete[Crude Breakdown],0)))^2,"")</f>
        <v>156.45449724661859</v>
      </c>
      <c r="AO613" s="4">
        <f>IFERROR((vp.tbl[[#This Row],[Sulf]]-INDEX(crudeBD.lkup.complete[Mean_Sulf],MATCH(vp.tbl[[#This Row],[Crude_Breakdown]],crudeBD.lkup.complete[Crude Breakdown],0)))^2,"")</f>
        <v>3.4250956438499819E-2</v>
      </c>
      <c r="AP613">
        <f>IF(AND(vp.tbl[[#This Row],[SDate]]&gt;=DATE(YEAR(vp.tbl[[#This Row],[SDate]]),5,1),vp.tbl[[#This Row],[SDate]]&lt;=DATE(YEAR(vp.tbl[[#This Row],[SDate]]),9,15)),1,0)</f>
        <v>0</v>
      </c>
      <c r="AQ613" s="15">
        <f>IF(vp.tbl[[#This Row],[SDate]]&lt;DATE(2016,12,1),0,1)</f>
        <v>1</v>
      </c>
    </row>
    <row r="614" spans="1:43" x14ac:dyDescent="0.25">
      <c r="A614">
        <v>613</v>
      </c>
      <c r="B614" t="s">
        <v>111</v>
      </c>
      <c r="C614" t="s">
        <v>111</v>
      </c>
      <c r="D614" t="s">
        <v>112</v>
      </c>
      <c r="F614" s="1">
        <v>42753</v>
      </c>
      <c r="G614" s="2">
        <v>63.3</v>
      </c>
      <c r="H614" s="2"/>
      <c r="I614" s="2">
        <v>1.88</v>
      </c>
      <c r="J614" s="2">
        <v>34</v>
      </c>
      <c r="K614" s="2">
        <v>2</v>
      </c>
      <c r="L614" s="2">
        <v>858.3</v>
      </c>
      <c r="M614" s="2">
        <v>858.3</v>
      </c>
      <c r="N614" s="2">
        <f ca="1">INDEX(INDIRECT(_xlfn.CONCAT("weather.tbl[",N$1,"]")),MATCH(vp.tbl[[#This Row],[SDate]],weather.tbl[Date],0))</f>
        <v>-0.25000000000000006</v>
      </c>
      <c r="O614" s="2">
        <f ca="1">INDEX(INDIRECT(_xlfn.CONCAT("weather.tbl[",O$1,"]")),MATCH(vp.tbl[[#This Row],[SDate]],weather.tbl[Date],0))</f>
        <v>-13.109523809523811</v>
      </c>
      <c r="P614" s="2">
        <f ca="1">INDEX(INDIRECT(_xlfn.CONCAT("weather.tbl[",P$1,"]")),MATCH(vp.tbl[[#This Row],[SDate]],weather.tbl[Date],0))</f>
        <v>0.2</v>
      </c>
      <c r="Q614" s="2">
        <f ca="1">INDEX(INDIRECT(_xlfn.CONCAT("weather.tbl[",Q$1,"]")),MATCH(vp.tbl[[#This Row],[SDate]],weather.tbl[Date],0))</f>
        <v>-0.1</v>
      </c>
      <c r="R614" s="2">
        <f ca="1">INDEX(INDIRECT(_xlfn.CONCAT("weather.tbl[",R$1,"]")),MATCH(vp.tbl[[#This Row],[SDate]],weather.tbl[Date],0))</f>
        <v>0.3</v>
      </c>
      <c r="S614" s="2">
        <f ca="1">INDEX(INDIRECT(_xlfn.CONCAT("weather.tbl[",S$1,"]")),MATCH(vp.tbl[[#This Row],[SDate]],weather.tbl[Date],0))</f>
        <v>0.5</v>
      </c>
      <c r="T614" s="2">
        <f ca="1">INDEX(INDIRECT(_xlfn.CONCAT("weather.tbl[",T$1,"]")),MATCH(vp.tbl[[#This Row],[SDate]],weather.tbl[Date],0))</f>
        <v>-3.2</v>
      </c>
      <c r="U614" s="2">
        <f ca="1">INDEX(INDIRECT(_xlfn.CONCAT("weather.tbl[",U$1,"]")),MATCH(vp.tbl[[#This Row],[SDate]],weather.tbl[Date],0))</f>
        <v>0.8</v>
      </c>
      <c r="V614" s="2">
        <v>8057.5129999999999</v>
      </c>
      <c r="W614" t="s">
        <v>48</v>
      </c>
      <c r="X614">
        <f>IF(OR(vp.tbl[[#This Row],[Sulf]]="",vp.tbl[[#This Row],[Dens]]=""),1,0)</f>
        <v>0</v>
      </c>
      <c r="Y614">
        <f>IF(vp.tbl[[#This Row],[CrudeType]]="C5+",1,0)</f>
        <v>0</v>
      </c>
      <c r="Z614">
        <f>IF(AND(vp.tbl[[#This Row],[CrudeType]]="Crude",vp.tbl[[#This Row],[Dens]]&lt;=825,vp.tbl[[#This Row],[Sulf]]&gt;0.5,vp.tbl[[#This Row],[Unknown]]=0),1,0)</f>
        <v>0</v>
      </c>
      <c r="AA614">
        <f>IF(AND(vp.tbl[[#This Row],[CrudeType]]="Crude",vp.tbl[[#This Row],[Dens]]&lt;=825,vp.tbl[[#This Row],[Sulf]]&lt;=0.5,vp.tbl[[#This Row],[Unknown]]=0),1,0)</f>
        <v>0</v>
      </c>
      <c r="AB614">
        <f>IF(AND(vp.tbl[[#This Row],[CrudeType]]="Crude",vp.tbl[[#This Row],[Dens]]&gt;825,vp.tbl[[#This Row],[Dens]]&lt;=870,vp.tbl[[#This Row],[Sulf]]&gt;0.5,vp.tbl[[#This Row],[Unknown]]=0),1,0)</f>
        <v>1</v>
      </c>
      <c r="AC614">
        <f>IF(AND(vp.tbl[[#This Row],[CrudeType]]="Crude",vp.tbl[[#This Row],[Dens]]&gt;825,vp.tbl[[#This Row],[Dens]]&lt;=900,vp.tbl[[#This Row],[Sulf]]&lt;=0.5,vp.tbl[[#This Row],[Unknown]]=0),1,0)</f>
        <v>0</v>
      </c>
      <c r="AD614">
        <f>IF(AND(vp.tbl[[#This Row],[CrudeType]]="Crude",vp.tbl[[#This Row],[Dens]]&gt;870,vp.tbl[[#This Row],[Dens]]&lt;=900,vp.tbl[[#This Row],[Sulf]]&gt;0.5,vp.tbl[[#This Row],[Unknown]]=0),1,0)</f>
        <v>0</v>
      </c>
      <c r="AE614">
        <f>IF(AND(vp.tbl[[#This Row],[CrudeType]]="Crude",vp.tbl[[#This Row],[Dens]]&gt;900,vp.tbl[[#This Row],[Sulf]]&lt;=0.5,vp.tbl[[#This Row],[Unknown]]=0),1,0)</f>
        <v>0</v>
      </c>
      <c r="AF614">
        <f>IF(AND(vp.tbl[[#This Row],[CrudeType]]="Crude",vp.tbl[[#This Row],[Dens]]&gt;900,vp.tbl[[#This Row],[Sulf]]&lt;=0.5,vp.tbl[[#This Row],[Unknown]]=0),1,0)</f>
        <v>0</v>
      </c>
      <c r="AG614" t="str">
        <f>INDEX(vp.tbl[[#Headers],[Unknown]:[Heavy_SW]],MATCH(1,vp.tbl[[#This Row],[Unknown]:[Heavy_SW]],0))</f>
        <v>Medium_LSB</v>
      </c>
      <c r="AH614" t="e">
        <f>INDEX([1]!crudeBD.lkup[Number],MATCH(vp.tbl[[#This Row],[Crude_Breakdown]],[1]!crudeBD.lkup[Crude Breakdown],0))</f>
        <v>#REF!</v>
      </c>
      <c r="AI614">
        <f>MONTH(vp.tbl[[#This Row],[SDate]])</f>
        <v>1</v>
      </c>
      <c r="AJ614" s="5">
        <f>IFERROR(vp.tbl[[#This Row],[Sulf]]*vp.tbl[[#This Row],[Net Dens]],"")</f>
        <v>13001635.206851998</v>
      </c>
      <c r="AK614" s="5">
        <f>IFERROR(vp.tbl[[#This Row],[Dens]]*vp.tbl[[#This Row],[VolumeM3]],"")</f>
        <v>6915763.4079</v>
      </c>
      <c r="AL614" s="5">
        <f>IFERROR(vp.tbl[[#This Row],[VP]]*vp.tbl[[#This Row],[VolumeM3]],"")</f>
        <v>510040.57289999997</v>
      </c>
      <c r="AM614" s="4">
        <f>IFERROR((vp.tbl[[#This Row],[VP]]-INDEX(crudeBD.lkup.complete[Mean_VP],MATCH(vp.tbl[[#This Row],[Crude_Breakdown]],crudeBD.lkup.complete[Crude Breakdown],0)))^2,"")</f>
        <v>284.71820608812573</v>
      </c>
      <c r="AN614" s="4">
        <f>IFERROR((vp.tbl[[#This Row],[Dens]]-INDEX(crudeBD.lkup.complete[Mean_Dens],MATCH(vp.tbl[[#This Row],[Crude_Breakdown]],crudeBD.lkup.complete[Crude Breakdown],0)))^2,"")</f>
        <v>169.2126744618094</v>
      </c>
      <c r="AO614" s="4">
        <f>IFERROR((vp.tbl[[#This Row],[Sulf]]-INDEX(crudeBD.lkup.complete[Mean_Sulf],MATCH(vp.tbl[[#This Row],[Crude_Breakdown]],crudeBD.lkup.complete[Crude Breakdown],0)))^2,"")</f>
        <v>0.18068462327394208</v>
      </c>
      <c r="AP614">
        <f>IF(AND(vp.tbl[[#This Row],[SDate]]&gt;=DATE(YEAR(vp.tbl[[#This Row],[SDate]]),5,1),vp.tbl[[#This Row],[SDate]]&lt;=DATE(YEAR(vp.tbl[[#This Row],[SDate]]),9,15)),1,0)</f>
        <v>0</v>
      </c>
      <c r="AQ614" s="15">
        <f>IF(vp.tbl[[#This Row],[SDate]]&lt;DATE(2016,12,1),0,1)</f>
        <v>1</v>
      </c>
    </row>
    <row r="615" spans="1:43" x14ac:dyDescent="0.25">
      <c r="A615">
        <v>614</v>
      </c>
      <c r="B615" t="s">
        <v>51</v>
      </c>
      <c r="C615" t="s">
        <v>51</v>
      </c>
      <c r="D615" t="s">
        <v>137</v>
      </c>
      <c r="F615" s="1">
        <v>42753</v>
      </c>
      <c r="G615" s="2">
        <v>70.400000000000006</v>
      </c>
      <c r="H615" s="2"/>
      <c r="I615" s="2">
        <v>2.1800000000000002</v>
      </c>
      <c r="J615" s="2">
        <v>29</v>
      </c>
      <c r="K615" s="2">
        <v>2</v>
      </c>
      <c r="L615" s="2">
        <v>863.7</v>
      </c>
      <c r="M615" s="2">
        <v>863.7</v>
      </c>
      <c r="N615" s="2">
        <f ca="1">INDEX(INDIRECT(_xlfn.CONCAT("weather.tbl[",N$1,"]")),MATCH(vp.tbl[[#This Row],[SDate]],weather.tbl[Date],0))</f>
        <v>-0.25000000000000006</v>
      </c>
      <c r="O615" s="2">
        <f ca="1">INDEX(INDIRECT(_xlfn.CONCAT("weather.tbl[",O$1,"]")),MATCH(vp.tbl[[#This Row],[SDate]],weather.tbl[Date],0))</f>
        <v>-13.109523809523811</v>
      </c>
      <c r="P615" s="2">
        <f ca="1">INDEX(INDIRECT(_xlfn.CONCAT("weather.tbl[",P$1,"]")),MATCH(vp.tbl[[#This Row],[SDate]],weather.tbl[Date],0))</f>
        <v>0.2</v>
      </c>
      <c r="Q615" s="2">
        <f ca="1">INDEX(INDIRECT(_xlfn.CONCAT("weather.tbl[",Q$1,"]")),MATCH(vp.tbl[[#This Row],[SDate]],weather.tbl[Date],0))</f>
        <v>-0.1</v>
      </c>
      <c r="R615" s="2">
        <f ca="1">INDEX(INDIRECT(_xlfn.CONCAT("weather.tbl[",R$1,"]")),MATCH(vp.tbl[[#This Row],[SDate]],weather.tbl[Date],0))</f>
        <v>0.3</v>
      </c>
      <c r="S615" s="2">
        <f ca="1">INDEX(INDIRECT(_xlfn.CONCAT("weather.tbl[",S$1,"]")),MATCH(vp.tbl[[#This Row],[SDate]],weather.tbl[Date],0))</f>
        <v>0.5</v>
      </c>
      <c r="T615" s="2">
        <f ca="1">INDEX(INDIRECT(_xlfn.CONCAT("weather.tbl[",T$1,"]")),MATCH(vp.tbl[[#This Row],[SDate]],weather.tbl[Date],0))</f>
        <v>-3.2</v>
      </c>
      <c r="U615" s="2">
        <f ca="1">INDEX(INDIRECT(_xlfn.CONCAT("weather.tbl[",U$1,"]")),MATCH(vp.tbl[[#This Row],[SDate]],weather.tbl[Date],0))</f>
        <v>0.8</v>
      </c>
      <c r="V615" s="2">
        <v>2081.7559999999999</v>
      </c>
      <c r="W615" t="s">
        <v>48</v>
      </c>
      <c r="X615">
        <f>IF(OR(vp.tbl[[#This Row],[Sulf]]="",vp.tbl[[#This Row],[Dens]]=""),1,0)</f>
        <v>0</v>
      </c>
      <c r="Y615">
        <f>IF(vp.tbl[[#This Row],[CrudeType]]="C5+",1,0)</f>
        <v>0</v>
      </c>
      <c r="Z615">
        <f>IF(AND(vp.tbl[[#This Row],[CrudeType]]="Crude",vp.tbl[[#This Row],[Dens]]&lt;=825,vp.tbl[[#This Row],[Sulf]]&gt;0.5,vp.tbl[[#This Row],[Unknown]]=0),1,0)</f>
        <v>0</v>
      </c>
      <c r="AA615">
        <f>IF(AND(vp.tbl[[#This Row],[CrudeType]]="Crude",vp.tbl[[#This Row],[Dens]]&lt;=825,vp.tbl[[#This Row],[Sulf]]&lt;=0.5,vp.tbl[[#This Row],[Unknown]]=0),1,0)</f>
        <v>0</v>
      </c>
      <c r="AB615">
        <f>IF(AND(vp.tbl[[#This Row],[CrudeType]]="Crude",vp.tbl[[#This Row],[Dens]]&gt;825,vp.tbl[[#This Row],[Dens]]&lt;=870,vp.tbl[[#This Row],[Sulf]]&gt;0.5,vp.tbl[[#This Row],[Unknown]]=0),1,0)</f>
        <v>1</v>
      </c>
      <c r="AC615">
        <f>IF(AND(vp.tbl[[#This Row],[CrudeType]]="Crude",vp.tbl[[#This Row],[Dens]]&gt;825,vp.tbl[[#This Row],[Dens]]&lt;=900,vp.tbl[[#This Row],[Sulf]]&lt;=0.5,vp.tbl[[#This Row],[Unknown]]=0),1,0)</f>
        <v>0</v>
      </c>
      <c r="AD615">
        <f>IF(AND(vp.tbl[[#This Row],[CrudeType]]="Crude",vp.tbl[[#This Row],[Dens]]&gt;870,vp.tbl[[#This Row],[Dens]]&lt;=900,vp.tbl[[#This Row],[Sulf]]&gt;0.5,vp.tbl[[#This Row],[Unknown]]=0),1,0)</f>
        <v>0</v>
      </c>
      <c r="AE615">
        <f>IF(AND(vp.tbl[[#This Row],[CrudeType]]="Crude",vp.tbl[[#This Row],[Dens]]&gt;900,vp.tbl[[#This Row],[Sulf]]&lt;=0.5,vp.tbl[[#This Row],[Unknown]]=0),1,0)</f>
        <v>0</v>
      </c>
      <c r="AF615">
        <f>IF(AND(vp.tbl[[#This Row],[CrudeType]]="Crude",vp.tbl[[#This Row],[Dens]]&gt;900,vp.tbl[[#This Row],[Sulf]]&lt;=0.5,vp.tbl[[#This Row],[Unknown]]=0),1,0)</f>
        <v>0</v>
      </c>
      <c r="AG615" t="str">
        <f>INDEX(vp.tbl[[#Headers],[Unknown]:[Heavy_SW]],MATCH(1,vp.tbl[[#This Row],[Unknown]:[Heavy_SW]],0))</f>
        <v>Medium_LSB</v>
      </c>
      <c r="AH615" t="e">
        <f>INDEX([1]!crudeBD.lkup[Number],MATCH(vp.tbl[[#This Row],[Crude_Breakdown]],[1]!crudeBD.lkup[Crude Breakdown],0))</f>
        <v>#REF!</v>
      </c>
      <c r="AI615">
        <f>MONTH(vp.tbl[[#This Row],[SDate]])</f>
        <v>1</v>
      </c>
      <c r="AJ615" s="5">
        <f>IFERROR(vp.tbl[[#This Row],[Sulf]]*vp.tbl[[#This Row],[Net Dens]],"")</f>
        <v>3919667.5926960004</v>
      </c>
      <c r="AK615" s="5">
        <f>IFERROR(vp.tbl[[#This Row],[Dens]]*vp.tbl[[#This Row],[VolumeM3]],"")</f>
        <v>1798012.6572</v>
      </c>
      <c r="AL615" s="5">
        <f>IFERROR(vp.tbl[[#This Row],[VP]]*vp.tbl[[#This Row],[VolumeM3]],"")</f>
        <v>146555.62239999999</v>
      </c>
      <c r="AM615" s="4">
        <f>IFERROR((vp.tbl[[#This Row],[VP]]-INDEX(crudeBD.lkup.complete[Mean_VP],MATCH(vp.tbl[[#This Row],[Crude_Breakdown]],crudeBD.lkup.complete[Crude Breakdown],0)))^2,"")</f>
        <v>95.523157986860241</v>
      </c>
      <c r="AN615" s="4">
        <f>IFERROR((vp.tbl[[#This Row],[Dens]]-INDEX(crudeBD.lkup.complete[Mean_Dens],MATCH(vp.tbl[[#This Row],[Crude_Breakdown]],crudeBD.lkup.complete[Crude Breakdown],0)))^2,"")</f>
        <v>338.86098838587355</v>
      </c>
      <c r="AO615" s="4">
        <f>IFERROR((vp.tbl[[#This Row],[Sulf]]-INDEX(crudeBD.lkup.complete[Mean_Sulf],MATCH(vp.tbl[[#This Row],[Crude_Breakdown]],crudeBD.lkup.complete[Crude Breakdown],0)))^2,"")</f>
        <v>0.52572670681824529</v>
      </c>
      <c r="AP615">
        <f>IF(AND(vp.tbl[[#This Row],[SDate]]&gt;=DATE(YEAR(vp.tbl[[#This Row],[SDate]]),5,1),vp.tbl[[#This Row],[SDate]]&lt;=DATE(YEAR(vp.tbl[[#This Row],[SDate]]),9,15)),1,0)</f>
        <v>0</v>
      </c>
      <c r="AQ615" s="15">
        <f>IF(vp.tbl[[#This Row],[SDate]]&lt;DATE(2016,12,1),0,1)</f>
        <v>1</v>
      </c>
    </row>
    <row r="616" spans="1:43" x14ac:dyDescent="0.25">
      <c r="A616">
        <v>615</v>
      </c>
      <c r="B616" t="s">
        <v>46</v>
      </c>
      <c r="C616" t="s">
        <v>46</v>
      </c>
      <c r="D616" t="s">
        <v>47</v>
      </c>
      <c r="F616" s="1">
        <v>42753</v>
      </c>
      <c r="G616" s="2">
        <v>56.4</v>
      </c>
      <c r="H616" s="2"/>
      <c r="I616" s="2">
        <v>2.34</v>
      </c>
      <c r="J616" s="2">
        <v>30</v>
      </c>
      <c r="K616" s="2">
        <v>1</v>
      </c>
      <c r="L616" s="2">
        <v>868.5</v>
      </c>
      <c r="M616" s="2">
        <v>868.5</v>
      </c>
      <c r="N616" s="2">
        <f ca="1">INDEX(INDIRECT(_xlfn.CONCAT("weather.tbl[",N$1,"]")),MATCH(vp.tbl[[#This Row],[SDate]],weather.tbl[Date],0))</f>
        <v>-0.25000000000000006</v>
      </c>
      <c r="O616" s="2">
        <f ca="1">INDEX(INDIRECT(_xlfn.CONCAT("weather.tbl[",O$1,"]")),MATCH(vp.tbl[[#This Row],[SDate]],weather.tbl[Date],0))</f>
        <v>-13.109523809523811</v>
      </c>
      <c r="P616" s="2">
        <f ca="1">INDEX(INDIRECT(_xlfn.CONCAT("weather.tbl[",P$1,"]")),MATCH(vp.tbl[[#This Row],[SDate]],weather.tbl[Date],0))</f>
        <v>0.2</v>
      </c>
      <c r="Q616" s="2">
        <f ca="1">INDEX(INDIRECT(_xlfn.CONCAT("weather.tbl[",Q$1,"]")),MATCH(vp.tbl[[#This Row],[SDate]],weather.tbl[Date],0))</f>
        <v>-0.1</v>
      </c>
      <c r="R616" s="2">
        <f ca="1">INDEX(INDIRECT(_xlfn.CONCAT("weather.tbl[",R$1,"]")),MATCH(vp.tbl[[#This Row],[SDate]],weather.tbl[Date],0))</f>
        <v>0.3</v>
      </c>
      <c r="S616" s="2">
        <f ca="1">INDEX(INDIRECT(_xlfn.CONCAT("weather.tbl[",S$1,"]")),MATCH(vp.tbl[[#This Row],[SDate]],weather.tbl[Date],0))</f>
        <v>0.5</v>
      </c>
      <c r="T616" s="2">
        <f ca="1">INDEX(INDIRECT(_xlfn.CONCAT("weather.tbl[",T$1,"]")),MATCH(vp.tbl[[#This Row],[SDate]],weather.tbl[Date],0))</f>
        <v>-3.2</v>
      </c>
      <c r="U616" s="2">
        <f ca="1">INDEX(INDIRECT(_xlfn.CONCAT("weather.tbl[",U$1,"]")),MATCH(vp.tbl[[#This Row],[SDate]],weather.tbl[Date],0))</f>
        <v>0.8</v>
      </c>
      <c r="V616" s="2">
        <v>115522.52099999999</v>
      </c>
      <c r="W616" t="s">
        <v>48</v>
      </c>
      <c r="X616">
        <f>IF(OR(vp.tbl[[#This Row],[Sulf]]="",vp.tbl[[#This Row],[Dens]]=""),1,0)</f>
        <v>0</v>
      </c>
      <c r="Y616">
        <f>IF(vp.tbl[[#This Row],[CrudeType]]="C5+",1,0)</f>
        <v>0</v>
      </c>
      <c r="Z616">
        <f>IF(AND(vp.tbl[[#This Row],[CrudeType]]="Crude",vp.tbl[[#This Row],[Dens]]&lt;=825,vp.tbl[[#This Row],[Sulf]]&gt;0.5,vp.tbl[[#This Row],[Unknown]]=0),1,0)</f>
        <v>0</v>
      </c>
      <c r="AA616">
        <f>IF(AND(vp.tbl[[#This Row],[CrudeType]]="Crude",vp.tbl[[#This Row],[Dens]]&lt;=825,vp.tbl[[#This Row],[Sulf]]&lt;=0.5,vp.tbl[[#This Row],[Unknown]]=0),1,0)</f>
        <v>0</v>
      </c>
      <c r="AB616">
        <f>IF(AND(vp.tbl[[#This Row],[CrudeType]]="Crude",vp.tbl[[#This Row],[Dens]]&gt;825,vp.tbl[[#This Row],[Dens]]&lt;=870,vp.tbl[[#This Row],[Sulf]]&gt;0.5,vp.tbl[[#This Row],[Unknown]]=0),1,0)</f>
        <v>1</v>
      </c>
      <c r="AC616">
        <f>IF(AND(vp.tbl[[#This Row],[CrudeType]]="Crude",vp.tbl[[#This Row],[Dens]]&gt;825,vp.tbl[[#This Row],[Dens]]&lt;=900,vp.tbl[[#This Row],[Sulf]]&lt;=0.5,vp.tbl[[#This Row],[Unknown]]=0),1,0)</f>
        <v>0</v>
      </c>
      <c r="AD616">
        <f>IF(AND(vp.tbl[[#This Row],[CrudeType]]="Crude",vp.tbl[[#This Row],[Dens]]&gt;870,vp.tbl[[#This Row],[Dens]]&lt;=900,vp.tbl[[#This Row],[Sulf]]&gt;0.5,vp.tbl[[#This Row],[Unknown]]=0),1,0)</f>
        <v>0</v>
      </c>
      <c r="AE616">
        <f>IF(AND(vp.tbl[[#This Row],[CrudeType]]="Crude",vp.tbl[[#This Row],[Dens]]&gt;900,vp.tbl[[#This Row],[Sulf]]&lt;=0.5,vp.tbl[[#This Row],[Unknown]]=0),1,0)</f>
        <v>0</v>
      </c>
      <c r="AF616">
        <f>IF(AND(vp.tbl[[#This Row],[CrudeType]]="Crude",vp.tbl[[#This Row],[Dens]]&gt;900,vp.tbl[[#This Row],[Sulf]]&lt;=0.5,vp.tbl[[#This Row],[Unknown]]=0),1,0)</f>
        <v>0</v>
      </c>
      <c r="AG616" t="str">
        <f>INDEX(vp.tbl[[#Headers],[Unknown]:[Heavy_SW]],MATCH(1,vp.tbl[[#This Row],[Unknown]:[Heavy_SW]],0))</f>
        <v>Medium_LSB</v>
      </c>
      <c r="AH616" t="e">
        <f>INDEX([1]!crudeBD.lkup[Number],MATCH(vp.tbl[[#This Row],[Crude_Breakdown]],[1]!crudeBD.lkup[Crude Breakdown],0))</f>
        <v>#REF!</v>
      </c>
      <c r="AI616">
        <f>MONTH(vp.tbl[[#This Row],[SDate]])</f>
        <v>1</v>
      </c>
      <c r="AJ616" s="5">
        <f>IFERROR(vp.tbl[[#This Row],[Sulf]]*vp.tbl[[#This Row],[Net Dens]],"")</f>
        <v>234775264.20308998</v>
      </c>
      <c r="AK616" s="5">
        <f>IFERROR(vp.tbl[[#This Row],[Dens]]*vp.tbl[[#This Row],[VolumeM3]],"")</f>
        <v>100331309.4885</v>
      </c>
      <c r="AL616" s="5">
        <f>IFERROR(vp.tbl[[#This Row],[VP]]*vp.tbl[[#This Row],[VolumeM3]],"")</f>
        <v>6515470.1843999997</v>
      </c>
      <c r="AM616" s="4">
        <f>IFERROR((vp.tbl[[#This Row],[VP]]-INDEX(crudeBD.lkup.complete[Mean_VP],MATCH(vp.tbl[[#This Row],[Crude_Breakdown]],crudeBD.lkup.complete[Crude Breakdown],0)))^2,"")</f>
        <v>565.18381621470746</v>
      </c>
      <c r="AN616" s="4">
        <f>IFERROR((vp.tbl[[#This Row],[Dens]]-INDEX(crudeBD.lkup.complete[Mean_Dens],MATCH(vp.tbl[[#This Row],[Crude_Breakdown]],crudeBD.lkup.complete[Crude Breakdown],0)))^2,"")</f>
        <v>538.61948965170404</v>
      </c>
      <c r="AO616" s="4">
        <f>IFERROR((vp.tbl[[#This Row],[Sulf]]-INDEX(crudeBD.lkup.complete[Mean_Sulf],MATCH(vp.tbl[[#This Row],[Crude_Breakdown]],crudeBD.lkup.complete[Crude Breakdown],0)))^2,"")</f>
        <v>0.78334915137520633</v>
      </c>
      <c r="AP616">
        <f>IF(AND(vp.tbl[[#This Row],[SDate]]&gt;=DATE(YEAR(vp.tbl[[#This Row],[SDate]]),5,1),vp.tbl[[#This Row],[SDate]]&lt;=DATE(YEAR(vp.tbl[[#This Row],[SDate]]),9,15)),1,0)</f>
        <v>0</v>
      </c>
      <c r="AQ616" s="15">
        <f>IF(vp.tbl[[#This Row],[SDate]]&lt;DATE(2016,12,1),0,1)</f>
        <v>1</v>
      </c>
    </row>
    <row r="617" spans="1:43" x14ac:dyDescent="0.25">
      <c r="A617">
        <v>616</v>
      </c>
      <c r="B617" t="s">
        <v>108</v>
      </c>
      <c r="C617" t="s">
        <v>108</v>
      </c>
      <c r="D617" t="s">
        <v>138</v>
      </c>
      <c r="F617" s="1">
        <v>42753</v>
      </c>
      <c r="G617" s="2">
        <v>73.7</v>
      </c>
      <c r="H617" s="2"/>
      <c r="I617" s="2">
        <v>2.41</v>
      </c>
      <c r="J617" s="2">
        <v>17</v>
      </c>
      <c r="K617" s="2">
        <v>2</v>
      </c>
      <c r="L617" s="2">
        <v>869.7</v>
      </c>
      <c r="M617" s="2">
        <v>869.7</v>
      </c>
      <c r="N617" s="2">
        <f ca="1">INDEX(INDIRECT(_xlfn.CONCAT("weather.tbl[",N$1,"]")),MATCH(vp.tbl[[#This Row],[SDate]],weather.tbl[Date],0))</f>
        <v>-0.25000000000000006</v>
      </c>
      <c r="O617" s="2">
        <f ca="1">INDEX(INDIRECT(_xlfn.CONCAT("weather.tbl[",O$1,"]")),MATCH(vp.tbl[[#This Row],[SDate]],weather.tbl[Date],0))</f>
        <v>-13.109523809523811</v>
      </c>
      <c r="P617" s="2">
        <f ca="1">INDEX(INDIRECT(_xlfn.CONCAT("weather.tbl[",P$1,"]")),MATCH(vp.tbl[[#This Row],[SDate]],weather.tbl[Date],0))</f>
        <v>0.2</v>
      </c>
      <c r="Q617" s="2">
        <f ca="1">INDEX(INDIRECT(_xlfn.CONCAT("weather.tbl[",Q$1,"]")),MATCH(vp.tbl[[#This Row],[SDate]],weather.tbl[Date],0))</f>
        <v>-0.1</v>
      </c>
      <c r="R617" s="2">
        <f ca="1">INDEX(INDIRECT(_xlfn.CONCAT("weather.tbl[",R$1,"]")),MATCH(vp.tbl[[#This Row],[SDate]],weather.tbl[Date],0))</f>
        <v>0.3</v>
      </c>
      <c r="S617" s="2">
        <f ca="1">INDEX(INDIRECT(_xlfn.CONCAT("weather.tbl[",S$1,"]")),MATCH(vp.tbl[[#This Row],[SDate]],weather.tbl[Date],0))</f>
        <v>0.5</v>
      </c>
      <c r="T617" s="2">
        <f ca="1">INDEX(INDIRECT(_xlfn.CONCAT("weather.tbl[",T$1,"]")),MATCH(vp.tbl[[#This Row],[SDate]],weather.tbl[Date],0))</f>
        <v>-3.2</v>
      </c>
      <c r="U617" s="2">
        <f ca="1">INDEX(INDIRECT(_xlfn.CONCAT("weather.tbl[",U$1,"]")),MATCH(vp.tbl[[#This Row],[SDate]],weather.tbl[Date],0))</f>
        <v>0.8</v>
      </c>
      <c r="V617" s="2">
        <v>762.928</v>
      </c>
      <c r="W617" t="s">
        <v>48</v>
      </c>
      <c r="X617">
        <f>IF(OR(vp.tbl[[#This Row],[Sulf]]="",vp.tbl[[#This Row],[Dens]]=""),1,0)</f>
        <v>0</v>
      </c>
      <c r="Y617">
        <f>IF(vp.tbl[[#This Row],[CrudeType]]="C5+",1,0)</f>
        <v>0</v>
      </c>
      <c r="Z617">
        <f>IF(AND(vp.tbl[[#This Row],[CrudeType]]="Crude",vp.tbl[[#This Row],[Dens]]&lt;=825,vp.tbl[[#This Row],[Sulf]]&gt;0.5,vp.tbl[[#This Row],[Unknown]]=0),1,0)</f>
        <v>0</v>
      </c>
      <c r="AA617">
        <f>IF(AND(vp.tbl[[#This Row],[CrudeType]]="Crude",vp.tbl[[#This Row],[Dens]]&lt;=825,vp.tbl[[#This Row],[Sulf]]&lt;=0.5,vp.tbl[[#This Row],[Unknown]]=0),1,0)</f>
        <v>0</v>
      </c>
      <c r="AB617">
        <f>IF(AND(vp.tbl[[#This Row],[CrudeType]]="Crude",vp.tbl[[#This Row],[Dens]]&gt;825,vp.tbl[[#This Row],[Dens]]&lt;=870,vp.tbl[[#This Row],[Sulf]]&gt;0.5,vp.tbl[[#This Row],[Unknown]]=0),1,0)</f>
        <v>1</v>
      </c>
      <c r="AC617">
        <f>IF(AND(vp.tbl[[#This Row],[CrudeType]]="Crude",vp.tbl[[#This Row],[Dens]]&gt;825,vp.tbl[[#This Row],[Dens]]&lt;=900,vp.tbl[[#This Row],[Sulf]]&lt;=0.5,vp.tbl[[#This Row],[Unknown]]=0),1,0)</f>
        <v>0</v>
      </c>
      <c r="AD617">
        <f>IF(AND(vp.tbl[[#This Row],[CrudeType]]="Crude",vp.tbl[[#This Row],[Dens]]&gt;870,vp.tbl[[#This Row],[Dens]]&lt;=900,vp.tbl[[#This Row],[Sulf]]&gt;0.5,vp.tbl[[#This Row],[Unknown]]=0),1,0)</f>
        <v>0</v>
      </c>
      <c r="AE617">
        <f>IF(AND(vp.tbl[[#This Row],[CrudeType]]="Crude",vp.tbl[[#This Row],[Dens]]&gt;900,vp.tbl[[#This Row],[Sulf]]&lt;=0.5,vp.tbl[[#This Row],[Unknown]]=0),1,0)</f>
        <v>0</v>
      </c>
      <c r="AF617">
        <f>IF(AND(vp.tbl[[#This Row],[CrudeType]]="Crude",vp.tbl[[#This Row],[Dens]]&gt;900,vp.tbl[[#This Row],[Sulf]]&lt;=0.5,vp.tbl[[#This Row],[Unknown]]=0),1,0)</f>
        <v>0</v>
      </c>
      <c r="AG617" t="str">
        <f>INDEX(vp.tbl[[#Headers],[Unknown]:[Heavy_SW]],MATCH(1,vp.tbl[[#This Row],[Unknown]:[Heavy_SW]],0))</f>
        <v>Medium_LSB</v>
      </c>
      <c r="AH617" t="e">
        <f>INDEX([1]!crudeBD.lkup[Number],MATCH(vp.tbl[[#This Row],[Crude_Breakdown]],[1]!crudeBD.lkup[Crude Breakdown],0))</f>
        <v>#REF!</v>
      </c>
      <c r="AI617">
        <f>MONTH(vp.tbl[[#This Row],[SDate]])</f>
        <v>1</v>
      </c>
      <c r="AJ617" s="5">
        <f>IFERROR(vp.tbl[[#This Row],[Sulf]]*vp.tbl[[#This Row],[Net Dens]],"")</f>
        <v>1599079.5406560001</v>
      </c>
      <c r="AK617" s="5">
        <f>IFERROR(vp.tbl[[#This Row],[Dens]]*vp.tbl[[#This Row],[VolumeM3]],"")</f>
        <v>663518.48160000006</v>
      </c>
      <c r="AL617" s="5">
        <f>IFERROR(vp.tbl[[#This Row],[VP]]*vp.tbl[[#This Row],[VolumeM3]],"")</f>
        <v>56227.793600000005</v>
      </c>
      <c r="AM617" s="4">
        <f>IFERROR((vp.tbl[[#This Row],[VP]]-INDEX(crudeBD.lkup.complete[Mean_VP],MATCH(vp.tbl[[#This Row],[Crude_Breakdown]],crudeBD.lkup.complete[Crude Breakdown],0)))^2,"")</f>
        <v>41.907431404582084</v>
      </c>
      <c r="AN617" s="4">
        <f>IFERROR((vp.tbl[[#This Row],[Dens]]-INDEX(crudeBD.lkup.complete[Mean_Dens],MATCH(vp.tbl[[#This Row],[Crude_Breakdown]],crudeBD.lkup.complete[Crude Breakdown],0)))^2,"")</f>
        <v>595.75911496816434</v>
      </c>
      <c r="AO617" s="4">
        <f>IFERROR((vp.tbl[[#This Row],[Sulf]]-INDEX(crudeBD.lkup.complete[Mean_Sulf],MATCH(vp.tbl[[#This Row],[Crude_Breakdown]],crudeBD.lkup.complete[Crude Breakdown],0)))^2,"")</f>
        <v>0.91215897086887754</v>
      </c>
      <c r="AP617">
        <f>IF(AND(vp.tbl[[#This Row],[SDate]]&gt;=DATE(YEAR(vp.tbl[[#This Row],[SDate]]),5,1),vp.tbl[[#This Row],[SDate]]&lt;=DATE(YEAR(vp.tbl[[#This Row],[SDate]]),9,15)),1,0)</f>
        <v>0</v>
      </c>
      <c r="AQ617" s="15">
        <f>IF(vp.tbl[[#This Row],[SDate]]&lt;DATE(2016,12,1),0,1)</f>
        <v>1</v>
      </c>
    </row>
    <row r="618" spans="1:43" x14ac:dyDescent="0.25">
      <c r="A618">
        <v>617</v>
      </c>
      <c r="B618" t="s">
        <v>49</v>
      </c>
      <c r="C618" t="s">
        <v>49</v>
      </c>
      <c r="D618" t="s">
        <v>50</v>
      </c>
      <c r="F618" s="1">
        <v>42753</v>
      </c>
      <c r="G618" s="2">
        <v>72.900000000000006</v>
      </c>
      <c r="H618" s="2"/>
      <c r="I618" s="2">
        <v>2.68</v>
      </c>
      <c r="J618" s="2">
        <v>15</v>
      </c>
      <c r="K618" s="2">
        <v>1</v>
      </c>
      <c r="L618" s="2">
        <v>877.8</v>
      </c>
      <c r="M618" s="2">
        <v>877.8</v>
      </c>
      <c r="N618" s="2">
        <f ca="1">INDEX(INDIRECT(_xlfn.CONCAT("weather.tbl[",N$1,"]")),MATCH(vp.tbl[[#This Row],[SDate]],weather.tbl[Date],0))</f>
        <v>-0.25000000000000006</v>
      </c>
      <c r="O618" s="2">
        <f ca="1">INDEX(INDIRECT(_xlfn.CONCAT("weather.tbl[",O$1,"]")),MATCH(vp.tbl[[#This Row],[SDate]],weather.tbl[Date],0))</f>
        <v>-13.109523809523811</v>
      </c>
      <c r="P618" s="2">
        <f ca="1">INDEX(INDIRECT(_xlfn.CONCAT("weather.tbl[",P$1,"]")),MATCH(vp.tbl[[#This Row],[SDate]],weather.tbl[Date],0))</f>
        <v>0.2</v>
      </c>
      <c r="Q618" s="2">
        <f ca="1">INDEX(INDIRECT(_xlfn.CONCAT("weather.tbl[",Q$1,"]")),MATCH(vp.tbl[[#This Row],[SDate]],weather.tbl[Date],0))</f>
        <v>-0.1</v>
      </c>
      <c r="R618" s="2">
        <f ca="1">INDEX(INDIRECT(_xlfn.CONCAT("weather.tbl[",R$1,"]")),MATCH(vp.tbl[[#This Row],[SDate]],weather.tbl[Date],0))</f>
        <v>0.3</v>
      </c>
      <c r="S618" s="2">
        <f ca="1">INDEX(INDIRECT(_xlfn.CONCAT("weather.tbl[",S$1,"]")),MATCH(vp.tbl[[#This Row],[SDate]],weather.tbl[Date],0))</f>
        <v>0.5</v>
      </c>
      <c r="T618" s="2">
        <f ca="1">INDEX(INDIRECT(_xlfn.CONCAT("weather.tbl[",T$1,"]")),MATCH(vp.tbl[[#This Row],[SDate]],weather.tbl[Date],0))</f>
        <v>-3.2</v>
      </c>
      <c r="U618" s="2">
        <f ca="1">INDEX(INDIRECT(_xlfn.CONCAT("weather.tbl[",U$1,"]")),MATCH(vp.tbl[[#This Row],[SDate]],weather.tbl[Date],0))</f>
        <v>0.8</v>
      </c>
      <c r="V618" s="2">
        <v>5598.5039999999999</v>
      </c>
      <c r="W618" t="s">
        <v>48</v>
      </c>
      <c r="X618">
        <f>IF(OR(vp.tbl[[#This Row],[Sulf]]="",vp.tbl[[#This Row],[Dens]]=""),1,0)</f>
        <v>0</v>
      </c>
      <c r="Y618">
        <f>IF(vp.tbl[[#This Row],[CrudeType]]="C5+",1,0)</f>
        <v>0</v>
      </c>
      <c r="Z618">
        <f>IF(AND(vp.tbl[[#This Row],[CrudeType]]="Crude",vp.tbl[[#This Row],[Dens]]&lt;=825,vp.tbl[[#This Row],[Sulf]]&gt;0.5,vp.tbl[[#This Row],[Unknown]]=0),1,0)</f>
        <v>0</v>
      </c>
      <c r="AA618">
        <f>IF(AND(vp.tbl[[#This Row],[CrudeType]]="Crude",vp.tbl[[#This Row],[Dens]]&lt;=825,vp.tbl[[#This Row],[Sulf]]&lt;=0.5,vp.tbl[[#This Row],[Unknown]]=0),1,0)</f>
        <v>0</v>
      </c>
      <c r="AB618">
        <f>IF(AND(vp.tbl[[#This Row],[CrudeType]]="Crude",vp.tbl[[#This Row],[Dens]]&gt;825,vp.tbl[[#This Row],[Dens]]&lt;=870,vp.tbl[[#This Row],[Sulf]]&gt;0.5,vp.tbl[[#This Row],[Unknown]]=0),1,0)</f>
        <v>0</v>
      </c>
      <c r="AC618">
        <f>IF(AND(vp.tbl[[#This Row],[CrudeType]]="Crude",vp.tbl[[#This Row],[Dens]]&gt;825,vp.tbl[[#This Row],[Dens]]&lt;=900,vp.tbl[[#This Row],[Sulf]]&lt;=0.5,vp.tbl[[#This Row],[Unknown]]=0),1,0)</f>
        <v>0</v>
      </c>
      <c r="AD618">
        <f>IF(AND(vp.tbl[[#This Row],[CrudeType]]="Crude",vp.tbl[[#This Row],[Dens]]&gt;870,vp.tbl[[#This Row],[Dens]]&lt;=900,vp.tbl[[#This Row],[Sulf]]&gt;0.5,vp.tbl[[#This Row],[Unknown]]=0),1,0)</f>
        <v>1</v>
      </c>
      <c r="AE618">
        <f>IF(AND(vp.tbl[[#This Row],[CrudeType]]="Crude",vp.tbl[[#This Row],[Dens]]&gt;900,vp.tbl[[#This Row],[Sulf]]&lt;=0.5,vp.tbl[[#This Row],[Unknown]]=0),1,0)</f>
        <v>0</v>
      </c>
      <c r="AF618">
        <f>IF(AND(vp.tbl[[#This Row],[CrudeType]]="Crude",vp.tbl[[#This Row],[Dens]]&gt;900,vp.tbl[[#This Row],[Sulf]]&lt;=0.5,vp.tbl[[#This Row],[Unknown]]=0),1,0)</f>
        <v>0</v>
      </c>
      <c r="AG618" t="str">
        <f>INDEX(vp.tbl[[#Headers],[Unknown]:[Heavy_SW]],MATCH(1,vp.tbl[[#This Row],[Unknown]:[Heavy_SW]],0))</f>
        <v>Midale</v>
      </c>
      <c r="AH618" t="e">
        <f>INDEX([1]!crudeBD.lkup[Number],MATCH(vp.tbl[[#This Row],[Crude_Breakdown]],[1]!crudeBD.lkup[Crude Breakdown],0))</f>
        <v>#REF!</v>
      </c>
      <c r="AI618">
        <f>MONTH(vp.tbl[[#This Row],[SDate]])</f>
        <v>1</v>
      </c>
      <c r="AJ618" s="5">
        <f>IFERROR(vp.tbl[[#This Row],[Sulf]]*vp.tbl[[#This Row],[Net Dens]],"")</f>
        <v>13170503.054016</v>
      </c>
      <c r="AK618" s="5">
        <f>IFERROR(vp.tbl[[#This Row],[Dens]]*vp.tbl[[#This Row],[VolumeM3]],"")</f>
        <v>4914366.8111999994</v>
      </c>
      <c r="AL618" s="5">
        <f>IFERROR(vp.tbl[[#This Row],[VP]]*vp.tbl[[#This Row],[VolumeM3]],"")</f>
        <v>408130.94160000002</v>
      </c>
      <c r="AM618" s="4">
        <f>IFERROR((vp.tbl[[#This Row],[VP]]-INDEX(crudeBD.lkup.complete[Mean_VP],MATCH(vp.tbl[[#This Row],[Crude_Breakdown]],crudeBD.lkup.complete[Crude Breakdown],0)))^2,"")</f>
        <v>21.73092325014067</v>
      </c>
      <c r="AN618" s="4">
        <f>IFERROR((vp.tbl[[#This Row],[Dens]]-INDEX(crudeBD.lkup.complete[Mean_Dens],MATCH(vp.tbl[[#This Row],[Crude_Breakdown]],crudeBD.lkup.complete[Crude Breakdown],0)))^2,"")</f>
        <v>6.1476824920375282E-2</v>
      </c>
      <c r="AO618" s="4">
        <f>IFERROR((vp.tbl[[#This Row],[Sulf]]-INDEX(crudeBD.lkup.complete[Mean_Sulf],MATCH(vp.tbl[[#This Row],[Crude_Breakdown]],crudeBD.lkup.complete[Crude Breakdown],0)))^2,"")</f>
        <v>7.0044843090430464E-2</v>
      </c>
      <c r="AP618">
        <f>IF(AND(vp.tbl[[#This Row],[SDate]]&gt;=DATE(YEAR(vp.tbl[[#This Row],[SDate]]),5,1),vp.tbl[[#This Row],[SDate]]&lt;=DATE(YEAR(vp.tbl[[#This Row],[SDate]]),9,15)),1,0)</f>
        <v>0</v>
      </c>
      <c r="AQ618" s="15">
        <f>IF(vp.tbl[[#This Row],[SDate]]&lt;DATE(2016,12,1),0,1)</f>
        <v>1</v>
      </c>
    </row>
    <row r="619" spans="1:43" x14ac:dyDescent="0.25">
      <c r="A619">
        <v>618</v>
      </c>
      <c r="B619" t="s">
        <v>60</v>
      </c>
      <c r="C619" t="s">
        <v>60</v>
      </c>
      <c r="D619" t="s">
        <v>61</v>
      </c>
      <c r="E619" t="s">
        <v>73</v>
      </c>
      <c r="F619" s="1">
        <v>42754</v>
      </c>
      <c r="G619" s="2">
        <v>78.900000000000006</v>
      </c>
      <c r="H619" s="2"/>
      <c r="I619" s="2">
        <v>1.23</v>
      </c>
      <c r="J619" s="2">
        <v>5.4</v>
      </c>
      <c r="K619" s="2">
        <v>1</v>
      </c>
      <c r="L619" s="2">
        <v>845</v>
      </c>
      <c r="M619" s="2">
        <v>845</v>
      </c>
      <c r="N619" s="2">
        <f ca="1">INDEX(INDIRECT(_xlfn.CONCAT("weather.tbl[",N$1,"]")),MATCH(vp.tbl[[#This Row],[SDate]],weather.tbl[Date],0))</f>
        <v>-1.4166666666666667</v>
      </c>
      <c r="O619" s="2">
        <f ca="1">INDEX(INDIRECT(_xlfn.CONCAT("weather.tbl[",O$1,"]")),MATCH(vp.tbl[[#This Row],[SDate]],weather.tbl[Date],0))</f>
        <v>-9.8166666666666682</v>
      </c>
      <c r="P619" s="2">
        <f ca="1">INDEX(INDIRECT(_xlfn.CONCAT("weather.tbl[",P$1,"]")),MATCH(vp.tbl[[#This Row],[SDate]],weather.tbl[Date],0))</f>
        <v>-2.2000000000000002</v>
      </c>
      <c r="Q619" s="2">
        <f ca="1">INDEX(INDIRECT(_xlfn.CONCAT("weather.tbl[",Q$1,"]")),MATCH(vp.tbl[[#This Row],[SDate]],weather.tbl[Date],0))</f>
        <v>-2.4</v>
      </c>
      <c r="R619" s="2">
        <f ca="1">INDEX(INDIRECT(_xlfn.CONCAT("weather.tbl[",R$1,"]")),MATCH(vp.tbl[[#This Row],[SDate]],weather.tbl[Date],0))</f>
        <v>-1.8</v>
      </c>
      <c r="S619" s="2">
        <f ca="1">INDEX(INDIRECT(_xlfn.CONCAT("weather.tbl[",S$1,"]")),MATCH(vp.tbl[[#This Row],[SDate]],weather.tbl[Date],0))</f>
        <v>0.2</v>
      </c>
      <c r="T619" s="2">
        <f ca="1">INDEX(INDIRECT(_xlfn.CONCAT("weather.tbl[",T$1,"]")),MATCH(vp.tbl[[#This Row],[SDate]],weather.tbl[Date],0))</f>
        <v>-3.8</v>
      </c>
      <c r="U619" s="2">
        <f ca="1">INDEX(INDIRECT(_xlfn.CONCAT("weather.tbl[",U$1,"]")),MATCH(vp.tbl[[#This Row],[SDate]],weather.tbl[Date],0))</f>
        <v>1.5</v>
      </c>
      <c r="V619" s="2">
        <v>105136.144</v>
      </c>
      <c r="W619" t="s">
        <v>48</v>
      </c>
      <c r="X619">
        <f>IF(OR(vp.tbl[[#This Row],[Sulf]]="",vp.tbl[[#This Row],[Dens]]=""),1,0)</f>
        <v>0</v>
      </c>
      <c r="Y619">
        <f>IF(vp.tbl[[#This Row],[CrudeType]]="C5+",1,0)</f>
        <v>0</v>
      </c>
      <c r="Z619">
        <f>IF(AND(vp.tbl[[#This Row],[CrudeType]]="Crude",vp.tbl[[#This Row],[Dens]]&lt;=825,vp.tbl[[#This Row],[Sulf]]&gt;0.5,vp.tbl[[#This Row],[Unknown]]=0),1,0)</f>
        <v>0</v>
      </c>
      <c r="AA619">
        <f>IF(AND(vp.tbl[[#This Row],[CrudeType]]="Crude",vp.tbl[[#This Row],[Dens]]&lt;=825,vp.tbl[[#This Row],[Sulf]]&lt;=0.5,vp.tbl[[#This Row],[Unknown]]=0),1,0)</f>
        <v>0</v>
      </c>
      <c r="AB619">
        <f>IF(AND(vp.tbl[[#This Row],[CrudeType]]="Crude",vp.tbl[[#This Row],[Dens]]&gt;825,vp.tbl[[#This Row],[Dens]]&lt;=870,vp.tbl[[#This Row],[Sulf]]&gt;0.5,vp.tbl[[#This Row],[Unknown]]=0),1,0)</f>
        <v>1</v>
      </c>
      <c r="AC619">
        <f>IF(AND(vp.tbl[[#This Row],[CrudeType]]="Crude",vp.tbl[[#This Row],[Dens]]&gt;825,vp.tbl[[#This Row],[Dens]]&lt;=900,vp.tbl[[#This Row],[Sulf]]&lt;=0.5,vp.tbl[[#This Row],[Unknown]]=0),1,0)</f>
        <v>0</v>
      </c>
      <c r="AD619">
        <f>IF(AND(vp.tbl[[#This Row],[CrudeType]]="Crude",vp.tbl[[#This Row],[Dens]]&gt;870,vp.tbl[[#This Row],[Dens]]&lt;=900,vp.tbl[[#This Row],[Sulf]]&gt;0.5,vp.tbl[[#This Row],[Unknown]]=0),1,0)</f>
        <v>0</v>
      </c>
      <c r="AE619">
        <f>IF(AND(vp.tbl[[#This Row],[CrudeType]]="Crude",vp.tbl[[#This Row],[Dens]]&gt;900,vp.tbl[[#This Row],[Sulf]]&lt;=0.5,vp.tbl[[#This Row],[Unknown]]=0),1,0)</f>
        <v>0</v>
      </c>
      <c r="AF619">
        <f>IF(AND(vp.tbl[[#This Row],[CrudeType]]="Crude",vp.tbl[[#This Row],[Dens]]&gt;900,vp.tbl[[#This Row],[Sulf]]&lt;=0.5,vp.tbl[[#This Row],[Unknown]]=0),1,0)</f>
        <v>0</v>
      </c>
      <c r="AG619" t="str">
        <f>INDEX(vp.tbl[[#Headers],[Unknown]:[Heavy_SW]],MATCH(1,vp.tbl[[#This Row],[Unknown]:[Heavy_SW]],0))</f>
        <v>Medium_LSB</v>
      </c>
      <c r="AH619" t="e">
        <f>INDEX([1]!crudeBD.lkup[Number],MATCH(vp.tbl[[#This Row],[Crude_Breakdown]],[1]!crudeBD.lkup[Crude Breakdown],0))</f>
        <v>#REF!</v>
      </c>
      <c r="AI619">
        <f>MONTH(vp.tbl[[#This Row],[SDate]])</f>
        <v>1</v>
      </c>
      <c r="AJ619" s="5">
        <f>IFERROR(vp.tbl[[#This Row],[Sulf]]*vp.tbl[[#This Row],[Net Dens]],"")</f>
        <v>109273251.26640001</v>
      </c>
      <c r="AK619" s="5">
        <f>IFERROR(vp.tbl[[#This Row],[Dens]]*vp.tbl[[#This Row],[VolumeM3]],"")</f>
        <v>88840041.680000007</v>
      </c>
      <c r="AL619" s="5">
        <f>IFERROR(vp.tbl[[#This Row],[VP]]*vp.tbl[[#This Row],[VolumeM3]],"")</f>
        <v>8295241.7616000008</v>
      </c>
      <c r="AM619" s="4">
        <f>IFERROR((vp.tbl[[#This Row],[VP]]-INDEX(crudeBD.lkup.complete[Mean_VP],MATCH(vp.tbl[[#This Row],[Crude_Breakdown]],crudeBD.lkup.complete[Crude Breakdown],0)))^2,"")</f>
        <v>1.6220440628103385</v>
      </c>
      <c r="AN619" s="4">
        <f>IFERROR((vp.tbl[[#This Row],[Dens]]-INDEX(crudeBD.lkup.complete[Mean_Dens],MATCH(vp.tbl[[#This Row],[Crude_Breakdown]],crudeBD.lkup.complete[Crude Breakdown],0)))^2,"")</f>
        <v>8.5160537733762753E-2</v>
      </c>
      <c r="AO619" s="4">
        <f>IFERROR((vp.tbl[[#This Row],[Sulf]]-INDEX(crudeBD.lkup.complete[Mean_Sulf],MATCH(vp.tbl[[#This Row],[Crude_Breakdown]],crudeBD.lkup.complete[Crude Breakdown],0)))^2,"")</f>
        <v>5.0593442261285884E-2</v>
      </c>
      <c r="AP619">
        <f>IF(AND(vp.tbl[[#This Row],[SDate]]&gt;=DATE(YEAR(vp.tbl[[#This Row],[SDate]]),5,1),vp.tbl[[#This Row],[SDate]]&lt;=DATE(YEAR(vp.tbl[[#This Row],[SDate]]),9,15)),1,0)</f>
        <v>0</v>
      </c>
      <c r="AQ619" s="15">
        <f>IF(vp.tbl[[#This Row],[SDate]]&lt;DATE(2016,12,1),0,1)</f>
        <v>1</v>
      </c>
    </row>
    <row r="620" spans="1:43" x14ac:dyDescent="0.25">
      <c r="A620">
        <v>619</v>
      </c>
      <c r="B620" t="s">
        <v>108</v>
      </c>
      <c r="C620" t="s">
        <v>108</v>
      </c>
      <c r="D620" t="s">
        <v>139</v>
      </c>
      <c r="F620" s="1">
        <v>42754</v>
      </c>
      <c r="G620" s="2">
        <v>76.7</v>
      </c>
      <c r="H620" s="2"/>
      <c r="I620" s="2">
        <v>0.67</v>
      </c>
      <c r="J620" s="2">
        <v>23.7</v>
      </c>
      <c r="K620" s="2">
        <v>1</v>
      </c>
      <c r="L620" s="2">
        <v>822.1</v>
      </c>
      <c r="M620" s="2">
        <v>822.1</v>
      </c>
      <c r="N620" s="2">
        <f ca="1">INDEX(INDIRECT(_xlfn.CONCAT("weather.tbl[",N$1,"]")),MATCH(vp.tbl[[#This Row],[SDate]],weather.tbl[Date],0))</f>
        <v>-1.4166666666666667</v>
      </c>
      <c r="O620" s="2">
        <f ca="1">INDEX(INDIRECT(_xlfn.CONCAT("weather.tbl[",O$1,"]")),MATCH(vp.tbl[[#This Row],[SDate]],weather.tbl[Date],0))</f>
        <v>-9.8166666666666682</v>
      </c>
      <c r="P620" s="2">
        <f ca="1">INDEX(INDIRECT(_xlfn.CONCAT("weather.tbl[",P$1,"]")),MATCH(vp.tbl[[#This Row],[SDate]],weather.tbl[Date],0))</f>
        <v>-2.2000000000000002</v>
      </c>
      <c r="Q620" s="2">
        <f ca="1">INDEX(INDIRECT(_xlfn.CONCAT("weather.tbl[",Q$1,"]")),MATCH(vp.tbl[[#This Row],[SDate]],weather.tbl[Date],0))</f>
        <v>-2.4</v>
      </c>
      <c r="R620" s="2">
        <f ca="1">INDEX(INDIRECT(_xlfn.CONCAT("weather.tbl[",R$1,"]")),MATCH(vp.tbl[[#This Row],[SDate]],weather.tbl[Date],0))</f>
        <v>-1.8</v>
      </c>
      <c r="S620" s="2">
        <f ca="1">INDEX(INDIRECT(_xlfn.CONCAT("weather.tbl[",S$1,"]")),MATCH(vp.tbl[[#This Row],[SDate]],weather.tbl[Date],0))</f>
        <v>0.2</v>
      </c>
      <c r="T620" s="2">
        <f ca="1">INDEX(INDIRECT(_xlfn.CONCAT("weather.tbl[",T$1,"]")),MATCH(vp.tbl[[#This Row],[SDate]],weather.tbl[Date],0))</f>
        <v>-3.8</v>
      </c>
      <c r="U620" s="2">
        <f ca="1">INDEX(INDIRECT(_xlfn.CONCAT("weather.tbl[",U$1,"]")),MATCH(vp.tbl[[#This Row],[SDate]],weather.tbl[Date],0))</f>
        <v>1.5</v>
      </c>
      <c r="V620" s="2">
        <v>1727.8989999999999</v>
      </c>
      <c r="W620" t="s">
        <v>48</v>
      </c>
      <c r="X620">
        <f>IF(OR(vp.tbl[[#This Row],[Sulf]]="",vp.tbl[[#This Row],[Dens]]=""),1,0)</f>
        <v>0</v>
      </c>
      <c r="Y620">
        <f>IF(vp.tbl[[#This Row],[CrudeType]]="C5+",1,0)</f>
        <v>0</v>
      </c>
      <c r="Z620">
        <f>IF(AND(vp.tbl[[#This Row],[CrudeType]]="Crude",vp.tbl[[#This Row],[Dens]]&lt;=825,vp.tbl[[#This Row],[Sulf]]&gt;0.5,vp.tbl[[#This Row],[Unknown]]=0),1,0)</f>
        <v>1</v>
      </c>
      <c r="AA620">
        <f>IF(AND(vp.tbl[[#This Row],[CrudeType]]="Crude",vp.tbl[[#This Row],[Dens]]&lt;=825,vp.tbl[[#This Row],[Sulf]]&lt;=0.5,vp.tbl[[#This Row],[Unknown]]=0),1,0)</f>
        <v>0</v>
      </c>
      <c r="AB620">
        <f>IF(AND(vp.tbl[[#This Row],[CrudeType]]="Crude",vp.tbl[[#This Row],[Dens]]&gt;825,vp.tbl[[#This Row],[Dens]]&lt;=870,vp.tbl[[#This Row],[Sulf]]&gt;0.5,vp.tbl[[#This Row],[Unknown]]=0),1,0)</f>
        <v>0</v>
      </c>
      <c r="AC620">
        <f>IF(AND(vp.tbl[[#This Row],[CrudeType]]="Crude",vp.tbl[[#This Row],[Dens]]&gt;825,vp.tbl[[#This Row],[Dens]]&lt;=900,vp.tbl[[#This Row],[Sulf]]&lt;=0.5,vp.tbl[[#This Row],[Unknown]]=0),1,0)</f>
        <v>0</v>
      </c>
      <c r="AD620">
        <f>IF(AND(vp.tbl[[#This Row],[CrudeType]]="Crude",vp.tbl[[#This Row],[Dens]]&gt;870,vp.tbl[[#This Row],[Dens]]&lt;=900,vp.tbl[[#This Row],[Sulf]]&gt;0.5,vp.tbl[[#This Row],[Unknown]]=0),1,0)</f>
        <v>0</v>
      </c>
      <c r="AE620">
        <f>IF(AND(vp.tbl[[#This Row],[CrudeType]]="Crude",vp.tbl[[#This Row],[Dens]]&gt;900,vp.tbl[[#This Row],[Sulf]]&lt;=0.5,vp.tbl[[#This Row],[Unknown]]=0),1,0)</f>
        <v>0</v>
      </c>
      <c r="AF620">
        <f>IF(AND(vp.tbl[[#This Row],[CrudeType]]="Crude",vp.tbl[[#This Row],[Dens]]&gt;900,vp.tbl[[#This Row],[Sulf]]&lt;=0.5,vp.tbl[[#This Row],[Unknown]]=0),1,0)</f>
        <v>0</v>
      </c>
      <c r="AG620" t="str">
        <f>INDEX(vp.tbl[[#Headers],[Unknown]:[Heavy_SW]],MATCH(1,vp.tbl[[#This Row],[Unknown]:[Heavy_SW]],0))</f>
        <v>Light_LSB</v>
      </c>
      <c r="AH620" t="e">
        <f>INDEX([1]!crudeBD.lkup[Number],MATCH(vp.tbl[[#This Row],[Crude_Breakdown]],[1]!crudeBD.lkup[Crude Breakdown],0))</f>
        <v>#REF!</v>
      </c>
      <c r="AI620">
        <f>MONTH(vp.tbl[[#This Row],[SDate]])</f>
        <v>1</v>
      </c>
      <c r="AJ620" s="5">
        <f>IFERROR(vp.tbl[[#This Row],[Sulf]]*vp.tbl[[#This Row],[Net Dens]],"")</f>
        <v>951738.86449299997</v>
      </c>
      <c r="AK620" s="5">
        <f>IFERROR(vp.tbl[[#This Row],[Dens]]*vp.tbl[[#This Row],[VolumeM3]],"")</f>
        <v>1420505.7678999999</v>
      </c>
      <c r="AL620" s="5">
        <f>IFERROR(vp.tbl[[#This Row],[VP]]*vp.tbl[[#This Row],[VolumeM3]],"")</f>
        <v>132529.85329999999</v>
      </c>
      <c r="AM620" s="4">
        <f>IFERROR((vp.tbl[[#This Row],[VP]]-INDEX(crudeBD.lkup.complete[Mean_VP],MATCH(vp.tbl[[#This Row],[Crude_Breakdown]],crudeBD.lkup.complete[Crude Breakdown],0)))^2,"")</f>
        <v>220.40922589010606</v>
      </c>
      <c r="AN620" s="4">
        <f>IFERROR((vp.tbl[[#This Row],[Dens]]-INDEX(crudeBD.lkup.complete[Mean_Dens],MATCH(vp.tbl[[#This Row],[Crude_Breakdown]],crudeBD.lkup.complete[Crude Breakdown],0)))^2,"")</f>
        <v>12.839538956793193</v>
      </c>
      <c r="AO620" s="4">
        <f>IFERROR((vp.tbl[[#This Row],[Sulf]]-INDEX(crudeBD.lkup.complete[Mean_Sulf],MATCH(vp.tbl[[#This Row],[Crude_Breakdown]],crudeBD.lkup.complete[Crude Breakdown],0)))^2,"")</f>
        <v>6.3994412034011017E-2</v>
      </c>
      <c r="AP620">
        <f>IF(AND(vp.tbl[[#This Row],[SDate]]&gt;=DATE(YEAR(vp.tbl[[#This Row],[SDate]]),5,1),vp.tbl[[#This Row],[SDate]]&lt;=DATE(YEAR(vp.tbl[[#This Row],[SDate]]),9,15)),1,0)</f>
        <v>0</v>
      </c>
      <c r="AQ620" s="15">
        <f>IF(vp.tbl[[#This Row],[SDate]]&lt;DATE(2016,12,1),0,1)</f>
        <v>1</v>
      </c>
    </row>
    <row r="621" spans="1:43" x14ac:dyDescent="0.25">
      <c r="A621">
        <v>620</v>
      </c>
      <c r="B621" t="s">
        <v>51</v>
      </c>
      <c r="C621" t="s">
        <v>51</v>
      </c>
      <c r="D621" t="s">
        <v>66</v>
      </c>
      <c r="F621" s="1">
        <v>42754</v>
      </c>
      <c r="G621" s="2">
        <v>93.8</v>
      </c>
      <c r="H621" s="2"/>
      <c r="I621" s="2">
        <v>1.62</v>
      </c>
      <c r="J621" s="2">
        <v>2.5</v>
      </c>
      <c r="K621" s="2">
        <v>1</v>
      </c>
      <c r="L621" s="2">
        <v>825.3</v>
      </c>
      <c r="M621" s="2">
        <v>825.3</v>
      </c>
      <c r="N621" s="2">
        <f ca="1">INDEX(INDIRECT(_xlfn.CONCAT("weather.tbl[",N$1,"]")),MATCH(vp.tbl[[#This Row],[SDate]],weather.tbl[Date],0))</f>
        <v>-1.4166666666666667</v>
      </c>
      <c r="O621" s="2">
        <f ca="1">INDEX(INDIRECT(_xlfn.CONCAT("weather.tbl[",O$1,"]")),MATCH(vp.tbl[[#This Row],[SDate]],weather.tbl[Date],0))</f>
        <v>-9.8166666666666682</v>
      </c>
      <c r="P621" s="2">
        <f ca="1">INDEX(INDIRECT(_xlfn.CONCAT("weather.tbl[",P$1,"]")),MATCH(vp.tbl[[#This Row],[SDate]],weather.tbl[Date],0))</f>
        <v>-2.2000000000000002</v>
      </c>
      <c r="Q621" s="2">
        <f ca="1">INDEX(INDIRECT(_xlfn.CONCAT("weather.tbl[",Q$1,"]")),MATCH(vp.tbl[[#This Row],[SDate]],weather.tbl[Date],0))</f>
        <v>-2.4</v>
      </c>
      <c r="R621" s="2">
        <f ca="1">INDEX(INDIRECT(_xlfn.CONCAT("weather.tbl[",R$1,"]")),MATCH(vp.tbl[[#This Row],[SDate]],weather.tbl[Date],0))</f>
        <v>-1.8</v>
      </c>
      <c r="S621" s="2">
        <f ca="1">INDEX(INDIRECT(_xlfn.CONCAT("weather.tbl[",S$1,"]")),MATCH(vp.tbl[[#This Row],[SDate]],weather.tbl[Date],0))</f>
        <v>0.2</v>
      </c>
      <c r="T621" s="2">
        <f ca="1">INDEX(INDIRECT(_xlfn.CONCAT("weather.tbl[",T$1,"]")),MATCH(vp.tbl[[#This Row],[SDate]],weather.tbl[Date],0))</f>
        <v>-3.8</v>
      </c>
      <c r="U621" s="2">
        <f ca="1">INDEX(INDIRECT(_xlfn.CONCAT("weather.tbl[",U$1,"]")),MATCH(vp.tbl[[#This Row],[SDate]],weather.tbl[Date],0))</f>
        <v>1.5</v>
      </c>
      <c r="V621" s="2">
        <v>3297.86</v>
      </c>
      <c r="W621" t="s">
        <v>48</v>
      </c>
      <c r="X621">
        <f>IF(OR(vp.tbl[[#This Row],[Sulf]]="",vp.tbl[[#This Row],[Dens]]=""),1,0)</f>
        <v>0</v>
      </c>
      <c r="Y621">
        <f>IF(vp.tbl[[#This Row],[CrudeType]]="C5+",1,0)</f>
        <v>0</v>
      </c>
      <c r="Z621">
        <f>IF(AND(vp.tbl[[#This Row],[CrudeType]]="Crude",vp.tbl[[#This Row],[Dens]]&lt;=825,vp.tbl[[#This Row],[Sulf]]&gt;0.5,vp.tbl[[#This Row],[Unknown]]=0),1,0)</f>
        <v>0</v>
      </c>
      <c r="AA621">
        <f>IF(AND(vp.tbl[[#This Row],[CrudeType]]="Crude",vp.tbl[[#This Row],[Dens]]&lt;=825,vp.tbl[[#This Row],[Sulf]]&lt;=0.5,vp.tbl[[#This Row],[Unknown]]=0),1,0)</f>
        <v>0</v>
      </c>
      <c r="AB621">
        <f>IF(AND(vp.tbl[[#This Row],[CrudeType]]="Crude",vp.tbl[[#This Row],[Dens]]&gt;825,vp.tbl[[#This Row],[Dens]]&lt;=870,vp.tbl[[#This Row],[Sulf]]&gt;0.5,vp.tbl[[#This Row],[Unknown]]=0),1,0)</f>
        <v>1</v>
      </c>
      <c r="AC621">
        <f>IF(AND(vp.tbl[[#This Row],[CrudeType]]="Crude",vp.tbl[[#This Row],[Dens]]&gt;825,vp.tbl[[#This Row],[Dens]]&lt;=900,vp.tbl[[#This Row],[Sulf]]&lt;=0.5,vp.tbl[[#This Row],[Unknown]]=0),1,0)</f>
        <v>0</v>
      </c>
      <c r="AD621">
        <f>IF(AND(vp.tbl[[#This Row],[CrudeType]]="Crude",vp.tbl[[#This Row],[Dens]]&gt;870,vp.tbl[[#This Row],[Dens]]&lt;=900,vp.tbl[[#This Row],[Sulf]]&gt;0.5,vp.tbl[[#This Row],[Unknown]]=0),1,0)</f>
        <v>0</v>
      </c>
      <c r="AE621">
        <f>IF(AND(vp.tbl[[#This Row],[CrudeType]]="Crude",vp.tbl[[#This Row],[Dens]]&gt;900,vp.tbl[[#This Row],[Sulf]]&lt;=0.5,vp.tbl[[#This Row],[Unknown]]=0),1,0)</f>
        <v>0</v>
      </c>
      <c r="AF621">
        <f>IF(AND(vp.tbl[[#This Row],[CrudeType]]="Crude",vp.tbl[[#This Row],[Dens]]&gt;900,vp.tbl[[#This Row],[Sulf]]&lt;=0.5,vp.tbl[[#This Row],[Unknown]]=0),1,0)</f>
        <v>0</v>
      </c>
      <c r="AG621" t="str">
        <f>INDEX(vp.tbl[[#Headers],[Unknown]:[Heavy_SW]],MATCH(1,vp.tbl[[#This Row],[Unknown]:[Heavy_SW]],0))</f>
        <v>Medium_LSB</v>
      </c>
      <c r="AH621" t="e">
        <f>INDEX([1]!crudeBD.lkup[Number],MATCH(vp.tbl[[#This Row],[Crude_Breakdown]],[1]!crudeBD.lkup[Crude Breakdown],0))</f>
        <v>#REF!</v>
      </c>
      <c r="AI621">
        <f>MONTH(vp.tbl[[#This Row],[SDate]])</f>
        <v>1</v>
      </c>
      <c r="AJ621" s="5">
        <f>IFERROR(vp.tbl[[#This Row],[Sulf]]*vp.tbl[[#This Row],[Net Dens]],"")</f>
        <v>4409192.6499600001</v>
      </c>
      <c r="AK621" s="5">
        <f>IFERROR(vp.tbl[[#This Row],[Dens]]*vp.tbl[[#This Row],[VolumeM3]],"")</f>
        <v>2721723.858</v>
      </c>
      <c r="AL621" s="5">
        <f>IFERROR(vp.tbl[[#This Row],[VP]]*vp.tbl[[#This Row],[VolumeM3]],"")</f>
        <v>309339.26799999998</v>
      </c>
      <c r="AM621" s="4">
        <f>IFERROR((vp.tbl[[#This Row],[VP]]-INDEX(crudeBD.lkup.complete[Mean_VP],MATCH(vp.tbl[[#This Row],[Crude_Breakdown]],crudeBD.lkup.complete[Crude Breakdown],0)))^2,"")</f>
        <v>185.67891494888732</v>
      </c>
      <c r="AN621" s="4">
        <f>IFERROR((vp.tbl[[#This Row],[Dens]]-INDEX(crudeBD.lkup.complete[Mean_Dens],MATCH(vp.tbl[[#This Row],[Crude_Breakdown]],crudeBD.lkup.complete[Crude Breakdown],0)))^2,"")</f>
        <v>399.67297825921577</v>
      </c>
      <c r="AO621" s="4">
        <f>IFERROR((vp.tbl[[#This Row],[Sulf]]-INDEX(crudeBD.lkup.complete[Mean_Sulf],MATCH(vp.tbl[[#This Row],[Crude_Breakdown]],crudeBD.lkup.complete[Crude Breakdown],0)))^2,"")</f>
        <v>2.7248150868879693E-2</v>
      </c>
      <c r="AP621">
        <f>IF(AND(vp.tbl[[#This Row],[SDate]]&gt;=DATE(YEAR(vp.tbl[[#This Row],[SDate]]),5,1),vp.tbl[[#This Row],[SDate]]&lt;=DATE(YEAR(vp.tbl[[#This Row],[SDate]]),9,15)),1,0)</f>
        <v>0</v>
      </c>
      <c r="AQ621" s="15">
        <f>IF(vp.tbl[[#This Row],[SDate]]&lt;DATE(2016,12,1),0,1)</f>
        <v>1</v>
      </c>
    </row>
    <row r="622" spans="1:43" x14ac:dyDescent="0.25">
      <c r="A622">
        <v>621</v>
      </c>
      <c r="B622" t="s">
        <v>51</v>
      </c>
      <c r="C622" t="s">
        <v>51</v>
      </c>
      <c r="D622" t="s">
        <v>140</v>
      </c>
      <c r="F622" s="1">
        <v>42754</v>
      </c>
      <c r="G622" s="2">
        <v>93</v>
      </c>
      <c r="H622" s="2"/>
      <c r="I622" s="2">
        <v>0.54</v>
      </c>
      <c r="J622" s="2">
        <v>8.5</v>
      </c>
      <c r="K622" s="2">
        <v>1</v>
      </c>
      <c r="L622" s="2">
        <v>826.4</v>
      </c>
      <c r="M622" s="2">
        <v>826.4</v>
      </c>
      <c r="N622" s="2">
        <f ca="1">INDEX(INDIRECT(_xlfn.CONCAT("weather.tbl[",N$1,"]")),MATCH(vp.tbl[[#This Row],[SDate]],weather.tbl[Date],0))</f>
        <v>-1.4166666666666667</v>
      </c>
      <c r="O622" s="2">
        <f ca="1">INDEX(INDIRECT(_xlfn.CONCAT("weather.tbl[",O$1,"]")),MATCH(vp.tbl[[#This Row],[SDate]],weather.tbl[Date],0))</f>
        <v>-9.8166666666666682</v>
      </c>
      <c r="P622" s="2">
        <f ca="1">INDEX(INDIRECT(_xlfn.CONCAT("weather.tbl[",P$1,"]")),MATCH(vp.tbl[[#This Row],[SDate]],weather.tbl[Date],0))</f>
        <v>-2.2000000000000002</v>
      </c>
      <c r="Q622" s="2">
        <f ca="1">INDEX(INDIRECT(_xlfn.CONCAT("weather.tbl[",Q$1,"]")),MATCH(vp.tbl[[#This Row],[SDate]],weather.tbl[Date],0))</f>
        <v>-2.4</v>
      </c>
      <c r="R622" s="2">
        <f ca="1">INDEX(INDIRECT(_xlfn.CONCAT("weather.tbl[",R$1,"]")),MATCH(vp.tbl[[#This Row],[SDate]],weather.tbl[Date],0))</f>
        <v>-1.8</v>
      </c>
      <c r="S622" s="2">
        <f ca="1">INDEX(INDIRECT(_xlfn.CONCAT("weather.tbl[",S$1,"]")),MATCH(vp.tbl[[#This Row],[SDate]],weather.tbl[Date],0))</f>
        <v>0.2</v>
      </c>
      <c r="T622" s="2">
        <f ca="1">INDEX(INDIRECT(_xlfn.CONCAT("weather.tbl[",T$1,"]")),MATCH(vp.tbl[[#This Row],[SDate]],weather.tbl[Date],0))</f>
        <v>-3.8</v>
      </c>
      <c r="U622" s="2">
        <f ca="1">INDEX(INDIRECT(_xlfn.CONCAT("weather.tbl[",U$1,"]")),MATCH(vp.tbl[[#This Row],[SDate]],weather.tbl[Date],0))</f>
        <v>1.5</v>
      </c>
      <c r="V622" s="2">
        <v>420.01900000000001</v>
      </c>
      <c r="W622" t="s">
        <v>48</v>
      </c>
      <c r="X622">
        <f>IF(OR(vp.tbl[[#This Row],[Sulf]]="",vp.tbl[[#This Row],[Dens]]=""),1,0)</f>
        <v>0</v>
      </c>
      <c r="Y622">
        <f>IF(vp.tbl[[#This Row],[CrudeType]]="C5+",1,0)</f>
        <v>0</v>
      </c>
      <c r="Z622">
        <f>IF(AND(vp.tbl[[#This Row],[CrudeType]]="Crude",vp.tbl[[#This Row],[Dens]]&lt;=825,vp.tbl[[#This Row],[Sulf]]&gt;0.5,vp.tbl[[#This Row],[Unknown]]=0),1,0)</f>
        <v>0</v>
      </c>
      <c r="AA622">
        <f>IF(AND(vp.tbl[[#This Row],[CrudeType]]="Crude",vp.tbl[[#This Row],[Dens]]&lt;=825,vp.tbl[[#This Row],[Sulf]]&lt;=0.5,vp.tbl[[#This Row],[Unknown]]=0),1,0)</f>
        <v>0</v>
      </c>
      <c r="AB622">
        <f>IF(AND(vp.tbl[[#This Row],[CrudeType]]="Crude",vp.tbl[[#This Row],[Dens]]&gt;825,vp.tbl[[#This Row],[Dens]]&lt;=870,vp.tbl[[#This Row],[Sulf]]&gt;0.5,vp.tbl[[#This Row],[Unknown]]=0),1,0)</f>
        <v>1</v>
      </c>
      <c r="AC622">
        <f>IF(AND(vp.tbl[[#This Row],[CrudeType]]="Crude",vp.tbl[[#This Row],[Dens]]&gt;825,vp.tbl[[#This Row],[Dens]]&lt;=900,vp.tbl[[#This Row],[Sulf]]&lt;=0.5,vp.tbl[[#This Row],[Unknown]]=0),1,0)</f>
        <v>0</v>
      </c>
      <c r="AD622">
        <f>IF(AND(vp.tbl[[#This Row],[CrudeType]]="Crude",vp.tbl[[#This Row],[Dens]]&gt;870,vp.tbl[[#This Row],[Dens]]&lt;=900,vp.tbl[[#This Row],[Sulf]]&gt;0.5,vp.tbl[[#This Row],[Unknown]]=0),1,0)</f>
        <v>0</v>
      </c>
      <c r="AE622">
        <f>IF(AND(vp.tbl[[#This Row],[CrudeType]]="Crude",vp.tbl[[#This Row],[Dens]]&gt;900,vp.tbl[[#This Row],[Sulf]]&lt;=0.5,vp.tbl[[#This Row],[Unknown]]=0),1,0)</f>
        <v>0</v>
      </c>
      <c r="AF622">
        <f>IF(AND(vp.tbl[[#This Row],[CrudeType]]="Crude",vp.tbl[[#This Row],[Dens]]&gt;900,vp.tbl[[#This Row],[Sulf]]&lt;=0.5,vp.tbl[[#This Row],[Unknown]]=0),1,0)</f>
        <v>0</v>
      </c>
      <c r="AG622" t="str">
        <f>INDEX(vp.tbl[[#Headers],[Unknown]:[Heavy_SW]],MATCH(1,vp.tbl[[#This Row],[Unknown]:[Heavy_SW]],0))</f>
        <v>Medium_LSB</v>
      </c>
      <c r="AH622" t="e">
        <f>INDEX([1]!crudeBD.lkup[Number],MATCH(vp.tbl[[#This Row],[Crude_Breakdown]],[1]!crudeBD.lkup[Crude Breakdown],0))</f>
        <v>#REF!</v>
      </c>
      <c r="AI622">
        <f>MONTH(vp.tbl[[#This Row],[SDate]])</f>
        <v>1</v>
      </c>
      <c r="AJ622" s="5">
        <f>IFERROR(vp.tbl[[#This Row],[Sulf]]*vp.tbl[[#This Row],[Net Dens]],"")</f>
        <v>187435.99886399999</v>
      </c>
      <c r="AK622" s="5">
        <f>IFERROR(vp.tbl[[#This Row],[Dens]]*vp.tbl[[#This Row],[VolumeM3]],"")</f>
        <v>347103.70159999997</v>
      </c>
      <c r="AL622" s="5">
        <f>IFERROR(vp.tbl[[#This Row],[VP]]*vp.tbl[[#This Row],[VolumeM3]],"")</f>
        <v>39061.767</v>
      </c>
      <c r="AM622" s="4">
        <f>IFERROR((vp.tbl[[#This Row],[VP]]-INDEX(crudeBD.lkup.complete[Mean_VP],MATCH(vp.tbl[[#This Row],[Crude_Breakdown]],crudeBD.lkup.complete[Crude Breakdown],0)))^2,"")</f>
        <v>164.51666684762151</v>
      </c>
      <c r="AN622" s="4">
        <f>IFERROR((vp.tbl[[#This Row],[Dens]]-INDEX(crudeBD.lkup.complete[Mean_Dens],MATCH(vp.tbl[[#This Row],[Crude_Breakdown]],crudeBD.lkup.complete[Crude Breakdown],0)))^2,"")</f>
        <v>356.90096813263472</v>
      </c>
      <c r="AO622" s="4">
        <f>IFERROR((vp.tbl[[#This Row],[Sulf]]-INDEX(crudeBD.lkup.complete[Mean_Sulf],MATCH(vp.tbl[[#This Row],[Crude_Breakdown]],crudeBD.lkup.complete[Crude Breakdown],0)))^2,"")</f>
        <v>0.83709665010938916</v>
      </c>
      <c r="AP622">
        <f>IF(AND(vp.tbl[[#This Row],[SDate]]&gt;=DATE(YEAR(vp.tbl[[#This Row],[SDate]]),5,1),vp.tbl[[#This Row],[SDate]]&lt;=DATE(YEAR(vp.tbl[[#This Row],[SDate]]),9,15)),1,0)</f>
        <v>0</v>
      </c>
      <c r="AQ622" s="15">
        <f>IF(vp.tbl[[#This Row],[SDate]]&lt;DATE(2016,12,1),0,1)</f>
        <v>1</v>
      </c>
    </row>
    <row r="623" spans="1:43" x14ac:dyDescent="0.25">
      <c r="A623">
        <v>622</v>
      </c>
      <c r="B623" t="s">
        <v>96</v>
      </c>
      <c r="C623" t="s">
        <v>96</v>
      </c>
      <c r="D623" t="s">
        <v>97</v>
      </c>
      <c r="F623" s="1">
        <v>42754</v>
      </c>
      <c r="G623" s="2">
        <v>72.2</v>
      </c>
      <c r="H623" s="2"/>
      <c r="I623" s="2">
        <v>0.79</v>
      </c>
      <c r="J623" s="2">
        <v>33.700000000000003</v>
      </c>
      <c r="K623" s="2">
        <v>1</v>
      </c>
      <c r="L623" s="2">
        <v>828.7</v>
      </c>
      <c r="M623" s="2">
        <v>828.7</v>
      </c>
      <c r="N623" s="2">
        <f ca="1">INDEX(INDIRECT(_xlfn.CONCAT("weather.tbl[",N$1,"]")),MATCH(vp.tbl[[#This Row],[SDate]],weather.tbl[Date],0))</f>
        <v>-1.4166666666666667</v>
      </c>
      <c r="O623" s="2">
        <f ca="1">INDEX(INDIRECT(_xlfn.CONCAT("weather.tbl[",O$1,"]")),MATCH(vp.tbl[[#This Row],[SDate]],weather.tbl[Date],0))</f>
        <v>-9.8166666666666682</v>
      </c>
      <c r="P623" s="2">
        <f ca="1">INDEX(INDIRECT(_xlfn.CONCAT("weather.tbl[",P$1,"]")),MATCH(vp.tbl[[#This Row],[SDate]],weather.tbl[Date],0))</f>
        <v>-2.2000000000000002</v>
      </c>
      <c r="Q623" s="2">
        <f ca="1">INDEX(INDIRECT(_xlfn.CONCAT("weather.tbl[",Q$1,"]")),MATCH(vp.tbl[[#This Row],[SDate]],weather.tbl[Date],0))</f>
        <v>-2.4</v>
      </c>
      <c r="R623" s="2">
        <f ca="1">INDEX(INDIRECT(_xlfn.CONCAT("weather.tbl[",R$1,"]")),MATCH(vp.tbl[[#This Row],[SDate]],weather.tbl[Date],0))</f>
        <v>-1.8</v>
      </c>
      <c r="S623" s="2">
        <f ca="1">INDEX(INDIRECT(_xlfn.CONCAT("weather.tbl[",S$1,"]")),MATCH(vp.tbl[[#This Row],[SDate]],weather.tbl[Date],0))</f>
        <v>0.2</v>
      </c>
      <c r="T623" s="2">
        <f ca="1">INDEX(INDIRECT(_xlfn.CONCAT("weather.tbl[",T$1,"]")),MATCH(vp.tbl[[#This Row],[SDate]],weather.tbl[Date],0))</f>
        <v>-3.8</v>
      </c>
      <c r="U623" s="2">
        <f ca="1">INDEX(INDIRECT(_xlfn.CONCAT("weather.tbl[",U$1,"]")),MATCH(vp.tbl[[#This Row],[SDate]],weather.tbl[Date],0))</f>
        <v>1.5</v>
      </c>
      <c r="V623" s="2">
        <v>8927.0429999999997</v>
      </c>
      <c r="W623" t="s">
        <v>48</v>
      </c>
      <c r="X623">
        <f>IF(OR(vp.tbl[[#This Row],[Sulf]]="",vp.tbl[[#This Row],[Dens]]=""),1,0)</f>
        <v>0</v>
      </c>
      <c r="Y623">
        <f>IF(vp.tbl[[#This Row],[CrudeType]]="C5+",1,0)</f>
        <v>0</v>
      </c>
      <c r="Z623">
        <f>IF(AND(vp.tbl[[#This Row],[CrudeType]]="Crude",vp.tbl[[#This Row],[Dens]]&lt;=825,vp.tbl[[#This Row],[Sulf]]&gt;0.5,vp.tbl[[#This Row],[Unknown]]=0),1,0)</f>
        <v>0</v>
      </c>
      <c r="AA623">
        <f>IF(AND(vp.tbl[[#This Row],[CrudeType]]="Crude",vp.tbl[[#This Row],[Dens]]&lt;=825,vp.tbl[[#This Row],[Sulf]]&lt;=0.5,vp.tbl[[#This Row],[Unknown]]=0),1,0)</f>
        <v>0</v>
      </c>
      <c r="AB623">
        <f>IF(AND(vp.tbl[[#This Row],[CrudeType]]="Crude",vp.tbl[[#This Row],[Dens]]&gt;825,vp.tbl[[#This Row],[Dens]]&lt;=870,vp.tbl[[#This Row],[Sulf]]&gt;0.5,vp.tbl[[#This Row],[Unknown]]=0),1,0)</f>
        <v>1</v>
      </c>
      <c r="AC623">
        <f>IF(AND(vp.tbl[[#This Row],[CrudeType]]="Crude",vp.tbl[[#This Row],[Dens]]&gt;825,vp.tbl[[#This Row],[Dens]]&lt;=900,vp.tbl[[#This Row],[Sulf]]&lt;=0.5,vp.tbl[[#This Row],[Unknown]]=0),1,0)</f>
        <v>0</v>
      </c>
      <c r="AD623">
        <f>IF(AND(vp.tbl[[#This Row],[CrudeType]]="Crude",vp.tbl[[#This Row],[Dens]]&gt;870,vp.tbl[[#This Row],[Dens]]&lt;=900,vp.tbl[[#This Row],[Sulf]]&gt;0.5,vp.tbl[[#This Row],[Unknown]]=0),1,0)</f>
        <v>0</v>
      </c>
      <c r="AE623">
        <f>IF(AND(vp.tbl[[#This Row],[CrudeType]]="Crude",vp.tbl[[#This Row],[Dens]]&gt;900,vp.tbl[[#This Row],[Sulf]]&lt;=0.5,vp.tbl[[#This Row],[Unknown]]=0),1,0)</f>
        <v>0</v>
      </c>
      <c r="AF623">
        <f>IF(AND(vp.tbl[[#This Row],[CrudeType]]="Crude",vp.tbl[[#This Row],[Dens]]&gt;900,vp.tbl[[#This Row],[Sulf]]&lt;=0.5,vp.tbl[[#This Row],[Unknown]]=0),1,0)</f>
        <v>0</v>
      </c>
      <c r="AG623" t="str">
        <f>INDEX(vp.tbl[[#Headers],[Unknown]:[Heavy_SW]],MATCH(1,vp.tbl[[#This Row],[Unknown]:[Heavy_SW]],0))</f>
        <v>Medium_LSB</v>
      </c>
      <c r="AH623" t="e">
        <f>INDEX([1]!crudeBD.lkup[Number],MATCH(vp.tbl[[#This Row],[Crude_Breakdown]],[1]!crudeBD.lkup[Crude Breakdown],0))</f>
        <v>#REF!</v>
      </c>
      <c r="AI623">
        <f>MONTH(vp.tbl[[#This Row],[SDate]])</f>
        <v>1</v>
      </c>
      <c r="AJ623" s="5">
        <f>IFERROR(vp.tbl[[#This Row],[Sulf]]*vp.tbl[[#This Row],[Net Dens]],"")</f>
        <v>5844294.0219390001</v>
      </c>
      <c r="AK623" s="5">
        <f>IFERROR(vp.tbl[[#This Row],[Dens]]*vp.tbl[[#This Row],[VolumeM3]],"")</f>
        <v>7397840.5340999998</v>
      </c>
      <c r="AL623" s="5">
        <f>IFERROR(vp.tbl[[#This Row],[VP]]*vp.tbl[[#This Row],[VolumeM3]],"")</f>
        <v>644532.50459999999</v>
      </c>
      <c r="AM623" s="4">
        <f>IFERROR((vp.tbl[[#This Row],[VP]]-INDEX(crudeBD.lkup.complete[Mean_VP],MATCH(vp.tbl[[#This Row],[Crude_Breakdown]],crudeBD.lkup.complete[Crude Breakdown],0)))^2,"")</f>
        <v>63.578216214708547</v>
      </c>
      <c r="AN623" s="4">
        <f>IFERROR((vp.tbl[[#This Row],[Dens]]-INDEX(crudeBD.lkup.complete[Mean_Dens],MATCH(vp.tbl[[#This Row],[Crude_Breakdown]],crudeBD.lkup.complete[Crude Breakdown],0)))^2,"")</f>
        <v>275.28858332251031</v>
      </c>
      <c r="AO623" s="4">
        <f>IFERROR((vp.tbl[[#This Row],[Sulf]]-INDEX(crudeBD.lkup.complete[Mean_Sulf],MATCH(vp.tbl[[#This Row],[Crude_Breakdown]],crudeBD.lkup.complete[Crude Breakdown],0)))^2,"")</f>
        <v>0.44213171972964155</v>
      </c>
      <c r="AP623">
        <f>IF(AND(vp.tbl[[#This Row],[SDate]]&gt;=DATE(YEAR(vp.tbl[[#This Row],[SDate]]),5,1),vp.tbl[[#This Row],[SDate]]&lt;=DATE(YEAR(vp.tbl[[#This Row],[SDate]]),9,15)),1,0)</f>
        <v>0</v>
      </c>
      <c r="AQ623" s="15">
        <f>IF(vp.tbl[[#This Row],[SDate]]&lt;DATE(2016,12,1),0,1)</f>
        <v>1</v>
      </c>
    </row>
    <row r="624" spans="1:43" x14ac:dyDescent="0.25">
      <c r="A624">
        <v>623</v>
      </c>
      <c r="B624" t="s">
        <v>51</v>
      </c>
      <c r="C624" t="s">
        <v>51</v>
      </c>
      <c r="D624" t="s">
        <v>141</v>
      </c>
      <c r="F624" s="1">
        <v>42754</v>
      </c>
      <c r="G624" s="2">
        <v>73.400000000000006</v>
      </c>
      <c r="H624" s="2"/>
      <c r="I624" s="2">
        <v>0.69</v>
      </c>
      <c r="J624" s="2">
        <v>9.4</v>
      </c>
      <c r="K624" s="2">
        <v>1</v>
      </c>
      <c r="L624" s="2">
        <v>828.9</v>
      </c>
      <c r="M624" s="2">
        <v>828.9</v>
      </c>
      <c r="N624" s="2">
        <f ca="1">INDEX(INDIRECT(_xlfn.CONCAT("weather.tbl[",N$1,"]")),MATCH(vp.tbl[[#This Row],[SDate]],weather.tbl[Date],0))</f>
        <v>-1.4166666666666667</v>
      </c>
      <c r="O624" s="2">
        <f ca="1">INDEX(INDIRECT(_xlfn.CONCAT("weather.tbl[",O$1,"]")),MATCH(vp.tbl[[#This Row],[SDate]],weather.tbl[Date],0))</f>
        <v>-9.8166666666666682</v>
      </c>
      <c r="P624" s="2">
        <f ca="1">INDEX(INDIRECT(_xlfn.CONCAT("weather.tbl[",P$1,"]")),MATCH(vp.tbl[[#This Row],[SDate]],weather.tbl[Date],0))</f>
        <v>-2.2000000000000002</v>
      </c>
      <c r="Q624" s="2">
        <f ca="1">INDEX(INDIRECT(_xlfn.CONCAT("weather.tbl[",Q$1,"]")),MATCH(vp.tbl[[#This Row],[SDate]],weather.tbl[Date],0))</f>
        <v>-2.4</v>
      </c>
      <c r="R624" s="2">
        <f ca="1">INDEX(INDIRECT(_xlfn.CONCAT("weather.tbl[",R$1,"]")),MATCH(vp.tbl[[#This Row],[SDate]],weather.tbl[Date],0))</f>
        <v>-1.8</v>
      </c>
      <c r="S624" s="2">
        <f ca="1">INDEX(INDIRECT(_xlfn.CONCAT("weather.tbl[",S$1,"]")),MATCH(vp.tbl[[#This Row],[SDate]],weather.tbl[Date],0))</f>
        <v>0.2</v>
      </c>
      <c r="T624" s="2">
        <f ca="1">INDEX(INDIRECT(_xlfn.CONCAT("weather.tbl[",T$1,"]")),MATCH(vp.tbl[[#This Row],[SDate]],weather.tbl[Date],0))</f>
        <v>-3.8</v>
      </c>
      <c r="U624" s="2">
        <f ca="1">INDEX(INDIRECT(_xlfn.CONCAT("weather.tbl[",U$1,"]")),MATCH(vp.tbl[[#This Row],[SDate]],weather.tbl[Date],0))</f>
        <v>1.5</v>
      </c>
      <c r="V624" s="2">
        <v>454.279</v>
      </c>
      <c r="W624" t="s">
        <v>48</v>
      </c>
      <c r="X624">
        <f>IF(OR(vp.tbl[[#This Row],[Sulf]]="",vp.tbl[[#This Row],[Dens]]=""),1,0)</f>
        <v>0</v>
      </c>
      <c r="Y624">
        <f>IF(vp.tbl[[#This Row],[CrudeType]]="C5+",1,0)</f>
        <v>0</v>
      </c>
      <c r="Z624">
        <f>IF(AND(vp.tbl[[#This Row],[CrudeType]]="Crude",vp.tbl[[#This Row],[Dens]]&lt;=825,vp.tbl[[#This Row],[Sulf]]&gt;0.5,vp.tbl[[#This Row],[Unknown]]=0),1,0)</f>
        <v>0</v>
      </c>
      <c r="AA624">
        <f>IF(AND(vp.tbl[[#This Row],[CrudeType]]="Crude",vp.tbl[[#This Row],[Dens]]&lt;=825,vp.tbl[[#This Row],[Sulf]]&lt;=0.5,vp.tbl[[#This Row],[Unknown]]=0),1,0)</f>
        <v>0</v>
      </c>
      <c r="AB624">
        <f>IF(AND(vp.tbl[[#This Row],[CrudeType]]="Crude",vp.tbl[[#This Row],[Dens]]&gt;825,vp.tbl[[#This Row],[Dens]]&lt;=870,vp.tbl[[#This Row],[Sulf]]&gt;0.5,vp.tbl[[#This Row],[Unknown]]=0),1,0)</f>
        <v>1</v>
      </c>
      <c r="AC624">
        <f>IF(AND(vp.tbl[[#This Row],[CrudeType]]="Crude",vp.tbl[[#This Row],[Dens]]&gt;825,vp.tbl[[#This Row],[Dens]]&lt;=900,vp.tbl[[#This Row],[Sulf]]&lt;=0.5,vp.tbl[[#This Row],[Unknown]]=0),1,0)</f>
        <v>0</v>
      </c>
      <c r="AD624">
        <f>IF(AND(vp.tbl[[#This Row],[CrudeType]]="Crude",vp.tbl[[#This Row],[Dens]]&gt;870,vp.tbl[[#This Row],[Dens]]&lt;=900,vp.tbl[[#This Row],[Sulf]]&gt;0.5,vp.tbl[[#This Row],[Unknown]]=0),1,0)</f>
        <v>0</v>
      </c>
      <c r="AE624">
        <f>IF(AND(vp.tbl[[#This Row],[CrudeType]]="Crude",vp.tbl[[#This Row],[Dens]]&gt;900,vp.tbl[[#This Row],[Sulf]]&lt;=0.5,vp.tbl[[#This Row],[Unknown]]=0),1,0)</f>
        <v>0</v>
      </c>
      <c r="AF624">
        <f>IF(AND(vp.tbl[[#This Row],[CrudeType]]="Crude",vp.tbl[[#This Row],[Dens]]&gt;900,vp.tbl[[#This Row],[Sulf]]&lt;=0.5,vp.tbl[[#This Row],[Unknown]]=0),1,0)</f>
        <v>0</v>
      </c>
      <c r="AG624" t="str">
        <f>INDEX(vp.tbl[[#Headers],[Unknown]:[Heavy_SW]],MATCH(1,vp.tbl[[#This Row],[Unknown]:[Heavy_SW]],0))</f>
        <v>Medium_LSB</v>
      </c>
      <c r="AH624" t="e">
        <f>INDEX([1]!crudeBD.lkup[Number],MATCH(vp.tbl[[#This Row],[Crude_Breakdown]],[1]!crudeBD.lkup[Crude Breakdown],0))</f>
        <v>#REF!</v>
      </c>
      <c r="AI624">
        <f>MONTH(vp.tbl[[#This Row],[SDate]])</f>
        <v>1</v>
      </c>
      <c r="AJ624" s="5">
        <f>IFERROR(vp.tbl[[#This Row],[Sulf]]*vp.tbl[[#This Row],[Net Dens]],"")</f>
        <v>259820.78553899995</v>
      </c>
      <c r="AK624" s="5">
        <f>IFERROR(vp.tbl[[#This Row],[Dens]]*vp.tbl[[#This Row],[VolumeM3]],"")</f>
        <v>376551.86309999996</v>
      </c>
      <c r="AL624" s="5">
        <f>IFERROR(vp.tbl[[#This Row],[VP]]*vp.tbl[[#This Row],[VolumeM3]],"")</f>
        <v>33344.078600000001</v>
      </c>
      <c r="AM624" s="4">
        <f>IFERROR((vp.tbl[[#This Row],[VP]]-INDEX(crudeBD.lkup.complete[Mean_VP],MATCH(vp.tbl[[#This Row],[Crude_Breakdown]],crudeBD.lkup.complete[Crude Breakdown],0)))^2,"")</f>
        <v>45.881588366607339</v>
      </c>
      <c r="AN624" s="4">
        <f>IFERROR((vp.tbl[[#This Row],[Dens]]-INDEX(crudeBD.lkup.complete[Mean_Dens],MATCH(vp.tbl[[#This Row],[Crude_Breakdown]],crudeBD.lkup.complete[Crude Breakdown],0)))^2,"")</f>
        <v>268.69185420858889</v>
      </c>
      <c r="AO624" s="4">
        <f>IFERROR((vp.tbl[[#This Row],[Sulf]]-INDEX(crudeBD.lkup.complete[Mean_Sulf],MATCH(vp.tbl[[#This Row],[Crude_Breakdown]],crudeBD.lkup.complete[Crude Breakdown],0)))^2,"")</f>
        <v>0.58511769188154072</v>
      </c>
      <c r="AP624">
        <f>IF(AND(vp.tbl[[#This Row],[SDate]]&gt;=DATE(YEAR(vp.tbl[[#This Row],[SDate]]),5,1),vp.tbl[[#This Row],[SDate]]&lt;=DATE(YEAR(vp.tbl[[#This Row],[SDate]]),9,15)),1,0)</f>
        <v>0</v>
      </c>
      <c r="AQ624" s="15">
        <f>IF(vp.tbl[[#This Row],[SDate]]&lt;DATE(2016,12,1),0,1)</f>
        <v>1</v>
      </c>
    </row>
    <row r="625" spans="1:43" x14ac:dyDescent="0.25">
      <c r="A625">
        <v>624</v>
      </c>
      <c r="B625" t="s">
        <v>49</v>
      </c>
      <c r="C625" t="s">
        <v>49</v>
      </c>
      <c r="D625" t="s">
        <v>142</v>
      </c>
      <c r="F625" s="1">
        <v>42754</v>
      </c>
      <c r="G625" s="2">
        <v>84.4</v>
      </c>
      <c r="H625" s="2"/>
      <c r="I625" s="2">
        <v>0.68</v>
      </c>
      <c r="J625" s="2">
        <v>1.3</v>
      </c>
      <c r="K625" s="2">
        <v>1</v>
      </c>
      <c r="L625" s="2">
        <v>829.8</v>
      </c>
      <c r="M625" s="2">
        <v>829.8</v>
      </c>
      <c r="N625" s="2">
        <f ca="1">INDEX(INDIRECT(_xlfn.CONCAT("weather.tbl[",N$1,"]")),MATCH(vp.tbl[[#This Row],[SDate]],weather.tbl[Date],0))</f>
        <v>-1.4166666666666667</v>
      </c>
      <c r="O625" s="2">
        <f ca="1">INDEX(INDIRECT(_xlfn.CONCAT("weather.tbl[",O$1,"]")),MATCH(vp.tbl[[#This Row],[SDate]],weather.tbl[Date],0))</f>
        <v>-9.8166666666666682</v>
      </c>
      <c r="P625" s="2">
        <f ca="1">INDEX(INDIRECT(_xlfn.CONCAT("weather.tbl[",P$1,"]")),MATCH(vp.tbl[[#This Row],[SDate]],weather.tbl[Date],0))</f>
        <v>-2.2000000000000002</v>
      </c>
      <c r="Q625" s="2">
        <f ca="1">INDEX(INDIRECT(_xlfn.CONCAT("weather.tbl[",Q$1,"]")),MATCH(vp.tbl[[#This Row],[SDate]],weather.tbl[Date],0))</f>
        <v>-2.4</v>
      </c>
      <c r="R625" s="2">
        <f ca="1">INDEX(INDIRECT(_xlfn.CONCAT("weather.tbl[",R$1,"]")),MATCH(vp.tbl[[#This Row],[SDate]],weather.tbl[Date],0))</f>
        <v>-1.8</v>
      </c>
      <c r="S625" s="2">
        <f ca="1">INDEX(INDIRECT(_xlfn.CONCAT("weather.tbl[",S$1,"]")),MATCH(vp.tbl[[#This Row],[SDate]],weather.tbl[Date],0))</f>
        <v>0.2</v>
      </c>
      <c r="T625" s="2">
        <f ca="1">INDEX(INDIRECT(_xlfn.CONCAT("weather.tbl[",T$1,"]")),MATCH(vp.tbl[[#This Row],[SDate]],weather.tbl[Date],0))</f>
        <v>-3.8</v>
      </c>
      <c r="U625" s="2">
        <f ca="1">INDEX(INDIRECT(_xlfn.CONCAT("weather.tbl[",U$1,"]")),MATCH(vp.tbl[[#This Row],[SDate]],weather.tbl[Date],0))</f>
        <v>1.5</v>
      </c>
      <c r="V625" s="2">
        <v>1485.365</v>
      </c>
      <c r="W625" t="s">
        <v>48</v>
      </c>
      <c r="X625">
        <f>IF(OR(vp.tbl[[#This Row],[Sulf]]="",vp.tbl[[#This Row],[Dens]]=""),1,0)</f>
        <v>0</v>
      </c>
      <c r="Y625">
        <f>IF(vp.tbl[[#This Row],[CrudeType]]="C5+",1,0)</f>
        <v>0</v>
      </c>
      <c r="Z625">
        <f>IF(AND(vp.tbl[[#This Row],[CrudeType]]="Crude",vp.tbl[[#This Row],[Dens]]&lt;=825,vp.tbl[[#This Row],[Sulf]]&gt;0.5,vp.tbl[[#This Row],[Unknown]]=0),1,0)</f>
        <v>0</v>
      </c>
      <c r="AA625">
        <f>IF(AND(vp.tbl[[#This Row],[CrudeType]]="Crude",vp.tbl[[#This Row],[Dens]]&lt;=825,vp.tbl[[#This Row],[Sulf]]&lt;=0.5,vp.tbl[[#This Row],[Unknown]]=0),1,0)</f>
        <v>0</v>
      </c>
      <c r="AB625">
        <f>IF(AND(vp.tbl[[#This Row],[CrudeType]]="Crude",vp.tbl[[#This Row],[Dens]]&gt;825,vp.tbl[[#This Row],[Dens]]&lt;=870,vp.tbl[[#This Row],[Sulf]]&gt;0.5,vp.tbl[[#This Row],[Unknown]]=0),1,0)</f>
        <v>1</v>
      </c>
      <c r="AC625">
        <f>IF(AND(vp.tbl[[#This Row],[CrudeType]]="Crude",vp.tbl[[#This Row],[Dens]]&gt;825,vp.tbl[[#This Row],[Dens]]&lt;=900,vp.tbl[[#This Row],[Sulf]]&lt;=0.5,vp.tbl[[#This Row],[Unknown]]=0),1,0)</f>
        <v>0</v>
      </c>
      <c r="AD625">
        <f>IF(AND(vp.tbl[[#This Row],[CrudeType]]="Crude",vp.tbl[[#This Row],[Dens]]&gt;870,vp.tbl[[#This Row],[Dens]]&lt;=900,vp.tbl[[#This Row],[Sulf]]&gt;0.5,vp.tbl[[#This Row],[Unknown]]=0),1,0)</f>
        <v>0</v>
      </c>
      <c r="AE625">
        <f>IF(AND(vp.tbl[[#This Row],[CrudeType]]="Crude",vp.tbl[[#This Row],[Dens]]&gt;900,vp.tbl[[#This Row],[Sulf]]&lt;=0.5,vp.tbl[[#This Row],[Unknown]]=0),1,0)</f>
        <v>0</v>
      </c>
      <c r="AF625">
        <f>IF(AND(vp.tbl[[#This Row],[CrudeType]]="Crude",vp.tbl[[#This Row],[Dens]]&gt;900,vp.tbl[[#This Row],[Sulf]]&lt;=0.5,vp.tbl[[#This Row],[Unknown]]=0),1,0)</f>
        <v>0</v>
      </c>
      <c r="AG625" t="str">
        <f>INDEX(vp.tbl[[#Headers],[Unknown]:[Heavy_SW]],MATCH(1,vp.tbl[[#This Row],[Unknown]:[Heavy_SW]],0))</f>
        <v>Medium_LSB</v>
      </c>
      <c r="AH625" t="e">
        <f>INDEX([1]!crudeBD.lkup[Number],MATCH(vp.tbl[[#This Row],[Crude_Breakdown]],[1]!crudeBD.lkup[Crude Breakdown],0))</f>
        <v>#REF!</v>
      </c>
      <c r="AI625">
        <f>MONTH(vp.tbl[[#This Row],[SDate]])</f>
        <v>1</v>
      </c>
      <c r="AJ625" s="5">
        <f>IFERROR(vp.tbl[[#This Row],[Sulf]]*vp.tbl[[#This Row],[Net Dens]],"")</f>
        <v>838137.99635999999</v>
      </c>
      <c r="AK625" s="5">
        <f>IFERROR(vp.tbl[[#This Row],[Dens]]*vp.tbl[[#This Row],[VolumeM3]],"")</f>
        <v>1232555.8769999999</v>
      </c>
      <c r="AL625" s="5">
        <f>IFERROR(vp.tbl[[#This Row],[VP]]*vp.tbl[[#This Row],[VolumeM3]],"")</f>
        <v>125364.80600000001</v>
      </c>
      <c r="AM625" s="4">
        <f>IFERROR((vp.tbl[[#This Row],[VP]]-INDEX(crudeBD.lkup.complete[Mean_VP],MATCH(vp.tbl[[#This Row],[Crude_Breakdown]],crudeBD.lkup.complete[Crude Breakdown],0)))^2,"")</f>
        <v>17.862499759013339</v>
      </c>
      <c r="AN625" s="4">
        <f>IFERROR((vp.tbl[[#This Row],[Dens]]-INDEX(crudeBD.lkup.complete[Mean_Dens],MATCH(vp.tbl[[#This Row],[Crude_Breakdown]],crudeBD.lkup.complete[Crude Breakdown],0)))^2,"")</f>
        <v>239.99657319593308</v>
      </c>
      <c r="AO625" s="4">
        <f>IFERROR((vp.tbl[[#This Row],[Sulf]]-INDEX(crudeBD.lkup.complete[Mean_Sulf],MATCH(vp.tbl[[#This Row],[Crude_Breakdown]],crudeBD.lkup.complete[Crude Breakdown],0)))^2,"")</f>
        <v>0.60051628909673049</v>
      </c>
      <c r="AP625">
        <f>IF(AND(vp.tbl[[#This Row],[SDate]]&gt;=DATE(YEAR(vp.tbl[[#This Row],[SDate]]),5,1),vp.tbl[[#This Row],[SDate]]&lt;=DATE(YEAR(vp.tbl[[#This Row],[SDate]]),9,15)),1,0)</f>
        <v>0</v>
      </c>
      <c r="AQ625" s="15">
        <f>IF(vp.tbl[[#This Row],[SDate]]&lt;DATE(2016,12,1),0,1)</f>
        <v>1</v>
      </c>
    </row>
    <row r="626" spans="1:43" x14ac:dyDescent="0.25">
      <c r="A626">
        <v>625</v>
      </c>
      <c r="B626" t="s">
        <v>49</v>
      </c>
      <c r="C626" t="s">
        <v>49</v>
      </c>
      <c r="D626" t="s">
        <v>70</v>
      </c>
      <c r="F626" s="1">
        <v>42754</v>
      </c>
      <c r="G626" s="2">
        <v>84.1</v>
      </c>
      <c r="H626" s="2"/>
      <c r="I626" s="2">
        <v>1.01</v>
      </c>
      <c r="J626" s="2">
        <v>22.2</v>
      </c>
      <c r="K626" s="2">
        <v>1</v>
      </c>
      <c r="L626" s="2">
        <v>830.5</v>
      </c>
      <c r="M626" s="2">
        <v>830.5</v>
      </c>
      <c r="N626" s="2">
        <f ca="1">INDEX(INDIRECT(_xlfn.CONCAT("weather.tbl[",N$1,"]")),MATCH(vp.tbl[[#This Row],[SDate]],weather.tbl[Date],0))</f>
        <v>-1.4166666666666667</v>
      </c>
      <c r="O626" s="2">
        <f ca="1">INDEX(INDIRECT(_xlfn.CONCAT("weather.tbl[",O$1,"]")),MATCH(vp.tbl[[#This Row],[SDate]],weather.tbl[Date],0))</f>
        <v>-9.8166666666666682</v>
      </c>
      <c r="P626" s="2">
        <f ca="1">INDEX(INDIRECT(_xlfn.CONCAT("weather.tbl[",P$1,"]")),MATCH(vp.tbl[[#This Row],[SDate]],weather.tbl[Date],0))</f>
        <v>-2.2000000000000002</v>
      </c>
      <c r="Q626" s="2">
        <f ca="1">INDEX(INDIRECT(_xlfn.CONCAT("weather.tbl[",Q$1,"]")),MATCH(vp.tbl[[#This Row],[SDate]],weather.tbl[Date],0))</f>
        <v>-2.4</v>
      </c>
      <c r="R626" s="2">
        <f ca="1">INDEX(INDIRECT(_xlfn.CONCAT("weather.tbl[",R$1,"]")),MATCH(vp.tbl[[#This Row],[SDate]],weather.tbl[Date],0))</f>
        <v>-1.8</v>
      </c>
      <c r="S626" s="2">
        <f ca="1">INDEX(INDIRECT(_xlfn.CONCAT("weather.tbl[",S$1,"]")),MATCH(vp.tbl[[#This Row],[SDate]],weather.tbl[Date],0))</f>
        <v>0.2</v>
      </c>
      <c r="T626" s="2">
        <f ca="1">INDEX(INDIRECT(_xlfn.CONCAT("weather.tbl[",T$1,"]")),MATCH(vp.tbl[[#This Row],[SDate]],weather.tbl[Date],0))</f>
        <v>-3.8</v>
      </c>
      <c r="U626" s="2">
        <f ca="1">INDEX(INDIRECT(_xlfn.CONCAT("weather.tbl[",U$1,"]")),MATCH(vp.tbl[[#This Row],[SDate]],weather.tbl[Date],0))</f>
        <v>1.5</v>
      </c>
      <c r="V626" s="2">
        <v>3332.451</v>
      </c>
      <c r="W626" t="s">
        <v>48</v>
      </c>
      <c r="X626">
        <f>IF(OR(vp.tbl[[#This Row],[Sulf]]="",vp.tbl[[#This Row],[Dens]]=""),1,0)</f>
        <v>0</v>
      </c>
      <c r="Y626">
        <f>IF(vp.tbl[[#This Row],[CrudeType]]="C5+",1,0)</f>
        <v>0</v>
      </c>
      <c r="Z626">
        <f>IF(AND(vp.tbl[[#This Row],[CrudeType]]="Crude",vp.tbl[[#This Row],[Dens]]&lt;=825,vp.tbl[[#This Row],[Sulf]]&gt;0.5,vp.tbl[[#This Row],[Unknown]]=0),1,0)</f>
        <v>0</v>
      </c>
      <c r="AA626">
        <f>IF(AND(vp.tbl[[#This Row],[CrudeType]]="Crude",vp.tbl[[#This Row],[Dens]]&lt;=825,vp.tbl[[#This Row],[Sulf]]&lt;=0.5,vp.tbl[[#This Row],[Unknown]]=0),1,0)</f>
        <v>0</v>
      </c>
      <c r="AB626">
        <f>IF(AND(vp.tbl[[#This Row],[CrudeType]]="Crude",vp.tbl[[#This Row],[Dens]]&gt;825,vp.tbl[[#This Row],[Dens]]&lt;=870,vp.tbl[[#This Row],[Sulf]]&gt;0.5,vp.tbl[[#This Row],[Unknown]]=0),1,0)</f>
        <v>1</v>
      </c>
      <c r="AC626">
        <f>IF(AND(vp.tbl[[#This Row],[CrudeType]]="Crude",vp.tbl[[#This Row],[Dens]]&gt;825,vp.tbl[[#This Row],[Dens]]&lt;=900,vp.tbl[[#This Row],[Sulf]]&lt;=0.5,vp.tbl[[#This Row],[Unknown]]=0),1,0)</f>
        <v>0</v>
      </c>
      <c r="AD626">
        <f>IF(AND(vp.tbl[[#This Row],[CrudeType]]="Crude",vp.tbl[[#This Row],[Dens]]&gt;870,vp.tbl[[#This Row],[Dens]]&lt;=900,vp.tbl[[#This Row],[Sulf]]&gt;0.5,vp.tbl[[#This Row],[Unknown]]=0),1,0)</f>
        <v>0</v>
      </c>
      <c r="AE626">
        <f>IF(AND(vp.tbl[[#This Row],[CrudeType]]="Crude",vp.tbl[[#This Row],[Dens]]&gt;900,vp.tbl[[#This Row],[Sulf]]&lt;=0.5,vp.tbl[[#This Row],[Unknown]]=0),1,0)</f>
        <v>0</v>
      </c>
      <c r="AF626">
        <f>IF(AND(vp.tbl[[#This Row],[CrudeType]]="Crude",vp.tbl[[#This Row],[Dens]]&gt;900,vp.tbl[[#This Row],[Sulf]]&lt;=0.5,vp.tbl[[#This Row],[Unknown]]=0),1,0)</f>
        <v>0</v>
      </c>
      <c r="AG626" t="str">
        <f>INDEX(vp.tbl[[#Headers],[Unknown]:[Heavy_SW]],MATCH(1,vp.tbl[[#This Row],[Unknown]:[Heavy_SW]],0))</f>
        <v>Medium_LSB</v>
      </c>
      <c r="AH626" t="e">
        <f>INDEX([1]!crudeBD.lkup[Number],MATCH(vp.tbl[[#This Row],[Crude_Breakdown]],[1]!crudeBD.lkup[Crude Breakdown],0))</f>
        <v>#REF!</v>
      </c>
      <c r="AI626">
        <f>MONTH(vp.tbl[[#This Row],[SDate]])</f>
        <v>1</v>
      </c>
      <c r="AJ626" s="5">
        <f>IFERROR(vp.tbl[[#This Row],[Sulf]]*vp.tbl[[#This Row],[Net Dens]],"")</f>
        <v>2795276.5610550004</v>
      </c>
      <c r="AK626" s="5">
        <f>IFERROR(vp.tbl[[#This Row],[Dens]]*vp.tbl[[#This Row],[VolumeM3]],"")</f>
        <v>2767600.5555000002</v>
      </c>
      <c r="AL626" s="5">
        <f>IFERROR(vp.tbl[[#This Row],[VP]]*vp.tbl[[#This Row],[VolumeM3]],"")</f>
        <v>280259.12909999996</v>
      </c>
      <c r="AM626" s="4">
        <f>IFERROR((vp.tbl[[#This Row],[VP]]-INDEX(crudeBD.lkup.complete[Mean_VP],MATCH(vp.tbl[[#This Row],[Crude_Breakdown]],crudeBD.lkup.complete[Crude Breakdown],0)))^2,"")</f>
        <v>15.416656721038541</v>
      </c>
      <c r="AN626" s="4">
        <f>IFERROR((vp.tbl[[#This Row],[Dens]]-INDEX(crudeBD.lkup.complete[Mean_Dens],MATCH(vp.tbl[[#This Row],[Crude_Breakdown]],crudeBD.lkup.complete[Crude Breakdown],0)))^2,"")</f>
        <v>218.79802129719889</v>
      </c>
      <c r="AO626" s="4">
        <f>IFERROR((vp.tbl[[#This Row],[Sulf]]-INDEX(crudeBD.lkup.complete[Mean_Sulf],MATCH(vp.tbl[[#This Row],[Crude_Breakdown]],crudeBD.lkup.complete[Crude Breakdown],0)))^2,"")</f>
        <v>0.19796258099546374</v>
      </c>
      <c r="AP626">
        <f>IF(AND(vp.tbl[[#This Row],[SDate]]&gt;=DATE(YEAR(vp.tbl[[#This Row],[SDate]]),5,1),vp.tbl[[#This Row],[SDate]]&lt;=DATE(YEAR(vp.tbl[[#This Row],[SDate]]),9,15)),1,0)</f>
        <v>0</v>
      </c>
      <c r="AQ626" s="15">
        <f>IF(vp.tbl[[#This Row],[SDate]]&lt;DATE(2016,12,1),0,1)</f>
        <v>1</v>
      </c>
    </row>
    <row r="627" spans="1:43" x14ac:dyDescent="0.25">
      <c r="A627">
        <v>626</v>
      </c>
      <c r="B627" t="s">
        <v>108</v>
      </c>
      <c r="C627" t="s">
        <v>108</v>
      </c>
      <c r="D627" t="s">
        <v>109</v>
      </c>
      <c r="F627" s="1">
        <v>42754</v>
      </c>
      <c r="G627" s="2">
        <v>81</v>
      </c>
      <c r="H627" s="2"/>
      <c r="I627" s="2">
        <v>0.78</v>
      </c>
      <c r="J627" s="2">
        <v>27.7</v>
      </c>
      <c r="K627" s="2">
        <v>1</v>
      </c>
      <c r="L627" s="2">
        <v>835.4</v>
      </c>
      <c r="M627" s="2">
        <v>835.4</v>
      </c>
      <c r="N627" s="2">
        <f ca="1">INDEX(INDIRECT(_xlfn.CONCAT("weather.tbl[",N$1,"]")),MATCH(vp.tbl[[#This Row],[SDate]],weather.tbl[Date],0))</f>
        <v>-1.4166666666666667</v>
      </c>
      <c r="O627" s="2">
        <f ca="1">INDEX(INDIRECT(_xlfn.CONCAT("weather.tbl[",O$1,"]")),MATCH(vp.tbl[[#This Row],[SDate]],weather.tbl[Date],0))</f>
        <v>-9.8166666666666682</v>
      </c>
      <c r="P627" s="2">
        <f ca="1">INDEX(INDIRECT(_xlfn.CONCAT("weather.tbl[",P$1,"]")),MATCH(vp.tbl[[#This Row],[SDate]],weather.tbl[Date],0))</f>
        <v>-2.2000000000000002</v>
      </c>
      <c r="Q627" s="2">
        <f ca="1">INDEX(INDIRECT(_xlfn.CONCAT("weather.tbl[",Q$1,"]")),MATCH(vp.tbl[[#This Row],[SDate]],weather.tbl[Date],0))</f>
        <v>-2.4</v>
      </c>
      <c r="R627" s="2">
        <f ca="1">INDEX(INDIRECT(_xlfn.CONCAT("weather.tbl[",R$1,"]")),MATCH(vp.tbl[[#This Row],[SDate]],weather.tbl[Date],0))</f>
        <v>-1.8</v>
      </c>
      <c r="S627" s="2">
        <f ca="1">INDEX(INDIRECT(_xlfn.CONCAT("weather.tbl[",S$1,"]")),MATCH(vp.tbl[[#This Row],[SDate]],weather.tbl[Date],0))</f>
        <v>0.2</v>
      </c>
      <c r="T627" s="2">
        <f ca="1">INDEX(INDIRECT(_xlfn.CONCAT("weather.tbl[",T$1,"]")),MATCH(vp.tbl[[#This Row],[SDate]],weather.tbl[Date],0))</f>
        <v>-3.8</v>
      </c>
      <c r="U627" s="2">
        <f ca="1">INDEX(INDIRECT(_xlfn.CONCAT("weather.tbl[",U$1,"]")),MATCH(vp.tbl[[#This Row],[SDate]],weather.tbl[Date],0))</f>
        <v>1.5</v>
      </c>
      <c r="V627" s="2">
        <v>9355.1880000000001</v>
      </c>
      <c r="W627" t="s">
        <v>48</v>
      </c>
      <c r="X627">
        <f>IF(OR(vp.tbl[[#This Row],[Sulf]]="",vp.tbl[[#This Row],[Dens]]=""),1,0)</f>
        <v>0</v>
      </c>
      <c r="Y627">
        <f>IF(vp.tbl[[#This Row],[CrudeType]]="C5+",1,0)</f>
        <v>0</v>
      </c>
      <c r="Z627">
        <f>IF(AND(vp.tbl[[#This Row],[CrudeType]]="Crude",vp.tbl[[#This Row],[Dens]]&lt;=825,vp.tbl[[#This Row],[Sulf]]&gt;0.5,vp.tbl[[#This Row],[Unknown]]=0),1,0)</f>
        <v>0</v>
      </c>
      <c r="AA627">
        <f>IF(AND(vp.tbl[[#This Row],[CrudeType]]="Crude",vp.tbl[[#This Row],[Dens]]&lt;=825,vp.tbl[[#This Row],[Sulf]]&lt;=0.5,vp.tbl[[#This Row],[Unknown]]=0),1,0)</f>
        <v>0</v>
      </c>
      <c r="AB627">
        <f>IF(AND(vp.tbl[[#This Row],[CrudeType]]="Crude",vp.tbl[[#This Row],[Dens]]&gt;825,vp.tbl[[#This Row],[Dens]]&lt;=870,vp.tbl[[#This Row],[Sulf]]&gt;0.5,vp.tbl[[#This Row],[Unknown]]=0),1,0)</f>
        <v>1</v>
      </c>
      <c r="AC627">
        <f>IF(AND(vp.tbl[[#This Row],[CrudeType]]="Crude",vp.tbl[[#This Row],[Dens]]&gt;825,vp.tbl[[#This Row],[Dens]]&lt;=900,vp.tbl[[#This Row],[Sulf]]&lt;=0.5,vp.tbl[[#This Row],[Unknown]]=0),1,0)</f>
        <v>0</v>
      </c>
      <c r="AD627">
        <f>IF(AND(vp.tbl[[#This Row],[CrudeType]]="Crude",vp.tbl[[#This Row],[Dens]]&gt;870,vp.tbl[[#This Row],[Dens]]&lt;=900,vp.tbl[[#This Row],[Sulf]]&gt;0.5,vp.tbl[[#This Row],[Unknown]]=0),1,0)</f>
        <v>0</v>
      </c>
      <c r="AE627">
        <f>IF(AND(vp.tbl[[#This Row],[CrudeType]]="Crude",vp.tbl[[#This Row],[Dens]]&gt;900,vp.tbl[[#This Row],[Sulf]]&lt;=0.5,vp.tbl[[#This Row],[Unknown]]=0),1,0)</f>
        <v>0</v>
      </c>
      <c r="AF627">
        <f>IF(AND(vp.tbl[[#This Row],[CrudeType]]="Crude",vp.tbl[[#This Row],[Dens]]&gt;900,vp.tbl[[#This Row],[Sulf]]&lt;=0.5,vp.tbl[[#This Row],[Unknown]]=0),1,0)</f>
        <v>0</v>
      </c>
      <c r="AG627" t="str">
        <f>INDEX(vp.tbl[[#Headers],[Unknown]:[Heavy_SW]],MATCH(1,vp.tbl[[#This Row],[Unknown]:[Heavy_SW]],0))</f>
        <v>Medium_LSB</v>
      </c>
      <c r="AH627" t="e">
        <f>INDEX([1]!crudeBD.lkup[Number],MATCH(vp.tbl[[#This Row],[Crude_Breakdown]],[1]!crudeBD.lkup[Crude Breakdown],0))</f>
        <v>#REF!</v>
      </c>
      <c r="AI627">
        <f>MONTH(vp.tbl[[#This Row],[SDate]])</f>
        <v>1</v>
      </c>
      <c r="AJ627" s="5">
        <f>IFERROR(vp.tbl[[#This Row],[Sulf]]*vp.tbl[[#This Row],[Net Dens]],"")</f>
        <v>6095952.7630560007</v>
      </c>
      <c r="AK627" s="5">
        <f>IFERROR(vp.tbl[[#This Row],[Dens]]*vp.tbl[[#This Row],[VolumeM3]],"")</f>
        <v>7815324.0552000003</v>
      </c>
      <c r="AL627" s="5">
        <f>IFERROR(vp.tbl[[#This Row],[VP]]*vp.tbl[[#This Row],[VolumeM3]],"")</f>
        <v>757770.228</v>
      </c>
      <c r="AM627" s="4">
        <f>IFERROR((vp.tbl[[#This Row],[VP]]-INDEX(crudeBD.lkup.complete[Mean_VP],MATCH(vp.tbl[[#This Row],[Crude_Breakdown]],crudeBD.lkup.complete[Crude Breakdown],0)))^2,"")</f>
        <v>0.68294532863329283</v>
      </c>
      <c r="AN627" s="4">
        <f>IFERROR((vp.tbl[[#This Row],[Dens]]-INDEX(crudeBD.lkup.complete[Mean_Dens],MATCH(vp.tbl[[#This Row],[Crude_Breakdown]],crudeBD.lkup.complete[Crude Breakdown],0)))^2,"")</f>
        <v>97.848158006069738</v>
      </c>
      <c r="AO627" s="4">
        <f>IFERROR((vp.tbl[[#This Row],[Sulf]]-INDEX(crudeBD.lkup.complete[Mean_Sulf],MATCH(vp.tbl[[#This Row],[Crude_Breakdown]],crudeBD.lkup.complete[Crude Breakdown],0)))^2,"")</f>
        <v>0.45553031694483148</v>
      </c>
      <c r="AP627">
        <f>IF(AND(vp.tbl[[#This Row],[SDate]]&gt;=DATE(YEAR(vp.tbl[[#This Row],[SDate]]),5,1),vp.tbl[[#This Row],[SDate]]&lt;=DATE(YEAR(vp.tbl[[#This Row],[SDate]]),9,15)),1,0)</f>
        <v>0</v>
      </c>
      <c r="AQ627" s="15">
        <f>IF(vp.tbl[[#This Row],[SDate]]&lt;DATE(2016,12,1),0,1)</f>
        <v>1</v>
      </c>
    </row>
    <row r="628" spans="1:43" x14ac:dyDescent="0.25">
      <c r="A628">
        <v>627</v>
      </c>
      <c r="B628" t="s">
        <v>49</v>
      </c>
      <c r="C628" t="s">
        <v>49</v>
      </c>
      <c r="D628" t="s">
        <v>143</v>
      </c>
      <c r="F628" s="1">
        <v>42754</v>
      </c>
      <c r="G628" s="2">
        <v>70.3</v>
      </c>
      <c r="H628" s="2"/>
      <c r="I628" s="2">
        <v>0.71</v>
      </c>
      <c r="J628" s="2">
        <v>12.1</v>
      </c>
      <c r="K628" s="2">
        <v>1</v>
      </c>
      <c r="L628" s="2">
        <v>836</v>
      </c>
      <c r="M628" s="2">
        <v>836</v>
      </c>
      <c r="N628" s="2">
        <f ca="1">INDEX(INDIRECT(_xlfn.CONCAT("weather.tbl[",N$1,"]")),MATCH(vp.tbl[[#This Row],[SDate]],weather.tbl[Date],0))</f>
        <v>-1.4166666666666667</v>
      </c>
      <c r="O628" s="2">
        <f ca="1">INDEX(INDIRECT(_xlfn.CONCAT("weather.tbl[",O$1,"]")),MATCH(vp.tbl[[#This Row],[SDate]],weather.tbl[Date],0))</f>
        <v>-9.8166666666666682</v>
      </c>
      <c r="P628" s="2">
        <f ca="1">INDEX(INDIRECT(_xlfn.CONCAT("weather.tbl[",P$1,"]")),MATCH(vp.tbl[[#This Row],[SDate]],weather.tbl[Date],0))</f>
        <v>-2.2000000000000002</v>
      </c>
      <c r="Q628" s="2">
        <f ca="1">INDEX(INDIRECT(_xlfn.CONCAT("weather.tbl[",Q$1,"]")),MATCH(vp.tbl[[#This Row],[SDate]],weather.tbl[Date],0))</f>
        <v>-2.4</v>
      </c>
      <c r="R628" s="2">
        <f ca="1">INDEX(INDIRECT(_xlfn.CONCAT("weather.tbl[",R$1,"]")),MATCH(vp.tbl[[#This Row],[SDate]],weather.tbl[Date],0))</f>
        <v>-1.8</v>
      </c>
      <c r="S628" s="2">
        <f ca="1">INDEX(INDIRECT(_xlfn.CONCAT("weather.tbl[",S$1,"]")),MATCH(vp.tbl[[#This Row],[SDate]],weather.tbl[Date],0))</f>
        <v>0.2</v>
      </c>
      <c r="T628" s="2">
        <f ca="1">INDEX(INDIRECT(_xlfn.CONCAT("weather.tbl[",T$1,"]")),MATCH(vp.tbl[[#This Row],[SDate]],weather.tbl[Date],0))</f>
        <v>-3.8</v>
      </c>
      <c r="U628" s="2">
        <f ca="1">INDEX(INDIRECT(_xlfn.CONCAT("weather.tbl[",U$1,"]")),MATCH(vp.tbl[[#This Row],[SDate]],weather.tbl[Date],0))</f>
        <v>1.5</v>
      </c>
      <c r="V628" s="2">
        <v>267.70999999999998</v>
      </c>
      <c r="W628" t="s">
        <v>48</v>
      </c>
      <c r="X628">
        <f>IF(OR(vp.tbl[[#This Row],[Sulf]]="",vp.tbl[[#This Row],[Dens]]=""),1,0)</f>
        <v>0</v>
      </c>
      <c r="Y628">
        <f>IF(vp.tbl[[#This Row],[CrudeType]]="C5+",1,0)</f>
        <v>0</v>
      </c>
      <c r="Z628">
        <f>IF(AND(vp.tbl[[#This Row],[CrudeType]]="Crude",vp.tbl[[#This Row],[Dens]]&lt;=825,vp.tbl[[#This Row],[Sulf]]&gt;0.5,vp.tbl[[#This Row],[Unknown]]=0),1,0)</f>
        <v>0</v>
      </c>
      <c r="AA628">
        <f>IF(AND(vp.tbl[[#This Row],[CrudeType]]="Crude",vp.tbl[[#This Row],[Dens]]&lt;=825,vp.tbl[[#This Row],[Sulf]]&lt;=0.5,vp.tbl[[#This Row],[Unknown]]=0),1,0)</f>
        <v>0</v>
      </c>
      <c r="AB628">
        <f>IF(AND(vp.tbl[[#This Row],[CrudeType]]="Crude",vp.tbl[[#This Row],[Dens]]&gt;825,vp.tbl[[#This Row],[Dens]]&lt;=870,vp.tbl[[#This Row],[Sulf]]&gt;0.5,vp.tbl[[#This Row],[Unknown]]=0),1,0)</f>
        <v>1</v>
      </c>
      <c r="AC628">
        <f>IF(AND(vp.tbl[[#This Row],[CrudeType]]="Crude",vp.tbl[[#This Row],[Dens]]&gt;825,vp.tbl[[#This Row],[Dens]]&lt;=900,vp.tbl[[#This Row],[Sulf]]&lt;=0.5,vp.tbl[[#This Row],[Unknown]]=0),1,0)</f>
        <v>0</v>
      </c>
      <c r="AD628">
        <f>IF(AND(vp.tbl[[#This Row],[CrudeType]]="Crude",vp.tbl[[#This Row],[Dens]]&gt;870,vp.tbl[[#This Row],[Dens]]&lt;=900,vp.tbl[[#This Row],[Sulf]]&gt;0.5,vp.tbl[[#This Row],[Unknown]]=0),1,0)</f>
        <v>0</v>
      </c>
      <c r="AE628">
        <f>IF(AND(vp.tbl[[#This Row],[CrudeType]]="Crude",vp.tbl[[#This Row],[Dens]]&gt;900,vp.tbl[[#This Row],[Sulf]]&lt;=0.5,vp.tbl[[#This Row],[Unknown]]=0),1,0)</f>
        <v>0</v>
      </c>
      <c r="AF628">
        <f>IF(AND(vp.tbl[[#This Row],[CrudeType]]="Crude",vp.tbl[[#This Row],[Dens]]&gt;900,vp.tbl[[#This Row],[Sulf]]&lt;=0.5,vp.tbl[[#This Row],[Unknown]]=0),1,0)</f>
        <v>0</v>
      </c>
      <c r="AG628" t="str">
        <f>INDEX(vp.tbl[[#Headers],[Unknown]:[Heavy_SW]],MATCH(1,vp.tbl[[#This Row],[Unknown]:[Heavy_SW]],0))</f>
        <v>Medium_LSB</v>
      </c>
      <c r="AH628" t="e">
        <f>INDEX([1]!crudeBD.lkup[Number],MATCH(vp.tbl[[#This Row],[Crude_Breakdown]],[1]!crudeBD.lkup[Crude Breakdown],0))</f>
        <v>#REF!</v>
      </c>
      <c r="AI628">
        <f>MONTH(vp.tbl[[#This Row],[SDate]])</f>
        <v>1</v>
      </c>
      <c r="AJ628" s="5">
        <f>IFERROR(vp.tbl[[#This Row],[Sulf]]*vp.tbl[[#This Row],[Net Dens]],"")</f>
        <v>158901.94759999996</v>
      </c>
      <c r="AK628" s="5">
        <f>IFERROR(vp.tbl[[#This Row],[Dens]]*vp.tbl[[#This Row],[VolumeM3]],"")</f>
        <v>223805.55999999997</v>
      </c>
      <c r="AL628" s="5">
        <f>IFERROR(vp.tbl[[#This Row],[VP]]*vp.tbl[[#This Row],[VolumeM3]],"")</f>
        <v>18820.012999999999</v>
      </c>
      <c r="AM628" s="4">
        <f>IFERROR((vp.tbl[[#This Row],[VP]]-INDEX(crudeBD.lkup.complete[Mean_VP],MATCH(vp.tbl[[#This Row],[Crude_Breakdown]],crudeBD.lkup.complete[Crude Breakdown],0)))^2,"")</f>
        <v>97.48787697420218</v>
      </c>
      <c r="AN628" s="4">
        <f>IFERROR((vp.tbl[[#This Row],[Dens]]-INDEX(crudeBD.lkup.complete[Mean_Dens],MATCH(vp.tbl[[#This Row],[Crude_Breakdown]],crudeBD.lkup.complete[Crude Breakdown],0)))^2,"")</f>
        <v>86.337970664298311</v>
      </c>
      <c r="AO628" s="4">
        <f>IFERROR((vp.tbl[[#This Row],[Sulf]]-INDEX(crudeBD.lkup.complete[Mean_Sulf],MATCH(vp.tbl[[#This Row],[Crude_Breakdown]],crudeBD.lkup.complete[Crude Breakdown],0)))^2,"")</f>
        <v>0.5549204974511609</v>
      </c>
      <c r="AP628">
        <f>IF(AND(vp.tbl[[#This Row],[SDate]]&gt;=DATE(YEAR(vp.tbl[[#This Row],[SDate]]),5,1),vp.tbl[[#This Row],[SDate]]&lt;=DATE(YEAR(vp.tbl[[#This Row],[SDate]]),9,15)),1,0)</f>
        <v>0</v>
      </c>
      <c r="AQ628" s="15">
        <f>IF(vp.tbl[[#This Row],[SDate]]&lt;DATE(2016,12,1),0,1)</f>
        <v>1</v>
      </c>
    </row>
    <row r="629" spans="1:43" x14ac:dyDescent="0.25">
      <c r="A629">
        <v>628</v>
      </c>
      <c r="B629" t="s">
        <v>51</v>
      </c>
      <c r="C629" t="s">
        <v>51</v>
      </c>
      <c r="D629" t="s">
        <v>95</v>
      </c>
      <c r="F629" s="1">
        <v>42754</v>
      </c>
      <c r="G629" s="2">
        <v>60.3</v>
      </c>
      <c r="H629" s="2"/>
      <c r="I629" s="2">
        <v>1.22</v>
      </c>
      <c r="J629" s="2">
        <v>36.299999999999997</v>
      </c>
      <c r="K629" s="2">
        <v>1</v>
      </c>
      <c r="L629" s="2">
        <v>845.1</v>
      </c>
      <c r="M629" s="2">
        <v>845.1</v>
      </c>
      <c r="N629" s="2">
        <f ca="1">INDEX(INDIRECT(_xlfn.CONCAT("weather.tbl[",N$1,"]")),MATCH(vp.tbl[[#This Row],[SDate]],weather.tbl[Date],0))</f>
        <v>-1.4166666666666667</v>
      </c>
      <c r="O629" s="2">
        <f ca="1">INDEX(INDIRECT(_xlfn.CONCAT("weather.tbl[",O$1,"]")),MATCH(vp.tbl[[#This Row],[SDate]],weather.tbl[Date],0))</f>
        <v>-9.8166666666666682</v>
      </c>
      <c r="P629" s="2">
        <f ca="1">INDEX(INDIRECT(_xlfn.CONCAT("weather.tbl[",P$1,"]")),MATCH(vp.tbl[[#This Row],[SDate]],weather.tbl[Date],0))</f>
        <v>-2.2000000000000002</v>
      </c>
      <c r="Q629" s="2">
        <f ca="1">INDEX(INDIRECT(_xlfn.CONCAT("weather.tbl[",Q$1,"]")),MATCH(vp.tbl[[#This Row],[SDate]],weather.tbl[Date],0))</f>
        <v>-2.4</v>
      </c>
      <c r="R629" s="2">
        <f ca="1">INDEX(INDIRECT(_xlfn.CONCAT("weather.tbl[",R$1,"]")),MATCH(vp.tbl[[#This Row],[SDate]],weather.tbl[Date],0))</f>
        <v>-1.8</v>
      </c>
      <c r="S629" s="2">
        <f ca="1">INDEX(INDIRECT(_xlfn.CONCAT("weather.tbl[",S$1,"]")),MATCH(vp.tbl[[#This Row],[SDate]],weather.tbl[Date],0))</f>
        <v>0.2</v>
      </c>
      <c r="T629" s="2">
        <f ca="1">INDEX(INDIRECT(_xlfn.CONCAT("weather.tbl[",T$1,"]")),MATCH(vp.tbl[[#This Row],[SDate]],weather.tbl[Date],0))</f>
        <v>-3.8</v>
      </c>
      <c r="U629" s="2">
        <f ca="1">INDEX(INDIRECT(_xlfn.CONCAT("weather.tbl[",U$1,"]")),MATCH(vp.tbl[[#This Row],[SDate]],weather.tbl[Date],0))</f>
        <v>1.5</v>
      </c>
      <c r="V629" s="2">
        <v>6182.9449999999997</v>
      </c>
      <c r="W629" t="s">
        <v>48</v>
      </c>
      <c r="X629">
        <f>IF(OR(vp.tbl[[#This Row],[Sulf]]="",vp.tbl[[#This Row],[Dens]]=""),1,0)</f>
        <v>0</v>
      </c>
      <c r="Y629">
        <f>IF(vp.tbl[[#This Row],[CrudeType]]="C5+",1,0)</f>
        <v>0</v>
      </c>
      <c r="Z629">
        <f>IF(AND(vp.tbl[[#This Row],[CrudeType]]="Crude",vp.tbl[[#This Row],[Dens]]&lt;=825,vp.tbl[[#This Row],[Sulf]]&gt;0.5,vp.tbl[[#This Row],[Unknown]]=0),1,0)</f>
        <v>0</v>
      </c>
      <c r="AA629">
        <f>IF(AND(vp.tbl[[#This Row],[CrudeType]]="Crude",vp.tbl[[#This Row],[Dens]]&lt;=825,vp.tbl[[#This Row],[Sulf]]&lt;=0.5,vp.tbl[[#This Row],[Unknown]]=0),1,0)</f>
        <v>0</v>
      </c>
      <c r="AB629">
        <f>IF(AND(vp.tbl[[#This Row],[CrudeType]]="Crude",vp.tbl[[#This Row],[Dens]]&gt;825,vp.tbl[[#This Row],[Dens]]&lt;=870,vp.tbl[[#This Row],[Sulf]]&gt;0.5,vp.tbl[[#This Row],[Unknown]]=0),1,0)</f>
        <v>1</v>
      </c>
      <c r="AC629">
        <f>IF(AND(vp.tbl[[#This Row],[CrudeType]]="Crude",vp.tbl[[#This Row],[Dens]]&gt;825,vp.tbl[[#This Row],[Dens]]&lt;=900,vp.tbl[[#This Row],[Sulf]]&lt;=0.5,vp.tbl[[#This Row],[Unknown]]=0),1,0)</f>
        <v>0</v>
      </c>
      <c r="AD629">
        <f>IF(AND(vp.tbl[[#This Row],[CrudeType]]="Crude",vp.tbl[[#This Row],[Dens]]&gt;870,vp.tbl[[#This Row],[Dens]]&lt;=900,vp.tbl[[#This Row],[Sulf]]&gt;0.5,vp.tbl[[#This Row],[Unknown]]=0),1,0)</f>
        <v>0</v>
      </c>
      <c r="AE629">
        <f>IF(AND(vp.tbl[[#This Row],[CrudeType]]="Crude",vp.tbl[[#This Row],[Dens]]&gt;900,vp.tbl[[#This Row],[Sulf]]&lt;=0.5,vp.tbl[[#This Row],[Unknown]]=0),1,0)</f>
        <v>0</v>
      </c>
      <c r="AF629">
        <f>IF(AND(vp.tbl[[#This Row],[CrudeType]]="Crude",vp.tbl[[#This Row],[Dens]]&gt;900,vp.tbl[[#This Row],[Sulf]]&lt;=0.5,vp.tbl[[#This Row],[Unknown]]=0),1,0)</f>
        <v>0</v>
      </c>
      <c r="AG629" t="str">
        <f>INDEX(vp.tbl[[#Headers],[Unknown]:[Heavy_SW]],MATCH(1,vp.tbl[[#This Row],[Unknown]:[Heavy_SW]],0))</f>
        <v>Medium_LSB</v>
      </c>
      <c r="AH629" t="e">
        <f>INDEX([1]!crudeBD.lkup[Number],MATCH(vp.tbl[[#This Row],[Crude_Breakdown]],[1]!crudeBD.lkup[Crude Breakdown],0))</f>
        <v>#REF!</v>
      </c>
      <c r="AI629">
        <f>MONTH(vp.tbl[[#This Row],[SDate]])</f>
        <v>1</v>
      </c>
      <c r="AJ629" s="5">
        <f>IFERROR(vp.tbl[[#This Row],[Sulf]]*vp.tbl[[#This Row],[Net Dens]],"")</f>
        <v>6374752.3197900001</v>
      </c>
      <c r="AK629" s="5">
        <f>IFERROR(vp.tbl[[#This Row],[Dens]]*vp.tbl[[#This Row],[VolumeM3]],"")</f>
        <v>5225206.8195000002</v>
      </c>
      <c r="AL629" s="5">
        <f>IFERROR(vp.tbl[[#This Row],[VP]]*vp.tbl[[#This Row],[VolumeM3]],"")</f>
        <v>372831.58349999995</v>
      </c>
      <c r="AM629" s="4">
        <f>IFERROR((vp.tbl[[#This Row],[VP]]-INDEX(crudeBD.lkup.complete[Mean_VP],MATCH(vp.tbl[[#This Row],[Crude_Breakdown]],crudeBD.lkup.complete[Crude Breakdown],0)))^2,"")</f>
        <v>394.95977570837869</v>
      </c>
      <c r="AN629" s="4">
        <f>IFERROR((vp.tbl[[#This Row],[Dens]]-INDEX(crudeBD.lkup.complete[Mean_Dens],MATCH(vp.tbl[[#This Row],[Crude_Breakdown]],crudeBD.lkup.complete[Crude Breakdown],0)))^2,"")</f>
        <v>3.6795980771925647E-2</v>
      </c>
      <c r="AO629" s="4">
        <f>IFERROR((vp.tbl[[#This Row],[Sulf]]-INDEX(crudeBD.lkup.complete[Mean_Sulf],MATCH(vp.tbl[[#This Row],[Crude_Breakdown]],crudeBD.lkup.complete[Crude Breakdown],0)))^2,"")</f>
        <v>5.5192039476475795E-2</v>
      </c>
      <c r="AP629">
        <f>IF(AND(vp.tbl[[#This Row],[SDate]]&gt;=DATE(YEAR(vp.tbl[[#This Row],[SDate]]),5,1),vp.tbl[[#This Row],[SDate]]&lt;=DATE(YEAR(vp.tbl[[#This Row],[SDate]]),9,15)),1,0)</f>
        <v>0</v>
      </c>
      <c r="AQ629" s="15">
        <f>IF(vp.tbl[[#This Row],[SDate]]&lt;DATE(2016,12,1),0,1)</f>
        <v>1</v>
      </c>
    </row>
    <row r="630" spans="1:43" x14ac:dyDescent="0.25">
      <c r="A630">
        <v>629</v>
      </c>
      <c r="B630" t="s">
        <v>49</v>
      </c>
      <c r="C630" t="s">
        <v>49</v>
      </c>
      <c r="D630" t="s">
        <v>144</v>
      </c>
      <c r="F630" s="1">
        <v>42754</v>
      </c>
      <c r="G630" s="2">
        <v>69.099999999999994</v>
      </c>
      <c r="H630" s="2"/>
      <c r="I630" s="2">
        <v>1.33</v>
      </c>
      <c r="J630" s="2">
        <v>17.7</v>
      </c>
      <c r="K630" s="2">
        <v>1</v>
      </c>
      <c r="L630" s="2">
        <v>849.6</v>
      </c>
      <c r="M630" s="2">
        <v>849.6</v>
      </c>
      <c r="N630" s="2">
        <f ca="1">INDEX(INDIRECT(_xlfn.CONCAT("weather.tbl[",N$1,"]")),MATCH(vp.tbl[[#This Row],[SDate]],weather.tbl[Date],0))</f>
        <v>-1.4166666666666667</v>
      </c>
      <c r="O630" s="2">
        <f ca="1">INDEX(INDIRECT(_xlfn.CONCAT("weather.tbl[",O$1,"]")),MATCH(vp.tbl[[#This Row],[SDate]],weather.tbl[Date],0))</f>
        <v>-9.8166666666666682</v>
      </c>
      <c r="P630" s="2">
        <f ca="1">INDEX(INDIRECT(_xlfn.CONCAT("weather.tbl[",P$1,"]")),MATCH(vp.tbl[[#This Row],[SDate]],weather.tbl[Date],0))</f>
        <v>-2.2000000000000002</v>
      </c>
      <c r="Q630" s="2">
        <f ca="1">INDEX(INDIRECT(_xlfn.CONCAT("weather.tbl[",Q$1,"]")),MATCH(vp.tbl[[#This Row],[SDate]],weather.tbl[Date],0))</f>
        <v>-2.4</v>
      </c>
      <c r="R630" s="2">
        <f ca="1">INDEX(INDIRECT(_xlfn.CONCAT("weather.tbl[",R$1,"]")),MATCH(vp.tbl[[#This Row],[SDate]],weather.tbl[Date],0))</f>
        <v>-1.8</v>
      </c>
      <c r="S630" s="2">
        <f ca="1">INDEX(INDIRECT(_xlfn.CONCAT("weather.tbl[",S$1,"]")),MATCH(vp.tbl[[#This Row],[SDate]],weather.tbl[Date],0))</f>
        <v>0.2</v>
      </c>
      <c r="T630" s="2">
        <f ca="1">INDEX(INDIRECT(_xlfn.CONCAT("weather.tbl[",T$1,"]")),MATCH(vp.tbl[[#This Row],[SDate]],weather.tbl[Date],0))</f>
        <v>-3.8</v>
      </c>
      <c r="U630" s="2">
        <f ca="1">INDEX(INDIRECT(_xlfn.CONCAT("weather.tbl[",U$1,"]")),MATCH(vp.tbl[[#This Row],[SDate]],weather.tbl[Date],0))</f>
        <v>1.5</v>
      </c>
      <c r="V630" s="2">
        <v>1225.9649999999999</v>
      </c>
      <c r="W630" t="s">
        <v>48</v>
      </c>
      <c r="X630">
        <f>IF(OR(vp.tbl[[#This Row],[Sulf]]="",vp.tbl[[#This Row],[Dens]]=""),1,0)</f>
        <v>0</v>
      </c>
      <c r="Y630">
        <f>IF(vp.tbl[[#This Row],[CrudeType]]="C5+",1,0)</f>
        <v>0</v>
      </c>
      <c r="Z630">
        <f>IF(AND(vp.tbl[[#This Row],[CrudeType]]="Crude",vp.tbl[[#This Row],[Dens]]&lt;=825,vp.tbl[[#This Row],[Sulf]]&gt;0.5,vp.tbl[[#This Row],[Unknown]]=0),1,0)</f>
        <v>0</v>
      </c>
      <c r="AA630">
        <f>IF(AND(vp.tbl[[#This Row],[CrudeType]]="Crude",vp.tbl[[#This Row],[Dens]]&lt;=825,vp.tbl[[#This Row],[Sulf]]&lt;=0.5,vp.tbl[[#This Row],[Unknown]]=0),1,0)</f>
        <v>0</v>
      </c>
      <c r="AB630">
        <f>IF(AND(vp.tbl[[#This Row],[CrudeType]]="Crude",vp.tbl[[#This Row],[Dens]]&gt;825,vp.tbl[[#This Row],[Dens]]&lt;=870,vp.tbl[[#This Row],[Sulf]]&gt;0.5,vp.tbl[[#This Row],[Unknown]]=0),1,0)</f>
        <v>1</v>
      </c>
      <c r="AC630">
        <f>IF(AND(vp.tbl[[#This Row],[CrudeType]]="Crude",vp.tbl[[#This Row],[Dens]]&gt;825,vp.tbl[[#This Row],[Dens]]&lt;=900,vp.tbl[[#This Row],[Sulf]]&lt;=0.5,vp.tbl[[#This Row],[Unknown]]=0),1,0)</f>
        <v>0</v>
      </c>
      <c r="AD630">
        <f>IF(AND(vp.tbl[[#This Row],[CrudeType]]="Crude",vp.tbl[[#This Row],[Dens]]&gt;870,vp.tbl[[#This Row],[Dens]]&lt;=900,vp.tbl[[#This Row],[Sulf]]&gt;0.5,vp.tbl[[#This Row],[Unknown]]=0),1,0)</f>
        <v>0</v>
      </c>
      <c r="AE630">
        <f>IF(AND(vp.tbl[[#This Row],[CrudeType]]="Crude",vp.tbl[[#This Row],[Dens]]&gt;900,vp.tbl[[#This Row],[Sulf]]&lt;=0.5,vp.tbl[[#This Row],[Unknown]]=0),1,0)</f>
        <v>0</v>
      </c>
      <c r="AF630">
        <f>IF(AND(vp.tbl[[#This Row],[CrudeType]]="Crude",vp.tbl[[#This Row],[Dens]]&gt;900,vp.tbl[[#This Row],[Sulf]]&lt;=0.5,vp.tbl[[#This Row],[Unknown]]=0),1,0)</f>
        <v>0</v>
      </c>
      <c r="AG630" t="str">
        <f>INDEX(vp.tbl[[#Headers],[Unknown]:[Heavy_SW]],MATCH(1,vp.tbl[[#This Row],[Unknown]:[Heavy_SW]],0))</f>
        <v>Medium_LSB</v>
      </c>
      <c r="AH630" t="e">
        <f>INDEX([1]!crudeBD.lkup[Number],MATCH(vp.tbl[[#This Row],[Crude_Breakdown]],[1]!crudeBD.lkup[Crude Breakdown],0))</f>
        <v>#REF!</v>
      </c>
      <c r="AI630">
        <f>MONTH(vp.tbl[[#This Row],[SDate]])</f>
        <v>1</v>
      </c>
      <c r="AJ630" s="5">
        <f>IFERROR(vp.tbl[[#This Row],[Sulf]]*vp.tbl[[#This Row],[Net Dens]],"")</f>
        <v>1385301.21912</v>
      </c>
      <c r="AK630" s="5">
        <f>IFERROR(vp.tbl[[#This Row],[Dens]]*vp.tbl[[#This Row],[VolumeM3]],"")</f>
        <v>1041579.8639999999</v>
      </c>
      <c r="AL630" s="5">
        <f>IFERROR(vp.tbl[[#This Row],[VP]]*vp.tbl[[#This Row],[VolumeM3]],"")</f>
        <v>84714.181499999992</v>
      </c>
      <c r="AM630" s="4">
        <f>IFERROR((vp.tbl[[#This Row],[VP]]-INDEX(crudeBD.lkup.complete[Mean_VP],MATCH(vp.tbl[[#This Row],[Crude_Breakdown]],crudeBD.lkup.complete[Crude Breakdown],0)))^2,"")</f>
        <v>122.62450482230342</v>
      </c>
      <c r="AN630" s="4">
        <f>IFERROR((vp.tbl[[#This Row],[Dens]]-INDEX(crudeBD.lkup.complete[Mean_Dens],MATCH(vp.tbl[[#This Row],[Crude_Breakdown]],crudeBD.lkup.complete[Crude Breakdown],0)))^2,"")</f>
        <v>18.560390917489855</v>
      </c>
      <c r="AO630" s="4">
        <f>IFERROR((vp.tbl[[#This Row],[Sulf]]-INDEX(crudeBD.lkup.complete[Mean_Sulf],MATCH(vp.tbl[[#This Row],[Crude_Breakdown]],crudeBD.lkup.complete[Crude Breakdown],0)))^2,"")</f>
        <v>1.5607470109386829E-2</v>
      </c>
      <c r="AP630">
        <f>IF(AND(vp.tbl[[#This Row],[SDate]]&gt;=DATE(YEAR(vp.tbl[[#This Row],[SDate]]),5,1),vp.tbl[[#This Row],[SDate]]&lt;=DATE(YEAR(vp.tbl[[#This Row],[SDate]]),9,15)),1,0)</f>
        <v>0</v>
      </c>
      <c r="AQ630" s="15">
        <f>IF(vp.tbl[[#This Row],[SDate]]&lt;DATE(2016,12,1),0,1)</f>
        <v>1</v>
      </c>
    </row>
    <row r="631" spans="1:43" x14ac:dyDescent="0.25">
      <c r="A631">
        <v>630</v>
      </c>
      <c r="B631" t="s">
        <v>49</v>
      </c>
      <c r="C631" t="s">
        <v>49</v>
      </c>
      <c r="D631" t="s">
        <v>145</v>
      </c>
      <c r="F631" s="1">
        <v>42754</v>
      </c>
      <c r="G631" s="2">
        <v>53.2</v>
      </c>
      <c r="H631" s="2"/>
      <c r="I631" s="2">
        <v>1.02</v>
      </c>
      <c r="J631" s="2">
        <v>3.3</v>
      </c>
      <c r="K631" s="2">
        <v>1</v>
      </c>
      <c r="L631" s="2">
        <v>849.9</v>
      </c>
      <c r="M631" s="2">
        <v>849.9</v>
      </c>
      <c r="N631" s="2">
        <f ca="1">INDEX(INDIRECT(_xlfn.CONCAT("weather.tbl[",N$1,"]")),MATCH(vp.tbl[[#This Row],[SDate]],weather.tbl[Date],0))</f>
        <v>-1.4166666666666667</v>
      </c>
      <c r="O631" s="2">
        <f ca="1">INDEX(INDIRECT(_xlfn.CONCAT("weather.tbl[",O$1,"]")),MATCH(vp.tbl[[#This Row],[SDate]],weather.tbl[Date],0))</f>
        <v>-9.8166666666666682</v>
      </c>
      <c r="P631" s="2">
        <f ca="1">INDEX(INDIRECT(_xlfn.CONCAT("weather.tbl[",P$1,"]")),MATCH(vp.tbl[[#This Row],[SDate]],weather.tbl[Date],0))</f>
        <v>-2.2000000000000002</v>
      </c>
      <c r="Q631" s="2">
        <f ca="1">INDEX(INDIRECT(_xlfn.CONCAT("weather.tbl[",Q$1,"]")),MATCH(vp.tbl[[#This Row],[SDate]],weather.tbl[Date],0))</f>
        <v>-2.4</v>
      </c>
      <c r="R631" s="2">
        <f ca="1">INDEX(INDIRECT(_xlfn.CONCAT("weather.tbl[",R$1,"]")),MATCH(vp.tbl[[#This Row],[SDate]],weather.tbl[Date],0))</f>
        <v>-1.8</v>
      </c>
      <c r="S631" s="2">
        <f ca="1">INDEX(INDIRECT(_xlfn.CONCAT("weather.tbl[",S$1,"]")),MATCH(vp.tbl[[#This Row],[SDate]],weather.tbl[Date],0))</f>
        <v>0.2</v>
      </c>
      <c r="T631" s="2">
        <f ca="1">INDEX(INDIRECT(_xlfn.CONCAT("weather.tbl[",T$1,"]")),MATCH(vp.tbl[[#This Row],[SDate]],weather.tbl[Date],0))</f>
        <v>-3.8</v>
      </c>
      <c r="U631" s="2">
        <f ca="1">INDEX(INDIRECT(_xlfn.CONCAT("weather.tbl[",U$1,"]")),MATCH(vp.tbl[[#This Row],[SDate]],weather.tbl[Date],0))</f>
        <v>1.5</v>
      </c>
      <c r="V631" s="2">
        <v>124.738</v>
      </c>
      <c r="W631" t="s">
        <v>48</v>
      </c>
      <c r="X631">
        <f>IF(OR(vp.tbl[[#This Row],[Sulf]]="",vp.tbl[[#This Row],[Dens]]=""),1,0)</f>
        <v>0</v>
      </c>
      <c r="Y631">
        <f>IF(vp.tbl[[#This Row],[CrudeType]]="C5+",1,0)</f>
        <v>0</v>
      </c>
      <c r="Z631">
        <f>IF(AND(vp.tbl[[#This Row],[CrudeType]]="Crude",vp.tbl[[#This Row],[Dens]]&lt;=825,vp.tbl[[#This Row],[Sulf]]&gt;0.5,vp.tbl[[#This Row],[Unknown]]=0),1,0)</f>
        <v>0</v>
      </c>
      <c r="AA631">
        <f>IF(AND(vp.tbl[[#This Row],[CrudeType]]="Crude",vp.tbl[[#This Row],[Dens]]&lt;=825,vp.tbl[[#This Row],[Sulf]]&lt;=0.5,vp.tbl[[#This Row],[Unknown]]=0),1,0)</f>
        <v>0</v>
      </c>
      <c r="AB631">
        <f>IF(AND(vp.tbl[[#This Row],[CrudeType]]="Crude",vp.tbl[[#This Row],[Dens]]&gt;825,vp.tbl[[#This Row],[Dens]]&lt;=870,vp.tbl[[#This Row],[Sulf]]&gt;0.5,vp.tbl[[#This Row],[Unknown]]=0),1,0)</f>
        <v>1</v>
      </c>
      <c r="AC631">
        <f>IF(AND(vp.tbl[[#This Row],[CrudeType]]="Crude",vp.tbl[[#This Row],[Dens]]&gt;825,vp.tbl[[#This Row],[Dens]]&lt;=900,vp.tbl[[#This Row],[Sulf]]&lt;=0.5,vp.tbl[[#This Row],[Unknown]]=0),1,0)</f>
        <v>0</v>
      </c>
      <c r="AD631">
        <f>IF(AND(vp.tbl[[#This Row],[CrudeType]]="Crude",vp.tbl[[#This Row],[Dens]]&gt;870,vp.tbl[[#This Row],[Dens]]&lt;=900,vp.tbl[[#This Row],[Sulf]]&gt;0.5,vp.tbl[[#This Row],[Unknown]]=0),1,0)</f>
        <v>0</v>
      </c>
      <c r="AE631">
        <f>IF(AND(vp.tbl[[#This Row],[CrudeType]]="Crude",vp.tbl[[#This Row],[Dens]]&gt;900,vp.tbl[[#This Row],[Sulf]]&lt;=0.5,vp.tbl[[#This Row],[Unknown]]=0),1,0)</f>
        <v>0</v>
      </c>
      <c r="AF631">
        <f>IF(AND(vp.tbl[[#This Row],[CrudeType]]="Crude",vp.tbl[[#This Row],[Dens]]&gt;900,vp.tbl[[#This Row],[Sulf]]&lt;=0.5,vp.tbl[[#This Row],[Unknown]]=0),1,0)</f>
        <v>0</v>
      </c>
      <c r="AG631" t="str">
        <f>INDEX(vp.tbl[[#Headers],[Unknown]:[Heavy_SW]],MATCH(1,vp.tbl[[#This Row],[Unknown]:[Heavy_SW]],0))</f>
        <v>Medium_LSB</v>
      </c>
      <c r="AH631" t="e">
        <f>INDEX([1]!crudeBD.lkup[Number],MATCH(vp.tbl[[#This Row],[Crude_Breakdown]],[1]!crudeBD.lkup[Crude Breakdown],0))</f>
        <v>#REF!</v>
      </c>
      <c r="AI631">
        <f>MONTH(vp.tbl[[#This Row],[SDate]])</f>
        <v>1</v>
      </c>
      <c r="AJ631" s="5">
        <f>IFERROR(vp.tbl[[#This Row],[Sulf]]*vp.tbl[[#This Row],[Net Dens]],"")</f>
        <v>108135.122724</v>
      </c>
      <c r="AK631" s="5">
        <f>IFERROR(vp.tbl[[#This Row],[Dens]]*vp.tbl[[#This Row],[VolumeM3]],"")</f>
        <v>106014.8262</v>
      </c>
      <c r="AL631" s="5">
        <f>IFERROR(vp.tbl[[#This Row],[VP]]*vp.tbl[[#This Row],[VolumeM3]],"")</f>
        <v>6636.0616</v>
      </c>
      <c r="AM631" s="4">
        <f>IFERROR((vp.tbl[[#This Row],[VP]]-INDEX(crudeBD.lkup.complete[Mean_VP],MATCH(vp.tbl[[#This Row],[Crude_Breakdown]],crudeBD.lkup.complete[Crude Breakdown],0)))^2,"")</f>
        <v>727.5748238096437</v>
      </c>
      <c r="AN631" s="4">
        <f>IFERROR((vp.tbl[[#This Row],[Dens]]-INDEX(crudeBD.lkup.complete[Mean_Dens],MATCH(vp.tbl[[#This Row],[Crude_Breakdown]],crudeBD.lkup.complete[Crude Breakdown],0)))^2,"")</f>
        <v>21.235297246603963</v>
      </c>
      <c r="AO631" s="4">
        <f>IFERROR((vp.tbl[[#This Row],[Sulf]]-INDEX(crudeBD.lkup.complete[Mean_Sulf],MATCH(vp.tbl[[#This Row],[Crude_Breakdown]],crudeBD.lkup.complete[Crude Breakdown],0)))^2,"")</f>
        <v>0.18916398378027383</v>
      </c>
      <c r="AP631">
        <f>IF(AND(vp.tbl[[#This Row],[SDate]]&gt;=DATE(YEAR(vp.tbl[[#This Row],[SDate]]),5,1),vp.tbl[[#This Row],[SDate]]&lt;=DATE(YEAR(vp.tbl[[#This Row],[SDate]]),9,15)),1,0)</f>
        <v>0</v>
      </c>
      <c r="AQ631" s="15">
        <f>IF(vp.tbl[[#This Row],[SDate]]&lt;DATE(2016,12,1),0,1)</f>
        <v>1</v>
      </c>
    </row>
    <row r="632" spans="1:43" x14ac:dyDescent="0.25">
      <c r="A632">
        <v>631</v>
      </c>
      <c r="B632" t="s">
        <v>68</v>
      </c>
      <c r="C632" t="s">
        <v>68</v>
      </c>
      <c r="D632" t="s">
        <v>69</v>
      </c>
      <c r="F632" s="1">
        <v>42754</v>
      </c>
      <c r="G632" s="2">
        <v>74.400000000000006</v>
      </c>
      <c r="H632" s="2"/>
      <c r="I632" s="2">
        <v>1.78</v>
      </c>
      <c r="J632" s="2">
        <v>10.5</v>
      </c>
      <c r="K632" s="2">
        <v>1</v>
      </c>
      <c r="L632" s="2">
        <v>861.8</v>
      </c>
      <c r="M632" s="2">
        <v>861.8</v>
      </c>
      <c r="N632" s="2">
        <f ca="1">INDEX(INDIRECT(_xlfn.CONCAT("weather.tbl[",N$1,"]")),MATCH(vp.tbl[[#This Row],[SDate]],weather.tbl[Date],0))</f>
        <v>-1.4166666666666667</v>
      </c>
      <c r="O632" s="2">
        <f ca="1">INDEX(INDIRECT(_xlfn.CONCAT("weather.tbl[",O$1,"]")),MATCH(vp.tbl[[#This Row],[SDate]],weather.tbl[Date],0))</f>
        <v>-9.8166666666666682</v>
      </c>
      <c r="P632" s="2">
        <f ca="1">INDEX(INDIRECT(_xlfn.CONCAT("weather.tbl[",P$1,"]")),MATCH(vp.tbl[[#This Row],[SDate]],weather.tbl[Date],0))</f>
        <v>-2.2000000000000002</v>
      </c>
      <c r="Q632" s="2">
        <f ca="1">INDEX(INDIRECT(_xlfn.CONCAT("weather.tbl[",Q$1,"]")),MATCH(vp.tbl[[#This Row],[SDate]],weather.tbl[Date],0))</f>
        <v>-2.4</v>
      </c>
      <c r="R632" s="2">
        <f ca="1">INDEX(INDIRECT(_xlfn.CONCAT("weather.tbl[",R$1,"]")),MATCH(vp.tbl[[#This Row],[SDate]],weather.tbl[Date],0))</f>
        <v>-1.8</v>
      </c>
      <c r="S632" s="2">
        <f ca="1">INDEX(INDIRECT(_xlfn.CONCAT("weather.tbl[",S$1,"]")),MATCH(vp.tbl[[#This Row],[SDate]],weather.tbl[Date],0))</f>
        <v>0.2</v>
      </c>
      <c r="T632" s="2">
        <f ca="1">INDEX(INDIRECT(_xlfn.CONCAT("weather.tbl[",T$1,"]")),MATCH(vp.tbl[[#This Row],[SDate]],weather.tbl[Date],0))</f>
        <v>-3.8</v>
      </c>
      <c r="U632" s="2">
        <f ca="1">INDEX(INDIRECT(_xlfn.CONCAT("weather.tbl[",U$1,"]")),MATCH(vp.tbl[[#This Row],[SDate]],weather.tbl[Date],0))</f>
        <v>1.5</v>
      </c>
      <c r="V632" s="2">
        <v>1452.5409999999999</v>
      </c>
      <c r="W632" t="s">
        <v>48</v>
      </c>
      <c r="X632">
        <f>IF(OR(vp.tbl[[#This Row],[Sulf]]="",vp.tbl[[#This Row],[Dens]]=""),1,0)</f>
        <v>0</v>
      </c>
      <c r="Y632">
        <f>IF(vp.tbl[[#This Row],[CrudeType]]="C5+",1,0)</f>
        <v>0</v>
      </c>
      <c r="Z632">
        <f>IF(AND(vp.tbl[[#This Row],[CrudeType]]="Crude",vp.tbl[[#This Row],[Dens]]&lt;=825,vp.tbl[[#This Row],[Sulf]]&gt;0.5,vp.tbl[[#This Row],[Unknown]]=0),1,0)</f>
        <v>0</v>
      </c>
      <c r="AA632">
        <f>IF(AND(vp.tbl[[#This Row],[CrudeType]]="Crude",vp.tbl[[#This Row],[Dens]]&lt;=825,vp.tbl[[#This Row],[Sulf]]&lt;=0.5,vp.tbl[[#This Row],[Unknown]]=0),1,0)</f>
        <v>0</v>
      </c>
      <c r="AB632">
        <f>IF(AND(vp.tbl[[#This Row],[CrudeType]]="Crude",vp.tbl[[#This Row],[Dens]]&gt;825,vp.tbl[[#This Row],[Dens]]&lt;=870,vp.tbl[[#This Row],[Sulf]]&gt;0.5,vp.tbl[[#This Row],[Unknown]]=0),1,0)</f>
        <v>1</v>
      </c>
      <c r="AC632">
        <f>IF(AND(vp.tbl[[#This Row],[CrudeType]]="Crude",vp.tbl[[#This Row],[Dens]]&gt;825,vp.tbl[[#This Row],[Dens]]&lt;=900,vp.tbl[[#This Row],[Sulf]]&lt;=0.5,vp.tbl[[#This Row],[Unknown]]=0),1,0)</f>
        <v>0</v>
      </c>
      <c r="AD632">
        <f>IF(AND(vp.tbl[[#This Row],[CrudeType]]="Crude",vp.tbl[[#This Row],[Dens]]&gt;870,vp.tbl[[#This Row],[Dens]]&lt;=900,vp.tbl[[#This Row],[Sulf]]&gt;0.5,vp.tbl[[#This Row],[Unknown]]=0),1,0)</f>
        <v>0</v>
      </c>
      <c r="AE632">
        <f>IF(AND(vp.tbl[[#This Row],[CrudeType]]="Crude",vp.tbl[[#This Row],[Dens]]&gt;900,vp.tbl[[#This Row],[Sulf]]&lt;=0.5,vp.tbl[[#This Row],[Unknown]]=0),1,0)</f>
        <v>0</v>
      </c>
      <c r="AF632">
        <f>IF(AND(vp.tbl[[#This Row],[CrudeType]]="Crude",vp.tbl[[#This Row],[Dens]]&gt;900,vp.tbl[[#This Row],[Sulf]]&lt;=0.5,vp.tbl[[#This Row],[Unknown]]=0),1,0)</f>
        <v>0</v>
      </c>
      <c r="AG632" t="str">
        <f>INDEX(vp.tbl[[#Headers],[Unknown]:[Heavy_SW]],MATCH(1,vp.tbl[[#This Row],[Unknown]:[Heavy_SW]],0))</f>
        <v>Medium_LSB</v>
      </c>
      <c r="AH632" t="e">
        <f>INDEX([1]!crudeBD.lkup[Number],MATCH(vp.tbl[[#This Row],[Crude_Breakdown]],[1]!crudeBD.lkup[Crude Breakdown],0))</f>
        <v>#REF!</v>
      </c>
      <c r="AI632">
        <f>MONTH(vp.tbl[[#This Row],[SDate]])</f>
        <v>1</v>
      </c>
      <c r="AJ632" s="5">
        <f>IFERROR(vp.tbl[[#This Row],[Sulf]]*vp.tbl[[#This Row],[Net Dens]],"")</f>
        <v>2228203.7041639998</v>
      </c>
      <c r="AK632" s="5">
        <f>IFERROR(vp.tbl[[#This Row],[Dens]]*vp.tbl[[#This Row],[VolumeM3]],"")</f>
        <v>1251799.8337999999</v>
      </c>
      <c r="AL632" s="5">
        <f>IFERROR(vp.tbl[[#This Row],[VP]]*vp.tbl[[#This Row],[VolumeM3]],"")</f>
        <v>108069.05040000001</v>
      </c>
      <c r="AM632" s="4">
        <f>IFERROR((vp.tbl[[#This Row],[VP]]-INDEX(crudeBD.lkup.complete[Mean_VP],MATCH(vp.tbl[[#This Row],[Crude_Breakdown]],crudeBD.lkup.complete[Crude Breakdown],0)))^2,"")</f>
        <v>33.334398493189703</v>
      </c>
      <c r="AN632" s="4">
        <f>IFERROR((vp.tbl[[#This Row],[Dens]]-INDEX(crudeBD.lkup.complete[Mean_Dens],MATCH(vp.tbl[[#This Row],[Crude_Breakdown]],crudeBD.lkup.complete[Crude Breakdown],0)))^2,"")</f>
        <v>272.51991496814509</v>
      </c>
      <c r="AO632" s="4">
        <f>IFERROR((vp.tbl[[#This Row],[Sulf]]-INDEX(crudeBD.lkup.complete[Mean_Sulf],MATCH(vp.tbl[[#This Row],[Crude_Breakdown]],crudeBD.lkup.complete[Crude Breakdown],0)))^2,"")</f>
        <v>0.10567059542584123</v>
      </c>
      <c r="AP632">
        <f>IF(AND(vp.tbl[[#This Row],[SDate]]&gt;=DATE(YEAR(vp.tbl[[#This Row],[SDate]]),5,1),vp.tbl[[#This Row],[SDate]]&lt;=DATE(YEAR(vp.tbl[[#This Row],[SDate]]),9,15)),1,0)</f>
        <v>0</v>
      </c>
      <c r="AQ632" s="15">
        <f>IF(vp.tbl[[#This Row],[SDate]]&lt;DATE(2016,12,1),0,1)</f>
        <v>1</v>
      </c>
    </row>
    <row r="633" spans="1:43" x14ac:dyDescent="0.25">
      <c r="A633">
        <v>632</v>
      </c>
      <c r="B633" t="s">
        <v>60</v>
      </c>
      <c r="C633" t="s">
        <v>60</v>
      </c>
      <c r="D633" t="s">
        <v>61</v>
      </c>
      <c r="E633" t="s">
        <v>55</v>
      </c>
      <c r="F633" s="1">
        <v>42754</v>
      </c>
      <c r="G633" s="2">
        <v>88.1</v>
      </c>
      <c r="H633" s="2"/>
      <c r="I633" s="2">
        <v>1.23</v>
      </c>
      <c r="J633" s="2">
        <v>6.7</v>
      </c>
      <c r="K633" s="2">
        <v>1</v>
      </c>
      <c r="L633" s="2">
        <v>840.8</v>
      </c>
      <c r="M633" s="2">
        <v>840.8</v>
      </c>
      <c r="N633" s="2">
        <f ca="1">INDEX(INDIRECT(_xlfn.CONCAT("weather.tbl[",N$1,"]")),MATCH(vp.tbl[[#This Row],[SDate]],weather.tbl[Date],0))</f>
        <v>-1.4166666666666667</v>
      </c>
      <c r="O633" s="2">
        <f ca="1">INDEX(INDIRECT(_xlfn.CONCAT("weather.tbl[",O$1,"]")),MATCH(vp.tbl[[#This Row],[SDate]],weather.tbl[Date],0))</f>
        <v>-9.8166666666666682</v>
      </c>
      <c r="P633" s="2">
        <f ca="1">INDEX(INDIRECT(_xlfn.CONCAT("weather.tbl[",P$1,"]")),MATCH(vp.tbl[[#This Row],[SDate]],weather.tbl[Date],0))</f>
        <v>-2.2000000000000002</v>
      </c>
      <c r="Q633" s="2">
        <f ca="1">INDEX(INDIRECT(_xlfn.CONCAT("weather.tbl[",Q$1,"]")),MATCH(vp.tbl[[#This Row],[SDate]],weather.tbl[Date],0))</f>
        <v>-2.4</v>
      </c>
      <c r="R633" s="2">
        <f ca="1">INDEX(INDIRECT(_xlfn.CONCAT("weather.tbl[",R$1,"]")),MATCH(vp.tbl[[#This Row],[SDate]],weather.tbl[Date],0))</f>
        <v>-1.8</v>
      </c>
      <c r="S633" s="2">
        <f ca="1">INDEX(INDIRECT(_xlfn.CONCAT("weather.tbl[",S$1,"]")),MATCH(vp.tbl[[#This Row],[SDate]],weather.tbl[Date],0))</f>
        <v>0.2</v>
      </c>
      <c r="T633" s="2">
        <f ca="1">INDEX(INDIRECT(_xlfn.CONCAT("weather.tbl[",T$1,"]")),MATCH(vp.tbl[[#This Row],[SDate]],weather.tbl[Date],0))</f>
        <v>-3.8</v>
      </c>
      <c r="U633" s="2">
        <f ca="1">INDEX(INDIRECT(_xlfn.CONCAT("weather.tbl[",U$1,"]")),MATCH(vp.tbl[[#This Row],[SDate]],weather.tbl[Date],0))</f>
        <v>1.5</v>
      </c>
      <c r="V633" s="2">
        <v>105136.144</v>
      </c>
      <c r="W633" t="s">
        <v>48</v>
      </c>
      <c r="X633">
        <f>IF(OR(vp.tbl[[#This Row],[Sulf]]="",vp.tbl[[#This Row],[Dens]]=""),1,0)</f>
        <v>0</v>
      </c>
      <c r="Y633">
        <f>IF(vp.tbl[[#This Row],[CrudeType]]="C5+",1,0)</f>
        <v>0</v>
      </c>
      <c r="Z633">
        <f>IF(AND(vp.tbl[[#This Row],[CrudeType]]="Crude",vp.tbl[[#This Row],[Dens]]&lt;=825,vp.tbl[[#This Row],[Sulf]]&gt;0.5,vp.tbl[[#This Row],[Unknown]]=0),1,0)</f>
        <v>0</v>
      </c>
      <c r="AA633">
        <f>IF(AND(vp.tbl[[#This Row],[CrudeType]]="Crude",vp.tbl[[#This Row],[Dens]]&lt;=825,vp.tbl[[#This Row],[Sulf]]&lt;=0.5,vp.tbl[[#This Row],[Unknown]]=0),1,0)</f>
        <v>0</v>
      </c>
      <c r="AB633">
        <f>IF(AND(vp.tbl[[#This Row],[CrudeType]]="Crude",vp.tbl[[#This Row],[Dens]]&gt;825,vp.tbl[[#This Row],[Dens]]&lt;=870,vp.tbl[[#This Row],[Sulf]]&gt;0.5,vp.tbl[[#This Row],[Unknown]]=0),1,0)</f>
        <v>1</v>
      </c>
      <c r="AC633">
        <f>IF(AND(vp.tbl[[#This Row],[CrudeType]]="Crude",vp.tbl[[#This Row],[Dens]]&gt;825,vp.tbl[[#This Row],[Dens]]&lt;=900,vp.tbl[[#This Row],[Sulf]]&lt;=0.5,vp.tbl[[#This Row],[Unknown]]=0),1,0)</f>
        <v>0</v>
      </c>
      <c r="AD633">
        <f>IF(AND(vp.tbl[[#This Row],[CrudeType]]="Crude",vp.tbl[[#This Row],[Dens]]&gt;870,vp.tbl[[#This Row],[Dens]]&lt;=900,vp.tbl[[#This Row],[Sulf]]&gt;0.5,vp.tbl[[#This Row],[Unknown]]=0),1,0)</f>
        <v>0</v>
      </c>
      <c r="AE633">
        <f>IF(AND(vp.tbl[[#This Row],[CrudeType]]="Crude",vp.tbl[[#This Row],[Dens]]&gt;900,vp.tbl[[#This Row],[Sulf]]&lt;=0.5,vp.tbl[[#This Row],[Unknown]]=0),1,0)</f>
        <v>0</v>
      </c>
      <c r="AF633">
        <f>IF(AND(vp.tbl[[#This Row],[CrudeType]]="Crude",vp.tbl[[#This Row],[Dens]]&gt;900,vp.tbl[[#This Row],[Sulf]]&lt;=0.5,vp.tbl[[#This Row],[Unknown]]=0),1,0)</f>
        <v>0</v>
      </c>
      <c r="AG633" t="str">
        <f>INDEX(vp.tbl[[#Headers],[Unknown]:[Heavy_SW]],MATCH(1,vp.tbl[[#This Row],[Unknown]:[Heavy_SW]],0))</f>
        <v>Medium_LSB</v>
      </c>
      <c r="AH633" t="e">
        <f>INDEX([1]!crudeBD.lkup[Number],MATCH(vp.tbl[[#This Row],[Crude_Breakdown]],[1]!crudeBD.lkup[Crude Breakdown],0))</f>
        <v>#REF!</v>
      </c>
      <c r="AI633">
        <f>MONTH(vp.tbl[[#This Row],[SDate]])</f>
        <v>1</v>
      </c>
      <c r="AJ633" s="5">
        <f>IFERROR(vp.tbl[[#This Row],[Sulf]]*vp.tbl[[#This Row],[Net Dens]],"")</f>
        <v>108730117.94649598</v>
      </c>
      <c r="AK633" s="5">
        <f>IFERROR(vp.tbl[[#This Row],[Dens]]*vp.tbl[[#This Row],[VolumeM3]],"")</f>
        <v>88398469.875199988</v>
      </c>
      <c r="AL633" s="5">
        <f>IFERROR(vp.tbl[[#This Row],[VP]]*vp.tbl[[#This Row],[VolumeM3]],"")</f>
        <v>9262494.2863999996</v>
      </c>
      <c r="AM633" s="4">
        <f>IFERROR((vp.tbl[[#This Row],[VP]]-INDEX(crudeBD.lkup.complete[Mean_VP],MATCH(vp.tbl[[#This Row],[Crude_Breakdown]],crudeBD.lkup.complete[Crude Breakdown],0)))^2,"")</f>
        <v>62.827897227367906</v>
      </c>
      <c r="AN633" s="4">
        <f>IFERROR((vp.tbl[[#This Row],[Dens]]-INDEX(crudeBD.lkup.complete[Mean_Dens],MATCH(vp.tbl[[#This Row],[Crude_Breakdown]],crudeBD.lkup.complete[Crude Breakdown],0)))^2,"")</f>
        <v>20.176471930130962</v>
      </c>
      <c r="AO633" s="4">
        <f>IFERROR((vp.tbl[[#This Row],[Sulf]]-INDEX(crudeBD.lkup.complete[Mean_Sulf],MATCH(vp.tbl[[#This Row],[Crude_Breakdown]],crudeBD.lkup.complete[Crude Breakdown],0)))^2,"")</f>
        <v>5.0593442261285884E-2</v>
      </c>
      <c r="AP633">
        <f>IF(AND(vp.tbl[[#This Row],[SDate]]&gt;=DATE(YEAR(vp.tbl[[#This Row],[SDate]]),5,1),vp.tbl[[#This Row],[SDate]]&lt;=DATE(YEAR(vp.tbl[[#This Row],[SDate]]),9,15)),1,0)</f>
        <v>0</v>
      </c>
      <c r="AQ633" s="15">
        <f>IF(vp.tbl[[#This Row],[SDate]]&lt;DATE(2016,12,1),0,1)</f>
        <v>1</v>
      </c>
    </row>
    <row r="634" spans="1:43" x14ac:dyDescent="0.25">
      <c r="A634">
        <v>633</v>
      </c>
      <c r="B634" t="s">
        <v>49</v>
      </c>
      <c r="C634" t="s">
        <v>49</v>
      </c>
      <c r="D634" t="s">
        <v>75</v>
      </c>
      <c r="F634" s="1">
        <v>42755</v>
      </c>
      <c r="G634" s="2">
        <v>93.5</v>
      </c>
      <c r="H634" s="2"/>
      <c r="I634" s="2">
        <v>0.26</v>
      </c>
      <c r="J634" s="2">
        <v>25.6</v>
      </c>
      <c r="K634" s="2">
        <v>-8</v>
      </c>
      <c r="L634" s="2">
        <v>803.6</v>
      </c>
      <c r="M634" s="2">
        <v>803.6</v>
      </c>
      <c r="N634" s="2">
        <f ca="1">INDEX(INDIRECT(_xlfn.CONCAT("weather.tbl[",N$1,"]")),MATCH(vp.tbl[[#This Row],[SDate]],weather.tbl[Date],0))</f>
        <v>-5.833333333333333</v>
      </c>
      <c r="O634" s="2">
        <f ca="1">INDEX(INDIRECT(_xlfn.CONCAT("weather.tbl[",O$1,"]")),MATCH(vp.tbl[[#This Row],[SDate]],weather.tbl[Date],0))</f>
        <v>-7.2738095238095237</v>
      </c>
      <c r="P634" s="2">
        <f ca="1">INDEX(INDIRECT(_xlfn.CONCAT("weather.tbl[",P$1,"]")),MATCH(vp.tbl[[#This Row],[SDate]],weather.tbl[Date],0))</f>
        <v>-8.3000000000000007</v>
      </c>
      <c r="Q634" s="2">
        <f ca="1">INDEX(INDIRECT(_xlfn.CONCAT("weather.tbl[",Q$1,"]")),MATCH(vp.tbl[[#This Row],[SDate]],weather.tbl[Date],0))</f>
        <v>-6</v>
      </c>
      <c r="R634" s="2">
        <f ca="1">INDEX(INDIRECT(_xlfn.CONCAT("weather.tbl[",R$1,"]")),MATCH(vp.tbl[[#This Row],[SDate]],weather.tbl[Date],0))</f>
        <v>-9.5</v>
      </c>
      <c r="S634" s="2">
        <f ca="1">INDEX(INDIRECT(_xlfn.CONCAT("weather.tbl[",S$1,"]")),MATCH(vp.tbl[[#This Row],[SDate]],weather.tbl[Date],0))</f>
        <v>-3</v>
      </c>
      <c r="T634" s="2">
        <f ca="1">INDEX(INDIRECT(_xlfn.CONCAT("weather.tbl[",T$1,"]")),MATCH(vp.tbl[[#This Row],[SDate]],weather.tbl[Date],0))</f>
        <v>-6.2</v>
      </c>
      <c r="U634" s="2">
        <f ca="1">INDEX(INDIRECT(_xlfn.CONCAT("weather.tbl[",U$1,"]")),MATCH(vp.tbl[[#This Row],[SDate]],weather.tbl[Date],0))</f>
        <v>-2</v>
      </c>
      <c r="V634" s="2">
        <v>12738.714</v>
      </c>
      <c r="W634" t="s">
        <v>48</v>
      </c>
      <c r="X634">
        <f>IF(OR(vp.tbl[[#This Row],[Sulf]]="",vp.tbl[[#This Row],[Dens]]=""),1,0)</f>
        <v>0</v>
      </c>
      <c r="Y634">
        <f>IF(vp.tbl[[#This Row],[CrudeType]]="C5+",1,0)</f>
        <v>0</v>
      </c>
      <c r="Z634">
        <f>IF(AND(vp.tbl[[#This Row],[CrudeType]]="Crude",vp.tbl[[#This Row],[Dens]]&lt;=825,vp.tbl[[#This Row],[Sulf]]&gt;0.5,vp.tbl[[#This Row],[Unknown]]=0),1,0)</f>
        <v>0</v>
      </c>
      <c r="AA634">
        <f>IF(AND(vp.tbl[[#This Row],[CrudeType]]="Crude",vp.tbl[[#This Row],[Dens]]&lt;=825,vp.tbl[[#This Row],[Sulf]]&lt;=0.5,vp.tbl[[#This Row],[Unknown]]=0),1,0)</f>
        <v>1</v>
      </c>
      <c r="AB634">
        <f>IF(AND(vp.tbl[[#This Row],[CrudeType]]="Crude",vp.tbl[[#This Row],[Dens]]&gt;825,vp.tbl[[#This Row],[Dens]]&lt;=870,vp.tbl[[#This Row],[Sulf]]&gt;0.5,vp.tbl[[#This Row],[Unknown]]=0),1,0)</f>
        <v>0</v>
      </c>
      <c r="AC634">
        <f>IF(AND(vp.tbl[[#This Row],[CrudeType]]="Crude",vp.tbl[[#This Row],[Dens]]&gt;825,vp.tbl[[#This Row],[Dens]]&lt;=900,vp.tbl[[#This Row],[Sulf]]&lt;=0.5,vp.tbl[[#This Row],[Unknown]]=0),1,0)</f>
        <v>0</v>
      </c>
      <c r="AD634">
        <f>IF(AND(vp.tbl[[#This Row],[CrudeType]]="Crude",vp.tbl[[#This Row],[Dens]]&gt;870,vp.tbl[[#This Row],[Dens]]&lt;=900,vp.tbl[[#This Row],[Sulf]]&gt;0.5,vp.tbl[[#This Row],[Unknown]]=0),1,0)</f>
        <v>0</v>
      </c>
      <c r="AE634">
        <f>IF(AND(vp.tbl[[#This Row],[CrudeType]]="Crude",vp.tbl[[#This Row],[Dens]]&gt;900,vp.tbl[[#This Row],[Sulf]]&lt;=0.5,vp.tbl[[#This Row],[Unknown]]=0),1,0)</f>
        <v>0</v>
      </c>
      <c r="AF634">
        <f>IF(AND(vp.tbl[[#This Row],[CrudeType]]="Crude",vp.tbl[[#This Row],[Dens]]&gt;900,vp.tbl[[#This Row],[Sulf]]&lt;=0.5,vp.tbl[[#This Row],[Unknown]]=0),1,0)</f>
        <v>0</v>
      </c>
      <c r="AG634" t="str">
        <f>INDEX(vp.tbl[[#Headers],[Unknown]:[Heavy_SW]],MATCH(1,vp.tbl[[#This Row],[Unknown]:[Heavy_SW]],0))</f>
        <v>Light_SW</v>
      </c>
      <c r="AH634" t="e">
        <f>INDEX([1]!crudeBD.lkup[Number],MATCH(vp.tbl[[#This Row],[Crude_Breakdown]],[1]!crudeBD.lkup[Crude Breakdown],0))</f>
        <v>#REF!</v>
      </c>
      <c r="AI634">
        <f>MONTH(vp.tbl[[#This Row],[SDate]])</f>
        <v>1</v>
      </c>
      <c r="AJ634" s="5">
        <f>IFERROR(vp.tbl[[#This Row],[Sulf]]*vp.tbl[[#This Row],[Net Dens]],"")</f>
        <v>2661575.9483039998</v>
      </c>
      <c r="AK634" s="5">
        <f>IFERROR(vp.tbl[[#This Row],[Dens]]*vp.tbl[[#This Row],[VolumeM3]],"")</f>
        <v>10236830.5704</v>
      </c>
      <c r="AL634" s="5">
        <f>IFERROR(vp.tbl[[#This Row],[VP]]*vp.tbl[[#This Row],[VolumeM3]],"")</f>
        <v>1191069.7590000001</v>
      </c>
      <c r="AM634" s="4">
        <f>IFERROR((vp.tbl[[#This Row],[VP]]-INDEX(crudeBD.lkup.complete[Mean_VP],MATCH(vp.tbl[[#This Row],[Crude_Breakdown]],crudeBD.lkup.complete[Crude Breakdown],0)))^2,"")</f>
        <v>0.90190427952269203</v>
      </c>
      <c r="AN634" s="4">
        <f>IFERROR((vp.tbl[[#This Row],[Dens]]-INDEX(crudeBD.lkup.complete[Mean_Dens],MATCH(vp.tbl[[#This Row],[Crude_Breakdown]],crudeBD.lkup.complete[Crude Breakdown],0)))^2,"")</f>
        <v>22.198215833624456</v>
      </c>
      <c r="AO634" s="4">
        <f>IFERROR((vp.tbl[[#This Row],[Sulf]]-INDEX(crudeBD.lkup.complete[Mean_Sulf],MATCH(vp.tbl[[#This Row],[Crude_Breakdown]],crudeBD.lkup.complete[Crude Breakdown],0)))^2,"")</f>
        <v>5.644515043280923E-4</v>
      </c>
      <c r="AP634">
        <f>IF(AND(vp.tbl[[#This Row],[SDate]]&gt;=DATE(YEAR(vp.tbl[[#This Row],[SDate]]),5,1),vp.tbl[[#This Row],[SDate]]&lt;=DATE(YEAR(vp.tbl[[#This Row],[SDate]]),9,15)),1,0)</f>
        <v>0</v>
      </c>
      <c r="AQ634" s="15">
        <f>IF(vp.tbl[[#This Row],[SDate]]&lt;DATE(2016,12,1),0,1)</f>
        <v>1</v>
      </c>
    </row>
    <row r="635" spans="1:43" x14ac:dyDescent="0.25">
      <c r="A635">
        <v>634</v>
      </c>
      <c r="B635" t="s">
        <v>62</v>
      </c>
      <c r="C635" t="s">
        <v>62</v>
      </c>
      <c r="D635" t="s">
        <v>83</v>
      </c>
      <c r="F635" s="1">
        <v>42755</v>
      </c>
      <c r="G635" s="2">
        <v>83.5</v>
      </c>
      <c r="H635" s="2"/>
      <c r="I635" s="2">
        <v>0.17</v>
      </c>
      <c r="J635" s="2">
        <v>2.1</v>
      </c>
      <c r="K635" s="2">
        <v>-8</v>
      </c>
      <c r="L635" s="2">
        <v>810</v>
      </c>
      <c r="M635" s="2">
        <v>810</v>
      </c>
      <c r="N635" s="2">
        <f ca="1">INDEX(INDIRECT(_xlfn.CONCAT("weather.tbl[",N$1,"]")),MATCH(vp.tbl[[#This Row],[SDate]],weather.tbl[Date],0))</f>
        <v>-5.833333333333333</v>
      </c>
      <c r="O635" s="2">
        <f ca="1">INDEX(INDIRECT(_xlfn.CONCAT("weather.tbl[",O$1,"]")),MATCH(vp.tbl[[#This Row],[SDate]],weather.tbl[Date],0))</f>
        <v>-7.2738095238095237</v>
      </c>
      <c r="P635" s="2">
        <f ca="1">INDEX(INDIRECT(_xlfn.CONCAT("weather.tbl[",P$1,"]")),MATCH(vp.tbl[[#This Row],[SDate]],weather.tbl[Date],0))</f>
        <v>-8.3000000000000007</v>
      </c>
      <c r="Q635" s="2">
        <f ca="1">INDEX(INDIRECT(_xlfn.CONCAT("weather.tbl[",Q$1,"]")),MATCH(vp.tbl[[#This Row],[SDate]],weather.tbl[Date],0))</f>
        <v>-6</v>
      </c>
      <c r="R635" s="2">
        <f ca="1">INDEX(INDIRECT(_xlfn.CONCAT("weather.tbl[",R$1,"]")),MATCH(vp.tbl[[#This Row],[SDate]],weather.tbl[Date],0))</f>
        <v>-9.5</v>
      </c>
      <c r="S635" s="2">
        <f ca="1">INDEX(INDIRECT(_xlfn.CONCAT("weather.tbl[",S$1,"]")),MATCH(vp.tbl[[#This Row],[SDate]],weather.tbl[Date],0))</f>
        <v>-3</v>
      </c>
      <c r="T635" s="2">
        <f ca="1">INDEX(INDIRECT(_xlfn.CONCAT("weather.tbl[",T$1,"]")),MATCH(vp.tbl[[#This Row],[SDate]],weather.tbl[Date],0))</f>
        <v>-6.2</v>
      </c>
      <c r="U635" s="2">
        <f ca="1">INDEX(INDIRECT(_xlfn.CONCAT("weather.tbl[",U$1,"]")),MATCH(vp.tbl[[#This Row],[SDate]],weather.tbl[Date],0))</f>
        <v>-2</v>
      </c>
      <c r="V635" s="2">
        <v>8873.2939999999999</v>
      </c>
      <c r="W635" t="s">
        <v>48</v>
      </c>
      <c r="X635">
        <f>IF(OR(vp.tbl[[#This Row],[Sulf]]="",vp.tbl[[#This Row],[Dens]]=""),1,0)</f>
        <v>0</v>
      </c>
      <c r="Y635">
        <f>IF(vp.tbl[[#This Row],[CrudeType]]="C5+",1,0)</f>
        <v>0</v>
      </c>
      <c r="Z635">
        <f>IF(AND(vp.tbl[[#This Row],[CrudeType]]="Crude",vp.tbl[[#This Row],[Dens]]&lt;=825,vp.tbl[[#This Row],[Sulf]]&gt;0.5,vp.tbl[[#This Row],[Unknown]]=0),1,0)</f>
        <v>0</v>
      </c>
      <c r="AA635">
        <f>IF(AND(vp.tbl[[#This Row],[CrudeType]]="Crude",vp.tbl[[#This Row],[Dens]]&lt;=825,vp.tbl[[#This Row],[Sulf]]&lt;=0.5,vp.tbl[[#This Row],[Unknown]]=0),1,0)</f>
        <v>1</v>
      </c>
      <c r="AB635">
        <f>IF(AND(vp.tbl[[#This Row],[CrudeType]]="Crude",vp.tbl[[#This Row],[Dens]]&gt;825,vp.tbl[[#This Row],[Dens]]&lt;=870,vp.tbl[[#This Row],[Sulf]]&gt;0.5,vp.tbl[[#This Row],[Unknown]]=0),1,0)</f>
        <v>0</v>
      </c>
      <c r="AC635">
        <f>IF(AND(vp.tbl[[#This Row],[CrudeType]]="Crude",vp.tbl[[#This Row],[Dens]]&gt;825,vp.tbl[[#This Row],[Dens]]&lt;=900,vp.tbl[[#This Row],[Sulf]]&lt;=0.5,vp.tbl[[#This Row],[Unknown]]=0),1,0)</f>
        <v>0</v>
      </c>
      <c r="AD635">
        <f>IF(AND(vp.tbl[[#This Row],[CrudeType]]="Crude",vp.tbl[[#This Row],[Dens]]&gt;870,vp.tbl[[#This Row],[Dens]]&lt;=900,vp.tbl[[#This Row],[Sulf]]&gt;0.5,vp.tbl[[#This Row],[Unknown]]=0),1,0)</f>
        <v>0</v>
      </c>
      <c r="AE635">
        <f>IF(AND(vp.tbl[[#This Row],[CrudeType]]="Crude",vp.tbl[[#This Row],[Dens]]&gt;900,vp.tbl[[#This Row],[Sulf]]&lt;=0.5,vp.tbl[[#This Row],[Unknown]]=0),1,0)</f>
        <v>0</v>
      </c>
      <c r="AF635">
        <f>IF(AND(vp.tbl[[#This Row],[CrudeType]]="Crude",vp.tbl[[#This Row],[Dens]]&gt;900,vp.tbl[[#This Row],[Sulf]]&lt;=0.5,vp.tbl[[#This Row],[Unknown]]=0),1,0)</f>
        <v>0</v>
      </c>
      <c r="AG635" t="str">
        <f>INDEX(vp.tbl[[#Headers],[Unknown]:[Heavy_SW]],MATCH(1,vp.tbl[[#This Row],[Unknown]:[Heavy_SW]],0))</f>
        <v>Light_SW</v>
      </c>
      <c r="AH635" t="e">
        <f>INDEX([1]!crudeBD.lkup[Number],MATCH(vp.tbl[[#This Row],[Crude_Breakdown]],[1]!crudeBD.lkup[Crude Breakdown],0))</f>
        <v>#REF!</v>
      </c>
      <c r="AI635">
        <f>MONTH(vp.tbl[[#This Row],[SDate]])</f>
        <v>1</v>
      </c>
      <c r="AJ635" s="5">
        <f>IFERROR(vp.tbl[[#This Row],[Sulf]]*vp.tbl[[#This Row],[Net Dens]],"")</f>
        <v>1221852.5838000001</v>
      </c>
      <c r="AK635" s="5">
        <f>IFERROR(vp.tbl[[#This Row],[Dens]]*vp.tbl[[#This Row],[VolumeM3]],"")</f>
        <v>7187368.1399999997</v>
      </c>
      <c r="AL635" s="5">
        <f>IFERROR(vp.tbl[[#This Row],[VP]]*vp.tbl[[#This Row],[VolumeM3]],"")</f>
        <v>740920.049</v>
      </c>
      <c r="AM635" s="4">
        <f>IFERROR((vp.tbl[[#This Row],[VP]]-INDEX(crudeBD.lkup.complete[Mean_VP],MATCH(vp.tbl[[#This Row],[Crude_Breakdown]],crudeBD.lkup.complete[Crude Breakdown],0)))^2,"")</f>
        <v>81.908176056525591</v>
      </c>
      <c r="AN635" s="4">
        <f>IFERROR((vp.tbl[[#This Row],[Dens]]-INDEX(crudeBD.lkup.complete[Mean_Dens],MATCH(vp.tbl[[#This Row],[Crude_Breakdown]],crudeBD.lkup.complete[Crude Breakdown],0)))^2,"")</f>
        <v>2.851038133279034</v>
      </c>
      <c r="AO635" s="4">
        <f>IFERROR((vp.tbl[[#This Row],[Sulf]]-INDEX(crudeBD.lkup.complete[Mean_Sulf],MATCH(vp.tbl[[#This Row],[Crude_Breakdown]],crudeBD.lkup.complete[Crude Breakdown],0)))^2,"")</f>
        <v>4.3879776367322437E-3</v>
      </c>
      <c r="AP635">
        <f>IF(AND(vp.tbl[[#This Row],[SDate]]&gt;=DATE(YEAR(vp.tbl[[#This Row],[SDate]]),5,1),vp.tbl[[#This Row],[SDate]]&lt;=DATE(YEAR(vp.tbl[[#This Row],[SDate]]),9,15)),1,0)</f>
        <v>0</v>
      </c>
      <c r="AQ635" s="15">
        <f>IF(vp.tbl[[#This Row],[SDate]]&lt;DATE(2016,12,1),0,1)</f>
        <v>1</v>
      </c>
    </row>
    <row r="636" spans="1:43" x14ac:dyDescent="0.25">
      <c r="A636">
        <v>635</v>
      </c>
      <c r="B636" t="s">
        <v>49</v>
      </c>
      <c r="C636" t="s">
        <v>49</v>
      </c>
      <c r="D636" t="s">
        <v>146</v>
      </c>
      <c r="F636" s="1">
        <v>42755</v>
      </c>
      <c r="G636" s="2">
        <v>88.7</v>
      </c>
      <c r="H636" s="2"/>
      <c r="I636" s="2">
        <v>0.59</v>
      </c>
      <c r="J636" s="2">
        <v>2.8</v>
      </c>
      <c r="K636" s="2">
        <v>-8</v>
      </c>
      <c r="L636" s="2">
        <v>817.5</v>
      </c>
      <c r="M636" s="2">
        <v>817.5</v>
      </c>
      <c r="N636" s="2">
        <f ca="1">INDEX(INDIRECT(_xlfn.CONCAT("weather.tbl[",N$1,"]")),MATCH(vp.tbl[[#This Row],[SDate]],weather.tbl[Date],0))</f>
        <v>-5.833333333333333</v>
      </c>
      <c r="O636" s="2">
        <f ca="1">INDEX(INDIRECT(_xlfn.CONCAT("weather.tbl[",O$1,"]")),MATCH(vp.tbl[[#This Row],[SDate]],weather.tbl[Date],0))</f>
        <v>-7.2738095238095237</v>
      </c>
      <c r="P636" s="2">
        <f ca="1">INDEX(INDIRECT(_xlfn.CONCAT("weather.tbl[",P$1,"]")),MATCH(vp.tbl[[#This Row],[SDate]],weather.tbl[Date],0))</f>
        <v>-8.3000000000000007</v>
      </c>
      <c r="Q636" s="2">
        <f ca="1">INDEX(INDIRECT(_xlfn.CONCAT("weather.tbl[",Q$1,"]")),MATCH(vp.tbl[[#This Row],[SDate]],weather.tbl[Date],0))</f>
        <v>-6</v>
      </c>
      <c r="R636" s="2">
        <f ca="1">INDEX(INDIRECT(_xlfn.CONCAT("weather.tbl[",R$1,"]")),MATCH(vp.tbl[[#This Row],[SDate]],weather.tbl[Date],0))</f>
        <v>-9.5</v>
      </c>
      <c r="S636" s="2">
        <f ca="1">INDEX(INDIRECT(_xlfn.CONCAT("weather.tbl[",S$1,"]")),MATCH(vp.tbl[[#This Row],[SDate]],weather.tbl[Date],0))</f>
        <v>-3</v>
      </c>
      <c r="T636" s="2">
        <f ca="1">INDEX(INDIRECT(_xlfn.CONCAT("weather.tbl[",T$1,"]")),MATCH(vp.tbl[[#This Row],[SDate]],weather.tbl[Date],0))</f>
        <v>-6.2</v>
      </c>
      <c r="U636" s="2">
        <f ca="1">INDEX(INDIRECT(_xlfn.CONCAT("weather.tbl[",U$1,"]")),MATCH(vp.tbl[[#This Row],[SDate]],weather.tbl[Date],0))</f>
        <v>-2</v>
      </c>
      <c r="V636" s="2">
        <v>1396.904</v>
      </c>
      <c r="W636" t="s">
        <v>48</v>
      </c>
      <c r="X636">
        <f>IF(OR(vp.tbl[[#This Row],[Sulf]]="",vp.tbl[[#This Row],[Dens]]=""),1,0)</f>
        <v>0</v>
      </c>
      <c r="Y636">
        <f>IF(vp.tbl[[#This Row],[CrudeType]]="C5+",1,0)</f>
        <v>0</v>
      </c>
      <c r="Z636">
        <f>IF(AND(vp.tbl[[#This Row],[CrudeType]]="Crude",vp.tbl[[#This Row],[Dens]]&lt;=825,vp.tbl[[#This Row],[Sulf]]&gt;0.5,vp.tbl[[#This Row],[Unknown]]=0),1,0)</f>
        <v>1</v>
      </c>
      <c r="AA636">
        <f>IF(AND(vp.tbl[[#This Row],[CrudeType]]="Crude",vp.tbl[[#This Row],[Dens]]&lt;=825,vp.tbl[[#This Row],[Sulf]]&lt;=0.5,vp.tbl[[#This Row],[Unknown]]=0),1,0)</f>
        <v>0</v>
      </c>
      <c r="AB636">
        <f>IF(AND(vp.tbl[[#This Row],[CrudeType]]="Crude",vp.tbl[[#This Row],[Dens]]&gt;825,vp.tbl[[#This Row],[Dens]]&lt;=870,vp.tbl[[#This Row],[Sulf]]&gt;0.5,vp.tbl[[#This Row],[Unknown]]=0),1,0)</f>
        <v>0</v>
      </c>
      <c r="AC636">
        <f>IF(AND(vp.tbl[[#This Row],[CrudeType]]="Crude",vp.tbl[[#This Row],[Dens]]&gt;825,vp.tbl[[#This Row],[Dens]]&lt;=900,vp.tbl[[#This Row],[Sulf]]&lt;=0.5,vp.tbl[[#This Row],[Unknown]]=0),1,0)</f>
        <v>0</v>
      </c>
      <c r="AD636">
        <f>IF(AND(vp.tbl[[#This Row],[CrudeType]]="Crude",vp.tbl[[#This Row],[Dens]]&gt;870,vp.tbl[[#This Row],[Dens]]&lt;=900,vp.tbl[[#This Row],[Sulf]]&gt;0.5,vp.tbl[[#This Row],[Unknown]]=0),1,0)</f>
        <v>0</v>
      </c>
      <c r="AE636">
        <f>IF(AND(vp.tbl[[#This Row],[CrudeType]]="Crude",vp.tbl[[#This Row],[Dens]]&gt;900,vp.tbl[[#This Row],[Sulf]]&lt;=0.5,vp.tbl[[#This Row],[Unknown]]=0),1,0)</f>
        <v>0</v>
      </c>
      <c r="AF636">
        <f>IF(AND(vp.tbl[[#This Row],[CrudeType]]="Crude",vp.tbl[[#This Row],[Dens]]&gt;900,vp.tbl[[#This Row],[Sulf]]&lt;=0.5,vp.tbl[[#This Row],[Unknown]]=0),1,0)</f>
        <v>0</v>
      </c>
      <c r="AG636" t="str">
        <f>INDEX(vp.tbl[[#Headers],[Unknown]:[Heavy_SW]],MATCH(1,vp.tbl[[#This Row],[Unknown]:[Heavy_SW]],0))</f>
        <v>Light_LSB</v>
      </c>
      <c r="AH636" t="e">
        <f>INDEX([1]!crudeBD.lkup[Number],MATCH(vp.tbl[[#This Row],[Crude_Breakdown]],[1]!crudeBD.lkup[Crude Breakdown],0))</f>
        <v>#REF!</v>
      </c>
      <c r="AI636">
        <f>MONTH(vp.tbl[[#This Row],[SDate]])</f>
        <v>1</v>
      </c>
      <c r="AJ636" s="5">
        <f>IFERROR(vp.tbl[[#This Row],[Sulf]]*vp.tbl[[#This Row],[Net Dens]],"")</f>
        <v>673761.72179999994</v>
      </c>
      <c r="AK636" s="5">
        <f>IFERROR(vp.tbl[[#This Row],[Dens]]*vp.tbl[[#This Row],[VolumeM3]],"")</f>
        <v>1141969.02</v>
      </c>
      <c r="AL636" s="5">
        <f>IFERROR(vp.tbl[[#This Row],[VP]]*vp.tbl[[#This Row],[VolumeM3]],"")</f>
        <v>123905.3848</v>
      </c>
      <c r="AM636" s="4">
        <f>IFERROR((vp.tbl[[#This Row],[VP]]-INDEX(crudeBD.lkup.complete[Mean_VP],MATCH(vp.tbl[[#This Row],[Crude_Breakdown]],crudeBD.lkup.complete[Crude Breakdown],0)))^2,"")</f>
        <v>8.1007722818579566</v>
      </c>
      <c r="AN636" s="4">
        <f>IFERROR((vp.tbl[[#This Row],[Dens]]-INDEX(crudeBD.lkup.complete[Mean_Dens],MATCH(vp.tbl[[#This Row],[Crude_Breakdown]],crudeBD.lkup.complete[Crude Breakdown],0)))^2,"")</f>
        <v>1.0338207437317215</v>
      </c>
      <c r="AO636" s="4">
        <f>IFERROR((vp.tbl[[#This Row],[Sulf]]-INDEX(crudeBD.lkup.complete[Mean_Sulf],MATCH(vp.tbl[[#This Row],[Crude_Breakdown]],crudeBD.lkup.complete[Crude Breakdown],0)))^2,"")</f>
        <v>0.11086979897559178</v>
      </c>
      <c r="AP636">
        <f>IF(AND(vp.tbl[[#This Row],[SDate]]&gt;=DATE(YEAR(vp.tbl[[#This Row],[SDate]]),5,1),vp.tbl[[#This Row],[SDate]]&lt;=DATE(YEAR(vp.tbl[[#This Row],[SDate]]),9,15)),1,0)</f>
        <v>0</v>
      </c>
      <c r="AQ636" s="15">
        <f>IF(vp.tbl[[#This Row],[SDate]]&lt;DATE(2016,12,1),0,1)</f>
        <v>1</v>
      </c>
    </row>
    <row r="637" spans="1:43" x14ac:dyDescent="0.25">
      <c r="A637">
        <v>636</v>
      </c>
      <c r="B637" t="s">
        <v>49</v>
      </c>
      <c r="C637" t="s">
        <v>49</v>
      </c>
      <c r="D637" t="s">
        <v>67</v>
      </c>
      <c r="F637" s="1">
        <v>42755</v>
      </c>
      <c r="G637" s="2">
        <v>96.1</v>
      </c>
      <c r="H637" s="2"/>
      <c r="I637" s="2">
        <v>0.59</v>
      </c>
      <c r="J637" s="2">
        <v>7.5</v>
      </c>
      <c r="K637" s="2">
        <v>-8</v>
      </c>
      <c r="L637" s="2">
        <v>822.1</v>
      </c>
      <c r="M637" s="2">
        <v>822.1</v>
      </c>
      <c r="N637" s="2">
        <f ca="1">INDEX(INDIRECT(_xlfn.CONCAT("weather.tbl[",N$1,"]")),MATCH(vp.tbl[[#This Row],[SDate]],weather.tbl[Date],0))</f>
        <v>-5.833333333333333</v>
      </c>
      <c r="O637" s="2">
        <f ca="1">INDEX(INDIRECT(_xlfn.CONCAT("weather.tbl[",O$1,"]")),MATCH(vp.tbl[[#This Row],[SDate]],weather.tbl[Date],0))</f>
        <v>-7.2738095238095237</v>
      </c>
      <c r="P637" s="2">
        <f ca="1">INDEX(INDIRECT(_xlfn.CONCAT("weather.tbl[",P$1,"]")),MATCH(vp.tbl[[#This Row],[SDate]],weather.tbl[Date],0))</f>
        <v>-8.3000000000000007</v>
      </c>
      <c r="Q637" s="2">
        <f ca="1">INDEX(INDIRECT(_xlfn.CONCAT("weather.tbl[",Q$1,"]")),MATCH(vp.tbl[[#This Row],[SDate]],weather.tbl[Date],0))</f>
        <v>-6</v>
      </c>
      <c r="R637" s="2">
        <f ca="1">INDEX(INDIRECT(_xlfn.CONCAT("weather.tbl[",R$1,"]")),MATCH(vp.tbl[[#This Row],[SDate]],weather.tbl[Date],0))</f>
        <v>-9.5</v>
      </c>
      <c r="S637" s="2">
        <f ca="1">INDEX(INDIRECT(_xlfn.CONCAT("weather.tbl[",S$1,"]")),MATCH(vp.tbl[[#This Row],[SDate]],weather.tbl[Date],0))</f>
        <v>-3</v>
      </c>
      <c r="T637" s="2">
        <f ca="1">INDEX(INDIRECT(_xlfn.CONCAT("weather.tbl[",T$1,"]")),MATCH(vp.tbl[[#This Row],[SDate]],weather.tbl[Date],0))</f>
        <v>-6.2</v>
      </c>
      <c r="U637" s="2">
        <f ca="1">INDEX(INDIRECT(_xlfn.CONCAT("weather.tbl[",U$1,"]")),MATCH(vp.tbl[[#This Row],[SDate]],weather.tbl[Date],0))</f>
        <v>-2</v>
      </c>
      <c r="V637" s="2">
        <v>122139.87</v>
      </c>
      <c r="W637" t="s">
        <v>48</v>
      </c>
      <c r="X637">
        <f>IF(OR(vp.tbl[[#This Row],[Sulf]]="",vp.tbl[[#This Row],[Dens]]=""),1,0)</f>
        <v>0</v>
      </c>
      <c r="Y637">
        <f>IF(vp.tbl[[#This Row],[CrudeType]]="C5+",1,0)</f>
        <v>0</v>
      </c>
      <c r="Z637">
        <f>IF(AND(vp.tbl[[#This Row],[CrudeType]]="Crude",vp.tbl[[#This Row],[Dens]]&lt;=825,vp.tbl[[#This Row],[Sulf]]&gt;0.5,vp.tbl[[#This Row],[Unknown]]=0),1,0)</f>
        <v>1</v>
      </c>
      <c r="AA637">
        <f>IF(AND(vp.tbl[[#This Row],[CrudeType]]="Crude",vp.tbl[[#This Row],[Dens]]&lt;=825,vp.tbl[[#This Row],[Sulf]]&lt;=0.5,vp.tbl[[#This Row],[Unknown]]=0),1,0)</f>
        <v>0</v>
      </c>
      <c r="AB637">
        <f>IF(AND(vp.tbl[[#This Row],[CrudeType]]="Crude",vp.tbl[[#This Row],[Dens]]&gt;825,vp.tbl[[#This Row],[Dens]]&lt;=870,vp.tbl[[#This Row],[Sulf]]&gt;0.5,vp.tbl[[#This Row],[Unknown]]=0),1,0)</f>
        <v>0</v>
      </c>
      <c r="AC637">
        <f>IF(AND(vp.tbl[[#This Row],[CrudeType]]="Crude",vp.tbl[[#This Row],[Dens]]&gt;825,vp.tbl[[#This Row],[Dens]]&lt;=900,vp.tbl[[#This Row],[Sulf]]&lt;=0.5,vp.tbl[[#This Row],[Unknown]]=0),1,0)</f>
        <v>0</v>
      </c>
      <c r="AD637">
        <f>IF(AND(vp.tbl[[#This Row],[CrudeType]]="Crude",vp.tbl[[#This Row],[Dens]]&gt;870,vp.tbl[[#This Row],[Dens]]&lt;=900,vp.tbl[[#This Row],[Sulf]]&gt;0.5,vp.tbl[[#This Row],[Unknown]]=0),1,0)</f>
        <v>0</v>
      </c>
      <c r="AE637">
        <f>IF(AND(vp.tbl[[#This Row],[CrudeType]]="Crude",vp.tbl[[#This Row],[Dens]]&gt;900,vp.tbl[[#This Row],[Sulf]]&lt;=0.5,vp.tbl[[#This Row],[Unknown]]=0),1,0)</f>
        <v>0</v>
      </c>
      <c r="AF637">
        <f>IF(AND(vp.tbl[[#This Row],[CrudeType]]="Crude",vp.tbl[[#This Row],[Dens]]&gt;900,vp.tbl[[#This Row],[Sulf]]&lt;=0.5,vp.tbl[[#This Row],[Unknown]]=0),1,0)</f>
        <v>0</v>
      </c>
      <c r="AG637" t="str">
        <f>INDEX(vp.tbl[[#Headers],[Unknown]:[Heavy_SW]],MATCH(1,vp.tbl[[#This Row],[Unknown]:[Heavy_SW]],0))</f>
        <v>Light_LSB</v>
      </c>
      <c r="AH637" t="e">
        <f>INDEX([1]!crudeBD.lkup[Number],MATCH(vp.tbl[[#This Row],[Crude_Breakdown]],[1]!crudeBD.lkup[Crude Breakdown],0))</f>
        <v>#REF!</v>
      </c>
      <c r="AI637">
        <f>MONTH(vp.tbl[[#This Row],[SDate]])</f>
        <v>1</v>
      </c>
      <c r="AJ637" s="5">
        <f>IFERROR(vp.tbl[[#This Row],[Sulf]]*vp.tbl[[#This Row],[Net Dens]],"")</f>
        <v>59242600.404930003</v>
      </c>
      <c r="AK637" s="5">
        <f>IFERROR(vp.tbl[[#This Row],[Dens]]*vp.tbl[[#This Row],[VolumeM3]],"")</f>
        <v>100411187.127</v>
      </c>
      <c r="AL637" s="5">
        <f>IFERROR(vp.tbl[[#This Row],[VP]]*vp.tbl[[#This Row],[VolumeM3]],"")</f>
        <v>11737641.506999999</v>
      </c>
      <c r="AM637" s="4">
        <f>IFERROR((vp.tbl[[#This Row],[VP]]-INDEX(crudeBD.lkup.complete[Mean_VP],MATCH(vp.tbl[[#This Row],[Crude_Breakdown]],crudeBD.lkup.complete[Crude Breakdown],0)))^2,"")</f>
        <v>20.737225890104884</v>
      </c>
      <c r="AN637" s="4">
        <f>IFERROR((vp.tbl[[#This Row],[Dens]]-INDEX(crudeBD.lkup.complete[Mean_Dens],MATCH(vp.tbl[[#This Row],[Crude_Breakdown]],crudeBD.lkup.complete[Crude Breakdown],0)))^2,"")</f>
        <v>12.839538956793193</v>
      </c>
      <c r="AO637" s="4">
        <f>IFERROR((vp.tbl[[#This Row],[Sulf]]-INDEX(crudeBD.lkup.complete[Mean_Sulf],MATCH(vp.tbl[[#This Row],[Crude_Breakdown]],crudeBD.lkup.complete[Crude Breakdown],0)))^2,"")</f>
        <v>0.11086979897559178</v>
      </c>
      <c r="AP637">
        <f>IF(AND(vp.tbl[[#This Row],[SDate]]&gt;=DATE(YEAR(vp.tbl[[#This Row],[SDate]]),5,1),vp.tbl[[#This Row],[SDate]]&lt;=DATE(YEAR(vp.tbl[[#This Row],[SDate]]),9,15)),1,0)</f>
        <v>0</v>
      </c>
      <c r="AQ637" s="15">
        <f>IF(vp.tbl[[#This Row],[SDate]]&lt;DATE(2016,12,1),0,1)</f>
        <v>1</v>
      </c>
    </row>
    <row r="638" spans="1:43" x14ac:dyDescent="0.25">
      <c r="A638">
        <v>637</v>
      </c>
      <c r="B638" t="s">
        <v>49</v>
      </c>
      <c r="C638" t="s">
        <v>49</v>
      </c>
      <c r="D638" t="s">
        <v>59</v>
      </c>
      <c r="F638" s="1">
        <v>42755</v>
      </c>
      <c r="G638" s="2">
        <v>79.599999999999994</v>
      </c>
      <c r="H638" s="2"/>
      <c r="I638" s="2">
        <v>1.79</v>
      </c>
      <c r="J638" s="2">
        <v>23.4</v>
      </c>
      <c r="K638" s="2">
        <v>-8</v>
      </c>
      <c r="L638" s="2">
        <v>845.5</v>
      </c>
      <c r="M638" s="2">
        <v>845.5</v>
      </c>
      <c r="N638" s="2">
        <f ca="1">INDEX(INDIRECT(_xlfn.CONCAT("weather.tbl[",N$1,"]")),MATCH(vp.tbl[[#This Row],[SDate]],weather.tbl[Date],0))</f>
        <v>-5.833333333333333</v>
      </c>
      <c r="O638" s="2">
        <f ca="1">INDEX(INDIRECT(_xlfn.CONCAT("weather.tbl[",O$1,"]")),MATCH(vp.tbl[[#This Row],[SDate]],weather.tbl[Date],0))</f>
        <v>-7.2738095238095237</v>
      </c>
      <c r="P638" s="2">
        <f ca="1">INDEX(INDIRECT(_xlfn.CONCAT("weather.tbl[",P$1,"]")),MATCH(vp.tbl[[#This Row],[SDate]],weather.tbl[Date],0))</f>
        <v>-8.3000000000000007</v>
      </c>
      <c r="Q638" s="2">
        <f ca="1">INDEX(INDIRECT(_xlfn.CONCAT("weather.tbl[",Q$1,"]")),MATCH(vp.tbl[[#This Row],[SDate]],weather.tbl[Date],0))</f>
        <v>-6</v>
      </c>
      <c r="R638" s="2">
        <f ca="1">INDEX(INDIRECT(_xlfn.CONCAT("weather.tbl[",R$1,"]")),MATCH(vp.tbl[[#This Row],[SDate]],weather.tbl[Date],0))</f>
        <v>-9.5</v>
      </c>
      <c r="S638" s="2">
        <f ca="1">INDEX(INDIRECT(_xlfn.CONCAT("weather.tbl[",S$1,"]")),MATCH(vp.tbl[[#This Row],[SDate]],weather.tbl[Date],0))</f>
        <v>-3</v>
      </c>
      <c r="T638" s="2">
        <f ca="1">INDEX(INDIRECT(_xlfn.CONCAT("weather.tbl[",T$1,"]")),MATCH(vp.tbl[[#This Row],[SDate]],weather.tbl[Date],0))</f>
        <v>-6.2</v>
      </c>
      <c r="U638" s="2">
        <f ca="1">INDEX(INDIRECT(_xlfn.CONCAT("weather.tbl[",U$1,"]")),MATCH(vp.tbl[[#This Row],[SDate]],weather.tbl[Date],0))</f>
        <v>-2</v>
      </c>
      <c r="V638" s="2">
        <v>1887.288</v>
      </c>
      <c r="W638" t="s">
        <v>48</v>
      </c>
      <c r="X638">
        <f>IF(OR(vp.tbl[[#This Row],[Sulf]]="",vp.tbl[[#This Row],[Dens]]=""),1,0)</f>
        <v>0</v>
      </c>
      <c r="Y638">
        <f>IF(vp.tbl[[#This Row],[CrudeType]]="C5+",1,0)</f>
        <v>0</v>
      </c>
      <c r="Z638">
        <f>IF(AND(vp.tbl[[#This Row],[CrudeType]]="Crude",vp.tbl[[#This Row],[Dens]]&lt;=825,vp.tbl[[#This Row],[Sulf]]&gt;0.5,vp.tbl[[#This Row],[Unknown]]=0),1,0)</f>
        <v>0</v>
      </c>
      <c r="AA638">
        <f>IF(AND(vp.tbl[[#This Row],[CrudeType]]="Crude",vp.tbl[[#This Row],[Dens]]&lt;=825,vp.tbl[[#This Row],[Sulf]]&lt;=0.5,vp.tbl[[#This Row],[Unknown]]=0),1,0)</f>
        <v>0</v>
      </c>
      <c r="AB638">
        <f>IF(AND(vp.tbl[[#This Row],[CrudeType]]="Crude",vp.tbl[[#This Row],[Dens]]&gt;825,vp.tbl[[#This Row],[Dens]]&lt;=870,vp.tbl[[#This Row],[Sulf]]&gt;0.5,vp.tbl[[#This Row],[Unknown]]=0),1,0)</f>
        <v>1</v>
      </c>
      <c r="AC638">
        <f>IF(AND(vp.tbl[[#This Row],[CrudeType]]="Crude",vp.tbl[[#This Row],[Dens]]&gt;825,vp.tbl[[#This Row],[Dens]]&lt;=900,vp.tbl[[#This Row],[Sulf]]&lt;=0.5,vp.tbl[[#This Row],[Unknown]]=0),1,0)</f>
        <v>0</v>
      </c>
      <c r="AD638">
        <f>IF(AND(vp.tbl[[#This Row],[CrudeType]]="Crude",vp.tbl[[#This Row],[Dens]]&gt;870,vp.tbl[[#This Row],[Dens]]&lt;=900,vp.tbl[[#This Row],[Sulf]]&gt;0.5,vp.tbl[[#This Row],[Unknown]]=0),1,0)</f>
        <v>0</v>
      </c>
      <c r="AE638">
        <f>IF(AND(vp.tbl[[#This Row],[CrudeType]]="Crude",vp.tbl[[#This Row],[Dens]]&gt;900,vp.tbl[[#This Row],[Sulf]]&lt;=0.5,vp.tbl[[#This Row],[Unknown]]=0),1,0)</f>
        <v>0</v>
      </c>
      <c r="AF638">
        <f>IF(AND(vp.tbl[[#This Row],[CrudeType]]="Crude",vp.tbl[[#This Row],[Dens]]&gt;900,vp.tbl[[#This Row],[Sulf]]&lt;=0.5,vp.tbl[[#This Row],[Unknown]]=0),1,0)</f>
        <v>0</v>
      </c>
      <c r="AG638" t="str">
        <f>INDEX(vp.tbl[[#Headers],[Unknown]:[Heavy_SW]],MATCH(1,vp.tbl[[#This Row],[Unknown]:[Heavy_SW]],0))</f>
        <v>Medium_LSB</v>
      </c>
      <c r="AH638" t="e">
        <f>INDEX([1]!crudeBD.lkup[Number],MATCH(vp.tbl[[#This Row],[Crude_Breakdown]],[1]!crudeBD.lkup[Crude Breakdown],0))</f>
        <v>#REF!</v>
      </c>
      <c r="AI638">
        <f>MONTH(vp.tbl[[#This Row],[SDate]])</f>
        <v>1</v>
      </c>
      <c r="AJ638" s="5">
        <f>IFERROR(vp.tbl[[#This Row],[Sulf]]*vp.tbl[[#This Row],[Net Dens]],"")</f>
        <v>2856306.5871600001</v>
      </c>
      <c r="AK638" s="5">
        <f>IFERROR(vp.tbl[[#This Row],[Dens]]*vp.tbl[[#This Row],[VolumeM3]],"")</f>
        <v>1595702.004</v>
      </c>
      <c r="AL638" s="5">
        <f>IFERROR(vp.tbl[[#This Row],[VP]]*vp.tbl[[#This Row],[VolumeM3]],"")</f>
        <v>150228.12479999999</v>
      </c>
      <c r="AM638" s="4">
        <f>IFERROR((vp.tbl[[#This Row],[VP]]-INDEX(crudeBD.lkup.complete[Mean_VP],MATCH(vp.tbl[[#This Row],[Crude_Breakdown]],crudeBD.lkup.complete[Crude Breakdown],0)))^2,"")</f>
        <v>0.32901115141800619</v>
      </c>
      <c r="AN638" s="4">
        <f>IFERROR((vp.tbl[[#This Row],[Dens]]-INDEX(crudeBD.lkup.complete[Mean_Dens],MATCH(vp.tbl[[#This Row],[Crude_Breakdown]],crudeBD.lkup.complete[Crude Breakdown],0)))^2,"")</f>
        <v>4.3337752924620832E-2</v>
      </c>
      <c r="AO638" s="4">
        <f>IFERROR((vp.tbl[[#This Row],[Sulf]]-INDEX(crudeBD.lkup.complete[Mean_Sulf],MATCH(vp.tbl[[#This Row],[Crude_Breakdown]],crudeBD.lkup.complete[Crude Breakdown],0)))^2,"")</f>
        <v>0.11227199821065133</v>
      </c>
      <c r="AP638">
        <f>IF(AND(vp.tbl[[#This Row],[SDate]]&gt;=DATE(YEAR(vp.tbl[[#This Row],[SDate]]),5,1),vp.tbl[[#This Row],[SDate]]&lt;=DATE(YEAR(vp.tbl[[#This Row],[SDate]]),9,15)),1,0)</f>
        <v>0</v>
      </c>
      <c r="AQ638" s="15">
        <f>IF(vp.tbl[[#This Row],[SDate]]&lt;DATE(2016,12,1),0,1)</f>
        <v>1</v>
      </c>
    </row>
    <row r="639" spans="1:43" x14ac:dyDescent="0.25">
      <c r="A639">
        <v>638</v>
      </c>
      <c r="B639" t="s">
        <v>68</v>
      </c>
      <c r="C639" t="s">
        <v>68</v>
      </c>
      <c r="D639" t="s">
        <v>98</v>
      </c>
      <c r="F639" s="1">
        <v>42755</v>
      </c>
      <c r="G639" s="2">
        <v>61.8</v>
      </c>
      <c r="H639" s="2"/>
      <c r="I639" s="2">
        <v>1.26</v>
      </c>
      <c r="J639" s="2">
        <v>26.8</v>
      </c>
      <c r="K639" s="2">
        <v>-8</v>
      </c>
      <c r="L639" s="2">
        <v>853.3</v>
      </c>
      <c r="M639" s="2">
        <v>853.3</v>
      </c>
      <c r="N639" s="2">
        <f ca="1">INDEX(INDIRECT(_xlfn.CONCAT("weather.tbl[",N$1,"]")),MATCH(vp.tbl[[#This Row],[SDate]],weather.tbl[Date],0))</f>
        <v>-5.833333333333333</v>
      </c>
      <c r="O639" s="2">
        <f ca="1">INDEX(INDIRECT(_xlfn.CONCAT("weather.tbl[",O$1,"]")),MATCH(vp.tbl[[#This Row],[SDate]],weather.tbl[Date],0))</f>
        <v>-7.2738095238095237</v>
      </c>
      <c r="P639" s="2">
        <f ca="1">INDEX(INDIRECT(_xlfn.CONCAT("weather.tbl[",P$1,"]")),MATCH(vp.tbl[[#This Row],[SDate]],weather.tbl[Date],0))</f>
        <v>-8.3000000000000007</v>
      </c>
      <c r="Q639" s="2">
        <f ca="1">INDEX(INDIRECT(_xlfn.CONCAT("weather.tbl[",Q$1,"]")),MATCH(vp.tbl[[#This Row],[SDate]],weather.tbl[Date],0))</f>
        <v>-6</v>
      </c>
      <c r="R639" s="2">
        <f ca="1">INDEX(INDIRECT(_xlfn.CONCAT("weather.tbl[",R$1,"]")),MATCH(vp.tbl[[#This Row],[SDate]],weather.tbl[Date],0))</f>
        <v>-9.5</v>
      </c>
      <c r="S639" s="2">
        <f ca="1">INDEX(INDIRECT(_xlfn.CONCAT("weather.tbl[",S$1,"]")),MATCH(vp.tbl[[#This Row],[SDate]],weather.tbl[Date],0))</f>
        <v>-3</v>
      </c>
      <c r="T639" s="2">
        <f ca="1">INDEX(INDIRECT(_xlfn.CONCAT("weather.tbl[",T$1,"]")),MATCH(vp.tbl[[#This Row],[SDate]],weather.tbl[Date],0))</f>
        <v>-6.2</v>
      </c>
      <c r="U639" s="2">
        <f ca="1">INDEX(INDIRECT(_xlfn.CONCAT("weather.tbl[",U$1,"]")),MATCH(vp.tbl[[#This Row],[SDate]],weather.tbl[Date],0))</f>
        <v>-2</v>
      </c>
      <c r="V639" s="2">
        <v>5406.71</v>
      </c>
      <c r="W639" t="s">
        <v>48</v>
      </c>
      <c r="X639">
        <f>IF(OR(vp.tbl[[#This Row],[Sulf]]="",vp.tbl[[#This Row],[Dens]]=""),1,0)</f>
        <v>0</v>
      </c>
      <c r="Y639">
        <f>IF(vp.tbl[[#This Row],[CrudeType]]="C5+",1,0)</f>
        <v>0</v>
      </c>
      <c r="Z639">
        <f>IF(AND(vp.tbl[[#This Row],[CrudeType]]="Crude",vp.tbl[[#This Row],[Dens]]&lt;=825,vp.tbl[[#This Row],[Sulf]]&gt;0.5,vp.tbl[[#This Row],[Unknown]]=0),1,0)</f>
        <v>0</v>
      </c>
      <c r="AA639">
        <f>IF(AND(vp.tbl[[#This Row],[CrudeType]]="Crude",vp.tbl[[#This Row],[Dens]]&lt;=825,vp.tbl[[#This Row],[Sulf]]&lt;=0.5,vp.tbl[[#This Row],[Unknown]]=0),1,0)</f>
        <v>0</v>
      </c>
      <c r="AB639">
        <f>IF(AND(vp.tbl[[#This Row],[CrudeType]]="Crude",vp.tbl[[#This Row],[Dens]]&gt;825,vp.tbl[[#This Row],[Dens]]&lt;=870,vp.tbl[[#This Row],[Sulf]]&gt;0.5,vp.tbl[[#This Row],[Unknown]]=0),1,0)</f>
        <v>1</v>
      </c>
      <c r="AC639">
        <f>IF(AND(vp.tbl[[#This Row],[CrudeType]]="Crude",vp.tbl[[#This Row],[Dens]]&gt;825,vp.tbl[[#This Row],[Dens]]&lt;=900,vp.tbl[[#This Row],[Sulf]]&lt;=0.5,vp.tbl[[#This Row],[Unknown]]=0),1,0)</f>
        <v>0</v>
      </c>
      <c r="AD639">
        <f>IF(AND(vp.tbl[[#This Row],[CrudeType]]="Crude",vp.tbl[[#This Row],[Dens]]&gt;870,vp.tbl[[#This Row],[Dens]]&lt;=900,vp.tbl[[#This Row],[Sulf]]&gt;0.5,vp.tbl[[#This Row],[Unknown]]=0),1,0)</f>
        <v>0</v>
      </c>
      <c r="AE639">
        <f>IF(AND(vp.tbl[[#This Row],[CrudeType]]="Crude",vp.tbl[[#This Row],[Dens]]&gt;900,vp.tbl[[#This Row],[Sulf]]&lt;=0.5,vp.tbl[[#This Row],[Unknown]]=0),1,0)</f>
        <v>0</v>
      </c>
      <c r="AF639">
        <f>IF(AND(vp.tbl[[#This Row],[CrudeType]]="Crude",vp.tbl[[#This Row],[Dens]]&gt;900,vp.tbl[[#This Row],[Sulf]]&lt;=0.5,vp.tbl[[#This Row],[Unknown]]=0),1,0)</f>
        <v>0</v>
      </c>
      <c r="AG639" t="str">
        <f>INDEX(vp.tbl[[#Headers],[Unknown]:[Heavy_SW]],MATCH(1,vp.tbl[[#This Row],[Unknown]:[Heavy_SW]],0))</f>
        <v>Medium_LSB</v>
      </c>
      <c r="AH639" t="e">
        <f>INDEX([1]!crudeBD.lkup[Number],MATCH(vp.tbl[[#This Row],[Crude_Breakdown]],[1]!crudeBD.lkup[Crude Breakdown],0))</f>
        <v>#REF!</v>
      </c>
      <c r="AI639">
        <f>MONTH(vp.tbl[[#This Row],[SDate]])</f>
        <v>1</v>
      </c>
      <c r="AJ639" s="5">
        <f>IFERROR(vp.tbl[[#This Row],[Sulf]]*vp.tbl[[#This Row],[Net Dens]],"")</f>
        <v>5813067.5101800002</v>
      </c>
      <c r="AK639" s="5">
        <f>IFERROR(vp.tbl[[#This Row],[Dens]]*vp.tbl[[#This Row],[VolumeM3]],"")</f>
        <v>4613545.6430000002</v>
      </c>
      <c r="AL639" s="5">
        <f>IFERROR(vp.tbl[[#This Row],[VP]]*vp.tbl[[#This Row],[VolumeM3]],"")</f>
        <v>334134.67800000001</v>
      </c>
      <c r="AM639" s="4">
        <f>IFERROR((vp.tbl[[#This Row],[VP]]-INDEX(crudeBD.lkup.complete[Mean_VP],MATCH(vp.tbl[[#This Row],[Crude_Breakdown]],crudeBD.lkup.complete[Crude Breakdown],0)))^2,"")</f>
        <v>337.58899089825223</v>
      </c>
      <c r="AN639" s="4">
        <f>IFERROR((vp.tbl[[#This Row],[Dens]]-INDEX(crudeBD.lkup.complete[Mean_Dens],MATCH(vp.tbl[[#This Row],[Crude_Breakdown]],crudeBD.lkup.complete[Crude Breakdown],0)))^2,"")</f>
        <v>64.130902309901273</v>
      </c>
      <c r="AO639" s="4">
        <f>IFERROR((vp.tbl[[#This Row],[Sulf]]-INDEX(crudeBD.lkup.complete[Mean_Sulf],MATCH(vp.tbl[[#This Row],[Crude_Breakdown]],crudeBD.lkup.complete[Crude Breakdown],0)))^2,"")</f>
        <v>3.7997650615716166E-2</v>
      </c>
      <c r="AP639">
        <f>IF(AND(vp.tbl[[#This Row],[SDate]]&gt;=DATE(YEAR(vp.tbl[[#This Row],[SDate]]),5,1),vp.tbl[[#This Row],[SDate]]&lt;=DATE(YEAR(vp.tbl[[#This Row],[SDate]]),9,15)),1,0)</f>
        <v>0</v>
      </c>
      <c r="AQ639" s="15">
        <f>IF(vp.tbl[[#This Row],[SDate]]&lt;DATE(2016,12,1),0,1)</f>
        <v>1</v>
      </c>
    </row>
    <row r="640" spans="1:43" x14ac:dyDescent="0.25">
      <c r="A640">
        <v>639</v>
      </c>
      <c r="B640" t="s">
        <v>53</v>
      </c>
      <c r="C640" t="s">
        <v>53</v>
      </c>
      <c r="D640" t="s">
        <v>54</v>
      </c>
      <c r="E640" t="s">
        <v>55</v>
      </c>
      <c r="F640" s="1">
        <v>42756</v>
      </c>
      <c r="G640" s="2">
        <v>95.8</v>
      </c>
      <c r="H640" s="2"/>
      <c r="I640" s="2">
        <v>1.54</v>
      </c>
      <c r="J640" s="2">
        <v>7.6</v>
      </c>
      <c r="K640" s="2">
        <v>-4</v>
      </c>
      <c r="L640" s="2">
        <v>846</v>
      </c>
      <c r="M640" s="2">
        <v>846</v>
      </c>
      <c r="N640" s="2">
        <f ca="1">INDEX(INDIRECT(_xlfn.CONCAT("weather.tbl[",N$1,"]")),MATCH(vp.tbl[[#This Row],[SDate]],weather.tbl[Date],0))</f>
        <v>-5.7333333333333334</v>
      </c>
      <c r="O640" s="2">
        <f ca="1">INDEX(INDIRECT(_xlfn.CONCAT("weather.tbl[",O$1,"]")),MATCH(vp.tbl[[#This Row],[SDate]],weather.tbl[Date],0))</f>
        <v>-5.7547619047619047</v>
      </c>
      <c r="P640" s="2">
        <f ca="1">INDEX(INDIRECT(_xlfn.CONCAT("weather.tbl[",P$1,"]")),MATCH(vp.tbl[[#This Row],[SDate]],weather.tbl[Date],0))</f>
        <v>-7</v>
      </c>
      <c r="Q640" s="2">
        <f ca="1">INDEX(INDIRECT(_xlfn.CONCAT("weather.tbl[",Q$1,"]")),MATCH(vp.tbl[[#This Row],[SDate]],weather.tbl[Date],0))</f>
        <v>-7.4</v>
      </c>
      <c r="R640" s="2">
        <f ca="1">INDEX(INDIRECT(_xlfn.CONCAT("weather.tbl[",R$1,"]")),MATCH(vp.tbl[[#This Row],[SDate]],weather.tbl[Date],0))</f>
        <v>-7.5</v>
      </c>
      <c r="S640" s="2">
        <f ca="1">INDEX(INDIRECT(_xlfn.CONCAT("weather.tbl[",S$1,"]")),MATCH(vp.tbl[[#This Row],[SDate]],weather.tbl[Date],0))</f>
        <v>-5.8</v>
      </c>
      <c r="T640" s="2">
        <f ca="1">INDEX(INDIRECT(_xlfn.CONCAT("weather.tbl[",T$1,"]")),MATCH(vp.tbl[[#This Row],[SDate]],weather.tbl[Date],0))</f>
        <v>-1.7</v>
      </c>
      <c r="U640" s="2">
        <f ca="1">INDEX(INDIRECT(_xlfn.CONCAT("weather.tbl[",U$1,"]")),MATCH(vp.tbl[[#This Row],[SDate]],weather.tbl[Date],0))</f>
        <v>-5</v>
      </c>
      <c r="V640" s="2">
        <v>50817.362000000001</v>
      </c>
      <c r="W640" t="s">
        <v>48</v>
      </c>
      <c r="X640">
        <f>IF(OR(vp.tbl[[#This Row],[Sulf]]="",vp.tbl[[#This Row],[Dens]]=""),1,0)</f>
        <v>0</v>
      </c>
      <c r="Y640">
        <f>IF(vp.tbl[[#This Row],[CrudeType]]="C5+",1,0)</f>
        <v>0</v>
      </c>
      <c r="Z640">
        <f>IF(AND(vp.tbl[[#This Row],[CrudeType]]="Crude",vp.tbl[[#This Row],[Dens]]&lt;=825,vp.tbl[[#This Row],[Sulf]]&gt;0.5,vp.tbl[[#This Row],[Unknown]]=0),1,0)</f>
        <v>0</v>
      </c>
      <c r="AA640">
        <f>IF(AND(vp.tbl[[#This Row],[CrudeType]]="Crude",vp.tbl[[#This Row],[Dens]]&lt;=825,vp.tbl[[#This Row],[Sulf]]&lt;=0.5,vp.tbl[[#This Row],[Unknown]]=0),1,0)</f>
        <v>0</v>
      </c>
      <c r="AB640">
        <f>IF(AND(vp.tbl[[#This Row],[CrudeType]]="Crude",vp.tbl[[#This Row],[Dens]]&gt;825,vp.tbl[[#This Row],[Dens]]&lt;=870,vp.tbl[[#This Row],[Sulf]]&gt;0.5,vp.tbl[[#This Row],[Unknown]]=0),1,0)</f>
        <v>1</v>
      </c>
      <c r="AC640">
        <f>IF(AND(vp.tbl[[#This Row],[CrudeType]]="Crude",vp.tbl[[#This Row],[Dens]]&gt;825,vp.tbl[[#This Row],[Dens]]&lt;=900,vp.tbl[[#This Row],[Sulf]]&lt;=0.5,vp.tbl[[#This Row],[Unknown]]=0),1,0)</f>
        <v>0</v>
      </c>
      <c r="AD640">
        <f>IF(AND(vp.tbl[[#This Row],[CrudeType]]="Crude",vp.tbl[[#This Row],[Dens]]&gt;870,vp.tbl[[#This Row],[Dens]]&lt;=900,vp.tbl[[#This Row],[Sulf]]&gt;0.5,vp.tbl[[#This Row],[Unknown]]=0),1,0)</f>
        <v>0</v>
      </c>
      <c r="AE640">
        <f>IF(AND(vp.tbl[[#This Row],[CrudeType]]="Crude",vp.tbl[[#This Row],[Dens]]&gt;900,vp.tbl[[#This Row],[Sulf]]&lt;=0.5,vp.tbl[[#This Row],[Unknown]]=0),1,0)</f>
        <v>0</v>
      </c>
      <c r="AF640">
        <f>IF(AND(vp.tbl[[#This Row],[CrudeType]]="Crude",vp.tbl[[#This Row],[Dens]]&gt;900,vp.tbl[[#This Row],[Sulf]]&lt;=0.5,vp.tbl[[#This Row],[Unknown]]=0),1,0)</f>
        <v>0</v>
      </c>
      <c r="AG640" t="str">
        <f>INDEX(vp.tbl[[#Headers],[Unknown]:[Heavy_SW]],MATCH(1,vp.tbl[[#This Row],[Unknown]:[Heavy_SW]],0))</f>
        <v>Medium_LSB</v>
      </c>
      <c r="AH640" t="e">
        <f>INDEX([1]!crudeBD.lkup[Number],MATCH(vp.tbl[[#This Row],[Crude_Breakdown]],[1]!crudeBD.lkup[Crude Breakdown],0))</f>
        <v>#REF!</v>
      </c>
      <c r="AI640">
        <f>MONTH(vp.tbl[[#This Row],[SDate]])</f>
        <v>1</v>
      </c>
      <c r="AJ640" s="5">
        <f>IFERROR(vp.tbl[[#This Row],[Sulf]]*vp.tbl[[#This Row],[Net Dens]],"")</f>
        <v>66206891.908080004</v>
      </c>
      <c r="AK640" s="5">
        <f>IFERROR(vp.tbl[[#This Row],[Dens]]*vp.tbl[[#This Row],[VolumeM3]],"")</f>
        <v>42991488.252000004</v>
      </c>
      <c r="AL640" s="5">
        <f>IFERROR(vp.tbl[[#This Row],[VP]]*vp.tbl[[#This Row],[VolumeM3]],"")</f>
        <v>4868303.2796</v>
      </c>
      <c r="AM640" s="4">
        <f>IFERROR((vp.tbl[[#This Row],[VP]]-INDEX(crudeBD.lkup.complete[Mean_VP],MATCH(vp.tbl[[#This Row],[Crude_Breakdown]],crudeBD.lkup.complete[Crude Breakdown],0)))^2,"")</f>
        <v>244.18453520205202</v>
      </c>
      <c r="AN640" s="4">
        <f>IFERROR((vp.tbl[[#This Row],[Dens]]-INDEX(crudeBD.lkup.complete[Mean_Dens],MATCH(vp.tbl[[#This Row],[Crude_Breakdown]],crudeBD.lkup.complete[Crude Breakdown],0)))^2,"")</f>
        <v>0.50151496811547891</v>
      </c>
      <c r="AO640" s="4">
        <f>IFERROR((vp.tbl[[#This Row],[Sulf]]-INDEX(crudeBD.lkup.complete[Mean_Sulf],MATCH(vp.tbl[[#This Row],[Crude_Breakdown]],crudeBD.lkup.complete[Crude Breakdown],0)))^2,"")</f>
        <v>7.2369285903988887E-3</v>
      </c>
      <c r="AP640">
        <f>IF(AND(vp.tbl[[#This Row],[SDate]]&gt;=DATE(YEAR(vp.tbl[[#This Row],[SDate]]),5,1),vp.tbl[[#This Row],[SDate]]&lt;=DATE(YEAR(vp.tbl[[#This Row],[SDate]]),9,15)),1,0)</f>
        <v>0</v>
      </c>
      <c r="AQ640" s="15">
        <f>IF(vp.tbl[[#This Row],[SDate]]&lt;DATE(2016,12,1),0,1)</f>
        <v>1</v>
      </c>
    </row>
    <row r="641" spans="1:43" x14ac:dyDescent="0.25">
      <c r="A641">
        <v>640</v>
      </c>
      <c r="B641" t="s">
        <v>49</v>
      </c>
      <c r="C641" t="s">
        <v>49</v>
      </c>
      <c r="D641" t="s">
        <v>147</v>
      </c>
      <c r="F641" s="1">
        <v>42756</v>
      </c>
      <c r="G641" s="2">
        <v>86.2</v>
      </c>
      <c r="H641" s="2">
        <v>0.14099999999999999</v>
      </c>
      <c r="I641" s="2">
        <v>0.14099999999999999</v>
      </c>
      <c r="J641" s="2">
        <v>10</v>
      </c>
      <c r="K641" s="2">
        <v>-4</v>
      </c>
      <c r="L641" s="2">
        <v>809</v>
      </c>
      <c r="M641" s="2">
        <v>809</v>
      </c>
      <c r="N641" s="2">
        <f ca="1">INDEX(INDIRECT(_xlfn.CONCAT("weather.tbl[",N$1,"]")),MATCH(vp.tbl[[#This Row],[SDate]],weather.tbl[Date],0))</f>
        <v>-5.7333333333333334</v>
      </c>
      <c r="O641" s="2">
        <f ca="1">INDEX(INDIRECT(_xlfn.CONCAT("weather.tbl[",O$1,"]")),MATCH(vp.tbl[[#This Row],[SDate]],weather.tbl[Date],0))</f>
        <v>-5.7547619047619047</v>
      </c>
      <c r="P641" s="2">
        <f ca="1">INDEX(INDIRECT(_xlfn.CONCAT("weather.tbl[",P$1,"]")),MATCH(vp.tbl[[#This Row],[SDate]],weather.tbl[Date],0))</f>
        <v>-7</v>
      </c>
      <c r="Q641" s="2">
        <f ca="1">INDEX(INDIRECT(_xlfn.CONCAT("weather.tbl[",Q$1,"]")),MATCH(vp.tbl[[#This Row],[SDate]],weather.tbl[Date],0))</f>
        <v>-7.4</v>
      </c>
      <c r="R641" s="2">
        <f ca="1">INDEX(INDIRECT(_xlfn.CONCAT("weather.tbl[",R$1,"]")),MATCH(vp.tbl[[#This Row],[SDate]],weather.tbl[Date],0))</f>
        <v>-7.5</v>
      </c>
      <c r="S641" s="2">
        <f ca="1">INDEX(INDIRECT(_xlfn.CONCAT("weather.tbl[",S$1,"]")),MATCH(vp.tbl[[#This Row],[SDate]],weather.tbl[Date],0))</f>
        <v>-5.8</v>
      </c>
      <c r="T641" s="2">
        <f ca="1">INDEX(INDIRECT(_xlfn.CONCAT("weather.tbl[",T$1,"]")),MATCH(vp.tbl[[#This Row],[SDate]],weather.tbl[Date],0))</f>
        <v>-1.7</v>
      </c>
      <c r="U641" s="2">
        <f ca="1">INDEX(INDIRECT(_xlfn.CONCAT("weather.tbl[",U$1,"]")),MATCH(vp.tbl[[#This Row],[SDate]],weather.tbl[Date],0))</f>
        <v>-5</v>
      </c>
      <c r="V641" s="2">
        <v>410.78500000000003</v>
      </c>
      <c r="W641" t="s">
        <v>48</v>
      </c>
      <c r="X641">
        <f>IF(OR(vp.tbl[[#This Row],[Sulf]]="",vp.tbl[[#This Row],[Dens]]=""),1,0)</f>
        <v>0</v>
      </c>
      <c r="Y641">
        <f>IF(vp.tbl[[#This Row],[CrudeType]]="C5+",1,0)</f>
        <v>0</v>
      </c>
      <c r="Z641">
        <f>IF(AND(vp.tbl[[#This Row],[CrudeType]]="Crude",vp.tbl[[#This Row],[Dens]]&lt;=825,vp.tbl[[#This Row],[Sulf]]&gt;0.5,vp.tbl[[#This Row],[Unknown]]=0),1,0)</f>
        <v>0</v>
      </c>
      <c r="AA641">
        <f>IF(AND(vp.tbl[[#This Row],[CrudeType]]="Crude",vp.tbl[[#This Row],[Dens]]&lt;=825,vp.tbl[[#This Row],[Sulf]]&lt;=0.5,vp.tbl[[#This Row],[Unknown]]=0),1,0)</f>
        <v>1</v>
      </c>
      <c r="AB641">
        <f>IF(AND(vp.tbl[[#This Row],[CrudeType]]="Crude",vp.tbl[[#This Row],[Dens]]&gt;825,vp.tbl[[#This Row],[Dens]]&lt;=870,vp.tbl[[#This Row],[Sulf]]&gt;0.5,vp.tbl[[#This Row],[Unknown]]=0),1,0)</f>
        <v>0</v>
      </c>
      <c r="AC641">
        <f>IF(AND(vp.tbl[[#This Row],[CrudeType]]="Crude",vp.tbl[[#This Row],[Dens]]&gt;825,vp.tbl[[#This Row],[Dens]]&lt;=900,vp.tbl[[#This Row],[Sulf]]&lt;=0.5,vp.tbl[[#This Row],[Unknown]]=0),1,0)</f>
        <v>0</v>
      </c>
      <c r="AD641">
        <f>IF(AND(vp.tbl[[#This Row],[CrudeType]]="Crude",vp.tbl[[#This Row],[Dens]]&gt;870,vp.tbl[[#This Row],[Dens]]&lt;=900,vp.tbl[[#This Row],[Sulf]]&gt;0.5,vp.tbl[[#This Row],[Unknown]]=0),1,0)</f>
        <v>0</v>
      </c>
      <c r="AE641">
        <f>IF(AND(vp.tbl[[#This Row],[CrudeType]]="Crude",vp.tbl[[#This Row],[Dens]]&gt;900,vp.tbl[[#This Row],[Sulf]]&lt;=0.5,vp.tbl[[#This Row],[Unknown]]=0),1,0)</f>
        <v>0</v>
      </c>
      <c r="AF641">
        <f>IF(AND(vp.tbl[[#This Row],[CrudeType]]="Crude",vp.tbl[[#This Row],[Dens]]&gt;900,vp.tbl[[#This Row],[Sulf]]&lt;=0.5,vp.tbl[[#This Row],[Unknown]]=0),1,0)</f>
        <v>0</v>
      </c>
      <c r="AG641" t="str">
        <f>INDEX(vp.tbl[[#Headers],[Unknown]:[Heavy_SW]],MATCH(1,vp.tbl[[#This Row],[Unknown]:[Heavy_SW]],0))</f>
        <v>Light_SW</v>
      </c>
      <c r="AH641" t="e">
        <f>INDEX([1]!crudeBD.lkup[Number],MATCH(vp.tbl[[#This Row],[Crude_Breakdown]],[1]!crudeBD.lkup[Crude Breakdown],0))</f>
        <v>#REF!</v>
      </c>
      <c r="AI641">
        <f>MONTH(vp.tbl[[#This Row],[SDate]])</f>
        <v>1</v>
      </c>
      <c r="AJ641" s="5">
        <f>IFERROR(vp.tbl[[#This Row],[Sulf]]*vp.tbl[[#This Row],[Net Dens]],"")</f>
        <v>46857.834164999993</v>
      </c>
      <c r="AK641" s="5">
        <f>IFERROR(vp.tbl[[#This Row],[Dens]]*vp.tbl[[#This Row],[VolumeM3]],"")</f>
        <v>332325.065</v>
      </c>
      <c r="AL641" s="5">
        <f>IFERROR(vp.tbl[[#This Row],[VP]]*vp.tbl[[#This Row],[VolumeM3]],"")</f>
        <v>35409.667000000001</v>
      </c>
      <c r="AM641" s="4">
        <f>IFERROR((vp.tbl[[#This Row],[VP]]-INDEX(crudeBD.lkup.complete[Mean_VP],MATCH(vp.tbl[[#This Row],[Crude_Breakdown]],crudeBD.lkup.complete[Crude Breakdown],0)))^2,"")</f>
        <v>40.32648267673477</v>
      </c>
      <c r="AN641" s="4">
        <f>IFERROR((vp.tbl[[#This Row],[Dens]]-INDEX(crudeBD.lkup.complete[Mean_Dens],MATCH(vp.tbl[[#This Row],[Crude_Breakdown]],crudeBD.lkup.complete[Crude Breakdown],0)))^2,"")</f>
        <v>0.4740346489580396</v>
      </c>
      <c r="AO641" s="4">
        <f>IFERROR((vp.tbl[[#This Row],[Sulf]]-INDEX(crudeBD.lkup.complete[Mean_Sulf],MATCH(vp.tbl[[#This Row],[Crude_Breakdown]],crudeBD.lkup.complete[Crude Breakdown],0)))^2,"")</f>
        <v>9.0710027238402532E-3</v>
      </c>
      <c r="AP641">
        <f>IF(AND(vp.tbl[[#This Row],[SDate]]&gt;=DATE(YEAR(vp.tbl[[#This Row],[SDate]]),5,1),vp.tbl[[#This Row],[SDate]]&lt;=DATE(YEAR(vp.tbl[[#This Row],[SDate]]),9,15)),1,0)</f>
        <v>0</v>
      </c>
      <c r="AQ641" s="15">
        <f>IF(vp.tbl[[#This Row],[SDate]]&lt;DATE(2016,12,1),0,1)</f>
        <v>1</v>
      </c>
    </row>
    <row r="642" spans="1:43" x14ac:dyDescent="0.25">
      <c r="A642">
        <v>641</v>
      </c>
      <c r="B642" t="s">
        <v>49</v>
      </c>
      <c r="C642" t="s">
        <v>49</v>
      </c>
      <c r="D642" t="s">
        <v>100</v>
      </c>
      <c r="F642" s="1">
        <v>42756</v>
      </c>
      <c r="G642" s="2">
        <v>103.6</v>
      </c>
      <c r="H642" s="2">
        <v>0.503</v>
      </c>
      <c r="I642" s="2">
        <v>0.503</v>
      </c>
      <c r="J642" s="2">
        <v>7.5</v>
      </c>
      <c r="K642" s="2">
        <v>-6</v>
      </c>
      <c r="L642" s="2">
        <v>811.6</v>
      </c>
      <c r="M642" s="2">
        <v>811.6</v>
      </c>
      <c r="N642" s="2">
        <f ca="1">INDEX(INDIRECT(_xlfn.CONCAT("weather.tbl[",N$1,"]")),MATCH(vp.tbl[[#This Row],[SDate]],weather.tbl[Date],0))</f>
        <v>-5.7333333333333334</v>
      </c>
      <c r="O642" s="2">
        <f ca="1">INDEX(INDIRECT(_xlfn.CONCAT("weather.tbl[",O$1,"]")),MATCH(vp.tbl[[#This Row],[SDate]],weather.tbl[Date],0))</f>
        <v>-5.7547619047619047</v>
      </c>
      <c r="P642" s="2">
        <f ca="1">INDEX(INDIRECT(_xlfn.CONCAT("weather.tbl[",P$1,"]")),MATCH(vp.tbl[[#This Row],[SDate]],weather.tbl[Date],0))</f>
        <v>-7</v>
      </c>
      <c r="Q642" s="2">
        <f ca="1">INDEX(INDIRECT(_xlfn.CONCAT("weather.tbl[",Q$1,"]")),MATCH(vp.tbl[[#This Row],[SDate]],weather.tbl[Date],0))</f>
        <v>-7.4</v>
      </c>
      <c r="R642" s="2">
        <f ca="1">INDEX(INDIRECT(_xlfn.CONCAT("weather.tbl[",R$1,"]")),MATCH(vp.tbl[[#This Row],[SDate]],weather.tbl[Date],0))</f>
        <v>-7.5</v>
      </c>
      <c r="S642" s="2">
        <f ca="1">INDEX(INDIRECT(_xlfn.CONCAT("weather.tbl[",S$1,"]")),MATCH(vp.tbl[[#This Row],[SDate]],weather.tbl[Date],0))</f>
        <v>-5.8</v>
      </c>
      <c r="T642" s="2">
        <f ca="1">INDEX(INDIRECT(_xlfn.CONCAT("weather.tbl[",T$1,"]")),MATCH(vp.tbl[[#This Row],[SDate]],weather.tbl[Date],0))</f>
        <v>-1.7</v>
      </c>
      <c r="U642" s="2">
        <f ca="1">INDEX(INDIRECT(_xlfn.CONCAT("weather.tbl[",U$1,"]")),MATCH(vp.tbl[[#This Row],[SDate]],weather.tbl[Date],0))</f>
        <v>-5</v>
      </c>
      <c r="V642" s="2">
        <v>11216.892</v>
      </c>
      <c r="W642" t="s">
        <v>48</v>
      </c>
      <c r="X642">
        <f>IF(OR(vp.tbl[[#This Row],[Sulf]]="",vp.tbl[[#This Row],[Dens]]=""),1,0)</f>
        <v>0</v>
      </c>
      <c r="Y642">
        <f>IF(vp.tbl[[#This Row],[CrudeType]]="C5+",1,0)</f>
        <v>0</v>
      </c>
      <c r="Z642">
        <f>IF(AND(vp.tbl[[#This Row],[CrudeType]]="Crude",vp.tbl[[#This Row],[Dens]]&lt;=825,vp.tbl[[#This Row],[Sulf]]&gt;0.5,vp.tbl[[#This Row],[Unknown]]=0),1,0)</f>
        <v>1</v>
      </c>
      <c r="AA642">
        <f>IF(AND(vp.tbl[[#This Row],[CrudeType]]="Crude",vp.tbl[[#This Row],[Dens]]&lt;=825,vp.tbl[[#This Row],[Sulf]]&lt;=0.5,vp.tbl[[#This Row],[Unknown]]=0),1,0)</f>
        <v>0</v>
      </c>
      <c r="AB642">
        <f>IF(AND(vp.tbl[[#This Row],[CrudeType]]="Crude",vp.tbl[[#This Row],[Dens]]&gt;825,vp.tbl[[#This Row],[Dens]]&lt;=870,vp.tbl[[#This Row],[Sulf]]&gt;0.5,vp.tbl[[#This Row],[Unknown]]=0),1,0)</f>
        <v>0</v>
      </c>
      <c r="AC642">
        <f>IF(AND(vp.tbl[[#This Row],[CrudeType]]="Crude",vp.tbl[[#This Row],[Dens]]&gt;825,vp.tbl[[#This Row],[Dens]]&lt;=900,vp.tbl[[#This Row],[Sulf]]&lt;=0.5,vp.tbl[[#This Row],[Unknown]]=0),1,0)</f>
        <v>0</v>
      </c>
      <c r="AD642">
        <f>IF(AND(vp.tbl[[#This Row],[CrudeType]]="Crude",vp.tbl[[#This Row],[Dens]]&gt;870,vp.tbl[[#This Row],[Dens]]&lt;=900,vp.tbl[[#This Row],[Sulf]]&gt;0.5,vp.tbl[[#This Row],[Unknown]]=0),1,0)</f>
        <v>0</v>
      </c>
      <c r="AE642">
        <f>IF(AND(vp.tbl[[#This Row],[CrudeType]]="Crude",vp.tbl[[#This Row],[Dens]]&gt;900,vp.tbl[[#This Row],[Sulf]]&lt;=0.5,vp.tbl[[#This Row],[Unknown]]=0),1,0)</f>
        <v>0</v>
      </c>
      <c r="AF642">
        <f>IF(AND(vp.tbl[[#This Row],[CrudeType]]="Crude",vp.tbl[[#This Row],[Dens]]&gt;900,vp.tbl[[#This Row],[Sulf]]&lt;=0.5,vp.tbl[[#This Row],[Unknown]]=0),1,0)</f>
        <v>0</v>
      </c>
      <c r="AG642" t="str">
        <f>INDEX(vp.tbl[[#Headers],[Unknown]:[Heavy_SW]],MATCH(1,vp.tbl[[#This Row],[Unknown]:[Heavy_SW]],0))</f>
        <v>Light_LSB</v>
      </c>
      <c r="AH642" t="e">
        <f>INDEX([1]!crudeBD.lkup[Number],MATCH(vp.tbl[[#This Row],[Crude_Breakdown]],[1]!crudeBD.lkup[Crude Breakdown],0))</f>
        <v>#REF!</v>
      </c>
      <c r="AI642">
        <f>MONTH(vp.tbl[[#This Row],[SDate]])</f>
        <v>1</v>
      </c>
      <c r="AJ642" s="5">
        <f>IFERROR(vp.tbl[[#This Row],[Sulf]]*vp.tbl[[#This Row],[Net Dens]],"")</f>
        <v>4579125.6622415995</v>
      </c>
      <c r="AK642" s="5">
        <f>IFERROR(vp.tbl[[#This Row],[Dens]]*vp.tbl[[#This Row],[VolumeM3]],"")</f>
        <v>9103629.5471999999</v>
      </c>
      <c r="AL642" s="5">
        <f>IFERROR(vp.tbl[[#This Row],[VP]]*vp.tbl[[#This Row],[VolumeM3]],"")</f>
        <v>1162070.0111999998</v>
      </c>
      <c r="AM642" s="4">
        <f>IFERROR((vp.tbl[[#This Row],[VP]]-INDEX(crudeBD.lkup.complete[Mean_VP],MATCH(vp.tbl[[#This Row],[Crude_Breakdown]],crudeBD.lkup.complete[Crude Breakdown],0)))^2,"")</f>
        <v>145.29444238494969</v>
      </c>
      <c r="AN642" s="4">
        <f>IFERROR((vp.tbl[[#This Row],[Dens]]-INDEX(crudeBD.lkup.complete[Mean_Dens],MATCH(vp.tbl[[#This Row],[Crude_Breakdown]],crudeBD.lkup.complete[Crude Breakdown],0)))^2,"")</f>
        <v>47.841703905239726</v>
      </c>
      <c r="AO642" s="4">
        <f>IFERROR((vp.tbl[[#This Row],[Sulf]]-INDEX(crudeBD.lkup.complete[Mean_Sulf],MATCH(vp.tbl[[#This Row],[Crude_Breakdown]],crudeBD.lkup.complete[Crude Breakdown],0)))^2,"")</f>
        <v>0.17637578227456077</v>
      </c>
      <c r="AP642">
        <f>IF(AND(vp.tbl[[#This Row],[SDate]]&gt;=DATE(YEAR(vp.tbl[[#This Row],[SDate]]),5,1),vp.tbl[[#This Row],[SDate]]&lt;=DATE(YEAR(vp.tbl[[#This Row],[SDate]]),9,15)),1,0)</f>
        <v>0</v>
      </c>
      <c r="AQ642" s="15">
        <f>IF(vp.tbl[[#This Row],[SDate]]&lt;DATE(2016,12,1),0,1)</f>
        <v>1</v>
      </c>
    </row>
    <row r="643" spans="1:43" x14ac:dyDescent="0.25">
      <c r="A643">
        <v>642</v>
      </c>
      <c r="B643" t="s">
        <v>49</v>
      </c>
      <c r="C643" t="s">
        <v>49</v>
      </c>
      <c r="D643" t="s">
        <v>80</v>
      </c>
      <c r="F643" s="1">
        <v>42756</v>
      </c>
      <c r="G643" s="2">
        <v>102.5</v>
      </c>
      <c r="H643" s="2">
        <v>0.54200000000000004</v>
      </c>
      <c r="I643" s="2">
        <v>0.54200000000000004</v>
      </c>
      <c r="J643" s="2">
        <v>16</v>
      </c>
      <c r="K643" s="2">
        <v>-5</v>
      </c>
      <c r="L643" s="2">
        <v>815</v>
      </c>
      <c r="M643" s="2">
        <v>815</v>
      </c>
      <c r="N643" s="2">
        <f ca="1">INDEX(INDIRECT(_xlfn.CONCAT("weather.tbl[",N$1,"]")),MATCH(vp.tbl[[#This Row],[SDate]],weather.tbl[Date],0))</f>
        <v>-5.7333333333333334</v>
      </c>
      <c r="O643" s="2">
        <f ca="1">INDEX(INDIRECT(_xlfn.CONCAT("weather.tbl[",O$1,"]")),MATCH(vp.tbl[[#This Row],[SDate]],weather.tbl[Date],0))</f>
        <v>-5.7547619047619047</v>
      </c>
      <c r="P643" s="2">
        <f ca="1">INDEX(INDIRECT(_xlfn.CONCAT("weather.tbl[",P$1,"]")),MATCH(vp.tbl[[#This Row],[SDate]],weather.tbl[Date],0))</f>
        <v>-7</v>
      </c>
      <c r="Q643" s="2">
        <f ca="1">INDEX(INDIRECT(_xlfn.CONCAT("weather.tbl[",Q$1,"]")),MATCH(vp.tbl[[#This Row],[SDate]],weather.tbl[Date],0))</f>
        <v>-7.4</v>
      </c>
      <c r="R643" s="2">
        <f ca="1">INDEX(INDIRECT(_xlfn.CONCAT("weather.tbl[",R$1,"]")),MATCH(vp.tbl[[#This Row],[SDate]],weather.tbl[Date],0))</f>
        <v>-7.5</v>
      </c>
      <c r="S643" s="2">
        <f ca="1">INDEX(INDIRECT(_xlfn.CONCAT("weather.tbl[",S$1,"]")),MATCH(vp.tbl[[#This Row],[SDate]],weather.tbl[Date],0))</f>
        <v>-5.8</v>
      </c>
      <c r="T643" s="2">
        <f ca="1">INDEX(INDIRECT(_xlfn.CONCAT("weather.tbl[",T$1,"]")),MATCH(vp.tbl[[#This Row],[SDate]],weather.tbl[Date],0))</f>
        <v>-1.7</v>
      </c>
      <c r="U643" s="2">
        <f ca="1">INDEX(INDIRECT(_xlfn.CONCAT("weather.tbl[",U$1,"]")),MATCH(vp.tbl[[#This Row],[SDate]],weather.tbl[Date],0))</f>
        <v>-5</v>
      </c>
      <c r="V643" s="2">
        <v>21030.911</v>
      </c>
      <c r="W643" t="s">
        <v>48</v>
      </c>
      <c r="X643">
        <f>IF(OR(vp.tbl[[#This Row],[Sulf]]="",vp.tbl[[#This Row],[Dens]]=""),1,0)</f>
        <v>0</v>
      </c>
      <c r="Y643">
        <f>IF(vp.tbl[[#This Row],[CrudeType]]="C5+",1,0)</f>
        <v>0</v>
      </c>
      <c r="Z643">
        <f>IF(AND(vp.tbl[[#This Row],[CrudeType]]="Crude",vp.tbl[[#This Row],[Dens]]&lt;=825,vp.tbl[[#This Row],[Sulf]]&gt;0.5,vp.tbl[[#This Row],[Unknown]]=0),1,0)</f>
        <v>1</v>
      </c>
      <c r="AA643">
        <f>IF(AND(vp.tbl[[#This Row],[CrudeType]]="Crude",vp.tbl[[#This Row],[Dens]]&lt;=825,vp.tbl[[#This Row],[Sulf]]&lt;=0.5,vp.tbl[[#This Row],[Unknown]]=0),1,0)</f>
        <v>0</v>
      </c>
      <c r="AB643">
        <f>IF(AND(vp.tbl[[#This Row],[CrudeType]]="Crude",vp.tbl[[#This Row],[Dens]]&gt;825,vp.tbl[[#This Row],[Dens]]&lt;=870,vp.tbl[[#This Row],[Sulf]]&gt;0.5,vp.tbl[[#This Row],[Unknown]]=0),1,0)</f>
        <v>0</v>
      </c>
      <c r="AC643">
        <f>IF(AND(vp.tbl[[#This Row],[CrudeType]]="Crude",vp.tbl[[#This Row],[Dens]]&gt;825,vp.tbl[[#This Row],[Dens]]&lt;=900,vp.tbl[[#This Row],[Sulf]]&lt;=0.5,vp.tbl[[#This Row],[Unknown]]=0),1,0)</f>
        <v>0</v>
      </c>
      <c r="AD643">
        <f>IF(AND(vp.tbl[[#This Row],[CrudeType]]="Crude",vp.tbl[[#This Row],[Dens]]&gt;870,vp.tbl[[#This Row],[Dens]]&lt;=900,vp.tbl[[#This Row],[Sulf]]&gt;0.5,vp.tbl[[#This Row],[Unknown]]=0),1,0)</f>
        <v>0</v>
      </c>
      <c r="AE643">
        <f>IF(AND(vp.tbl[[#This Row],[CrudeType]]="Crude",vp.tbl[[#This Row],[Dens]]&gt;900,vp.tbl[[#This Row],[Sulf]]&lt;=0.5,vp.tbl[[#This Row],[Unknown]]=0),1,0)</f>
        <v>0</v>
      </c>
      <c r="AF643">
        <f>IF(AND(vp.tbl[[#This Row],[CrudeType]]="Crude",vp.tbl[[#This Row],[Dens]]&gt;900,vp.tbl[[#This Row],[Sulf]]&lt;=0.5,vp.tbl[[#This Row],[Unknown]]=0),1,0)</f>
        <v>0</v>
      </c>
      <c r="AG643" t="str">
        <f>INDEX(vp.tbl[[#Headers],[Unknown]:[Heavy_SW]],MATCH(1,vp.tbl[[#This Row],[Unknown]:[Heavy_SW]],0))</f>
        <v>Light_LSB</v>
      </c>
      <c r="AH643" t="e">
        <f>INDEX([1]!crudeBD.lkup[Number],MATCH(vp.tbl[[#This Row],[Crude_Breakdown]],[1]!crudeBD.lkup[Crude Breakdown],0))</f>
        <v>#REF!</v>
      </c>
      <c r="AI643">
        <f>MONTH(vp.tbl[[#This Row],[SDate]])</f>
        <v>1</v>
      </c>
      <c r="AJ643" s="5">
        <f>IFERROR(vp.tbl[[#This Row],[Sulf]]*vp.tbl[[#This Row],[Net Dens]],"")</f>
        <v>9289984.3160300013</v>
      </c>
      <c r="AK643" s="5">
        <f>IFERROR(vp.tbl[[#This Row],[Dens]]*vp.tbl[[#This Row],[VolumeM3]],"")</f>
        <v>17140192.465</v>
      </c>
      <c r="AL643" s="5">
        <f>IFERROR(vp.tbl[[#This Row],[VP]]*vp.tbl[[#This Row],[VolumeM3]],"")</f>
        <v>2155668.3774999999</v>
      </c>
      <c r="AM643" s="4">
        <f>IFERROR((vp.tbl[[#This Row],[VP]]-INDEX(crudeBD.lkup.complete[Mean_VP],MATCH(vp.tbl[[#This Row],[Crude_Breakdown]],crudeBD.lkup.complete[Crude Breakdown],0)))^2,"")</f>
        <v>119.98605063237258</v>
      </c>
      <c r="AN643" s="4">
        <f>IFERROR((vp.tbl[[#This Row],[Dens]]-INDEX(crudeBD.lkup.complete[Mean_Dens],MATCH(vp.tbl[[#This Row],[Crude_Breakdown]],crudeBD.lkup.complete[Crude Breakdown],0)))^2,"")</f>
        <v>12.36766954098101</v>
      </c>
      <c r="AO643" s="4">
        <f>IFERROR((vp.tbl[[#This Row],[Sulf]]-INDEX(crudeBD.lkup.complete[Mean_Sulf],MATCH(vp.tbl[[#This Row],[Crude_Breakdown]],crudeBD.lkup.complete[Crude Breakdown],0)))^2,"")</f>
        <v>0.14513903114054016</v>
      </c>
      <c r="AP643">
        <f>IF(AND(vp.tbl[[#This Row],[SDate]]&gt;=DATE(YEAR(vp.tbl[[#This Row],[SDate]]),5,1),vp.tbl[[#This Row],[SDate]]&lt;=DATE(YEAR(vp.tbl[[#This Row],[SDate]]),9,15)),1,0)</f>
        <v>0</v>
      </c>
      <c r="AQ643" s="15">
        <f>IF(vp.tbl[[#This Row],[SDate]]&lt;DATE(2016,12,1),0,1)</f>
        <v>1</v>
      </c>
    </row>
    <row r="644" spans="1:43" x14ac:dyDescent="0.25">
      <c r="A644">
        <v>643</v>
      </c>
      <c r="B644" t="s">
        <v>49</v>
      </c>
      <c r="C644" t="s">
        <v>49</v>
      </c>
      <c r="D644" t="s">
        <v>67</v>
      </c>
      <c r="F644" s="1">
        <v>42756</v>
      </c>
      <c r="G644" s="2">
        <v>95.6</v>
      </c>
      <c r="H644" s="2">
        <v>0.58399999999999996</v>
      </c>
      <c r="I644" s="2">
        <v>0.58399999999999996</v>
      </c>
      <c r="J644" s="2">
        <v>7</v>
      </c>
      <c r="K644" s="2">
        <v>-6</v>
      </c>
      <c r="L644" s="2">
        <v>821.8</v>
      </c>
      <c r="M644" s="2">
        <v>821.8</v>
      </c>
      <c r="N644" s="2">
        <f ca="1">INDEX(INDIRECT(_xlfn.CONCAT("weather.tbl[",N$1,"]")),MATCH(vp.tbl[[#This Row],[SDate]],weather.tbl[Date],0))</f>
        <v>-5.7333333333333334</v>
      </c>
      <c r="O644" s="2">
        <f ca="1">INDEX(INDIRECT(_xlfn.CONCAT("weather.tbl[",O$1,"]")),MATCH(vp.tbl[[#This Row],[SDate]],weather.tbl[Date],0))</f>
        <v>-5.7547619047619047</v>
      </c>
      <c r="P644" s="2">
        <f ca="1">INDEX(INDIRECT(_xlfn.CONCAT("weather.tbl[",P$1,"]")),MATCH(vp.tbl[[#This Row],[SDate]],weather.tbl[Date],0))</f>
        <v>-7</v>
      </c>
      <c r="Q644" s="2">
        <f ca="1">INDEX(INDIRECT(_xlfn.CONCAT("weather.tbl[",Q$1,"]")),MATCH(vp.tbl[[#This Row],[SDate]],weather.tbl[Date],0))</f>
        <v>-7.4</v>
      </c>
      <c r="R644" s="2">
        <f ca="1">INDEX(INDIRECT(_xlfn.CONCAT("weather.tbl[",R$1,"]")),MATCH(vp.tbl[[#This Row],[SDate]],weather.tbl[Date],0))</f>
        <v>-7.5</v>
      </c>
      <c r="S644" s="2">
        <f ca="1">INDEX(INDIRECT(_xlfn.CONCAT("weather.tbl[",S$1,"]")),MATCH(vp.tbl[[#This Row],[SDate]],weather.tbl[Date],0))</f>
        <v>-5.8</v>
      </c>
      <c r="T644" s="2">
        <f ca="1">INDEX(INDIRECT(_xlfn.CONCAT("weather.tbl[",T$1,"]")),MATCH(vp.tbl[[#This Row],[SDate]],weather.tbl[Date],0))</f>
        <v>-1.7</v>
      </c>
      <c r="U644" s="2">
        <f ca="1">INDEX(INDIRECT(_xlfn.CONCAT("weather.tbl[",U$1,"]")),MATCH(vp.tbl[[#This Row],[SDate]],weather.tbl[Date],0))</f>
        <v>-5</v>
      </c>
      <c r="V644" s="2">
        <v>122139.87</v>
      </c>
      <c r="W644" t="s">
        <v>48</v>
      </c>
      <c r="X644">
        <f>IF(OR(vp.tbl[[#This Row],[Sulf]]="",vp.tbl[[#This Row],[Dens]]=""),1,0)</f>
        <v>0</v>
      </c>
      <c r="Y644">
        <f>IF(vp.tbl[[#This Row],[CrudeType]]="C5+",1,0)</f>
        <v>0</v>
      </c>
      <c r="Z644">
        <f>IF(AND(vp.tbl[[#This Row],[CrudeType]]="Crude",vp.tbl[[#This Row],[Dens]]&lt;=825,vp.tbl[[#This Row],[Sulf]]&gt;0.5,vp.tbl[[#This Row],[Unknown]]=0),1,0)</f>
        <v>1</v>
      </c>
      <c r="AA644">
        <f>IF(AND(vp.tbl[[#This Row],[CrudeType]]="Crude",vp.tbl[[#This Row],[Dens]]&lt;=825,vp.tbl[[#This Row],[Sulf]]&lt;=0.5,vp.tbl[[#This Row],[Unknown]]=0),1,0)</f>
        <v>0</v>
      </c>
      <c r="AB644">
        <f>IF(AND(vp.tbl[[#This Row],[CrudeType]]="Crude",vp.tbl[[#This Row],[Dens]]&gt;825,vp.tbl[[#This Row],[Dens]]&lt;=870,vp.tbl[[#This Row],[Sulf]]&gt;0.5,vp.tbl[[#This Row],[Unknown]]=0),1,0)</f>
        <v>0</v>
      </c>
      <c r="AC644">
        <f>IF(AND(vp.tbl[[#This Row],[CrudeType]]="Crude",vp.tbl[[#This Row],[Dens]]&gt;825,vp.tbl[[#This Row],[Dens]]&lt;=900,vp.tbl[[#This Row],[Sulf]]&lt;=0.5,vp.tbl[[#This Row],[Unknown]]=0),1,0)</f>
        <v>0</v>
      </c>
      <c r="AD644">
        <f>IF(AND(vp.tbl[[#This Row],[CrudeType]]="Crude",vp.tbl[[#This Row],[Dens]]&gt;870,vp.tbl[[#This Row],[Dens]]&lt;=900,vp.tbl[[#This Row],[Sulf]]&gt;0.5,vp.tbl[[#This Row],[Unknown]]=0),1,0)</f>
        <v>0</v>
      </c>
      <c r="AE644">
        <f>IF(AND(vp.tbl[[#This Row],[CrudeType]]="Crude",vp.tbl[[#This Row],[Dens]]&gt;900,vp.tbl[[#This Row],[Sulf]]&lt;=0.5,vp.tbl[[#This Row],[Unknown]]=0),1,0)</f>
        <v>0</v>
      </c>
      <c r="AF644">
        <f>IF(AND(vp.tbl[[#This Row],[CrudeType]]="Crude",vp.tbl[[#This Row],[Dens]]&gt;900,vp.tbl[[#This Row],[Sulf]]&lt;=0.5,vp.tbl[[#This Row],[Unknown]]=0),1,0)</f>
        <v>0</v>
      </c>
      <c r="AG644" t="str">
        <f>INDEX(vp.tbl[[#Headers],[Unknown]:[Heavy_SW]],MATCH(1,vp.tbl[[#This Row],[Unknown]:[Heavy_SW]],0))</f>
        <v>Light_LSB</v>
      </c>
      <c r="AH644" t="e">
        <f>INDEX([1]!crudeBD.lkup[Number],MATCH(vp.tbl[[#This Row],[Crude_Breakdown]],[1]!crudeBD.lkup[Crude Breakdown],0))</f>
        <v>#REF!</v>
      </c>
      <c r="AI644">
        <f>MONTH(vp.tbl[[#This Row],[SDate]])</f>
        <v>1</v>
      </c>
      <c r="AJ644" s="5">
        <f>IFERROR(vp.tbl[[#This Row],[Sulf]]*vp.tbl[[#This Row],[Net Dens]],"")</f>
        <v>58618734.376943991</v>
      </c>
      <c r="AK644" s="5">
        <f>IFERROR(vp.tbl[[#This Row],[Dens]]*vp.tbl[[#This Row],[VolumeM3]],"")</f>
        <v>100374545.16599999</v>
      </c>
      <c r="AL644" s="5">
        <f>IFERROR(vp.tbl[[#This Row],[VP]]*vp.tbl[[#This Row],[VolumeM3]],"")</f>
        <v>11676571.571999999</v>
      </c>
      <c r="AM644" s="4">
        <f>IFERROR((vp.tbl[[#This Row],[VP]]-INDEX(crudeBD.lkup.complete[Mean_VP],MATCH(vp.tbl[[#This Row],[Crude_Breakdown]],crudeBD.lkup.complete[Crude Breakdown],0)))^2,"")</f>
        <v>16.433411457115231</v>
      </c>
      <c r="AN644" s="4">
        <f>IFERROR((vp.tbl[[#This Row],[Dens]]-INDEX(crudeBD.lkup.complete[Mean_Dens],MATCH(vp.tbl[[#This Row],[Crude_Breakdown]],crudeBD.lkup.complete[Crude Breakdown],0)))^2,"")</f>
        <v>10.779600812462647</v>
      </c>
      <c r="AO644" s="4">
        <f>IFERROR((vp.tbl[[#This Row],[Sulf]]-INDEX(crudeBD.lkup.complete[Mean_Sulf],MATCH(vp.tbl[[#This Row],[Crude_Breakdown]],crudeBD.lkup.complete[Crude Breakdown],0)))^2,"")</f>
        <v>0.11490145299621034</v>
      </c>
      <c r="AP644">
        <f>IF(AND(vp.tbl[[#This Row],[SDate]]&gt;=DATE(YEAR(vp.tbl[[#This Row],[SDate]]),5,1),vp.tbl[[#This Row],[SDate]]&lt;=DATE(YEAR(vp.tbl[[#This Row],[SDate]]),9,15)),1,0)</f>
        <v>0</v>
      </c>
      <c r="AQ644" s="15">
        <f>IF(vp.tbl[[#This Row],[SDate]]&lt;DATE(2016,12,1),0,1)</f>
        <v>1</v>
      </c>
    </row>
    <row r="645" spans="1:43" x14ac:dyDescent="0.25">
      <c r="A645">
        <v>644</v>
      </c>
      <c r="B645" t="s">
        <v>49</v>
      </c>
      <c r="C645" t="s">
        <v>49</v>
      </c>
      <c r="D645" t="s">
        <v>89</v>
      </c>
      <c r="F645" s="1">
        <v>42756</v>
      </c>
      <c r="G645" s="2">
        <v>107.6</v>
      </c>
      <c r="H645" s="2">
        <v>0.76200000000000001</v>
      </c>
      <c r="I645" s="2">
        <v>0.76200000000000001</v>
      </c>
      <c r="J645" s="2">
        <v>5.9</v>
      </c>
      <c r="K645" s="2">
        <v>-6</v>
      </c>
      <c r="L645" s="2">
        <v>819.3</v>
      </c>
      <c r="M645" s="2">
        <v>819.3</v>
      </c>
      <c r="N645" s="2">
        <f ca="1">INDEX(INDIRECT(_xlfn.CONCAT("weather.tbl[",N$1,"]")),MATCH(vp.tbl[[#This Row],[SDate]],weather.tbl[Date],0))</f>
        <v>-5.7333333333333334</v>
      </c>
      <c r="O645" s="2">
        <f ca="1">INDEX(INDIRECT(_xlfn.CONCAT("weather.tbl[",O$1,"]")),MATCH(vp.tbl[[#This Row],[SDate]],weather.tbl[Date],0))</f>
        <v>-5.7547619047619047</v>
      </c>
      <c r="P645" s="2">
        <f ca="1">INDEX(INDIRECT(_xlfn.CONCAT("weather.tbl[",P$1,"]")),MATCH(vp.tbl[[#This Row],[SDate]],weather.tbl[Date],0))</f>
        <v>-7</v>
      </c>
      <c r="Q645" s="2">
        <f ca="1">INDEX(INDIRECT(_xlfn.CONCAT("weather.tbl[",Q$1,"]")),MATCH(vp.tbl[[#This Row],[SDate]],weather.tbl[Date],0))</f>
        <v>-7.4</v>
      </c>
      <c r="R645" s="2">
        <f ca="1">INDEX(INDIRECT(_xlfn.CONCAT("weather.tbl[",R$1,"]")),MATCH(vp.tbl[[#This Row],[SDate]],weather.tbl[Date],0))</f>
        <v>-7.5</v>
      </c>
      <c r="S645" s="2">
        <f ca="1">INDEX(INDIRECT(_xlfn.CONCAT("weather.tbl[",S$1,"]")),MATCH(vp.tbl[[#This Row],[SDate]],weather.tbl[Date],0))</f>
        <v>-5.8</v>
      </c>
      <c r="T645" s="2">
        <f ca="1">INDEX(INDIRECT(_xlfn.CONCAT("weather.tbl[",T$1,"]")),MATCH(vp.tbl[[#This Row],[SDate]],weather.tbl[Date],0))</f>
        <v>-1.7</v>
      </c>
      <c r="U645" s="2">
        <f ca="1">INDEX(INDIRECT(_xlfn.CONCAT("weather.tbl[",U$1,"]")),MATCH(vp.tbl[[#This Row],[SDate]],weather.tbl[Date],0))</f>
        <v>-5</v>
      </c>
      <c r="V645" s="2">
        <v>6179.5609999999997</v>
      </c>
      <c r="W645" t="s">
        <v>48</v>
      </c>
      <c r="X645">
        <f>IF(OR(vp.tbl[[#This Row],[Sulf]]="",vp.tbl[[#This Row],[Dens]]=""),1,0)</f>
        <v>0</v>
      </c>
      <c r="Y645">
        <f>IF(vp.tbl[[#This Row],[CrudeType]]="C5+",1,0)</f>
        <v>0</v>
      </c>
      <c r="Z645">
        <f>IF(AND(vp.tbl[[#This Row],[CrudeType]]="Crude",vp.tbl[[#This Row],[Dens]]&lt;=825,vp.tbl[[#This Row],[Sulf]]&gt;0.5,vp.tbl[[#This Row],[Unknown]]=0),1,0)</f>
        <v>1</v>
      </c>
      <c r="AA645">
        <f>IF(AND(vp.tbl[[#This Row],[CrudeType]]="Crude",vp.tbl[[#This Row],[Dens]]&lt;=825,vp.tbl[[#This Row],[Sulf]]&lt;=0.5,vp.tbl[[#This Row],[Unknown]]=0),1,0)</f>
        <v>0</v>
      </c>
      <c r="AB645">
        <f>IF(AND(vp.tbl[[#This Row],[CrudeType]]="Crude",vp.tbl[[#This Row],[Dens]]&gt;825,vp.tbl[[#This Row],[Dens]]&lt;=870,vp.tbl[[#This Row],[Sulf]]&gt;0.5,vp.tbl[[#This Row],[Unknown]]=0),1,0)</f>
        <v>0</v>
      </c>
      <c r="AC645">
        <f>IF(AND(vp.tbl[[#This Row],[CrudeType]]="Crude",vp.tbl[[#This Row],[Dens]]&gt;825,vp.tbl[[#This Row],[Dens]]&lt;=900,vp.tbl[[#This Row],[Sulf]]&lt;=0.5,vp.tbl[[#This Row],[Unknown]]=0),1,0)</f>
        <v>0</v>
      </c>
      <c r="AD645">
        <f>IF(AND(vp.tbl[[#This Row],[CrudeType]]="Crude",vp.tbl[[#This Row],[Dens]]&gt;870,vp.tbl[[#This Row],[Dens]]&lt;=900,vp.tbl[[#This Row],[Sulf]]&gt;0.5,vp.tbl[[#This Row],[Unknown]]=0),1,0)</f>
        <v>0</v>
      </c>
      <c r="AE645">
        <f>IF(AND(vp.tbl[[#This Row],[CrudeType]]="Crude",vp.tbl[[#This Row],[Dens]]&gt;900,vp.tbl[[#This Row],[Sulf]]&lt;=0.5,vp.tbl[[#This Row],[Unknown]]=0),1,0)</f>
        <v>0</v>
      </c>
      <c r="AF645">
        <f>IF(AND(vp.tbl[[#This Row],[CrudeType]]="Crude",vp.tbl[[#This Row],[Dens]]&gt;900,vp.tbl[[#This Row],[Sulf]]&lt;=0.5,vp.tbl[[#This Row],[Unknown]]=0),1,0)</f>
        <v>0</v>
      </c>
      <c r="AG645" t="str">
        <f>INDEX(vp.tbl[[#Headers],[Unknown]:[Heavy_SW]],MATCH(1,vp.tbl[[#This Row],[Unknown]:[Heavy_SW]],0))</f>
        <v>Light_LSB</v>
      </c>
      <c r="AH645" t="e">
        <f>INDEX([1]!crudeBD.lkup[Number],MATCH(vp.tbl[[#This Row],[Crude_Breakdown]],[1]!crudeBD.lkup[Crude Breakdown],0))</f>
        <v>#REF!</v>
      </c>
      <c r="AI645">
        <f>MONTH(vp.tbl[[#This Row],[SDate]])</f>
        <v>1</v>
      </c>
      <c r="AJ645" s="5">
        <f>IFERROR(vp.tbl[[#This Row],[Sulf]]*vp.tbl[[#This Row],[Net Dens]],"")</f>
        <v>3857940.7174025993</v>
      </c>
      <c r="AK645" s="5">
        <f>IFERROR(vp.tbl[[#This Row],[Dens]]*vp.tbl[[#This Row],[VolumeM3]],"")</f>
        <v>5062914.3272999991</v>
      </c>
      <c r="AL645" s="5">
        <f>IFERROR(vp.tbl[[#This Row],[VP]]*vp.tbl[[#This Row],[VolumeM3]],"")</f>
        <v>664920.76359999995</v>
      </c>
      <c r="AM645" s="4">
        <f>IFERROR((vp.tbl[[#This Row],[VP]]-INDEX(crudeBD.lkup.complete[Mean_VP],MATCH(vp.tbl[[#This Row],[Crude_Breakdown]],crudeBD.lkup.complete[Crude Breakdown],0)))^2,"")</f>
        <v>257.72495784886695</v>
      </c>
      <c r="AN645" s="4">
        <f>IFERROR((vp.tbl[[#This Row],[Dens]]-INDEX(crudeBD.lkup.complete[Mean_Dens],MATCH(vp.tbl[[#This Row],[Crude_Breakdown]],crudeBD.lkup.complete[Crude Breakdown],0)))^2,"")</f>
        <v>0.61344960971216256</v>
      </c>
      <c r="AO645" s="4">
        <f>IFERROR((vp.tbl[[#This Row],[Sulf]]-INDEX(crudeBD.lkup.complete[Mean_Sulf],MATCH(vp.tbl[[#This Row],[Crude_Breakdown]],crudeBD.lkup.complete[Crude Breakdown],0)))^2,"")</f>
        <v>2.5911717051193217E-2</v>
      </c>
      <c r="AP645">
        <f>IF(AND(vp.tbl[[#This Row],[SDate]]&gt;=DATE(YEAR(vp.tbl[[#This Row],[SDate]]),5,1),vp.tbl[[#This Row],[SDate]]&lt;=DATE(YEAR(vp.tbl[[#This Row],[SDate]]),9,15)),1,0)</f>
        <v>0</v>
      </c>
      <c r="AQ645" s="15">
        <f>IF(vp.tbl[[#This Row],[SDate]]&lt;DATE(2016,12,1),0,1)</f>
        <v>1</v>
      </c>
    </row>
    <row r="646" spans="1:43" x14ac:dyDescent="0.25">
      <c r="A646">
        <v>645</v>
      </c>
      <c r="B646" t="s">
        <v>49</v>
      </c>
      <c r="C646" t="s">
        <v>49</v>
      </c>
      <c r="D646" t="s">
        <v>124</v>
      </c>
      <c r="F646" s="1">
        <v>42756</v>
      </c>
      <c r="G646" s="2">
        <v>53.2</v>
      </c>
      <c r="H646" s="2">
        <v>2.12</v>
      </c>
      <c r="I646" s="2">
        <v>2.12</v>
      </c>
      <c r="J646" s="2">
        <v>29.7</v>
      </c>
      <c r="K646" s="2">
        <v>-4</v>
      </c>
      <c r="L646" s="2">
        <v>878</v>
      </c>
      <c r="M646" s="2">
        <v>878</v>
      </c>
      <c r="N646" s="2">
        <f ca="1">INDEX(INDIRECT(_xlfn.CONCAT("weather.tbl[",N$1,"]")),MATCH(vp.tbl[[#This Row],[SDate]],weather.tbl[Date],0))</f>
        <v>-5.7333333333333334</v>
      </c>
      <c r="O646" s="2">
        <f ca="1">INDEX(INDIRECT(_xlfn.CONCAT("weather.tbl[",O$1,"]")),MATCH(vp.tbl[[#This Row],[SDate]],weather.tbl[Date],0))</f>
        <v>-5.7547619047619047</v>
      </c>
      <c r="P646" s="2">
        <f ca="1">INDEX(INDIRECT(_xlfn.CONCAT("weather.tbl[",P$1,"]")),MATCH(vp.tbl[[#This Row],[SDate]],weather.tbl[Date],0))</f>
        <v>-7</v>
      </c>
      <c r="Q646" s="2">
        <f ca="1">INDEX(INDIRECT(_xlfn.CONCAT("weather.tbl[",Q$1,"]")),MATCH(vp.tbl[[#This Row],[SDate]],weather.tbl[Date],0))</f>
        <v>-7.4</v>
      </c>
      <c r="R646" s="2">
        <f ca="1">INDEX(INDIRECT(_xlfn.CONCAT("weather.tbl[",R$1,"]")),MATCH(vp.tbl[[#This Row],[SDate]],weather.tbl[Date],0))</f>
        <v>-7.5</v>
      </c>
      <c r="S646" s="2">
        <f ca="1">INDEX(INDIRECT(_xlfn.CONCAT("weather.tbl[",S$1,"]")),MATCH(vp.tbl[[#This Row],[SDate]],weather.tbl[Date],0))</f>
        <v>-5.8</v>
      </c>
      <c r="T646" s="2">
        <f ca="1">INDEX(INDIRECT(_xlfn.CONCAT("weather.tbl[",T$1,"]")),MATCH(vp.tbl[[#This Row],[SDate]],weather.tbl[Date],0))</f>
        <v>-1.7</v>
      </c>
      <c r="U646" s="2">
        <f ca="1">INDEX(INDIRECT(_xlfn.CONCAT("weather.tbl[",U$1,"]")),MATCH(vp.tbl[[#This Row],[SDate]],weather.tbl[Date],0))</f>
        <v>-5</v>
      </c>
      <c r="V646" s="2">
        <v>1326.066</v>
      </c>
      <c r="W646" t="s">
        <v>48</v>
      </c>
      <c r="X646">
        <f>IF(OR(vp.tbl[[#This Row],[Sulf]]="",vp.tbl[[#This Row],[Dens]]=""),1,0)</f>
        <v>0</v>
      </c>
      <c r="Y646">
        <f>IF(vp.tbl[[#This Row],[CrudeType]]="C5+",1,0)</f>
        <v>0</v>
      </c>
      <c r="Z646">
        <f>IF(AND(vp.tbl[[#This Row],[CrudeType]]="Crude",vp.tbl[[#This Row],[Dens]]&lt;=825,vp.tbl[[#This Row],[Sulf]]&gt;0.5,vp.tbl[[#This Row],[Unknown]]=0),1,0)</f>
        <v>0</v>
      </c>
      <c r="AA646">
        <f>IF(AND(vp.tbl[[#This Row],[CrudeType]]="Crude",vp.tbl[[#This Row],[Dens]]&lt;=825,vp.tbl[[#This Row],[Sulf]]&lt;=0.5,vp.tbl[[#This Row],[Unknown]]=0),1,0)</f>
        <v>0</v>
      </c>
      <c r="AB646">
        <f>IF(AND(vp.tbl[[#This Row],[CrudeType]]="Crude",vp.tbl[[#This Row],[Dens]]&gt;825,vp.tbl[[#This Row],[Dens]]&lt;=870,vp.tbl[[#This Row],[Sulf]]&gt;0.5,vp.tbl[[#This Row],[Unknown]]=0),1,0)</f>
        <v>0</v>
      </c>
      <c r="AC646">
        <f>IF(AND(vp.tbl[[#This Row],[CrudeType]]="Crude",vp.tbl[[#This Row],[Dens]]&gt;825,vp.tbl[[#This Row],[Dens]]&lt;=900,vp.tbl[[#This Row],[Sulf]]&lt;=0.5,vp.tbl[[#This Row],[Unknown]]=0),1,0)</f>
        <v>0</v>
      </c>
      <c r="AD646">
        <f>IF(AND(vp.tbl[[#This Row],[CrudeType]]="Crude",vp.tbl[[#This Row],[Dens]]&gt;870,vp.tbl[[#This Row],[Dens]]&lt;=900,vp.tbl[[#This Row],[Sulf]]&gt;0.5,vp.tbl[[#This Row],[Unknown]]=0),1,0)</f>
        <v>1</v>
      </c>
      <c r="AE646">
        <f>IF(AND(vp.tbl[[#This Row],[CrudeType]]="Crude",vp.tbl[[#This Row],[Dens]]&gt;900,vp.tbl[[#This Row],[Sulf]]&lt;=0.5,vp.tbl[[#This Row],[Unknown]]=0),1,0)</f>
        <v>0</v>
      </c>
      <c r="AF646">
        <f>IF(AND(vp.tbl[[#This Row],[CrudeType]]="Crude",vp.tbl[[#This Row],[Dens]]&gt;900,vp.tbl[[#This Row],[Sulf]]&lt;=0.5,vp.tbl[[#This Row],[Unknown]]=0),1,0)</f>
        <v>0</v>
      </c>
      <c r="AG646" t="str">
        <f>INDEX(vp.tbl[[#Headers],[Unknown]:[Heavy_SW]],MATCH(1,vp.tbl[[#This Row],[Unknown]:[Heavy_SW]],0))</f>
        <v>Midale</v>
      </c>
      <c r="AH646" t="e">
        <f>INDEX([1]!crudeBD.lkup[Number],MATCH(vp.tbl[[#This Row],[Crude_Breakdown]],[1]!crudeBD.lkup[Crude Breakdown],0))</f>
        <v>#REF!</v>
      </c>
      <c r="AI646">
        <f>MONTH(vp.tbl[[#This Row],[SDate]])</f>
        <v>1</v>
      </c>
      <c r="AJ646" s="5">
        <f>IFERROR(vp.tbl[[#This Row],[Sulf]]*vp.tbl[[#This Row],[Net Dens]],"")</f>
        <v>2468286.2097600005</v>
      </c>
      <c r="AK646" s="5">
        <f>IFERROR(vp.tbl[[#This Row],[Dens]]*vp.tbl[[#This Row],[VolumeM3]],"")</f>
        <v>1164285.9480000001</v>
      </c>
      <c r="AL646" s="5">
        <f>IFERROR(vp.tbl[[#This Row],[VP]]*vp.tbl[[#This Row],[VolumeM3]],"")</f>
        <v>70546.711200000005</v>
      </c>
      <c r="AM646" s="4">
        <f>IFERROR((vp.tbl[[#This Row],[VP]]-INDEX(crudeBD.lkup.complete[Mean_VP],MATCH(vp.tbl[[#This Row],[Crude_Breakdown]],crudeBD.lkup.complete[Crude Breakdown],0)))^2,"")</f>
        <v>226.15215612685338</v>
      </c>
      <c r="AN646" s="4">
        <f>IFERROR((vp.tbl[[#This Row],[Dens]]-INDEX(crudeBD.lkup.complete[Mean_Dens],MATCH(vp.tbl[[#This Row],[Crude_Breakdown]],crudeBD.lkup.complete[Crude Breakdown],0)))^2,"")</f>
        <v>0.20065490711229975</v>
      </c>
      <c r="AO646" s="4">
        <f>IFERROR((vp.tbl[[#This Row],[Sulf]]-INDEX(crudeBD.lkup.complete[Mean_Sulf],MATCH(vp.tbl[[#This Row],[Crude_Breakdown]],crudeBD.lkup.complete[Crude Breakdown],0)))^2,"")</f>
        <v>8.7225796515086454E-2</v>
      </c>
      <c r="AP646">
        <f>IF(AND(vp.tbl[[#This Row],[SDate]]&gt;=DATE(YEAR(vp.tbl[[#This Row],[SDate]]),5,1),vp.tbl[[#This Row],[SDate]]&lt;=DATE(YEAR(vp.tbl[[#This Row],[SDate]]),9,15)),1,0)</f>
        <v>0</v>
      </c>
      <c r="AQ646" s="15">
        <f>IF(vp.tbl[[#This Row],[SDate]]&lt;DATE(2016,12,1),0,1)</f>
        <v>1</v>
      </c>
    </row>
    <row r="647" spans="1:43" x14ac:dyDescent="0.25">
      <c r="A647">
        <v>646</v>
      </c>
      <c r="B647" t="s">
        <v>62</v>
      </c>
      <c r="C647" t="s">
        <v>62</v>
      </c>
      <c r="D647" t="s">
        <v>63</v>
      </c>
      <c r="F647" s="1">
        <v>42756</v>
      </c>
      <c r="G647" s="2">
        <v>124.6</v>
      </c>
      <c r="H647" s="2"/>
      <c r="I647" s="2">
        <v>1.48</v>
      </c>
      <c r="J647" s="2">
        <v>20.100000000000001</v>
      </c>
      <c r="K647" s="2">
        <v>-5</v>
      </c>
      <c r="L647" s="2">
        <v>777.5</v>
      </c>
      <c r="M647" s="2">
        <v>777.5</v>
      </c>
      <c r="N647" s="2">
        <f ca="1">INDEX(INDIRECT(_xlfn.CONCAT("weather.tbl[",N$1,"]")),MATCH(vp.tbl[[#This Row],[SDate]],weather.tbl[Date],0))</f>
        <v>-5.7333333333333334</v>
      </c>
      <c r="O647" s="2">
        <f ca="1">INDEX(INDIRECT(_xlfn.CONCAT("weather.tbl[",O$1,"]")),MATCH(vp.tbl[[#This Row],[SDate]],weather.tbl[Date],0))</f>
        <v>-5.7547619047619047</v>
      </c>
      <c r="P647" s="2">
        <f ca="1">INDEX(INDIRECT(_xlfn.CONCAT("weather.tbl[",P$1,"]")),MATCH(vp.tbl[[#This Row],[SDate]],weather.tbl[Date],0))</f>
        <v>-7</v>
      </c>
      <c r="Q647" s="2">
        <f ca="1">INDEX(INDIRECT(_xlfn.CONCAT("weather.tbl[",Q$1,"]")),MATCH(vp.tbl[[#This Row],[SDate]],weather.tbl[Date],0))</f>
        <v>-7.4</v>
      </c>
      <c r="R647" s="2">
        <f ca="1">INDEX(INDIRECT(_xlfn.CONCAT("weather.tbl[",R$1,"]")),MATCH(vp.tbl[[#This Row],[SDate]],weather.tbl[Date],0))</f>
        <v>-7.5</v>
      </c>
      <c r="S647" s="2">
        <f ca="1">INDEX(INDIRECT(_xlfn.CONCAT("weather.tbl[",S$1,"]")),MATCH(vp.tbl[[#This Row],[SDate]],weather.tbl[Date],0))</f>
        <v>-5.8</v>
      </c>
      <c r="T647" s="2">
        <f ca="1">INDEX(INDIRECT(_xlfn.CONCAT("weather.tbl[",T$1,"]")),MATCH(vp.tbl[[#This Row],[SDate]],weather.tbl[Date],0))</f>
        <v>-1.7</v>
      </c>
      <c r="U647" s="2">
        <f ca="1">INDEX(INDIRECT(_xlfn.CONCAT("weather.tbl[",U$1,"]")),MATCH(vp.tbl[[#This Row],[SDate]],weather.tbl[Date],0))</f>
        <v>-5</v>
      </c>
      <c r="V647" s="2">
        <v>4893.7520000000004</v>
      </c>
      <c r="W647" t="s">
        <v>48</v>
      </c>
      <c r="X647">
        <f>IF(OR(vp.tbl[[#This Row],[Sulf]]="",vp.tbl[[#This Row],[Dens]]=""),1,0)</f>
        <v>0</v>
      </c>
      <c r="Y647">
        <f>IF(vp.tbl[[#This Row],[CrudeType]]="C5+",1,0)</f>
        <v>0</v>
      </c>
      <c r="Z647">
        <f>IF(AND(vp.tbl[[#This Row],[CrudeType]]="Crude",vp.tbl[[#This Row],[Dens]]&lt;=825,vp.tbl[[#This Row],[Sulf]]&gt;0.5,vp.tbl[[#This Row],[Unknown]]=0),1,0)</f>
        <v>1</v>
      </c>
      <c r="AA647">
        <f>IF(AND(vp.tbl[[#This Row],[CrudeType]]="Crude",vp.tbl[[#This Row],[Dens]]&lt;=825,vp.tbl[[#This Row],[Sulf]]&lt;=0.5,vp.tbl[[#This Row],[Unknown]]=0),1,0)</f>
        <v>0</v>
      </c>
      <c r="AB647">
        <f>IF(AND(vp.tbl[[#This Row],[CrudeType]]="Crude",vp.tbl[[#This Row],[Dens]]&gt;825,vp.tbl[[#This Row],[Dens]]&lt;=870,vp.tbl[[#This Row],[Sulf]]&gt;0.5,vp.tbl[[#This Row],[Unknown]]=0),1,0)</f>
        <v>0</v>
      </c>
      <c r="AC647">
        <f>IF(AND(vp.tbl[[#This Row],[CrudeType]]="Crude",vp.tbl[[#This Row],[Dens]]&gt;825,vp.tbl[[#This Row],[Dens]]&lt;=900,vp.tbl[[#This Row],[Sulf]]&lt;=0.5,vp.tbl[[#This Row],[Unknown]]=0),1,0)</f>
        <v>0</v>
      </c>
      <c r="AD647">
        <f>IF(AND(vp.tbl[[#This Row],[CrudeType]]="Crude",vp.tbl[[#This Row],[Dens]]&gt;870,vp.tbl[[#This Row],[Dens]]&lt;=900,vp.tbl[[#This Row],[Sulf]]&gt;0.5,vp.tbl[[#This Row],[Unknown]]=0),1,0)</f>
        <v>0</v>
      </c>
      <c r="AE647">
        <f>IF(AND(vp.tbl[[#This Row],[CrudeType]]="Crude",vp.tbl[[#This Row],[Dens]]&gt;900,vp.tbl[[#This Row],[Sulf]]&lt;=0.5,vp.tbl[[#This Row],[Unknown]]=0),1,0)</f>
        <v>0</v>
      </c>
      <c r="AF647">
        <f>IF(AND(vp.tbl[[#This Row],[CrudeType]]="Crude",vp.tbl[[#This Row],[Dens]]&gt;900,vp.tbl[[#This Row],[Sulf]]&lt;=0.5,vp.tbl[[#This Row],[Unknown]]=0),1,0)</f>
        <v>0</v>
      </c>
      <c r="AG647" t="str">
        <f>INDEX(vp.tbl[[#Headers],[Unknown]:[Heavy_SW]],MATCH(1,vp.tbl[[#This Row],[Unknown]:[Heavy_SW]],0))</f>
        <v>Light_LSB</v>
      </c>
      <c r="AH647" t="e">
        <f>INDEX([1]!crudeBD.lkup[Number],MATCH(vp.tbl[[#This Row],[Crude_Breakdown]],[1]!crudeBD.lkup[Crude Breakdown],0))</f>
        <v>#REF!</v>
      </c>
      <c r="AI647">
        <f>MONTH(vp.tbl[[#This Row],[SDate]])</f>
        <v>1</v>
      </c>
      <c r="AJ647" s="5">
        <f>IFERROR(vp.tbl[[#This Row],[Sulf]]*vp.tbl[[#This Row],[Net Dens]],"")</f>
        <v>5631240.4264000002</v>
      </c>
      <c r="AK647" s="5">
        <f>IFERROR(vp.tbl[[#This Row],[Dens]]*vp.tbl[[#This Row],[VolumeM3]],"")</f>
        <v>3804892.18</v>
      </c>
      <c r="AL647" s="5">
        <f>IFERROR(vp.tbl[[#This Row],[VP]]*vp.tbl[[#This Row],[VolumeM3]],"")</f>
        <v>609761.49920000008</v>
      </c>
      <c r="AM647" s="4">
        <f>IFERROR((vp.tbl[[#This Row],[VP]]-INDEX(crudeBD.lkup.complete[Mean_VP],MATCH(vp.tbl[[#This Row],[Crude_Breakdown]],crudeBD.lkup.complete[Crude Breakdown],0)))^2,"")</f>
        <v>1092.5546485705152</v>
      </c>
      <c r="AN647" s="4">
        <f>IFERROR((vp.tbl[[#This Row],[Dens]]-INDEX(crudeBD.lkup.complete[Mean_Dens],MATCH(vp.tbl[[#This Row],[Crude_Breakdown]],crudeBD.lkup.complete[Crude Breakdown],0)))^2,"")</f>
        <v>1682.3754014997203</v>
      </c>
      <c r="AO647" s="4">
        <f>IFERROR((vp.tbl[[#This Row],[Sulf]]-INDEX(crudeBD.lkup.complete[Mean_Sulf],MATCH(vp.tbl[[#This Row],[Crude_Breakdown]],crudeBD.lkup.complete[Crude Breakdown],0)))^2,"")</f>
        <v>0.31028111925050628</v>
      </c>
      <c r="AP647">
        <f>IF(AND(vp.tbl[[#This Row],[SDate]]&gt;=DATE(YEAR(vp.tbl[[#This Row],[SDate]]),5,1),vp.tbl[[#This Row],[SDate]]&lt;=DATE(YEAR(vp.tbl[[#This Row],[SDate]]),9,15)),1,0)</f>
        <v>0</v>
      </c>
      <c r="AQ647" s="15">
        <f>IF(vp.tbl[[#This Row],[SDate]]&lt;DATE(2016,12,1),0,1)</f>
        <v>1</v>
      </c>
    </row>
    <row r="648" spans="1:43" x14ac:dyDescent="0.25">
      <c r="A648">
        <v>647</v>
      </c>
      <c r="B648" t="s">
        <v>68</v>
      </c>
      <c r="C648" t="s">
        <v>68</v>
      </c>
      <c r="D648" t="s">
        <v>125</v>
      </c>
      <c r="F648" s="1">
        <v>42756</v>
      </c>
      <c r="G648" s="2">
        <v>60.3</v>
      </c>
      <c r="H648" s="2"/>
      <c r="I648" s="2">
        <v>1.57</v>
      </c>
      <c r="J648" s="2">
        <v>14.8</v>
      </c>
      <c r="K648" s="2">
        <v>-4</v>
      </c>
      <c r="L648" s="2">
        <v>866</v>
      </c>
      <c r="M648" s="2">
        <v>866</v>
      </c>
      <c r="N648" s="2">
        <f ca="1">INDEX(INDIRECT(_xlfn.CONCAT("weather.tbl[",N$1,"]")),MATCH(vp.tbl[[#This Row],[SDate]],weather.tbl[Date],0))</f>
        <v>-5.7333333333333334</v>
      </c>
      <c r="O648" s="2">
        <f ca="1">INDEX(INDIRECT(_xlfn.CONCAT("weather.tbl[",O$1,"]")),MATCH(vp.tbl[[#This Row],[SDate]],weather.tbl[Date],0))</f>
        <v>-5.7547619047619047</v>
      </c>
      <c r="P648" s="2">
        <f ca="1">INDEX(INDIRECT(_xlfn.CONCAT("weather.tbl[",P$1,"]")),MATCH(vp.tbl[[#This Row],[SDate]],weather.tbl[Date],0))</f>
        <v>-7</v>
      </c>
      <c r="Q648" s="2">
        <f ca="1">INDEX(INDIRECT(_xlfn.CONCAT("weather.tbl[",Q$1,"]")),MATCH(vp.tbl[[#This Row],[SDate]],weather.tbl[Date],0))</f>
        <v>-7.4</v>
      </c>
      <c r="R648" s="2">
        <f ca="1">INDEX(INDIRECT(_xlfn.CONCAT("weather.tbl[",R$1,"]")),MATCH(vp.tbl[[#This Row],[SDate]],weather.tbl[Date],0))</f>
        <v>-7.5</v>
      </c>
      <c r="S648" s="2">
        <f ca="1">INDEX(INDIRECT(_xlfn.CONCAT("weather.tbl[",S$1,"]")),MATCH(vp.tbl[[#This Row],[SDate]],weather.tbl[Date],0))</f>
        <v>-5.8</v>
      </c>
      <c r="T648" s="2">
        <f ca="1">INDEX(INDIRECT(_xlfn.CONCAT("weather.tbl[",T$1,"]")),MATCH(vp.tbl[[#This Row],[SDate]],weather.tbl[Date],0))</f>
        <v>-1.7</v>
      </c>
      <c r="U648" s="2">
        <f ca="1">INDEX(INDIRECT(_xlfn.CONCAT("weather.tbl[",U$1,"]")),MATCH(vp.tbl[[#This Row],[SDate]],weather.tbl[Date],0))</f>
        <v>-5</v>
      </c>
      <c r="V648" s="2">
        <v>2281.7359999999999</v>
      </c>
      <c r="W648" t="s">
        <v>48</v>
      </c>
      <c r="X648">
        <f>IF(OR(vp.tbl[[#This Row],[Sulf]]="",vp.tbl[[#This Row],[Dens]]=""),1,0)</f>
        <v>0</v>
      </c>
      <c r="Y648">
        <f>IF(vp.tbl[[#This Row],[CrudeType]]="C5+",1,0)</f>
        <v>0</v>
      </c>
      <c r="Z648">
        <f>IF(AND(vp.tbl[[#This Row],[CrudeType]]="Crude",vp.tbl[[#This Row],[Dens]]&lt;=825,vp.tbl[[#This Row],[Sulf]]&gt;0.5,vp.tbl[[#This Row],[Unknown]]=0),1,0)</f>
        <v>0</v>
      </c>
      <c r="AA648">
        <f>IF(AND(vp.tbl[[#This Row],[CrudeType]]="Crude",vp.tbl[[#This Row],[Dens]]&lt;=825,vp.tbl[[#This Row],[Sulf]]&lt;=0.5,vp.tbl[[#This Row],[Unknown]]=0),1,0)</f>
        <v>0</v>
      </c>
      <c r="AB648">
        <f>IF(AND(vp.tbl[[#This Row],[CrudeType]]="Crude",vp.tbl[[#This Row],[Dens]]&gt;825,vp.tbl[[#This Row],[Dens]]&lt;=870,vp.tbl[[#This Row],[Sulf]]&gt;0.5,vp.tbl[[#This Row],[Unknown]]=0),1,0)</f>
        <v>1</v>
      </c>
      <c r="AC648">
        <f>IF(AND(vp.tbl[[#This Row],[CrudeType]]="Crude",vp.tbl[[#This Row],[Dens]]&gt;825,vp.tbl[[#This Row],[Dens]]&lt;=900,vp.tbl[[#This Row],[Sulf]]&lt;=0.5,vp.tbl[[#This Row],[Unknown]]=0),1,0)</f>
        <v>0</v>
      </c>
      <c r="AD648">
        <f>IF(AND(vp.tbl[[#This Row],[CrudeType]]="Crude",vp.tbl[[#This Row],[Dens]]&gt;870,vp.tbl[[#This Row],[Dens]]&lt;=900,vp.tbl[[#This Row],[Sulf]]&gt;0.5,vp.tbl[[#This Row],[Unknown]]=0),1,0)</f>
        <v>0</v>
      </c>
      <c r="AE648">
        <f>IF(AND(vp.tbl[[#This Row],[CrudeType]]="Crude",vp.tbl[[#This Row],[Dens]]&gt;900,vp.tbl[[#This Row],[Sulf]]&lt;=0.5,vp.tbl[[#This Row],[Unknown]]=0),1,0)</f>
        <v>0</v>
      </c>
      <c r="AF648">
        <f>IF(AND(vp.tbl[[#This Row],[CrudeType]]="Crude",vp.tbl[[#This Row],[Dens]]&gt;900,vp.tbl[[#This Row],[Sulf]]&lt;=0.5,vp.tbl[[#This Row],[Unknown]]=0),1,0)</f>
        <v>0</v>
      </c>
      <c r="AG648" t="str">
        <f>INDEX(vp.tbl[[#Headers],[Unknown]:[Heavy_SW]],MATCH(1,vp.tbl[[#This Row],[Unknown]:[Heavy_SW]],0))</f>
        <v>Medium_LSB</v>
      </c>
      <c r="AH648" t="e">
        <f>INDEX([1]!crudeBD.lkup[Number],MATCH(vp.tbl[[#This Row],[Crude_Breakdown]],[1]!crudeBD.lkup[Crude Breakdown],0))</f>
        <v>#REF!</v>
      </c>
      <c r="AI648">
        <f>MONTH(vp.tbl[[#This Row],[SDate]])</f>
        <v>1</v>
      </c>
      <c r="AJ648" s="5">
        <f>IFERROR(vp.tbl[[#This Row],[Sulf]]*vp.tbl[[#This Row],[Net Dens]],"")</f>
        <v>3102293.90032</v>
      </c>
      <c r="AK648" s="5">
        <f>IFERROR(vp.tbl[[#This Row],[Dens]]*vp.tbl[[#This Row],[VolumeM3]],"")</f>
        <v>1975983.3759999999</v>
      </c>
      <c r="AL648" s="5">
        <f>IFERROR(vp.tbl[[#This Row],[VP]]*vp.tbl[[#This Row],[VolumeM3]],"")</f>
        <v>137588.68079999997</v>
      </c>
      <c r="AM648" s="4">
        <f>IFERROR((vp.tbl[[#This Row],[VP]]-INDEX(crudeBD.lkup.complete[Mean_VP],MATCH(vp.tbl[[#This Row],[Crude_Breakdown]],crudeBD.lkup.complete[Crude Breakdown],0)))^2,"")</f>
        <v>394.95977570837869</v>
      </c>
      <c r="AN648" s="4">
        <f>IFERROR((vp.tbl[[#This Row],[Dens]]-INDEX(crudeBD.lkup.complete[Mean_Dens],MATCH(vp.tbl[[#This Row],[Crude_Breakdown]],crudeBD.lkup.complete[Crude Breakdown],0)))^2,"")</f>
        <v>428.82860357574981</v>
      </c>
      <c r="AO648" s="4">
        <f>IFERROR((vp.tbl[[#This Row],[Sulf]]-INDEX(crudeBD.lkup.complete[Mean_Sulf],MATCH(vp.tbl[[#This Row],[Crude_Breakdown]],crudeBD.lkup.complete[Crude Breakdown],0)))^2,"")</f>
        <v>1.3241136944829188E-2</v>
      </c>
      <c r="AP648">
        <f>IF(AND(vp.tbl[[#This Row],[SDate]]&gt;=DATE(YEAR(vp.tbl[[#This Row],[SDate]]),5,1),vp.tbl[[#This Row],[SDate]]&lt;=DATE(YEAR(vp.tbl[[#This Row],[SDate]]),9,15)),1,0)</f>
        <v>0</v>
      </c>
      <c r="AQ648" s="15">
        <f>IF(vp.tbl[[#This Row],[SDate]]&lt;DATE(2016,12,1),0,1)</f>
        <v>1</v>
      </c>
    </row>
    <row r="649" spans="1:43" x14ac:dyDescent="0.25">
      <c r="A649">
        <v>648</v>
      </c>
      <c r="B649" t="s">
        <v>49</v>
      </c>
      <c r="C649" t="s">
        <v>49</v>
      </c>
      <c r="D649" t="s">
        <v>81</v>
      </c>
      <c r="F649" s="1">
        <v>42757</v>
      </c>
      <c r="G649" s="2">
        <v>83</v>
      </c>
      <c r="H649" s="2">
        <v>0.501</v>
      </c>
      <c r="I649" s="2">
        <v>0.501</v>
      </c>
      <c r="J649" s="2">
        <v>3.6</v>
      </c>
      <c r="K649" s="2">
        <v>-1</v>
      </c>
      <c r="L649" s="2">
        <v>818</v>
      </c>
      <c r="M649" s="2">
        <v>818</v>
      </c>
      <c r="N649" s="2">
        <f ca="1">INDEX(INDIRECT(_xlfn.CONCAT("weather.tbl[",N$1,"]")),MATCH(vp.tbl[[#This Row],[SDate]],weather.tbl[Date],0))</f>
        <v>-3.5833333333333335</v>
      </c>
      <c r="O649" s="2">
        <f ca="1">INDEX(INDIRECT(_xlfn.CONCAT("weather.tbl[",O$1,"]")),MATCH(vp.tbl[[#This Row],[SDate]],weather.tbl[Date],0))</f>
        <v>-4.4857142857142858</v>
      </c>
      <c r="P649" s="2">
        <f ca="1">INDEX(INDIRECT(_xlfn.CONCAT("weather.tbl[",P$1,"]")),MATCH(vp.tbl[[#This Row],[SDate]],weather.tbl[Date],0))</f>
        <v>-2.9</v>
      </c>
      <c r="Q649" s="2">
        <f ca="1">INDEX(INDIRECT(_xlfn.CONCAT("weather.tbl[",Q$1,"]")),MATCH(vp.tbl[[#This Row],[SDate]],weather.tbl[Date],0))</f>
        <v>-3.7</v>
      </c>
      <c r="R649" s="2">
        <f ca="1">INDEX(INDIRECT(_xlfn.CONCAT("weather.tbl[",R$1,"]")),MATCH(vp.tbl[[#This Row],[SDate]],weather.tbl[Date],0))</f>
        <v>-4</v>
      </c>
      <c r="S649" s="2">
        <f ca="1">INDEX(INDIRECT(_xlfn.CONCAT("weather.tbl[",S$1,"]")),MATCH(vp.tbl[[#This Row],[SDate]],weather.tbl[Date],0))</f>
        <v>-3.5</v>
      </c>
      <c r="T649" s="2">
        <f ca="1">INDEX(INDIRECT(_xlfn.CONCAT("weather.tbl[",T$1,"]")),MATCH(vp.tbl[[#This Row],[SDate]],weather.tbl[Date],0))</f>
        <v>-2.1</v>
      </c>
      <c r="U649" s="2">
        <f ca="1">INDEX(INDIRECT(_xlfn.CONCAT("weather.tbl[",U$1,"]")),MATCH(vp.tbl[[#This Row],[SDate]],weather.tbl[Date],0))</f>
        <v>-5.3</v>
      </c>
      <c r="V649" s="2">
        <v>18973.987000000001</v>
      </c>
      <c r="W649" t="s">
        <v>48</v>
      </c>
      <c r="X649">
        <f>IF(OR(vp.tbl[[#This Row],[Sulf]]="",vp.tbl[[#This Row],[Dens]]=""),1,0)</f>
        <v>0</v>
      </c>
      <c r="Y649">
        <f>IF(vp.tbl[[#This Row],[CrudeType]]="C5+",1,0)</f>
        <v>0</v>
      </c>
      <c r="Z649">
        <f>IF(AND(vp.tbl[[#This Row],[CrudeType]]="Crude",vp.tbl[[#This Row],[Dens]]&lt;=825,vp.tbl[[#This Row],[Sulf]]&gt;0.5,vp.tbl[[#This Row],[Unknown]]=0),1,0)</f>
        <v>1</v>
      </c>
      <c r="AA649">
        <f>IF(AND(vp.tbl[[#This Row],[CrudeType]]="Crude",vp.tbl[[#This Row],[Dens]]&lt;=825,vp.tbl[[#This Row],[Sulf]]&lt;=0.5,vp.tbl[[#This Row],[Unknown]]=0),1,0)</f>
        <v>0</v>
      </c>
      <c r="AB649">
        <f>IF(AND(vp.tbl[[#This Row],[CrudeType]]="Crude",vp.tbl[[#This Row],[Dens]]&gt;825,vp.tbl[[#This Row],[Dens]]&lt;=870,vp.tbl[[#This Row],[Sulf]]&gt;0.5,vp.tbl[[#This Row],[Unknown]]=0),1,0)</f>
        <v>0</v>
      </c>
      <c r="AC649">
        <f>IF(AND(vp.tbl[[#This Row],[CrudeType]]="Crude",vp.tbl[[#This Row],[Dens]]&gt;825,vp.tbl[[#This Row],[Dens]]&lt;=900,vp.tbl[[#This Row],[Sulf]]&lt;=0.5,vp.tbl[[#This Row],[Unknown]]=0),1,0)</f>
        <v>0</v>
      </c>
      <c r="AD649">
        <f>IF(AND(vp.tbl[[#This Row],[CrudeType]]="Crude",vp.tbl[[#This Row],[Dens]]&gt;870,vp.tbl[[#This Row],[Dens]]&lt;=900,vp.tbl[[#This Row],[Sulf]]&gt;0.5,vp.tbl[[#This Row],[Unknown]]=0),1,0)</f>
        <v>0</v>
      </c>
      <c r="AE649">
        <f>IF(AND(vp.tbl[[#This Row],[CrudeType]]="Crude",vp.tbl[[#This Row],[Dens]]&gt;900,vp.tbl[[#This Row],[Sulf]]&lt;=0.5,vp.tbl[[#This Row],[Unknown]]=0),1,0)</f>
        <v>0</v>
      </c>
      <c r="AF649">
        <f>IF(AND(vp.tbl[[#This Row],[CrudeType]]="Crude",vp.tbl[[#This Row],[Dens]]&gt;900,vp.tbl[[#This Row],[Sulf]]&lt;=0.5,vp.tbl[[#This Row],[Unknown]]=0),1,0)</f>
        <v>0</v>
      </c>
      <c r="AG649" t="str">
        <f>INDEX(vp.tbl[[#Headers],[Unknown]:[Heavy_SW]],MATCH(1,vp.tbl[[#This Row],[Unknown]:[Heavy_SW]],0))</f>
        <v>Light_LSB</v>
      </c>
      <c r="AH649" t="e">
        <f>INDEX([1]!crudeBD.lkup[Number],MATCH(vp.tbl[[#This Row],[Crude_Breakdown]],[1]!crudeBD.lkup[Crude Breakdown],0))</f>
        <v>#REF!</v>
      </c>
      <c r="AI649">
        <f>MONTH(vp.tbl[[#This Row],[SDate]])</f>
        <v>1</v>
      </c>
      <c r="AJ649" s="5">
        <f>IFERROR(vp.tbl[[#This Row],[Sulf]]*vp.tbl[[#This Row],[Net Dens]],"")</f>
        <v>7775881.4043660006</v>
      </c>
      <c r="AK649" s="5">
        <f>IFERROR(vp.tbl[[#This Row],[Dens]]*vp.tbl[[#This Row],[VolumeM3]],"")</f>
        <v>15520721.366</v>
      </c>
      <c r="AL649" s="5">
        <f>IFERROR(vp.tbl[[#This Row],[VP]]*vp.tbl[[#This Row],[VolumeM3]],"")</f>
        <v>1574840.9210000001</v>
      </c>
      <c r="AM649" s="4">
        <f>IFERROR((vp.tbl[[#This Row],[VP]]-INDEX(crudeBD.lkup.complete[Mean_VP],MATCH(vp.tbl[[#This Row],[Crude_Breakdown]],crudeBD.lkup.complete[Crude Breakdown],0)))^2,"")</f>
        <v>73.037287745775856</v>
      </c>
      <c r="AN649" s="4">
        <f>IFERROR((vp.tbl[[#This Row],[Dens]]-INDEX(crudeBD.lkup.complete[Mean_Dens],MATCH(vp.tbl[[#This Row],[Crude_Breakdown]],crudeBD.lkup.complete[Crude Breakdown],0)))^2,"")</f>
        <v>0.2670509842818638</v>
      </c>
      <c r="AO649" s="4">
        <f>IFERROR((vp.tbl[[#This Row],[Sulf]]-INDEX(crudeBD.lkup.complete[Mean_Sulf],MATCH(vp.tbl[[#This Row],[Crude_Breakdown]],crudeBD.lkup.complete[Crude Breakdown],0)))^2,"")</f>
        <v>0.1780596669481003</v>
      </c>
      <c r="AP649">
        <f>IF(AND(vp.tbl[[#This Row],[SDate]]&gt;=DATE(YEAR(vp.tbl[[#This Row],[SDate]]),5,1),vp.tbl[[#This Row],[SDate]]&lt;=DATE(YEAR(vp.tbl[[#This Row],[SDate]]),9,15)),1,0)</f>
        <v>0</v>
      </c>
      <c r="AQ649" s="15">
        <f>IF(vp.tbl[[#This Row],[SDate]]&lt;DATE(2016,12,1),0,1)</f>
        <v>1</v>
      </c>
    </row>
    <row r="650" spans="1:43" x14ac:dyDescent="0.25">
      <c r="A650">
        <v>649</v>
      </c>
      <c r="B650" t="s">
        <v>49</v>
      </c>
      <c r="C650" t="s">
        <v>49</v>
      </c>
      <c r="D650" t="s">
        <v>75</v>
      </c>
      <c r="F650" s="1">
        <v>42759</v>
      </c>
      <c r="G650" s="2">
        <v>100.8</v>
      </c>
      <c r="H650" s="2">
        <v>0.17799999999999999</v>
      </c>
      <c r="I650" s="2">
        <v>0.17799999999999999</v>
      </c>
      <c r="J650" s="2">
        <v>22.4</v>
      </c>
      <c r="K650" s="2">
        <v>-8</v>
      </c>
      <c r="L650" s="2">
        <v>801.4</v>
      </c>
      <c r="M650" s="2">
        <v>801.4</v>
      </c>
      <c r="N650" s="2">
        <f ca="1">INDEX(INDIRECT(_xlfn.CONCAT("weather.tbl[",N$1,"]")),MATCH(vp.tbl[[#This Row],[SDate]],weather.tbl[Date],0))</f>
        <v>-8.1666666666666661</v>
      </c>
      <c r="O650" s="2">
        <f ca="1">INDEX(INDIRECT(_xlfn.CONCAT("weather.tbl[",O$1,"]")),MATCH(vp.tbl[[#This Row],[SDate]],weather.tbl[Date],0))</f>
        <v>-4.473809523809523</v>
      </c>
      <c r="P650" s="2">
        <f ca="1">INDEX(INDIRECT(_xlfn.CONCAT("weather.tbl[",P$1,"]")),MATCH(vp.tbl[[#This Row],[SDate]],weather.tbl[Date],0))</f>
        <v>-8</v>
      </c>
      <c r="Q650" s="2">
        <f ca="1">INDEX(INDIRECT(_xlfn.CONCAT("weather.tbl[",Q$1,"]")),MATCH(vp.tbl[[#This Row],[SDate]],weather.tbl[Date],0))</f>
        <v>-8.9</v>
      </c>
      <c r="R650" s="2">
        <f ca="1">INDEX(INDIRECT(_xlfn.CONCAT("weather.tbl[",R$1,"]")),MATCH(vp.tbl[[#This Row],[SDate]],weather.tbl[Date],0))</f>
        <v>-8</v>
      </c>
      <c r="S650" s="2">
        <f ca="1">INDEX(INDIRECT(_xlfn.CONCAT("weather.tbl[",S$1,"]")),MATCH(vp.tbl[[#This Row],[SDate]],weather.tbl[Date],0))</f>
        <v>-8.9</v>
      </c>
      <c r="T650" s="2">
        <f ca="1">INDEX(INDIRECT(_xlfn.CONCAT("weather.tbl[",T$1,"]")),MATCH(vp.tbl[[#This Row],[SDate]],weather.tbl[Date],0))</f>
        <v>-6.2</v>
      </c>
      <c r="U650" s="2">
        <f ca="1">INDEX(INDIRECT(_xlfn.CONCAT("weather.tbl[",U$1,"]")),MATCH(vp.tbl[[#This Row],[SDate]],weather.tbl[Date],0))</f>
        <v>-9</v>
      </c>
      <c r="V650" s="2">
        <v>12738.714</v>
      </c>
      <c r="W650" t="s">
        <v>48</v>
      </c>
      <c r="X650">
        <f>IF(OR(vp.tbl[[#This Row],[Sulf]]="",vp.tbl[[#This Row],[Dens]]=""),1,0)</f>
        <v>0</v>
      </c>
      <c r="Y650">
        <f>IF(vp.tbl[[#This Row],[CrudeType]]="C5+",1,0)</f>
        <v>0</v>
      </c>
      <c r="Z650">
        <f>IF(AND(vp.tbl[[#This Row],[CrudeType]]="Crude",vp.tbl[[#This Row],[Dens]]&lt;=825,vp.tbl[[#This Row],[Sulf]]&gt;0.5,vp.tbl[[#This Row],[Unknown]]=0),1,0)</f>
        <v>0</v>
      </c>
      <c r="AA650">
        <f>IF(AND(vp.tbl[[#This Row],[CrudeType]]="Crude",vp.tbl[[#This Row],[Dens]]&lt;=825,vp.tbl[[#This Row],[Sulf]]&lt;=0.5,vp.tbl[[#This Row],[Unknown]]=0),1,0)</f>
        <v>1</v>
      </c>
      <c r="AB650">
        <f>IF(AND(vp.tbl[[#This Row],[CrudeType]]="Crude",vp.tbl[[#This Row],[Dens]]&gt;825,vp.tbl[[#This Row],[Dens]]&lt;=870,vp.tbl[[#This Row],[Sulf]]&gt;0.5,vp.tbl[[#This Row],[Unknown]]=0),1,0)</f>
        <v>0</v>
      </c>
      <c r="AC650">
        <f>IF(AND(vp.tbl[[#This Row],[CrudeType]]="Crude",vp.tbl[[#This Row],[Dens]]&gt;825,vp.tbl[[#This Row],[Dens]]&lt;=900,vp.tbl[[#This Row],[Sulf]]&lt;=0.5,vp.tbl[[#This Row],[Unknown]]=0),1,0)</f>
        <v>0</v>
      </c>
      <c r="AD650">
        <f>IF(AND(vp.tbl[[#This Row],[CrudeType]]="Crude",vp.tbl[[#This Row],[Dens]]&gt;870,vp.tbl[[#This Row],[Dens]]&lt;=900,vp.tbl[[#This Row],[Sulf]]&gt;0.5,vp.tbl[[#This Row],[Unknown]]=0),1,0)</f>
        <v>0</v>
      </c>
      <c r="AE650">
        <f>IF(AND(vp.tbl[[#This Row],[CrudeType]]="Crude",vp.tbl[[#This Row],[Dens]]&gt;900,vp.tbl[[#This Row],[Sulf]]&lt;=0.5,vp.tbl[[#This Row],[Unknown]]=0),1,0)</f>
        <v>0</v>
      </c>
      <c r="AF650">
        <f>IF(AND(vp.tbl[[#This Row],[CrudeType]]="Crude",vp.tbl[[#This Row],[Dens]]&gt;900,vp.tbl[[#This Row],[Sulf]]&lt;=0.5,vp.tbl[[#This Row],[Unknown]]=0),1,0)</f>
        <v>0</v>
      </c>
      <c r="AG650" t="str">
        <f>INDEX(vp.tbl[[#Headers],[Unknown]:[Heavy_SW]],MATCH(1,vp.tbl[[#This Row],[Unknown]:[Heavy_SW]],0))</f>
        <v>Light_SW</v>
      </c>
      <c r="AH650" t="e">
        <f>INDEX([1]!crudeBD.lkup[Number],MATCH(vp.tbl[[#This Row],[Crude_Breakdown]],[1]!crudeBD.lkup[Crude Breakdown],0))</f>
        <v>#REF!</v>
      </c>
      <c r="AI650">
        <f>MONTH(vp.tbl[[#This Row],[SDate]])</f>
        <v>1</v>
      </c>
      <c r="AJ650" s="5">
        <f>IFERROR(vp.tbl[[#This Row],[Sulf]]*vp.tbl[[#This Row],[Net Dens]],"")</f>
        <v>1817167.3611287999</v>
      </c>
      <c r="AK650" s="5">
        <f>IFERROR(vp.tbl[[#This Row],[Dens]]*vp.tbl[[#This Row],[VolumeM3]],"")</f>
        <v>10208805.399599999</v>
      </c>
      <c r="AL650" s="5">
        <f>IFERROR(vp.tbl[[#This Row],[VP]]*vp.tbl[[#This Row],[VolumeM3]],"")</f>
        <v>1284062.3711999999</v>
      </c>
      <c r="AM650" s="4">
        <f>IFERROR((vp.tbl[[#This Row],[VP]]-INDEX(crudeBD.lkup.complete[Mean_VP],MATCH(vp.tbl[[#This Row],[Crude_Breakdown]],crudeBD.lkup.complete[Crude Breakdown],0)))^2,"")</f>
        <v>68.057325882310536</v>
      </c>
      <c r="AN650" s="4">
        <f>IFERROR((vp.tbl[[#This Row],[Dens]]-INDEX(crudeBD.lkup.complete[Mean_Dens],MATCH(vp.tbl[[#This Row],[Crude_Breakdown]],crudeBD.lkup.complete[Crude Breakdown],0)))^2,"")</f>
        <v>47.768808168118795</v>
      </c>
      <c r="AO650" s="4">
        <f>IFERROR((vp.tbl[[#This Row],[Sulf]]-INDEX(crudeBD.lkup.complete[Mean_Sulf],MATCH(vp.tbl[[#This Row],[Crude_Breakdown]],crudeBD.lkup.complete[Crude Breakdown],0)))^2,"")</f>
        <v>3.3921086471852104E-3</v>
      </c>
      <c r="AP650">
        <f>IF(AND(vp.tbl[[#This Row],[SDate]]&gt;=DATE(YEAR(vp.tbl[[#This Row],[SDate]]),5,1),vp.tbl[[#This Row],[SDate]]&lt;=DATE(YEAR(vp.tbl[[#This Row],[SDate]]),9,15)),1,0)</f>
        <v>0</v>
      </c>
      <c r="AQ650" s="15">
        <f>IF(vp.tbl[[#This Row],[SDate]]&lt;DATE(2016,12,1),0,1)</f>
        <v>1</v>
      </c>
    </row>
    <row r="651" spans="1:43" x14ac:dyDescent="0.25">
      <c r="A651">
        <v>650</v>
      </c>
      <c r="B651" t="s">
        <v>49</v>
      </c>
      <c r="C651" t="s">
        <v>49</v>
      </c>
      <c r="D651" t="s">
        <v>80</v>
      </c>
      <c r="F651" s="1">
        <v>42759</v>
      </c>
      <c r="G651" s="2">
        <v>103.8</v>
      </c>
      <c r="H651" s="2">
        <v>0.53800000000000003</v>
      </c>
      <c r="I651" s="2">
        <v>0.53800000000000003</v>
      </c>
      <c r="J651" s="2">
        <v>17.100000000000001</v>
      </c>
      <c r="K651" s="2">
        <v>-9</v>
      </c>
      <c r="L651" s="2">
        <v>813.8</v>
      </c>
      <c r="M651" s="2">
        <v>813.8</v>
      </c>
      <c r="N651" s="2">
        <f ca="1">INDEX(INDIRECT(_xlfn.CONCAT("weather.tbl[",N$1,"]")),MATCH(vp.tbl[[#This Row],[SDate]],weather.tbl[Date],0))</f>
        <v>-8.1666666666666661</v>
      </c>
      <c r="O651" s="2">
        <f ca="1">INDEX(INDIRECT(_xlfn.CONCAT("weather.tbl[",O$1,"]")),MATCH(vp.tbl[[#This Row],[SDate]],weather.tbl[Date],0))</f>
        <v>-4.473809523809523</v>
      </c>
      <c r="P651" s="2">
        <f ca="1">INDEX(INDIRECT(_xlfn.CONCAT("weather.tbl[",P$1,"]")),MATCH(vp.tbl[[#This Row],[SDate]],weather.tbl[Date],0))</f>
        <v>-8</v>
      </c>
      <c r="Q651" s="2">
        <f ca="1">INDEX(INDIRECT(_xlfn.CONCAT("weather.tbl[",Q$1,"]")),MATCH(vp.tbl[[#This Row],[SDate]],weather.tbl[Date],0))</f>
        <v>-8.9</v>
      </c>
      <c r="R651" s="2">
        <f ca="1">INDEX(INDIRECT(_xlfn.CONCAT("weather.tbl[",R$1,"]")),MATCH(vp.tbl[[#This Row],[SDate]],weather.tbl[Date],0))</f>
        <v>-8</v>
      </c>
      <c r="S651" s="2">
        <f ca="1">INDEX(INDIRECT(_xlfn.CONCAT("weather.tbl[",S$1,"]")),MATCH(vp.tbl[[#This Row],[SDate]],weather.tbl[Date],0))</f>
        <v>-8.9</v>
      </c>
      <c r="T651" s="2">
        <f ca="1">INDEX(INDIRECT(_xlfn.CONCAT("weather.tbl[",T$1,"]")),MATCH(vp.tbl[[#This Row],[SDate]],weather.tbl[Date],0))</f>
        <v>-6.2</v>
      </c>
      <c r="U651" s="2">
        <f ca="1">INDEX(INDIRECT(_xlfn.CONCAT("weather.tbl[",U$1,"]")),MATCH(vp.tbl[[#This Row],[SDate]],weather.tbl[Date],0))</f>
        <v>-9</v>
      </c>
      <c r="V651" s="2">
        <v>21030.911</v>
      </c>
      <c r="W651" t="s">
        <v>48</v>
      </c>
      <c r="X651">
        <f>IF(OR(vp.tbl[[#This Row],[Sulf]]="",vp.tbl[[#This Row],[Dens]]=""),1,0)</f>
        <v>0</v>
      </c>
      <c r="Y651">
        <f>IF(vp.tbl[[#This Row],[CrudeType]]="C5+",1,0)</f>
        <v>0</v>
      </c>
      <c r="Z651">
        <f>IF(AND(vp.tbl[[#This Row],[CrudeType]]="Crude",vp.tbl[[#This Row],[Dens]]&lt;=825,vp.tbl[[#This Row],[Sulf]]&gt;0.5,vp.tbl[[#This Row],[Unknown]]=0),1,0)</f>
        <v>1</v>
      </c>
      <c r="AA651">
        <f>IF(AND(vp.tbl[[#This Row],[CrudeType]]="Crude",vp.tbl[[#This Row],[Dens]]&lt;=825,vp.tbl[[#This Row],[Sulf]]&lt;=0.5,vp.tbl[[#This Row],[Unknown]]=0),1,0)</f>
        <v>0</v>
      </c>
      <c r="AB651">
        <f>IF(AND(vp.tbl[[#This Row],[CrudeType]]="Crude",vp.tbl[[#This Row],[Dens]]&gt;825,vp.tbl[[#This Row],[Dens]]&lt;=870,vp.tbl[[#This Row],[Sulf]]&gt;0.5,vp.tbl[[#This Row],[Unknown]]=0),1,0)</f>
        <v>0</v>
      </c>
      <c r="AC651">
        <f>IF(AND(vp.tbl[[#This Row],[CrudeType]]="Crude",vp.tbl[[#This Row],[Dens]]&gt;825,vp.tbl[[#This Row],[Dens]]&lt;=900,vp.tbl[[#This Row],[Sulf]]&lt;=0.5,vp.tbl[[#This Row],[Unknown]]=0),1,0)</f>
        <v>0</v>
      </c>
      <c r="AD651">
        <f>IF(AND(vp.tbl[[#This Row],[CrudeType]]="Crude",vp.tbl[[#This Row],[Dens]]&gt;870,vp.tbl[[#This Row],[Dens]]&lt;=900,vp.tbl[[#This Row],[Sulf]]&gt;0.5,vp.tbl[[#This Row],[Unknown]]=0),1,0)</f>
        <v>0</v>
      </c>
      <c r="AE651">
        <f>IF(AND(vp.tbl[[#This Row],[CrudeType]]="Crude",vp.tbl[[#This Row],[Dens]]&gt;900,vp.tbl[[#This Row],[Sulf]]&lt;=0.5,vp.tbl[[#This Row],[Unknown]]=0),1,0)</f>
        <v>0</v>
      </c>
      <c r="AF651">
        <f>IF(AND(vp.tbl[[#This Row],[CrudeType]]="Crude",vp.tbl[[#This Row],[Dens]]&gt;900,vp.tbl[[#This Row],[Sulf]]&lt;=0.5,vp.tbl[[#This Row],[Unknown]]=0),1,0)</f>
        <v>0</v>
      </c>
      <c r="AG651" t="str">
        <f>INDEX(vp.tbl[[#Headers],[Unknown]:[Heavy_SW]],MATCH(1,vp.tbl[[#This Row],[Unknown]:[Heavy_SW]],0))</f>
        <v>Light_LSB</v>
      </c>
      <c r="AH651" t="e">
        <f>INDEX([1]!crudeBD.lkup[Number],MATCH(vp.tbl[[#This Row],[Crude_Breakdown]],[1]!crudeBD.lkup[Crude Breakdown],0))</f>
        <v>#REF!</v>
      </c>
      <c r="AI651">
        <f>MONTH(vp.tbl[[#This Row],[SDate]])</f>
        <v>1</v>
      </c>
      <c r="AJ651" s="5">
        <f>IFERROR(vp.tbl[[#This Row],[Sulf]]*vp.tbl[[#This Row],[Net Dens]],"")</f>
        <v>9207845.9900284</v>
      </c>
      <c r="AK651" s="5">
        <f>IFERROR(vp.tbl[[#This Row],[Dens]]*vp.tbl[[#This Row],[VolumeM3]],"")</f>
        <v>17114955.371799998</v>
      </c>
      <c r="AL651" s="5">
        <f>IFERROR(vp.tbl[[#This Row],[VP]]*vp.tbl[[#This Row],[VolumeM3]],"")</f>
        <v>2183008.5617999998</v>
      </c>
      <c r="AM651" s="4">
        <f>IFERROR((vp.tbl[[#This Row],[VP]]-INDEX(crudeBD.lkup.complete[Mean_VP],MATCH(vp.tbl[[#This Row],[Crude_Breakdown]],crudeBD.lkup.complete[Crude Breakdown],0)))^2,"")</f>
        <v>150.15596815814561</v>
      </c>
      <c r="AN651" s="4">
        <f>IFERROR((vp.tbl[[#This Row],[Dens]]-INDEX(crudeBD.lkup.complete[Mean_Dens],MATCH(vp.tbl[[#This Row],[Crude_Breakdown]],crudeBD.lkup.complete[Crude Breakdown],0)))^2,"")</f>
        <v>22.247916963661098</v>
      </c>
      <c r="AO651" s="4">
        <f>IFERROR((vp.tbl[[#This Row],[Sulf]]-INDEX(crudeBD.lkup.complete[Mean_Sulf],MATCH(vp.tbl[[#This Row],[Crude_Breakdown]],crudeBD.lkup.complete[Crude Breakdown],0)))^2,"")</f>
        <v>0.14820280048761919</v>
      </c>
      <c r="AP651">
        <f>IF(AND(vp.tbl[[#This Row],[SDate]]&gt;=DATE(YEAR(vp.tbl[[#This Row],[SDate]]),5,1),vp.tbl[[#This Row],[SDate]]&lt;=DATE(YEAR(vp.tbl[[#This Row],[SDate]]),9,15)),1,0)</f>
        <v>0</v>
      </c>
      <c r="AQ651" s="15">
        <f>IF(vp.tbl[[#This Row],[SDate]]&lt;DATE(2016,12,1),0,1)</f>
        <v>1</v>
      </c>
    </row>
    <row r="652" spans="1:43" x14ac:dyDescent="0.25">
      <c r="A652">
        <v>651</v>
      </c>
      <c r="B652" t="s">
        <v>49</v>
      </c>
      <c r="C652" t="s">
        <v>49</v>
      </c>
      <c r="D652" t="s">
        <v>67</v>
      </c>
      <c r="F652" s="1">
        <v>42759</v>
      </c>
      <c r="G652" s="2">
        <v>99.1</v>
      </c>
      <c r="H652" s="2">
        <v>0.61780000000000002</v>
      </c>
      <c r="I652" s="2">
        <v>0.61780000000000002</v>
      </c>
      <c r="J652" s="2">
        <v>6</v>
      </c>
      <c r="K652" s="2">
        <v>-9</v>
      </c>
      <c r="L652" s="2">
        <v>822.3</v>
      </c>
      <c r="M652" s="2">
        <v>822.3</v>
      </c>
      <c r="N652" s="2">
        <f ca="1">INDEX(INDIRECT(_xlfn.CONCAT("weather.tbl[",N$1,"]")),MATCH(vp.tbl[[#This Row],[SDate]],weather.tbl[Date],0))</f>
        <v>-8.1666666666666661</v>
      </c>
      <c r="O652" s="2">
        <f ca="1">INDEX(INDIRECT(_xlfn.CONCAT("weather.tbl[",O$1,"]")),MATCH(vp.tbl[[#This Row],[SDate]],weather.tbl[Date],0))</f>
        <v>-4.473809523809523</v>
      </c>
      <c r="P652" s="2">
        <f ca="1">INDEX(INDIRECT(_xlfn.CONCAT("weather.tbl[",P$1,"]")),MATCH(vp.tbl[[#This Row],[SDate]],weather.tbl[Date],0))</f>
        <v>-8</v>
      </c>
      <c r="Q652" s="2">
        <f ca="1">INDEX(INDIRECT(_xlfn.CONCAT("weather.tbl[",Q$1,"]")),MATCH(vp.tbl[[#This Row],[SDate]],weather.tbl[Date],0))</f>
        <v>-8.9</v>
      </c>
      <c r="R652" s="2">
        <f ca="1">INDEX(INDIRECT(_xlfn.CONCAT("weather.tbl[",R$1,"]")),MATCH(vp.tbl[[#This Row],[SDate]],weather.tbl[Date],0))</f>
        <v>-8</v>
      </c>
      <c r="S652" s="2">
        <f ca="1">INDEX(INDIRECT(_xlfn.CONCAT("weather.tbl[",S$1,"]")),MATCH(vp.tbl[[#This Row],[SDate]],weather.tbl[Date],0))</f>
        <v>-8.9</v>
      </c>
      <c r="T652" s="2">
        <f ca="1">INDEX(INDIRECT(_xlfn.CONCAT("weather.tbl[",T$1,"]")),MATCH(vp.tbl[[#This Row],[SDate]],weather.tbl[Date],0))</f>
        <v>-6.2</v>
      </c>
      <c r="U652" s="2">
        <f ca="1">INDEX(INDIRECT(_xlfn.CONCAT("weather.tbl[",U$1,"]")),MATCH(vp.tbl[[#This Row],[SDate]],weather.tbl[Date],0))</f>
        <v>-9</v>
      </c>
      <c r="V652" s="2">
        <v>122139.87</v>
      </c>
      <c r="W652" t="s">
        <v>48</v>
      </c>
      <c r="X652">
        <f>IF(OR(vp.tbl[[#This Row],[Sulf]]="",vp.tbl[[#This Row],[Dens]]=""),1,0)</f>
        <v>0</v>
      </c>
      <c r="Y652">
        <f>IF(vp.tbl[[#This Row],[CrudeType]]="C5+",1,0)</f>
        <v>0</v>
      </c>
      <c r="Z652">
        <f>IF(AND(vp.tbl[[#This Row],[CrudeType]]="Crude",vp.tbl[[#This Row],[Dens]]&lt;=825,vp.tbl[[#This Row],[Sulf]]&gt;0.5,vp.tbl[[#This Row],[Unknown]]=0),1,0)</f>
        <v>1</v>
      </c>
      <c r="AA652">
        <f>IF(AND(vp.tbl[[#This Row],[CrudeType]]="Crude",vp.tbl[[#This Row],[Dens]]&lt;=825,vp.tbl[[#This Row],[Sulf]]&lt;=0.5,vp.tbl[[#This Row],[Unknown]]=0),1,0)</f>
        <v>0</v>
      </c>
      <c r="AB652">
        <f>IF(AND(vp.tbl[[#This Row],[CrudeType]]="Crude",vp.tbl[[#This Row],[Dens]]&gt;825,vp.tbl[[#This Row],[Dens]]&lt;=870,vp.tbl[[#This Row],[Sulf]]&gt;0.5,vp.tbl[[#This Row],[Unknown]]=0),1,0)</f>
        <v>0</v>
      </c>
      <c r="AC652">
        <f>IF(AND(vp.tbl[[#This Row],[CrudeType]]="Crude",vp.tbl[[#This Row],[Dens]]&gt;825,vp.tbl[[#This Row],[Dens]]&lt;=900,vp.tbl[[#This Row],[Sulf]]&lt;=0.5,vp.tbl[[#This Row],[Unknown]]=0),1,0)</f>
        <v>0</v>
      </c>
      <c r="AD652">
        <f>IF(AND(vp.tbl[[#This Row],[CrudeType]]="Crude",vp.tbl[[#This Row],[Dens]]&gt;870,vp.tbl[[#This Row],[Dens]]&lt;=900,vp.tbl[[#This Row],[Sulf]]&gt;0.5,vp.tbl[[#This Row],[Unknown]]=0),1,0)</f>
        <v>0</v>
      </c>
      <c r="AE652">
        <f>IF(AND(vp.tbl[[#This Row],[CrudeType]]="Crude",vp.tbl[[#This Row],[Dens]]&gt;900,vp.tbl[[#This Row],[Sulf]]&lt;=0.5,vp.tbl[[#This Row],[Unknown]]=0),1,0)</f>
        <v>0</v>
      </c>
      <c r="AF652">
        <f>IF(AND(vp.tbl[[#This Row],[CrudeType]]="Crude",vp.tbl[[#This Row],[Dens]]&gt;900,vp.tbl[[#This Row],[Sulf]]&lt;=0.5,vp.tbl[[#This Row],[Unknown]]=0),1,0)</f>
        <v>0</v>
      </c>
      <c r="AG652" t="str">
        <f>INDEX(vp.tbl[[#Headers],[Unknown]:[Heavy_SW]],MATCH(1,vp.tbl[[#This Row],[Unknown]:[Heavy_SW]],0))</f>
        <v>Light_LSB</v>
      </c>
      <c r="AH652" t="e">
        <f>INDEX([1]!crudeBD.lkup[Number],MATCH(vp.tbl[[#This Row],[Crude_Breakdown]],[1]!crudeBD.lkup[Crude Breakdown],0))</f>
        <v>#REF!</v>
      </c>
      <c r="AI652">
        <f>MONTH(vp.tbl[[#This Row],[SDate]])</f>
        <v>1</v>
      </c>
      <c r="AJ652" s="5">
        <f>IFERROR(vp.tbl[[#This Row],[Sulf]]*vp.tbl[[#This Row],[Net Dens]],"")</f>
        <v>62049123.009397797</v>
      </c>
      <c r="AK652" s="5">
        <f>IFERROR(vp.tbl[[#This Row],[Dens]]*vp.tbl[[#This Row],[VolumeM3]],"")</f>
        <v>100435615.101</v>
      </c>
      <c r="AL652" s="5">
        <f>IFERROR(vp.tbl[[#This Row],[VP]]*vp.tbl[[#This Row],[VolumeM3]],"")</f>
        <v>12104061.116999999</v>
      </c>
      <c r="AM652" s="4">
        <f>IFERROR((vp.tbl[[#This Row],[VP]]-INDEX(crudeBD.lkup.complete[Mean_VP],MATCH(vp.tbl[[#This Row],[Crude_Breakdown]],crudeBD.lkup.complete[Crude Breakdown],0)))^2,"")</f>
        <v>57.060112488042805</v>
      </c>
      <c r="AN652" s="4">
        <f>IFERROR((vp.tbl[[#This Row],[Dens]]-INDEX(crudeBD.lkup.complete[Mean_Dens],MATCH(vp.tbl[[#This Row],[Crude_Breakdown]],crudeBD.lkup.complete[Crude Breakdown],0)))^2,"")</f>
        <v>14.312831053012744</v>
      </c>
      <c r="AO652" s="4">
        <f>IFERROR((vp.tbl[[#This Row],[Sulf]]-INDEX(crudeBD.lkup.complete[Mean_Sulf],MATCH(vp.tbl[[#This Row],[Crude_Breakdown]],crudeBD.lkup.complete[Crude Breakdown],0)))^2,"")</f>
        <v>9.3129442013392447E-2</v>
      </c>
      <c r="AP652">
        <f>IF(AND(vp.tbl[[#This Row],[SDate]]&gt;=DATE(YEAR(vp.tbl[[#This Row],[SDate]]),5,1),vp.tbl[[#This Row],[SDate]]&lt;=DATE(YEAR(vp.tbl[[#This Row],[SDate]]),9,15)),1,0)</f>
        <v>0</v>
      </c>
      <c r="AQ652" s="15">
        <f>IF(vp.tbl[[#This Row],[SDate]]&lt;DATE(2016,12,1),0,1)</f>
        <v>1</v>
      </c>
    </row>
    <row r="653" spans="1:43" x14ac:dyDescent="0.25">
      <c r="A653">
        <v>652</v>
      </c>
      <c r="B653" t="s">
        <v>49</v>
      </c>
      <c r="C653" t="s">
        <v>49</v>
      </c>
      <c r="D653" t="s">
        <v>89</v>
      </c>
      <c r="F653" s="1">
        <v>42759</v>
      </c>
      <c r="G653" s="2">
        <v>108.6</v>
      </c>
      <c r="H653" s="2">
        <v>0.63200000000000001</v>
      </c>
      <c r="I653" s="2">
        <v>0.63200000000000001</v>
      </c>
      <c r="J653" s="2">
        <v>2.9</v>
      </c>
      <c r="K653" s="2">
        <v>-9</v>
      </c>
      <c r="L653" s="2">
        <v>815</v>
      </c>
      <c r="M653" s="2">
        <v>815</v>
      </c>
      <c r="N653" s="2">
        <f ca="1">INDEX(INDIRECT(_xlfn.CONCAT("weather.tbl[",N$1,"]")),MATCH(vp.tbl[[#This Row],[SDate]],weather.tbl[Date],0))</f>
        <v>-8.1666666666666661</v>
      </c>
      <c r="O653" s="2">
        <f ca="1">INDEX(INDIRECT(_xlfn.CONCAT("weather.tbl[",O$1,"]")),MATCH(vp.tbl[[#This Row],[SDate]],weather.tbl[Date],0))</f>
        <v>-4.473809523809523</v>
      </c>
      <c r="P653" s="2">
        <f ca="1">INDEX(INDIRECT(_xlfn.CONCAT("weather.tbl[",P$1,"]")),MATCH(vp.tbl[[#This Row],[SDate]],weather.tbl[Date],0))</f>
        <v>-8</v>
      </c>
      <c r="Q653" s="2">
        <f ca="1">INDEX(INDIRECT(_xlfn.CONCAT("weather.tbl[",Q$1,"]")),MATCH(vp.tbl[[#This Row],[SDate]],weather.tbl[Date],0))</f>
        <v>-8.9</v>
      </c>
      <c r="R653" s="2">
        <f ca="1">INDEX(INDIRECT(_xlfn.CONCAT("weather.tbl[",R$1,"]")),MATCH(vp.tbl[[#This Row],[SDate]],weather.tbl[Date],0))</f>
        <v>-8</v>
      </c>
      <c r="S653" s="2">
        <f ca="1">INDEX(INDIRECT(_xlfn.CONCAT("weather.tbl[",S$1,"]")),MATCH(vp.tbl[[#This Row],[SDate]],weather.tbl[Date],0))</f>
        <v>-8.9</v>
      </c>
      <c r="T653" s="2">
        <f ca="1">INDEX(INDIRECT(_xlfn.CONCAT("weather.tbl[",T$1,"]")),MATCH(vp.tbl[[#This Row],[SDate]],weather.tbl[Date],0))</f>
        <v>-6.2</v>
      </c>
      <c r="U653" s="2">
        <f ca="1">INDEX(INDIRECT(_xlfn.CONCAT("weather.tbl[",U$1,"]")),MATCH(vp.tbl[[#This Row],[SDate]],weather.tbl[Date],0))</f>
        <v>-9</v>
      </c>
      <c r="V653" s="2">
        <v>6179.5609999999997</v>
      </c>
      <c r="W653" t="s">
        <v>48</v>
      </c>
      <c r="X653">
        <f>IF(OR(vp.tbl[[#This Row],[Sulf]]="",vp.tbl[[#This Row],[Dens]]=""),1,0)</f>
        <v>0</v>
      </c>
      <c r="Y653">
        <f>IF(vp.tbl[[#This Row],[CrudeType]]="C5+",1,0)</f>
        <v>0</v>
      </c>
      <c r="Z653">
        <f>IF(AND(vp.tbl[[#This Row],[CrudeType]]="Crude",vp.tbl[[#This Row],[Dens]]&lt;=825,vp.tbl[[#This Row],[Sulf]]&gt;0.5,vp.tbl[[#This Row],[Unknown]]=0),1,0)</f>
        <v>1</v>
      </c>
      <c r="AA653">
        <f>IF(AND(vp.tbl[[#This Row],[CrudeType]]="Crude",vp.tbl[[#This Row],[Dens]]&lt;=825,vp.tbl[[#This Row],[Sulf]]&lt;=0.5,vp.tbl[[#This Row],[Unknown]]=0),1,0)</f>
        <v>0</v>
      </c>
      <c r="AB653">
        <f>IF(AND(vp.tbl[[#This Row],[CrudeType]]="Crude",vp.tbl[[#This Row],[Dens]]&gt;825,vp.tbl[[#This Row],[Dens]]&lt;=870,vp.tbl[[#This Row],[Sulf]]&gt;0.5,vp.tbl[[#This Row],[Unknown]]=0),1,0)</f>
        <v>0</v>
      </c>
      <c r="AC653">
        <f>IF(AND(vp.tbl[[#This Row],[CrudeType]]="Crude",vp.tbl[[#This Row],[Dens]]&gt;825,vp.tbl[[#This Row],[Dens]]&lt;=900,vp.tbl[[#This Row],[Sulf]]&lt;=0.5,vp.tbl[[#This Row],[Unknown]]=0),1,0)</f>
        <v>0</v>
      </c>
      <c r="AD653">
        <f>IF(AND(vp.tbl[[#This Row],[CrudeType]]="Crude",vp.tbl[[#This Row],[Dens]]&gt;870,vp.tbl[[#This Row],[Dens]]&lt;=900,vp.tbl[[#This Row],[Sulf]]&gt;0.5,vp.tbl[[#This Row],[Unknown]]=0),1,0)</f>
        <v>0</v>
      </c>
      <c r="AE653">
        <f>IF(AND(vp.tbl[[#This Row],[CrudeType]]="Crude",vp.tbl[[#This Row],[Dens]]&gt;900,vp.tbl[[#This Row],[Sulf]]&lt;=0.5,vp.tbl[[#This Row],[Unknown]]=0),1,0)</f>
        <v>0</v>
      </c>
      <c r="AF653">
        <f>IF(AND(vp.tbl[[#This Row],[CrudeType]]="Crude",vp.tbl[[#This Row],[Dens]]&gt;900,vp.tbl[[#This Row],[Sulf]]&lt;=0.5,vp.tbl[[#This Row],[Unknown]]=0),1,0)</f>
        <v>0</v>
      </c>
      <c r="AG653" t="str">
        <f>INDEX(vp.tbl[[#Headers],[Unknown]:[Heavy_SW]],MATCH(1,vp.tbl[[#This Row],[Unknown]:[Heavy_SW]],0))</f>
        <v>Light_LSB</v>
      </c>
      <c r="AH653" t="e">
        <f>INDEX([1]!crudeBD.lkup[Number],MATCH(vp.tbl[[#This Row],[Crude_Breakdown]],[1]!crudeBD.lkup[Crude Breakdown],0))</f>
        <v>#REF!</v>
      </c>
      <c r="AI653">
        <f>MONTH(vp.tbl[[#This Row],[SDate]])</f>
        <v>1</v>
      </c>
      <c r="AJ653" s="5">
        <f>IFERROR(vp.tbl[[#This Row],[Sulf]]*vp.tbl[[#This Row],[Net Dens]],"")</f>
        <v>3182968.2798799998</v>
      </c>
      <c r="AK653" s="5">
        <f>IFERROR(vp.tbl[[#This Row],[Dens]]*vp.tbl[[#This Row],[VolumeM3]],"")</f>
        <v>5036342.2149999999</v>
      </c>
      <c r="AL653" s="5">
        <f>IFERROR(vp.tbl[[#This Row],[VP]]*vp.tbl[[#This Row],[VolumeM3]],"")</f>
        <v>671100.32459999993</v>
      </c>
      <c r="AM653" s="4">
        <f>IFERROR((vp.tbl[[#This Row],[VP]]-INDEX(crudeBD.lkup.complete[Mean_VP],MATCH(vp.tbl[[#This Row],[Crude_Breakdown]],crudeBD.lkup.complete[Crude Breakdown],0)))^2,"")</f>
        <v>290.83258671484623</v>
      </c>
      <c r="AN653" s="4">
        <f>IFERROR((vp.tbl[[#This Row],[Dens]]-INDEX(crudeBD.lkup.complete[Mean_Dens],MATCH(vp.tbl[[#This Row],[Crude_Breakdown]],crudeBD.lkup.complete[Crude Breakdown],0)))^2,"")</f>
        <v>12.36766954098101</v>
      </c>
      <c r="AO653" s="4">
        <f>IFERROR((vp.tbl[[#This Row],[Sulf]]-INDEX(crudeBD.lkup.complete[Mean_Sulf],MATCH(vp.tbl[[#This Row],[Crude_Breakdown]],crudeBD.lkup.complete[Crude Breakdown],0)))^2,"")</f>
        <v>8.4664220831261877E-2</v>
      </c>
      <c r="AP653">
        <f>IF(AND(vp.tbl[[#This Row],[SDate]]&gt;=DATE(YEAR(vp.tbl[[#This Row],[SDate]]),5,1),vp.tbl[[#This Row],[SDate]]&lt;=DATE(YEAR(vp.tbl[[#This Row],[SDate]]),9,15)),1,0)</f>
        <v>0</v>
      </c>
      <c r="AQ653" s="15">
        <f>IF(vp.tbl[[#This Row],[SDate]]&lt;DATE(2016,12,1),0,1)</f>
        <v>1</v>
      </c>
    </row>
    <row r="654" spans="1:43" x14ac:dyDescent="0.25">
      <c r="A654">
        <v>653</v>
      </c>
      <c r="B654" t="s">
        <v>49</v>
      </c>
      <c r="C654" t="s">
        <v>49</v>
      </c>
      <c r="D654" t="s">
        <v>148</v>
      </c>
      <c r="F654" s="1">
        <v>42759</v>
      </c>
      <c r="G654" s="2">
        <v>72.3</v>
      </c>
      <c r="H654" s="2">
        <v>0.94399999999999995</v>
      </c>
      <c r="I654" s="2">
        <v>0.94399999999999995</v>
      </c>
      <c r="J654" s="2">
        <v>18.3</v>
      </c>
      <c r="K654" s="2">
        <v>-7</v>
      </c>
      <c r="L654" s="2"/>
      <c r="M654" s="2">
        <v>854.5</v>
      </c>
      <c r="N654" s="2">
        <f ca="1">INDEX(INDIRECT(_xlfn.CONCAT("weather.tbl[",N$1,"]")),MATCH(vp.tbl[[#This Row],[SDate]],weather.tbl[Date],0))</f>
        <v>-8.1666666666666661</v>
      </c>
      <c r="O654" s="2">
        <f ca="1">INDEX(INDIRECT(_xlfn.CONCAT("weather.tbl[",O$1,"]")),MATCH(vp.tbl[[#This Row],[SDate]],weather.tbl[Date],0))</f>
        <v>-4.473809523809523</v>
      </c>
      <c r="P654" s="2">
        <f ca="1">INDEX(INDIRECT(_xlfn.CONCAT("weather.tbl[",P$1,"]")),MATCH(vp.tbl[[#This Row],[SDate]],weather.tbl[Date],0))</f>
        <v>-8</v>
      </c>
      <c r="Q654" s="2">
        <f ca="1">INDEX(INDIRECT(_xlfn.CONCAT("weather.tbl[",Q$1,"]")),MATCH(vp.tbl[[#This Row],[SDate]],weather.tbl[Date],0))</f>
        <v>-8.9</v>
      </c>
      <c r="R654" s="2">
        <f ca="1">INDEX(INDIRECT(_xlfn.CONCAT("weather.tbl[",R$1,"]")),MATCH(vp.tbl[[#This Row],[SDate]],weather.tbl[Date],0))</f>
        <v>-8</v>
      </c>
      <c r="S654" s="2">
        <f ca="1">INDEX(INDIRECT(_xlfn.CONCAT("weather.tbl[",S$1,"]")),MATCH(vp.tbl[[#This Row],[SDate]],weather.tbl[Date],0))</f>
        <v>-8.9</v>
      </c>
      <c r="T654" s="2">
        <f ca="1">INDEX(INDIRECT(_xlfn.CONCAT("weather.tbl[",T$1,"]")),MATCH(vp.tbl[[#This Row],[SDate]],weather.tbl[Date],0))</f>
        <v>-6.2</v>
      </c>
      <c r="U654" s="2">
        <f ca="1">INDEX(INDIRECT(_xlfn.CONCAT("weather.tbl[",U$1,"]")),MATCH(vp.tbl[[#This Row],[SDate]],weather.tbl[Date],0))</f>
        <v>-9</v>
      </c>
      <c r="V654" s="2">
        <v>1075.114</v>
      </c>
      <c r="W654" t="s">
        <v>48</v>
      </c>
      <c r="X654">
        <f>IF(OR(vp.tbl[[#This Row],[Sulf]]="",vp.tbl[[#This Row],[Dens]]=""),1,0)</f>
        <v>0</v>
      </c>
      <c r="Y654">
        <f>IF(vp.tbl[[#This Row],[CrudeType]]="C5+",1,0)</f>
        <v>0</v>
      </c>
      <c r="Z654">
        <f>IF(AND(vp.tbl[[#This Row],[CrudeType]]="Crude",vp.tbl[[#This Row],[Dens]]&lt;=825,vp.tbl[[#This Row],[Sulf]]&gt;0.5,vp.tbl[[#This Row],[Unknown]]=0),1,0)</f>
        <v>0</v>
      </c>
      <c r="AA654">
        <f>IF(AND(vp.tbl[[#This Row],[CrudeType]]="Crude",vp.tbl[[#This Row],[Dens]]&lt;=825,vp.tbl[[#This Row],[Sulf]]&lt;=0.5,vp.tbl[[#This Row],[Unknown]]=0),1,0)</f>
        <v>0</v>
      </c>
      <c r="AB654">
        <f>IF(AND(vp.tbl[[#This Row],[CrudeType]]="Crude",vp.tbl[[#This Row],[Dens]]&gt;825,vp.tbl[[#This Row],[Dens]]&lt;=870,vp.tbl[[#This Row],[Sulf]]&gt;0.5,vp.tbl[[#This Row],[Unknown]]=0),1,0)</f>
        <v>1</v>
      </c>
      <c r="AC654">
        <f>IF(AND(vp.tbl[[#This Row],[CrudeType]]="Crude",vp.tbl[[#This Row],[Dens]]&gt;825,vp.tbl[[#This Row],[Dens]]&lt;=900,vp.tbl[[#This Row],[Sulf]]&lt;=0.5,vp.tbl[[#This Row],[Unknown]]=0),1,0)</f>
        <v>0</v>
      </c>
      <c r="AD654">
        <f>IF(AND(vp.tbl[[#This Row],[CrudeType]]="Crude",vp.tbl[[#This Row],[Dens]]&gt;870,vp.tbl[[#This Row],[Dens]]&lt;=900,vp.tbl[[#This Row],[Sulf]]&gt;0.5,vp.tbl[[#This Row],[Unknown]]=0),1,0)</f>
        <v>0</v>
      </c>
      <c r="AE654">
        <f>IF(AND(vp.tbl[[#This Row],[CrudeType]]="Crude",vp.tbl[[#This Row],[Dens]]&gt;900,vp.tbl[[#This Row],[Sulf]]&lt;=0.5,vp.tbl[[#This Row],[Unknown]]=0),1,0)</f>
        <v>0</v>
      </c>
      <c r="AF654">
        <f>IF(AND(vp.tbl[[#This Row],[CrudeType]]="Crude",vp.tbl[[#This Row],[Dens]]&gt;900,vp.tbl[[#This Row],[Sulf]]&lt;=0.5,vp.tbl[[#This Row],[Unknown]]=0),1,0)</f>
        <v>0</v>
      </c>
      <c r="AG654" t="str">
        <f>INDEX(vp.tbl[[#Headers],[Unknown]:[Heavy_SW]],MATCH(1,vp.tbl[[#This Row],[Unknown]:[Heavy_SW]],0))</f>
        <v>Medium_LSB</v>
      </c>
      <c r="AH654" t="e">
        <f>INDEX([1]!crudeBD.lkup[Number],MATCH(vp.tbl[[#This Row],[Crude_Breakdown]],[1]!crudeBD.lkup[Crude Breakdown],0))</f>
        <v>#REF!</v>
      </c>
      <c r="AI654">
        <f>MONTH(vp.tbl[[#This Row],[SDate]])</f>
        <v>1</v>
      </c>
      <c r="AJ654" s="5">
        <f>IFERROR(vp.tbl[[#This Row],[Sulf]]*vp.tbl[[#This Row],[Net Dens]],"")</f>
        <v>867238.55787200003</v>
      </c>
      <c r="AK654" s="5">
        <f>IFERROR(vp.tbl[[#This Row],[Dens]]*vp.tbl[[#This Row],[VolumeM3]],"")</f>
        <v>918684.91300000006</v>
      </c>
      <c r="AL654" s="5">
        <f>IFERROR(vp.tbl[[#This Row],[VP]]*vp.tbl[[#This Row],[VolumeM3]],"")</f>
        <v>77730.742199999993</v>
      </c>
      <c r="AM654" s="4">
        <f>IFERROR((vp.tbl[[#This Row],[VP]]-INDEX(crudeBD.lkup.complete[Mean_VP],MATCH(vp.tbl[[#This Row],[Crude_Breakdown]],crudeBD.lkup.complete[Crude Breakdown],0)))^2,"")</f>
        <v>61.993497227366873</v>
      </c>
      <c r="AN654" s="4">
        <f>IFERROR((vp.tbl[[#This Row],[Dens]]-INDEX(crudeBD.lkup.complete[Mean_Dens],MATCH(vp.tbl[[#This Row],[Crude_Breakdown]],crudeBD.lkup.complete[Crude Breakdown],0)))^2,"")</f>
        <v>84.79052762636006</v>
      </c>
      <c r="AO654" s="4">
        <f>IFERROR((vp.tbl[[#This Row],[Sulf]]-INDEX(crudeBD.lkup.complete[Mean_Sulf],MATCH(vp.tbl[[#This Row],[Crude_Breakdown]],crudeBD.lkup.complete[Crude Breakdown],0)))^2,"")</f>
        <v>0.26104932261571717</v>
      </c>
      <c r="AP654">
        <f>IF(AND(vp.tbl[[#This Row],[SDate]]&gt;=DATE(YEAR(vp.tbl[[#This Row],[SDate]]),5,1),vp.tbl[[#This Row],[SDate]]&lt;=DATE(YEAR(vp.tbl[[#This Row],[SDate]]),9,15)),1,0)</f>
        <v>0</v>
      </c>
      <c r="AQ654" s="15">
        <f>IF(vp.tbl[[#This Row],[SDate]]&lt;DATE(2016,12,1),0,1)</f>
        <v>1</v>
      </c>
    </row>
    <row r="655" spans="1:43" x14ac:dyDescent="0.25">
      <c r="A655">
        <v>654</v>
      </c>
      <c r="B655" t="s">
        <v>62</v>
      </c>
      <c r="C655" t="s">
        <v>62</v>
      </c>
      <c r="D655" t="s">
        <v>79</v>
      </c>
      <c r="F655" s="1">
        <v>42759</v>
      </c>
      <c r="G655" s="2">
        <v>96.3</v>
      </c>
      <c r="H655" s="2"/>
      <c r="I655" s="2">
        <v>0.28000000000000003</v>
      </c>
      <c r="J655" s="2">
        <v>15</v>
      </c>
      <c r="K655" s="2">
        <v>-8</v>
      </c>
      <c r="L655" s="2">
        <v>805.3</v>
      </c>
      <c r="M655" s="2">
        <v>805.3</v>
      </c>
      <c r="N655" s="2">
        <f ca="1">INDEX(INDIRECT(_xlfn.CONCAT("weather.tbl[",N$1,"]")),MATCH(vp.tbl[[#This Row],[SDate]],weather.tbl[Date],0))</f>
        <v>-8.1666666666666661</v>
      </c>
      <c r="O655" s="2">
        <f ca="1">INDEX(INDIRECT(_xlfn.CONCAT("weather.tbl[",O$1,"]")),MATCH(vp.tbl[[#This Row],[SDate]],weather.tbl[Date],0))</f>
        <v>-4.473809523809523</v>
      </c>
      <c r="P655" s="2">
        <f ca="1">INDEX(INDIRECT(_xlfn.CONCAT("weather.tbl[",P$1,"]")),MATCH(vp.tbl[[#This Row],[SDate]],weather.tbl[Date],0))</f>
        <v>-8</v>
      </c>
      <c r="Q655" s="2">
        <f ca="1">INDEX(INDIRECT(_xlfn.CONCAT("weather.tbl[",Q$1,"]")),MATCH(vp.tbl[[#This Row],[SDate]],weather.tbl[Date],0))</f>
        <v>-8.9</v>
      </c>
      <c r="R655" s="2">
        <f ca="1">INDEX(INDIRECT(_xlfn.CONCAT("weather.tbl[",R$1,"]")),MATCH(vp.tbl[[#This Row],[SDate]],weather.tbl[Date],0))</f>
        <v>-8</v>
      </c>
      <c r="S655" s="2">
        <f ca="1">INDEX(INDIRECT(_xlfn.CONCAT("weather.tbl[",S$1,"]")),MATCH(vp.tbl[[#This Row],[SDate]],weather.tbl[Date],0))</f>
        <v>-8.9</v>
      </c>
      <c r="T655" s="2">
        <f ca="1">INDEX(INDIRECT(_xlfn.CONCAT("weather.tbl[",T$1,"]")),MATCH(vp.tbl[[#This Row],[SDate]],weather.tbl[Date],0))</f>
        <v>-6.2</v>
      </c>
      <c r="U655" s="2">
        <f ca="1">INDEX(INDIRECT(_xlfn.CONCAT("weather.tbl[",U$1,"]")),MATCH(vp.tbl[[#This Row],[SDate]],weather.tbl[Date],0))</f>
        <v>-9</v>
      </c>
      <c r="V655" s="2">
        <v>14036.508</v>
      </c>
      <c r="W655" t="s">
        <v>48</v>
      </c>
      <c r="X655">
        <f>IF(OR(vp.tbl[[#This Row],[Sulf]]="",vp.tbl[[#This Row],[Dens]]=""),1,0)</f>
        <v>0</v>
      </c>
      <c r="Y655">
        <f>IF(vp.tbl[[#This Row],[CrudeType]]="C5+",1,0)</f>
        <v>0</v>
      </c>
      <c r="Z655">
        <f>IF(AND(vp.tbl[[#This Row],[CrudeType]]="Crude",vp.tbl[[#This Row],[Dens]]&lt;=825,vp.tbl[[#This Row],[Sulf]]&gt;0.5,vp.tbl[[#This Row],[Unknown]]=0),1,0)</f>
        <v>0</v>
      </c>
      <c r="AA655">
        <f>IF(AND(vp.tbl[[#This Row],[CrudeType]]="Crude",vp.tbl[[#This Row],[Dens]]&lt;=825,vp.tbl[[#This Row],[Sulf]]&lt;=0.5,vp.tbl[[#This Row],[Unknown]]=0),1,0)</f>
        <v>1</v>
      </c>
      <c r="AB655">
        <f>IF(AND(vp.tbl[[#This Row],[CrudeType]]="Crude",vp.tbl[[#This Row],[Dens]]&gt;825,vp.tbl[[#This Row],[Dens]]&lt;=870,vp.tbl[[#This Row],[Sulf]]&gt;0.5,vp.tbl[[#This Row],[Unknown]]=0),1,0)</f>
        <v>0</v>
      </c>
      <c r="AC655">
        <f>IF(AND(vp.tbl[[#This Row],[CrudeType]]="Crude",vp.tbl[[#This Row],[Dens]]&gt;825,vp.tbl[[#This Row],[Dens]]&lt;=900,vp.tbl[[#This Row],[Sulf]]&lt;=0.5,vp.tbl[[#This Row],[Unknown]]=0),1,0)</f>
        <v>0</v>
      </c>
      <c r="AD655">
        <f>IF(AND(vp.tbl[[#This Row],[CrudeType]]="Crude",vp.tbl[[#This Row],[Dens]]&gt;870,vp.tbl[[#This Row],[Dens]]&lt;=900,vp.tbl[[#This Row],[Sulf]]&gt;0.5,vp.tbl[[#This Row],[Unknown]]=0),1,0)</f>
        <v>0</v>
      </c>
      <c r="AE655">
        <f>IF(AND(vp.tbl[[#This Row],[CrudeType]]="Crude",vp.tbl[[#This Row],[Dens]]&gt;900,vp.tbl[[#This Row],[Sulf]]&lt;=0.5,vp.tbl[[#This Row],[Unknown]]=0),1,0)</f>
        <v>0</v>
      </c>
      <c r="AF655">
        <f>IF(AND(vp.tbl[[#This Row],[CrudeType]]="Crude",vp.tbl[[#This Row],[Dens]]&gt;900,vp.tbl[[#This Row],[Sulf]]&lt;=0.5,vp.tbl[[#This Row],[Unknown]]=0),1,0)</f>
        <v>0</v>
      </c>
      <c r="AG655" t="str">
        <f>INDEX(vp.tbl[[#Headers],[Unknown]:[Heavy_SW]],MATCH(1,vp.tbl[[#This Row],[Unknown]:[Heavy_SW]],0))</f>
        <v>Light_SW</v>
      </c>
      <c r="AH655" t="e">
        <f>INDEX([1]!crudeBD.lkup[Number],MATCH(vp.tbl[[#This Row],[Crude_Breakdown]],[1]!crudeBD.lkup[Crude Breakdown],0))</f>
        <v>#REF!</v>
      </c>
      <c r="AI655">
        <f>MONTH(vp.tbl[[#This Row],[SDate]])</f>
        <v>1</v>
      </c>
      <c r="AJ655" s="5">
        <f>IFERROR(vp.tbl[[#This Row],[Sulf]]*vp.tbl[[#This Row],[Net Dens]],"")</f>
        <v>3165007.9698719997</v>
      </c>
      <c r="AK655" s="5">
        <f>IFERROR(vp.tbl[[#This Row],[Dens]]*vp.tbl[[#This Row],[VolumeM3]],"")</f>
        <v>11303599.892399998</v>
      </c>
      <c r="AL655" s="5">
        <f>IFERROR(vp.tbl[[#This Row],[VP]]*vp.tbl[[#This Row],[VolumeM3]],"")</f>
        <v>1351715.7204</v>
      </c>
      <c r="AM655" s="4">
        <f>IFERROR((vp.tbl[[#This Row],[VP]]-INDEX(crudeBD.lkup.complete[Mean_VP],MATCH(vp.tbl[[#This Row],[Crude_Breakdown]],crudeBD.lkup.complete[Crude Breakdown],0)))^2,"")</f>
        <v>14.060148181961861</v>
      </c>
      <c r="AN655" s="4">
        <f>IFERROR((vp.tbl[[#This Row],[Dens]]-INDEX(crudeBD.lkup.complete[Mean_Dens],MATCH(vp.tbl[[#This Row],[Crude_Breakdown]],crudeBD.lkup.complete[Crude Breakdown],0)))^2,"")</f>
        <v>9.0691217569706346</v>
      </c>
      <c r="AO655" s="4">
        <f>IFERROR((vp.tbl[[#This Row],[Sulf]]-INDEX(crudeBD.lkup.complete[Mean_Sulf],MATCH(vp.tbl[[#This Row],[Crude_Breakdown]],crudeBD.lkup.complete[Crude Breakdown],0)))^2,"")</f>
        <v>1.9147790304605045E-3</v>
      </c>
      <c r="AP655">
        <f>IF(AND(vp.tbl[[#This Row],[SDate]]&gt;=DATE(YEAR(vp.tbl[[#This Row],[SDate]]),5,1),vp.tbl[[#This Row],[SDate]]&lt;=DATE(YEAR(vp.tbl[[#This Row],[SDate]]),9,15)),1,0)</f>
        <v>0</v>
      </c>
      <c r="AQ655" s="15">
        <f>IF(vp.tbl[[#This Row],[SDate]]&lt;DATE(2016,12,1),0,1)</f>
        <v>1</v>
      </c>
    </row>
    <row r="656" spans="1:43" x14ac:dyDescent="0.25">
      <c r="A656">
        <v>655</v>
      </c>
      <c r="B656" t="s">
        <v>62</v>
      </c>
      <c r="C656" t="s">
        <v>62</v>
      </c>
      <c r="D656" t="s">
        <v>83</v>
      </c>
      <c r="F656" s="1">
        <v>42759</v>
      </c>
      <c r="G656" s="2">
        <v>92.4</v>
      </c>
      <c r="H656" s="2"/>
      <c r="I656" s="2">
        <v>0.17</v>
      </c>
      <c r="J656" s="2">
        <v>-0.2</v>
      </c>
      <c r="K656" s="2">
        <v>-8</v>
      </c>
      <c r="L656" s="2">
        <v>807.3</v>
      </c>
      <c r="M656" s="2">
        <v>807.3</v>
      </c>
      <c r="N656" s="2">
        <f ca="1">INDEX(INDIRECT(_xlfn.CONCAT("weather.tbl[",N$1,"]")),MATCH(vp.tbl[[#This Row],[SDate]],weather.tbl[Date],0))</f>
        <v>-8.1666666666666661</v>
      </c>
      <c r="O656" s="2">
        <f ca="1">INDEX(INDIRECT(_xlfn.CONCAT("weather.tbl[",O$1,"]")),MATCH(vp.tbl[[#This Row],[SDate]],weather.tbl[Date],0))</f>
        <v>-4.473809523809523</v>
      </c>
      <c r="P656" s="2">
        <f ca="1">INDEX(INDIRECT(_xlfn.CONCAT("weather.tbl[",P$1,"]")),MATCH(vp.tbl[[#This Row],[SDate]],weather.tbl[Date],0))</f>
        <v>-8</v>
      </c>
      <c r="Q656" s="2">
        <f ca="1">INDEX(INDIRECT(_xlfn.CONCAT("weather.tbl[",Q$1,"]")),MATCH(vp.tbl[[#This Row],[SDate]],weather.tbl[Date],0))</f>
        <v>-8.9</v>
      </c>
      <c r="R656" s="2">
        <f ca="1">INDEX(INDIRECT(_xlfn.CONCAT("weather.tbl[",R$1,"]")),MATCH(vp.tbl[[#This Row],[SDate]],weather.tbl[Date],0))</f>
        <v>-8</v>
      </c>
      <c r="S656" s="2">
        <f ca="1">INDEX(INDIRECT(_xlfn.CONCAT("weather.tbl[",S$1,"]")),MATCH(vp.tbl[[#This Row],[SDate]],weather.tbl[Date],0))</f>
        <v>-8.9</v>
      </c>
      <c r="T656" s="2">
        <f ca="1">INDEX(INDIRECT(_xlfn.CONCAT("weather.tbl[",T$1,"]")),MATCH(vp.tbl[[#This Row],[SDate]],weather.tbl[Date],0))</f>
        <v>-6.2</v>
      </c>
      <c r="U656" s="2">
        <f ca="1">INDEX(INDIRECT(_xlfn.CONCAT("weather.tbl[",U$1,"]")),MATCH(vp.tbl[[#This Row],[SDate]],weather.tbl[Date],0))</f>
        <v>-9</v>
      </c>
      <c r="V656" s="2">
        <v>8873.2939999999999</v>
      </c>
      <c r="W656" t="s">
        <v>48</v>
      </c>
      <c r="X656">
        <f>IF(OR(vp.tbl[[#This Row],[Sulf]]="",vp.tbl[[#This Row],[Dens]]=""),1,0)</f>
        <v>0</v>
      </c>
      <c r="Y656">
        <f>IF(vp.tbl[[#This Row],[CrudeType]]="C5+",1,0)</f>
        <v>0</v>
      </c>
      <c r="Z656">
        <f>IF(AND(vp.tbl[[#This Row],[CrudeType]]="Crude",vp.tbl[[#This Row],[Dens]]&lt;=825,vp.tbl[[#This Row],[Sulf]]&gt;0.5,vp.tbl[[#This Row],[Unknown]]=0),1,0)</f>
        <v>0</v>
      </c>
      <c r="AA656">
        <f>IF(AND(vp.tbl[[#This Row],[CrudeType]]="Crude",vp.tbl[[#This Row],[Dens]]&lt;=825,vp.tbl[[#This Row],[Sulf]]&lt;=0.5,vp.tbl[[#This Row],[Unknown]]=0),1,0)</f>
        <v>1</v>
      </c>
      <c r="AB656">
        <f>IF(AND(vp.tbl[[#This Row],[CrudeType]]="Crude",vp.tbl[[#This Row],[Dens]]&gt;825,vp.tbl[[#This Row],[Dens]]&lt;=870,vp.tbl[[#This Row],[Sulf]]&gt;0.5,vp.tbl[[#This Row],[Unknown]]=0),1,0)</f>
        <v>0</v>
      </c>
      <c r="AC656">
        <f>IF(AND(vp.tbl[[#This Row],[CrudeType]]="Crude",vp.tbl[[#This Row],[Dens]]&gt;825,vp.tbl[[#This Row],[Dens]]&lt;=900,vp.tbl[[#This Row],[Sulf]]&lt;=0.5,vp.tbl[[#This Row],[Unknown]]=0),1,0)</f>
        <v>0</v>
      </c>
      <c r="AD656">
        <f>IF(AND(vp.tbl[[#This Row],[CrudeType]]="Crude",vp.tbl[[#This Row],[Dens]]&gt;870,vp.tbl[[#This Row],[Dens]]&lt;=900,vp.tbl[[#This Row],[Sulf]]&gt;0.5,vp.tbl[[#This Row],[Unknown]]=0),1,0)</f>
        <v>0</v>
      </c>
      <c r="AE656">
        <f>IF(AND(vp.tbl[[#This Row],[CrudeType]]="Crude",vp.tbl[[#This Row],[Dens]]&gt;900,vp.tbl[[#This Row],[Sulf]]&lt;=0.5,vp.tbl[[#This Row],[Unknown]]=0),1,0)</f>
        <v>0</v>
      </c>
      <c r="AF656">
        <f>IF(AND(vp.tbl[[#This Row],[CrudeType]]="Crude",vp.tbl[[#This Row],[Dens]]&gt;900,vp.tbl[[#This Row],[Sulf]]&lt;=0.5,vp.tbl[[#This Row],[Unknown]]=0),1,0)</f>
        <v>0</v>
      </c>
      <c r="AG656" t="str">
        <f>INDEX(vp.tbl[[#Headers],[Unknown]:[Heavy_SW]],MATCH(1,vp.tbl[[#This Row],[Unknown]:[Heavy_SW]],0))</f>
        <v>Light_SW</v>
      </c>
      <c r="AH656" t="e">
        <f>INDEX([1]!crudeBD.lkup[Number],MATCH(vp.tbl[[#This Row],[Crude_Breakdown]],[1]!crudeBD.lkup[Crude Breakdown],0))</f>
        <v>#REF!</v>
      </c>
      <c r="AI656">
        <f>MONTH(vp.tbl[[#This Row],[SDate]])</f>
        <v>1</v>
      </c>
      <c r="AJ656" s="5">
        <f>IFERROR(vp.tbl[[#This Row],[Sulf]]*vp.tbl[[#This Row],[Net Dens]],"")</f>
        <v>1217779.7418540001</v>
      </c>
      <c r="AK656" s="5">
        <f>IFERROR(vp.tbl[[#This Row],[Dens]]*vp.tbl[[#This Row],[VolumeM3]],"")</f>
        <v>7163410.2461999999</v>
      </c>
      <c r="AL656" s="5">
        <f>IFERROR(vp.tbl[[#This Row],[VP]]*vp.tbl[[#This Row],[VolumeM3]],"")</f>
        <v>819892.36560000002</v>
      </c>
      <c r="AM656" s="4">
        <f>IFERROR((vp.tbl[[#This Row],[VP]]-INDEX(crudeBD.lkup.complete[Mean_VP],MATCH(vp.tbl[[#This Row],[Crude_Breakdown]],crudeBD.lkup.complete[Crude Breakdown],0)))^2,"")</f>
        <v>2.2594174993008635E-2</v>
      </c>
      <c r="AN656" s="4">
        <f>IFERROR((vp.tbl[[#This Row],[Dens]]-INDEX(crudeBD.lkup.complete[Mean_Dens],MATCH(vp.tbl[[#This Row],[Crude_Breakdown]],crudeBD.lkup.complete[Crude Breakdown],0)))^2,"")</f>
        <v>1.0231287256124415</v>
      </c>
      <c r="AO656" s="4">
        <f>IFERROR((vp.tbl[[#This Row],[Sulf]]-INDEX(crudeBD.lkup.complete[Mean_Sulf],MATCH(vp.tbl[[#This Row],[Crude_Breakdown]],crudeBD.lkup.complete[Crude Breakdown],0)))^2,"")</f>
        <v>4.3879776367322437E-3</v>
      </c>
      <c r="AP656">
        <f>IF(AND(vp.tbl[[#This Row],[SDate]]&gt;=DATE(YEAR(vp.tbl[[#This Row],[SDate]]),5,1),vp.tbl[[#This Row],[SDate]]&lt;=DATE(YEAR(vp.tbl[[#This Row],[SDate]]),9,15)),1,0)</f>
        <v>0</v>
      </c>
      <c r="AQ656" s="15">
        <f>IF(vp.tbl[[#This Row],[SDate]]&lt;DATE(2016,12,1),0,1)</f>
        <v>1</v>
      </c>
    </row>
    <row r="657" spans="1:43" x14ac:dyDescent="0.25">
      <c r="A657">
        <v>656</v>
      </c>
      <c r="B657" t="s">
        <v>62</v>
      </c>
      <c r="C657" t="s">
        <v>62</v>
      </c>
      <c r="D657" t="s">
        <v>93</v>
      </c>
      <c r="F657" s="1">
        <v>42759</v>
      </c>
      <c r="G657" s="2">
        <v>112.7</v>
      </c>
      <c r="H657" s="2"/>
      <c r="I657" s="2">
        <v>0.43</v>
      </c>
      <c r="J657" s="2">
        <v>-2.6</v>
      </c>
      <c r="K657" s="2">
        <v>-9</v>
      </c>
      <c r="L657" s="2">
        <v>810.2</v>
      </c>
      <c r="M657" s="2">
        <v>810.2</v>
      </c>
      <c r="N657" s="2">
        <f ca="1">INDEX(INDIRECT(_xlfn.CONCAT("weather.tbl[",N$1,"]")),MATCH(vp.tbl[[#This Row],[SDate]],weather.tbl[Date],0))</f>
        <v>-8.1666666666666661</v>
      </c>
      <c r="O657" s="2">
        <f ca="1">INDEX(INDIRECT(_xlfn.CONCAT("weather.tbl[",O$1,"]")),MATCH(vp.tbl[[#This Row],[SDate]],weather.tbl[Date],0))</f>
        <v>-4.473809523809523</v>
      </c>
      <c r="P657" s="2">
        <f ca="1">INDEX(INDIRECT(_xlfn.CONCAT("weather.tbl[",P$1,"]")),MATCH(vp.tbl[[#This Row],[SDate]],weather.tbl[Date],0))</f>
        <v>-8</v>
      </c>
      <c r="Q657" s="2">
        <f ca="1">INDEX(INDIRECT(_xlfn.CONCAT("weather.tbl[",Q$1,"]")),MATCH(vp.tbl[[#This Row],[SDate]],weather.tbl[Date],0))</f>
        <v>-8.9</v>
      </c>
      <c r="R657" s="2">
        <f ca="1">INDEX(INDIRECT(_xlfn.CONCAT("weather.tbl[",R$1,"]")),MATCH(vp.tbl[[#This Row],[SDate]],weather.tbl[Date],0))</f>
        <v>-8</v>
      </c>
      <c r="S657" s="2">
        <f ca="1">INDEX(INDIRECT(_xlfn.CONCAT("weather.tbl[",S$1,"]")),MATCH(vp.tbl[[#This Row],[SDate]],weather.tbl[Date],0))</f>
        <v>-8.9</v>
      </c>
      <c r="T657" s="2">
        <f ca="1">INDEX(INDIRECT(_xlfn.CONCAT("weather.tbl[",T$1,"]")),MATCH(vp.tbl[[#This Row],[SDate]],weather.tbl[Date],0))</f>
        <v>-6.2</v>
      </c>
      <c r="U657" s="2">
        <f ca="1">INDEX(INDIRECT(_xlfn.CONCAT("weather.tbl[",U$1,"]")),MATCH(vp.tbl[[#This Row],[SDate]],weather.tbl[Date],0))</f>
        <v>-9</v>
      </c>
      <c r="V657" s="2">
        <v>505.60500000000002</v>
      </c>
      <c r="W657" t="s">
        <v>48</v>
      </c>
      <c r="X657">
        <f>IF(OR(vp.tbl[[#This Row],[Sulf]]="",vp.tbl[[#This Row],[Dens]]=""),1,0)</f>
        <v>0</v>
      </c>
      <c r="Y657">
        <f>IF(vp.tbl[[#This Row],[CrudeType]]="C5+",1,0)</f>
        <v>0</v>
      </c>
      <c r="Z657">
        <f>IF(AND(vp.tbl[[#This Row],[CrudeType]]="Crude",vp.tbl[[#This Row],[Dens]]&lt;=825,vp.tbl[[#This Row],[Sulf]]&gt;0.5,vp.tbl[[#This Row],[Unknown]]=0),1,0)</f>
        <v>0</v>
      </c>
      <c r="AA657">
        <f>IF(AND(vp.tbl[[#This Row],[CrudeType]]="Crude",vp.tbl[[#This Row],[Dens]]&lt;=825,vp.tbl[[#This Row],[Sulf]]&lt;=0.5,vp.tbl[[#This Row],[Unknown]]=0),1,0)</f>
        <v>1</v>
      </c>
      <c r="AB657">
        <f>IF(AND(vp.tbl[[#This Row],[CrudeType]]="Crude",vp.tbl[[#This Row],[Dens]]&gt;825,vp.tbl[[#This Row],[Dens]]&lt;=870,vp.tbl[[#This Row],[Sulf]]&gt;0.5,vp.tbl[[#This Row],[Unknown]]=0),1,0)</f>
        <v>0</v>
      </c>
      <c r="AC657">
        <f>IF(AND(vp.tbl[[#This Row],[CrudeType]]="Crude",vp.tbl[[#This Row],[Dens]]&gt;825,vp.tbl[[#This Row],[Dens]]&lt;=900,vp.tbl[[#This Row],[Sulf]]&lt;=0.5,vp.tbl[[#This Row],[Unknown]]=0),1,0)</f>
        <v>0</v>
      </c>
      <c r="AD657">
        <f>IF(AND(vp.tbl[[#This Row],[CrudeType]]="Crude",vp.tbl[[#This Row],[Dens]]&gt;870,vp.tbl[[#This Row],[Dens]]&lt;=900,vp.tbl[[#This Row],[Sulf]]&gt;0.5,vp.tbl[[#This Row],[Unknown]]=0),1,0)</f>
        <v>0</v>
      </c>
      <c r="AE657">
        <f>IF(AND(vp.tbl[[#This Row],[CrudeType]]="Crude",vp.tbl[[#This Row],[Dens]]&gt;900,vp.tbl[[#This Row],[Sulf]]&lt;=0.5,vp.tbl[[#This Row],[Unknown]]=0),1,0)</f>
        <v>0</v>
      </c>
      <c r="AF657">
        <f>IF(AND(vp.tbl[[#This Row],[CrudeType]]="Crude",vp.tbl[[#This Row],[Dens]]&gt;900,vp.tbl[[#This Row],[Sulf]]&lt;=0.5,vp.tbl[[#This Row],[Unknown]]=0),1,0)</f>
        <v>0</v>
      </c>
      <c r="AG657" t="str">
        <f>INDEX(vp.tbl[[#Headers],[Unknown]:[Heavy_SW]],MATCH(1,vp.tbl[[#This Row],[Unknown]:[Heavy_SW]],0))</f>
        <v>Light_SW</v>
      </c>
      <c r="AH657" t="e">
        <f>INDEX([1]!crudeBD.lkup[Number],MATCH(vp.tbl[[#This Row],[Crude_Breakdown]],[1]!crudeBD.lkup[Crude Breakdown],0))</f>
        <v>#REF!</v>
      </c>
      <c r="AI657">
        <f>MONTH(vp.tbl[[#This Row],[SDate]])</f>
        <v>1</v>
      </c>
      <c r="AJ657" s="5">
        <f>IFERROR(vp.tbl[[#This Row],[Sulf]]*vp.tbl[[#This Row],[Net Dens]],"")</f>
        <v>176145.70353</v>
      </c>
      <c r="AK657" s="5">
        <f>IFERROR(vp.tbl[[#This Row],[Dens]]*vp.tbl[[#This Row],[VolumeM3]],"")</f>
        <v>409641.17100000003</v>
      </c>
      <c r="AL657" s="5">
        <f>IFERROR(vp.tbl[[#This Row],[VP]]*vp.tbl[[#This Row],[VolumeM3]],"")</f>
        <v>56981.683500000006</v>
      </c>
      <c r="AM657" s="4">
        <f>IFERROR((vp.tbl[[#This Row],[VP]]-INDEX(crudeBD.lkup.complete[Mean_VP],MATCH(vp.tbl[[#This Row],[Crude_Breakdown]],crudeBD.lkup.complete[Crude Breakdown],0)))^2,"")</f>
        <v>406.00986246767724</v>
      </c>
      <c r="AN657" s="4">
        <f>IFERROR((vp.tbl[[#This Row],[Dens]]-INDEX(crudeBD.lkup.complete[Mean_Dens],MATCH(vp.tbl[[#This Row],[Crude_Breakdown]],crudeBD.lkup.complete[Crude Breakdown],0)))^2,"")</f>
        <v>3.5664388301434045</v>
      </c>
      <c r="AO657" s="4">
        <f>IFERROR((vp.tbl[[#This Row],[Sulf]]-INDEX(crudeBD.lkup.complete[Mean_Sulf],MATCH(vp.tbl[[#This Row],[Crude_Breakdown]],crudeBD.lkup.complete[Crude Breakdown],0)))^2,"")</f>
        <v>3.7542235476453578E-2</v>
      </c>
      <c r="AP657">
        <f>IF(AND(vp.tbl[[#This Row],[SDate]]&gt;=DATE(YEAR(vp.tbl[[#This Row],[SDate]]),5,1),vp.tbl[[#This Row],[SDate]]&lt;=DATE(YEAR(vp.tbl[[#This Row],[SDate]]),9,15)),1,0)</f>
        <v>0</v>
      </c>
      <c r="AQ657" s="15">
        <f>IF(vp.tbl[[#This Row],[SDate]]&lt;DATE(2016,12,1),0,1)</f>
        <v>1</v>
      </c>
    </row>
    <row r="658" spans="1:43" x14ac:dyDescent="0.25">
      <c r="A658">
        <v>657</v>
      </c>
      <c r="B658" t="s">
        <v>62</v>
      </c>
      <c r="C658" t="s">
        <v>62</v>
      </c>
      <c r="D658" t="s">
        <v>63</v>
      </c>
      <c r="F658" s="1">
        <v>42759</v>
      </c>
      <c r="G658" s="2">
        <v>107.4</v>
      </c>
      <c r="H658" s="2"/>
      <c r="I658" s="2">
        <v>1.48</v>
      </c>
      <c r="J658" s="2">
        <v>8.6</v>
      </c>
      <c r="K658" s="2">
        <v>-8</v>
      </c>
      <c r="L658" s="2">
        <v>823.8</v>
      </c>
      <c r="M658" s="2">
        <v>823.8</v>
      </c>
      <c r="N658" s="2">
        <f ca="1">INDEX(INDIRECT(_xlfn.CONCAT("weather.tbl[",N$1,"]")),MATCH(vp.tbl[[#This Row],[SDate]],weather.tbl[Date],0))</f>
        <v>-8.1666666666666661</v>
      </c>
      <c r="O658" s="2">
        <f ca="1">INDEX(INDIRECT(_xlfn.CONCAT("weather.tbl[",O$1,"]")),MATCH(vp.tbl[[#This Row],[SDate]],weather.tbl[Date],0))</f>
        <v>-4.473809523809523</v>
      </c>
      <c r="P658" s="2">
        <f ca="1">INDEX(INDIRECT(_xlfn.CONCAT("weather.tbl[",P$1,"]")),MATCH(vp.tbl[[#This Row],[SDate]],weather.tbl[Date],0))</f>
        <v>-8</v>
      </c>
      <c r="Q658" s="2">
        <f ca="1">INDEX(INDIRECT(_xlfn.CONCAT("weather.tbl[",Q$1,"]")),MATCH(vp.tbl[[#This Row],[SDate]],weather.tbl[Date],0))</f>
        <v>-8.9</v>
      </c>
      <c r="R658" s="2">
        <f ca="1">INDEX(INDIRECT(_xlfn.CONCAT("weather.tbl[",R$1,"]")),MATCH(vp.tbl[[#This Row],[SDate]],weather.tbl[Date],0))</f>
        <v>-8</v>
      </c>
      <c r="S658" s="2">
        <f ca="1">INDEX(INDIRECT(_xlfn.CONCAT("weather.tbl[",S$1,"]")),MATCH(vp.tbl[[#This Row],[SDate]],weather.tbl[Date],0))</f>
        <v>-8.9</v>
      </c>
      <c r="T658" s="2">
        <f ca="1">INDEX(INDIRECT(_xlfn.CONCAT("weather.tbl[",T$1,"]")),MATCH(vp.tbl[[#This Row],[SDate]],weather.tbl[Date],0))</f>
        <v>-6.2</v>
      </c>
      <c r="U658" s="2">
        <f ca="1">INDEX(INDIRECT(_xlfn.CONCAT("weather.tbl[",U$1,"]")),MATCH(vp.tbl[[#This Row],[SDate]],weather.tbl[Date],0))</f>
        <v>-9</v>
      </c>
      <c r="V658" s="2">
        <v>4893.7520000000004</v>
      </c>
      <c r="W658" t="s">
        <v>48</v>
      </c>
      <c r="X658">
        <f>IF(OR(vp.tbl[[#This Row],[Sulf]]="",vp.tbl[[#This Row],[Dens]]=""),1,0)</f>
        <v>0</v>
      </c>
      <c r="Y658">
        <f>IF(vp.tbl[[#This Row],[CrudeType]]="C5+",1,0)</f>
        <v>0</v>
      </c>
      <c r="Z658">
        <f>IF(AND(vp.tbl[[#This Row],[CrudeType]]="Crude",vp.tbl[[#This Row],[Dens]]&lt;=825,vp.tbl[[#This Row],[Sulf]]&gt;0.5,vp.tbl[[#This Row],[Unknown]]=0),1,0)</f>
        <v>1</v>
      </c>
      <c r="AA658">
        <f>IF(AND(vp.tbl[[#This Row],[CrudeType]]="Crude",vp.tbl[[#This Row],[Dens]]&lt;=825,vp.tbl[[#This Row],[Sulf]]&lt;=0.5,vp.tbl[[#This Row],[Unknown]]=0),1,0)</f>
        <v>0</v>
      </c>
      <c r="AB658">
        <f>IF(AND(vp.tbl[[#This Row],[CrudeType]]="Crude",vp.tbl[[#This Row],[Dens]]&gt;825,vp.tbl[[#This Row],[Dens]]&lt;=870,vp.tbl[[#This Row],[Sulf]]&gt;0.5,vp.tbl[[#This Row],[Unknown]]=0),1,0)</f>
        <v>0</v>
      </c>
      <c r="AC658">
        <f>IF(AND(vp.tbl[[#This Row],[CrudeType]]="Crude",vp.tbl[[#This Row],[Dens]]&gt;825,vp.tbl[[#This Row],[Dens]]&lt;=900,vp.tbl[[#This Row],[Sulf]]&lt;=0.5,vp.tbl[[#This Row],[Unknown]]=0),1,0)</f>
        <v>0</v>
      </c>
      <c r="AD658">
        <f>IF(AND(vp.tbl[[#This Row],[CrudeType]]="Crude",vp.tbl[[#This Row],[Dens]]&gt;870,vp.tbl[[#This Row],[Dens]]&lt;=900,vp.tbl[[#This Row],[Sulf]]&gt;0.5,vp.tbl[[#This Row],[Unknown]]=0),1,0)</f>
        <v>0</v>
      </c>
      <c r="AE658">
        <f>IF(AND(vp.tbl[[#This Row],[CrudeType]]="Crude",vp.tbl[[#This Row],[Dens]]&gt;900,vp.tbl[[#This Row],[Sulf]]&lt;=0.5,vp.tbl[[#This Row],[Unknown]]=0),1,0)</f>
        <v>0</v>
      </c>
      <c r="AF658">
        <f>IF(AND(vp.tbl[[#This Row],[CrudeType]]="Crude",vp.tbl[[#This Row],[Dens]]&gt;900,vp.tbl[[#This Row],[Sulf]]&lt;=0.5,vp.tbl[[#This Row],[Unknown]]=0),1,0)</f>
        <v>0</v>
      </c>
      <c r="AG658" t="str">
        <f>INDEX(vp.tbl[[#Headers],[Unknown]:[Heavy_SW]],MATCH(1,vp.tbl[[#This Row],[Unknown]:[Heavy_SW]],0))</f>
        <v>Light_LSB</v>
      </c>
      <c r="AH658" t="e">
        <f>INDEX([1]!crudeBD.lkup[Number],MATCH(vp.tbl[[#This Row],[Crude_Breakdown]],[1]!crudeBD.lkup[Crude Breakdown],0))</f>
        <v>#REF!</v>
      </c>
      <c r="AI658">
        <f>MONTH(vp.tbl[[#This Row],[SDate]])</f>
        <v>1</v>
      </c>
      <c r="AJ658" s="5">
        <f>IFERROR(vp.tbl[[#This Row],[Sulf]]*vp.tbl[[#This Row],[Net Dens]],"")</f>
        <v>5966579.888448</v>
      </c>
      <c r="AK658" s="5">
        <f>IFERROR(vp.tbl[[#This Row],[Dens]]*vp.tbl[[#This Row],[VolumeM3]],"")</f>
        <v>4031472.8976000003</v>
      </c>
      <c r="AL658" s="5">
        <f>IFERROR(vp.tbl[[#This Row],[VP]]*vp.tbl[[#This Row],[VolumeM3]],"")</f>
        <v>525588.96480000007</v>
      </c>
      <c r="AM658" s="4">
        <f>IFERROR((vp.tbl[[#This Row],[VP]]-INDEX(crudeBD.lkup.complete[Mean_VP],MATCH(vp.tbl[[#This Row],[Crude_Breakdown]],crudeBD.lkup.complete[Crude Breakdown],0)))^2,"")</f>
        <v>251.34343207567142</v>
      </c>
      <c r="AN658" s="4">
        <f>IFERROR((vp.tbl[[#This Row],[Dens]]-INDEX(crudeBD.lkup.complete[Mean_Dens],MATCH(vp.tbl[[#This Row],[Crude_Breakdown]],crudeBD.lkup.complete[Crude Breakdown],0)))^2,"")</f>
        <v>27.912521774663034</v>
      </c>
      <c r="AO658" s="4">
        <f>IFERROR((vp.tbl[[#This Row],[Sulf]]-INDEX(crudeBD.lkup.complete[Mean_Sulf],MATCH(vp.tbl[[#This Row],[Crude_Breakdown]],crudeBD.lkup.complete[Crude Breakdown],0)))^2,"")</f>
        <v>0.31028111925050628</v>
      </c>
      <c r="AP658">
        <f>IF(AND(vp.tbl[[#This Row],[SDate]]&gt;=DATE(YEAR(vp.tbl[[#This Row],[SDate]]),5,1),vp.tbl[[#This Row],[SDate]]&lt;=DATE(YEAR(vp.tbl[[#This Row],[SDate]]),9,15)),1,0)</f>
        <v>0</v>
      </c>
      <c r="AQ658" s="15">
        <f>IF(vp.tbl[[#This Row],[SDate]]&lt;DATE(2016,12,1),0,1)</f>
        <v>1</v>
      </c>
    </row>
    <row r="659" spans="1:43" x14ac:dyDescent="0.25">
      <c r="A659">
        <v>658</v>
      </c>
      <c r="B659" t="s">
        <v>53</v>
      </c>
      <c r="C659" t="s">
        <v>53</v>
      </c>
      <c r="D659" t="s">
        <v>54</v>
      </c>
      <c r="E659" t="s">
        <v>55</v>
      </c>
      <c r="F659" s="1">
        <v>42760</v>
      </c>
      <c r="G659" s="2">
        <v>101.3</v>
      </c>
      <c r="H659" s="2"/>
      <c r="I659" s="2">
        <v>1.54</v>
      </c>
      <c r="J659" s="2">
        <v>5.8</v>
      </c>
      <c r="K659" s="2">
        <v>-10</v>
      </c>
      <c r="L659" s="2">
        <v>818</v>
      </c>
      <c r="M659" s="2">
        <v>818</v>
      </c>
      <c r="N659" s="2">
        <f ca="1">INDEX(INDIRECT(_xlfn.CONCAT("weather.tbl[",N$1,"]")),MATCH(vp.tbl[[#This Row],[SDate]],weather.tbl[Date],0))</f>
        <v>-11.050000000000002</v>
      </c>
      <c r="O659" s="2">
        <f ca="1">INDEX(INDIRECT(_xlfn.CONCAT("weather.tbl[",O$1,"]")),MATCH(vp.tbl[[#This Row],[SDate]],weather.tbl[Date],0))</f>
        <v>-6.0166666666666666</v>
      </c>
      <c r="P659" s="2">
        <f ca="1">INDEX(INDIRECT(_xlfn.CONCAT("weather.tbl[",P$1,"]")),MATCH(vp.tbl[[#This Row],[SDate]],weather.tbl[Date],0))</f>
        <v>-12.3</v>
      </c>
      <c r="Q659" s="2">
        <f ca="1">INDEX(INDIRECT(_xlfn.CONCAT("weather.tbl[",Q$1,"]")),MATCH(vp.tbl[[#This Row],[SDate]],weather.tbl[Date],0))</f>
        <v>-12.8</v>
      </c>
      <c r="R659" s="2">
        <f ca="1">INDEX(INDIRECT(_xlfn.CONCAT("weather.tbl[",R$1,"]")),MATCH(vp.tbl[[#This Row],[SDate]],weather.tbl[Date],0))</f>
        <v>-8.8000000000000007</v>
      </c>
      <c r="S659" s="2">
        <f ca="1">INDEX(INDIRECT(_xlfn.CONCAT("weather.tbl[",S$1,"]")),MATCH(vp.tbl[[#This Row],[SDate]],weather.tbl[Date],0))</f>
        <v>-11.2</v>
      </c>
      <c r="T659" s="2">
        <f ca="1">INDEX(INDIRECT(_xlfn.CONCAT("weather.tbl[",T$1,"]")),MATCH(vp.tbl[[#This Row],[SDate]],weather.tbl[Date],0))</f>
        <v>-10.199999999999999</v>
      </c>
      <c r="U659" s="2">
        <f ca="1">INDEX(INDIRECT(_xlfn.CONCAT("weather.tbl[",U$1,"]")),MATCH(vp.tbl[[#This Row],[SDate]],weather.tbl[Date],0))</f>
        <v>-11</v>
      </c>
      <c r="V659" s="2">
        <v>50817.362000000001</v>
      </c>
      <c r="W659" t="s">
        <v>48</v>
      </c>
      <c r="X659">
        <f>IF(OR(vp.tbl[[#This Row],[Sulf]]="",vp.tbl[[#This Row],[Dens]]=""),1,0)</f>
        <v>0</v>
      </c>
      <c r="Y659">
        <f>IF(vp.tbl[[#This Row],[CrudeType]]="C5+",1,0)</f>
        <v>0</v>
      </c>
      <c r="Z659">
        <f>IF(AND(vp.tbl[[#This Row],[CrudeType]]="Crude",vp.tbl[[#This Row],[Dens]]&lt;=825,vp.tbl[[#This Row],[Sulf]]&gt;0.5,vp.tbl[[#This Row],[Unknown]]=0),1,0)</f>
        <v>1</v>
      </c>
      <c r="AA659">
        <f>IF(AND(vp.tbl[[#This Row],[CrudeType]]="Crude",vp.tbl[[#This Row],[Dens]]&lt;=825,vp.tbl[[#This Row],[Sulf]]&lt;=0.5,vp.tbl[[#This Row],[Unknown]]=0),1,0)</f>
        <v>0</v>
      </c>
      <c r="AB659">
        <f>IF(AND(vp.tbl[[#This Row],[CrudeType]]="Crude",vp.tbl[[#This Row],[Dens]]&gt;825,vp.tbl[[#This Row],[Dens]]&lt;=870,vp.tbl[[#This Row],[Sulf]]&gt;0.5,vp.tbl[[#This Row],[Unknown]]=0),1,0)</f>
        <v>0</v>
      </c>
      <c r="AC659">
        <f>IF(AND(vp.tbl[[#This Row],[CrudeType]]="Crude",vp.tbl[[#This Row],[Dens]]&gt;825,vp.tbl[[#This Row],[Dens]]&lt;=900,vp.tbl[[#This Row],[Sulf]]&lt;=0.5,vp.tbl[[#This Row],[Unknown]]=0),1,0)</f>
        <v>0</v>
      </c>
      <c r="AD659">
        <f>IF(AND(vp.tbl[[#This Row],[CrudeType]]="Crude",vp.tbl[[#This Row],[Dens]]&gt;870,vp.tbl[[#This Row],[Dens]]&lt;=900,vp.tbl[[#This Row],[Sulf]]&gt;0.5,vp.tbl[[#This Row],[Unknown]]=0),1,0)</f>
        <v>0</v>
      </c>
      <c r="AE659">
        <f>IF(AND(vp.tbl[[#This Row],[CrudeType]]="Crude",vp.tbl[[#This Row],[Dens]]&gt;900,vp.tbl[[#This Row],[Sulf]]&lt;=0.5,vp.tbl[[#This Row],[Unknown]]=0),1,0)</f>
        <v>0</v>
      </c>
      <c r="AF659">
        <f>IF(AND(vp.tbl[[#This Row],[CrudeType]]="Crude",vp.tbl[[#This Row],[Dens]]&gt;900,vp.tbl[[#This Row],[Sulf]]&lt;=0.5,vp.tbl[[#This Row],[Unknown]]=0),1,0)</f>
        <v>0</v>
      </c>
      <c r="AG659" t="str">
        <f>INDEX(vp.tbl[[#Headers],[Unknown]:[Heavy_SW]],MATCH(1,vp.tbl[[#This Row],[Unknown]:[Heavy_SW]],0))</f>
        <v>Light_LSB</v>
      </c>
      <c r="AH659" t="e">
        <f>INDEX([1]!crudeBD.lkup[Number],MATCH(vp.tbl[[#This Row],[Crude_Breakdown]],[1]!crudeBD.lkup[Crude Breakdown],0))</f>
        <v>#REF!</v>
      </c>
      <c r="AI659">
        <f>MONTH(vp.tbl[[#This Row],[SDate]])</f>
        <v>1</v>
      </c>
      <c r="AJ659" s="5">
        <f>IFERROR(vp.tbl[[#This Row],[Sulf]]*vp.tbl[[#This Row],[Net Dens]],"")</f>
        <v>64015647.258640006</v>
      </c>
      <c r="AK659" s="5">
        <f>IFERROR(vp.tbl[[#This Row],[Dens]]*vp.tbl[[#This Row],[VolumeM3]],"")</f>
        <v>41568602.116000004</v>
      </c>
      <c r="AL659" s="5">
        <f>IFERROR(vp.tbl[[#This Row],[VP]]*vp.tbl[[#This Row],[VolumeM3]],"")</f>
        <v>5147798.7706000004</v>
      </c>
      <c r="AM659" s="4">
        <f>IFERROR((vp.tbl[[#This Row],[VP]]-INDEX(crudeBD.lkup.complete[Mean_VP],MATCH(vp.tbl[[#This Row],[Crude_Breakdown]],crudeBD.lkup.complete[Crude Breakdown],0)))^2,"")</f>
        <v>95.136895993197342</v>
      </c>
      <c r="AN659" s="4">
        <f>IFERROR((vp.tbl[[#This Row],[Dens]]-INDEX(crudeBD.lkup.complete[Mean_Dens],MATCH(vp.tbl[[#This Row],[Crude_Breakdown]],crudeBD.lkup.complete[Crude Breakdown],0)))^2,"")</f>
        <v>0.2670509842818638</v>
      </c>
      <c r="AO659" s="4">
        <f>IFERROR((vp.tbl[[#This Row],[Sulf]]-INDEX(crudeBD.lkup.complete[Mean_Sulf],MATCH(vp.tbl[[#This Row],[Crude_Breakdown]],crudeBD.lkup.complete[Crude Breakdown],0)))^2,"")</f>
        <v>0.38072457904432083</v>
      </c>
      <c r="AP659">
        <f>IF(AND(vp.tbl[[#This Row],[SDate]]&gt;=DATE(YEAR(vp.tbl[[#This Row],[SDate]]),5,1),vp.tbl[[#This Row],[SDate]]&lt;=DATE(YEAR(vp.tbl[[#This Row],[SDate]]),9,15)),1,0)</f>
        <v>0</v>
      </c>
      <c r="AQ659" s="15">
        <f>IF(vp.tbl[[#This Row],[SDate]]&lt;DATE(2016,12,1),0,1)</f>
        <v>1</v>
      </c>
    </row>
    <row r="660" spans="1:43" x14ac:dyDescent="0.25">
      <c r="A660">
        <v>659</v>
      </c>
      <c r="B660" t="s">
        <v>60</v>
      </c>
      <c r="C660" t="s">
        <v>60</v>
      </c>
      <c r="D660" t="s">
        <v>61</v>
      </c>
      <c r="E660" t="s">
        <v>73</v>
      </c>
      <c r="F660" s="1">
        <v>42760</v>
      </c>
      <c r="G660" s="2">
        <v>75.8</v>
      </c>
      <c r="H660" s="2"/>
      <c r="I660" s="2">
        <v>1.23</v>
      </c>
      <c r="J660" s="2">
        <v>3.9</v>
      </c>
      <c r="K660" s="2">
        <v>-12</v>
      </c>
      <c r="L660" s="2">
        <v>847.5</v>
      </c>
      <c r="M660" s="2">
        <v>847.5</v>
      </c>
      <c r="N660" s="2">
        <f ca="1">INDEX(INDIRECT(_xlfn.CONCAT("weather.tbl[",N$1,"]")),MATCH(vp.tbl[[#This Row],[SDate]],weather.tbl[Date],0))</f>
        <v>-11.050000000000002</v>
      </c>
      <c r="O660" s="2">
        <f ca="1">INDEX(INDIRECT(_xlfn.CONCAT("weather.tbl[",O$1,"]")),MATCH(vp.tbl[[#This Row],[SDate]],weather.tbl[Date],0))</f>
        <v>-6.0166666666666666</v>
      </c>
      <c r="P660" s="2">
        <f ca="1">INDEX(INDIRECT(_xlfn.CONCAT("weather.tbl[",P$1,"]")),MATCH(vp.tbl[[#This Row],[SDate]],weather.tbl[Date],0))</f>
        <v>-12.3</v>
      </c>
      <c r="Q660" s="2">
        <f ca="1">INDEX(INDIRECT(_xlfn.CONCAT("weather.tbl[",Q$1,"]")),MATCH(vp.tbl[[#This Row],[SDate]],weather.tbl[Date],0))</f>
        <v>-12.8</v>
      </c>
      <c r="R660" s="2">
        <f ca="1">INDEX(INDIRECT(_xlfn.CONCAT("weather.tbl[",R$1,"]")),MATCH(vp.tbl[[#This Row],[SDate]],weather.tbl[Date],0))</f>
        <v>-8.8000000000000007</v>
      </c>
      <c r="S660" s="2">
        <f ca="1">INDEX(INDIRECT(_xlfn.CONCAT("weather.tbl[",S$1,"]")),MATCH(vp.tbl[[#This Row],[SDate]],weather.tbl[Date],0))</f>
        <v>-11.2</v>
      </c>
      <c r="T660" s="2">
        <f ca="1">INDEX(INDIRECT(_xlfn.CONCAT("weather.tbl[",T$1,"]")),MATCH(vp.tbl[[#This Row],[SDate]],weather.tbl[Date],0))</f>
        <v>-10.199999999999999</v>
      </c>
      <c r="U660" s="2">
        <f ca="1">INDEX(INDIRECT(_xlfn.CONCAT("weather.tbl[",U$1,"]")),MATCH(vp.tbl[[#This Row],[SDate]],weather.tbl[Date],0))</f>
        <v>-11</v>
      </c>
      <c r="V660" s="2">
        <v>105136.144</v>
      </c>
      <c r="W660" t="s">
        <v>48</v>
      </c>
      <c r="X660">
        <f>IF(OR(vp.tbl[[#This Row],[Sulf]]="",vp.tbl[[#This Row],[Dens]]=""),1,0)</f>
        <v>0</v>
      </c>
      <c r="Y660">
        <f>IF(vp.tbl[[#This Row],[CrudeType]]="C5+",1,0)</f>
        <v>0</v>
      </c>
      <c r="Z660">
        <f>IF(AND(vp.tbl[[#This Row],[CrudeType]]="Crude",vp.tbl[[#This Row],[Dens]]&lt;=825,vp.tbl[[#This Row],[Sulf]]&gt;0.5,vp.tbl[[#This Row],[Unknown]]=0),1,0)</f>
        <v>0</v>
      </c>
      <c r="AA660">
        <f>IF(AND(vp.tbl[[#This Row],[CrudeType]]="Crude",vp.tbl[[#This Row],[Dens]]&lt;=825,vp.tbl[[#This Row],[Sulf]]&lt;=0.5,vp.tbl[[#This Row],[Unknown]]=0),1,0)</f>
        <v>0</v>
      </c>
      <c r="AB660">
        <f>IF(AND(vp.tbl[[#This Row],[CrudeType]]="Crude",vp.tbl[[#This Row],[Dens]]&gt;825,vp.tbl[[#This Row],[Dens]]&lt;=870,vp.tbl[[#This Row],[Sulf]]&gt;0.5,vp.tbl[[#This Row],[Unknown]]=0),1,0)</f>
        <v>1</v>
      </c>
      <c r="AC660">
        <f>IF(AND(vp.tbl[[#This Row],[CrudeType]]="Crude",vp.tbl[[#This Row],[Dens]]&gt;825,vp.tbl[[#This Row],[Dens]]&lt;=900,vp.tbl[[#This Row],[Sulf]]&lt;=0.5,vp.tbl[[#This Row],[Unknown]]=0),1,0)</f>
        <v>0</v>
      </c>
      <c r="AD660">
        <f>IF(AND(vp.tbl[[#This Row],[CrudeType]]="Crude",vp.tbl[[#This Row],[Dens]]&gt;870,vp.tbl[[#This Row],[Dens]]&lt;=900,vp.tbl[[#This Row],[Sulf]]&gt;0.5,vp.tbl[[#This Row],[Unknown]]=0),1,0)</f>
        <v>0</v>
      </c>
      <c r="AE660">
        <f>IF(AND(vp.tbl[[#This Row],[CrudeType]]="Crude",vp.tbl[[#This Row],[Dens]]&gt;900,vp.tbl[[#This Row],[Sulf]]&lt;=0.5,vp.tbl[[#This Row],[Unknown]]=0),1,0)</f>
        <v>0</v>
      </c>
      <c r="AF660">
        <f>IF(AND(vp.tbl[[#This Row],[CrudeType]]="Crude",vp.tbl[[#This Row],[Dens]]&gt;900,vp.tbl[[#This Row],[Sulf]]&lt;=0.5,vp.tbl[[#This Row],[Unknown]]=0),1,0)</f>
        <v>0</v>
      </c>
      <c r="AG660" t="str">
        <f>INDEX(vp.tbl[[#Headers],[Unknown]:[Heavy_SW]],MATCH(1,vp.tbl[[#This Row],[Unknown]:[Heavy_SW]],0))</f>
        <v>Medium_LSB</v>
      </c>
      <c r="AH660" t="e">
        <f>INDEX([1]!crudeBD.lkup[Number],MATCH(vp.tbl[[#This Row],[Crude_Breakdown]],[1]!crudeBD.lkup[Crude Breakdown],0))</f>
        <v>#REF!</v>
      </c>
      <c r="AI660">
        <f>MONTH(vp.tbl[[#This Row],[SDate]])</f>
        <v>1</v>
      </c>
      <c r="AJ660" s="5">
        <f>IFERROR(vp.tbl[[#This Row],[Sulf]]*vp.tbl[[#This Row],[Net Dens]],"")</f>
        <v>109596544.90920001</v>
      </c>
      <c r="AK660" s="5">
        <f>IFERROR(vp.tbl[[#This Row],[Dens]]*vp.tbl[[#This Row],[VolumeM3]],"")</f>
        <v>89102882.040000007</v>
      </c>
      <c r="AL660" s="5">
        <f>IFERROR(vp.tbl[[#This Row],[VP]]*vp.tbl[[#This Row],[VolumeM3]],"")</f>
        <v>7969319.7151999995</v>
      </c>
      <c r="AM660" s="4">
        <f>IFERROR((vp.tbl[[#This Row],[VP]]-INDEX(crudeBD.lkup.complete[Mean_VP],MATCH(vp.tbl[[#This Row],[Crude_Breakdown]],crudeBD.lkup.complete[Crude Breakdown],0)))^2,"")</f>
        <v>19.128332670405086</v>
      </c>
      <c r="AN660" s="4">
        <f>IFERROR((vp.tbl[[#This Row],[Dens]]-INDEX(crudeBD.lkup.complete[Mean_Dens],MATCH(vp.tbl[[#This Row],[Crude_Breakdown]],crudeBD.lkup.complete[Crude Breakdown],0)))^2,"")</f>
        <v>4.8760466136880529</v>
      </c>
      <c r="AO660" s="4">
        <f>IFERROR((vp.tbl[[#This Row],[Sulf]]-INDEX(crudeBD.lkup.complete[Mean_Sulf],MATCH(vp.tbl[[#This Row],[Crude_Breakdown]],crudeBD.lkup.complete[Crude Breakdown],0)))^2,"")</f>
        <v>5.0593442261285884E-2</v>
      </c>
      <c r="AP660">
        <f>IF(AND(vp.tbl[[#This Row],[SDate]]&gt;=DATE(YEAR(vp.tbl[[#This Row],[SDate]]),5,1),vp.tbl[[#This Row],[SDate]]&lt;=DATE(YEAR(vp.tbl[[#This Row],[SDate]]),9,15)),1,0)</f>
        <v>0</v>
      </c>
      <c r="AQ660" s="15">
        <f>IF(vp.tbl[[#This Row],[SDate]]&lt;DATE(2016,12,1),0,1)</f>
        <v>1</v>
      </c>
    </row>
    <row r="661" spans="1:43" x14ac:dyDescent="0.25">
      <c r="A661">
        <v>660</v>
      </c>
      <c r="B661" t="s">
        <v>56</v>
      </c>
      <c r="C661" t="s">
        <v>56</v>
      </c>
      <c r="D661" t="s">
        <v>57</v>
      </c>
      <c r="F661" s="1">
        <v>42760</v>
      </c>
      <c r="G661" s="2">
        <v>92</v>
      </c>
      <c r="H661" s="2"/>
      <c r="I661" s="2">
        <v>1.68</v>
      </c>
      <c r="J661" s="2">
        <v>9.5</v>
      </c>
      <c r="K661" s="2">
        <v>-10</v>
      </c>
      <c r="L661" s="2">
        <v>844.1</v>
      </c>
      <c r="M661" s="2">
        <v>844.1</v>
      </c>
      <c r="N661" s="2">
        <f ca="1">INDEX(INDIRECT(_xlfn.CONCAT("weather.tbl[",N$1,"]")),MATCH(vp.tbl[[#This Row],[SDate]],weather.tbl[Date],0))</f>
        <v>-11.050000000000002</v>
      </c>
      <c r="O661" s="2">
        <f ca="1">INDEX(INDIRECT(_xlfn.CONCAT("weather.tbl[",O$1,"]")),MATCH(vp.tbl[[#This Row],[SDate]],weather.tbl[Date],0))</f>
        <v>-6.0166666666666666</v>
      </c>
      <c r="P661" s="2">
        <f ca="1">INDEX(INDIRECT(_xlfn.CONCAT("weather.tbl[",P$1,"]")),MATCH(vp.tbl[[#This Row],[SDate]],weather.tbl[Date],0))</f>
        <v>-12.3</v>
      </c>
      <c r="Q661" s="2">
        <f ca="1">INDEX(INDIRECT(_xlfn.CONCAT("weather.tbl[",Q$1,"]")),MATCH(vp.tbl[[#This Row],[SDate]],weather.tbl[Date],0))</f>
        <v>-12.8</v>
      </c>
      <c r="R661" s="2">
        <f ca="1">INDEX(INDIRECT(_xlfn.CONCAT("weather.tbl[",R$1,"]")),MATCH(vp.tbl[[#This Row],[SDate]],weather.tbl[Date],0))</f>
        <v>-8.8000000000000007</v>
      </c>
      <c r="S661" s="2">
        <f ca="1">INDEX(INDIRECT(_xlfn.CONCAT("weather.tbl[",S$1,"]")),MATCH(vp.tbl[[#This Row],[SDate]],weather.tbl[Date],0))</f>
        <v>-11.2</v>
      </c>
      <c r="T661" s="2">
        <f ca="1">INDEX(INDIRECT(_xlfn.CONCAT("weather.tbl[",T$1,"]")),MATCH(vp.tbl[[#This Row],[SDate]],weather.tbl[Date],0))</f>
        <v>-10.199999999999999</v>
      </c>
      <c r="U661" s="2">
        <f ca="1">INDEX(INDIRECT(_xlfn.CONCAT("weather.tbl[",U$1,"]")),MATCH(vp.tbl[[#This Row],[SDate]],weather.tbl[Date],0))</f>
        <v>-11</v>
      </c>
      <c r="V661" s="2">
        <v>3079.645</v>
      </c>
      <c r="W661" t="s">
        <v>48</v>
      </c>
      <c r="X661">
        <f>IF(OR(vp.tbl[[#This Row],[Sulf]]="",vp.tbl[[#This Row],[Dens]]=""),1,0)</f>
        <v>0</v>
      </c>
      <c r="Y661">
        <f>IF(vp.tbl[[#This Row],[CrudeType]]="C5+",1,0)</f>
        <v>0</v>
      </c>
      <c r="Z661">
        <f>IF(AND(vp.tbl[[#This Row],[CrudeType]]="Crude",vp.tbl[[#This Row],[Dens]]&lt;=825,vp.tbl[[#This Row],[Sulf]]&gt;0.5,vp.tbl[[#This Row],[Unknown]]=0),1,0)</f>
        <v>0</v>
      </c>
      <c r="AA661">
        <f>IF(AND(vp.tbl[[#This Row],[CrudeType]]="Crude",vp.tbl[[#This Row],[Dens]]&lt;=825,vp.tbl[[#This Row],[Sulf]]&lt;=0.5,vp.tbl[[#This Row],[Unknown]]=0),1,0)</f>
        <v>0</v>
      </c>
      <c r="AB661">
        <f>IF(AND(vp.tbl[[#This Row],[CrudeType]]="Crude",vp.tbl[[#This Row],[Dens]]&gt;825,vp.tbl[[#This Row],[Dens]]&lt;=870,vp.tbl[[#This Row],[Sulf]]&gt;0.5,vp.tbl[[#This Row],[Unknown]]=0),1,0)</f>
        <v>1</v>
      </c>
      <c r="AC661">
        <f>IF(AND(vp.tbl[[#This Row],[CrudeType]]="Crude",vp.tbl[[#This Row],[Dens]]&gt;825,vp.tbl[[#This Row],[Dens]]&lt;=900,vp.tbl[[#This Row],[Sulf]]&lt;=0.5,vp.tbl[[#This Row],[Unknown]]=0),1,0)</f>
        <v>0</v>
      </c>
      <c r="AD661">
        <f>IF(AND(vp.tbl[[#This Row],[CrudeType]]="Crude",vp.tbl[[#This Row],[Dens]]&gt;870,vp.tbl[[#This Row],[Dens]]&lt;=900,vp.tbl[[#This Row],[Sulf]]&gt;0.5,vp.tbl[[#This Row],[Unknown]]=0),1,0)</f>
        <v>0</v>
      </c>
      <c r="AE661">
        <f>IF(AND(vp.tbl[[#This Row],[CrudeType]]="Crude",vp.tbl[[#This Row],[Dens]]&gt;900,vp.tbl[[#This Row],[Sulf]]&lt;=0.5,vp.tbl[[#This Row],[Unknown]]=0),1,0)</f>
        <v>0</v>
      </c>
      <c r="AF661">
        <f>IF(AND(vp.tbl[[#This Row],[CrudeType]]="Crude",vp.tbl[[#This Row],[Dens]]&gt;900,vp.tbl[[#This Row],[Sulf]]&lt;=0.5,vp.tbl[[#This Row],[Unknown]]=0),1,0)</f>
        <v>0</v>
      </c>
      <c r="AG661" t="str">
        <f>INDEX(vp.tbl[[#Headers],[Unknown]:[Heavy_SW]],MATCH(1,vp.tbl[[#This Row],[Unknown]:[Heavy_SW]],0))</f>
        <v>Medium_LSB</v>
      </c>
      <c r="AH661" t="e">
        <f>INDEX([1]!crudeBD.lkup[Number],MATCH(vp.tbl[[#This Row],[Crude_Breakdown]],[1]!crudeBD.lkup[Crude Breakdown],0))</f>
        <v>#REF!</v>
      </c>
      <c r="AI661">
        <f>MONTH(vp.tbl[[#This Row],[SDate]])</f>
        <v>1</v>
      </c>
      <c r="AJ661" s="5">
        <f>IFERROR(vp.tbl[[#This Row],[Sulf]]*vp.tbl[[#This Row],[Net Dens]],"")</f>
        <v>4367207.61876</v>
      </c>
      <c r="AK661" s="5">
        <f>IFERROR(vp.tbl[[#This Row],[Dens]]*vp.tbl[[#This Row],[VolumeM3]],"")</f>
        <v>2599528.3445000001</v>
      </c>
      <c r="AL661" s="5">
        <f>IFERROR(vp.tbl[[#This Row],[VP]]*vp.tbl[[#This Row],[VolumeM3]],"")</f>
        <v>283327.34000000003</v>
      </c>
      <c r="AM661" s="4">
        <f>IFERROR((vp.tbl[[#This Row],[VP]]-INDEX(crudeBD.lkup.complete[Mean_VP],MATCH(vp.tbl[[#This Row],[Crude_Breakdown]],crudeBD.lkup.complete[Crude Breakdown],0)))^2,"")</f>
        <v>139.86385672103916</v>
      </c>
      <c r="AN661" s="4">
        <f>IFERROR((vp.tbl[[#This Row],[Dens]]-INDEX(crudeBD.lkup.complete[Mean_Dens],MATCH(vp.tbl[[#This Row],[Crude_Breakdown]],crudeBD.lkup.complete[Crude Breakdown],0)))^2,"")</f>
        <v>1.420441550390164</v>
      </c>
      <c r="AO661" s="4">
        <f>IFERROR((vp.tbl[[#This Row],[Sulf]]-INDEX(crudeBD.lkup.complete[Mean_Sulf],MATCH(vp.tbl[[#This Row],[Crude_Breakdown]],crudeBD.lkup.complete[Crude Breakdown],0)))^2,"")</f>
        <v>5.0656567577740209E-2</v>
      </c>
      <c r="AP661">
        <f>IF(AND(vp.tbl[[#This Row],[SDate]]&gt;=DATE(YEAR(vp.tbl[[#This Row],[SDate]]),5,1),vp.tbl[[#This Row],[SDate]]&lt;=DATE(YEAR(vp.tbl[[#This Row],[SDate]]),9,15)),1,0)</f>
        <v>0</v>
      </c>
      <c r="AQ661" s="15">
        <f>IF(vp.tbl[[#This Row],[SDate]]&lt;DATE(2016,12,1),0,1)</f>
        <v>1</v>
      </c>
    </row>
    <row r="662" spans="1:43" x14ac:dyDescent="0.25">
      <c r="A662">
        <v>661</v>
      </c>
      <c r="B662" t="s">
        <v>60</v>
      </c>
      <c r="C662" t="s">
        <v>60</v>
      </c>
      <c r="D662" t="s">
        <v>61</v>
      </c>
      <c r="E662" t="s">
        <v>55</v>
      </c>
      <c r="F662" s="1">
        <v>42760</v>
      </c>
      <c r="G662" s="2">
        <v>102.8</v>
      </c>
      <c r="H662" s="2"/>
      <c r="I662" s="2">
        <v>1.23</v>
      </c>
      <c r="J662" s="2">
        <v>5.7</v>
      </c>
      <c r="K662" s="2">
        <v>-12</v>
      </c>
      <c r="L662" s="2">
        <v>837.8</v>
      </c>
      <c r="M662" s="2">
        <v>837.8</v>
      </c>
      <c r="N662" s="2">
        <f ca="1">INDEX(INDIRECT(_xlfn.CONCAT("weather.tbl[",N$1,"]")),MATCH(vp.tbl[[#This Row],[SDate]],weather.tbl[Date],0))</f>
        <v>-11.050000000000002</v>
      </c>
      <c r="O662" s="2">
        <f ca="1">INDEX(INDIRECT(_xlfn.CONCAT("weather.tbl[",O$1,"]")),MATCH(vp.tbl[[#This Row],[SDate]],weather.tbl[Date],0))</f>
        <v>-6.0166666666666666</v>
      </c>
      <c r="P662" s="2">
        <f ca="1">INDEX(INDIRECT(_xlfn.CONCAT("weather.tbl[",P$1,"]")),MATCH(vp.tbl[[#This Row],[SDate]],weather.tbl[Date],0))</f>
        <v>-12.3</v>
      </c>
      <c r="Q662" s="2">
        <f ca="1">INDEX(INDIRECT(_xlfn.CONCAT("weather.tbl[",Q$1,"]")),MATCH(vp.tbl[[#This Row],[SDate]],weather.tbl[Date],0))</f>
        <v>-12.8</v>
      </c>
      <c r="R662" s="2">
        <f ca="1">INDEX(INDIRECT(_xlfn.CONCAT("weather.tbl[",R$1,"]")),MATCH(vp.tbl[[#This Row],[SDate]],weather.tbl[Date],0))</f>
        <v>-8.8000000000000007</v>
      </c>
      <c r="S662" s="2">
        <f ca="1">INDEX(INDIRECT(_xlfn.CONCAT("weather.tbl[",S$1,"]")),MATCH(vp.tbl[[#This Row],[SDate]],weather.tbl[Date],0))</f>
        <v>-11.2</v>
      </c>
      <c r="T662" s="2">
        <f ca="1">INDEX(INDIRECT(_xlfn.CONCAT("weather.tbl[",T$1,"]")),MATCH(vp.tbl[[#This Row],[SDate]],weather.tbl[Date],0))</f>
        <v>-10.199999999999999</v>
      </c>
      <c r="U662" s="2">
        <f ca="1">INDEX(INDIRECT(_xlfn.CONCAT("weather.tbl[",U$1,"]")),MATCH(vp.tbl[[#This Row],[SDate]],weather.tbl[Date],0))</f>
        <v>-11</v>
      </c>
      <c r="V662" s="2">
        <v>105136.144</v>
      </c>
      <c r="W662" t="s">
        <v>48</v>
      </c>
      <c r="X662">
        <f>IF(OR(vp.tbl[[#This Row],[Sulf]]="",vp.tbl[[#This Row],[Dens]]=""),1,0)</f>
        <v>0</v>
      </c>
      <c r="Y662">
        <f>IF(vp.tbl[[#This Row],[CrudeType]]="C5+",1,0)</f>
        <v>0</v>
      </c>
      <c r="Z662">
        <f>IF(AND(vp.tbl[[#This Row],[CrudeType]]="Crude",vp.tbl[[#This Row],[Dens]]&lt;=825,vp.tbl[[#This Row],[Sulf]]&gt;0.5,vp.tbl[[#This Row],[Unknown]]=0),1,0)</f>
        <v>0</v>
      </c>
      <c r="AA662">
        <f>IF(AND(vp.tbl[[#This Row],[CrudeType]]="Crude",vp.tbl[[#This Row],[Dens]]&lt;=825,vp.tbl[[#This Row],[Sulf]]&lt;=0.5,vp.tbl[[#This Row],[Unknown]]=0),1,0)</f>
        <v>0</v>
      </c>
      <c r="AB662">
        <f>IF(AND(vp.tbl[[#This Row],[CrudeType]]="Crude",vp.tbl[[#This Row],[Dens]]&gt;825,vp.tbl[[#This Row],[Dens]]&lt;=870,vp.tbl[[#This Row],[Sulf]]&gt;0.5,vp.tbl[[#This Row],[Unknown]]=0),1,0)</f>
        <v>1</v>
      </c>
      <c r="AC662">
        <f>IF(AND(vp.tbl[[#This Row],[CrudeType]]="Crude",vp.tbl[[#This Row],[Dens]]&gt;825,vp.tbl[[#This Row],[Dens]]&lt;=900,vp.tbl[[#This Row],[Sulf]]&lt;=0.5,vp.tbl[[#This Row],[Unknown]]=0),1,0)</f>
        <v>0</v>
      </c>
      <c r="AD662">
        <f>IF(AND(vp.tbl[[#This Row],[CrudeType]]="Crude",vp.tbl[[#This Row],[Dens]]&gt;870,vp.tbl[[#This Row],[Dens]]&lt;=900,vp.tbl[[#This Row],[Sulf]]&gt;0.5,vp.tbl[[#This Row],[Unknown]]=0),1,0)</f>
        <v>0</v>
      </c>
      <c r="AE662">
        <f>IF(AND(vp.tbl[[#This Row],[CrudeType]]="Crude",vp.tbl[[#This Row],[Dens]]&gt;900,vp.tbl[[#This Row],[Sulf]]&lt;=0.5,vp.tbl[[#This Row],[Unknown]]=0),1,0)</f>
        <v>0</v>
      </c>
      <c r="AF662">
        <f>IF(AND(vp.tbl[[#This Row],[CrudeType]]="Crude",vp.tbl[[#This Row],[Dens]]&gt;900,vp.tbl[[#This Row],[Sulf]]&lt;=0.5,vp.tbl[[#This Row],[Unknown]]=0),1,0)</f>
        <v>0</v>
      </c>
      <c r="AG662" t="str">
        <f>INDEX(vp.tbl[[#Headers],[Unknown]:[Heavy_SW]],MATCH(1,vp.tbl[[#This Row],[Unknown]:[Heavy_SW]],0))</f>
        <v>Medium_LSB</v>
      </c>
      <c r="AH662" t="e">
        <f>INDEX([1]!crudeBD.lkup[Number],MATCH(vp.tbl[[#This Row],[Crude_Breakdown]],[1]!crudeBD.lkup[Crude Breakdown],0))</f>
        <v>#REF!</v>
      </c>
      <c r="AI662">
        <f>MONTH(vp.tbl[[#This Row],[SDate]])</f>
        <v>1</v>
      </c>
      <c r="AJ662" s="5">
        <f>IFERROR(vp.tbl[[#This Row],[Sulf]]*vp.tbl[[#This Row],[Net Dens]],"")</f>
        <v>108342165.57513599</v>
      </c>
      <c r="AK662" s="5">
        <f>IFERROR(vp.tbl[[#This Row],[Dens]]*vp.tbl[[#This Row],[VolumeM3]],"")</f>
        <v>88083061.443199992</v>
      </c>
      <c r="AL662" s="5">
        <f>IFERROR(vp.tbl[[#This Row],[VP]]*vp.tbl[[#This Row],[VolumeM3]],"")</f>
        <v>10807995.6032</v>
      </c>
      <c r="AM662" s="4">
        <f>IFERROR((vp.tbl[[#This Row],[VP]]-INDEX(crudeBD.lkup.complete[Mean_VP],MATCH(vp.tbl[[#This Row],[Crude_Breakdown]],crudeBD.lkup.complete[Crude Breakdown],0)))^2,"")</f>
        <v>511.95420608812844</v>
      </c>
      <c r="AN662" s="4">
        <f>IFERROR((vp.tbl[[#This Row],[Dens]]-INDEX(crudeBD.lkup.complete[Mean_Dens],MATCH(vp.tbl[[#This Row],[Crude_Breakdown]],crudeBD.lkup.complete[Crude Breakdown],0)))^2,"")</f>
        <v>56.12740863898609</v>
      </c>
      <c r="AO662" s="4">
        <f>IFERROR((vp.tbl[[#This Row],[Sulf]]-INDEX(crudeBD.lkup.complete[Mean_Sulf],MATCH(vp.tbl[[#This Row],[Crude_Breakdown]],crudeBD.lkup.complete[Crude Breakdown],0)))^2,"")</f>
        <v>5.0593442261285884E-2</v>
      </c>
      <c r="AP662">
        <f>IF(AND(vp.tbl[[#This Row],[SDate]]&gt;=DATE(YEAR(vp.tbl[[#This Row],[SDate]]),5,1),vp.tbl[[#This Row],[SDate]]&lt;=DATE(YEAR(vp.tbl[[#This Row],[SDate]]),9,15)),1,0)</f>
        <v>0</v>
      </c>
      <c r="AQ662" s="15">
        <f>IF(vp.tbl[[#This Row],[SDate]]&lt;DATE(2016,12,1),0,1)</f>
        <v>1</v>
      </c>
    </row>
    <row r="663" spans="1:43" x14ac:dyDescent="0.25">
      <c r="A663">
        <v>662</v>
      </c>
      <c r="B663" t="s">
        <v>60</v>
      </c>
      <c r="C663" t="s">
        <v>60</v>
      </c>
      <c r="D663" t="s">
        <v>61</v>
      </c>
      <c r="E663" t="s">
        <v>73</v>
      </c>
      <c r="F663" s="1">
        <v>42761</v>
      </c>
      <c r="G663" s="2">
        <v>80.599999999999994</v>
      </c>
      <c r="H663" s="2">
        <v>0.94899999999999995</v>
      </c>
      <c r="I663" s="2">
        <v>0.94899999999999995</v>
      </c>
      <c r="J663" s="2">
        <v>4.5</v>
      </c>
      <c r="K663" s="2">
        <v>-10</v>
      </c>
      <c r="L663" s="2">
        <v>848.7</v>
      </c>
      <c r="M663" s="2">
        <v>848.7</v>
      </c>
      <c r="N663" s="2">
        <f ca="1">INDEX(INDIRECT(_xlfn.CONCAT("weather.tbl[",N$1,"]")),MATCH(vp.tbl[[#This Row],[SDate]],weather.tbl[Date],0))</f>
        <v>-11.866666666666667</v>
      </c>
      <c r="O663" s="2">
        <f ca="1">INDEX(INDIRECT(_xlfn.CONCAT("weather.tbl[",O$1,"]")),MATCH(vp.tbl[[#This Row],[SDate]],weather.tbl[Date],0))</f>
        <v>-7.5095238095238104</v>
      </c>
      <c r="P663" s="2">
        <f ca="1">INDEX(INDIRECT(_xlfn.CONCAT("weather.tbl[",P$1,"]")),MATCH(vp.tbl[[#This Row],[SDate]],weather.tbl[Date],0))</f>
        <v>-12.9</v>
      </c>
      <c r="Q663" s="2">
        <f ca="1">INDEX(INDIRECT(_xlfn.CONCAT("weather.tbl[",Q$1,"]")),MATCH(vp.tbl[[#This Row],[SDate]],weather.tbl[Date],0))</f>
        <v>-12.1</v>
      </c>
      <c r="R663" s="2">
        <f ca="1">INDEX(INDIRECT(_xlfn.CONCAT("weather.tbl[",R$1,"]")),MATCH(vp.tbl[[#This Row],[SDate]],weather.tbl[Date],0))</f>
        <v>-13.5</v>
      </c>
      <c r="S663" s="2">
        <f ca="1">INDEX(INDIRECT(_xlfn.CONCAT("weather.tbl[",S$1,"]")),MATCH(vp.tbl[[#This Row],[SDate]],weather.tbl[Date],0))</f>
        <v>-11.3</v>
      </c>
      <c r="T663" s="2">
        <f ca="1">INDEX(INDIRECT(_xlfn.CONCAT("weather.tbl[",T$1,"]")),MATCH(vp.tbl[[#This Row],[SDate]],weather.tbl[Date],0))</f>
        <v>-10.6</v>
      </c>
      <c r="U663" s="2">
        <f ca="1">INDEX(INDIRECT(_xlfn.CONCAT("weather.tbl[",U$1,"]")),MATCH(vp.tbl[[#This Row],[SDate]],weather.tbl[Date],0))</f>
        <v>-10.8</v>
      </c>
      <c r="V663" s="2">
        <v>105136.144</v>
      </c>
      <c r="W663" t="s">
        <v>48</v>
      </c>
      <c r="X663">
        <f>IF(OR(vp.tbl[[#This Row],[Sulf]]="",vp.tbl[[#This Row],[Dens]]=""),1,0)</f>
        <v>0</v>
      </c>
      <c r="Y663">
        <f>IF(vp.tbl[[#This Row],[CrudeType]]="C5+",1,0)</f>
        <v>0</v>
      </c>
      <c r="Z663">
        <f>IF(AND(vp.tbl[[#This Row],[CrudeType]]="Crude",vp.tbl[[#This Row],[Dens]]&lt;=825,vp.tbl[[#This Row],[Sulf]]&gt;0.5,vp.tbl[[#This Row],[Unknown]]=0),1,0)</f>
        <v>0</v>
      </c>
      <c r="AA663">
        <f>IF(AND(vp.tbl[[#This Row],[CrudeType]]="Crude",vp.tbl[[#This Row],[Dens]]&lt;=825,vp.tbl[[#This Row],[Sulf]]&lt;=0.5,vp.tbl[[#This Row],[Unknown]]=0),1,0)</f>
        <v>0</v>
      </c>
      <c r="AB663">
        <f>IF(AND(vp.tbl[[#This Row],[CrudeType]]="Crude",vp.tbl[[#This Row],[Dens]]&gt;825,vp.tbl[[#This Row],[Dens]]&lt;=870,vp.tbl[[#This Row],[Sulf]]&gt;0.5,vp.tbl[[#This Row],[Unknown]]=0),1,0)</f>
        <v>1</v>
      </c>
      <c r="AC663">
        <f>IF(AND(vp.tbl[[#This Row],[CrudeType]]="Crude",vp.tbl[[#This Row],[Dens]]&gt;825,vp.tbl[[#This Row],[Dens]]&lt;=900,vp.tbl[[#This Row],[Sulf]]&lt;=0.5,vp.tbl[[#This Row],[Unknown]]=0),1,0)</f>
        <v>0</v>
      </c>
      <c r="AD663">
        <f>IF(AND(vp.tbl[[#This Row],[CrudeType]]="Crude",vp.tbl[[#This Row],[Dens]]&gt;870,vp.tbl[[#This Row],[Dens]]&lt;=900,vp.tbl[[#This Row],[Sulf]]&gt;0.5,vp.tbl[[#This Row],[Unknown]]=0),1,0)</f>
        <v>0</v>
      </c>
      <c r="AE663">
        <f>IF(AND(vp.tbl[[#This Row],[CrudeType]]="Crude",vp.tbl[[#This Row],[Dens]]&gt;900,vp.tbl[[#This Row],[Sulf]]&lt;=0.5,vp.tbl[[#This Row],[Unknown]]=0),1,0)</f>
        <v>0</v>
      </c>
      <c r="AF663">
        <f>IF(AND(vp.tbl[[#This Row],[CrudeType]]="Crude",vp.tbl[[#This Row],[Dens]]&gt;900,vp.tbl[[#This Row],[Sulf]]&lt;=0.5,vp.tbl[[#This Row],[Unknown]]=0),1,0)</f>
        <v>0</v>
      </c>
      <c r="AG663" t="str">
        <f>INDEX(vp.tbl[[#Headers],[Unknown]:[Heavy_SW]],MATCH(1,vp.tbl[[#This Row],[Unknown]:[Heavy_SW]],0))</f>
        <v>Medium_LSB</v>
      </c>
      <c r="AH663" t="e">
        <f>INDEX([1]!crudeBD.lkup[Number],MATCH(vp.tbl[[#This Row],[Crude_Breakdown]],[1]!crudeBD.lkup[Crude Breakdown],0))</f>
        <v>#REF!</v>
      </c>
      <c r="AI663">
        <f>MONTH(vp.tbl[[#This Row],[SDate]])</f>
        <v>1</v>
      </c>
      <c r="AJ663" s="5">
        <f>IFERROR(vp.tbl[[#This Row],[Sulf]]*vp.tbl[[#This Row],[Net Dens]],"")</f>
        <v>84678364.09674719</v>
      </c>
      <c r="AK663" s="5">
        <f>IFERROR(vp.tbl[[#This Row],[Dens]]*vp.tbl[[#This Row],[VolumeM3]],"")</f>
        <v>89229045.412799999</v>
      </c>
      <c r="AL663" s="5">
        <f>IFERROR(vp.tbl[[#This Row],[VP]]*vp.tbl[[#This Row],[VolumeM3]],"")</f>
        <v>8473973.2063999996</v>
      </c>
      <c r="AM663" s="4">
        <f>IFERROR((vp.tbl[[#This Row],[VP]]-INDEX(crudeBD.lkup.complete[Mean_VP],MATCH(vp.tbl[[#This Row],[Crude_Breakdown]],crudeBD.lkup.complete[Crude Breakdown],0)))^2,"")</f>
        <v>0.18182127800034709</v>
      </c>
      <c r="AN663" s="4">
        <f>IFERROR((vp.tbl[[#This Row],[Dens]]-INDEX(crudeBD.lkup.complete[Mean_Dens],MATCH(vp.tbl[[#This Row],[Crude_Breakdown]],crudeBD.lkup.complete[Crude Breakdown],0)))^2,"")</f>
        <v>11.615671930146423</v>
      </c>
      <c r="AO663" s="4">
        <f>IFERROR((vp.tbl[[#This Row],[Sulf]]-INDEX(crudeBD.lkup.complete[Mean_Sulf],MATCH(vp.tbl[[#This Row],[Crude_Breakdown]],crudeBD.lkup.complete[Crude Breakdown],0)))^2,"")</f>
        <v>0.25596502400812221</v>
      </c>
      <c r="AP663">
        <f>IF(AND(vp.tbl[[#This Row],[SDate]]&gt;=DATE(YEAR(vp.tbl[[#This Row],[SDate]]),5,1),vp.tbl[[#This Row],[SDate]]&lt;=DATE(YEAR(vp.tbl[[#This Row],[SDate]]),9,15)),1,0)</f>
        <v>0</v>
      </c>
      <c r="AQ663" s="15">
        <f>IF(vp.tbl[[#This Row],[SDate]]&lt;DATE(2016,12,1),0,1)</f>
        <v>1</v>
      </c>
    </row>
    <row r="664" spans="1:43" x14ac:dyDescent="0.25">
      <c r="A664">
        <v>663</v>
      </c>
      <c r="B664" t="s">
        <v>49</v>
      </c>
      <c r="C664" t="s">
        <v>49</v>
      </c>
      <c r="D664" t="s">
        <v>92</v>
      </c>
      <c r="F664" s="1">
        <v>42761</v>
      </c>
      <c r="G664" s="2">
        <v>86.1</v>
      </c>
      <c r="H664" s="2">
        <v>0.47299999999999998</v>
      </c>
      <c r="I664" s="2">
        <v>0.47299999999999998</v>
      </c>
      <c r="J664" s="2">
        <v>16.5</v>
      </c>
      <c r="K664" s="2">
        <v>-10</v>
      </c>
      <c r="L664" s="2">
        <v>819</v>
      </c>
      <c r="M664" s="2">
        <v>819</v>
      </c>
      <c r="N664" s="2">
        <f ca="1">INDEX(INDIRECT(_xlfn.CONCAT("weather.tbl[",N$1,"]")),MATCH(vp.tbl[[#This Row],[SDate]],weather.tbl[Date],0))</f>
        <v>-11.866666666666667</v>
      </c>
      <c r="O664" s="2">
        <f ca="1">INDEX(INDIRECT(_xlfn.CONCAT("weather.tbl[",O$1,"]")),MATCH(vp.tbl[[#This Row],[SDate]],weather.tbl[Date],0))</f>
        <v>-7.5095238095238104</v>
      </c>
      <c r="P664" s="2">
        <f ca="1">INDEX(INDIRECT(_xlfn.CONCAT("weather.tbl[",P$1,"]")),MATCH(vp.tbl[[#This Row],[SDate]],weather.tbl[Date],0))</f>
        <v>-12.9</v>
      </c>
      <c r="Q664" s="2">
        <f ca="1">INDEX(INDIRECT(_xlfn.CONCAT("weather.tbl[",Q$1,"]")),MATCH(vp.tbl[[#This Row],[SDate]],weather.tbl[Date],0))</f>
        <v>-12.1</v>
      </c>
      <c r="R664" s="2">
        <f ca="1">INDEX(INDIRECT(_xlfn.CONCAT("weather.tbl[",R$1,"]")),MATCH(vp.tbl[[#This Row],[SDate]],weather.tbl[Date],0))</f>
        <v>-13.5</v>
      </c>
      <c r="S664" s="2">
        <f ca="1">INDEX(INDIRECT(_xlfn.CONCAT("weather.tbl[",S$1,"]")),MATCH(vp.tbl[[#This Row],[SDate]],weather.tbl[Date],0))</f>
        <v>-11.3</v>
      </c>
      <c r="T664" s="2">
        <f ca="1">INDEX(INDIRECT(_xlfn.CONCAT("weather.tbl[",T$1,"]")),MATCH(vp.tbl[[#This Row],[SDate]],weather.tbl[Date],0))</f>
        <v>-10.6</v>
      </c>
      <c r="U664" s="2">
        <f ca="1">INDEX(INDIRECT(_xlfn.CONCAT("weather.tbl[",U$1,"]")),MATCH(vp.tbl[[#This Row],[SDate]],weather.tbl[Date],0))</f>
        <v>-10.8</v>
      </c>
      <c r="V664" s="2">
        <v>25785.918000000001</v>
      </c>
      <c r="W664" t="s">
        <v>48</v>
      </c>
      <c r="X664">
        <f>IF(OR(vp.tbl[[#This Row],[Sulf]]="",vp.tbl[[#This Row],[Dens]]=""),1,0)</f>
        <v>0</v>
      </c>
      <c r="Y664">
        <f>IF(vp.tbl[[#This Row],[CrudeType]]="C5+",1,0)</f>
        <v>0</v>
      </c>
      <c r="Z664">
        <f>IF(AND(vp.tbl[[#This Row],[CrudeType]]="Crude",vp.tbl[[#This Row],[Dens]]&lt;=825,vp.tbl[[#This Row],[Sulf]]&gt;0.5,vp.tbl[[#This Row],[Unknown]]=0),1,0)</f>
        <v>0</v>
      </c>
      <c r="AA664">
        <f>IF(AND(vp.tbl[[#This Row],[CrudeType]]="Crude",vp.tbl[[#This Row],[Dens]]&lt;=825,vp.tbl[[#This Row],[Sulf]]&lt;=0.5,vp.tbl[[#This Row],[Unknown]]=0),1,0)</f>
        <v>1</v>
      </c>
      <c r="AB664">
        <f>IF(AND(vp.tbl[[#This Row],[CrudeType]]="Crude",vp.tbl[[#This Row],[Dens]]&gt;825,vp.tbl[[#This Row],[Dens]]&lt;=870,vp.tbl[[#This Row],[Sulf]]&gt;0.5,vp.tbl[[#This Row],[Unknown]]=0),1,0)</f>
        <v>0</v>
      </c>
      <c r="AC664">
        <f>IF(AND(vp.tbl[[#This Row],[CrudeType]]="Crude",vp.tbl[[#This Row],[Dens]]&gt;825,vp.tbl[[#This Row],[Dens]]&lt;=900,vp.tbl[[#This Row],[Sulf]]&lt;=0.5,vp.tbl[[#This Row],[Unknown]]=0),1,0)</f>
        <v>0</v>
      </c>
      <c r="AD664">
        <f>IF(AND(vp.tbl[[#This Row],[CrudeType]]="Crude",vp.tbl[[#This Row],[Dens]]&gt;870,vp.tbl[[#This Row],[Dens]]&lt;=900,vp.tbl[[#This Row],[Sulf]]&gt;0.5,vp.tbl[[#This Row],[Unknown]]=0),1,0)</f>
        <v>0</v>
      </c>
      <c r="AE664">
        <f>IF(AND(vp.tbl[[#This Row],[CrudeType]]="Crude",vp.tbl[[#This Row],[Dens]]&gt;900,vp.tbl[[#This Row],[Sulf]]&lt;=0.5,vp.tbl[[#This Row],[Unknown]]=0),1,0)</f>
        <v>0</v>
      </c>
      <c r="AF664">
        <f>IF(AND(vp.tbl[[#This Row],[CrudeType]]="Crude",vp.tbl[[#This Row],[Dens]]&gt;900,vp.tbl[[#This Row],[Sulf]]&lt;=0.5,vp.tbl[[#This Row],[Unknown]]=0),1,0)</f>
        <v>0</v>
      </c>
      <c r="AG664" t="str">
        <f>INDEX(vp.tbl[[#Headers],[Unknown]:[Heavy_SW]],MATCH(1,vp.tbl[[#This Row],[Unknown]:[Heavy_SW]],0))</f>
        <v>Light_SW</v>
      </c>
      <c r="AH664" t="e">
        <f>INDEX([1]!crudeBD.lkup[Number],MATCH(vp.tbl[[#This Row],[Crude_Breakdown]],[1]!crudeBD.lkup[Crude Breakdown],0))</f>
        <v>#REF!</v>
      </c>
      <c r="AI664">
        <f>MONTH(vp.tbl[[#This Row],[SDate]])</f>
        <v>1</v>
      </c>
      <c r="AJ664" s="5">
        <f>IFERROR(vp.tbl[[#This Row],[Sulf]]*vp.tbl[[#This Row],[Net Dens]],"")</f>
        <v>9989129.4162659999</v>
      </c>
      <c r="AK664" s="5">
        <f>IFERROR(vp.tbl[[#This Row],[Dens]]*vp.tbl[[#This Row],[VolumeM3]],"")</f>
        <v>21118666.842</v>
      </c>
      <c r="AL664" s="5">
        <f>IFERROR(vp.tbl[[#This Row],[VP]]*vp.tbl[[#This Row],[VolumeM3]],"")</f>
        <v>2220167.5397999999</v>
      </c>
      <c r="AM664" s="4">
        <f>IFERROR((vp.tbl[[#This Row],[VP]]-INDEX(crudeBD.lkup.complete[Mean_VP],MATCH(vp.tbl[[#This Row],[Crude_Breakdown]],crudeBD.lkup.complete[Crude Breakdown],0)))^2,"")</f>
        <v>41.606545394504906</v>
      </c>
      <c r="AN664" s="4">
        <f>IFERROR((vp.tbl[[#This Row],[Dens]]-INDEX(crudeBD.lkup.complete[Mean_Dens],MATCH(vp.tbl[[#This Row],[Crude_Breakdown]],crudeBD.lkup.complete[Crude Breakdown],0)))^2,"")</f>
        <v>114.24406949216798</v>
      </c>
      <c r="AO664" s="4">
        <f>IFERROR((vp.tbl[[#This Row],[Sulf]]-INDEX(crudeBD.lkup.complete[Mean_Sulf],MATCH(vp.tbl[[#This Row],[Crude_Breakdown]],crudeBD.lkup.complete[Crude Breakdown],0)))^2,"")</f>
        <v>5.6054439657638247E-2</v>
      </c>
      <c r="AP664">
        <f>IF(AND(vp.tbl[[#This Row],[SDate]]&gt;=DATE(YEAR(vp.tbl[[#This Row],[SDate]]),5,1),vp.tbl[[#This Row],[SDate]]&lt;=DATE(YEAR(vp.tbl[[#This Row],[SDate]]),9,15)),1,0)</f>
        <v>0</v>
      </c>
      <c r="AQ664" s="15">
        <f>IF(vp.tbl[[#This Row],[SDate]]&lt;DATE(2016,12,1),0,1)</f>
        <v>1</v>
      </c>
    </row>
    <row r="665" spans="1:43" x14ac:dyDescent="0.25">
      <c r="A665">
        <v>664</v>
      </c>
      <c r="B665" t="s">
        <v>49</v>
      </c>
      <c r="C665" t="s">
        <v>49</v>
      </c>
      <c r="D665" t="s">
        <v>80</v>
      </c>
      <c r="F665" s="1">
        <v>42761</v>
      </c>
      <c r="G665" s="2">
        <v>82.5</v>
      </c>
      <c r="H665" s="2">
        <v>0.53600000000000003</v>
      </c>
      <c r="I665" s="2">
        <v>0.53600000000000003</v>
      </c>
      <c r="J665" s="2">
        <v>15.6</v>
      </c>
      <c r="K665" s="2">
        <v>-10</v>
      </c>
      <c r="L665" s="2">
        <v>816.9</v>
      </c>
      <c r="M665" s="2">
        <v>816.9</v>
      </c>
      <c r="N665" s="2">
        <f ca="1">INDEX(INDIRECT(_xlfn.CONCAT("weather.tbl[",N$1,"]")),MATCH(vp.tbl[[#This Row],[SDate]],weather.tbl[Date],0))</f>
        <v>-11.866666666666667</v>
      </c>
      <c r="O665" s="2">
        <f ca="1">INDEX(INDIRECT(_xlfn.CONCAT("weather.tbl[",O$1,"]")),MATCH(vp.tbl[[#This Row],[SDate]],weather.tbl[Date],0))</f>
        <v>-7.5095238095238104</v>
      </c>
      <c r="P665" s="2">
        <f ca="1">INDEX(INDIRECT(_xlfn.CONCAT("weather.tbl[",P$1,"]")),MATCH(vp.tbl[[#This Row],[SDate]],weather.tbl[Date],0))</f>
        <v>-12.9</v>
      </c>
      <c r="Q665" s="2">
        <f ca="1">INDEX(INDIRECT(_xlfn.CONCAT("weather.tbl[",Q$1,"]")),MATCH(vp.tbl[[#This Row],[SDate]],weather.tbl[Date],0))</f>
        <v>-12.1</v>
      </c>
      <c r="R665" s="2">
        <f ca="1">INDEX(INDIRECT(_xlfn.CONCAT("weather.tbl[",R$1,"]")),MATCH(vp.tbl[[#This Row],[SDate]],weather.tbl[Date],0))</f>
        <v>-13.5</v>
      </c>
      <c r="S665" s="2">
        <f ca="1">INDEX(INDIRECT(_xlfn.CONCAT("weather.tbl[",S$1,"]")),MATCH(vp.tbl[[#This Row],[SDate]],weather.tbl[Date],0))</f>
        <v>-11.3</v>
      </c>
      <c r="T665" s="2">
        <f ca="1">INDEX(INDIRECT(_xlfn.CONCAT("weather.tbl[",T$1,"]")),MATCH(vp.tbl[[#This Row],[SDate]],weather.tbl[Date],0))</f>
        <v>-10.6</v>
      </c>
      <c r="U665" s="2">
        <f ca="1">INDEX(INDIRECT(_xlfn.CONCAT("weather.tbl[",U$1,"]")),MATCH(vp.tbl[[#This Row],[SDate]],weather.tbl[Date],0))</f>
        <v>-10.8</v>
      </c>
      <c r="V665" s="2">
        <v>21030.911</v>
      </c>
      <c r="W665" t="s">
        <v>48</v>
      </c>
      <c r="X665">
        <f>IF(OR(vp.tbl[[#This Row],[Sulf]]="",vp.tbl[[#This Row],[Dens]]=""),1,0)</f>
        <v>0</v>
      </c>
      <c r="Y665">
        <f>IF(vp.tbl[[#This Row],[CrudeType]]="C5+",1,0)</f>
        <v>0</v>
      </c>
      <c r="Z665">
        <f>IF(AND(vp.tbl[[#This Row],[CrudeType]]="Crude",vp.tbl[[#This Row],[Dens]]&lt;=825,vp.tbl[[#This Row],[Sulf]]&gt;0.5,vp.tbl[[#This Row],[Unknown]]=0),1,0)</f>
        <v>1</v>
      </c>
      <c r="AA665">
        <f>IF(AND(vp.tbl[[#This Row],[CrudeType]]="Crude",vp.tbl[[#This Row],[Dens]]&lt;=825,vp.tbl[[#This Row],[Sulf]]&lt;=0.5,vp.tbl[[#This Row],[Unknown]]=0),1,0)</f>
        <v>0</v>
      </c>
      <c r="AB665">
        <f>IF(AND(vp.tbl[[#This Row],[CrudeType]]="Crude",vp.tbl[[#This Row],[Dens]]&gt;825,vp.tbl[[#This Row],[Dens]]&lt;=870,vp.tbl[[#This Row],[Sulf]]&gt;0.5,vp.tbl[[#This Row],[Unknown]]=0),1,0)</f>
        <v>0</v>
      </c>
      <c r="AC665">
        <f>IF(AND(vp.tbl[[#This Row],[CrudeType]]="Crude",vp.tbl[[#This Row],[Dens]]&gt;825,vp.tbl[[#This Row],[Dens]]&lt;=900,vp.tbl[[#This Row],[Sulf]]&lt;=0.5,vp.tbl[[#This Row],[Unknown]]=0),1,0)</f>
        <v>0</v>
      </c>
      <c r="AD665">
        <f>IF(AND(vp.tbl[[#This Row],[CrudeType]]="Crude",vp.tbl[[#This Row],[Dens]]&gt;870,vp.tbl[[#This Row],[Dens]]&lt;=900,vp.tbl[[#This Row],[Sulf]]&gt;0.5,vp.tbl[[#This Row],[Unknown]]=0),1,0)</f>
        <v>0</v>
      </c>
      <c r="AE665">
        <f>IF(AND(vp.tbl[[#This Row],[CrudeType]]="Crude",vp.tbl[[#This Row],[Dens]]&gt;900,vp.tbl[[#This Row],[Sulf]]&lt;=0.5,vp.tbl[[#This Row],[Unknown]]=0),1,0)</f>
        <v>0</v>
      </c>
      <c r="AF665">
        <f>IF(AND(vp.tbl[[#This Row],[CrudeType]]="Crude",vp.tbl[[#This Row],[Dens]]&gt;900,vp.tbl[[#This Row],[Sulf]]&lt;=0.5,vp.tbl[[#This Row],[Unknown]]=0),1,0)</f>
        <v>0</v>
      </c>
      <c r="AG665" t="str">
        <f>INDEX(vp.tbl[[#Headers],[Unknown]:[Heavy_SW]],MATCH(1,vp.tbl[[#This Row],[Unknown]:[Heavy_SW]],0))</f>
        <v>Light_LSB</v>
      </c>
      <c r="AH665" t="e">
        <f>INDEX([1]!crudeBD.lkup[Number],MATCH(vp.tbl[[#This Row],[Crude_Breakdown]],[1]!crudeBD.lkup[Crude Breakdown],0))</f>
        <v>#REF!</v>
      </c>
      <c r="AI665">
        <f>MONTH(vp.tbl[[#This Row],[SDate]])</f>
        <v>1</v>
      </c>
      <c r="AJ665" s="5">
        <f>IFERROR(vp.tbl[[#This Row],[Sulf]]*vp.tbl[[#This Row],[Net Dens]],"")</f>
        <v>9208561.0410024002</v>
      </c>
      <c r="AK665" s="5">
        <f>IFERROR(vp.tbl[[#This Row],[Dens]]*vp.tbl[[#This Row],[VolumeM3]],"")</f>
        <v>17180151.195900001</v>
      </c>
      <c r="AL665" s="5">
        <f>IFERROR(vp.tbl[[#This Row],[VP]]*vp.tbl[[#This Row],[VolumeM3]],"")</f>
        <v>1735050.1575</v>
      </c>
      <c r="AM665" s="4">
        <f>IFERROR((vp.tbl[[#This Row],[VP]]-INDEX(crudeBD.lkup.complete[Mean_VP],MATCH(vp.tbl[[#This Row],[Crude_Breakdown]],crudeBD.lkup.complete[Crude Breakdown],0)))^2,"")</f>
        <v>81.833473312786197</v>
      </c>
      <c r="AN665" s="4">
        <f>IFERROR((vp.tbl[[#This Row],[Dens]]-INDEX(crudeBD.lkup.complete[Mean_Dens],MATCH(vp.tbl[[#This Row],[Crude_Breakdown]],crudeBD.lkup.complete[Crude Breakdown],0)))^2,"")</f>
        <v>2.6139444550716244</v>
      </c>
      <c r="AO665" s="4">
        <f>IFERROR((vp.tbl[[#This Row],[Sulf]]-INDEX(crudeBD.lkup.complete[Mean_Sulf],MATCH(vp.tbl[[#This Row],[Crude_Breakdown]],crudeBD.lkup.complete[Crude Breakdown],0)))^2,"")</f>
        <v>0.14974668516115872</v>
      </c>
      <c r="AP665">
        <f>IF(AND(vp.tbl[[#This Row],[SDate]]&gt;=DATE(YEAR(vp.tbl[[#This Row],[SDate]]),5,1),vp.tbl[[#This Row],[SDate]]&lt;=DATE(YEAR(vp.tbl[[#This Row],[SDate]]),9,15)),1,0)</f>
        <v>0</v>
      </c>
      <c r="AQ665" s="15">
        <f>IF(vp.tbl[[#This Row],[SDate]]&lt;DATE(2016,12,1),0,1)</f>
        <v>1</v>
      </c>
    </row>
    <row r="666" spans="1:43" x14ac:dyDescent="0.25">
      <c r="A666">
        <v>665</v>
      </c>
      <c r="B666" t="s">
        <v>49</v>
      </c>
      <c r="C666" t="s">
        <v>49</v>
      </c>
      <c r="D666" t="s">
        <v>89</v>
      </c>
      <c r="F666" s="1">
        <v>42761</v>
      </c>
      <c r="G666" s="2">
        <v>112.4</v>
      </c>
      <c r="H666" s="2">
        <v>0.65800000000000003</v>
      </c>
      <c r="I666" s="2">
        <v>0.65800000000000003</v>
      </c>
      <c r="J666" s="2">
        <v>4</v>
      </c>
      <c r="K666" s="2">
        <v>-10</v>
      </c>
      <c r="L666" s="2">
        <v>816.7</v>
      </c>
      <c r="M666" s="2">
        <v>816.7</v>
      </c>
      <c r="N666" s="2">
        <f ca="1">INDEX(INDIRECT(_xlfn.CONCAT("weather.tbl[",N$1,"]")),MATCH(vp.tbl[[#This Row],[SDate]],weather.tbl[Date],0))</f>
        <v>-11.866666666666667</v>
      </c>
      <c r="O666" s="2">
        <f ca="1">INDEX(INDIRECT(_xlfn.CONCAT("weather.tbl[",O$1,"]")),MATCH(vp.tbl[[#This Row],[SDate]],weather.tbl[Date],0))</f>
        <v>-7.5095238095238104</v>
      </c>
      <c r="P666" s="2">
        <f ca="1">INDEX(INDIRECT(_xlfn.CONCAT("weather.tbl[",P$1,"]")),MATCH(vp.tbl[[#This Row],[SDate]],weather.tbl[Date],0))</f>
        <v>-12.9</v>
      </c>
      <c r="Q666" s="2">
        <f ca="1">INDEX(INDIRECT(_xlfn.CONCAT("weather.tbl[",Q$1,"]")),MATCH(vp.tbl[[#This Row],[SDate]],weather.tbl[Date],0))</f>
        <v>-12.1</v>
      </c>
      <c r="R666" s="2">
        <f ca="1">INDEX(INDIRECT(_xlfn.CONCAT("weather.tbl[",R$1,"]")),MATCH(vp.tbl[[#This Row],[SDate]],weather.tbl[Date],0))</f>
        <v>-13.5</v>
      </c>
      <c r="S666" s="2">
        <f ca="1">INDEX(INDIRECT(_xlfn.CONCAT("weather.tbl[",S$1,"]")),MATCH(vp.tbl[[#This Row],[SDate]],weather.tbl[Date],0))</f>
        <v>-11.3</v>
      </c>
      <c r="T666" s="2">
        <f ca="1">INDEX(INDIRECT(_xlfn.CONCAT("weather.tbl[",T$1,"]")),MATCH(vp.tbl[[#This Row],[SDate]],weather.tbl[Date],0))</f>
        <v>-10.6</v>
      </c>
      <c r="U666" s="2">
        <f ca="1">INDEX(INDIRECT(_xlfn.CONCAT("weather.tbl[",U$1,"]")),MATCH(vp.tbl[[#This Row],[SDate]],weather.tbl[Date],0))</f>
        <v>-10.8</v>
      </c>
      <c r="V666" s="2">
        <v>6179.5609999999997</v>
      </c>
      <c r="W666" t="s">
        <v>48</v>
      </c>
      <c r="X666">
        <f>IF(OR(vp.tbl[[#This Row],[Sulf]]="",vp.tbl[[#This Row],[Dens]]=""),1,0)</f>
        <v>0</v>
      </c>
      <c r="Y666">
        <f>IF(vp.tbl[[#This Row],[CrudeType]]="C5+",1,0)</f>
        <v>0</v>
      </c>
      <c r="Z666">
        <f>IF(AND(vp.tbl[[#This Row],[CrudeType]]="Crude",vp.tbl[[#This Row],[Dens]]&lt;=825,vp.tbl[[#This Row],[Sulf]]&gt;0.5,vp.tbl[[#This Row],[Unknown]]=0),1,0)</f>
        <v>1</v>
      </c>
      <c r="AA666">
        <f>IF(AND(vp.tbl[[#This Row],[CrudeType]]="Crude",vp.tbl[[#This Row],[Dens]]&lt;=825,vp.tbl[[#This Row],[Sulf]]&lt;=0.5,vp.tbl[[#This Row],[Unknown]]=0),1,0)</f>
        <v>0</v>
      </c>
      <c r="AB666">
        <f>IF(AND(vp.tbl[[#This Row],[CrudeType]]="Crude",vp.tbl[[#This Row],[Dens]]&gt;825,vp.tbl[[#This Row],[Dens]]&lt;=870,vp.tbl[[#This Row],[Sulf]]&gt;0.5,vp.tbl[[#This Row],[Unknown]]=0),1,0)</f>
        <v>0</v>
      </c>
      <c r="AC666">
        <f>IF(AND(vp.tbl[[#This Row],[CrudeType]]="Crude",vp.tbl[[#This Row],[Dens]]&gt;825,vp.tbl[[#This Row],[Dens]]&lt;=900,vp.tbl[[#This Row],[Sulf]]&lt;=0.5,vp.tbl[[#This Row],[Unknown]]=0),1,0)</f>
        <v>0</v>
      </c>
      <c r="AD666">
        <f>IF(AND(vp.tbl[[#This Row],[CrudeType]]="Crude",vp.tbl[[#This Row],[Dens]]&gt;870,vp.tbl[[#This Row],[Dens]]&lt;=900,vp.tbl[[#This Row],[Sulf]]&gt;0.5,vp.tbl[[#This Row],[Unknown]]=0),1,0)</f>
        <v>0</v>
      </c>
      <c r="AE666">
        <f>IF(AND(vp.tbl[[#This Row],[CrudeType]]="Crude",vp.tbl[[#This Row],[Dens]]&gt;900,vp.tbl[[#This Row],[Sulf]]&lt;=0.5,vp.tbl[[#This Row],[Unknown]]=0),1,0)</f>
        <v>0</v>
      </c>
      <c r="AF666">
        <f>IF(AND(vp.tbl[[#This Row],[CrudeType]]="Crude",vp.tbl[[#This Row],[Dens]]&gt;900,vp.tbl[[#This Row],[Sulf]]&lt;=0.5,vp.tbl[[#This Row],[Unknown]]=0),1,0)</f>
        <v>0</v>
      </c>
      <c r="AG666" t="str">
        <f>INDEX(vp.tbl[[#Headers],[Unknown]:[Heavy_SW]],MATCH(1,vp.tbl[[#This Row],[Unknown]:[Heavy_SW]],0))</f>
        <v>Light_LSB</v>
      </c>
      <c r="AH666" t="e">
        <f>INDEX([1]!crudeBD.lkup[Number],MATCH(vp.tbl[[#This Row],[Crude_Breakdown]],[1]!crudeBD.lkup[Crude Breakdown],0))</f>
        <v>#REF!</v>
      </c>
      <c r="AI666">
        <f>MONTH(vp.tbl[[#This Row],[SDate]])</f>
        <v>1</v>
      </c>
      <c r="AJ666" s="5">
        <f>IFERROR(vp.tbl[[#This Row],[Sulf]]*vp.tbl[[#This Row],[Net Dens]],"")</f>
        <v>3320825.6344046001</v>
      </c>
      <c r="AK666" s="5">
        <f>IFERROR(vp.tbl[[#This Row],[Dens]]*vp.tbl[[#This Row],[VolumeM3]],"")</f>
        <v>5046847.4687000001</v>
      </c>
      <c r="AL666" s="5">
        <f>IFERROR(vp.tbl[[#This Row],[VP]]*vp.tbl[[#This Row],[VolumeM3]],"")</f>
        <v>694582.65639999998</v>
      </c>
      <c r="AM666" s="4">
        <f>IFERROR((vp.tbl[[#This Row],[VP]]-INDEX(crudeBD.lkup.complete[Mean_VP],MATCH(vp.tbl[[#This Row],[Crude_Breakdown]],crudeBD.lkup.complete[Crude Breakdown],0)))^2,"")</f>
        <v>434.88157640556807</v>
      </c>
      <c r="AN666" s="4">
        <f>IFERROR((vp.tbl[[#This Row],[Dens]]-INDEX(crudeBD.lkup.complete[Mean_Dens],MATCH(vp.tbl[[#This Row],[Crude_Breakdown]],crudeBD.lkup.complete[Crude Breakdown],0)))^2,"")</f>
        <v>3.3006523588513286</v>
      </c>
      <c r="AO666" s="4">
        <f>IFERROR((vp.tbl[[#This Row],[Sulf]]-INDEX(crudeBD.lkup.complete[Mean_Sulf],MATCH(vp.tbl[[#This Row],[Crude_Breakdown]],crudeBD.lkup.complete[Crude Breakdown],0)))^2,"")</f>
        <v>7.020972007524813E-2</v>
      </c>
      <c r="AP666">
        <f>IF(AND(vp.tbl[[#This Row],[SDate]]&gt;=DATE(YEAR(vp.tbl[[#This Row],[SDate]]),5,1),vp.tbl[[#This Row],[SDate]]&lt;=DATE(YEAR(vp.tbl[[#This Row],[SDate]]),9,15)),1,0)</f>
        <v>0</v>
      </c>
      <c r="AQ666" s="15">
        <f>IF(vp.tbl[[#This Row],[SDate]]&lt;DATE(2016,12,1),0,1)</f>
        <v>1</v>
      </c>
    </row>
    <row r="667" spans="1:43" x14ac:dyDescent="0.25">
      <c r="A667">
        <v>666</v>
      </c>
      <c r="B667" t="s">
        <v>49</v>
      </c>
      <c r="C667" t="s">
        <v>49</v>
      </c>
      <c r="D667" t="s">
        <v>67</v>
      </c>
      <c r="F667" s="1">
        <v>42761</v>
      </c>
      <c r="G667" s="2">
        <v>101.5</v>
      </c>
      <c r="H667" s="2">
        <v>0.69799999999999995</v>
      </c>
      <c r="I667" s="2">
        <v>0.69799999999999995</v>
      </c>
      <c r="J667" s="2">
        <v>5.0999999999999996</v>
      </c>
      <c r="K667" s="2">
        <v>-10</v>
      </c>
      <c r="L667" s="2">
        <v>823.6</v>
      </c>
      <c r="M667" s="2">
        <v>823.6</v>
      </c>
      <c r="N667" s="2">
        <f ca="1">INDEX(INDIRECT(_xlfn.CONCAT("weather.tbl[",N$1,"]")),MATCH(vp.tbl[[#This Row],[SDate]],weather.tbl[Date],0))</f>
        <v>-11.866666666666667</v>
      </c>
      <c r="O667" s="2">
        <f ca="1">INDEX(INDIRECT(_xlfn.CONCAT("weather.tbl[",O$1,"]")),MATCH(vp.tbl[[#This Row],[SDate]],weather.tbl[Date],0))</f>
        <v>-7.5095238095238104</v>
      </c>
      <c r="P667" s="2">
        <f ca="1">INDEX(INDIRECT(_xlfn.CONCAT("weather.tbl[",P$1,"]")),MATCH(vp.tbl[[#This Row],[SDate]],weather.tbl[Date],0))</f>
        <v>-12.9</v>
      </c>
      <c r="Q667" s="2">
        <f ca="1">INDEX(INDIRECT(_xlfn.CONCAT("weather.tbl[",Q$1,"]")),MATCH(vp.tbl[[#This Row],[SDate]],weather.tbl[Date],0))</f>
        <v>-12.1</v>
      </c>
      <c r="R667" s="2">
        <f ca="1">INDEX(INDIRECT(_xlfn.CONCAT("weather.tbl[",R$1,"]")),MATCH(vp.tbl[[#This Row],[SDate]],weather.tbl[Date],0))</f>
        <v>-13.5</v>
      </c>
      <c r="S667" s="2">
        <f ca="1">INDEX(INDIRECT(_xlfn.CONCAT("weather.tbl[",S$1,"]")),MATCH(vp.tbl[[#This Row],[SDate]],weather.tbl[Date],0))</f>
        <v>-11.3</v>
      </c>
      <c r="T667" s="2">
        <f ca="1">INDEX(INDIRECT(_xlfn.CONCAT("weather.tbl[",T$1,"]")),MATCH(vp.tbl[[#This Row],[SDate]],weather.tbl[Date],0))</f>
        <v>-10.6</v>
      </c>
      <c r="U667" s="2">
        <f ca="1">INDEX(INDIRECT(_xlfn.CONCAT("weather.tbl[",U$1,"]")),MATCH(vp.tbl[[#This Row],[SDate]],weather.tbl[Date],0))</f>
        <v>-10.8</v>
      </c>
      <c r="V667" s="2">
        <v>122139.87</v>
      </c>
      <c r="W667" t="s">
        <v>48</v>
      </c>
      <c r="X667">
        <f>IF(OR(vp.tbl[[#This Row],[Sulf]]="",vp.tbl[[#This Row],[Dens]]=""),1,0)</f>
        <v>0</v>
      </c>
      <c r="Y667">
        <f>IF(vp.tbl[[#This Row],[CrudeType]]="C5+",1,0)</f>
        <v>0</v>
      </c>
      <c r="Z667">
        <f>IF(AND(vp.tbl[[#This Row],[CrudeType]]="Crude",vp.tbl[[#This Row],[Dens]]&lt;=825,vp.tbl[[#This Row],[Sulf]]&gt;0.5,vp.tbl[[#This Row],[Unknown]]=0),1,0)</f>
        <v>1</v>
      </c>
      <c r="AA667">
        <f>IF(AND(vp.tbl[[#This Row],[CrudeType]]="Crude",vp.tbl[[#This Row],[Dens]]&lt;=825,vp.tbl[[#This Row],[Sulf]]&lt;=0.5,vp.tbl[[#This Row],[Unknown]]=0),1,0)</f>
        <v>0</v>
      </c>
      <c r="AB667">
        <f>IF(AND(vp.tbl[[#This Row],[CrudeType]]="Crude",vp.tbl[[#This Row],[Dens]]&gt;825,vp.tbl[[#This Row],[Dens]]&lt;=870,vp.tbl[[#This Row],[Sulf]]&gt;0.5,vp.tbl[[#This Row],[Unknown]]=0),1,0)</f>
        <v>0</v>
      </c>
      <c r="AC667">
        <f>IF(AND(vp.tbl[[#This Row],[CrudeType]]="Crude",vp.tbl[[#This Row],[Dens]]&gt;825,vp.tbl[[#This Row],[Dens]]&lt;=900,vp.tbl[[#This Row],[Sulf]]&lt;=0.5,vp.tbl[[#This Row],[Unknown]]=0),1,0)</f>
        <v>0</v>
      </c>
      <c r="AD667">
        <f>IF(AND(vp.tbl[[#This Row],[CrudeType]]="Crude",vp.tbl[[#This Row],[Dens]]&gt;870,vp.tbl[[#This Row],[Dens]]&lt;=900,vp.tbl[[#This Row],[Sulf]]&gt;0.5,vp.tbl[[#This Row],[Unknown]]=0),1,0)</f>
        <v>0</v>
      </c>
      <c r="AE667">
        <f>IF(AND(vp.tbl[[#This Row],[CrudeType]]="Crude",vp.tbl[[#This Row],[Dens]]&gt;900,vp.tbl[[#This Row],[Sulf]]&lt;=0.5,vp.tbl[[#This Row],[Unknown]]=0),1,0)</f>
        <v>0</v>
      </c>
      <c r="AF667">
        <f>IF(AND(vp.tbl[[#This Row],[CrudeType]]="Crude",vp.tbl[[#This Row],[Dens]]&gt;900,vp.tbl[[#This Row],[Sulf]]&lt;=0.5,vp.tbl[[#This Row],[Unknown]]=0),1,0)</f>
        <v>0</v>
      </c>
      <c r="AG667" t="str">
        <f>INDEX(vp.tbl[[#Headers],[Unknown]:[Heavy_SW]],MATCH(1,vp.tbl[[#This Row],[Unknown]:[Heavy_SW]],0))</f>
        <v>Light_LSB</v>
      </c>
      <c r="AH667" t="e">
        <f>INDEX([1]!crudeBD.lkup[Number],MATCH(vp.tbl[[#This Row],[Crude_Breakdown]],[1]!crudeBD.lkup[Crude Breakdown],0))</f>
        <v>#REF!</v>
      </c>
      <c r="AI667">
        <f>MONTH(vp.tbl[[#This Row],[SDate]])</f>
        <v>1</v>
      </c>
      <c r="AJ667" s="5">
        <f>IFERROR(vp.tbl[[#This Row],[Sulf]]*vp.tbl[[#This Row],[Net Dens]],"")</f>
        <v>70214889.058535993</v>
      </c>
      <c r="AK667" s="5">
        <f>IFERROR(vp.tbl[[#This Row],[Dens]]*vp.tbl[[#This Row],[VolumeM3]],"")</f>
        <v>100594396.932</v>
      </c>
      <c r="AL667" s="5">
        <f>IFERROR(vp.tbl[[#This Row],[VP]]*vp.tbl[[#This Row],[VolumeM3]],"")</f>
        <v>12397196.805</v>
      </c>
      <c r="AM667" s="4">
        <f>IFERROR((vp.tbl[[#This Row],[VP]]-INDEX(crudeBD.lkup.complete[Mean_VP],MATCH(vp.tbl[[#This Row],[Crude_Breakdown]],crudeBD.lkup.complete[Crude Breakdown],0)))^2,"")</f>
        <v>99.078421766393262</v>
      </c>
      <c r="AN667" s="4">
        <f>IFERROR((vp.tbl[[#This Row],[Dens]]-INDEX(crudeBD.lkup.complete[Mean_Dens],MATCH(vp.tbl[[#This Row],[Crude_Breakdown]],crudeBD.lkup.complete[Crude Breakdown],0)))^2,"")</f>
        <v>25.83922967844369</v>
      </c>
      <c r="AO667" s="4">
        <f>IFERROR((vp.tbl[[#This Row],[Sulf]]-INDEX(crudeBD.lkup.complete[Mean_Sulf],MATCH(vp.tbl[[#This Row],[Crude_Breakdown]],crudeBD.lkup.complete[Crude Breakdown],0)))^2,"")</f>
        <v>5.0612026604457815E-2</v>
      </c>
      <c r="AP667">
        <f>IF(AND(vp.tbl[[#This Row],[SDate]]&gt;=DATE(YEAR(vp.tbl[[#This Row],[SDate]]),5,1),vp.tbl[[#This Row],[SDate]]&lt;=DATE(YEAR(vp.tbl[[#This Row],[SDate]]),9,15)),1,0)</f>
        <v>0</v>
      </c>
      <c r="AQ667" s="15">
        <f>IF(vp.tbl[[#This Row],[SDate]]&lt;DATE(2016,12,1),0,1)</f>
        <v>1</v>
      </c>
    </row>
    <row r="668" spans="1:43" x14ac:dyDescent="0.25">
      <c r="A668">
        <v>667</v>
      </c>
      <c r="B668" t="s">
        <v>49</v>
      </c>
      <c r="C668" t="s">
        <v>49</v>
      </c>
      <c r="D668" t="s">
        <v>50</v>
      </c>
      <c r="F668" s="1">
        <v>42761</v>
      </c>
      <c r="G668" s="2">
        <v>89.6</v>
      </c>
      <c r="H668" s="2">
        <v>2.8340000000000001</v>
      </c>
      <c r="I668" s="2">
        <v>2.8340000000000001</v>
      </c>
      <c r="J668" s="2">
        <v>14.1</v>
      </c>
      <c r="K668" s="2">
        <v>-10</v>
      </c>
      <c r="L668" s="2">
        <v>857.2</v>
      </c>
      <c r="M668" s="2">
        <v>857.2</v>
      </c>
      <c r="N668" s="2">
        <f ca="1">INDEX(INDIRECT(_xlfn.CONCAT("weather.tbl[",N$1,"]")),MATCH(vp.tbl[[#This Row],[SDate]],weather.tbl[Date],0))</f>
        <v>-11.866666666666667</v>
      </c>
      <c r="O668" s="2">
        <f ca="1">INDEX(INDIRECT(_xlfn.CONCAT("weather.tbl[",O$1,"]")),MATCH(vp.tbl[[#This Row],[SDate]],weather.tbl[Date],0))</f>
        <v>-7.5095238095238104</v>
      </c>
      <c r="P668" s="2">
        <f ca="1">INDEX(INDIRECT(_xlfn.CONCAT("weather.tbl[",P$1,"]")),MATCH(vp.tbl[[#This Row],[SDate]],weather.tbl[Date],0))</f>
        <v>-12.9</v>
      </c>
      <c r="Q668" s="2">
        <f ca="1">INDEX(INDIRECT(_xlfn.CONCAT("weather.tbl[",Q$1,"]")),MATCH(vp.tbl[[#This Row],[SDate]],weather.tbl[Date],0))</f>
        <v>-12.1</v>
      </c>
      <c r="R668" s="2">
        <f ca="1">INDEX(INDIRECT(_xlfn.CONCAT("weather.tbl[",R$1,"]")),MATCH(vp.tbl[[#This Row],[SDate]],weather.tbl[Date],0))</f>
        <v>-13.5</v>
      </c>
      <c r="S668" s="2">
        <f ca="1">INDEX(INDIRECT(_xlfn.CONCAT("weather.tbl[",S$1,"]")),MATCH(vp.tbl[[#This Row],[SDate]],weather.tbl[Date],0))</f>
        <v>-11.3</v>
      </c>
      <c r="T668" s="2">
        <f ca="1">INDEX(INDIRECT(_xlfn.CONCAT("weather.tbl[",T$1,"]")),MATCH(vp.tbl[[#This Row],[SDate]],weather.tbl[Date],0))</f>
        <v>-10.6</v>
      </c>
      <c r="U668" s="2">
        <f ca="1">INDEX(INDIRECT(_xlfn.CONCAT("weather.tbl[",U$1,"]")),MATCH(vp.tbl[[#This Row],[SDate]],weather.tbl[Date],0))</f>
        <v>-10.8</v>
      </c>
      <c r="V668" s="2">
        <v>5598.5039999999999</v>
      </c>
      <c r="W668" t="s">
        <v>48</v>
      </c>
      <c r="X668">
        <f>IF(OR(vp.tbl[[#This Row],[Sulf]]="",vp.tbl[[#This Row],[Dens]]=""),1,0)</f>
        <v>0</v>
      </c>
      <c r="Y668">
        <f>IF(vp.tbl[[#This Row],[CrudeType]]="C5+",1,0)</f>
        <v>0</v>
      </c>
      <c r="Z668">
        <f>IF(AND(vp.tbl[[#This Row],[CrudeType]]="Crude",vp.tbl[[#This Row],[Dens]]&lt;=825,vp.tbl[[#This Row],[Sulf]]&gt;0.5,vp.tbl[[#This Row],[Unknown]]=0),1,0)</f>
        <v>0</v>
      </c>
      <c r="AA668">
        <f>IF(AND(vp.tbl[[#This Row],[CrudeType]]="Crude",vp.tbl[[#This Row],[Dens]]&lt;=825,vp.tbl[[#This Row],[Sulf]]&lt;=0.5,vp.tbl[[#This Row],[Unknown]]=0),1,0)</f>
        <v>0</v>
      </c>
      <c r="AB668">
        <f>IF(AND(vp.tbl[[#This Row],[CrudeType]]="Crude",vp.tbl[[#This Row],[Dens]]&gt;825,vp.tbl[[#This Row],[Dens]]&lt;=870,vp.tbl[[#This Row],[Sulf]]&gt;0.5,vp.tbl[[#This Row],[Unknown]]=0),1,0)</f>
        <v>1</v>
      </c>
      <c r="AC668">
        <f>IF(AND(vp.tbl[[#This Row],[CrudeType]]="Crude",vp.tbl[[#This Row],[Dens]]&gt;825,vp.tbl[[#This Row],[Dens]]&lt;=900,vp.tbl[[#This Row],[Sulf]]&lt;=0.5,vp.tbl[[#This Row],[Unknown]]=0),1,0)</f>
        <v>0</v>
      </c>
      <c r="AD668">
        <f>IF(AND(vp.tbl[[#This Row],[CrudeType]]="Crude",vp.tbl[[#This Row],[Dens]]&gt;870,vp.tbl[[#This Row],[Dens]]&lt;=900,vp.tbl[[#This Row],[Sulf]]&gt;0.5,vp.tbl[[#This Row],[Unknown]]=0),1,0)</f>
        <v>0</v>
      </c>
      <c r="AE668">
        <f>IF(AND(vp.tbl[[#This Row],[CrudeType]]="Crude",vp.tbl[[#This Row],[Dens]]&gt;900,vp.tbl[[#This Row],[Sulf]]&lt;=0.5,vp.tbl[[#This Row],[Unknown]]=0),1,0)</f>
        <v>0</v>
      </c>
      <c r="AF668">
        <f>IF(AND(vp.tbl[[#This Row],[CrudeType]]="Crude",vp.tbl[[#This Row],[Dens]]&gt;900,vp.tbl[[#This Row],[Sulf]]&lt;=0.5,vp.tbl[[#This Row],[Unknown]]=0),1,0)</f>
        <v>0</v>
      </c>
      <c r="AG668" t="str">
        <f>INDEX(vp.tbl[[#Headers],[Unknown]:[Heavy_SW]],MATCH(1,vp.tbl[[#This Row],[Unknown]:[Heavy_SW]],0))</f>
        <v>Medium_LSB</v>
      </c>
      <c r="AH668" t="e">
        <f>INDEX([1]!crudeBD.lkup[Number],MATCH(vp.tbl[[#This Row],[Crude_Breakdown]],[1]!crudeBD.lkup[Crude Breakdown],0))</f>
        <v>#REF!</v>
      </c>
      <c r="AI668">
        <f>MONTH(vp.tbl[[#This Row],[SDate]])</f>
        <v>1</v>
      </c>
      <c r="AJ668" s="5">
        <f>IFERROR(vp.tbl[[#This Row],[Sulf]]*vp.tbl[[#This Row],[Net Dens]],"")</f>
        <v>13600472.640019201</v>
      </c>
      <c r="AK668" s="5">
        <f>IFERROR(vp.tbl[[#This Row],[Dens]]*vp.tbl[[#This Row],[VolumeM3]],"")</f>
        <v>4799037.6288000001</v>
      </c>
      <c r="AL668" s="5">
        <f>IFERROR(vp.tbl[[#This Row],[VP]]*vp.tbl[[#This Row],[VolumeM3]],"")</f>
        <v>501625.95839999994</v>
      </c>
      <c r="AM668" s="4">
        <f>IFERROR((vp.tbl[[#This Row],[VP]]-INDEX(crudeBD.lkup.complete[Mean_VP],MATCH(vp.tbl[[#This Row],[Crude_Breakdown]],crudeBD.lkup.complete[Crude Breakdown],0)))^2,"")</f>
        <v>88.85711241724141</v>
      </c>
      <c r="AN668" s="4">
        <f>IFERROR((vp.tbl[[#This Row],[Dens]]-INDEX(crudeBD.lkup.complete[Mean_Dens],MATCH(vp.tbl[[#This Row],[Crude_Breakdown]],crudeBD.lkup.complete[Crude Breakdown],0)))^2,"")</f>
        <v>141.80468458839178</v>
      </c>
      <c r="AO668" s="4">
        <f>IFERROR((vp.tbl[[#This Row],[Sulf]]-INDEX(crudeBD.lkup.complete[Mean_Sulf],MATCH(vp.tbl[[#This Row],[Crude_Breakdown]],crudeBD.lkup.complete[Crude Breakdown],0)))^2,"")</f>
        <v>1.9018344489448256</v>
      </c>
      <c r="AP668">
        <f>IF(AND(vp.tbl[[#This Row],[SDate]]&gt;=DATE(YEAR(vp.tbl[[#This Row],[SDate]]),5,1),vp.tbl[[#This Row],[SDate]]&lt;=DATE(YEAR(vp.tbl[[#This Row],[SDate]]),9,15)),1,0)</f>
        <v>0</v>
      </c>
      <c r="AQ668" s="15">
        <f>IF(vp.tbl[[#This Row],[SDate]]&lt;DATE(2016,12,1),0,1)</f>
        <v>1</v>
      </c>
    </row>
    <row r="669" spans="1:43" x14ac:dyDescent="0.25">
      <c r="A669">
        <v>668</v>
      </c>
      <c r="B669" t="s">
        <v>62</v>
      </c>
      <c r="C669" t="s">
        <v>62</v>
      </c>
      <c r="D669" t="s">
        <v>93</v>
      </c>
      <c r="F669" s="1">
        <v>42761</v>
      </c>
      <c r="G669" s="2">
        <v>110.6</v>
      </c>
      <c r="H669" s="2"/>
      <c r="I669" s="2">
        <v>0.43</v>
      </c>
      <c r="J669" s="2">
        <v>-7</v>
      </c>
      <c r="K669" s="2">
        <v>-10</v>
      </c>
      <c r="L669" s="2">
        <v>808.7</v>
      </c>
      <c r="M669" s="2">
        <v>808.7</v>
      </c>
      <c r="N669" s="2">
        <f ca="1">INDEX(INDIRECT(_xlfn.CONCAT("weather.tbl[",N$1,"]")),MATCH(vp.tbl[[#This Row],[SDate]],weather.tbl[Date],0))</f>
        <v>-11.866666666666667</v>
      </c>
      <c r="O669" s="2">
        <f ca="1">INDEX(INDIRECT(_xlfn.CONCAT("weather.tbl[",O$1,"]")),MATCH(vp.tbl[[#This Row],[SDate]],weather.tbl[Date],0))</f>
        <v>-7.5095238095238104</v>
      </c>
      <c r="P669" s="2">
        <f ca="1">INDEX(INDIRECT(_xlfn.CONCAT("weather.tbl[",P$1,"]")),MATCH(vp.tbl[[#This Row],[SDate]],weather.tbl[Date],0))</f>
        <v>-12.9</v>
      </c>
      <c r="Q669" s="2">
        <f ca="1">INDEX(INDIRECT(_xlfn.CONCAT("weather.tbl[",Q$1,"]")),MATCH(vp.tbl[[#This Row],[SDate]],weather.tbl[Date],0))</f>
        <v>-12.1</v>
      </c>
      <c r="R669" s="2">
        <f ca="1">INDEX(INDIRECT(_xlfn.CONCAT("weather.tbl[",R$1,"]")),MATCH(vp.tbl[[#This Row],[SDate]],weather.tbl[Date],0))</f>
        <v>-13.5</v>
      </c>
      <c r="S669" s="2">
        <f ca="1">INDEX(INDIRECT(_xlfn.CONCAT("weather.tbl[",S$1,"]")),MATCH(vp.tbl[[#This Row],[SDate]],weather.tbl[Date],0))</f>
        <v>-11.3</v>
      </c>
      <c r="T669" s="2">
        <f ca="1">INDEX(INDIRECT(_xlfn.CONCAT("weather.tbl[",T$1,"]")),MATCH(vp.tbl[[#This Row],[SDate]],weather.tbl[Date],0))</f>
        <v>-10.6</v>
      </c>
      <c r="U669" s="2">
        <f ca="1">INDEX(INDIRECT(_xlfn.CONCAT("weather.tbl[",U$1,"]")),MATCH(vp.tbl[[#This Row],[SDate]],weather.tbl[Date],0))</f>
        <v>-10.8</v>
      </c>
      <c r="V669" s="2">
        <v>505.60500000000002</v>
      </c>
      <c r="W669" t="s">
        <v>48</v>
      </c>
      <c r="X669">
        <f>IF(OR(vp.tbl[[#This Row],[Sulf]]="",vp.tbl[[#This Row],[Dens]]=""),1,0)</f>
        <v>0</v>
      </c>
      <c r="Y669">
        <f>IF(vp.tbl[[#This Row],[CrudeType]]="C5+",1,0)</f>
        <v>0</v>
      </c>
      <c r="Z669">
        <f>IF(AND(vp.tbl[[#This Row],[CrudeType]]="Crude",vp.tbl[[#This Row],[Dens]]&lt;=825,vp.tbl[[#This Row],[Sulf]]&gt;0.5,vp.tbl[[#This Row],[Unknown]]=0),1,0)</f>
        <v>0</v>
      </c>
      <c r="AA669">
        <f>IF(AND(vp.tbl[[#This Row],[CrudeType]]="Crude",vp.tbl[[#This Row],[Dens]]&lt;=825,vp.tbl[[#This Row],[Sulf]]&lt;=0.5,vp.tbl[[#This Row],[Unknown]]=0),1,0)</f>
        <v>1</v>
      </c>
      <c r="AB669">
        <f>IF(AND(vp.tbl[[#This Row],[CrudeType]]="Crude",vp.tbl[[#This Row],[Dens]]&gt;825,vp.tbl[[#This Row],[Dens]]&lt;=870,vp.tbl[[#This Row],[Sulf]]&gt;0.5,vp.tbl[[#This Row],[Unknown]]=0),1,0)</f>
        <v>0</v>
      </c>
      <c r="AC669">
        <f>IF(AND(vp.tbl[[#This Row],[CrudeType]]="Crude",vp.tbl[[#This Row],[Dens]]&gt;825,vp.tbl[[#This Row],[Dens]]&lt;=900,vp.tbl[[#This Row],[Sulf]]&lt;=0.5,vp.tbl[[#This Row],[Unknown]]=0),1,0)</f>
        <v>0</v>
      </c>
      <c r="AD669">
        <f>IF(AND(vp.tbl[[#This Row],[CrudeType]]="Crude",vp.tbl[[#This Row],[Dens]]&gt;870,vp.tbl[[#This Row],[Dens]]&lt;=900,vp.tbl[[#This Row],[Sulf]]&gt;0.5,vp.tbl[[#This Row],[Unknown]]=0),1,0)</f>
        <v>0</v>
      </c>
      <c r="AE669">
        <f>IF(AND(vp.tbl[[#This Row],[CrudeType]]="Crude",vp.tbl[[#This Row],[Dens]]&gt;900,vp.tbl[[#This Row],[Sulf]]&lt;=0.5,vp.tbl[[#This Row],[Unknown]]=0),1,0)</f>
        <v>0</v>
      </c>
      <c r="AF669">
        <f>IF(AND(vp.tbl[[#This Row],[CrudeType]]="Crude",vp.tbl[[#This Row],[Dens]]&gt;900,vp.tbl[[#This Row],[Sulf]]&lt;=0.5,vp.tbl[[#This Row],[Unknown]]=0),1,0)</f>
        <v>0</v>
      </c>
      <c r="AG669" t="str">
        <f>INDEX(vp.tbl[[#Headers],[Unknown]:[Heavy_SW]],MATCH(1,vp.tbl[[#This Row],[Unknown]:[Heavy_SW]],0))</f>
        <v>Light_SW</v>
      </c>
      <c r="AH669" t="e">
        <f>INDEX([1]!crudeBD.lkup[Number],MATCH(vp.tbl[[#This Row],[Crude_Breakdown]],[1]!crudeBD.lkup[Crude Breakdown],0))</f>
        <v>#REF!</v>
      </c>
      <c r="AI669">
        <f>MONTH(vp.tbl[[#This Row],[SDate]])</f>
        <v>1</v>
      </c>
      <c r="AJ669" s="5">
        <f>IFERROR(vp.tbl[[#This Row],[Sulf]]*vp.tbl[[#This Row],[Net Dens]],"")</f>
        <v>175819.58830500001</v>
      </c>
      <c r="AK669" s="5">
        <f>IFERROR(vp.tbl[[#This Row],[Dens]]*vp.tbl[[#This Row],[VolumeM3]],"")</f>
        <v>408882.76350000006</v>
      </c>
      <c r="AL669" s="5">
        <f>IFERROR(vp.tbl[[#This Row],[VP]]*vp.tbl[[#This Row],[VolumeM3]],"")</f>
        <v>55919.913</v>
      </c>
      <c r="AM669" s="4">
        <f>IFERROR((vp.tbl[[#This Row],[VP]]-INDEX(crudeBD.lkup.complete[Mean_VP],MATCH(vp.tbl[[#This Row],[Crude_Breakdown]],crudeBD.lkup.complete[Crude Breakdown],0)))^2,"")</f>
        <v>325.79117954084757</v>
      </c>
      <c r="AN669" s="4">
        <f>IFERROR((vp.tbl[[#This Row],[Dens]]-INDEX(crudeBD.lkup.complete[Mean_Dens],MATCH(vp.tbl[[#This Row],[Crude_Breakdown]],crudeBD.lkup.complete[Crude Breakdown],0)))^2,"")</f>
        <v>0.15093360366177669</v>
      </c>
      <c r="AO669" s="4">
        <f>IFERROR((vp.tbl[[#This Row],[Sulf]]-INDEX(crudeBD.lkup.complete[Mean_Sulf],MATCH(vp.tbl[[#This Row],[Crude_Breakdown]],crudeBD.lkup.complete[Crude Breakdown],0)))^2,"")</f>
        <v>3.7542235476453578E-2</v>
      </c>
      <c r="AP669">
        <f>IF(AND(vp.tbl[[#This Row],[SDate]]&gt;=DATE(YEAR(vp.tbl[[#This Row],[SDate]]),5,1),vp.tbl[[#This Row],[SDate]]&lt;=DATE(YEAR(vp.tbl[[#This Row],[SDate]]),9,15)),1,0)</f>
        <v>0</v>
      </c>
      <c r="AQ669" s="15">
        <f>IF(vp.tbl[[#This Row],[SDate]]&lt;DATE(2016,12,1),0,1)</f>
        <v>1</v>
      </c>
    </row>
    <row r="670" spans="1:43" x14ac:dyDescent="0.25">
      <c r="A670">
        <v>669</v>
      </c>
      <c r="B670" t="s">
        <v>56</v>
      </c>
      <c r="C670" t="s">
        <v>56</v>
      </c>
      <c r="D670" t="s">
        <v>149</v>
      </c>
      <c r="F670" s="1">
        <v>42761</v>
      </c>
      <c r="G670" s="2">
        <v>88.5</v>
      </c>
      <c r="H670" s="2"/>
      <c r="I670" s="2">
        <v>0.72</v>
      </c>
      <c r="J670" s="2">
        <v>25.9</v>
      </c>
      <c r="K670" s="2">
        <v>-10</v>
      </c>
      <c r="L670" s="2">
        <v>824.6</v>
      </c>
      <c r="M670" s="2">
        <v>824.6</v>
      </c>
      <c r="N670" s="2">
        <f ca="1">INDEX(INDIRECT(_xlfn.CONCAT("weather.tbl[",N$1,"]")),MATCH(vp.tbl[[#This Row],[SDate]],weather.tbl[Date],0))</f>
        <v>-11.866666666666667</v>
      </c>
      <c r="O670" s="2">
        <f ca="1">INDEX(INDIRECT(_xlfn.CONCAT("weather.tbl[",O$1,"]")),MATCH(vp.tbl[[#This Row],[SDate]],weather.tbl[Date],0))</f>
        <v>-7.5095238095238104</v>
      </c>
      <c r="P670" s="2">
        <f ca="1">INDEX(INDIRECT(_xlfn.CONCAT("weather.tbl[",P$1,"]")),MATCH(vp.tbl[[#This Row],[SDate]],weather.tbl[Date],0))</f>
        <v>-12.9</v>
      </c>
      <c r="Q670" s="2">
        <f ca="1">INDEX(INDIRECT(_xlfn.CONCAT("weather.tbl[",Q$1,"]")),MATCH(vp.tbl[[#This Row],[SDate]],weather.tbl[Date],0))</f>
        <v>-12.1</v>
      </c>
      <c r="R670" s="2">
        <f ca="1">INDEX(INDIRECT(_xlfn.CONCAT("weather.tbl[",R$1,"]")),MATCH(vp.tbl[[#This Row],[SDate]],weather.tbl[Date],0))</f>
        <v>-13.5</v>
      </c>
      <c r="S670" s="2">
        <f ca="1">INDEX(INDIRECT(_xlfn.CONCAT("weather.tbl[",S$1,"]")),MATCH(vp.tbl[[#This Row],[SDate]],weather.tbl[Date],0))</f>
        <v>-11.3</v>
      </c>
      <c r="T670" s="2">
        <f ca="1">INDEX(INDIRECT(_xlfn.CONCAT("weather.tbl[",T$1,"]")),MATCH(vp.tbl[[#This Row],[SDate]],weather.tbl[Date],0))</f>
        <v>-10.6</v>
      </c>
      <c r="U670" s="2">
        <f ca="1">INDEX(INDIRECT(_xlfn.CONCAT("weather.tbl[",U$1,"]")),MATCH(vp.tbl[[#This Row],[SDate]],weather.tbl[Date],0))</f>
        <v>-10.8</v>
      </c>
      <c r="V670" s="2">
        <v>5925.384</v>
      </c>
      <c r="W670" t="s">
        <v>48</v>
      </c>
      <c r="X670">
        <f>IF(OR(vp.tbl[[#This Row],[Sulf]]="",vp.tbl[[#This Row],[Dens]]=""),1,0)</f>
        <v>0</v>
      </c>
      <c r="Y670">
        <f>IF(vp.tbl[[#This Row],[CrudeType]]="C5+",1,0)</f>
        <v>0</v>
      </c>
      <c r="Z670">
        <f>IF(AND(vp.tbl[[#This Row],[CrudeType]]="Crude",vp.tbl[[#This Row],[Dens]]&lt;=825,vp.tbl[[#This Row],[Sulf]]&gt;0.5,vp.tbl[[#This Row],[Unknown]]=0),1,0)</f>
        <v>1</v>
      </c>
      <c r="AA670">
        <f>IF(AND(vp.tbl[[#This Row],[CrudeType]]="Crude",vp.tbl[[#This Row],[Dens]]&lt;=825,vp.tbl[[#This Row],[Sulf]]&lt;=0.5,vp.tbl[[#This Row],[Unknown]]=0),1,0)</f>
        <v>0</v>
      </c>
      <c r="AB670">
        <f>IF(AND(vp.tbl[[#This Row],[CrudeType]]="Crude",vp.tbl[[#This Row],[Dens]]&gt;825,vp.tbl[[#This Row],[Dens]]&lt;=870,vp.tbl[[#This Row],[Sulf]]&gt;0.5,vp.tbl[[#This Row],[Unknown]]=0),1,0)</f>
        <v>0</v>
      </c>
      <c r="AC670">
        <f>IF(AND(vp.tbl[[#This Row],[CrudeType]]="Crude",vp.tbl[[#This Row],[Dens]]&gt;825,vp.tbl[[#This Row],[Dens]]&lt;=900,vp.tbl[[#This Row],[Sulf]]&lt;=0.5,vp.tbl[[#This Row],[Unknown]]=0),1,0)</f>
        <v>0</v>
      </c>
      <c r="AD670">
        <f>IF(AND(vp.tbl[[#This Row],[CrudeType]]="Crude",vp.tbl[[#This Row],[Dens]]&gt;870,vp.tbl[[#This Row],[Dens]]&lt;=900,vp.tbl[[#This Row],[Sulf]]&gt;0.5,vp.tbl[[#This Row],[Unknown]]=0),1,0)</f>
        <v>0</v>
      </c>
      <c r="AE670">
        <f>IF(AND(vp.tbl[[#This Row],[CrudeType]]="Crude",vp.tbl[[#This Row],[Dens]]&gt;900,vp.tbl[[#This Row],[Sulf]]&lt;=0.5,vp.tbl[[#This Row],[Unknown]]=0),1,0)</f>
        <v>0</v>
      </c>
      <c r="AF670">
        <f>IF(AND(vp.tbl[[#This Row],[CrudeType]]="Crude",vp.tbl[[#This Row],[Dens]]&gt;900,vp.tbl[[#This Row],[Sulf]]&lt;=0.5,vp.tbl[[#This Row],[Unknown]]=0),1,0)</f>
        <v>0</v>
      </c>
      <c r="AG670" t="str">
        <f>INDEX(vp.tbl[[#Headers],[Unknown]:[Heavy_SW]],MATCH(1,vp.tbl[[#This Row],[Unknown]:[Heavy_SW]],0))</f>
        <v>Light_LSB</v>
      </c>
      <c r="AH670" t="e">
        <f>INDEX([1]!crudeBD.lkup[Number],MATCH(vp.tbl[[#This Row],[Crude_Breakdown]],[1]!crudeBD.lkup[Crude Breakdown],0))</f>
        <v>#REF!</v>
      </c>
      <c r="AI670">
        <f>MONTH(vp.tbl[[#This Row],[SDate]])</f>
        <v>1</v>
      </c>
      <c r="AJ670" s="5">
        <f>IFERROR(vp.tbl[[#This Row],[Sulf]]*vp.tbl[[#This Row],[Net Dens]],"")</f>
        <v>3517971.5854079998</v>
      </c>
      <c r="AK670" s="5">
        <f>IFERROR(vp.tbl[[#This Row],[Dens]]*vp.tbl[[#This Row],[VolumeM3]],"")</f>
        <v>4886071.6464</v>
      </c>
      <c r="AL670" s="5">
        <f>IFERROR(vp.tbl[[#This Row],[VP]]*vp.tbl[[#This Row],[VolumeM3]],"")</f>
        <v>524396.48400000005</v>
      </c>
      <c r="AM670" s="4">
        <f>IFERROR((vp.tbl[[#This Row],[VP]]-INDEX(crudeBD.lkup.complete[Mean_VP],MATCH(vp.tbl[[#This Row],[Crude_Breakdown]],crudeBD.lkup.complete[Crude Breakdown],0)))^2,"")</f>
        <v>9.2792465086621085</v>
      </c>
      <c r="AN670" s="4">
        <f>IFERROR((vp.tbl[[#This Row],[Dens]]-INDEX(crudeBD.lkup.complete[Mean_Dens],MATCH(vp.tbl[[#This Row],[Crude_Breakdown]],crudeBD.lkup.complete[Crude Breakdown],0)))^2,"")</f>
        <v>37.005690159544017</v>
      </c>
      <c r="AO670" s="4">
        <f>IFERROR((vp.tbl[[#This Row],[Sulf]]-INDEX(crudeBD.lkup.complete[Mean_Sulf],MATCH(vp.tbl[[#This Row],[Crude_Breakdown]],crudeBD.lkup.complete[Crude Breakdown],0)))^2,"")</f>
        <v>4.1197295195523106E-2</v>
      </c>
      <c r="AP670">
        <f>IF(AND(vp.tbl[[#This Row],[SDate]]&gt;=DATE(YEAR(vp.tbl[[#This Row],[SDate]]),5,1),vp.tbl[[#This Row],[SDate]]&lt;=DATE(YEAR(vp.tbl[[#This Row],[SDate]]),9,15)),1,0)</f>
        <v>0</v>
      </c>
      <c r="AQ670" s="15">
        <f>IF(vp.tbl[[#This Row],[SDate]]&lt;DATE(2016,12,1),0,1)</f>
        <v>1</v>
      </c>
    </row>
    <row r="671" spans="1:43" x14ac:dyDescent="0.25">
      <c r="A671">
        <v>670</v>
      </c>
      <c r="B671" t="s">
        <v>51</v>
      </c>
      <c r="C671" t="s">
        <v>51</v>
      </c>
      <c r="D671" t="s">
        <v>72</v>
      </c>
      <c r="F671" s="1">
        <v>42761</v>
      </c>
      <c r="G671" s="2">
        <v>97.4</v>
      </c>
      <c r="H671" s="2"/>
      <c r="I671" s="2">
        <v>1.1599999999999999</v>
      </c>
      <c r="J671" s="2">
        <v>21.3</v>
      </c>
      <c r="K671" s="2">
        <v>-10</v>
      </c>
      <c r="L671" s="2">
        <v>833.2</v>
      </c>
      <c r="M671" s="2">
        <v>833.2</v>
      </c>
      <c r="N671" s="2">
        <f ca="1">INDEX(INDIRECT(_xlfn.CONCAT("weather.tbl[",N$1,"]")),MATCH(vp.tbl[[#This Row],[SDate]],weather.tbl[Date],0))</f>
        <v>-11.866666666666667</v>
      </c>
      <c r="O671" s="2">
        <f ca="1">INDEX(INDIRECT(_xlfn.CONCAT("weather.tbl[",O$1,"]")),MATCH(vp.tbl[[#This Row],[SDate]],weather.tbl[Date],0))</f>
        <v>-7.5095238095238104</v>
      </c>
      <c r="P671" s="2">
        <f ca="1">INDEX(INDIRECT(_xlfn.CONCAT("weather.tbl[",P$1,"]")),MATCH(vp.tbl[[#This Row],[SDate]],weather.tbl[Date],0))</f>
        <v>-12.9</v>
      </c>
      <c r="Q671" s="2">
        <f ca="1">INDEX(INDIRECT(_xlfn.CONCAT("weather.tbl[",Q$1,"]")),MATCH(vp.tbl[[#This Row],[SDate]],weather.tbl[Date],0))</f>
        <v>-12.1</v>
      </c>
      <c r="R671" s="2">
        <f ca="1">INDEX(INDIRECT(_xlfn.CONCAT("weather.tbl[",R$1,"]")),MATCH(vp.tbl[[#This Row],[SDate]],weather.tbl[Date],0))</f>
        <v>-13.5</v>
      </c>
      <c r="S671" s="2">
        <f ca="1">INDEX(INDIRECT(_xlfn.CONCAT("weather.tbl[",S$1,"]")),MATCH(vp.tbl[[#This Row],[SDate]],weather.tbl[Date],0))</f>
        <v>-11.3</v>
      </c>
      <c r="T671" s="2">
        <f ca="1">INDEX(INDIRECT(_xlfn.CONCAT("weather.tbl[",T$1,"]")),MATCH(vp.tbl[[#This Row],[SDate]],weather.tbl[Date],0))</f>
        <v>-10.6</v>
      </c>
      <c r="U671" s="2">
        <f ca="1">INDEX(INDIRECT(_xlfn.CONCAT("weather.tbl[",U$1,"]")),MATCH(vp.tbl[[#This Row],[SDate]],weather.tbl[Date],0))</f>
        <v>-10.8</v>
      </c>
      <c r="V671" s="2">
        <v>14039.305</v>
      </c>
      <c r="W671" t="s">
        <v>48</v>
      </c>
      <c r="X671">
        <f>IF(OR(vp.tbl[[#This Row],[Sulf]]="",vp.tbl[[#This Row],[Dens]]=""),1,0)</f>
        <v>0</v>
      </c>
      <c r="Y671">
        <f>IF(vp.tbl[[#This Row],[CrudeType]]="C5+",1,0)</f>
        <v>0</v>
      </c>
      <c r="Z671">
        <f>IF(AND(vp.tbl[[#This Row],[CrudeType]]="Crude",vp.tbl[[#This Row],[Dens]]&lt;=825,vp.tbl[[#This Row],[Sulf]]&gt;0.5,vp.tbl[[#This Row],[Unknown]]=0),1,0)</f>
        <v>0</v>
      </c>
      <c r="AA671">
        <f>IF(AND(vp.tbl[[#This Row],[CrudeType]]="Crude",vp.tbl[[#This Row],[Dens]]&lt;=825,vp.tbl[[#This Row],[Sulf]]&lt;=0.5,vp.tbl[[#This Row],[Unknown]]=0),1,0)</f>
        <v>0</v>
      </c>
      <c r="AB671">
        <f>IF(AND(vp.tbl[[#This Row],[CrudeType]]="Crude",vp.tbl[[#This Row],[Dens]]&gt;825,vp.tbl[[#This Row],[Dens]]&lt;=870,vp.tbl[[#This Row],[Sulf]]&gt;0.5,vp.tbl[[#This Row],[Unknown]]=0),1,0)</f>
        <v>1</v>
      </c>
      <c r="AC671">
        <f>IF(AND(vp.tbl[[#This Row],[CrudeType]]="Crude",vp.tbl[[#This Row],[Dens]]&gt;825,vp.tbl[[#This Row],[Dens]]&lt;=900,vp.tbl[[#This Row],[Sulf]]&lt;=0.5,vp.tbl[[#This Row],[Unknown]]=0),1,0)</f>
        <v>0</v>
      </c>
      <c r="AD671">
        <f>IF(AND(vp.tbl[[#This Row],[CrudeType]]="Crude",vp.tbl[[#This Row],[Dens]]&gt;870,vp.tbl[[#This Row],[Dens]]&lt;=900,vp.tbl[[#This Row],[Sulf]]&gt;0.5,vp.tbl[[#This Row],[Unknown]]=0),1,0)</f>
        <v>0</v>
      </c>
      <c r="AE671">
        <f>IF(AND(vp.tbl[[#This Row],[CrudeType]]="Crude",vp.tbl[[#This Row],[Dens]]&gt;900,vp.tbl[[#This Row],[Sulf]]&lt;=0.5,vp.tbl[[#This Row],[Unknown]]=0),1,0)</f>
        <v>0</v>
      </c>
      <c r="AF671">
        <f>IF(AND(vp.tbl[[#This Row],[CrudeType]]="Crude",vp.tbl[[#This Row],[Dens]]&gt;900,vp.tbl[[#This Row],[Sulf]]&lt;=0.5,vp.tbl[[#This Row],[Unknown]]=0),1,0)</f>
        <v>0</v>
      </c>
      <c r="AG671" t="str">
        <f>INDEX(vp.tbl[[#Headers],[Unknown]:[Heavy_SW]],MATCH(1,vp.tbl[[#This Row],[Unknown]:[Heavy_SW]],0))</f>
        <v>Medium_LSB</v>
      </c>
      <c r="AH671" t="e">
        <f>INDEX([1]!crudeBD.lkup[Number],MATCH(vp.tbl[[#This Row],[Crude_Breakdown]],[1]!crudeBD.lkup[Crude Breakdown],0))</f>
        <v>#REF!</v>
      </c>
      <c r="AI671">
        <f>MONTH(vp.tbl[[#This Row],[SDate]])</f>
        <v>1</v>
      </c>
      <c r="AJ671" s="5">
        <f>IFERROR(vp.tbl[[#This Row],[Sulf]]*vp.tbl[[#This Row],[Net Dens]],"")</f>
        <v>13569156.75416</v>
      </c>
      <c r="AK671" s="5">
        <f>IFERROR(vp.tbl[[#This Row],[Dens]]*vp.tbl[[#This Row],[VolumeM3]],"")</f>
        <v>11697548.926000001</v>
      </c>
      <c r="AL671" s="5">
        <f>IFERROR(vp.tbl[[#This Row],[VP]]*vp.tbl[[#This Row],[VolumeM3]],"")</f>
        <v>1367428.307</v>
      </c>
      <c r="AM671" s="4">
        <f>IFERROR((vp.tbl[[#This Row],[VP]]-INDEX(crudeBD.lkup.complete[Mean_VP],MATCH(vp.tbl[[#This Row],[Crude_Breakdown]],crudeBD.lkup.complete[Crude Breakdown],0)))^2,"")</f>
        <v>296.74903140458406</v>
      </c>
      <c r="AN671" s="4">
        <f>IFERROR((vp.tbl[[#This Row],[Dens]]-INDEX(crudeBD.lkup.complete[Mean_Dens],MATCH(vp.tbl[[#This Row],[Crude_Breakdown]],crudeBD.lkup.complete[Crude Breakdown],0)))^2,"")</f>
        <v>146.21217825922841</v>
      </c>
      <c r="AO671" s="4">
        <f>IFERROR((vp.tbl[[#This Row],[Sulf]]-INDEX(crudeBD.lkup.complete[Mean_Sulf],MATCH(vp.tbl[[#This Row],[Crude_Breakdown]],crudeBD.lkup.complete[Crude Breakdown],0)))^2,"")</f>
        <v>8.6983622767615246E-2</v>
      </c>
      <c r="AP671">
        <f>IF(AND(vp.tbl[[#This Row],[SDate]]&gt;=DATE(YEAR(vp.tbl[[#This Row],[SDate]]),5,1),vp.tbl[[#This Row],[SDate]]&lt;=DATE(YEAR(vp.tbl[[#This Row],[SDate]]),9,15)),1,0)</f>
        <v>0</v>
      </c>
      <c r="AQ671" s="15">
        <f>IF(vp.tbl[[#This Row],[SDate]]&lt;DATE(2016,12,1),0,1)</f>
        <v>1</v>
      </c>
    </row>
    <row r="672" spans="1:43" x14ac:dyDescent="0.25">
      <c r="A672">
        <v>671</v>
      </c>
      <c r="B672" t="s">
        <v>49</v>
      </c>
      <c r="C672" t="s">
        <v>49</v>
      </c>
      <c r="D672" t="s">
        <v>59</v>
      </c>
      <c r="F672" s="1">
        <v>42761</v>
      </c>
      <c r="G672" s="2">
        <v>86.3</v>
      </c>
      <c r="H672" s="2"/>
      <c r="I672" s="2">
        <v>1.79</v>
      </c>
      <c r="J672" s="2">
        <v>-1.4</v>
      </c>
      <c r="K672" s="2">
        <v>-10</v>
      </c>
      <c r="L672" s="2">
        <v>840</v>
      </c>
      <c r="M672" s="2">
        <v>840</v>
      </c>
      <c r="N672" s="2">
        <f ca="1">INDEX(INDIRECT(_xlfn.CONCAT("weather.tbl[",N$1,"]")),MATCH(vp.tbl[[#This Row],[SDate]],weather.tbl[Date],0))</f>
        <v>-11.866666666666667</v>
      </c>
      <c r="O672" s="2">
        <f ca="1">INDEX(INDIRECT(_xlfn.CONCAT("weather.tbl[",O$1,"]")),MATCH(vp.tbl[[#This Row],[SDate]],weather.tbl[Date],0))</f>
        <v>-7.5095238095238104</v>
      </c>
      <c r="P672" s="2">
        <f ca="1">INDEX(INDIRECT(_xlfn.CONCAT("weather.tbl[",P$1,"]")),MATCH(vp.tbl[[#This Row],[SDate]],weather.tbl[Date],0))</f>
        <v>-12.9</v>
      </c>
      <c r="Q672" s="2">
        <f ca="1">INDEX(INDIRECT(_xlfn.CONCAT("weather.tbl[",Q$1,"]")),MATCH(vp.tbl[[#This Row],[SDate]],weather.tbl[Date],0))</f>
        <v>-12.1</v>
      </c>
      <c r="R672" s="2">
        <f ca="1">INDEX(INDIRECT(_xlfn.CONCAT("weather.tbl[",R$1,"]")),MATCH(vp.tbl[[#This Row],[SDate]],weather.tbl[Date],0))</f>
        <v>-13.5</v>
      </c>
      <c r="S672" s="2">
        <f ca="1">INDEX(INDIRECT(_xlfn.CONCAT("weather.tbl[",S$1,"]")),MATCH(vp.tbl[[#This Row],[SDate]],weather.tbl[Date],0))</f>
        <v>-11.3</v>
      </c>
      <c r="T672" s="2">
        <f ca="1">INDEX(INDIRECT(_xlfn.CONCAT("weather.tbl[",T$1,"]")),MATCH(vp.tbl[[#This Row],[SDate]],weather.tbl[Date],0))</f>
        <v>-10.6</v>
      </c>
      <c r="U672" s="2">
        <f ca="1">INDEX(INDIRECT(_xlfn.CONCAT("weather.tbl[",U$1,"]")),MATCH(vp.tbl[[#This Row],[SDate]],weather.tbl[Date],0))</f>
        <v>-10.8</v>
      </c>
      <c r="V672" s="2">
        <v>1887.288</v>
      </c>
      <c r="W672" t="s">
        <v>48</v>
      </c>
      <c r="X672">
        <f>IF(OR(vp.tbl[[#This Row],[Sulf]]="",vp.tbl[[#This Row],[Dens]]=""),1,0)</f>
        <v>0</v>
      </c>
      <c r="Y672">
        <f>IF(vp.tbl[[#This Row],[CrudeType]]="C5+",1,0)</f>
        <v>0</v>
      </c>
      <c r="Z672">
        <f>IF(AND(vp.tbl[[#This Row],[CrudeType]]="Crude",vp.tbl[[#This Row],[Dens]]&lt;=825,vp.tbl[[#This Row],[Sulf]]&gt;0.5,vp.tbl[[#This Row],[Unknown]]=0),1,0)</f>
        <v>0</v>
      </c>
      <c r="AA672">
        <f>IF(AND(vp.tbl[[#This Row],[CrudeType]]="Crude",vp.tbl[[#This Row],[Dens]]&lt;=825,vp.tbl[[#This Row],[Sulf]]&lt;=0.5,vp.tbl[[#This Row],[Unknown]]=0),1,0)</f>
        <v>0</v>
      </c>
      <c r="AB672">
        <f>IF(AND(vp.tbl[[#This Row],[CrudeType]]="Crude",vp.tbl[[#This Row],[Dens]]&gt;825,vp.tbl[[#This Row],[Dens]]&lt;=870,vp.tbl[[#This Row],[Sulf]]&gt;0.5,vp.tbl[[#This Row],[Unknown]]=0),1,0)</f>
        <v>1</v>
      </c>
      <c r="AC672">
        <f>IF(AND(vp.tbl[[#This Row],[CrudeType]]="Crude",vp.tbl[[#This Row],[Dens]]&gt;825,vp.tbl[[#This Row],[Dens]]&lt;=900,vp.tbl[[#This Row],[Sulf]]&lt;=0.5,vp.tbl[[#This Row],[Unknown]]=0),1,0)</f>
        <v>0</v>
      </c>
      <c r="AD672">
        <f>IF(AND(vp.tbl[[#This Row],[CrudeType]]="Crude",vp.tbl[[#This Row],[Dens]]&gt;870,vp.tbl[[#This Row],[Dens]]&lt;=900,vp.tbl[[#This Row],[Sulf]]&gt;0.5,vp.tbl[[#This Row],[Unknown]]=0),1,0)</f>
        <v>0</v>
      </c>
      <c r="AE672">
        <f>IF(AND(vp.tbl[[#This Row],[CrudeType]]="Crude",vp.tbl[[#This Row],[Dens]]&gt;900,vp.tbl[[#This Row],[Sulf]]&lt;=0.5,vp.tbl[[#This Row],[Unknown]]=0),1,0)</f>
        <v>0</v>
      </c>
      <c r="AF672">
        <f>IF(AND(vp.tbl[[#This Row],[CrudeType]]="Crude",vp.tbl[[#This Row],[Dens]]&gt;900,vp.tbl[[#This Row],[Sulf]]&lt;=0.5,vp.tbl[[#This Row],[Unknown]]=0),1,0)</f>
        <v>0</v>
      </c>
      <c r="AG672" t="str">
        <f>INDEX(vp.tbl[[#Headers],[Unknown]:[Heavy_SW]],MATCH(1,vp.tbl[[#This Row],[Unknown]:[Heavy_SW]],0))</f>
        <v>Medium_LSB</v>
      </c>
      <c r="AH672" t="e">
        <f>INDEX([1]!crudeBD.lkup[Number],MATCH(vp.tbl[[#This Row],[Crude_Breakdown]],[1]!crudeBD.lkup[Crude Breakdown],0))</f>
        <v>#REF!</v>
      </c>
      <c r="AI672">
        <f>MONTH(vp.tbl[[#This Row],[SDate]])</f>
        <v>1</v>
      </c>
      <c r="AJ672" s="5">
        <f>IFERROR(vp.tbl[[#This Row],[Sulf]]*vp.tbl[[#This Row],[Net Dens]],"")</f>
        <v>2837726.2368000001</v>
      </c>
      <c r="AK672" s="5">
        <f>IFERROR(vp.tbl[[#This Row],[Dens]]*vp.tbl[[#This Row],[VolumeM3]],"")</f>
        <v>1585321.92</v>
      </c>
      <c r="AL672" s="5">
        <f>IFERROR(vp.tbl[[#This Row],[VP]]*vp.tbl[[#This Row],[VolumeM3]],"")</f>
        <v>162872.95439999999</v>
      </c>
      <c r="AM672" s="4">
        <f>IFERROR((vp.tbl[[#This Row],[VP]]-INDEX(crudeBD.lkup.complete[Mean_VP],MATCH(vp.tbl[[#This Row],[Crude_Breakdown]],crudeBD.lkup.complete[Crude Breakdown],0)))^2,"")</f>
        <v>37.532838999519726</v>
      </c>
      <c r="AN672" s="4">
        <f>IFERROR((vp.tbl[[#This Row],[Dens]]-INDEX(crudeBD.lkup.complete[Mean_Dens],MATCH(vp.tbl[[#This Row],[Crude_Breakdown]],crudeBD.lkup.complete[Crude Breakdown],0)))^2,"")</f>
        <v>28.003388385825183</v>
      </c>
      <c r="AO672" s="4">
        <f>IFERROR((vp.tbl[[#This Row],[Sulf]]-INDEX(crudeBD.lkup.complete[Mean_Sulf],MATCH(vp.tbl[[#This Row],[Crude_Breakdown]],crudeBD.lkup.complete[Crude Breakdown],0)))^2,"")</f>
        <v>0.11227199821065133</v>
      </c>
      <c r="AP672">
        <f>IF(AND(vp.tbl[[#This Row],[SDate]]&gt;=DATE(YEAR(vp.tbl[[#This Row],[SDate]]),5,1),vp.tbl[[#This Row],[SDate]]&lt;=DATE(YEAR(vp.tbl[[#This Row],[SDate]]),9,15)),1,0)</f>
        <v>0</v>
      </c>
      <c r="AQ672" s="15">
        <f>IF(vp.tbl[[#This Row],[SDate]]&lt;DATE(2016,12,1),0,1)</f>
        <v>1</v>
      </c>
    </row>
    <row r="673" spans="1:43" x14ac:dyDescent="0.25">
      <c r="A673">
        <v>672</v>
      </c>
      <c r="B673" t="s">
        <v>51</v>
      </c>
      <c r="C673" t="s">
        <v>51</v>
      </c>
      <c r="D673" t="s">
        <v>95</v>
      </c>
      <c r="F673" s="1">
        <v>42761</v>
      </c>
      <c r="G673" s="2">
        <v>64.7</v>
      </c>
      <c r="H673" s="2"/>
      <c r="I673" s="2">
        <v>1.22</v>
      </c>
      <c r="J673" s="2">
        <v>35.200000000000003</v>
      </c>
      <c r="K673" s="2">
        <v>-10</v>
      </c>
      <c r="L673" s="2">
        <v>843.3</v>
      </c>
      <c r="M673" s="2">
        <v>843.3</v>
      </c>
      <c r="N673" s="2">
        <f ca="1">INDEX(INDIRECT(_xlfn.CONCAT("weather.tbl[",N$1,"]")),MATCH(vp.tbl[[#This Row],[SDate]],weather.tbl[Date],0))</f>
        <v>-11.866666666666667</v>
      </c>
      <c r="O673" s="2">
        <f ca="1">INDEX(INDIRECT(_xlfn.CONCAT("weather.tbl[",O$1,"]")),MATCH(vp.tbl[[#This Row],[SDate]],weather.tbl[Date],0))</f>
        <v>-7.5095238095238104</v>
      </c>
      <c r="P673" s="2">
        <f ca="1">INDEX(INDIRECT(_xlfn.CONCAT("weather.tbl[",P$1,"]")),MATCH(vp.tbl[[#This Row],[SDate]],weather.tbl[Date],0))</f>
        <v>-12.9</v>
      </c>
      <c r="Q673" s="2">
        <f ca="1">INDEX(INDIRECT(_xlfn.CONCAT("weather.tbl[",Q$1,"]")),MATCH(vp.tbl[[#This Row],[SDate]],weather.tbl[Date],0))</f>
        <v>-12.1</v>
      </c>
      <c r="R673" s="2">
        <f ca="1">INDEX(INDIRECT(_xlfn.CONCAT("weather.tbl[",R$1,"]")),MATCH(vp.tbl[[#This Row],[SDate]],weather.tbl[Date],0))</f>
        <v>-13.5</v>
      </c>
      <c r="S673" s="2">
        <f ca="1">INDEX(INDIRECT(_xlfn.CONCAT("weather.tbl[",S$1,"]")),MATCH(vp.tbl[[#This Row],[SDate]],weather.tbl[Date],0))</f>
        <v>-11.3</v>
      </c>
      <c r="T673" s="2">
        <f ca="1">INDEX(INDIRECT(_xlfn.CONCAT("weather.tbl[",T$1,"]")),MATCH(vp.tbl[[#This Row],[SDate]],weather.tbl[Date],0))</f>
        <v>-10.6</v>
      </c>
      <c r="U673" s="2">
        <f ca="1">INDEX(INDIRECT(_xlfn.CONCAT("weather.tbl[",U$1,"]")),MATCH(vp.tbl[[#This Row],[SDate]],weather.tbl[Date],0))</f>
        <v>-10.8</v>
      </c>
      <c r="V673" s="2">
        <v>6182.9449999999997</v>
      </c>
      <c r="W673" t="s">
        <v>48</v>
      </c>
      <c r="X673">
        <f>IF(OR(vp.tbl[[#This Row],[Sulf]]="",vp.tbl[[#This Row],[Dens]]=""),1,0)</f>
        <v>0</v>
      </c>
      <c r="Y673">
        <f>IF(vp.tbl[[#This Row],[CrudeType]]="C5+",1,0)</f>
        <v>0</v>
      </c>
      <c r="Z673">
        <f>IF(AND(vp.tbl[[#This Row],[CrudeType]]="Crude",vp.tbl[[#This Row],[Dens]]&lt;=825,vp.tbl[[#This Row],[Sulf]]&gt;0.5,vp.tbl[[#This Row],[Unknown]]=0),1,0)</f>
        <v>0</v>
      </c>
      <c r="AA673">
        <f>IF(AND(vp.tbl[[#This Row],[CrudeType]]="Crude",vp.tbl[[#This Row],[Dens]]&lt;=825,vp.tbl[[#This Row],[Sulf]]&lt;=0.5,vp.tbl[[#This Row],[Unknown]]=0),1,0)</f>
        <v>0</v>
      </c>
      <c r="AB673">
        <f>IF(AND(vp.tbl[[#This Row],[CrudeType]]="Crude",vp.tbl[[#This Row],[Dens]]&gt;825,vp.tbl[[#This Row],[Dens]]&lt;=870,vp.tbl[[#This Row],[Sulf]]&gt;0.5,vp.tbl[[#This Row],[Unknown]]=0),1,0)</f>
        <v>1</v>
      </c>
      <c r="AC673">
        <f>IF(AND(vp.tbl[[#This Row],[CrudeType]]="Crude",vp.tbl[[#This Row],[Dens]]&gt;825,vp.tbl[[#This Row],[Dens]]&lt;=900,vp.tbl[[#This Row],[Sulf]]&lt;=0.5,vp.tbl[[#This Row],[Unknown]]=0),1,0)</f>
        <v>0</v>
      </c>
      <c r="AD673">
        <f>IF(AND(vp.tbl[[#This Row],[CrudeType]]="Crude",vp.tbl[[#This Row],[Dens]]&gt;870,vp.tbl[[#This Row],[Dens]]&lt;=900,vp.tbl[[#This Row],[Sulf]]&gt;0.5,vp.tbl[[#This Row],[Unknown]]=0),1,0)</f>
        <v>0</v>
      </c>
      <c r="AE673">
        <f>IF(AND(vp.tbl[[#This Row],[CrudeType]]="Crude",vp.tbl[[#This Row],[Dens]]&gt;900,vp.tbl[[#This Row],[Sulf]]&lt;=0.5,vp.tbl[[#This Row],[Unknown]]=0),1,0)</f>
        <v>0</v>
      </c>
      <c r="AF673">
        <f>IF(AND(vp.tbl[[#This Row],[CrudeType]]="Crude",vp.tbl[[#This Row],[Dens]]&gt;900,vp.tbl[[#This Row],[Sulf]]&lt;=0.5,vp.tbl[[#This Row],[Unknown]]=0),1,0)</f>
        <v>0</v>
      </c>
      <c r="AG673" t="str">
        <f>INDEX(vp.tbl[[#Headers],[Unknown]:[Heavy_SW]],MATCH(1,vp.tbl[[#This Row],[Unknown]:[Heavy_SW]],0))</f>
        <v>Medium_LSB</v>
      </c>
      <c r="AH673" t="e">
        <f>INDEX([1]!crudeBD.lkup[Number],MATCH(vp.tbl[[#This Row],[Crude_Breakdown]],[1]!crudeBD.lkup[Crude Breakdown],0))</f>
        <v>#REF!</v>
      </c>
      <c r="AI673">
        <f>MONTH(vp.tbl[[#This Row],[SDate]])</f>
        <v>1</v>
      </c>
      <c r="AJ673" s="5">
        <f>IFERROR(vp.tbl[[#This Row],[Sulf]]*vp.tbl[[#This Row],[Net Dens]],"")</f>
        <v>6361174.5725699989</v>
      </c>
      <c r="AK673" s="5">
        <f>IFERROR(vp.tbl[[#This Row],[Dens]]*vp.tbl[[#This Row],[VolumeM3]],"")</f>
        <v>5214077.5184999993</v>
      </c>
      <c r="AL673" s="5">
        <f>IFERROR(vp.tbl[[#This Row],[VP]]*vp.tbl[[#This Row],[VolumeM3]],"")</f>
        <v>400036.54149999999</v>
      </c>
      <c r="AM673" s="4">
        <f>IFERROR((vp.tbl[[#This Row],[VP]]-INDEX(crudeBD.lkup.complete[Mean_VP],MATCH(vp.tbl[[#This Row],[Crude_Breakdown]],crudeBD.lkup.complete[Crude Breakdown],0)))^2,"")</f>
        <v>239.43214026534088</v>
      </c>
      <c r="AN673" s="4">
        <f>IFERROR((vp.tbl[[#This Row],[Dens]]-INDEX(crudeBD.lkup.complete[Mean_Dens],MATCH(vp.tbl[[#This Row],[Crude_Breakdown]],crudeBD.lkup.complete[Crude Breakdown],0)))^2,"")</f>
        <v>3.9673580060850266</v>
      </c>
      <c r="AO673" s="4">
        <f>IFERROR((vp.tbl[[#This Row],[Sulf]]-INDEX(crudeBD.lkup.complete[Mean_Sulf],MATCH(vp.tbl[[#This Row],[Crude_Breakdown]],crudeBD.lkup.complete[Crude Breakdown],0)))^2,"")</f>
        <v>5.5192039476475795E-2</v>
      </c>
      <c r="AP673">
        <f>IF(AND(vp.tbl[[#This Row],[SDate]]&gt;=DATE(YEAR(vp.tbl[[#This Row],[SDate]]),5,1),vp.tbl[[#This Row],[SDate]]&lt;=DATE(YEAR(vp.tbl[[#This Row],[SDate]]),9,15)),1,0)</f>
        <v>0</v>
      </c>
      <c r="AQ673" s="15">
        <f>IF(vp.tbl[[#This Row],[SDate]]&lt;DATE(2016,12,1),0,1)</f>
        <v>1</v>
      </c>
    </row>
    <row r="674" spans="1:43" x14ac:dyDescent="0.25">
      <c r="A674">
        <v>673</v>
      </c>
      <c r="B674" t="s">
        <v>56</v>
      </c>
      <c r="C674" t="s">
        <v>56</v>
      </c>
      <c r="D674" t="s">
        <v>94</v>
      </c>
      <c r="F674" s="1">
        <v>42761</v>
      </c>
      <c r="G674" s="2">
        <v>81.7</v>
      </c>
      <c r="H674" s="2"/>
      <c r="I674" s="2">
        <v>1.98</v>
      </c>
      <c r="J674" s="2">
        <v>19</v>
      </c>
      <c r="K674" s="2">
        <v>-10</v>
      </c>
      <c r="L674" s="2">
        <v>855.7</v>
      </c>
      <c r="M674" s="2">
        <v>855.7</v>
      </c>
      <c r="N674" s="2">
        <f ca="1">INDEX(INDIRECT(_xlfn.CONCAT("weather.tbl[",N$1,"]")),MATCH(vp.tbl[[#This Row],[SDate]],weather.tbl[Date],0))</f>
        <v>-11.866666666666667</v>
      </c>
      <c r="O674" s="2">
        <f ca="1">INDEX(INDIRECT(_xlfn.CONCAT("weather.tbl[",O$1,"]")),MATCH(vp.tbl[[#This Row],[SDate]],weather.tbl[Date],0))</f>
        <v>-7.5095238095238104</v>
      </c>
      <c r="P674" s="2">
        <f ca="1">INDEX(INDIRECT(_xlfn.CONCAT("weather.tbl[",P$1,"]")),MATCH(vp.tbl[[#This Row],[SDate]],weather.tbl[Date],0))</f>
        <v>-12.9</v>
      </c>
      <c r="Q674" s="2">
        <f ca="1">INDEX(INDIRECT(_xlfn.CONCAT("weather.tbl[",Q$1,"]")),MATCH(vp.tbl[[#This Row],[SDate]],weather.tbl[Date],0))</f>
        <v>-12.1</v>
      </c>
      <c r="R674" s="2">
        <f ca="1">INDEX(INDIRECT(_xlfn.CONCAT("weather.tbl[",R$1,"]")),MATCH(vp.tbl[[#This Row],[SDate]],weather.tbl[Date],0))</f>
        <v>-13.5</v>
      </c>
      <c r="S674" s="2">
        <f ca="1">INDEX(INDIRECT(_xlfn.CONCAT("weather.tbl[",S$1,"]")),MATCH(vp.tbl[[#This Row],[SDate]],weather.tbl[Date],0))</f>
        <v>-11.3</v>
      </c>
      <c r="T674" s="2">
        <f ca="1">INDEX(INDIRECT(_xlfn.CONCAT("weather.tbl[",T$1,"]")),MATCH(vp.tbl[[#This Row],[SDate]],weather.tbl[Date],0))</f>
        <v>-10.6</v>
      </c>
      <c r="U674" s="2">
        <f ca="1">INDEX(INDIRECT(_xlfn.CONCAT("weather.tbl[",U$1,"]")),MATCH(vp.tbl[[#This Row],[SDate]],weather.tbl[Date],0))</f>
        <v>-10.8</v>
      </c>
      <c r="V674" s="2">
        <v>3861.2350000000001</v>
      </c>
      <c r="W674" t="s">
        <v>48</v>
      </c>
      <c r="X674">
        <f>IF(OR(vp.tbl[[#This Row],[Sulf]]="",vp.tbl[[#This Row],[Dens]]=""),1,0)</f>
        <v>0</v>
      </c>
      <c r="Y674">
        <f>IF(vp.tbl[[#This Row],[CrudeType]]="C5+",1,0)</f>
        <v>0</v>
      </c>
      <c r="Z674">
        <f>IF(AND(vp.tbl[[#This Row],[CrudeType]]="Crude",vp.tbl[[#This Row],[Dens]]&lt;=825,vp.tbl[[#This Row],[Sulf]]&gt;0.5,vp.tbl[[#This Row],[Unknown]]=0),1,0)</f>
        <v>0</v>
      </c>
      <c r="AA674">
        <f>IF(AND(vp.tbl[[#This Row],[CrudeType]]="Crude",vp.tbl[[#This Row],[Dens]]&lt;=825,vp.tbl[[#This Row],[Sulf]]&lt;=0.5,vp.tbl[[#This Row],[Unknown]]=0),1,0)</f>
        <v>0</v>
      </c>
      <c r="AB674">
        <f>IF(AND(vp.tbl[[#This Row],[CrudeType]]="Crude",vp.tbl[[#This Row],[Dens]]&gt;825,vp.tbl[[#This Row],[Dens]]&lt;=870,vp.tbl[[#This Row],[Sulf]]&gt;0.5,vp.tbl[[#This Row],[Unknown]]=0),1,0)</f>
        <v>1</v>
      </c>
      <c r="AC674">
        <f>IF(AND(vp.tbl[[#This Row],[CrudeType]]="Crude",vp.tbl[[#This Row],[Dens]]&gt;825,vp.tbl[[#This Row],[Dens]]&lt;=900,vp.tbl[[#This Row],[Sulf]]&lt;=0.5,vp.tbl[[#This Row],[Unknown]]=0),1,0)</f>
        <v>0</v>
      </c>
      <c r="AD674">
        <f>IF(AND(vp.tbl[[#This Row],[CrudeType]]="Crude",vp.tbl[[#This Row],[Dens]]&gt;870,vp.tbl[[#This Row],[Dens]]&lt;=900,vp.tbl[[#This Row],[Sulf]]&gt;0.5,vp.tbl[[#This Row],[Unknown]]=0),1,0)</f>
        <v>0</v>
      </c>
      <c r="AE674">
        <f>IF(AND(vp.tbl[[#This Row],[CrudeType]]="Crude",vp.tbl[[#This Row],[Dens]]&gt;900,vp.tbl[[#This Row],[Sulf]]&lt;=0.5,vp.tbl[[#This Row],[Unknown]]=0),1,0)</f>
        <v>0</v>
      </c>
      <c r="AF674">
        <f>IF(AND(vp.tbl[[#This Row],[CrudeType]]="Crude",vp.tbl[[#This Row],[Dens]]&gt;900,vp.tbl[[#This Row],[Sulf]]&lt;=0.5,vp.tbl[[#This Row],[Unknown]]=0),1,0)</f>
        <v>0</v>
      </c>
      <c r="AG674" t="str">
        <f>INDEX(vp.tbl[[#Headers],[Unknown]:[Heavy_SW]],MATCH(1,vp.tbl[[#This Row],[Unknown]:[Heavy_SW]],0))</f>
        <v>Medium_LSB</v>
      </c>
      <c r="AH674" t="e">
        <f>INDEX([1]!crudeBD.lkup[Number],MATCH(vp.tbl[[#This Row],[Crude_Breakdown]],[1]!crudeBD.lkup[Crude Breakdown],0))</f>
        <v>#REF!</v>
      </c>
      <c r="AI674">
        <f>MONTH(vp.tbl[[#This Row],[SDate]])</f>
        <v>1</v>
      </c>
      <c r="AJ674" s="5">
        <f>IFERROR(vp.tbl[[#This Row],[Sulf]]*vp.tbl[[#This Row],[Net Dens]],"")</f>
        <v>6542036.4032100011</v>
      </c>
      <c r="AK674" s="5">
        <f>IFERROR(vp.tbl[[#This Row],[Dens]]*vp.tbl[[#This Row],[VolumeM3]],"")</f>
        <v>3304058.7895000004</v>
      </c>
      <c r="AL674" s="5">
        <f>IFERROR(vp.tbl[[#This Row],[VP]]*vp.tbl[[#This Row],[VolumeM3]],"")</f>
        <v>315462.8995</v>
      </c>
      <c r="AM674" s="4">
        <f>IFERROR((vp.tbl[[#This Row],[VP]]-INDEX(crudeBD.lkup.complete[Mean_VP],MATCH(vp.tbl[[#This Row],[Crude_Breakdown]],crudeBD.lkup.complete[Crude Breakdown],0)))^2,"")</f>
        <v>2.3299124172409482</v>
      </c>
      <c r="AN674" s="4">
        <f>IFERROR((vp.tbl[[#This Row],[Dens]]-INDEX(crudeBD.lkup.complete[Mean_Dens],MATCH(vp.tbl[[#This Row],[Crude_Breakdown]],crudeBD.lkup.complete[Crude Breakdown],0)))^2,"")</f>
        <v>108.33015294281907</v>
      </c>
      <c r="AO674" s="4">
        <f>IFERROR((vp.tbl[[#This Row],[Sulf]]-INDEX(crudeBD.lkup.complete[Mean_Sulf],MATCH(vp.tbl[[#This Row],[Crude_Breakdown]],crudeBD.lkup.complete[Crude Breakdown],0)))^2,"")</f>
        <v>0.27569865112204311</v>
      </c>
      <c r="AP674">
        <f>IF(AND(vp.tbl[[#This Row],[SDate]]&gt;=DATE(YEAR(vp.tbl[[#This Row],[SDate]]),5,1),vp.tbl[[#This Row],[SDate]]&lt;=DATE(YEAR(vp.tbl[[#This Row],[SDate]]),9,15)),1,0)</f>
        <v>0</v>
      </c>
      <c r="AQ674" s="15">
        <f>IF(vp.tbl[[#This Row],[SDate]]&lt;DATE(2016,12,1),0,1)</f>
        <v>1</v>
      </c>
    </row>
    <row r="675" spans="1:43" x14ac:dyDescent="0.25">
      <c r="A675">
        <v>674</v>
      </c>
      <c r="B675" t="s">
        <v>51</v>
      </c>
      <c r="C675" t="s">
        <v>51</v>
      </c>
      <c r="D675" t="s">
        <v>58</v>
      </c>
      <c r="F675" s="1">
        <v>42761</v>
      </c>
      <c r="G675" s="2">
        <v>81.5</v>
      </c>
      <c r="H675" s="2"/>
      <c r="I675" s="2">
        <v>1.64</v>
      </c>
      <c r="J675" s="2">
        <v>28.8</v>
      </c>
      <c r="K675" s="2">
        <v>-10</v>
      </c>
      <c r="L675" s="2">
        <v>857.2</v>
      </c>
      <c r="M675" s="2">
        <v>857.2</v>
      </c>
      <c r="N675" s="2">
        <f ca="1">INDEX(INDIRECT(_xlfn.CONCAT("weather.tbl[",N$1,"]")),MATCH(vp.tbl[[#This Row],[SDate]],weather.tbl[Date],0))</f>
        <v>-11.866666666666667</v>
      </c>
      <c r="O675" s="2">
        <f ca="1">INDEX(INDIRECT(_xlfn.CONCAT("weather.tbl[",O$1,"]")),MATCH(vp.tbl[[#This Row],[SDate]],weather.tbl[Date],0))</f>
        <v>-7.5095238095238104</v>
      </c>
      <c r="P675" s="2">
        <f ca="1">INDEX(INDIRECT(_xlfn.CONCAT("weather.tbl[",P$1,"]")),MATCH(vp.tbl[[#This Row],[SDate]],weather.tbl[Date],0))</f>
        <v>-12.9</v>
      </c>
      <c r="Q675" s="2">
        <f ca="1">INDEX(INDIRECT(_xlfn.CONCAT("weather.tbl[",Q$1,"]")),MATCH(vp.tbl[[#This Row],[SDate]],weather.tbl[Date],0))</f>
        <v>-12.1</v>
      </c>
      <c r="R675" s="2">
        <f ca="1">INDEX(INDIRECT(_xlfn.CONCAT("weather.tbl[",R$1,"]")),MATCH(vp.tbl[[#This Row],[SDate]],weather.tbl[Date],0))</f>
        <v>-13.5</v>
      </c>
      <c r="S675" s="2">
        <f ca="1">INDEX(INDIRECT(_xlfn.CONCAT("weather.tbl[",S$1,"]")),MATCH(vp.tbl[[#This Row],[SDate]],weather.tbl[Date],0))</f>
        <v>-11.3</v>
      </c>
      <c r="T675" s="2">
        <f ca="1">INDEX(INDIRECT(_xlfn.CONCAT("weather.tbl[",T$1,"]")),MATCH(vp.tbl[[#This Row],[SDate]],weather.tbl[Date],0))</f>
        <v>-10.6</v>
      </c>
      <c r="U675" s="2">
        <f ca="1">INDEX(INDIRECT(_xlfn.CONCAT("weather.tbl[",U$1,"]")),MATCH(vp.tbl[[#This Row],[SDate]],weather.tbl[Date],0))</f>
        <v>-10.8</v>
      </c>
      <c r="V675" s="2">
        <v>5017.2560000000003</v>
      </c>
      <c r="W675" t="s">
        <v>48</v>
      </c>
      <c r="X675">
        <f>IF(OR(vp.tbl[[#This Row],[Sulf]]="",vp.tbl[[#This Row],[Dens]]=""),1,0)</f>
        <v>0</v>
      </c>
      <c r="Y675">
        <f>IF(vp.tbl[[#This Row],[CrudeType]]="C5+",1,0)</f>
        <v>0</v>
      </c>
      <c r="Z675">
        <f>IF(AND(vp.tbl[[#This Row],[CrudeType]]="Crude",vp.tbl[[#This Row],[Dens]]&lt;=825,vp.tbl[[#This Row],[Sulf]]&gt;0.5,vp.tbl[[#This Row],[Unknown]]=0),1,0)</f>
        <v>0</v>
      </c>
      <c r="AA675">
        <f>IF(AND(vp.tbl[[#This Row],[CrudeType]]="Crude",vp.tbl[[#This Row],[Dens]]&lt;=825,vp.tbl[[#This Row],[Sulf]]&lt;=0.5,vp.tbl[[#This Row],[Unknown]]=0),1,0)</f>
        <v>0</v>
      </c>
      <c r="AB675">
        <f>IF(AND(vp.tbl[[#This Row],[CrudeType]]="Crude",vp.tbl[[#This Row],[Dens]]&gt;825,vp.tbl[[#This Row],[Dens]]&lt;=870,vp.tbl[[#This Row],[Sulf]]&gt;0.5,vp.tbl[[#This Row],[Unknown]]=0),1,0)</f>
        <v>1</v>
      </c>
      <c r="AC675">
        <f>IF(AND(vp.tbl[[#This Row],[CrudeType]]="Crude",vp.tbl[[#This Row],[Dens]]&gt;825,vp.tbl[[#This Row],[Dens]]&lt;=900,vp.tbl[[#This Row],[Sulf]]&lt;=0.5,vp.tbl[[#This Row],[Unknown]]=0),1,0)</f>
        <v>0</v>
      </c>
      <c r="AD675">
        <f>IF(AND(vp.tbl[[#This Row],[CrudeType]]="Crude",vp.tbl[[#This Row],[Dens]]&gt;870,vp.tbl[[#This Row],[Dens]]&lt;=900,vp.tbl[[#This Row],[Sulf]]&gt;0.5,vp.tbl[[#This Row],[Unknown]]=0),1,0)</f>
        <v>0</v>
      </c>
      <c r="AE675">
        <f>IF(AND(vp.tbl[[#This Row],[CrudeType]]="Crude",vp.tbl[[#This Row],[Dens]]&gt;900,vp.tbl[[#This Row],[Sulf]]&lt;=0.5,vp.tbl[[#This Row],[Unknown]]=0),1,0)</f>
        <v>0</v>
      </c>
      <c r="AF675">
        <f>IF(AND(vp.tbl[[#This Row],[CrudeType]]="Crude",vp.tbl[[#This Row],[Dens]]&gt;900,vp.tbl[[#This Row],[Sulf]]&lt;=0.5,vp.tbl[[#This Row],[Unknown]]=0),1,0)</f>
        <v>0</v>
      </c>
      <c r="AG675" t="str">
        <f>INDEX(vp.tbl[[#Headers],[Unknown]:[Heavy_SW]],MATCH(1,vp.tbl[[#This Row],[Unknown]:[Heavy_SW]],0))</f>
        <v>Medium_LSB</v>
      </c>
      <c r="AH675" t="e">
        <f>INDEX([1]!crudeBD.lkup[Number],MATCH(vp.tbl[[#This Row],[Crude_Breakdown]],[1]!crudeBD.lkup[Crude Breakdown],0))</f>
        <v>#REF!</v>
      </c>
      <c r="AI675">
        <f>MONTH(vp.tbl[[#This Row],[SDate]])</f>
        <v>1</v>
      </c>
      <c r="AJ675" s="5">
        <f>IFERROR(vp.tbl[[#This Row],[Sulf]]*vp.tbl[[#This Row],[Net Dens]],"")</f>
        <v>7053298.6228480013</v>
      </c>
      <c r="AK675" s="5">
        <f>IFERROR(vp.tbl[[#This Row],[Dens]]*vp.tbl[[#This Row],[VolumeM3]],"")</f>
        <v>4300791.8432000009</v>
      </c>
      <c r="AL675" s="5">
        <f>IFERROR(vp.tbl[[#This Row],[VP]]*vp.tbl[[#This Row],[VolumeM3]],"")</f>
        <v>408906.364</v>
      </c>
      <c r="AM675" s="4">
        <f>IFERROR((vp.tbl[[#This Row],[VP]]-INDEX(crudeBD.lkup.complete[Mean_VP],MATCH(vp.tbl[[#This Row],[Crude_Breakdown]],crudeBD.lkup.complete[Crude Breakdown],0)))^2,"")</f>
        <v>1.7593503919244691</v>
      </c>
      <c r="AN675" s="4">
        <f>IFERROR((vp.tbl[[#This Row],[Dens]]-INDEX(crudeBD.lkup.complete[Mean_Dens],MATCH(vp.tbl[[#This Row],[Crude_Breakdown]],crudeBD.lkup.complete[Crude Breakdown],0)))^2,"")</f>
        <v>141.80468458839178</v>
      </c>
      <c r="AO675" s="4">
        <f>IFERROR((vp.tbl[[#This Row],[Sulf]]-INDEX(crudeBD.lkup.complete[Mean_Sulf],MATCH(vp.tbl[[#This Row],[Crude_Breakdown]],crudeBD.lkup.complete[Crude Breakdown],0)))^2,"")</f>
        <v>3.4250956438499819E-2</v>
      </c>
      <c r="AP675">
        <f>IF(AND(vp.tbl[[#This Row],[SDate]]&gt;=DATE(YEAR(vp.tbl[[#This Row],[SDate]]),5,1),vp.tbl[[#This Row],[SDate]]&lt;=DATE(YEAR(vp.tbl[[#This Row],[SDate]]),9,15)),1,0)</f>
        <v>0</v>
      </c>
      <c r="AQ675" s="15">
        <f>IF(vp.tbl[[#This Row],[SDate]]&lt;DATE(2016,12,1),0,1)</f>
        <v>1</v>
      </c>
    </row>
    <row r="676" spans="1:43" x14ac:dyDescent="0.25">
      <c r="A676">
        <v>675</v>
      </c>
      <c r="B676" t="s">
        <v>46</v>
      </c>
      <c r="C676" t="s">
        <v>46</v>
      </c>
      <c r="D676" t="s">
        <v>47</v>
      </c>
      <c r="F676" s="1">
        <v>42761</v>
      </c>
      <c r="G676" s="2">
        <v>57.6</v>
      </c>
      <c r="H676" s="2"/>
      <c r="I676" s="2">
        <v>2.34</v>
      </c>
      <c r="J676" s="2">
        <v>28.5</v>
      </c>
      <c r="K676" s="2">
        <v>-10</v>
      </c>
      <c r="L676" s="2">
        <v>865.8</v>
      </c>
      <c r="M676" s="2">
        <v>865.8</v>
      </c>
      <c r="N676" s="2">
        <f ca="1">INDEX(INDIRECT(_xlfn.CONCAT("weather.tbl[",N$1,"]")),MATCH(vp.tbl[[#This Row],[SDate]],weather.tbl[Date],0))</f>
        <v>-11.866666666666667</v>
      </c>
      <c r="O676" s="2">
        <f ca="1">INDEX(INDIRECT(_xlfn.CONCAT("weather.tbl[",O$1,"]")),MATCH(vp.tbl[[#This Row],[SDate]],weather.tbl[Date],0))</f>
        <v>-7.5095238095238104</v>
      </c>
      <c r="P676" s="2">
        <f ca="1">INDEX(INDIRECT(_xlfn.CONCAT("weather.tbl[",P$1,"]")),MATCH(vp.tbl[[#This Row],[SDate]],weather.tbl[Date],0))</f>
        <v>-12.9</v>
      </c>
      <c r="Q676" s="2">
        <f ca="1">INDEX(INDIRECT(_xlfn.CONCAT("weather.tbl[",Q$1,"]")),MATCH(vp.tbl[[#This Row],[SDate]],weather.tbl[Date],0))</f>
        <v>-12.1</v>
      </c>
      <c r="R676" s="2">
        <f ca="1">INDEX(INDIRECT(_xlfn.CONCAT("weather.tbl[",R$1,"]")),MATCH(vp.tbl[[#This Row],[SDate]],weather.tbl[Date],0))</f>
        <v>-13.5</v>
      </c>
      <c r="S676" s="2">
        <f ca="1">INDEX(INDIRECT(_xlfn.CONCAT("weather.tbl[",S$1,"]")),MATCH(vp.tbl[[#This Row],[SDate]],weather.tbl[Date],0))</f>
        <v>-11.3</v>
      </c>
      <c r="T676" s="2">
        <f ca="1">INDEX(INDIRECT(_xlfn.CONCAT("weather.tbl[",T$1,"]")),MATCH(vp.tbl[[#This Row],[SDate]],weather.tbl[Date],0))</f>
        <v>-10.6</v>
      </c>
      <c r="U676" s="2">
        <f ca="1">INDEX(INDIRECT(_xlfn.CONCAT("weather.tbl[",U$1,"]")),MATCH(vp.tbl[[#This Row],[SDate]],weather.tbl[Date],0))</f>
        <v>-10.8</v>
      </c>
      <c r="V676" s="2">
        <v>115522.52099999999</v>
      </c>
      <c r="W676" t="s">
        <v>48</v>
      </c>
      <c r="X676">
        <f>IF(OR(vp.tbl[[#This Row],[Sulf]]="",vp.tbl[[#This Row],[Dens]]=""),1,0)</f>
        <v>0</v>
      </c>
      <c r="Y676">
        <f>IF(vp.tbl[[#This Row],[CrudeType]]="C5+",1,0)</f>
        <v>0</v>
      </c>
      <c r="Z676">
        <f>IF(AND(vp.tbl[[#This Row],[CrudeType]]="Crude",vp.tbl[[#This Row],[Dens]]&lt;=825,vp.tbl[[#This Row],[Sulf]]&gt;0.5,vp.tbl[[#This Row],[Unknown]]=0),1,0)</f>
        <v>0</v>
      </c>
      <c r="AA676">
        <f>IF(AND(vp.tbl[[#This Row],[CrudeType]]="Crude",vp.tbl[[#This Row],[Dens]]&lt;=825,vp.tbl[[#This Row],[Sulf]]&lt;=0.5,vp.tbl[[#This Row],[Unknown]]=0),1,0)</f>
        <v>0</v>
      </c>
      <c r="AB676">
        <f>IF(AND(vp.tbl[[#This Row],[CrudeType]]="Crude",vp.tbl[[#This Row],[Dens]]&gt;825,vp.tbl[[#This Row],[Dens]]&lt;=870,vp.tbl[[#This Row],[Sulf]]&gt;0.5,vp.tbl[[#This Row],[Unknown]]=0),1,0)</f>
        <v>1</v>
      </c>
      <c r="AC676">
        <f>IF(AND(vp.tbl[[#This Row],[CrudeType]]="Crude",vp.tbl[[#This Row],[Dens]]&gt;825,vp.tbl[[#This Row],[Dens]]&lt;=900,vp.tbl[[#This Row],[Sulf]]&lt;=0.5,vp.tbl[[#This Row],[Unknown]]=0),1,0)</f>
        <v>0</v>
      </c>
      <c r="AD676">
        <f>IF(AND(vp.tbl[[#This Row],[CrudeType]]="Crude",vp.tbl[[#This Row],[Dens]]&gt;870,vp.tbl[[#This Row],[Dens]]&lt;=900,vp.tbl[[#This Row],[Sulf]]&gt;0.5,vp.tbl[[#This Row],[Unknown]]=0),1,0)</f>
        <v>0</v>
      </c>
      <c r="AE676">
        <f>IF(AND(vp.tbl[[#This Row],[CrudeType]]="Crude",vp.tbl[[#This Row],[Dens]]&gt;900,vp.tbl[[#This Row],[Sulf]]&lt;=0.5,vp.tbl[[#This Row],[Unknown]]=0),1,0)</f>
        <v>0</v>
      </c>
      <c r="AF676">
        <f>IF(AND(vp.tbl[[#This Row],[CrudeType]]="Crude",vp.tbl[[#This Row],[Dens]]&gt;900,vp.tbl[[#This Row],[Sulf]]&lt;=0.5,vp.tbl[[#This Row],[Unknown]]=0),1,0)</f>
        <v>0</v>
      </c>
      <c r="AG676" t="str">
        <f>INDEX(vp.tbl[[#Headers],[Unknown]:[Heavy_SW]],MATCH(1,vp.tbl[[#This Row],[Unknown]:[Heavy_SW]],0))</f>
        <v>Medium_LSB</v>
      </c>
      <c r="AH676" t="e">
        <f>INDEX([1]!crudeBD.lkup[Number],MATCH(vp.tbl[[#This Row],[Crude_Breakdown]],[1]!crudeBD.lkup[Crude Breakdown],0))</f>
        <v>#REF!</v>
      </c>
      <c r="AI676">
        <f>MONTH(vp.tbl[[#This Row],[SDate]])</f>
        <v>1</v>
      </c>
      <c r="AJ676" s="5">
        <f>IFERROR(vp.tbl[[#This Row],[Sulf]]*vp.tbl[[#This Row],[Net Dens]],"")</f>
        <v>234045392.91541198</v>
      </c>
      <c r="AK676" s="5">
        <f>IFERROR(vp.tbl[[#This Row],[Dens]]*vp.tbl[[#This Row],[VolumeM3]],"")</f>
        <v>100019398.68179999</v>
      </c>
      <c r="AL676" s="5">
        <f>IFERROR(vp.tbl[[#This Row],[VP]]*vp.tbl[[#This Row],[VolumeM3]],"")</f>
        <v>6654097.2095999997</v>
      </c>
      <c r="AM676" s="4">
        <f>IFERROR((vp.tbl[[#This Row],[VP]]-INDEX(crudeBD.lkup.complete[Mean_VP],MATCH(vp.tbl[[#This Row],[Crude_Breakdown]],crudeBD.lkup.complete[Crude Breakdown],0)))^2,"")</f>
        <v>509.56718836660616</v>
      </c>
      <c r="AN676" s="4">
        <f>IFERROR((vp.tbl[[#This Row],[Dens]]-INDEX(crudeBD.lkup.complete[Mean_Dens],MATCH(vp.tbl[[#This Row],[Crude_Breakdown]],crudeBD.lkup.complete[Crude Breakdown],0)))^2,"")</f>
        <v>420.58533268967159</v>
      </c>
      <c r="AO676" s="4">
        <f>IFERROR((vp.tbl[[#This Row],[Sulf]]-INDEX(crudeBD.lkup.complete[Mean_Sulf],MATCH(vp.tbl[[#This Row],[Crude_Breakdown]],crudeBD.lkup.complete[Crude Breakdown],0)))^2,"")</f>
        <v>0.78334915137520633</v>
      </c>
      <c r="AP676">
        <f>IF(AND(vp.tbl[[#This Row],[SDate]]&gt;=DATE(YEAR(vp.tbl[[#This Row],[SDate]]),5,1),vp.tbl[[#This Row],[SDate]]&lt;=DATE(YEAR(vp.tbl[[#This Row],[SDate]]),9,15)),1,0)</f>
        <v>0</v>
      </c>
      <c r="AQ676" s="15">
        <f>IF(vp.tbl[[#This Row],[SDate]]&lt;DATE(2016,12,1),0,1)</f>
        <v>1</v>
      </c>
    </row>
    <row r="677" spans="1:43" x14ac:dyDescent="0.25">
      <c r="A677">
        <v>676</v>
      </c>
      <c r="B677" t="s">
        <v>60</v>
      </c>
      <c r="C677" t="s">
        <v>60</v>
      </c>
      <c r="D677" t="s">
        <v>61</v>
      </c>
      <c r="E677" t="s">
        <v>55</v>
      </c>
      <c r="F677" s="1">
        <v>42761</v>
      </c>
      <c r="G677" s="2">
        <v>97.1</v>
      </c>
      <c r="H677" s="2">
        <v>1.228</v>
      </c>
      <c r="I677" s="2">
        <v>1.228</v>
      </c>
      <c r="J677" s="2">
        <v>4</v>
      </c>
      <c r="K677" s="2">
        <v>-10</v>
      </c>
      <c r="L677" s="2">
        <v>838.8</v>
      </c>
      <c r="M677" s="2">
        <v>838.8</v>
      </c>
      <c r="N677" s="2">
        <f ca="1">INDEX(INDIRECT(_xlfn.CONCAT("weather.tbl[",N$1,"]")),MATCH(vp.tbl[[#This Row],[SDate]],weather.tbl[Date],0))</f>
        <v>-11.866666666666667</v>
      </c>
      <c r="O677" s="2">
        <f ca="1">INDEX(INDIRECT(_xlfn.CONCAT("weather.tbl[",O$1,"]")),MATCH(vp.tbl[[#This Row],[SDate]],weather.tbl[Date],0))</f>
        <v>-7.5095238095238104</v>
      </c>
      <c r="P677" s="2">
        <f ca="1">INDEX(INDIRECT(_xlfn.CONCAT("weather.tbl[",P$1,"]")),MATCH(vp.tbl[[#This Row],[SDate]],weather.tbl[Date],0))</f>
        <v>-12.9</v>
      </c>
      <c r="Q677" s="2">
        <f ca="1">INDEX(INDIRECT(_xlfn.CONCAT("weather.tbl[",Q$1,"]")),MATCH(vp.tbl[[#This Row],[SDate]],weather.tbl[Date],0))</f>
        <v>-12.1</v>
      </c>
      <c r="R677" s="2">
        <f ca="1">INDEX(INDIRECT(_xlfn.CONCAT("weather.tbl[",R$1,"]")),MATCH(vp.tbl[[#This Row],[SDate]],weather.tbl[Date],0))</f>
        <v>-13.5</v>
      </c>
      <c r="S677" s="2">
        <f ca="1">INDEX(INDIRECT(_xlfn.CONCAT("weather.tbl[",S$1,"]")),MATCH(vp.tbl[[#This Row],[SDate]],weather.tbl[Date],0))</f>
        <v>-11.3</v>
      </c>
      <c r="T677" s="2">
        <f ca="1">INDEX(INDIRECT(_xlfn.CONCAT("weather.tbl[",T$1,"]")),MATCH(vp.tbl[[#This Row],[SDate]],weather.tbl[Date],0))</f>
        <v>-10.6</v>
      </c>
      <c r="U677" s="2">
        <f ca="1">INDEX(INDIRECT(_xlfn.CONCAT("weather.tbl[",U$1,"]")),MATCH(vp.tbl[[#This Row],[SDate]],weather.tbl[Date],0))</f>
        <v>-10.8</v>
      </c>
      <c r="V677" s="2">
        <v>105136.144</v>
      </c>
      <c r="W677" t="s">
        <v>48</v>
      </c>
      <c r="X677">
        <f>IF(OR(vp.tbl[[#This Row],[Sulf]]="",vp.tbl[[#This Row],[Dens]]=""),1,0)</f>
        <v>0</v>
      </c>
      <c r="Y677">
        <f>IF(vp.tbl[[#This Row],[CrudeType]]="C5+",1,0)</f>
        <v>0</v>
      </c>
      <c r="Z677">
        <f>IF(AND(vp.tbl[[#This Row],[CrudeType]]="Crude",vp.tbl[[#This Row],[Dens]]&lt;=825,vp.tbl[[#This Row],[Sulf]]&gt;0.5,vp.tbl[[#This Row],[Unknown]]=0),1,0)</f>
        <v>0</v>
      </c>
      <c r="AA677">
        <f>IF(AND(vp.tbl[[#This Row],[CrudeType]]="Crude",vp.tbl[[#This Row],[Dens]]&lt;=825,vp.tbl[[#This Row],[Sulf]]&lt;=0.5,vp.tbl[[#This Row],[Unknown]]=0),1,0)</f>
        <v>0</v>
      </c>
      <c r="AB677">
        <f>IF(AND(vp.tbl[[#This Row],[CrudeType]]="Crude",vp.tbl[[#This Row],[Dens]]&gt;825,vp.tbl[[#This Row],[Dens]]&lt;=870,vp.tbl[[#This Row],[Sulf]]&gt;0.5,vp.tbl[[#This Row],[Unknown]]=0),1,0)</f>
        <v>1</v>
      </c>
      <c r="AC677">
        <f>IF(AND(vp.tbl[[#This Row],[CrudeType]]="Crude",vp.tbl[[#This Row],[Dens]]&gt;825,vp.tbl[[#This Row],[Dens]]&lt;=900,vp.tbl[[#This Row],[Sulf]]&lt;=0.5,vp.tbl[[#This Row],[Unknown]]=0),1,0)</f>
        <v>0</v>
      </c>
      <c r="AD677">
        <f>IF(AND(vp.tbl[[#This Row],[CrudeType]]="Crude",vp.tbl[[#This Row],[Dens]]&gt;870,vp.tbl[[#This Row],[Dens]]&lt;=900,vp.tbl[[#This Row],[Sulf]]&gt;0.5,vp.tbl[[#This Row],[Unknown]]=0),1,0)</f>
        <v>0</v>
      </c>
      <c r="AE677">
        <f>IF(AND(vp.tbl[[#This Row],[CrudeType]]="Crude",vp.tbl[[#This Row],[Dens]]&gt;900,vp.tbl[[#This Row],[Sulf]]&lt;=0.5,vp.tbl[[#This Row],[Unknown]]=0),1,0)</f>
        <v>0</v>
      </c>
      <c r="AF677">
        <f>IF(AND(vp.tbl[[#This Row],[CrudeType]]="Crude",vp.tbl[[#This Row],[Dens]]&gt;900,vp.tbl[[#This Row],[Sulf]]&lt;=0.5,vp.tbl[[#This Row],[Unknown]]=0),1,0)</f>
        <v>0</v>
      </c>
      <c r="AG677" t="str">
        <f>INDEX(vp.tbl[[#Headers],[Unknown]:[Heavy_SW]],MATCH(1,vp.tbl[[#This Row],[Unknown]:[Heavy_SW]],0))</f>
        <v>Medium_LSB</v>
      </c>
      <c r="AH677" t="e">
        <f>INDEX([1]!crudeBD.lkup[Number],MATCH(vp.tbl[[#This Row],[Crude_Breakdown]],[1]!crudeBD.lkup[Crude Breakdown],0))</f>
        <v>#REF!</v>
      </c>
      <c r="AI677">
        <f>MONTH(vp.tbl[[#This Row],[SDate]])</f>
        <v>1</v>
      </c>
      <c r="AJ677" s="5">
        <f>IFERROR(vp.tbl[[#This Row],[Sulf]]*vp.tbl[[#This Row],[Net Dens]],"")</f>
        <v>108295106.63708159</v>
      </c>
      <c r="AK677" s="5">
        <f>IFERROR(vp.tbl[[#This Row],[Dens]]*vp.tbl[[#This Row],[VolumeM3]],"")</f>
        <v>88188197.587200001</v>
      </c>
      <c r="AL677" s="5">
        <f>IFERROR(vp.tbl[[#This Row],[VP]]*vp.tbl[[#This Row],[VolumeM3]],"")</f>
        <v>10208719.5824</v>
      </c>
      <c r="AM677" s="4">
        <f>IFERROR((vp.tbl[[#This Row],[VP]]-INDEX(crudeBD.lkup.complete[Mean_VP],MATCH(vp.tbl[[#This Row],[Crude_Breakdown]],crudeBD.lkup.complete[Crude Breakdown],0)))^2,"")</f>
        <v>286.50318836660898</v>
      </c>
      <c r="AN677" s="4">
        <f>IFERROR((vp.tbl[[#This Row],[Dens]]-INDEX(crudeBD.lkup.complete[Mean_Dens],MATCH(vp.tbl[[#This Row],[Crude_Breakdown]],crudeBD.lkup.complete[Crude Breakdown],0)))^2,"")</f>
        <v>42.143763069367715</v>
      </c>
      <c r="AO677" s="4">
        <f>IFERROR((vp.tbl[[#This Row],[Sulf]]-INDEX(crudeBD.lkup.complete[Mean_Sulf],MATCH(vp.tbl[[#This Row],[Crude_Breakdown]],crudeBD.lkup.complete[Crude Breakdown],0)))^2,"")</f>
        <v>5.149716170432387E-2</v>
      </c>
      <c r="AP677">
        <f>IF(AND(vp.tbl[[#This Row],[SDate]]&gt;=DATE(YEAR(vp.tbl[[#This Row],[SDate]]),5,1),vp.tbl[[#This Row],[SDate]]&lt;=DATE(YEAR(vp.tbl[[#This Row],[SDate]]),9,15)),1,0)</f>
        <v>0</v>
      </c>
      <c r="AQ677" s="15">
        <f>IF(vp.tbl[[#This Row],[SDate]]&lt;DATE(2016,12,1),0,1)</f>
        <v>1</v>
      </c>
    </row>
    <row r="678" spans="1:43" x14ac:dyDescent="0.25">
      <c r="A678">
        <v>677</v>
      </c>
      <c r="B678" t="s">
        <v>53</v>
      </c>
      <c r="C678" t="s">
        <v>53</v>
      </c>
      <c r="D678" t="s">
        <v>54</v>
      </c>
      <c r="E678" t="s">
        <v>55</v>
      </c>
      <c r="F678" s="1">
        <v>42762</v>
      </c>
      <c r="G678" s="2">
        <v>100</v>
      </c>
      <c r="H678" s="2">
        <v>1.63</v>
      </c>
      <c r="I678" s="2">
        <v>1.63</v>
      </c>
      <c r="J678" s="2">
        <v>6</v>
      </c>
      <c r="K678" s="2">
        <v>-8</v>
      </c>
      <c r="L678" s="2">
        <v>822</v>
      </c>
      <c r="M678" s="2">
        <v>822</v>
      </c>
      <c r="N678" s="2">
        <f ca="1">INDEX(INDIRECT(_xlfn.CONCAT("weather.tbl[",N$1,"]")),MATCH(vp.tbl[[#This Row],[SDate]],weather.tbl[Date],0))</f>
        <v>-5.1499999999999995</v>
      </c>
      <c r="O678" s="2">
        <f ca="1">INDEX(INDIRECT(_xlfn.CONCAT("weather.tbl[",O$1,"]")),MATCH(vp.tbl[[#This Row],[SDate]],weather.tbl[Date],0))</f>
        <v>-7.4119047619047622</v>
      </c>
      <c r="P678" s="2">
        <f ca="1">INDEX(INDIRECT(_xlfn.CONCAT("weather.tbl[",P$1,"]")),MATCH(vp.tbl[[#This Row],[SDate]],weather.tbl[Date],0))</f>
        <v>-5.9</v>
      </c>
      <c r="Q678" s="2">
        <f ca="1">INDEX(INDIRECT(_xlfn.CONCAT("weather.tbl[",Q$1,"]")),MATCH(vp.tbl[[#This Row],[SDate]],weather.tbl[Date],0))</f>
        <v>-4.0999999999999996</v>
      </c>
      <c r="R678" s="2">
        <f ca="1">INDEX(INDIRECT(_xlfn.CONCAT("weather.tbl[",R$1,"]")),MATCH(vp.tbl[[#This Row],[SDate]],weather.tbl[Date],0))</f>
        <v>-6.5</v>
      </c>
      <c r="S678" s="2">
        <f ca="1">INDEX(INDIRECT(_xlfn.CONCAT("weather.tbl[",S$1,"]")),MATCH(vp.tbl[[#This Row],[SDate]],weather.tbl[Date],0))</f>
        <v>-2.4</v>
      </c>
      <c r="T678" s="2">
        <f ca="1">INDEX(INDIRECT(_xlfn.CONCAT("weather.tbl[",T$1,"]")),MATCH(vp.tbl[[#This Row],[SDate]],weather.tbl[Date],0))</f>
        <v>-7.2</v>
      </c>
      <c r="U678" s="2">
        <f ca="1">INDEX(INDIRECT(_xlfn.CONCAT("weather.tbl[",U$1,"]")),MATCH(vp.tbl[[#This Row],[SDate]],weather.tbl[Date],0))</f>
        <v>-4.8</v>
      </c>
      <c r="V678" s="2">
        <v>50817.362000000001</v>
      </c>
      <c r="W678" t="s">
        <v>48</v>
      </c>
      <c r="X678">
        <f>IF(OR(vp.tbl[[#This Row],[Sulf]]="",vp.tbl[[#This Row],[Dens]]=""),1,0)</f>
        <v>0</v>
      </c>
      <c r="Y678">
        <f>IF(vp.tbl[[#This Row],[CrudeType]]="C5+",1,0)</f>
        <v>0</v>
      </c>
      <c r="Z678">
        <f>IF(AND(vp.tbl[[#This Row],[CrudeType]]="Crude",vp.tbl[[#This Row],[Dens]]&lt;=825,vp.tbl[[#This Row],[Sulf]]&gt;0.5,vp.tbl[[#This Row],[Unknown]]=0),1,0)</f>
        <v>1</v>
      </c>
      <c r="AA678">
        <f>IF(AND(vp.tbl[[#This Row],[CrudeType]]="Crude",vp.tbl[[#This Row],[Dens]]&lt;=825,vp.tbl[[#This Row],[Sulf]]&lt;=0.5,vp.tbl[[#This Row],[Unknown]]=0),1,0)</f>
        <v>0</v>
      </c>
      <c r="AB678">
        <f>IF(AND(vp.tbl[[#This Row],[CrudeType]]="Crude",vp.tbl[[#This Row],[Dens]]&gt;825,vp.tbl[[#This Row],[Dens]]&lt;=870,vp.tbl[[#This Row],[Sulf]]&gt;0.5,vp.tbl[[#This Row],[Unknown]]=0),1,0)</f>
        <v>0</v>
      </c>
      <c r="AC678">
        <f>IF(AND(vp.tbl[[#This Row],[CrudeType]]="Crude",vp.tbl[[#This Row],[Dens]]&gt;825,vp.tbl[[#This Row],[Dens]]&lt;=900,vp.tbl[[#This Row],[Sulf]]&lt;=0.5,vp.tbl[[#This Row],[Unknown]]=0),1,0)</f>
        <v>0</v>
      </c>
      <c r="AD678">
        <f>IF(AND(vp.tbl[[#This Row],[CrudeType]]="Crude",vp.tbl[[#This Row],[Dens]]&gt;870,vp.tbl[[#This Row],[Dens]]&lt;=900,vp.tbl[[#This Row],[Sulf]]&gt;0.5,vp.tbl[[#This Row],[Unknown]]=0),1,0)</f>
        <v>0</v>
      </c>
      <c r="AE678">
        <f>IF(AND(vp.tbl[[#This Row],[CrudeType]]="Crude",vp.tbl[[#This Row],[Dens]]&gt;900,vp.tbl[[#This Row],[Sulf]]&lt;=0.5,vp.tbl[[#This Row],[Unknown]]=0),1,0)</f>
        <v>0</v>
      </c>
      <c r="AF678">
        <f>IF(AND(vp.tbl[[#This Row],[CrudeType]]="Crude",vp.tbl[[#This Row],[Dens]]&gt;900,vp.tbl[[#This Row],[Sulf]]&lt;=0.5,vp.tbl[[#This Row],[Unknown]]=0),1,0)</f>
        <v>0</v>
      </c>
      <c r="AG678" t="str">
        <f>INDEX(vp.tbl[[#Headers],[Unknown]:[Heavy_SW]],MATCH(1,vp.tbl[[#This Row],[Unknown]:[Heavy_SW]],0))</f>
        <v>Light_LSB</v>
      </c>
      <c r="AH678" t="e">
        <f>INDEX([1]!crudeBD.lkup[Number],MATCH(vp.tbl[[#This Row],[Crude_Breakdown]],[1]!crudeBD.lkup[Crude Breakdown],0))</f>
        <v>#REF!</v>
      </c>
      <c r="AI678">
        <f>MONTH(vp.tbl[[#This Row],[SDate]])</f>
        <v>1</v>
      </c>
      <c r="AJ678" s="5">
        <f>IFERROR(vp.tbl[[#This Row],[Sulf]]*vp.tbl[[#This Row],[Net Dens]],"")</f>
        <v>68088150.649320006</v>
      </c>
      <c r="AK678" s="5">
        <f>IFERROR(vp.tbl[[#This Row],[Dens]]*vp.tbl[[#This Row],[VolumeM3]],"")</f>
        <v>41771871.564000003</v>
      </c>
      <c r="AL678" s="5">
        <f>IFERROR(vp.tbl[[#This Row],[VP]]*vp.tbl[[#This Row],[VolumeM3]],"")</f>
        <v>5081736.2</v>
      </c>
      <c r="AM678" s="4">
        <f>IFERROR((vp.tbl[[#This Row],[VP]]-INDEX(crudeBD.lkup.complete[Mean_VP],MATCH(vp.tbl[[#This Row],[Crude_Breakdown]],crudeBD.lkup.complete[Crude Breakdown],0)))^2,"")</f>
        <v>71.466978467424283</v>
      </c>
      <c r="AN678" s="4">
        <f>IFERROR((vp.tbl[[#This Row],[Dens]]-INDEX(crudeBD.lkup.complete[Mean_Dens],MATCH(vp.tbl[[#This Row],[Crude_Breakdown]],crudeBD.lkup.complete[Crude Breakdown],0)))^2,"")</f>
        <v>12.132892908683003</v>
      </c>
      <c r="AO678" s="4">
        <f>IFERROR((vp.tbl[[#This Row],[Sulf]]-INDEX(crudeBD.lkup.complete[Mean_Sulf],MATCH(vp.tbl[[#This Row],[Crude_Breakdown]],crudeBD.lkup.complete[Crude Breakdown],0)))^2,"")</f>
        <v>0.49988976873504232</v>
      </c>
      <c r="AP678">
        <f>IF(AND(vp.tbl[[#This Row],[SDate]]&gt;=DATE(YEAR(vp.tbl[[#This Row],[SDate]]),5,1),vp.tbl[[#This Row],[SDate]]&lt;=DATE(YEAR(vp.tbl[[#This Row],[SDate]]),9,15)),1,0)</f>
        <v>0</v>
      </c>
      <c r="AQ678" s="15">
        <f>IF(vp.tbl[[#This Row],[SDate]]&lt;DATE(2016,12,1),0,1)</f>
        <v>1</v>
      </c>
    </row>
    <row r="679" spans="1:43" x14ac:dyDescent="0.25">
      <c r="A679">
        <v>678</v>
      </c>
      <c r="B679" t="s">
        <v>49</v>
      </c>
      <c r="C679" t="s">
        <v>49</v>
      </c>
      <c r="D679" t="s">
        <v>75</v>
      </c>
      <c r="F679" s="1">
        <v>42762</v>
      </c>
      <c r="G679" s="2">
        <v>99.4</v>
      </c>
      <c r="H679" s="2">
        <v>0.14899999999999999</v>
      </c>
      <c r="I679" s="2">
        <v>0.14899999999999999</v>
      </c>
      <c r="J679" s="2">
        <v>21.9</v>
      </c>
      <c r="K679" s="2">
        <v>-8</v>
      </c>
      <c r="L679" s="2">
        <v>801</v>
      </c>
      <c r="M679" s="2">
        <v>801</v>
      </c>
      <c r="N679" s="2">
        <f ca="1">INDEX(INDIRECT(_xlfn.CONCAT("weather.tbl[",N$1,"]")),MATCH(vp.tbl[[#This Row],[SDate]],weather.tbl[Date],0))</f>
        <v>-5.1499999999999995</v>
      </c>
      <c r="O679" s="2">
        <f ca="1">INDEX(INDIRECT(_xlfn.CONCAT("weather.tbl[",O$1,"]")),MATCH(vp.tbl[[#This Row],[SDate]],weather.tbl[Date],0))</f>
        <v>-7.4119047619047622</v>
      </c>
      <c r="P679" s="2">
        <f ca="1">INDEX(INDIRECT(_xlfn.CONCAT("weather.tbl[",P$1,"]")),MATCH(vp.tbl[[#This Row],[SDate]],weather.tbl[Date],0))</f>
        <v>-5.9</v>
      </c>
      <c r="Q679" s="2">
        <f ca="1">INDEX(INDIRECT(_xlfn.CONCAT("weather.tbl[",Q$1,"]")),MATCH(vp.tbl[[#This Row],[SDate]],weather.tbl[Date],0))</f>
        <v>-4.0999999999999996</v>
      </c>
      <c r="R679" s="2">
        <f ca="1">INDEX(INDIRECT(_xlfn.CONCAT("weather.tbl[",R$1,"]")),MATCH(vp.tbl[[#This Row],[SDate]],weather.tbl[Date],0))</f>
        <v>-6.5</v>
      </c>
      <c r="S679" s="2">
        <f ca="1">INDEX(INDIRECT(_xlfn.CONCAT("weather.tbl[",S$1,"]")),MATCH(vp.tbl[[#This Row],[SDate]],weather.tbl[Date],0))</f>
        <v>-2.4</v>
      </c>
      <c r="T679" s="2">
        <f ca="1">INDEX(INDIRECT(_xlfn.CONCAT("weather.tbl[",T$1,"]")),MATCH(vp.tbl[[#This Row],[SDate]],weather.tbl[Date],0))</f>
        <v>-7.2</v>
      </c>
      <c r="U679" s="2">
        <f ca="1">INDEX(INDIRECT(_xlfn.CONCAT("weather.tbl[",U$1,"]")),MATCH(vp.tbl[[#This Row],[SDate]],weather.tbl[Date],0))</f>
        <v>-4.8</v>
      </c>
      <c r="V679" s="2">
        <v>12738.714</v>
      </c>
      <c r="W679" t="s">
        <v>48</v>
      </c>
      <c r="X679">
        <f>IF(OR(vp.tbl[[#This Row],[Sulf]]="",vp.tbl[[#This Row],[Dens]]=""),1,0)</f>
        <v>0</v>
      </c>
      <c r="Y679">
        <f>IF(vp.tbl[[#This Row],[CrudeType]]="C5+",1,0)</f>
        <v>0</v>
      </c>
      <c r="Z679">
        <f>IF(AND(vp.tbl[[#This Row],[CrudeType]]="Crude",vp.tbl[[#This Row],[Dens]]&lt;=825,vp.tbl[[#This Row],[Sulf]]&gt;0.5,vp.tbl[[#This Row],[Unknown]]=0),1,0)</f>
        <v>0</v>
      </c>
      <c r="AA679">
        <f>IF(AND(vp.tbl[[#This Row],[CrudeType]]="Crude",vp.tbl[[#This Row],[Dens]]&lt;=825,vp.tbl[[#This Row],[Sulf]]&lt;=0.5,vp.tbl[[#This Row],[Unknown]]=0),1,0)</f>
        <v>1</v>
      </c>
      <c r="AB679">
        <f>IF(AND(vp.tbl[[#This Row],[CrudeType]]="Crude",vp.tbl[[#This Row],[Dens]]&gt;825,vp.tbl[[#This Row],[Dens]]&lt;=870,vp.tbl[[#This Row],[Sulf]]&gt;0.5,vp.tbl[[#This Row],[Unknown]]=0),1,0)</f>
        <v>0</v>
      </c>
      <c r="AC679">
        <f>IF(AND(vp.tbl[[#This Row],[CrudeType]]="Crude",vp.tbl[[#This Row],[Dens]]&gt;825,vp.tbl[[#This Row],[Dens]]&lt;=900,vp.tbl[[#This Row],[Sulf]]&lt;=0.5,vp.tbl[[#This Row],[Unknown]]=0),1,0)</f>
        <v>0</v>
      </c>
      <c r="AD679">
        <f>IF(AND(vp.tbl[[#This Row],[CrudeType]]="Crude",vp.tbl[[#This Row],[Dens]]&gt;870,vp.tbl[[#This Row],[Dens]]&lt;=900,vp.tbl[[#This Row],[Sulf]]&gt;0.5,vp.tbl[[#This Row],[Unknown]]=0),1,0)</f>
        <v>0</v>
      </c>
      <c r="AE679">
        <f>IF(AND(vp.tbl[[#This Row],[CrudeType]]="Crude",vp.tbl[[#This Row],[Dens]]&gt;900,vp.tbl[[#This Row],[Sulf]]&lt;=0.5,vp.tbl[[#This Row],[Unknown]]=0),1,0)</f>
        <v>0</v>
      </c>
      <c r="AF679">
        <f>IF(AND(vp.tbl[[#This Row],[CrudeType]]="Crude",vp.tbl[[#This Row],[Dens]]&gt;900,vp.tbl[[#This Row],[Sulf]]&lt;=0.5,vp.tbl[[#This Row],[Unknown]]=0),1,0)</f>
        <v>0</v>
      </c>
      <c r="AG679" t="str">
        <f>INDEX(vp.tbl[[#Headers],[Unknown]:[Heavy_SW]],MATCH(1,vp.tbl[[#This Row],[Unknown]:[Heavy_SW]],0))</f>
        <v>Light_SW</v>
      </c>
      <c r="AH679" t="e">
        <f>INDEX([1]!crudeBD.lkup[Number],MATCH(vp.tbl[[#This Row],[Crude_Breakdown]],[1]!crudeBD.lkup[Crude Breakdown],0))</f>
        <v>#REF!</v>
      </c>
      <c r="AI679">
        <f>MONTH(vp.tbl[[#This Row],[SDate]])</f>
        <v>1</v>
      </c>
      <c r="AJ679" s="5">
        <f>IFERROR(vp.tbl[[#This Row],[Sulf]]*vp.tbl[[#This Row],[Net Dens]],"")</f>
        <v>1520352.777186</v>
      </c>
      <c r="AK679" s="5">
        <f>IFERROR(vp.tbl[[#This Row],[Dens]]*vp.tbl[[#This Row],[VolumeM3]],"")</f>
        <v>10203709.914000001</v>
      </c>
      <c r="AL679" s="5">
        <f>IFERROR(vp.tbl[[#This Row],[VP]]*vp.tbl[[#This Row],[VolumeM3]],"")</f>
        <v>1266228.1716</v>
      </c>
      <c r="AM679" s="4">
        <f>IFERROR((vp.tbl[[#This Row],[VP]]-INDEX(crudeBD.lkup.complete[Mean_VP],MATCH(vp.tbl[[#This Row],[Crude_Breakdown]],crudeBD.lkup.complete[Crude Breakdown],0)))^2,"")</f>
        <v>46.918203931091064</v>
      </c>
      <c r="AN679" s="4">
        <f>IFERROR((vp.tbl[[#This Row],[Dens]]-INDEX(crudeBD.lkup.complete[Mean_Dens],MATCH(vp.tbl[[#This Row],[Crude_Breakdown]],crudeBD.lkup.complete[Crude Breakdown],0)))^2,"")</f>
        <v>53.458006774390086</v>
      </c>
      <c r="AO679" s="4">
        <f>IFERROR((vp.tbl[[#This Row],[Sulf]]-INDEX(crudeBD.lkup.complete[Mean_Sulf],MATCH(vp.tbl[[#This Row],[Crude_Breakdown]],crudeBD.lkup.complete[Crude Breakdown],0)))^2,"")</f>
        <v>7.6111337342932156E-3</v>
      </c>
      <c r="AP679">
        <f>IF(AND(vp.tbl[[#This Row],[SDate]]&gt;=DATE(YEAR(vp.tbl[[#This Row],[SDate]]),5,1),vp.tbl[[#This Row],[SDate]]&lt;=DATE(YEAR(vp.tbl[[#This Row],[SDate]]),9,15)),1,0)</f>
        <v>0</v>
      </c>
      <c r="AQ679" s="15">
        <f>IF(vp.tbl[[#This Row],[SDate]]&lt;DATE(2016,12,1),0,1)</f>
        <v>1</v>
      </c>
    </row>
    <row r="680" spans="1:43" x14ac:dyDescent="0.25">
      <c r="A680">
        <v>679</v>
      </c>
      <c r="B680" t="s">
        <v>49</v>
      </c>
      <c r="C680" t="s">
        <v>49</v>
      </c>
      <c r="D680" t="s">
        <v>67</v>
      </c>
      <c r="F680" s="1">
        <v>42762</v>
      </c>
      <c r="G680" s="2">
        <v>99.7</v>
      </c>
      <c r="H680" s="2">
        <v>0.68600000000000005</v>
      </c>
      <c r="I680" s="2">
        <v>0.68600000000000005</v>
      </c>
      <c r="J680" s="2">
        <v>5.7</v>
      </c>
      <c r="K680" s="2">
        <v>-8</v>
      </c>
      <c r="L680" s="2">
        <v>823.1</v>
      </c>
      <c r="M680" s="2">
        <v>823.1</v>
      </c>
      <c r="N680" s="2">
        <f ca="1">INDEX(INDIRECT(_xlfn.CONCAT("weather.tbl[",N$1,"]")),MATCH(vp.tbl[[#This Row],[SDate]],weather.tbl[Date],0))</f>
        <v>-5.1499999999999995</v>
      </c>
      <c r="O680" s="2">
        <f ca="1">INDEX(INDIRECT(_xlfn.CONCAT("weather.tbl[",O$1,"]")),MATCH(vp.tbl[[#This Row],[SDate]],weather.tbl[Date],0))</f>
        <v>-7.4119047619047622</v>
      </c>
      <c r="P680" s="2">
        <f ca="1">INDEX(INDIRECT(_xlfn.CONCAT("weather.tbl[",P$1,"]")),MATCH(vp.tbl[[#This Row],[SDate]],weather.tbl[Date],0))</f>
        <v>-5.9</v>
      </c>
      <c r="Q680" s="2">
        <f ca="1">INDEX(INDIRECT(_xlfn.CONCAT("weather.tbl[",Q$1,"]")),MATCH(vp.tbl[[#This Row],[SDate]],weather.tbl[Date],0))</f>
        <v>-4.0999999999999996</v>
      </c>
      <c r="R680" s="2">
        <f ca="1">INDEX(INDIRECT(_xlfn.CONCAT("weather.tbl[",R$1,"]")),MATCH(vp.tbl[[#This Row],[SDate]],weather.tbl[Date],0))</f>
        <v>-6.5</v>
      </c>
      <c r="S680" s="2">
        <f ca="1">INDEX(INDIRECT(_xlfn.CONCAT("weather.tbl[",S$1,"]")),MATCH(vp.tbl[[#This Row],[SDate]],weather.tbl[Date],0))</f>
        <v>-2.4</v>
      </c>
      <c r="T680" s="2">
        <f ca="1">INDEX(INDIRECT(_xlfn.CONCAT("weather.tbl[",T$1,"]")),MATCH(vp.tbl[[#This Row],[SDate]],weather.tbl[Date],0))</f>
        <v>-7.2</v>
      </c>
      <c r="U680" s="2">
        <f ca="1">INDEX(INDIRECT(_xlfn.CONCAT("weather.tbl[",U$1,"]")),MATCH(vp.tbl[[#This Row],[SDate]],weather.tbl[Date],0))</f>
        <v>-4.8</v>
      </c>
      <c r="V680" s="2">
        <v>122139.87</v>
      </c>
      <c r="W680" t="s">
        <v>48</v>
      </c>
      <c r="X680">
        <f>IF(OR(vp.tbl[[#This Row],[Sulf]]="",vp.tbl[[#This Row],[Dens]]=""),1,0)</f>
        <v>0</v>
      </c>
      <c r="Y680">
        <f>IF(vp.tbl[[#This Row],[CrudeType]]="C5+",1,0)</f>
        <v>0</v>
      </c>
      <c r="Z680">
        <f>IF(AND(vp.tbl[[#This Row],[CrudeType]]="Crude",vp.tbl[[#This Row],[Dens]]&lt;=825,vp.tbl[[#This Row],[Sulf]]&gt;0.5,vp.tbl[[#This Row],[Unknown]]=0),1,0)</f>
        <v>1</v>
      </c>
      <c r="AA680">
        <f>IF(AND(vp.tbl[[#This Row],[CrudeType]]="Crude",vp.tbl[[#This Row],[Dens]]&lt;=825,vp.tbl[[#This Row],[Sulf]]&lt;=0.5,vp.tbl[[#This Row],[Unknown]]=0),1,0)</f>
        <v>0</v>
      </c>
      <c r="AB680">
        <f>IF(AND(vp.tbl[[#This Row],[CrudeType]]="Crude",vp.tbl[[#This Row],[Dens]]&gt;825,vp.tbl[[#This Row],[Dens]]&lt;=870,vp.tbl[[#This Row],[Sulf]]&gt;0.5,vp.tbl[[#This Row],[Unknown]]=0),1,0)</f>
        <v>0</v>
      </c>
      <c r="AC680">
        <f>IF(AND(vp.tbl[[#This Row],[CrudeType]]="Crude",vp.tbl[[#This Row],[Dens]]&gt;825,vp.tbl[[#This Row],[Dens]]&lt;=900,vp.tbl[[#This Row],[Sulf]]&lt;=0.5,vp.tbl[[#This Row],[Unknown]]=0),1,0)</f>
        <v>0</v>
      </c>
      <c r="AD680">
        <f>IF(AND(vp.tbl[[#This Row],[CrudeType]]="Crude",vp.tbl[[#This Row],[Dens]]&gt;870,vp.tbl[[#This Row],[Dens]]&lt;=900,vp.tbl[[#This Row],[Sulf]]&gt;0.5,vp.tbl[[#This Row],[Unknown]]=0),1,0)</f>
        <v>0</v>
      </c>
      <c r="AE680">
        <f>IF(AND(vp.tbl[[#This Row],[CrudeType]]="Crude",vp.tbl[[#This Row],[Dens]]&gt;900,vp.tbl[[#This Row],[Sulf]]&lt;=0.5,vp.tbl[[#This Row],[Unknown]]=0),1,0)</f>
        <v>0</v>
      </c>
      <c r="AF680">
        <f>IF(AND(vp.tbl[[#This Row],[CrudeType]]="Crude",vp.tbl[[#This Row],[Dens]]&gt;900,vp.tbl[[#This Row],[Sulf]]&lt;=0.5,vp.tbl[[#This Row],[Unknown]]=0),1,0)</f>
        <v>0</v>
      </c>
      <c r="AG680" t="str">
        <f>INDEX(vp.tbl[[#Headers],[Unknown]:[Heavy_SW]],MATCH(1,vp.tbl[[#This Row],[Unknown]:[Heavy_SW]],0))</f>
        <v>Light_LSB</v>
      </c>
      <c r="AH680" t="e">
        <f>INDEX([1]!crudeBD.lkup[Number],MATCH(vp.tbl[[#This Row],[Crude_Breakdown]],[1]!crudeBD.lkup[Crude Breakdown],0))</f>
        <v>#REF!</v>
      </c>
      <c r="AI680">
        <f>MONTH(vp.tbl[[#This Row],[SDate]])</f>
        <v>1</v>
      </c>
      <c r="AJ680" s="5">
        <f>IFERROR(vp.tbl[[#This Row],[Sulf]]*vp.tbl[[#This Row],[Net Dens]],"")</f>
        <v>68965862.319941998</v>
      </c>
      <c r="AK680" s="5">
        <f>IFERROR(vp.tbl[[#This Row],[Dens]]*vp.tbl[[#This Row],[VolumeM3]],"")</f>
        <v>100533326.99699999</v>
      </c>
      <c r="AL680" s="5">
        <f>IFERROR(vp.tbl[[#This Row],[VP]]*vp.tbl[[#This Row],[VolumeM3]],"")</f>
        <v>12177345.039000001</v>
      </c>
      <c r="AM680" s="4">
        <f>IFERROR((vp.tbl[[#This Row],[VP]]-INDEX(crudeBD.lkup.complete[Mean_VP],MATCH(vp.tbl[[#This Row],[Crude_Breakdown]],crudeBD.lkup.complete[Crude Breakdown],0)))^2,"")</f>
        <v>66.484689807630531</v>
      </c>
      <c r="AN680" s="4">
        <f>IFERROR((vp.tbl[[#This Row],[Dens]]-INDEX(crudeBD.lkup.complete[Mean_Dens],MATCH(vp.tbl[[#This Row],[Crude_Breakdown]],crudeBD.lkup.complete[Crude Breakdown],0)))^2,"")</f>
        <v>21.005999437893525</v>
      </c>
      <c r="AO680" s="4">
        <f>IFERROR((vp.tbl[[#This Row],[Sulf]]-INDEX(crudeBD.lkup.complete[Mean_Sulf],MATCH(vp.tbl[[#This Row],[Crude_Breakdown]],crudeBD.lkup.complete[Crude Breakdown],0)))^2,"")</f>
        <v>5.6155334645694874E-2</v>
      </c>
      <c r="AP680">
        <f>IF(AND(vp.tbl[[#This Row],[SDate]]&gt;=DATE(YEAR(vp.tbl[[#This Row],[SDate]]),5,1),vp.tbl[[#This Row],[SDate]]&lt;=DATE(YEAR(vp.tbl[[#This Row],[SDate]]),9,15)),1,0)</f>
        <v>0</v>
      </c>
      <c r="AQ680" s="15">
        <f>IF(vp.tbl[[#This Row],[SDate]]&lt;DATE(2016,12,1),0,1)</f>
        <v>1</v>
      </c>
    </row>
    <row r="681" spans="1:43" x14ac:dyDescent="0.25">
      <c r="A681">
        <v>680</v>
      </c>
      <c r="B681" t="s">
        <v>62</v>
      </c>
      <c r="C681" t="s">
        <v>62</v>
      </c>
      <c r="D681" t="s">
        <v>79</v>
      </c>
      <c r="F681" s="1">
        <v>42762</v>
      </c>
      <c r="G681" s="2">
        <v>105.8</v>
      </c>
      <c r="H681" s="2"/>
      <c r="I681" s="2">
        <v>0.28000000000000003</v>
      </c>
      <c r="J681" s="2">
        <v>13</v>
      </c>
      <c r="K681" s="2">
        <v>-8</v>
      </c>
      <c r="L681" s="2">
        <v>804.3</v>
      </c>
      <c r="M681" s="2">
        <v>804.3</v>
      </c>
      <c r="N681" s="2">
        <f ca="1">INDEX(INDIRECT(_xlfn.CONCAT("weather.tbl[",N$1,"]")),MATCH(vp.tbl[[#This Row],[SDate]],weather.tbl[Date],0))</f>
        <v>-5.1499999999999995</v>
      </c>
      <c r="O681" s="2">
        <f ca="1">INDEX(INDIRECT(_xlfn.CONCAT("weather.tbl[",O$1,"]")),MATCH(vp.tbl[[#This Row],[SDate]],weather.tbl[Date],0))</f>
        <v>-7.4119047619047622</v>
      </c>
      <c r="P681" s="2">
        <f ca="1">INDEX(INDIRECT(_xlfn.CONCAT("weather.tbl[",P$1,"]")),MATCH(vp.tbl[[#This Row],[SDate]],weather.tbl[Date],0))</f>
        <v>-5.9</v>
      </c>
      <c r="Q681" s="2">
        <f ca="1">INDEX(INDIRECT(_xlfn.CONCAT("weather.tbl[",Q$1,"]")),MATCH(vp.tbl[[#This Row],[SDate]],weather.tbl[Date],0))</f>
        <v>-4.0999999999999996</v>
      </c>
      <c r="R681" s="2">
        <f ca="1">INDEX(INDIRECT(_xlfn.CONCAT("weather.tbl[",R$1,"]")),MATCH(vp.tbl[[#This Row],[SDate]],weather.tbl[Date],0))</f>
        <v>-6.5</v>
      </c>
      <c r="S681" s="2">
        <f ca="1">INDEX(INDIRECT(_xlfn.CONCAT("weather.tbl[",S$1,"]")),MATCH(vp.tbl[[#This Row],[SDate]],weather.tbl[Date],0))</f>
        <v>-2.4</v>
      </c>
      <c r="T681" s="2">
        <f ca="1">INDEX(INDIRECT(_xlfn.CONCAT("weather.tbl[",T$1,"]")),MATCH(vp.tbl[[#This Row],[SDate]],weather.tbl[Date],0))</f>
        <v>-7.2</v>
      </c>
      <c r="U681" s="2">
        <f ca="1">INDEX(INDIRECT(_xlfn.CONCAT("weather.tbl[",U$1,"]")),MATCH(vp.tbl[[#This Row],[SDate]],weather.tbl[Date],0))</f>
        <v>-4.8</v>
      </c>
      <c r="V681" s="2">
        <v>14036.508</v>
      </c>
      <c r="W681" t="s">
        <v>48</v>
      </c>
      <c r="X681">
        <f>IF(OR(vp.tbl[[#This Row],[Sulf]]="",vp.tbl[[#This Row],[Dens]]=""),1,0)</f>
        <v>0</v>
      </c>
      <c r="Y681">
        <f>IF(vp.tbl[[#This Row],[CrudeType]]="C5+",1,0)</f>
        <v>0</v>
      </c>
      <c r="Z681">
        <f>IF(AND(vp.tbl[[#This Row],[CrudeType]]="Crude",vp.tbl[[#This Row],[Dens]]&lt;=825,vp.tbl[[#This Row],[Sulf]]&gt;0.5,vp.tbl[[#This Row],[Unknown]]=0),1,0)</f>
        <v>0</v>
      </c>
      <c r="AA681">
        <f>IF(AND(vp.tbl[[#This Row],[CrudeType]]="Crude",vp.tbl[[#This Row],[Dens]]&lt;=825,vp.tbl[[#This Row],[Sulf]]&lt;=0.5,vp.tbl[[#This Row],[Unknown]]=0),1,0)</f>
        <v>1</v>
      </c>
      <c r="AB681">
        <f>IF(AND(vp.tbl[[#This Row],[CrudeType]]="Crude",vp.tbl[[#This Row],[Dens]]&gt;825,vp.tbl[[#This Row],[Dens]]&lt;=870,vp.tbl[[#This Row],[Sulf]]&gt;0.5,vp.tbl[[#This Row],[Unknown]]=0),1,0)</f>
        <v>0</v>
      </c>
      <c r="AC681">
        <f>IF(AND(vp.tbl[[#This Row],[CrudeType]]="Crude",vp.tbl[[#This Row],[Dens]]&gt;825,vp.tbl[[#This Row],[Dens]]&lt;=900,vp.tbl[[#This Row],[Sulf]]&lt;=0.5,vp.tbl[[#This Row],[Unknown]]=0),1,0)</f>
        <v>0</v>
      </c>
      <c r="AD681">
        <f>IF(AND(vp.tbl[[#This Row],[CrudeType]]="Crude",vp.tbl[[#This Row],[Dens]]&gt;870,vp.tbl[[#This Row],[Dens]]&lt;=900,vp.tbl[[#This Row],[Sulf]]&gt;0.5,vp.tbl[[#This Row],[Unknown]]=0),1,0)</f>
        <v>0</v>
      </c>
      <c r="AE681">
        <f>IF(AND(vp.tbl[[#This Row],[CrudeType]]="Crude",vp.tbl[[#This Row],[Dens]]&gt;900,vp.tbl[[#This Row],[Sulf]]&lt;=0.5,vp.tbl[[#This Row],[Unknown]]=0),1,0)</f>
        <v>0</v>
      </c>
      <c r="AF681">
        <f>IF(AND(vp.tbl[[#This Row],[CrudeType]]="Crude",vp.tbl[[#This Row],[Dens]]&gt;900,vp.tbl[[#This Row],[Sulf]]&lt;=0.5,vp.tbl[[#This Row],[Unknown]]=0),1,0)</f>
        <v>0</v>
      </c>
      <c r="AG681" t="str">
        <f>INDEX(vp.tbl[[#Headers],[Unknown]:[Heavy_SW]],MATCH(1,vp.tbl[[#This Row],[Unknown]:[Heavy_SW]],0))</f>
        <v>Light_SW</v>
      </c>
      <c r="AH681" t="e">
        <f>INDEX([1]!crudeBD.lkup[Number],MATCH(vp.tbl[[#This Row],[Crude_Breakdown]],[1]!crudeBD.lkup[Crude Breakdown],0))</f>
        <v>#REF!</v>
      </c>
      <c r="AI681">
        <f>MONTH(vp.tbl[[#This Row],[SDate]])</f>
        <v>1</v>
      </c>
      <c r="AJ681" s="5">
        <f>IFERROR(vp.tbl[[#This Row],[Sulf]]*vp.tbl[[#This Row],[Net Dens]],"")</f>
        <v>3161077.7476320001</v>
      </c>
      <c r="AK681" s="5">
        <f>IFERROR(vp.tbl[[#This Row],[Dens]]*vp.tbl[[#This Row],[VolumeM3]],"")</f>
        <v>11289563.384399999</v>
      </c>
      <c r="AL681" s="5">
        <f>IFERROR(vp.tbl[[#This Row],[VP]]*vp.tbl[[#This Row],[VolumeM3]],"")</f>
        <v>1485062.5463999999</v>
      </c>
      <c r="AM681" s="4">
        <f>IFERROR((vp.tbl[[#This Row],[VP]]-INDEX(crudeBD.lkup.complete[Mean_VP],MATCH(vp.tbl[[#This Row],[Crude_Breakdown]],crudeBD.lkup.complete[Crude Breakdown],0)))^2,"")</f>
        <v>175.55418999380905</v>
      </c>
      <c r="AN681" s="4">
        <f>IFERROR((vp.tbl[[#This Row],[Dens]]-INDEX(crudeBD.lkup.complete[Mean_Dens],MATCH(vp.tbl[[#This Row],[Crude_Breakdown]],crudeBD.lkup.complete[Crude Breakdown],0)))^2,"")</f>
        <v>16.092118272649731</v>
      </c>
      <c r="AO681" s="4">
        <f>IFERROR((vp.tbl[[#This Row],[Sulf]]-INDEX(crudeBD.lkup.complete[Mean_Sulf],MATCH(vp.tbl[[#This Row],[Crude_Breakdown]],crudeBD.lkup.complete[Crude Breakdown],0)))^2,"")</f>
        <v>1.9147790304605045E-3</v>
      </c>
      <c r="AP681">
        <f>IF(AND(vp.tbl[[#This Row],[SDate]]&gt;=DATE(YEAR(vp.tbl[[#This Row],[SDate]]),5,1),vp.tbl[[#This Row],[SDate]]&lt;=DATE(YEAR(vp.tbl[[#This Row],[SDate]]),9,15)),1,0)</f>
        <v>0</v>
      </c>
      <c r="AQ681" s="15">
        <f>IF(vp.tbl[[#This Row],[SDate]]&lt;DATE(2016,12,1),0,1)</f>
        <v>1</v>
      </c>
    </row>
    <row r="682" spans="1:43" x14ac:dyDescent="0.25">
      <c r="A682">
        <v>681</v>
      </c>
      <c r="B682" t="s">
        <v>62</v>
      </c>
      <c r="C682" t="s">
        <v>62</v>
      </c>
      <c r="D682" t="s">
        <v>63</v>
      </c>
      <c r="F682" s="1">
        <v>42762</v>
      </c>
      <c r="G682" s="2">
        <v>129.1</v>
      </c>
      <c r="H682" s="2"/>
      <c r="I682" s="2">
        <v>1.48</v>
      </c>
      <c r="J682" s="2">
        <v>11.7</v>
      </c>
      <c r="K682" s="2">
        <v>-8</v>
      </c>
      <c r="L682" s="2">
        <v>804.4</v>
      </c>
      <c r="M682" s="2">
        <v>804.4</v>
      </c>
      <c r="N682" s="2">
        <f ca="1">INDEX(INDIRECT(_xlfn.CONCAT("weather.tbl[",N$1,"]")),MATCH(vp.tbl[[#This Row],[SDate]],weather.tbl[Date],0))</f>
        <v>-5.1499999999999995</v>
      </c>
      <c r="O682" s="2">
        <f ca="1">INDEX(INDIRECT(_xlfn.CONCAT("weather.tbl[",O$1,"]")),MATCH(vp.tbl[[#This Row],[SDate]],weather.tbl[Date],0))</f>
        <v>-7.4119047619047622</v>
      </c>
      <c r="P682" s="2">
        <f ca="1">INDEX(INDIRECT(_xlfn.CONCAT("weather.tbl[",P$1,"]")),MATCH(vp.tbl[[#This Row],[SDate]],weather.tbl[Date],0))</f>
        <v>-5.9</v>
      </c>
      <c r="Q682" s="2">
        <f ca="1">INDEX(INDIRECT(_xlfn.CONCAT("weather.tbl[",Q$1,"]")),MATCH(vp.tbl[[#This Row],[SDate]],weather.tbl[Date],0))</f>
        <v>-4.0999999999999996</v>
      </c>
      <c r="R682" s="2">
        <f ca="1">INDEX(INDIRECT(_xlfn.CONCAT("weather.tbl[",R$1,"]")),MATCH(vp.tbl[[#This Row],[SDate]],weather.tbl[Date],0))</f>
        <v>-6.5</v>
      </c>
      <c r="S682" s="2">
        <f ca="1">INDEX(INDIRECT(_xlfn.CONCAT("weather.tbl[",S$1,"]")),MATCH(vp.tbl[[#This Row],[SDate]],weather.tbl[Date],0))</f>
        <v>-2.4</v>
      </c>
      <c r="T682" s="2">
        <f ca="1">INDEX(INDIRECT(_xlfn.CONCAT("weather.tbl[",T$1,"]")),MATCH(vp.tbl[[#This Row],[SDate]],weather.tbl[Date],0))</f>
        <v>-7.2</v>
      </c>
      <c r="U682" s="2">
        <f ca="1">INDEX(INDIRECT(_xlfn.CONCAT("weather.tbl[",U$1,"]")),MATCH(vp.tbl[[#This Row],[SDate]],weather.tbl[Date],0))</f>
        <v>-4.8</v>
      </c>
      <c r="V682" s="2">
        <v>4893.7520000000004</v>
      </c>
      <c r="W682" t="s">
        <v>48</v>
      </c>
      <c r="X682">
        <f>IF(OR(vp.tbl[[#This Row],[Sulf]]="",vp.tbl[[#This Row],[Dens]]=""),1,0)</f>
        <v>0</v>
      </c>
      <c r="Y682">
        <f>IF(vp.tbl[[#This Row],[CrudeType]]="C5+",1,0)</f>
        <v>0</v>
      </c>
      <c r="Z682">
        <f>IF(AND(vp.tbl[[#This Row],[CrudeType]]="Crude",vp.tbl[[#This Row],[Dens]]&lt;=825,vp.tbl[[#This Row],[Sulf]]&gt;0.5,vp.tbl[[#This Row],[Unknown]]=0),1,0)</f>
        <v>1</v>
      </c>
      <c r="AA682">
        <f>IF(AND(vp.tbl[[#This Row],[CrudeType]]="Crude",vp.tbl[[#This Row],[Dens]]&lt;=825,vp.tbl[[#This Row],[Sulf]]&lt;=0.5,vp.tbl[[#This Row],[Unknown]]=0),1,0)</f>
        <v>0</v>
      </c>
      <c r="AB682">
        <f>IF(AND(vp.tbl[[#This Row],[CrudeType]]="Crude",vp.tbl[[#This Row],[Dens]]&gt;825,vp.tbl[[#This Row],[Dens]]&lt;=870,vp.tbl[[#This Row],[Sulf]]&gt;0.5,vp.tbl[[#This Row],[Unknown]]=0),1,0)</f>
        <v>0</v>
      </c>
      <c r="AC682">
        <f>IF(AND(vp.tbl[[#This Row],[CrudeType]]="Crude",vp.tbl[[#This Row],[Dens]]&gt;825,vp.tbl[[#This Row],[Dens]]&lt;=900,vp.tbl[[#This Row],[Sulf]]&lt;=0.5,vp.tbl[[#This Row],[Unknown]]=0),1,0)</f>
        <v>0</v>
      </c>
      <c r="AD682">
        <f>IF(AND(vp.tbl[[#This Row],[CrudeType]]="Crude",vp.tbl[[#This Row],[Dens]]&gt;870,vp.tbl[[#This Row],[Dens]]&lt;=900,vp.tbl[[#This Row],[Sulf]]&gt;0.5,vp.tbl[[#This Row],[Unknown]]=0),1,0)</f>
        <v>0</v>
      </c>
      <c r="AE682">
        <f>IF(AND(vp.tbl[[#This Row],[CrudeType]]="Crude",vp.tbl[[#This Row],[Dens]]&gt;900,vp.tbl[[#This Row],[Sulf]]&lt;=0.5,vp.tbl[[#This Row],[Unknown]]=0),1,0)</f>
        <v>0</v>
      </c>
      <c r="AF682">
        <f>IF(AND(vp.tbl[[#This Row],[CrudeType]]="Crude",vp.tbl[[#This Row],[Dens]]&gt;900,vp.tbl[[#This Row],[Sulf]]&lt;=0.5,vp.tbl[[#This Row],[Unknown]]=0),1,0)</f>
        <v>0</v>
      </c>
      <c r="AG682" t="str">
        <f>INDEX(vp.tbl[[#Headers],[Unknown]:[Heavy_SW]],MATCH(1,vp.tbl[[#This Row],[Unknown]:[Heavy_SW]],0))</f>
        <v>Light_LSB</v>
      </c>
      <c r="AH682" t="e">
        <f>INDEX([1]!crudeBD.lkup[Number],MATCH(vp.tbl[[#This Row],[Crude_Breakdown]],[1]!crudeBD.lkup[Crude Breakdown],0))</f>
        <v>#REF!</v>
      </c>
      <c r="AI682">
        <f>MONTH(vp.tbl[[#This Row],[SDate]])</f>
        <v>1</v>
      </c>
      <c r="AJ682" s="5">
        <f>IFERROR(vp.tbl[[#This Row],[Sulf]]*vp.tbl[[#This Row],[Net Dens]],"")</f>
        <v>5826070.4810239999</v>
      </c>
      <c r="AK682" s="5">
        <f>IFERROR(vp.tbl[[#This Row],[Dens]]*vp.tbl[[#This Row],[VolumeM3]],"")</f>
        <v>3936534.1088</v>
      </c>
      <c r="AL682" s="5">
        <f>IFERROR(vp.tbl[[#This Row],[VP]]*vp.tbl[[#This Row],[VolumeM3]],"")</f>
        <v>631783.38320000004</v>
      </c>
      <c r="AM682" s="4">
        <f>IFERROR((vp.tbl[[#This Row],[VP]]-INDEX(crudeBD.lkup.complete[Mean_VP],MATCH(vp.tbl[[#This Row],[Crude_Breakdown]],crudeBD.lkup.complete[Crude Breakdown],0)))^2,"")</f>
        <v>1410.2889784674221</v>
      </c>
      <c r="AN682" s="4">
        <f>IFERROR((vp.tbl[[#This Row],[Dens]]-INDEX(crudeBD.lkup.complete[Mean_Dens],MATCH(vp.tbl[[#This Row],[Crude_Breakdown]],crudeBD.lkup.complete[Crude Breakdown],0)))^2,"")</f>
        <v>199.28318844131863</v>
      </c>
      <c r="AO682" s="4">
        <f>IFERROR((vp.tbl[[#This Row],[Sulf]]-INDEX(crudeBD.lkup.complete[Mean_Sulf],MATCH(vp.tbl[[#This Row],[Crude_Breakdown]],crudeBD.lkup.complete[Crude Breakdown],0)))^2,"")</f>
        <v>0.31028111925050628</v>
      </c>
      <c r="AP682">
        <f>IF(AND(vp.tbl[[#This Row],[SDate]]&gt;=DATE(YEAR(vp.tbl[[#This Row],[SDate]]),5,1),vp.tbl[[#This Row],[SDate]]&lt;=DATE(YEAR(vp.tbl[[#This Row],[SDate]]),9,15)),1,0)</f>
        <v>0</v>
      </c>
      <c r="AQ682" s="15">
        <f>IF(vp.tbl[[#This Row],[SDate]]&lt;DATE(2016,12,1),0,1)</f>
        <v>1</v>
      </c>
    </row>
    <row r="683" spans="1:43" x14ac:dyDescent="0.25">
      <c r="A683">
        <v>682</v>
      </c>
      <c r="B683" t="s">
        <v>62</v>
      </c>
      <c r="C683" t="s">
        <v>62</v>
      </c>
      <c r="D683" t="s">
        <v>83</v>
      </c>
      <c r="F683" s="1">
        <v>42762</v>
      </c>
      <c r="G683" s="2">
        <v>89.9</v>
      </c>
      <c r="H683" s="2"/>
      <c r="I683" s="2">
        <v>0.17</v>
      </c>
      <c r="J683" s="2">
        <v>0.4</v>
      </c>
      <c r="K683" s="2">
        <v>-8</v>
      </c>
      <c r="L683" s="2">
        <v>807.5</v>
      </c>
      <c r="M683" s="2">
        <v>807.5</v>
      </c>
      <c r="N683" s="2">
        <f ca="1">INDEX(INDIRECT(_xlfn.CONCAT("weather.tbl[",N$1,"]")),MATCH(vp.tbl[[#This Row],[SDate]],weather.tbl[Date],0))</f>
        <v>-5.1499999999999995</v>
      </c>
      <c r="O683" s="2">
        <f ca="1">INDEX(INDIRECT(_xlfn.CONCAT("weather.tbl[",O$1,"]")),MATCH(vp.tbl[[#This Row],[SDate]],weather.tbl[Date],0))</f>
        <v>-7.4119047619047622</v>
      </c>
      <c r="P683" s="2">
        <f ca="1">INDEX(INDIRECT(_xlfn.CONCAT("weather.tbl[",P$1,"]")),MATCH(vp.tbl[[#This Row],[SDate]],weather.tbl[Date],0))</f>
        <v>-5.9</v>
      </c>
      <c r="Q683" s="2">
        <f ca="1">INDEX(INDIRECT(_xlfn.CONCAT("weather.tbl[",Q$1,"]")),MATCH(vp.tbl[[#This Row],[SDate]],weather.tbl[Date],0))</f>
        <v>-4.0999999999999996</v>
      </c>
      <c r="R683" s="2">
        <f ca="1">INDEX(INDIRECT(_xlfn.CONCAT("weather.tbl[",R$1,"]")),MATCH(vp.tbl[[#This Row],[SDate]],weather.tbl[Date],0))</f>
        <v>-6.5</v>
      </c>
      <c r="S683" s="2">
        <f ca="1">INDEX(INDIRECT(_xlfn.CONCAT("weather.tbl[",S$1,"]")),MATCH(vp.tbl[[#This Row],[SDate]],weather.tbl[Date],0))</f>
        <v>-2.4</v>
      </c>
      <c r="T683" s="2">
        <f ca="1">INDEX(INDIRECT(_xlfn.CONCAT("weather.tbl[",T$1,"]")),MATCH(vp.tbl[[#This Row],[SDate]],weather.tbl[Date],0))</f>
        <v>-7.2</v>
      </c>
      <c r="U683" s="2">
        <f ca="1">INDEX(INDIRECT(_xlfn.CONCAT("weather.tbl[",U$1,"]")),MATCH(vp.tbl[[#This Row],[SDate]],weather.tbl[Date],0))</f>
        <v>-4.8</v>
      </c>
      <c r="V683" s="2">
        <v>8873.2939999999999</v>
      </c>
      <c r="W683" t="s">
        <v>48</v>
      </c>
      <c r="X683">
        <f>IF(OR(vp.tbl[[#This Row],[Sulf]]="",vp.tbl[[#This Row],[Dens]]=""),1,0)</f>
        <v>0</v>
      </c>
      <c r="Y683">
        <f>IF(vp.tbl[[#This Row],[CrudeType]]="C5+",1,0)</f>
        <v>0</v>
      </c>
      <c r="Z683">
        <f>IF(AND(vp.tbl[[#This Row],[CrudeType]]="Crude",vp.tbl[[#This Row],[Dens]]&lt;=825,vp.tbl[[#This Row],[Sulf]]&gt;0.5,vp.tbl[[#This Row],[Unknown]]=0),1,0)</f>
        <v>0</v>
      </c>
      <c r="AA683">
        <f>IF(AND(vp.tbl[[#This Row],[CrudeType]]="Crude",vp.tbl[[#This Row],[Dens]]&lt;=825,vp.tbl[[#This Row],[Sulf]]&lt;=0.5,vp.tbl[[#This Row],[Unknown]]=0),1,0)</f>
        <v>1</v>
      </c>
      <c r="AB683">
        <f>IF(AND(vp.tbl[[#This Row],[CrudeType]]="Crude",vp.tbl[[#This Row],[Dens]]&gt;825,vp.tbl[[#This Row],[Dens]]&lt;=870,vp.tbl[[#This Row],[Sulf]]&gt;0.5,vp.tbl[[#This Row],[Unknown]]=0),1,0)</f>
        <v>0</v>
      </c>
      <c r="AC683">
        <f>IF(AND(vp.tbl[[#This Row],[CrudeType]]="Crude",vp.tbl[[#This Row],[Dens]]&gt;825,vp.tbl[[#This Row],[Dens]]&lt;=900,vp.tbl[[#This Row],[Sulf]]&lt;=0.5,vp.tbl[[#This Row],[Unknown]]=0),1,0)</f>
        <v>0</v>
      </c>
      <c r="AD683">
        <f>IF(AND(vp.tbl[[#This Row],[CrudeType]]="Crude",vp.tbl[[#This Row],[Dens]]&gt;870,vp.tbl[[#This Row],[Dens]]&lt;=900,vp.tbl[[#This Row],[Sulf]]&gt;0.5,vp.tbl[[#This Row],[Unknown]]=0),1,0)</f>
        <v>0</v>
      </c>
      <c r="AE683">
        <f>IF(AND(vp.tbl[[#This Row],[CrudeType]]="Crude",vp.tbl[[#This Row],[Dens]]&gt;900,vp.tbl[[#This Row],[Sulf]]&lt;=0.5,vp.tbl[[#This Row],[Unknown]]=0),1,0)</f>
        <v>0</v>
      </c>
      <c r="AF683">
        <f>IF(AND(vp.tbl[[#This Row],[CrudeType]]="Crude",vp.tbl[[#This Row],[Dens]]&gt;900,vp.tbl[[#This Row],[Sulf]]&lt;=0.5,vp.tbl[[#This Row],[Unknown]]=0),1,0)</f>
        <v>0</v>
      </c>
      <c r="AG683" t="str">
        <f>INDEX(vp.tbl[[#Headers],[Unknown]:[Heavy_SW]],MATCH(1,vp.tbl[[#This Row],[Unknown]:[Heavy_SW]],0))</f>
        <v>Light_SW</v>
      </c>
      <c r="AH683" t="e">
        <f>INDEX([1]!crudeBD.lkup[Number],MATCH(vp.tbl[[#This Row],[Crude_Breakdown]],[1]!crudeBD.lkup[Crude Breakdown],0))</f>
        <v>#REF!</v>
      </c>
      <c r="AI683">
        <f>MONTH(vp.tbl[[#This Row],[SDate]])</f>
        <v>1</v>
      </c>
      <c r="AJ683" s="5">
        <f>IFERROR(vp.tbl[[#This Row],[Sulf]]*vp.tbl[[#This Row],[Net Dens]],"")</f>
        <v>1218081.4338500001</v>
      </c>
      <c r="AK683" s="5">
        <f>IFERROR(vp.tbl[[#This Row],[Dens]]*vp.tbl[[#This Row],[VolumeM3]],"")</f>
        <v>7165184.9050000003</v>
      </c>
      <c r="AL683" s="5">
        <f>IFERROR(vp.tbl[[#This Row],[VP]]*vp.tbl[[#This Row],[VolumeM3]],"")</f>
        <v>797709.13060000003</v>
      </c>
      <c r="AM683" s="4">
        <f>IFERROR((vp.tbl[[#This Row],[VP]]-INDEX(crudeBD.lkup.complete[Mean_VP],MATCH(vp.tbl[[#This Row],[Crude_Breakdown]],crudeBD.lkup.complete[Crude Breakdown],0)))^2,"")</f>
        <v>7.0241621192437034</v>
      </c>
      <c r="AN683" s="4">
        <f>IFERROR((vp.tbl[[#This Row],[Dens]]-INDEX(crudeBD.lkup.complete[Mean_Dens],MATCH(vp.tbl[[#This Row],[Crude_Breakdown]],crudeBD.lkup.complete[Crude Breakdown],0)))^2,"")</f>
        <v>0.65852942247654833</v>
      </c>
      <c r="AO683" s="4">
        <f>IFERROR((vp.tbl[[#This Row],[Sulf]]-INDEX(crudeBD.lkup.complete[Mean_Sulf],MATCH(vp.tbl[[#This Row],[Crude_Breakdown]],crudeBD.lkup.complete[Crude Breakdown],0)))^2,"")</f>
        <v>4.3879776367322437E-3</v>
      </c>
      <c r="AP683">
        <f>IF(AND(vp.tbl[[#This Row],[SDate]]&gt;=DATE(YEAR(vp.tbl[[#This Row],[SDate]]),5,1),vp.tbl[[#This Row],[SDate]]&lt;=DATE(YEAR(vp.tbl[[#This Row],[SDate]]),9,15)),1,0)</f>
        <v>0</v>
      </c>
      <c r="AQ683" s="15">
        <f>IF(vp.tbl[[#This Row],[SDate]]&lt;DATE(2016,12,1),0,1)</f>
        <v>1</v>
      </c>
    </row>
    <row r="684" spans="1:43" x14ac:dyDescent="0.25">
      <c r="A684">
        <v>683</v>
      </c>
      <c r="B684" t="s">
        <v>51</v>
      </c>
      <c r="C684" t="s">
        <v>51</v>
      </c>
      <c r="D684" t="s">
        <v>71</v>
      </c>
      <c r="F684" s="1">
        <v>42762</v>
      </c>
      <c r="G684" s="2">
        <v>91.1</v>
      </c>
      <c r="H684" s="2"/>
      <c r="I684" s="2">
        <v>1.42</v>
      </c>
      <c r="J684" s="2">
        <v>12.7</v>
      </c>
      <c r="K684" s="2">
        <v>-8</v>
      </c>
      <c r="L684" s="2">
        <v>833.3</v>
      </c>
      <c r="M684" s="2">
        <v>833.3</v>
      </c>
      <c r="N684" s="2">
        <f ca="1">INDEX(INDIRECT(_xlfn.CONCAT("weather.tbl[",N$1,"]")),MATCH(vp.tbl[[#This Row],[SDate]],weather.tbl[Date],0))</f>
        <v>-5.1499999999999995</v>
      </c>
      <c r="O684" s="2">
        <f ca="1">INDEX(INDIRECT(_xlfn.CONCAT("weather.tbl[",O$1,"]")),MATCH(vp.tbl[[#This Row],[SDate]],weather.tbl[Date],0))</f>
        <v>-7.4119047619047622</v>
      </c>
      <c r="P684" s="2">
        <f ca="1">INDEX(INDIRECT(_xlfn.CONCAT("weather.tbl[",P$1,"]")),MATCH(vp.tbl[[#This Row],[SDate]],weather.tbl[Date],0))</f>
        <v>-5.9</v>
      </c>
      <c r="Q684" s="2">
        <f ca="1">INDEX(INDIRECT(_xlfn.CONCAT("weather.tbl[",Q$1,"]")),MATCH(vp.tbl[[#This Row],[SDate]],weather.tbl[Date],0))</f>
        <v>-4.0999999999999996</v>
      </c>
      <c r="R684" s="2">
        <f ca="1">INDEX(INDIRECT(_xlfn.CONCAT("weather.tbl[",R$1,"]")),MATCH(vp.tbl[[#This Row],[SDate]],weather.tbl[Date],0))</f>
        <v>-6.5</v>
      </c>
      <c r="S684" s="2">
        <f ca="1">INDEX(INDIRECT(_xlfn.CONCAT("weather.tbl[",S$1,"]")),MATCH(vp.tbl[[#This Row],[SDate]],weather.tbl[Date],0))</f>
        <v>-2.4</v>
      </c>
      <c r="T684" s="2">
        <f ca="1">INDEX(INDIRECT(_xlfn.CONCAT("weather.tbl[",T$1,"]")),MATCH(vp.tbl[[#This Row],[SDate]],weather.tbl[Date],0))</f>
        <v>-7.2</v>
      </c>
      <c r="U684" s="2">
        <f ca="1">INDEX(INDIRECT(_xlfn.CONCAT("weather.tbl[",U$1,"]")),MATCH(vp.tbl[[#This Row],[SDate]],weather.tbl[Date],0))</f>
        <v>-4.8</v>
      </c>
      <c r="V684" s="2">
        <v>7460.0540000000001</v>
      </c>
      <c r="W684" t="s">
        <v>48</v>
      </c>
      <c r="X684">
        <f>IF(OR(vp.tbl[[#This Row],[Sulf]]="",vp.tbl[[#This Row],[Dens]]=""),1,0)</f>
        <v>0</v>
      </c>
      <c r="Y684">
        <f>IF(vp.tbl[[#This Row],[CrudeType]]="C5+",1,0)</f>
        <v>0</v>
      </c>
      <c r="Z684">
        <f>IF(AND(vp.tbl[[#This Row],[CrudeType]]="Crude",vp.tbl[[#This Row],[Dens]]&lt;=825,vp.tbl[[#This Row],[Sulf]]&gt;0.5,vp.tbl[[#This Row],[Unknown]]=0),1,0)</f>
        <v>0</v>
      </c>
      <c r="AA684">
        <f>IF(AND(vp.tbl[[#This Row],[CrudeType]]="Crude",vp.tbl[[#This Row],[Dens]]&lt;=825,vp.tbl[[#This Row],[Sulf]]&lt;=0.5,vp.tbl[[#This Row],[Unknown]]=0),1,0)</f>
        <v>0</v>
      </c>
      <c r="AB684">
        <f>IF(AND(vp.tbl[[#This Row],[CrudeType]]="Crude",vp.tbl[[#This Row],[Dens]]&gt;825,vp.tbl[[#This Row],[Dens]]&lt;=870,vp.tbl[[#This Row],[Sulf]]&gt;0.5,vp.tbl[[#This Row],[Unknown]]=0),1,0)</f>
        <v>1</v>
      </c>
      <c r="AC684">
        <f>IF(AND(vp.tbl[[#This Row],[CrudeType]]="Crude",vp.tbl[[#This Row],[Dens]]&gt;825,vp.tbl[[#This Row],[Dens]]&lt;=900,vp.tbl[[#This Row],[Sulf]]&lt;=0.5,vp.tbl[[#This Row],[Unknown]]=0),1,0)</f>
        <v>0</v>
      </c>
      <c r="AD684">
        <f>IF(AND(vp.tbl[[#This Row],[CrudeType]]="Crude",vp.tbl[[#This Row],[Dens]]&gt;870,vp.tbl[[#This Row],[Dens]]&lt;=900,vp.tbl[[#This Row],[Sulf]]&gt;0.5,vp.tbl[[#This Row],[Unknown]]=0),1,0)</f>
        <v>0</v>
      </c>
      <c r="AE684">
        <f>IF(AND(vp.tbl[[#This Row],[CrudeType]]="Crude",vp.tbl[[#This Row],[Dens]]&gt;900,vp.tbl[[#This Row],[Sulf]]&lt;=0.5,vp.tbl[[#This Row],[Unknown]]=0),1,0)</f>
        <v>0</v>
      </c>
      <c r="AF684">
        <f>IF(AND(vp.tbl[[#This Row],[CrudeType]]="Crude",vp.tbl[[#This Row],[Dens]]&gt;900,vp.tbl[[#This Row],[Sulf]]&lt;=0.5,vp.tbl[[#This Row],[Unknown]]=0),1,0)</f>
        <v>0</v>
      </c>
      <c r="AG684" t="str">
        <f>INDEX(vp.tbl[[#Headers],[Unknown]:[Heavy_SW]],MATCH(1,vp.tbl[[#This Row],[Unknown]:[Heavy_SW]],0))</f>
        <v>Medium_LSB</v>
      </c>
      <c r="AH684" t="e">
        <f>INDEX([1]!crudeBD.lkup[Number],MATCH(vp.tbl[[#This Row],[Crude_Breakdown]],[1]!crudeBD.lkup[Crude Breakdown],0))</f>
        <v>#REF!</v>
      </c>
      <c r="AI684">
        <f>MONTH(vp.tbl[[#This Row],[SDate]])</f>
        <v>1</v>
      </c>
      <c r="AJ684" s="5">
        <f>IFERROR(vp.tbl[[#This Row],[Sulf]]*vp.tbl[[#This Row],[Net Dens]],"")</f>
        <v>8827377.4574439991</v>
      </c>
      <c r="AK684" s="5">
        <f>IFERROR(vp.tbl[[#This Row],[Dens]]*vp.tbl[[#This Row],[VolumeM3]],"")</f>
        <v>6216462.9981999993</v>
      </c>
      <c r="AL684" s="5">
        <f>IFERROR(vp.tbl[[#This Row],[VP]]*vp.tbl[[#This Row],[VolumeM3]],"")</f>
        <v>679610.91940000001</v>
      </c>
      <c r="AM684" s="4">
        <f>IFERROR((vp.tbl[[#This Row],[VP]]-INDEX(crudeBD.lkup.complete[Mean_VP],MATCH(vp.tbl[[#This Row],[Crude_Breakdown]],crudeBD.lkup.complete[Crude Breakdown],0)))^2,"")</f>
        <v>119.38632760711492</v>
      </c>
      <c r="AN684" s="4">
        <f>IFERROR((vp.tbl[[#This Row],[Dens]]-INDEX(crudeBD.lkup.complete[Mean_Dens],MATCH(vp.tbl[[#This Row],[Crude_Breakdown]],crudeBD.lkup.complete[Crude Breakdown],0)))^2,"")</f>
        <v>143.80381370226877</v>
      </c>
      <c r="AO684" s="4">
        <f>IFERROR((vp.tbl[[#This Row],[Sulf]]-INDEX(crudeBD.lkup.complete[Mean_Sulf],MATCH(vp.tbl[[#This Row],[Crude_Breakdown]],crudeBD.lkup.complete[Crude Breakdown],0)))^2,"")</f>
        <v>1.2200951726777241E-3</v>
      </c>
      <c r="AP684">
        <f>IF(AND(vp.tbl[[#This Row],[SDate]]&gt;=DATE(YEAR(vp.tbl[[#This Row],[SDate]]),5,1),vp.tbl[[#This Row],[SDate]]&lt;=DATE(YEAR(vp.tbl[[#This Row],[SDate]]),9,15)),1,0)</f>
        <v>0</v>
      </c>
      <c r="AQ684" s="15">
        <f>IF(vp.tbl[[#This Row],[SDate]]&lt;DATE(2016,12,1),0,1)</f>
        <v>1</v>
      </c>
    </row>
    <row r="685" spans="1:43" x14ac:dyDescent="0.25">
      <c r="A685">
        <v>684</v>
      </c>
      <c r="B685" t="s">
        <v>51</v>
      </c>
      <c r="C685" t="s">
        <v>51</v>
      </c>
      <c r="D685" t="s">
        <v>126</v>
      </c>
      <c r="F685" s="1">
        <v>42762</v>
      </c>
      <c r="G685" s="2">
        <v>113.6</v>
      </c>
      <c r="H685" s="2"/>
      <c r="I685" s="2">
        <v>1.71</v>
      </c>
      <c r="J685" s="2">
        <v>-2.7</v>
      </c>
      <c r="K685" s="2">
        <v>-8</v>
      </c>
      <c r="L685" s="2">
        <v>845.5</v>
      </c>
      <c r="M685" s="2">
        <v>845.5</v>
      </c>
      <c r="N685" s="2">
        <f ca="1">INDEX(INDIRECT(_xlfn.CONCAT("weather.tbl[",N$1,"]")),MATCH(vp.tbl[[#This Row],[SDate]],weather.tbl[Date],0))</f>
        <v>-5.1499999999999995</v>
      </c>
      <c r="O685" s="2">
        <f ca="1">INDEX(INDIRECT(_xlfn.CONCAT("weather.tbl[",O$1,"]")),MATCH(vp.tbl[[#This Row],[SDate]],weather.tbl[Date],0))</f>
        <v>-7.4119047619047622</v>
      </c>
      <c r="P685" s="2">
        <f ca="1">INDEX(INDIRECT(_xlfn.CONCAT("weather.tbl[",P$1,"]")),MATCH(vp.tbl[[#This Row],[SDate]],weather.tbl[Date],0))</f>
        <v>-5.9</v>
      </c>
      <c r="Q685" s="2">
        <f ca="1">INDEX(INDIRECT(_xlfn.CONCAT("weather.tbl[",Q$1,"]")),MATCH(vp.tbl[[#This Row],[SDate]],weather.tbl[Date],0))</f>
        <v>-4.0999999999999996</v>
      </c>
      <c r="R685" s="2">
        <f ca="1">INDEX(INDIRECT(_xlfn.CONCAT("weather.tbl[",R$1,"]")),MATCH(vp.tbl[[#This Row],[SDate]],weather.tbl[Date],0))</f>
        <v>-6.5</v>
      </c>
      <c r="S685" s="2">
        <f ca="1">INDEX(INDIRECT(_xlfn.CONCAT("weather.tbl[",S$1,"]")),MATCH(vp.tbl[[#This Row],[SDate]],weather.tbl[Date],0))</f>
        <v>-2.4</v>
      </c>
      <c r="T685" s="2">
        <f ca="1">INDEX(INDIRECT(_xlfn.CONCAT("weather.tbl[",T$1,"]")),MATCH(vp.tbl[[#This Row],[SDate]],weather.tbl[Date],0))</f>
        <v>-7.2</v>
      </c>
      <c r="U685" s="2">
        <f ca="1">INDEX(INDIRECT(_xlfn.CONCAT("weather.tbl[",U$1,"]")),MATCH(vp.tbl[[#This Row],[SDate]],weather.tbl[Date],0))</f>
        <v>-4.8</v>
      </c>
      <c r="V685" s="2">
        <v>1144.7719999999999</v>
      </c>
      <c r="W685" t="s">
        <v>48</v>
      </c>
      <c r="X685">
        <f>IF(OR(vp.tbl[[#This Row],[Sulf]]="",vp.tbl[[#This Row],[Dens]]=""),1,0)</f>
        <v>0</v>
      </c>
      <c r="Y685">
        <f>IF(vp.tbl[[#This Row],[CrudeType]]="C5+",1,0)</f>
        <v>0</v>
      </c>
      <c r="Z685">
        <f>IF(AND(vp.tbl[[#This Row],[CrudeType]]="Crude",vp.tbl[[#This Row],[Dens]]&lt;=825,vp.tbl[[#This Row],[Sulf]]&gt;0.5,vp.tbl[[#This Row],[Unknown]]=0),1,0)</f>
        <v>0</v>
      </c>
      <c r="AA685">
        <f>IF(AND(vp.tbl[[#This Row],[CrudeType]]="Crude",vp.tbl[[#This Row],[Dens]]&lt;=825,vp.tbl[[#This Row],[Sulf]]&lt;=0.5,vp.tbl[[#This Row],[Unknown]]=0),1,0)</f>
        <v>0</v>
      </c>
      <c r="AB685">
        <f>IF(AND(vp.tbl[[#This Row],[CrudeType]]="Crude",vp.tbl[[#This Row],[Dens]]&gt;825,vp.tbl[[#This Row],[Dens]]&lt;=870,vp.tbl[[#This Row],[Sulf]]&gt;0.5,vp.tbl[[#This Row],[Unknown]]=0),1,0)</f>
        <v>1</v>
      </c>
      <c r="AC685">
        <f>IF(AND(vp.tbl[[#This Row],[CrudeType]]="Crude",vp.tbl[[#This Row],[Dens]]&gt;825,vp.tbl[[#This Row],[Dens]]&lt;=900,vp.tbl[[#This Row],[Sulf]]&lt;=0.5,vp.tbl[[#This Row],[Unknown]]=0),1,0)</f>
        <v>0</v>
      </c>
      <c r="AD685">
        <f>IF(AND(vp.tbl[[#This Row],[CrudeType]]="Crude",vp.tbl[[#This Row],[Dens]]&gt;870,vp.tbl[[#This Row],[Dens]]&lt;=900,vp.tbl[[#This Row],[Sulf]]&gt;0.5,vp.tbl[[#This Row],[Unknown]]=0),1,0)</f>
        <v>0</v>
      </c>
      <c r="AE685">
        <f>IF(AND(vp.tbl[[#This Row],[CrudeType]]="Crude",vp.tbl[[#This Row],[Dens]]&gt;900,vp.tbl[[#This Row],[Sulf]]&lt;=0.5,vp.tbl[[#This Row],[Unknown]]=0),1,0)</f>
        <v>0</v>
      </c>
      <c r="AF685">
        <f>IF(AND(vp.tbl[[#This Row],[CrudeType]]="Crude",vp.tbl[[#This Row],[Dens]]&gt;900,vp.tbl[[#This Row],[Sulf]]&lt;=0.5,vp.tbl[[#This Row],[Unknown]]=0),1,0)</f>
        <v>0</v>
      </c>
      <c r="AG685" t="str">
        <f>INDEX(vp.tbl[[#Headers],[Unknown]:[Heavy_SW]],MATCH(1,vp.tbl[[#This Row],[Unknown]:[Heavy_SW]],0))</f>
        <v>Medium_LSB</v>
      </c>
      <c r="AH685" t="e">
        <f>INDEX([1]!crudeBD.lkup[Number],MATCH(vp.tbl[[#This Row],[Crude_Breakdown]],[1]!crudeBD.lkup[Crude Breakdown],0))</f>
        <v>#REF!</v>
      </c>
      <c r="AI685">
        <f>MONTH(vp.tbl[[#This Row],[SDate]])</f>
        <v>1</v>
      </c>
      <c r="AJ685" s="5">
        <f>IFERROR(vp.tbl[[#This Row],[Sulf]]*vp.tbl[[#This Row],[Net Dens]],"")</f>
        <v>1655117.0814599998</v>
      </c>
      <c r="AK685" s="5">
        <f>IFERROR(vp.tbl[[#This Row],[Dens]]*vp.tbl[[#This Row],[VolumeM3]],"")</f>
        <v>967904.72599999991</v>
      </c>
      <c r="AL685" s="5">
        <f>IFERROR(vp.tbl[[#This Row],[VP]]*vp.tbl[[#This Row],[VolumeM3]],"")</f>
        <v>130046.09919999998</v>
      </c>
      <c r="AM685" s="4">
        <f>IFERROR((vp.tbl[[#This Row],[VP]]-INDEX(crudeBD.lkup.complete[Mean_VP],MATCH(vp.tbl[[#This Row],[Crude_Breakdown]],crudeBD.lkup.complete[Crude Breakdown],0)))^2,"")</f>
        <v>1117.3245554552177</v>
      </c>
      <c r="AN685" s="4">
        <f>IFERROR((vp.tbl[[#This Row],[Dens]]-INDEX(crudeBD.lkup.complete[Mean_Dens],MATCH(vp.tbl[[#This Row],[Crude_Breakdown]],crudeBD.lkup.complete[Crude Breakdown],0)))^2,"")</f>
        <v>4.3337752924620832E-2</v>
      </c>
      <c r="AO685" s="4">
        <f>IFERROR((vp.tbl[[#This Row],[Sulf]]-INDEX(crudeBD.lkup.complete[Mean_Sulf],MATCH(vp.tbl[[#This Row],[Crude_Breakdown]],crudeBD.lkup.complete[Crude Breakdown],0)))^2,"")</f>
        <v>6.5060775932170509E-2</v>
      </c>
      <c r="AP685">
        <f>IF(AND(vp.tbl[[#This Row],[SDate]]&gt;=DATE(YEAR(vp.tbl[[#This Row],[SDate]]),5,1),vp.tbl[[#This Row],[SDate]]&lt;=DATE(YEAR(vp.tbl[[#This Row],[SDate]]),9,15)),1,0)</f>
        <v>0</v>
      </c>
      <c r="AQ685" s="15">
        <f>IF(vp.tbl[[#This Row],[SDate]]&lt;DATE(2016,12,1),0,1)</f>
        <v>1</v>
      </c>
    </row>
    <row r="686" spans="1:43" x14ac:dyDescent="0.25">
      <c r="A686">
        <v>685</v>
      </c>
      <c r="B686" t="s">
        <v>49</v>
      </c>
      <c r="C686" t="s">
        <v>49</v>
      </c>
      <c r="D686" t="s">
        <v>81</v>
      </c>
      <c r="F686" s="1">
        <v>42764</v>
      </c>
      <c r="G686" s="2">
        <v>91.3</v>
      </c>
      <c r="H686" s="2">
        <v>0.55800000000000005</v>
      </c>
      <c r="I686" s="2">
        <v>0.55800000000000005</v>
      </c>
      <c r="J686" s="2">
        <v>4.5</v>
      </c>
      <c r="K686" s="2">
        <v>2</v>
      </c>
      <c r="L686" s="2">
        <v>812.2</v>
      </c>
      <c r="M686" s="2">
        <v>812.2</v>
      </c>
      <c r="N686" s="2">
        <f ca="1">INDEX(INDIRECT(_xlfn.CONCAT("weather.tbl[",N$1,"]")),MATCH(vp.tbl[[#This Row],[SDate]],weather.tbl[Date],0))</f>
        <v>-2.0500000000000003</v>
      </c>
      <c r="O686" s="2">
        <f ca="1">INDEX(INDIRECT(_xlfn.CONCAT("weather.tbl[",O$1,"]")),MATCH(vp.tbl[[#This Row],[SDate]],weather.tbl[Date],0))</f>
        <v>-6.545238095238096</v>
      </c>
      <c r="P686" s="2">
        <f ca="1">INDEX(INDIRECT(_xlfn.CONCAT("weather.tbl[",P$1,"]")),MATCH(vp.tbl[[#This Row],[SDate]],weather.tbl[Date],0))</f>
        <v>-2</v>
      </c>
      <c r="Q686" s="2">
        <f ca="1">INDEX(INDIRECT(_xlfn.CONCAT("weather.tbl[",Q$1,"]")),MATCH(vp.tbl[[#This Row],[SDate]],weather.tbl[Date],0))</f>
        <v>-0.6</v>
      </c>
      <c r="R686" s="2">
        <f ca="1">INDEX(INDIRECT(_xlfn.CONCAT("weather.tbl[",R$1,"]")),MATCH(vp.tbl[[#This Row],[SDate]],weather.tbl[Date],0))</f>
        <v>-2.2999999999999998</v>
      </c>
      <c r="S686" s="2">
        <f ca="1">INDEX(INDIRECT(_xlfn.CONCAT("weather.tbl[",S$1,"]")),MATCH(vp.tbl[[#This Row],[SDate]],weather.tbl[Date],0))</f>
        <v>0.7</v>
      </c>
      <c r="T686" s="2">
        <f ca="1">INDEX(INDIRECT(_xlfn.CONCAT("weather.tbl[",T$1,"]")),MATCH(vp.tbl[[#This Row],[SDate]],weather.tbl[Date],0))</f>
        <v>-5.8</v>
      </c>
      <c r="U686" s="2">
        <f ca="1">INDEX(INDIRECT(_xlfn.CONCAT("weather.tbl[",U$1,"]")),MATCH(vp.tbl[[#This Row],[SDate]],weather.tbl[Date],0))</f>
        <v>-2.2999999999999998</v>
      </c>
      <c r="V686" s="2">
        <v>18973.987000000001</v>
      </c>
      <c r="W686" t="s">
        <v>48</v>
      </c>
      <c r="X686">
        <f>IF(OR(vp.tbl[[#This Row],[Sulf]]="",vp.tbl[[#This Row],[Dens]]=""),1,0)</f>
        <v>0</v>
      </c>
      <c r="Y686">
        <f>IF(vp.tbl[[#This Row],[CrudeType]]="C5+",1,0)</f>
        <v>0</v>
      </c>
      <c r="Z686">
        <f>IF(AND(vp.tbl[[#This Row],[CrudeType]]="Crude",vp.tbl[[#This Row],[Dens]]&lt;=825,vp.tbl[[#This Row],[Sulf]]&gt;0.5,vp.tbl[[#This Row],[Unknown]]=0),1,0)</f>
        <v>1</v>
      </c>
      <c r="AA686">
        <f>IF(AND(vp.tbl[[#This Row],[CrudeType]]="Crude",vp.tbl[[#This Row],[Dens]]&lt;=825,vp.tbl[[#This Row],[Sulf]]&lt;=0.5,vp.tbl[[#This Row],[Unknown]]=0),1,0)</f>
        <v>0</v>
      </c>
      <c r="AB686">
        <f>IF(AND(vp.tbl[[#This Row],[CrudeType]]="Crude",vp.tbl[[#This Row],[Dens]]&gt;825,vp.tbl[[#This Row],[Dens]]&lt;=870,vp.tbl[[#This Row],[Sulf]]&gt;0.5,vp.tbl[[#This Row],[Unknown]]=0),1,0)</f>
        <v>0</v>
      </c>
      <c r="AC686">
        <f>IF(AND(vp.tbl[[#This Row],[CrudeType]]="Crude",vp.tbl[[#This Row],[Dens]]&gt;825,vp.tbl[[#This Row],[Dens]]&lt;=900,vp.tbl[[#This Row],[Sulf]]&lt;=0.5,vp.tbl[[#This Row],[Unknown]]=0),1,0)</f>
        <v>0</v>
      </c>
      <c r="AD686">
        <f>IF(AND(vp.tbl[[#This Row],[CrudeType]]="Crude",vp.tbl[[#This Row],[Dens]]&gt;870,vp.tbl[[#This Row],[Dens]]&lt;=900,vp.tbl[[#This Row],[Sulf]]&gt;0.5,vp.tbl[[#This Row],[Unknown]]=0),1,0)</f>
        <v>0</v>
      </c>
      <c r="AE686">
        <f>IF(AND(vp.tbl[[#This Row],[CrudeType]]="Crude",vp.tbl[[#This Row],[Dens]]&gt;900,vp.tbl[[#This Row],[Sulf]]&lt;=0.5,vp.tbl[[#This Row],[Unknown]]=0),1,0)</f>
        <v>0</v>
      </c>
      <c r="AF686">
        <f>IF(AND(vp.tbl[[#This Row],[CrudeType]]="Crude",vp.tbl[[#This Row],[Dens]]&gt;900,vp.tbl[[#This Row],[Sulf]]&lt;=0.5,vp.tbl[[#This Row],[Unknown]]=0),1,0)</f>
        <v>0</v>
      </c>
      <c r="AG686" t="str">
        <f>INDEX(vp.tbl[[#Headers],[Unknown]:[Heavy_SW]],MATCH(1,vp.tbl[[#This Row],[Unknown]:[Heavy_SW]],0))</f>
        <v>Light_LSB</v>
      </c>
      <c r="AH686" t="e">
        <f>INDEX([1]!crudeBD.lkup[Number],MATCH(vp.tbl[[#This Row],[Crude_Breakdown]],[1]!crudeBD.lkup[Crude Breakdown],0))</f>
        <v>#REF!</v>
      </c>
      <c r="AI686">
        <f>MONTH(vp.tbl[[#This Row],[SDate]])</f>
        <v>1</v>
      </c>
      <c r="AJ686" s="5">
        <f>IFERROR(vp.tbl[[#This Row],[Sulf]]*vp.tbl[[#This Row],[Net Dens]],"")</f>
        <v>8599155.1107012015</v>
      </c>
      <c r="AK686" s="5">
        <f>IFERROR(vp.tbl[[#This Row],[Dens]]*vp.tbl[[#This Row],[VolumeM3]],"")</f>
        <v>15410672.241400002</v>
      </c>
      <c r="AL686" s="5">
        <f>IFERROR(vp.tbl[[#This Row],[VP]]*vp.tbl[[#This Row],[VolumeM3]],"")</f>
        <v>1732325.0131000001</v>
      </c>
      <c r="AM686" s="4">
        <f>IFERROR((vp.tbl[[#This Row],[VP]]-INDEX(crudeBD.lkup.complete[Mean_VP],MATCH(vp.tbl[[#This Row],[Crude_Breakdown]],crudeBD.lkup.complete[Crude Breakdown],0)))^2,"")</f>
        <v>6.060733340420419E-2</v>
      </c>
      <c r="AN686" s="4">
        <f>IFERROR((vp.tbl[[#This Row],[Dens]]-INDEX(crudeBD.lkup.complete[Mean_Dens],MATCH(vp.tbl[[#This Row],[Crude_Breakdown]],crudeBD.lkup.complete[Crude Breakdown],0)))^2,"")</f>
        <v>39.90158019389964</v>
      </c>
      <c r="AO686" s="4">
        <f>IFERROR((vp.tbl[[#This Row],[Sulf]]-INDEX(crudeBD.lkup.complete[Mean_Sulf],MATCH(vp.tbl[[#This Row],[Crude_Breakdown]],crudeBD.lkup.complete[Crude Breakdown],0)))^2,"")</f>
        <v>0.13320395375222402</v>
      </c>
      <c r="AP686">
        <f>IF(AND(vp.tbl[[#This Row],[SDate]]&gt;=DATE(YEAR(vp.tbl[[#This Row],[SDate]]),5,1),vp.tbl[[#This Row],[SDate]]&lt;=DATE(YEAR(vp.tbl[[#This Row],[SDate]]),9,15)),1,0)</f>
        <v>0</v>
      </c>
      <c r="AQ686" s="15">
        <f>IF(vp.tbl[[#This Row],[SDate]]&lt;DATE(2016,12,1),0,1)</f>
        <v>1</v>
      </c>
    </row>
    <row r="687" spans="1:43" x14ac:dyDescent="0.25">
      <c r="A687">
        <v>686</v>
      </c>
      <c r="B687" t="s">
        <v>49</v>
      </c>
      <c r="C687" t="s">
        <v>49</v>
      </c>
      <c r="D687" t="s">
        <v>89</v>
      </c>
      <c r="F687" s="1">
        <v>42764</v>
      </c>
      <c r="G687" s="2">
        <v>109.6</v>
      </c>
      <c r="H687" s="2">
        <v>0.67500000000000004</v>
      </c>
      <c r="I687" s="2">
        <v>0.67500000000000004</v>
      </c>
      <c r="J687" s="2">
        <v>6.3</v>
      </c>
      <c r="K687" s="2">
        <v>-2</v>
      </c>
      <c r="L687" s="2">
        <v>815.9</v>
      </c>
      <c r="M687" s="2">
        <v>815.9</v>
      </c>
      <c r="N687" s="2">
        <f ca="1">INDEX(INDIRECT(_xlfn.CONCAT("weather.tbl[",N$1,"]")),MATCH(vp.tbl[[#This Row],[SDate]],weather.tbl[Date],0))</f>
        <v>-2.0500000000000003</v>
      </c>
      <c r="O687" s="2">
        <f ca="1">INDEX(INDIRECT(_xlfn.CONCAT("weather.tbl[",O$1,"]")),MATCH(vp.tbl[[#This Row],[SDate]],weather.tbl[Date],0))</f>
        <v>-6.545238095238096</v>
      </c>
      <c r="P687" s="2">
        <f ca="1">INDEX(INDIRECT(_xlfn.CONCAT("weather.tbl[",P$1,"]")),MATCH(vp.tbl[[#This Row],[SDate]],weather.tbl[Date],0))</f>
        <v>-2</v>
      </c>
      <c r="Q687" s="2">
        <f ca="1">INDEX(INDIRECT(_xlfn.CONCAT("weather.tbl[",Q$1,"]")),MATCH(vp.tbl[[#This Row],[SDate]],weather.tbl[Date],0))</f>
        <v>-0.6</v>
      </c>
      <c r="R687" s="2">
        <f ca="1">INDEX(INDIRECT(_xlfn.CONCAT("weather.tbl[",R$1,"]")),MATCH(vp.tbl[[#This Row],[SDate]],weather.tbl[Date],0))</f>
        <v>-2.2999999999999998</v>
      </c>
      <c r="S687" s="2">
        <f ca="1">INDEX(INDIRECT(_xlfn.CONCAT("weather.tbl[",S$1,"]")),MATCH(vp.tbl[[#This Row],[SDate]],weather.tbl[Date],0))</f>
        <v>0.7</v>
      </c>
      <c r="T687" s="2">
        <f ca="1">INDEX(INDIRECT(_xlfn.CONCAT("weather.tbl[",T$1,"]")),MATCH(vp.tbl[[#This Row],[SDate]],weather.tbl[Date],0))</f>
        <v>-5.8</v>
      </c>
      <c r="U687" s="2">
        <f ca="1">INDEX(INDIRECT(_xlfn.CONCAT("weather.tbl[",U$1,"]")),MATCH(vp.tbl[[#This Row],[SDate]],weather.tbl[Date],0))</f>
        <v>-2.2999999999999998</v>
      </c>
      <c r="V687" s="2">
        <v>6179.5609999999997</v>
      </c>
      <c r="W687" t="s">
        <v>48</v>
      </c>
      <c r="X687">
        <f>IF(OR(vp.tbl[[#This Row],[Sulf]]="",vp.tbl[[#This Row],[Dens]]=""),1,0)</f>
        <v>0</v>
      </c>
      <c r="Y687">
        <f>IF(vp.tbl[[#This Row],[CrudeType]]="C5+",1,0)</f>
        <v>0</v>
      </c>
      <c r="Z687">
        <f>IF(AND(vp.tbl[[#This Row],[CrudeType]]="Crude",vp.tbl[[#This Row],[Dens]]&lt;=825,vp.tbl[[#This Row],[Sulf]]&gt;0.5,vp.tbl[[#This Row],[Unknown]]=0),1,0)</f>
        <v>1</v>
      </c>
      <c r="AA687">
        <f>IF(AND(vp.tbl[[#This Row],[CrudeType]]="Crude",vp.tbl[[#This Row],[Dens]]&lt;=825,vp.tbl[[#This Row],[Sulf]]&lt;=0.5,vp.tbl[[#This Row],[Unknown]]=0),1,0)</f>
        <v>0</v>
      </c>
      <c r="AB687">
        <f>IF(AND(vp.tbl[[#This Row],[CrudeType]]="Crude",vp.tbl[[#This Row],[Dens]]&gt;825,vp.tbl[[#This Row],[Dens]]&lt;=870,vp.tbl[[#This Row],[Sulf]]&gt;0.5,vp.tbl[[#This Row],[Unknown]]=0),1,0)</f>
        <v>0</v>
      </c>
      <c r="AC687">
        <f>IF(AND(vp.tbl[[#This Row],[CrudeType]]="Crude",vp.tbl[[#This Row],[Dens]]&gt;825,vp.tbl[[#This Row],[Dens]]&lt;=900,vp.tbl[[#This Row],[Sulf]]&lt;=0.5,vp.tbl[[#This Row],[Unknown]]=0),1,0)</f>
        <v>0</v>
      </c>
      <c r="AD687">
        <f>IF(AND(vp.tbl[[#This Row],[CrudeType]]="Crude",vp.tbl[[#This Row],[Dens]]&gt;870,vp.tbl[[#This Row],[Dens]]&lt;=900,vp.tbl[[#This Row],[Sulf]]&gt;0.5,vp.tbl[[#This Row],[Unknown]]=0),1,0)</f>
        <v>0</v>
      </c>
      <c r="AE687">
        <f>IF(AND(vp.tbl[[#This Row],[CrudeType]]="Crude",vp.tbl[[#This Row],[Dens]]&gt;900,vp.tbl[[#This Row],[Sulf]]&lt;=0.5,vp.tbl[[#This Row],[Unknown]]=0),1,0)</f>
        <v>0</v>
      </c>
      <c r="AF687">
        <f>IF(AND(vp.tbl[[#This Row],[CrudeType]]="Crude",vp.tbl[[#This Row],[Dens]]&gt;900,vp.tbl[[#This Row],[Sulf]]&lt;=0.5,vp.tbl[[#This Row],[Unknown]]=0),1,0)</f>
        <v>0</v>
      </c>
      <c r="AG687" t="str">
        <f>INDEX(vp.tbl[[#Headers],[Unknown]:[Heavy_SW]],MATCH(1,vp.tbl[[#This Row],[Unknown]:[Heavy_SW]],0))</f>
        <v>Light_LSB</v>
      </c>
      <c r="AH687" t="e">
        <f>INDEX([1]!crudeBD.lkup[Number],MATCH(vp.tbl[[#This Row],[Crude_Breakdown]],[1]!crudeBD.lkup[Crude Breakdown],0))</f>
        <v>#REF!</v>
      </c>
      <c r="AI687">
        <f>MONTH(vp.tbl[[#This Row],[SDate]])</f>
        <v>1</v>
      </c>
      <c r="AJ687" s="5">
        <f>IFERROR(vp.tbl[[#This Row],[Sulf]]*vp.tbl[[#This Row],[Net Dens]],"")</f>
        <v>3403285.0784324999</v>
      </c>
      <c r="AK687" s="5">
        <f>IFERROR(vp.tbl[[#This Row],[Dens]]*vp.tbl[[#This Row],[VolumeM3]],"")</f>
        <v>5041903.8198999995</v>
      </c>
      <c r="AL687" s="5">
        <f>IFERROR(vp.tbl[[#This Row],[VP]]*vp.tbl[[#This Row],[VolumeM3]],"")</f>
        <v>677279.88559999992</v>
      </c>
      <c r="AM687" s="4">
        <f>IFERROR((vp.tbl[[#This Row],[VP]]-INDEX(crudeBD.lkup.complete[Mean_VP],MATCH(vp.tbl[[#This Row],[Crude_Breakdown]],crudeBD.lkup.complete[Crude Breakdown],0)))^2,"")</f>
        <v>325.94021558082557</v>
      </c>
      <c r="AN687" s="4">
        <f>IFERROR((vp.tbl[[#This Row],[Dens]]-INDEX(crudeBD.lkup.complete[Mean_Dens],MATCH(vp.tbl[[#This Row],[Crude_Breakdown]],crudeBD.lkup.complete[Crude Breakdown],0)))^2,"")</f>
        <v>6.8474839739713849</v>
      </c>
      <c r="AO687" s="4">
        <f>IFERROR((vp.tbl[[#This Row],[Sulf]]-INDEX(crudeBD.lkup.complete[Mean_Sulf],MATCH(vp.tbl[[#This Row],[Crude_Breakdown]],crudeBD.lkup.complete[Crude Breakdown],0)))^2,"")</f>
        <v>6.1489700350162227E-2</v>
      </c>
      <c r="AP687">
        <f>IF(AND(vp.tbl[[#This Row],[SDate]]&gt;=DATE(YEAR(vp.tbl[[#This Row],[SDate]]),5,1),vp.tbl[[#This Row],[SDate]]&lt;=DATE(YEAR(vp.tbl[[#This Row],[SDate]]),9,15)),1,0)</f>
        <v>0</v>
      </c>
      <c r="AQ687" s="15">
        <f>IF(vp.tbl[[#This Row],[SDate]]&lt;DATE(2016,12,1),0,1)</f>
        <v>1</v>
      </c>
    </row>
    <row r="688" spans="1:43" x14ac:dyDescent="0.25">
      <c r="A688">
        <v>687</v>
      </c>
      <c r="B688" t="s">
        <v>49</v>
      </c>
      <c r="C688" t="s">
        <v>49</v>
      </c>
      <c r="D688" t="s">
        <v>67</v>
      </c>
      <c r="F688" s="1">
        <v>42764</v>
      </c>
      <c r="G688" s="2">
        <v>92.8</v>
      </c>
      <c r="H688" s="2">
        <v>0.83799999999999997</v>
      </c>
      <c r="I688" s="2">
        <v>0.83799999999999997</v>
      </c>
      <c r="J688" s="2">
        <v>8.1</v>
      </c>
      <c r="K688" s="2">
        <v>-1</v>
      </c>
      <c r="L688" s="2">
        <v>824.7</v>
      </c>
      <c r="M688" s="2">
        <v>824.7</v>
      </c>
      <c r="N688" s="2">
        <f ca="1">INDEX(INDIRECT(_xlfn.CONCAT("weather.tbl[",N$1,"]")),MATCH(vp.tbl[[#This Row],[SDate]],weather.tbl[Date],0))</f>
        <v>-2.0500000000000003</v>
      </c>
      <c r="O688" s="2">
        <f ca="1">INDEX(INDIRECT(_xlfn.CONCAT("weather.tbl[",O$1,"]")),MATCH(vp.tbl[[#This Row],[SDate]],weather.tbl[Date],0))</f>
        <v>-6.545238095238096</v>
      </c>
      <c r="P688" s="2">
        <f ca="1">INDEX(INDIRECT(_xlfn.CONCAT("weather.tbl[",P$1,"]")),MATCH(vp.tbl[[#This Row],[SDate]],weather.tbl[Date],0))</f>
        <v>-2</v>
      </c>
      <c r="Q688" s="2">
        <f ca="1">INDEX(INDIRECT(_xlfn.CONCAT("weather.tbl[",Q$1,"]")),MATCH(vp.tbl[[#This Row],[SDate]],weather.tbl[Date],0))</f>
        <v>-0.6</v>
      </c>
      <c r="R688" s="2">
        <f ca="1">INDEX(INDIRECT(_xlfn.CONCAT("weather.tbl[",R$1,"]")),MATCH(vp.tbl[[#This Row],[SDate]],weather.tbl[Date],0))</f>
        <v>-2.2999999999999998</v>
      </c>
      <c r="S688" s="2">
        <f ca="1">INDEX(INDIRECT(_xlfn.CONCAT("weather.tbl[",S$1,"]")),MATCH(vp.tbl[[#This Row],[SDate]],weather.tbl[Date],0))</f>
        <v>0.7</v>
      </c>
      <c r="T688" s="2">
        <f ca="1">INDEX(INDIRECT(_xlfn.CONCAT("weather.tbl[",T$1,"]")),MATCH(vp.tbl[[#This Row],[SDate]],weather.tbl[Date],0))</f>
        <v>-5.8</v>
      </c>
      <c r="U688" s="2">
        <f ca="1">INDEX(INDIRECT(_xlfn.CONCAT("weather.tbl[",U$1,"]")),MATCH(vp.tbl[[#This Row],[SDate]],weather.tbl[Date],0))</f>
        <v>-2.2999999999999998</v>
      </c>
      <c r="V688" s="2">
        <v>122139.87</v>
      </c>
      <c r="W688" t="s">
        <v>48</v>
      </c>
      <c r="X688">
        <f>IF(OR(vp.tbl[[#This Row],[Sulf]]="",vp.tbl[[#This Row],[Dens]]=""),1,0)</f>
        <v>0</v>
      </c>
      <c r="Y688">
        <f>IF(vp.tbl[[#This Row],[CrudeType]]="C5+",1,0)</f>
        <v>0</v>
      </c>
      <c r="Z688">
        <f>IF(AND(vp.tbl[[#This Row],[CrudeType]]="Crude",vp.tbl[[#This Row],[Dens]]&lt;=825,vp.tbl[[#This Row],[Sulf]]&gt;0.5,vp.tbl[[#This Row],[Unknown]]=0),1,0)</f>
        <v>1</v>
      </c>
      <c r="AA688">
        <f>IF(AND(vp.tbl[[#This Row],[CrudeType]]="Crude",vp.tbl[[#This Row],[Dens]]&lt;=825,vp.tbl[[#This Row],[Sulf]]&lt;=0.5,vp.tbl[[#This Row],[Unknown]]=0),1,0)</f>
        <v>0</v>
      </c>
      <c r="AB688">
        <f>IF(AND(vp.tbl[[#This Row],[CrudeType]]="Crude",vp.tbl[[#This Row],[Dens]]&gt;825,vp.tbl[[#This Row],[Dens]]&lt;=870,vp.tbl[[#This Row],[Sulf]]&gt;0.5,vp.tbl[[#This Row],[Unknown]]=0),1,0)</f>
        <v>0</v>
      </c>
      <c r="AC688">
        <f>IF(AND(vp.tbl[[#This Row],[CrudeType]]="Crude",vp.tbl[[#This Row],[Dens]]&gt;825,vp.tbl[[#This Row],[Dens]]&lt;=900,vp.tbl[[#This Row],[Sulf]]&lt;=0.5,vp.tbl[[#This Row],[Unknown]]=0),1,0)</f>
        <v>0</v>
      </c>
      <c r="AD688">
        <f>IF(AND(vp.tbl[[#This Row],[CrudeType]]="Crude",vp.tbl[[#This Row],[Dens]]&gt;870,vp.tbl[[#This Row],[Dens]]&lt;=900,vp.tbl[[#This Row],[Sulf]]&gt;0.5,vp.tbl[[#This Row],[Unknown]]=0),1,0)</f>
        <v>0</v>
      </c>
      <c r="AE688">
        <f>IF(AND(vp.tbl[[#This Row],[CrudeType]]="Crude",vp.tbl[[#This Row],[Dens]]&gt;900,vp.tbl[[#This Row],[Sulf]]&lt;=0.5,vp.tbl[[#This Row],[Unknown]]=0),1,0)</f>
        <v>0</v>
      </c>
      <c r="AF688">
        <f>IF(AND(vp.tbl[[#This Row],[CrudeType]]="Crude",vp.tbl[[#This Row],[Dens]]&gt;900,vp.tbl[[#This Row],[Sulf]]&lt;=0.5,vp.tbl[[#This Row],[Unknown]]=0),1,0)</f>
        <v>0</v>
      </c>
      <c r="AG688" t="str">
        <f>INDEX(vp.tbl[[#Headers],[Unknown]:[Heavy_SW]],MATCH(1,vp.tbl[[#This Row],[Unknown]:[Heavy_SW]],0))</f>
        <v>Light_LSB</v>
      </c>
      <c r="AH688" t="e">
        <f>INDEX([1]!crudeBD.lkup[Number],MATCH(vp.tbl[[#This Row],[Crude_Breakdown]],[1]!crudeBD.lkup[Crude Breakdown],0))</f>
        <v>#REF!</v>
      </c>
      <c r="AI688">
        <f>MONTH(vp.tbl[[#This Row],[SDate]])</f>
        <v>1</v>
      </c>
      <c r="AJ688" s="5">
        <f>IFERROR(vp.tbl[[#This Row],[Sulf]]*vp.tbl[[#This Row],[Net Dens]],"")</f>
        <v>84410693.161182001</v>
      </c>
      <c r="AK688" s="5">
        <f>IFERROR(vp.tbl[[#This Row],[Dens]]*vp.tbl[[#This Row],[VolumeM3]],"")</f>
        <v>100728750.789</v>
      </c>
      <c r="AL688" s="5">
        <f>IFERROR(vp.tbl[[#This Row],[VP]]*vp.tbl[[#This Row],[VolumeM3]],"")</f>
        <v>11334579.935999999</v>
      </c>
      <c r="AM688" s="4">
        <f>IFERROR((vp.tbl[[#This Row],[VP]]-INDEX(crudeBD.lkup.complete[Mean_VP],MATCH(vp.tbl[[#This Row],[Crude_Breakdown]],crudeBD.lkup.complete[Crude Breakdown],0)))^2,"")</f>
        <v>1.5720506323731744</v>
      </c>
      <c r="AN688" s="4">
        <f>IFERROR((vp.tbl[[#This Row],[Dens]]-INDEX(crudeBD.lkup.complete[Mean_Dens],MATCH(vp.tbl[[#This Row],[Crude_Breakdown]],crudeBD.lkup.complete[Crude Breakdown],0)))^2,"")</f>
        <v>38.232336207654335</v>
      </c>
      <c r="AO688" s="4">
        <f>IFERROR((vp.tbl[[#This Row],[Sulf]]-INDEX(crudeBD.lkup.complete[Mean_Sulf],MATCH(vp.tbl[[#This Row],[Crude_Breakdown]],crudeBD.lkup.complete[Crude Breakdown],0)))^2,"")</f>
        <v>7.2200994566915463E-3</v>
      </c>
      <c r="AP688">
        <f>IF(AND(vp.tbl[[#This Row],[SDate]]&gt;=DATE(YEAR(vp.tbl[[#This Row],[SDate]]),5,1),vp.tbl[[#This Row],[SDate]]&lt;=DATE(YEAR(vp.tbl[[#This Row],[SDate]]),9,15)),1,0)</f>
        <v>0</v>
      </c>
      <c r="AQ688" s="15">
        <f>IF(vp.tbl[[#This Row],[SDate]]&lt;DATE(2016,12,1),0,1)</f>
        <v>1</v>
      </c>
    </row>
    <row r="689" spans="1:43" x14ac:dyDescent="0.25">
      <c r="A689">
        <v>688</v>
      </c>
      <c r="B689" t="s">
        <v>49</v>
      </c>
      <c r="C689" t="s">
        <v>49</v>
      </c>
      <c r="D689" t="s">
        <v>70</v>
      </c>
      <c r="F689" s="1">
        <v>42764</v>
      </c>
      <c r="G689" s="2">
        <v>88.6</v>
      </c>
      <c r="H689" s="2">
        <v>0.96199999999999997</v>
      </c>
      <c r="I689" s="2">
        <v>0.96199999999999997</v>
      </c>
      <c r="J689" s="2">
        <v>13.4</v>
      </c>
      <c r="K689" s="2">
        <v>-2</v>
      </c>
      <c r="L689" s="2">
        <v>825.2</v>
      </c>
      <c r="M689" s="2">
        <v>825.2</v>
      </c>
      <c r="N689" s="2">
        <f ca="1">INDEX(INDIRECT(_xlfn.CONCAT("weather.tbl[",N$1,"]")),MATCH(vp.tbl[[#This Row],[SDate]],weather.tbl[Date],0))</f>
        <v>-2.0500000000000003</v>
      </c>
      <c r="O689" s="2">
        <f ca="1">INDEX(INDIRECT(_xlfn.CONCAT("weather.tbl[",O$1,"]")),MATCH(vp.tbl[[#This Row],[SDate]],weather.tbl[Date],0))</f>
        <v>-6.545238095238096</v>
      </c>
      <c r="P689" s="2">
        <f ca="1">INDEX(INDIRECT(_xlfn.CONCAT("weather.tbl[",P$1,"]")),MATCH(vp.tbl[[#This Row],[SDate]],weather.tbl[Date],0))</f>
        <v>-2</v>
      </c>
      <c r="Q689" s="2">
        <f ca="1">INDEX(INDIRECT(_xlfn.CONCAT("weather.tbl[",Q$1,"]")),MATCH(vp.tbl[[#This Row],[SDate]],weather.tbl[Date],0))</f>
        <v>-0.6</v>
      </c>
      <c r="R689" s="2">
        <f ca="1">INDEX(INDIRECT(_xlfn.CONCAT("weather.tbl[",R$1,"]")),MATCH(vp.tbl[[#This Row],[SDate]],weather.tbl[Date],0))</f>
        <v>-2.2999999999999998</v>
      </c>
      <c r="S689" s="2">
        <f ca="1">INDEX(INDIRECT(_xlfn.CONCAT("weather.tbl[",S$1,"]")),MATCH(vp.tbl[[#This Row],[SDate]],weather.tbl[Date],0))</f>
        <v>0.7</v>
      </c>
      <c r="T689" s="2">
        <f ca="1">INDEX(INDIRECT(_xlfn.CONCAT("weather.tbl[",T$1,"]")),MATCH(vp.tbl[[#This Row],[SDate]],weather.tbl[Date],0))</f>
        <v>-5.8</v>
      </c>
      <c r="U689" s="2">
        <f ca="1">INDEX(INDIRECT(_xlfn.CONCAT("weather.tbl[",U$1,"]")),MATCH(vp.tbl[[#This Row],[SDate]],weather.tbl[Date],0))</f>
        <v>-2.2999999999999998</v>
      </c>
      <c r="V689" s="2">
        <v>3332.451</v>
      </c>
      <c r="W689" t="s">
        <v>48</v>
      </c>
      <c r="X689">
        <f>IF(OR(vp.tbl[[#This Row],[Sulf]]="",vp.tbl[[#This Row],[Dens]]=""),1,0)</f>
        <v>0</v>
      </c>
      <c r="Y689">
        <f>IF(vp.tbl[[#This Row],[CrudeType]]="C5+",1,0)</f>
        <v>0</v>
      </c>
      <c r="Z689">
        <f>IF(AND(vp.tbl[[#This Row],[CrudeType]]="Crude",vp.tbl[[#This Row],[Dens]]&lt;=825,vp.tbl[[#This Row],[Sulf]]&gt;0.5,vp.tbl[[#This Row],[Unknown]]=0),1,0)</f>
        <v>0</v>
      </c>
      <c r="AA689">
        <f>IF(AND(vp.tbl[[#This Row],[CrudeType]]="Crude",vp.tbl[[#This Row],[Dens]]&lt;=825,vp.tbl[[#This Row],[Sulf]]&lt;=0.5,vp.tbl[[#This Row],[Unknown]]=0),1,0)</f>
        <v>0</v>
      </c>
      <c r="AB689">
        <f>IF(AND(vp.tbl[[#This Row],[CrudeType]]="Crude",vp.tbl[[#This Row],[Dens]]&gt;825,vp.tbl[[#This Row],[Dens]]&lt;=870,vp.tbl[[#This Row],[Sulf]]&gt;0.5,vp.tbl[[#This Row],[Unknown]]=0),1,0)</f>
        <v>1</v>
      </c>
      <c r="AC689">
        <f>IF(AND(vp.tbl[[#This Row],[CrudeType]]="Crude",vp.tbl[[#This Row],[Dens]]&gt;825,vp.tbl[[#This Row],[Dens]]&lt;=900,vp.tbl[[#This Row],[Sulf]]&lt;=0.5,vp.tbl[[#This Row],[Unknown]]=0),1,0)</f>
        <v>0</v>
      </c>
      <c r="AD689">
        <f>IF(AND(vp.tbl[[#This Row],[CrudeType]]="Crude",vp.tbl[[#This Row],[Dens]]&gt;870,vp.tbl[[#This Row],[Dens]]&lt;=900,vp.tbl[[#This Row],[Sulf]]&gt;0.5,vp.tbl[[#This Row],[Unknown]]=0),1,0)</f>
        <v>0</v>
      </c>
      <c r="AE689">
        <f>IF(AND(vp.tbl[[#This Row],[CrudeType]]="Crude",vp.tbl[[#This Row],[Dens]]&gt;900,vp.tbl[[#This Row],[Sulf]]&lt;=0.5,vp.tbl[[#This Row],[Unknown]]=0),1,0)</f>
        <v>0</v>
      </c>
      <c r="AF689">
        <f>IF(AND(vp.tbl[[#This Row],[CrudeType]]="Crude",vp.tbl[[#This Row],[Dens]]&gt;900,vp.tbl[[#This Row],[Sulf]]&lt;=0.5,vp.tbl[[#This Row],[Unknown]]=0),1,0)</f>
        <v>0</v>
      </c>
      <c r="AG689" t="str">
        <f>INDEX(vp.tbl[[#Headers],[Unknown]:[Heavy_SW]],MATCH(1,vp.tbl[[#This Row],[Unknown]:[Heavy_SW]],0))</f>
        <v>Medium_LSB</v>
      </c>
      <c r="AH689" t="e">
        <f>INDEX([1]!crudeBD.lkup[Number],MATCH(vp.tbl[[#This Row],[Crude_Breakdown]],[1]!crudeBD.lkup[Crude Breakdown],0))</f>
        <v>#REF!</v>
      </c>
      <c r="AI689">
        <f>MONTH(vp.tbl[[#This Row],[SDate]])</f>
        <v>1</v>
      </c>
      <c r="AJ689" s="5">
        <f>IFERROR(vp.tbl[[#This Row],[Sulf]]*vp.tbl[[#This Row],[Net Dens]],"")</f>
        <v>2645440.8997224001</v>
      </c>
      <c r="AK689" s="5">
        <f>IFERROR(vp.tbl[[#This Row],[Dens]]*vp.tbl[[#This Row],[VolumeM3]],"")</f>
        <v>2749938.5652000001</v>
      </c>
      <c r="AL689" s="5">
        <f>IFERROR(vp.tbl[[#This Row],[VP]]*vp.tbl[[#This Row],[VolumeM3]],"")</f>
        <v>295255.15859999997</v>
      </c>
      <c r="AM689" s="4">
        <f>IFERROR((vp.tbl[[#This Row],[VP]]-INDEX(crudeBD.lkup.complete[Mean_VP],MATCH(vp.tbl[[#This Row],[Crude_Breakdown]],crudeBD.lkup.complete[Crude Breakdown],0)))^2,"")</f>
        <v>71.004302290659069</v>
      </c>
      <c r="AN689" s="4">
        <f>IFERROR((vp.tbl[[#This Row],[Dens]]-INDEX(crudeBD.lkup.complete[Mean_Dens],MATCH(vp.tbl[[#This Row],[Crude_Breakdown]],crudeBD.lkup.complete[Crude Breakdown],0)))^2,"")</f>
        <v>403.68134281617398</v>
      </c>
      <c r="AO689" s="4">
        <f>IFERROR((vp.tbl[[#This Row],[Sulf]]-INDEX(crudeBD.lkup.complete[Mean_Sulf],MATCH(vp.tbl[[#This Row],[Crude_Breakdown]],crudeBD.lkup.complete[Crude Breakdown],0)))^2,"")</f>
        <v>0.24297984762837532</v>
      </c>
      <c r="AP689">
        <f>IF(AND(vp.tbl[[#This Row],[SDate]]&gt;=DATE(YEAR(vp.tbl[[#This Row],[SDate]]),5,1),vp.tbl[[#This Row],[SDate]]&lt;=DATE(YEAR(vp.tbl[[#This Row],[SDate]]),9,15)),1,0)</f>
        <v>0</v>
      </c>
      <c r="AQ689" s="15">
        <f>IF(vp.tbl[[#This Row],[SDate]]&lt;DATE(2016,12,1),0,1)</f>
        <v>1</v>
      </c>
    </row>
    <row r="690" spans="1:43" x14ac:dyDescent="0.25">
      <c r="A690">
        <v>689</v>
      </c>
      <c r="B690" t="s">
        <v>49</v>
      </c>
      <c r="C690" t="s">
        <v>49</v>
      </c>
      <c r="D690" t="s">
        <v>150</v>
      </c>
      <c r="F690" s="1">
        <v>42764</v>
      </c>
      <c r="G690" s="2">
        <v>63.3</v>
      </c>
      <c r="H690" s="2">
        <v>1.1100000000000001</v>
      </c>
      <c r="I690" s="2">
        <v>1.1100000000000001</v>
      </c>
      <c r="J690" s="2">
        <v>16</v>
      </c>
      <c r="K690" s="2">
        <v>-2</v>
      </c>
      <c r="L690" s="2">
        <v>841.7</v>
      </c>
      <c r="M690" s="2">
        <v>841.7</v>
      </c>
      <c r="N690" s="2">
        <f ca="1">INDEX(INDIRECT(_xlfn.CONCAT("weather.tbl[",N$1,"]")),MATCH(vp.tbl[[#This Row],[SDate]],weather.tbl[Date],0))</f>
        <v>-2.0500000000000003</v>
      </c>
      <c r="O690" s="2">
        <f ca="1">INDEX(INDIRECT(_xlfn.CONCAT("weather.tbl[",O$1,"]")),MATCH(vp.tbl[[#This Row],[SDate]],weather.tbl[Date],0))</f>
        <v>-6.545238095238096</v>
      </c>
      <c r="P690" s="2">
        <f ca="1">INDEX(INDIRECT(_xlfn.CONCAT("weather.tbl[",P$1,"]")),MATCH(vp.tbl[[#This Row],[SDate]],weather.tbl[Date],0))</f>
        <v>-2</v>
      </c>
      <c r="Q690" s="2">
        <f ca="1">INDEX(INDIRECT(_xlfn.CONCAT("weather.tbl[",Q$1,"]")),MATCH(vp.tbl[[#This Row],[SDate]],weather.tbl[Date],0))</f>
        <v>-0.6</v>
      </c>
      <c r="R690" s="2">
        <f ca="1">INDEX(INDIRECT(_xlfn.CONCAT("weather.tbl[",R$1,"]")),MATCH(vp.tbl[[#This Row],[SDate]],weather.tbl[Date],0))</f>
        <v>-2.2999999999999998</v>
      </c>
      <c r="S690" s="2">
        <f ca="1">INDEX(INDIRECT(_xlfn.CONCAT("weather.tbl[",S$1,"]")),MATCH(vp.tbl[[#This Row],[SDate]],weather.tbl[Date],0))</f>
        <v>0.7</v>
      </c>
      <c r="T690" s="2">
        <f ca="1">INDEX(INDIRECT(_xlfn.CONCAT("weather.tbl[",T$1,"]")),MATCH(vp.tbl[[#This Row],[SDate]],weather.tbl[Date],0))</f>
        <v>-5.8</v>
      </c>
      <c r="U690" s="2">
        <f ca="1">INDEX(INDIRECT(_xlfn.CONCAT("weather.tbl[",U$1,"]")),MATCH(vp.tbl[[#This Row],[SDate]],weather.tbl[Date],0))</f>
        <v>-2.2999999999999998</v>
      </c>
      <c r="V690" s="2">
        <v>768.94100000000003</v>
      </c>
      <c r="W690" t="s">
        <v>48</v>
      </c>
      <c r="X690">
        <f>IF(OR(vp.tbl[[#This Row],[Sulf]]="",vp.tbl[[#This Row],[Dens]]=""),1,0)</f>
        <v>0</v>
      </c>
      <c r="Y690">
        <f>IF(vp.tbl[[#This Row],[CrudeType]]="C5+",1,0)</f>
        <v>0</v>
      </c>
      <c r="Z690">
        <f>IF(AND(vp.tbl[[#This Row],[CrudeType]]="Crude",vp.tbl[[#This Row],[Dens]]&lt;=825,vp.tbl[[#This Row],[Sulf]]&gt;0.5,vp.tbl[[#This Row],[Unknown]]=0),1,0)</f>
        <v>0</v>
      </c>
      <c r="AA690">
        <f>IF(AND(vp.tbl[[#This Row],[CrudeType]]="Crude",vp.tbl[[#This Row],[Dens]]&lt;=825,vp.tbl[[#This Row],[Sulf]]&lt;=0.5,vp.tbl[[#This Row],[Unknown]]=0),1,0)</f>
        <v>0</v>
      </c>
      <c r="AB690">
        <f>IF(AND(vp.tbl[[#This Row],[CrudeType]]="Crude",vp.tbl[[#This Row],[Dens]]&gt;825,vp.tbl[[#This Row],[Dens]]&lt;=870,vp.tbl[[#This Row],[Sulf]]&gt;0.5,vp.tbl[[#This Row],[Unknown]]=0),1,0)</f>
        <v>1</v>
      </c>
      <c r="AC690">
        <f>IF(AND(vp.tbl[[#This Row],[CrudeType]]="Crude",vp.tbl[[#This Row],[Dens]]&gt;825,vp.tbl[[#This Row],[Dens]]&lt;=900,vp.tbl[[#This Row],[Sulf]]&lt;=0.5,vp.tbl[[#This Row],[Unknown]]=0),1,0)</f>
        <v>0</v>
      </c>
      <c r="AD690">
        <f>IF(AND(vp.tbl[[#This Row],[CrudeType]]="Crude",vp.tbl[[#This Row],[Dens]]&gt;870,vp.tbl[[#This Row],[Dens]]&lt;=900,vp.tbl[[#This Row],[Sulf]]&gt;0.5,vp.tbl[[#This Row],[Unknown]]=0),1,0)</f>
        <v>0</v>
      </c>
      <c r="AE690">
        <f>IF(AND(vp.tbl[[#This Row],[CrudeType]]="Crude",vp.tbl[[#This Row],[Dens]]&gt;900,vp.tbl[[#This Row],[Sulf]]&lt;=0.5,vp.tbl[[#This Row],[Unknown]]=0),1,0)</f>
        <v>0</v>
      </c>
      <c r="AF690">
        <f>IF(AND(vp.tbl[[#This Row],[CrudeType]]="Crude",vp.tbl[[#This Row],[Dens]]&gt;900,vp.tbl[[#This Row],[Sulf]]&lt;=0.5,vp.tbl[[#This Row],[Unknown]]=0),1,0)</f>
        <v>0</v>
      </c>
      <c r="AG690" t="str">
        <f>INDEX(vp.tbl[[#Headers],[Unknown]:[Heavy_SW]],MATCH(1,vp.tbl[[#This Row],[Unknown]:[Heavy_SW]],0))</f>
        <v>Medium_LSB</v>
      </c>
      <c r="AH690" t="e">
        <f>INDEX([1]!crudeBD.lkup[Number],MATCH(vp.tbl[[#This Row],[Crude_Breakdown]],[1]!crudeBD.lkup[Crude Breakdown],0))</f>
        <v>#REF!</v>
      </c>
      <c r="AI690">
        <f>MONTH(vp.tbl[[#This Row],[SDate]])</f>
        <v>1</v>
      </c>
      <c r="AJ690" s="5">
        <f>IFERROR(vp.tbl[[#This Row],[Sulf]]*vp.tbl[[#This Row],[Net Dens]],"")</f>
        <v>718411.58006700012</v>
      </c>
      <c r="AK690" s="5">
        <f>IFERROR(vp.tbl[[#This Row],[Dens]]*vp.tbl[[#This Row],[VolumeM3]],"")</f>
        <v>647217.63970000006</v>
      </c>
      <c r="AL690" s="5">
        <f>IFERROR(vp.tbl[[#This Row],[VP]]*vp.tbl[[#This Row],[VolumeM3]],"")</f>
        <v>48673.965299999996</v>
      </c>
      <c r="AM690" s="4">
        <f>IFERROR((vp.tbl[[#This Row],[VP]]-INDEX(crudeBD.lkup.complete[Mean_VP],MATCH(vp.tbl[[#This Row],[Crude_Breakdown]],crudeBD.lkup.complete[Crude Breakdown],0)))^2,"")</f>
        <v>284.71820608812573</v>
      </c>
      <c r="AN690" s="4">
        <f>IFERROR((vp.tbl[[#This Row],[Dens]]-INDEX(crudeBD.lkup.complete[Mean_Dens],MATCH(vp.tbl[[#This Row],[Crude_Breakdown]],crudeBD.lkup.complete[Crude Breakdown],0)))^2,"")</f>
        <v>12.901190917473773</v>
      </c>
      <c r="AO690" s="4">
        <f>IFERROR((vp.tbl[[#This Row],[Sulf]]-INDEX(crudeBD.lkup.complete[Mean_Sulf],MATCH(vp.tbl[[#This Row],[Crude_Breakdown]],crudeBD.lkup.complete[Crude Breakdown],0)))^2,"")</f>
        <v>0.11897660884356465</v>
      </c>
      <c r="AP690">
        <f>IF(AND(vp.tbl[[#This Row],[SDate]]&gt;=DATE(YEAR(vp.tbl[[#This Row],[SDate]]),5,1),vp.tbl[[#This Row],[SDate]]&lt;=DATE(YEAR(vp.tbl[[#This Row],[SDate]]),9,15)),1,0)</f>
        <v>0</v>
      </c>
      <c r="AQ690" s="15">
        <f>IF(vp.tbl[[#This Row],[SDate]]&lt;DATE(2016,12,1),0,1)</f>
        <v>1</v>
      </c>
    </row>
    <row r="691" spans="1:43" x14ac:dyDescent="0.25">
      <c r="A691">
        <v>690</v>
      </c>
      <c r="B691" t="s">
        <v>49</v>
      </c>
      <c r="C691" t="s">
        <v>49</v>
      </c>
      <c r="D691" t="s">
        <v>59</v>
      </c>
      <c r="F691" s="1">
        <v>42764</v>
      </c>
      <c r="G691" s="2">
        <v>77.900000000000006</v>
      </c>
      <c r="H691" s="2">
        <v>1.5760000000000001</v>
      </c>
      <c r="I691" s="2">
        <v>1.5760000000000001</v>
      </c>
      <c r="J691" s="2">
        <v>26.3</v>
      </c>
      <c r="K691" s="2">
        <v>-1</v>
      </c>
      <c r="L691" s="2">
        <v>858.6</v>
      </c>
      <c r="M691" s="2">
        <v>858.6</v>
      </c>
      <c r="N691" s="2">
        <f ca="1">INDEX(INDIRECT(_xlfn.CONCAT("weather.tbl[",N$1,"]")),MATCH(vp.tbl[[#This Row],[SDate]],weather.tbl[Date],0))</f>
        <v>-2.0500000000000003</v>
      </c>
      <c r="O691" s="2">
        <f ca="1">INDEX(INDIRECT(_xlfn.CONCAT("weather.tbl[",O$1,"]")),MATCH(vp.tbl[[#This Row],[SDate]],weather.tbl[Date],0))</f>
        <v>-6.545238095238096</v>
      </c>
      <c r="P691" s="2">
        <f ca="1">INDEX(INDIRECT(_xlfn.CONCAT("weather.tbl[",P$1,"]")),MATCH(vp.tbl[[#This Row],[SDate]],weather.tbl[Date],0))</f>
        <v>-2</v>
      </c>
      <c r="Q691" s="2">
        <f ca="1">INDEX(INDIRECT(_xlfn.CONCAT("weather.tbl[",Q$1,"]")),MATCH(vp.tbl[[#This Row],[SDate]],weather.tbl[Date],0))</f>
        <v>-0.6</v>
      </c>
      <c r="R691" s="2">
        <f ca="1">INDEX(INDIRECT(_xlfn.CONCAT("weather.tbl[",R$1,"]")),MATCH(vp.tbl[[#This Row],[SDate]],weather.tbl[Date],0))</f>
        <v>-2.2999999999999998</v>
      </c>
      <c r="S691" s="2">
        <f ca="1">INDEX(INDIRECT(_xlfn.CONCAT("weather.tbl[",S$1,"]")),MATCH(vp.tbl[[#This Row],[SDate]],weather.tbl[Date],0))</f>
        <v>0.7</v>
      </c>
      <c r="T691" s="2">
        <f ca="1">INDEX(INDIRECT(_xlfn.CONCAT("weather.tbl[",T$1,"]")),MATCH(vp.tbl[[#This Row],[SDate]],weather.tbl[Date],0))</f>
        <v>-5.8</v>
      </c>
      <c r="U691" s="2">
        <f ca="1">INDEX(INDIRECT(_xlfn.CONCAT("weather.tbl[",U$1,"]")),MATCH(vp.tbl[[#This Row],[SDate]],weather.tbl[Date],0))</f>
        <v>-2.2999999999999998</v>
      </c>
      <c r="V691" s="2">
        <v>1887.288</v>
      </c>
      <c r="W691" t="s">
        <v>48</v>
      </c>
      <c r="X691">
        <f>IF(OR(vp.tbl[[#This Row],[Sulf]]="",vp.tbl[[#This Row],[Dens]]=""),1,0)</f>
        <v>0</v>
      </c>
      <c r="Y691">
        <f>IF(vp.tbl[[#This Row],[CrudeType]]="C5+",1,0)</f>
        <v>0</v>
      </c>
      <c r="Z691">
        <f>IF(AND(vp.tbl[[#This Row],[CrudeType]]="Crude",vp.tbl[[#This Row],[Dens]]&lt;=825,vp.tbl[[#This Row],[Sulf]]&gt;0.5,vp.tbl[[#This Row],[Unknown]]=0),1,0)</f>
        <v>0</v>
      </c>
      <c r="AA691">
        <f>IF(AND(vp.tbl[[#This Row],[CrudeType]]="Crude",vp.tbl[[#This Row],[Dens]]&lt;=825,vp.tbl[[#This Row],[Sulf]]&lt;=0.5,vp.tbl[[#This Row],[Unknown]]=0),1,0)</f>
        <v>0</v>
      </c>
      <c r="AB691">
        <f>IF(AND(vp.tbl[[#This Row],[CrudeType]]="Crude",vp.tbl[[#This Row],[Dens]]&gt;825,vp.tbl[[#This Row],[Dens]]&lt;=870,vp.tbl[[#This Row],[Sulf]]&gt;0.5,vp.tbl[[#This Row],[Unknown]]=0),1,0)</f>
        <v>1</v>
      </c>
      <c r="AC691">
        <f>IF(AND(vp.tbl[[#This Row],[CrudeType]]="Crude",vp.tbl[[#This Row],[Dens]]&gt;825,vp.tbl[[#This Row],[Dens]]&lt;=900,vp.tbl[[#This Row],[Sulf]]&lt;=0.5,vp.tbl[[#This Row],[Unknown]]=0),1,0)</f>
        <v>0</v>
      </c>
      <c r="AD691">
        <f>IF(AND(vp.tbl[[#This Row],[CrudeType]]="Crude",vp.tbl[[#This Row],[Dens]]&gt;870,vp.tbl[[#This Row],[Dens]]&lt;=900,vp.tbl[[#This Row],[Sulf]]&gt;0.5,vp.tbl[[#This Row],[Unknown]]=0),1,0)</f>
        <v>0</v>
      </c>
      <c r="AE691">
        <f>IF(AND(vp.tbl[[#This Row],[CrudeType]]="Crude",vp.tbl[[#This Row],[Dens]]&gt;900,vp.tbl[[#This Row],[Sulf]]&lt;=0.5,vp.tbl[[#This Row],[Unknown]]=0),1,0)</f>
        <v>0</v>
      </c>
      <c r="AF691">
        <f>IF(AND(vp.tbl[[#This Row],[CrudeType]]="Crude",vp.tbl[[#This Row],[Dens]]&gt;900,vp.tbl[[#This Row],[Sulf]]&lt;=0.5,vp.tbl[[#This Row],[Unknown]]=0),1,0)</f>
        <v>0</v>
      </c>
      <c r="AG691" t="str">
        <f>INDEX(vp.tbl[[#Headers],[Unknown]:[Heavy_SW]],MATCH(1,vp.tbl[[#This Row],[Unknown]:[Heavy_SW]],0))</f>
        <v>Medium_LSB</v>
      </c>
      <c r="AH691" t="e">
        <f>INDEX([1]!crudeBD.lkup[Number],MATCH(vp.tbl[[#This Row],[Crude_Breakdown]],[1]!crudeBD.lkup[Crude Breakdown],0))</f>
        <v>#REF!</v>
      </c>
      <c r="AI691">
        <f>MONTH(vp.tbl[[#This Row],[SDate]])</f>
        <v>1</v>
      </c>
      <c r="AJ691" s="5">
        <f>IFERROR(vp.tbl[[#This Row],[Sulf]]*vp.tbl[[#This Row],[Net Dens]],"")</f>
        <v>2553790.5514368</v>
      </c>
      <c r="AK691" s="5">
        <f>IFERROR(vp.tbl[[#This Row],[Dens]]*vp.tbl[[#This Row],[VolumeM3]],"")</f>
        <v>1620425.4768000001</v>
      </c>
      <c r="AL691" s="5">
        <f>IFERROR(vp.tbl[[#This Row],[VP]]*vp.tbl[[#This Row],[VolumeM3]],"")</f>
        <v>147019.73520000002</v>
      </c>
      <c r="AM691" s="4">
        <f>IFERROR((vp.tbl[[#This Row],[VP]]-INDEX(crudeBD.lkup.complete[Mean_VP],MATCH(vp.tbl[[#This Row],[Crude_Breakdown]],crudeBD.lkup.complete[Crude Breakdown],0)))^2,"")</f>
        <v>5.1692339362279753</v>
      </c>
      <c r="AN691" s="4">
        <f>IFERROR((vp.tbl[[#This Row],[Dens]]-INDEX(crudeBD.lkup.complete[Mean_Dens],MATCH(vp.tbl[[#This Row],[Crude_Breakdown]],crudeBD.lkup.complete[Crude Breakdown],0)))^2,"")</f>
        <v>177.10758079092571</v>
      </c>
      <c r="AO691" s="4">
        <f>IFERROR((vp.tbl[[#This Row],[Sulf]]-INDEX(crudeBD.lkup.complete[Mean_Sulf],MATCH(vp.tbl[[#This Row],[Crude_Breakdown]],crudeBD.lkup.complete[Crude Breakdown],0)))^2,"")</f>
        <v>1.4657978615715248E-2</v>
      </c>
      <c r="AP691">
        <f>IF(AND(vp.tbl[[#This Row],[SDate]]&gt;=DATE(YEAR(vp.tbl[[#This Row],[SDate]]),5,1),vp.tbl[[#This Row],[SDate]]&lt;=DATE(YEAR(vp.tbl[[#This Row],[SDate]]),9,15)),1,0)</f>
        <v>0</v>
      </c>
      <c r="AQ691" s="15">
        <f>IF(vp.tbl[[#This Row],[SDate]]&lt;DATE(2016,12,1),0,1)</f>
        <v>1</v>
      </c>
    </row>
    <row r="692" spans="1:43" x14ac:dyDescent="0.25">
      <c r="A692">
        <v>691</v>
      </c>
      <c r="B692" t="s">
        <v>62</v>
      </c>
      <c r="C692" t="s">
        <v>62</v>
      </c>
      <c r="D692" t="s">
        <v>63</v>
      </c>
      <c r="F692" s="1">
        <v>42764</v>
      </c>
      <c r="G692" s="2">
        <v>114.7</v>
      </c>
      <c r="H692" s="2"/>
      <c r="I692" s="2">
        <v>1.48</v>
      </c>
      <c r="J692" s="2">
        <v>15.1</v>
      </c>
      <c r="K692" s="2">
        <v>-2</v>
      </c>
      <c r="L692" s="2">
        <v>811.2</v>
      </c>
      <c r="M692" s="2">
        <v>811.2</v>
      </c>
      <c r="N692" s="2">
        <f ca="1">INDEX(INDIRECT(_xlfn.CONCAT("weather.tbl[",N$1,"]")),MATCH(vp.tbl[[#This Row],[SDate]],weather.tbl[Date],0))</f>
        <v>-2.0500000000000003</v>
      </c>
      <c r="O692" s="2">
        <f ca="1">INDEX(INDIRECT(_xlfn.CONCAT("weather.tbl[",O$1,"]")),MATCH(vp.tbl[[#This Row],[SDate]],weather.tbl[Date],0))</f>
        <v>-6.545238095238096</v>
      </c>
      <c r="P692" s="2">
        <f ca="1">INDEX(INDIRECT(_xlfn.CONCAT("weather.tbl[",P$1,"]")),MATCH(vp.tbl[[#This Row],[SDate]],weather.tbl[Date],0))</f>
        <v>-2</v>
      </c>
      <c r="Q692" s="2">
        <f ca="1">INDEX(INDIRECT(_xlfn.CONCAT("weather.tbl[",Q$1,"]")),MATCH(vp.tbl[[#This Row],[SDate]],weather.tbl[Date],0))</f>
        <v>-0.6</v>
      </c>
      <c r="R692" s="2">
        <f ca="1">INDEX(INDIRECT(_xlfn.CONCAT("weather.tbl[",R$1,"]")),MATCH(vp.tbl[[#This Row],[SDate]],weather.tbl[Date],0))</f>
        <v>-2.2999999999999998</v>
      </c>
      <c r="S692" s="2">
        <f ca="1">INDEX(INDIRECT(_xlfn.CONCAT("weather.tbl[",S$1,"]")),MATCH(vp.tbl[[#This Row],[SDate]],weather.tbl[Date],0))</f>
        <v>0.7</v>
      </c>
      <c r="T692" s="2">
        <f ca="1">INDEX(INDIRECT(_xlfn.CONCAT("weather.tbl[",T$1,"]")),MATCH(vp.tbl[[#This Row],[SDate]],weather.tbl[Date],0))</f>
        <v>-5.8</v>
      </c>
      <c r="U692" s="2">
        <f ca="1">INDEX(INDIRECT(_xlfn.CONCAT("weather.tbl[",U$1,"]")),MATCH(vp.tbl[[#This Row],[SDate]],weather.tbl[Date],0))</f>
        <v>-2.2999999999999998</v>
      </c>
      <c r="V692" s="2">
        <v>4893.7520000000004</v>
      </c>
      <c r="W692" t="s">
        <v>48</v>
      </c>
      <c r="X692">
        <f>IF(OR(vp.tbl[[#This Row],[Sulf]]="",vp.tbl[[#This Row],[Dens]]=""),1,0)</f>
        <v>0</v>
      </c>
      <c r="Y692">
        <f>IF(vp.tbl[[#This Row],[CrudeType]]="C5+",1,0)</f>
        <v>0</v>
      </c>
      <c r="Z692">
        <f>IF(AND(vp.tbl[[#This Row],[CrudeType]]="Crude",vp.tbl[[#This Row],[Dens]]&lt;=825,vp.tbl[[#This Row],[Sulf]]&gt;0.5,vp.tbl[[#This Row],[Unknown]]=0),1,0)</f>
        <v>1</v>
      </c>
      <c r="AA692">
        <f>IF(AND(vp.tbl[[#This Row],[CrudeType]]="Crude",vp.tbl[[#This Row],[Dens]]&lt;=825,vp.tbl[[#This Row],[Sulf]]&lt;=0.5,vp.tbl[[#This Row],[Unknown]]=0),1,0)</f>
        <v>0</v>
      </c>
      <c r="AB692">
        <f>IF(AND(vp.tbl[[#This Row],[CrudeType]]="Crude",vp.tbl[[#This Row],[Dens]]&gt;825,vp.tbl[[#This Row],[Dens]]&lt;=870,vp.tbl[[#This Row],[Sulf]]&gt;0.5,vp.tbl[[#This Row],[Unknown]]=0),1,0)</f>
        <v>0</v>
      </c>
      <c r="AC692">
        <f>IF(AND(vp.tbl[[#This Row],[CrudeType]]="Crude",vp.tbl[[#This Row],[Dens]]&gt;825,vp.tbl[[#This Row],[Dens]]&lt;=900,vp.tbl[[#This Row],[Sulf]]&lt;=0.5,vp.tbl[[#This Row],[Unknown]]=0),1,0)</f>
        <v>0</v>
      </c>
      <c r="AD692">
        <f>IF(AND(vp.tbl[[#This Row],[CrudeType]]="Crude",vp.tbl[[#This Row],[Dens]]&gt;870,vp.tbl[[#This Row],[Dens]]&lt;=900,vp.tbl[[#This Row],[Sulf]]&gt;0.5,vp.tbl[[#This Row],[Unknown]]=0),1,0)</f>
        <v>0</v>
      </c>
      <c r="AE692">
        <f>IF(AND(vp.tbl[[#This Row],[CrudeType]]="Crude",vp.tbl[[#This Row],[Dens]]&gt;900,vp.tbl[[#This Row],[Sulf]]&lt;=0.5,vp.tbl[[#This Row],[Unknown]]=0),1,0)</f>
        <v>0</v>
      </c>
      <c r="AF692">
        <f>IF(AND(vp.tbl[[#This Row],[CrudeType]]="Crude",vp.tbl[[#This Row],[Dens]]&gt;900,vp.tbl[[#This Row],[Sulf]]&lt;=0.5,vp.tbl[[#This Row],[Unknown]]=0),1,0)</f>
        <v>0</v>
      </c>
      <c r="AG692" t="str">
        <f>INDEX(vp.tbl[[#Headers],[Unknown]:[Heavy_SW]],MATCH(1,vp.tbl[[#This Row],[Unknown]:[Heavy_SW]],0))</f>
        <v>Light_LSB</v>
      </c>
      <c r="AH692" t="e">
        <f>INDEX([1]!crudeBD.lkup[Number],MATCH(vp.tbl[[#This Row],[Crude_Breakdown]],[1]!crudeBD.lkup[Crude Breakdown],0))</f>
        <v>#REF!</v>
      </c>
      <c r="AI692">
        <f>MONTH(vp.tbl[[#This Row],[SDate]])</f>
        <v>1</v>
      </c>
      <c r="AJ692" s="5">
        <f>IFERROR(vp.tbl[[#This Row],[Sulf]]*vp.tbl[[#This Row],[Net Dens]],"")</f>
        <v>5875321.2011520006</v>
      </c>
      <c r="AK692" s="5">
        <f>IFERROR(vp.tbl[[#This Row],[Dens]]*vp.tbl[[#This Row],[VolumeM3]],"")</f>
        <v>3969811.6224000007</v>
      </c>
      <c r="AL692" s="5">
        <f>IFERROR(vp.tbl[[#This Row],[VP]]*vp.tbl[[#This Row],[VolumeM3]],"")</f>
        <v>561313.35440000007</v>
      </c>
      <c r="AM692" s="4">
        <f>IFERROR((vp.tbl[[#This Row],[VP]]-INDEX(crudeBD.lkup.complete[Mean_VP],MATCH(vp.tbl[[#This Row],[Crude_Breakdown]],crudeBD.lkup.complete[Crude Breakdown],0)))^2,"")</f>
        <v>536.09912279732043</v>
      </c>
      <c r="AN692" s="4">
        <f>IFERROR((vp.tbl[[#This Row],[Dens]]-INDEX(crudeBD.lkup.complete[Mean_Dens],MATCH(vp.tbl[[#This Row],[Crude_Breakdown]],crudeBD.lkup.complete[Crude Breakdown],0)))^2,"")</f>
        <v>53.535119712799265</v>
      </c>
      <c r="AO692" s="4">
        <f>IFERROR((vp.tbl[[#This Row],[Sulf]]-INDEX(crudeBD.lkup.complete[Mean_Sulf],MATCH(vp.tbl[[#This Row],[Crude_Breakdown]],crudeBD.lkup.complete[Crude Breakdown],0)))^2,"")</f>
        <v>0.31028111925050628</v>
      </c>
      <c r="AP692">
        <f>IF(AND(vp.tbl[[#This Row],[SDate]]&gt;=DATE(YEAR(vp.tbl[[#This Row],[SDate]]),5,1),vp.tbl[[#This Row],[SDate]]&lt;=DATE(YEAR(vp.tbl[[#This Row],[SDate]]),9,15)),1,0)</f>
        <v>0</v>
      </c>
      <c r="AQ692" s="15">
        <f>IF(vp.tbl[[#This Row],[SDate]]&lt;DATE(2016,12,1),0,1)</f>
        <v>1</v>
      </c>
    </row>
    <row r="693" spans="1:43" x14ac:dyDescent="0.25">
      <c r="A693">
        <v>692</v>
      </c>
      <c r="B693" t="s">
        <v>51</v>
      </c>
      <c r="C693" t="s">
        <v>51</v>
      </c>
      <c r="D693" t="s">
        <v>140</v>
      </c>
      <c r="F693" s="1">
        <v>42764</v>
      </c>
      <c r="G693" s="2">
        <v>73.8</v>
      </c>
      <c r="H693" s="2"/>
      <c r="I693" s="2">
        <v>0.54</v>
      </c>
      <c r="J693" s="2"/>
      <c r="K693" s="2">
        <v>-1</v>
      </c>
      <c r="L693" s="2">
        <v>824.8</v>
      </c>
      <c r="M693" s="2">
        <v>824.8</v>
      </c>
      <c r="N693" s="2">
        <f ca="1">INDEX(INDIRECT(_xlfn.CONCAT("weather.tbl[",N$1,"]")),MATCH(vp.tbl[[#This Row],[SDate]],weather.tbl[Date],0))</f>
        <v>-2.0500000000000003</v>
      </c>
      <c r="O693" s="2">
        <f ca="1">INDEX(INDIRECT(_xlfn.CONCAT("weather.tbl[",O$1,"]")),MATCH(vp.tbl[[#This Row],[SDate]],weather.tbl[Date],0))</f>
        <v>-6.545238095238096</v>
      </c>
      <c r="P693" s="2">
        <f ca="1">INDEX(INDIRECT(_xlfn.CONCAT("weather.tbl[",P$1,"]")),MATCH(vp.tbl[[#This Row],[SDate]],weather.tbl[Date],0))</f>
        <v>-2</v>
      </c>
      <c r="Q693" s="2">
        <f ca="1">INDEX(INDIRECT(_xlfn.CONCAT("weather.tbl[",Q$1,"]")),MATCH(vp.tbl[[#This Row],[SDate]],weather.tbl[Date],0))</f>
        <v>-0.6</v>
      </c>
      <c r="R693" s="2">
        <f ca="1">INDEX(INDIRECT(_xlfn.CONCAT("weather.tbl[",R$1,"]")),MATCH(vp.tbl[[#This Row],[SDate]],weather.tbl[Date],0))</f>
        <v>-2.2999999999999998</v>
      </c>
      <c r="S693" s="2">
        <f ca="1">INDEX(INDIRECT(_xlfn.CONCAT("weather.tbl[",S$1,"]")),MATCH(vp.tbl[[#This Row],[SDate]],weather.tbl[Date],0))</f>
        <v>0.7</v>
      </c>
      <c r="T693" s="2">
        <f ca="1">INDEX(INDIRECT(_xlfn.CONCAT("weather.tbl[",T$1,"]")),MATCH(vp.tbl[[#This Row],[SDate]],weather.tbl[Date],0))</f>
        <v>-5.8</v>
      </c>
      <c r="U693" s="2">
        <f ca="1">INDEX(INDIRECT(_xlfn.CONCAT("weather.tbl[",U$1,"]")),MATCH(vp.tbl[[#This Row],[SDate]],weather.tbl[Date],0))</f>
        <v>-2.2999999999999998</v>
      </c>
      <c r="V693" s="2">
        <v>420.01900000000001</v>
      </c>
      <c r="W693" t="s">
        <v>48</v>
      </c>
      <c r="X693">
        <f>IF(OR(vp.tbl[[#This Row],[Sulf]]="",vp.tbl[[#This Row],[Dens]]=""),1,0)</f>
        <v>0</v>
      </c>
      <c r="Y693">
        <f>IF(vp.tbl[[#This Row],[CrudeType]]="C5+",1,0)</f>
        <v>0</v>
      </c>
      <c r="Z693">
        <f>IF(AND(vp.tbl[[#This Row],[CrudeType]]="Crude",vp.tbl[[#This Row],[Dens]]&lt;=825,vp.tbl[[#This Row],[Sulf]]&gt;0.5,vp.tbl[[#This Row],[Unknown]]=0),1,0)</f>
        <v>1</v>
      </c>
      <c r="AA693">
        <f>IF(AND(vp.tbl[[#This Row],[CrudeType]]="Crude",vp.tbl[[#This Row],[Dens]]&lt;=825,vp.tbl[[#This Row],[Sulf]]&lt;=0.5,vp.tbl[[#This Row],[Unknown]]=0),1,0)</f>
        <v>0</v>
      </c>
      <c r="AB693">
        <f>IF(AND(vp.tbl[[#This Row],[CrudeType]]="Crude",vp.tbl[[#This Row],[Dens]]&gt;825,vp.tbl[[#This Row],[Dens]]&lt;=870,vp.tbl[[#This Row],[Sulf]]&gt;0.5,vp.tbl[[#This Row],[Unknown]]=0),1,0)</f>
        <v>0</v>
      </c>
      <c r="AC693">
        <f>IF(AND(vp.tbl[[#This Row],[CrudeType]]="Crude",vp.tbl[[#This Row],[Dens]]&gt;825,vp.tbl[[#This Row],[Dens]]&lt;=900,vp.tbl[[#This Row],[Sulf]]&lt;=0.5,vp.tbl[[#This Row],[Unknown]]=0),1,0)</f>
        <v>0</v>
      </c>
      <c r="AD693">
        <f>IF(AND(vp.tbl[[#This Row],[CrudeType]]="Crude",vp.tbl[[#This Row],[Dens]]&gt;870,vp.tbl[[#This Row],[Dens]]&lt;=900,vp.tbl[[#This Row],[Sulf]]&gt;0.5,vp.tbl[[#This Row],[Unknown]]=0),1,0)</f>
        <v>0</v>
      </c>
      <c r="AE693">
        <f>IF(AND(vp.tbl[[#This Row],[CrudeType]]="Crude",vp.tbl[[#This Row],[Dens]]&gt;900,vp.tbl[[#This Row],[Sulf]]&lt;=0.5,vp.tbl[[#This Row],[Unknown]]=0),1,0)</f>
        <v>0</v>
      </c>
      <c r="AF693">
        <f>IF(AND(vp.tbl[[#This Row],[CrudeType]]="Crude",vp.tbl[[#This Row],[Dens]]&gt;900,vp.tbl[[#This Row],[Sulf]]&lt;=0.5,vp.tbl[[#This Row],[Unknown]]=0),1,0)</f>
        <v>0</v>
      </c>
      <c r="AG693" t="str">
        <f>INDEX(vp.tbl[[#Headers],[Unknown]:[Heavy_SW]],MATCH(1,vp.tbl[[#This Row],[Unknown]:[Heavy_SW]],0))</f>
        <v>Light_LSB</v>
      </c>
      <c r="AH693" t="e">
        <f>INDEX([1]!crudeBD.lkup[Number],MATCH(vp.tbl[[#This Row],[Crude_Breakdown]],[1]!crudeBD.lkup[Crude Breakdown],0))</f>
        <v>#REF!</v>
      </c>
      <c r="AI693">
        <f>MONTH(vp.tbl[[#This Row],[SDate]])</f>
        <v>1</v>
      </c>
      <c r="AJ693" s="5">
        <f>IFERROR(vp.tbl[[#This Row],[Sulf]]*vp.tbl[[#This Row],[Net Dens]],"")</f>
        <v>187073.10244799999</v>
      </c>
      <c r="AK693" s="5">
        <f>IFERROR(vp.tbl[[#This Row],[Dens]]*vp.tbl[[#This Row],[VolumeM3]],"")</f>
        <v>346431.67119999998</v>
      </c>
      <c r="AL693" s="5">
        <f>IFERROR(vp.tbl[[#This Row],[VP]]*vp.tbl[[#This Row],[VolumeM3]],"")</f>
        <v>30997.4022</v>
      </c>
      <c r="AM693" s="4">
        <f>IFERROR((vp.tbl[[#This Row],[VP]]-INDEX(crudeBD.lkup.complete[Mean_VP],MATCH(vp.tbl[[#This Row],[Crude_Breakdown]],crudeBD.lkup.complete[Crude Breakdown],0)))^2,"")</f>
        <v>314.92710217876623</v>
      </c>
      <c r="AN693" s="4">
        <f>IFERROR((vp.tbl[[#This Row],[Dens]]-INDEX(crudeBD.lkup.complete[Mean_Dens],MATCH(vp.tbl[[#This Row],[Crude_Breakdown]],crudeBD.lkup.complete[Crude Breakdown],0)))^2,"")</f>
        <v>39.478982255763228</v>
      </c>
      <c r="AO693" s="4">
        <f>IFERROR((vp.tbl[[#This Row],[Sulf]]-INDEX(crudeBD.lkup.complete[Mean_Sulf],MATCH(vp.tbl[[#This Row],[Crude_Breakdown]],crudeBD.lkup.complete[Crude Breakdown],0)))^2,"")</f>
        <v>0.14666691581407967</v>
      </c>
      <c r="AP693">
        <f>IF(AND(vp.tbl[[#This Row],[SDate]]&gt;=DATE(YEAR(vp.tbl[[#This Row],[SDate]]),5,1),vp.tbl[[#This Row],[SDate]]&lt;=DATE(YEAR(vp.tbl[[#This Row],[SDate]]),9,15)),1,0)</f>
        <v>0</v>
      </c>
      <c r="AQ693" s="15">
        <f>IF(vp.tbl[[#This Row],[SDate]]&lt;DATE(2016,12,1),0,1)</f>
        <v>1</v>
      </c>
    </row>
    <row r="694" spans="1:43" x14ac:dyDescent="0.25">
      <c r="A694">
        <v>693</v>
      </c>
      <c r="B694" t="s">
        <v>51</v>
      </c>
      <c r="C694" t="s">
        <v>51</v>
      </c>
      <c r="D694" t="s">
        <v>66</v>
      </c>
      <c r="F694" s="1">
        <v>42764</v>
      </c>
      <c r="G694" s="2">
        <v>96.8</v>
      </c>
      <c r="H694" s="2"/>
      <c r="I694" s="2">
        <v>1.62</v>
      </c>
      <c r="J694" s="2">
        <v>3.5</v>
      </c>
      <c r="K694" s="2">
        <v>-5</v>
      </c>
      <c r="L694" s="2">
        <v>825.1</v>
      </c>
      <c r="M694" s="2">
        <v>825.1</v>
      </c>
      <c r="N694" s="2">
        <f ca="1">INDEX(INDIRECT(_xlfn.CONCAT("weather.tbl[",N$1,"]")),MATCH(vp.tbl[[#This Row],[SDate]],weather.tbl[Date],0))</f>
        <v>-2.0500000000000003</v>
      </c>
      <c r="O694" s="2">
        <f ca="1">INDEX(INDIRECT(_xlfn.CONCAT("weather.tbl[",O$1,"]")),MATCH(vp.tbl[[#This Row],[SDate]],weather.tbl[Date],0))</f>
        <v>-6.545238095238096</v>
      </c>
      <c r="P694" s="2">
        <f ca="1">INDEX(INDIRECT(_xlfn.CONCAT("weather.tbl[",P$1,"]")),MATCH(vp.tbl[[#This Row],[SDate]],weather.tbl[Date],0))</f>
        <v>-2</v>
      </c>
      <c r="Q694" s="2">
        <f ca="1">INDEX(INDIRECT(_xlfn.CONCAT("weather.tbl[",Q$1,"]")),MATCH(vp.tbl[[#This Row],[SDate]],weather.tbl[Date],0))</f>
        <v>-0.6</v>
      </c>
      <c r="R694" s="2">
        <f ca="1">INDEX(INDIRECT(_xlfn.CONCAT("weather.tbl[",R$1,"]")),MATCH(vp.tbl[[#This Row],[SDate]],weather.tbl[Date],0))</f>
        <v>-2.2999999999999998</v>
      </c>
      <c r="S694" s="2">
        <f ca="1">INDEX(INDIRECT(_xlfn.CONCAT("weather.tbl[",S$1,"]")),MATCH(vp.tbl[[#This Row],[SDate]],weather.tbl[Date],0))</f>
        <v>0.7</v>
      </c>
      <c r="T694" s="2">
        <f ca="1">INDEX(INDIRECT(_xlfn.CONCAT("weather.tbl[",T$1,"]")),MATCH(vp.tbl[[#This Row],[SDate]],weather.tbl[Date],0))</f>
        <v>-5.8</v>
      </c>
      <c r="U694" s="2">
        <f ca="1">INDEX(INDIRECT(_xlfn.CONCAT("weather.tbl[",U$1,"]")),MATCH(vp.tbl[[#This Row],[SDate]],weather.tbl[Date],0))</f>
        <v>-2.2999999999999998</v>
      </c>
      <c r="V694" s="2">
        <v>3297.86</v>
      </c>
      <c r="W694" t="s">
        <v>48</v>
      </c>
      <c r="X694">
        <f>IF(OR(vp.tbl[[#This Row],[Sulf]]="",vp.tbl[[#This Row],[Dens]]=""),1,0)</f>
        <v>0</v>
      </c>
      <c r="Y694">
        <f>IF(vp.tbl[[#This Row],[CrudeType]]="C5+",1,0)</f>
        <v>0</v>
      </c>
      <c r="Z694">
        <f>IF(AND(vp.tbl[[#This Row],[CrudeType]]="Crude",vp.tbl[[#This Row],[Dens]]&lt;=825,vp.tbl[[#This Row],[Sulf]]&gt;0.5,vp.tbl[[#This Row],[Unknown]]=0),1,0)</f>
        <v>0</v>
      </c>
      <c r="AA694">
        <f>IF(AND(vp.tbl[[#This Row],[CrudeType]]="Crude",vp.tbl[[#This Row],[Dens]]&lt;=825,vp.tbl[[#This Row],[Sulf]]&lt;=0.5,vp.tbl[[#This Row],[Unknown]]=0),1,0)</f>
        <v>0</v>
      </c>
      <c r="AB694">
        <f>IF(AND(vp.tbl[[#This Row],[CrudeType]]="Crude",vp.tbl[[#This Row],[Dens]]&gt;825,vp.tbl[[#This Row],[Dens]]&lt;=870,vp.tbl[[#This Row],[Sulf]]&gt;0.5,vp.tbl[[#This Row],[Unknown]]=0),1,0)</f>
        <v>1</v>
      </c>
      <c r="AC694">
        <f>IF(AND(vp.tbl[[#This Row],[CrudeType]]="Crude",vp.tbl[[#This Row],[Dens]]&gt;825,vp.tbl[[#This Row],[Dens]]&lt;=900,vp.tbl[[#This Row],[Sulf]]&lt;=0.5,vp.tbl[[#This Row],[Unknown]]=0),1,0)</f>
        <v>0</v>
      </c>
      <c r="AD694">
        <f>IF(AND(vp.tbl[[#This Row],[CrudeType]]="Crude",vp.tbl[[#This Row],[Dens]]&gt;870,vp.tbl[[#This Row],[Dens]]&lt;=900,vp.tbl[[#This Row],[Sulf]]&gt;0.5,vp.tbl[[#This Row],[Unknown]]=0),1,0)</f>
        <v>0</v>
      </c>
      <c r="AE694">
        <f>IF(AND(vp.tbl[[#This Row],[CrudeType]]="Crude",vp.tbl[[#This Row],[Dens]]&gt;900,vp.tbl[[#This Row],[Sulf]]&lt;=0.5,vp.tbl[[#This Row],[Unknown]]=0),1,0)</f>
        <v>0</v>
      </c>
      <c r="AF694">
        <f>IF(AND(vp.tbl[[#This Row],[CrudeType]]="Crude",vp.tbl[[#This Row],[Dens]]&gt;900,vp.tbl[[#This Row],[Sulf]]&lt;=0.5,vp.tbl[[#This Row],[Unknown]]=0),1,0)</f>
        <v>0</v>
      </c>
      <c r="AG694" t="str">
        <f>INDEX(vp.tbl[[#Headers],[Unknown]:[Heavy_SW]],MATCH(1,vp.tbl[[#This Row],[Unknown]:[Heavy_SW]],0))</f>
        <v>Medium_LSB</v>
      </c>
      <c r="AH694" t="e">
        <f>INDEX([1]!crudeBD.lkup[Number],MATCH(vp.tbl[[#This Row],[Crude_Breakdown]],[1]!crudeBD.lkup[Crude Breakdown],0))</f>
        <v>#REF!</v>
      </c>
      <c r="AI694">
        <f>MONTH(vp.tbl[[#This Row],[SDate]])</f>
        <v>1</v>
      </c>
      <c r="AJ694" s="5">
        <f>IFERROR(vp.tbl[[#This Row],[Sulf]]*vp.tbl[[#This Row],[Net Dens]],"")</f>
        <v>4408124.1433200007</v>
      </c>
      <c r="AK694" s="5">
        <f>IFERROR(vp.tbl[[#This Row],[Dens]]*vp.tbl[[#This Row],[VolumeM3]],"")</f>
        <v>2721064.2860000003</v>
      </c>
      <c r="AL694" s="5">
        <f>IFERROR(vp.tbl[[#This Row],[VP]]*vp.tbl[[#This Row],[VolumeM3]],"")</f>
        <v>319232.848</v>
      </c>
      <c r="AM694" s="4">
        <f>IFERROR((vp.tbl[[#This Row],[VP]]-INDEX(crudeBD.lkup.complete[Mean_VP],MATCH(vp.tbl[[#This Row],[Crude_Breakdown]],crudeBD.lkup.complete[Crude Breakdown],0)))^2,"")</f>
        <v>276.43734532863436</v>
      </c>
      <c r="AN694" s="4">
        <f>IFERROR((vp.tbl[[#This Row],[Dens]]-INDEX(crudeBD.lkup.complete[Mean_Dens],MATCH(vp.tbl[[#This Row],[Crude_Breakdown]],crudeBD.lkup.complete[Crude Breakdown],0)))^2,"")</f>
        <v>407.70970737313667</v>
      </c>
      <c r="AO694" s="4">
        <f>IFERROR((vp.tbl[[#This Row],[Sulf]]-INDEX(crudeBD.lkup.complete[Mean_Sulf],MATCH(vp.tbl[[#This Row],[Crude_Breakdown]],crudeBD.lkup.complete[Crude Breakdown],0)))^2,"")</f>
        <v>2.7248150868879693E-2</v>
      </c>
      <c r="AP694">
        <f>IF(AND(vp.tbl[[#This Row],[SDate]]&gt;=DATE(YEAR(vp.tbl[[#This Row],[SDate]]),5,1),vp.tbl[[#This Row],[SDate]]&lt;=DATE(YEAR(vp.tbl[[#This Row],[SDate]]),9,15)),1,0)</f>
        <v>0</v>
      </c>
      <c r="AQ694" s="15">
        <f>IF(vp.tbl[[#This Row],[SDate]]&lt;DATE(2016,12,1),0,1)</f>
        <v>1</v>
      </c>
    </row>
    <row r="695" spans="1:43" x14ac:dyDescent="0.25">
      <c r="A695">
        <v>694</v>
      </c>
      <c r="B695" t="s">
        <v>96</v>
      </c>
      <c r="C695" t="s">
        <v>96</v>
      </c>
      <c r="D695" t="s">
        <v>97</v>
      </c>
      <c r="F695" s="1">
        <v>42764</v>
      </c>
      <c r="G695" s="2">
        <v>78.400000000000006</v>
      </c>
      <c r="H695" s="2"/>
      <c r="I695" s="2">
        <v>0.79</v>
      </c>
      <c r="J695" s="2">
        <v>32.299999999999997</v>
      </c>
      <c r="K695" s="2">
        <v>0</v>
      </c>
      <c r="L695" s="2">
        <v>827.9</v>
      </c>
      <c r="M695" s="2">
        <v>827.9</v>
      </c>
      <c r="N695" s="2">
        <f ca="1">INDEX(INDIRECT(_xlfn.CONCAT("weather.tbl[",N$1,"]")),MATCH(vp.tbl[[#This Row],[SDate]],weather.tbl[Date],0))</f>
        <v>-2.0500000000000003</v>
      </c>
      <c r="O695" s="2">
        <f ca="1">INDEX(INDIRECT(_xlfn.CONCAT("weather.tbl[",O$1,"]")),MATCH(vp.tbl[[#This Row],[SDate]],weather.tbl[Date],0))</f>
        <v>-6.545238095238096</v>
      </c>
      <c r="P695" s="2">
        <f ca="1">INDEX(INDIRECT(_xlfn.CONCAT("weather.tbl[",P$1,"]")),MATCH(vp.tbl[[#This Row],[SDate]],weather.tbl[Date],0))</f>
        <v>-2</v>
      </c>
      <c r="Q695" s="2">
        <f ca="1">INDEX(INDIRECT(_xlfn.CONCAT("weather.tbl[",Q$1,"]")),MATCH(vp.tbl[[#This Row],[SDate]],weather.tbl[Date],0))</f>
        <v>-0.6</v>
      </c>
      <c r="R695" s="2">
        <f ca="1">INDEX(INDIRECT(_xlfn.CONCAT("weather.tbl[",R$1,"]")),MATCH(vp.tbl[[#This Row],[SDate]],weather.tbl[Date],0))</f>
        <v>-2.2999999999999998</v>
      </c>
      <c r="S695" s="2">
        <f ca="1">INDEX(INDIRECT(_xlfn.CONCAT("weather.tbl[",S$1,"]")),MATCH(vp.tbl[[#This Row],[SDate]],weather.tbl[Date],0))</f>
        <v>0.7</v>
      </c>
      <c r="T695" s="2">
        <f ca="1">INDEX(INDIRECT(_xlfn.CONCAT("weather.tbl[",T$1,"]")),MATCH(vp.tbl[[#This Row],[SDate]],weather.tbl[Date],0))</f>
        <v>-5.8</v>
      </c>
      <c r="U695" s="2">
        <f ca="1">INDEX(INDIRECT(_xlfn.CONCAT("weather.tbl[",U$1,"]")),MATCH(vp.tbl[[#This Row],[SDate]],weather.tbl[Date],0))</f>
        <v>-2.2999999999999998</v>
      </c>
      <c r="V695" s="2">
        <v>8927.0429999999997</v>
      </c>
      <c r="W695" t="s">
        <v>48</v>
      </c>
      <c r="X695">
        <f>IF(OR(vp.tbl[[#This Row],[Sulf]]="",vp.tbl[[#This Row],[Dens]]=""),1,0)</f>
        <v>0</v>
      </c>
      <c r="Y695">
        <f>IF(vp.tbl[[#This Row],[CrudeType]]="C5+",1,0)</f>
        <v>0</v>
      </c>
      <c r="Z695">
        <f>IF(AND(vp.tbl[[#This Row],[CrudeType]]="Crude",vp.tbl[[#This Row],[Dens]]&lt;=825,vp.tbl[[#This Row],[Sulf]]&gt;0.5,vp.tbl[[#This Row],[Unknown]]=0),1,0)</f>
        <v>0</v>
      </c>
      <c r="AA695">
        <f>IF(AND(vp.tbl[[#This Row],[CrudeType]]="Crude",vp.tbl[[#This Row],[Dens]]&lt;=825,vp.tbl[[#This Row],[Sulf]]&lt;=0.5,vp.tbl[[#This Row],[Unknown]]=0),1,0)</f>
        <v>0</v>
      </c>
      <c r="AB695">
        <f>IF(AND(vp.tbl[[#This Row],[CrudeType]]="Crude",vp.tbl[[#This Row],[Dens]]&gt;825,vp.tbl[[#This Row],[Dens]]&lt;=870,vp.tbl[[#This Row],[Sulf]]&gt;0.5,vp.tbl[[#This Row],[Unknown]]=0),1,0)</f>
        <v>1</v>
      </c>
      <c r="AC695">
        <f>IF(AND(vp.tbl[[#This Row],[CrudeType]]="Crude",vp.tbl[[#This Row],[Dens]]&gt;825,vp.tbl[[#This Row],[Dens]]&lt;=900,vp.tbl[[#This Row],[Sulf]]&lt;=0.5,vp.tbl[[#This Row],[Unknown]]=0),1,0)</f>
        <v>0</v>
      </c>
      <c r="AD695">
        <f>IF(AND(vp.tbl[[#This Row],[CrudeType]]="Crude",vp.tbl[[#This Row],[Dens]]&gt;870,vp.tbl[[#This Row],[Dens]]&lt;=900,vp.tbl[[#This Row],[Sulf]]&gt;0.5,vp.tbl[[#This Row],[Unknown]]=0),1,0)</f>
        <v>0</v>
      </c>
      <c r="AE695">
        <f>IF(AND(vp.tbl[[#This Row],[CrudeType]]="Crude",vp.tbl[[#This Row],[Dens]]&gt;900,vp.tbl[[#This Row],[Sulf]]&lt;=0.5,vp.tbl[[#This Row],[Unknown]]=0),1,0)</f>
        <v>0</v>
      </c>
      <c r="AF695">
        <f>IF(AND(vp.tbl[[#This Row],[CrudeType]]="Crude",vp.tbl[[#This Row],[Dens]]&gt;900,vp.tbl[[#This Row],[Sulf]]&lt;=0.5,vp.tbl[[#This Row],[Unknown]]=0),1,0)</f>
        <v>0</v>
      </c>
      <c r="AG695" t="str">
        <f>INDEX(vp.tbl[[#Headers],[Unknown]:[Heavy_SW]],MATCH(1,vp.tbl[[#This Row],[Unknown]:[Heavy_SW]],0))</f>
        <v>Medium_LSB</v>
      </c>
      <c r="AH695" t="e">
        <f>INDEX([1]!crudeBD.lkup[Number],MATCH(vp.tbl[[#This Row],[Crude_Breakdown]],[1]!crudeBD.lkup[Crude Breakdown],0))</f>
        <v>#REF!</v>
      </c>
      <c r="AI695">
        <f>MONTH(vp.tbl[[#This Row],[SDate]])</f>
        <v>1</v>
      </c>
      <c r="AJ695" s="5">
        <f>IFERROR(vp.tbl[[#This Row],[Sulf]]*vp.tbl[[#This Row],[Net Dens]],"")</f>
        <v>5838652.1307629999</v>
      </c>
      <c r="AK695" s="5">
        <f>IFERROR(vp.tbl[[#This Row],[Dens]]*vp.tbl[[#This Row],[VolumeM3]],"")</f>
        <v>7390698.8997</v>
      </c>
      <c r="AL695" s="5">
        <f>IFERROR(vp.tbl[[#This Row],[VP]]*vp.tbl[[#This Row],[VolumeM3]],"")</f>
        <v>699880.17119999998</v>
      </c>
      <c r="AM695" s="4">
        <f>IFERROR((vp.tbl[[#This Row],[VP]]-INDEX(crudeBD.lkup.complete[Mean_VP],MATCH(vp.tbl[[#This Row],[Crude_Breakdown]],crudeBD.lkup.complete[Crude Breakdown],0)))^2,"")</f>
        <v>3.1456389995191567</v>
      </c>
      <c r="AN695" s="4">
        <f>IFERROR((vp.tbl[[#This Row],[Dens]]-INDEX(crudeBD.lkup.complete[Mean_Dens],MATCH(vp.tbl[[#This Row],[Crude_Breakdown]],crudeBD.lkup.complete[Crude Breakdown],0)))^2,"")</f>
        <v>302.47549977820722</v>
      </c>
      <c r="AO695" s="4">
        <f>IFERROR((vp.tbl[[#This Row],[Sulf]]-INDEX(crudeBD.lkup.complete[Mean_Sulf],MATCH(vp.tbl[[#This Row],[Crude_Breakdown]],crudeBD.lkup.complete[Crude Breakdown],0)))^2,"")</f>
        <v>0.44213171972964155</v>
      </c>
      <c r="AP695">
        <f>IF(AND(vp.tbl[[#This Row],[SDate]]&gt;=DATE(YEAR(vp.tbl[[#This Row],[SDate]]),5,1),vp.tbl[[#This Row],[SDate]]&lt;=DATE(YEAR(vp.tbl[[#This Row],[SDate]]),9,15)),1,0)</f>
        <v>0</v>
      </c>
      <c r="AQ695" s="15">
        <f>IF(vp.tbl[[#This Row],[SDate]]&lt;DATE(2016,12,1),0,1)</f>
        <v>1</v>
      </c>
    </row>
    <row r="696" spans="1:43" x14ac:dyDescent="0.25">
      <c r="A696">
        <v>695</v>
      </c>
      <c r="B696" t="s">
        <v>108</v>
      </c>
      <c r="C696" t="s">
        <v>108</v>
      </c>
      <c r="D696" t="s">
        <v>109</v>
      </c>
      <c r="F696" s="1">
        <v>42764</v>
      </c>
      <c r="G696" s="2">
        <v>83.7</v>
      </c>
      <c r="H696" s="2"/>
      <c r="I696" s="2">
        <v>0.78</v>
      </c>
      <c r="J696" s="2">
        <v>26.8</v>
      </c>
      <c r="K696" s="2">
        <v>-5</v>
      </c>
      <c r="L696" s="2">
        <v>836.3</v>
      </c>
      <c r="M696" s="2">
        <v>836.3</v>
      </c>
      <c r="N696" s="2">
        <f ca="1">INDEX(INDIRECT(_xlfn.CONCAT("weather.tbl[",N$1,"]")),MATCH(vp.tbl[[#This Row],[SDate]],weather.tbl[Date],0))</f>
        <v>-2.0500000000000003</v>
      </c>
      <c r="O696" s="2">
        <f ca="1">INDEX(INDIRECT(_xlfn.CONCAT("weather.tbl[",O$1,"]")),MATCH(vp.tbl[[#This Row],[SDate]],weather.tbl[Date],0))</f>
        <v>-6.545238095238096</v>
      </c>
      <c r="P696" s="2">
        <f ca="1">INDEX(INDIRECT(_xlfn.CONCAT("weather.tbl[",P$1,"]")),MATCH(vp.tbl[[#This Row],[SDate]],weather.tbl[Date],0))</f>
        <v>-2</v>
      </c>
      <c r="Q696" s="2">
        <f ca="1">INDEX(INDIRECT(_xlfn.CONCAT("weather.tbl[",Q$1,"]")),MATCH(vp.tbl[[#This Row],[SDate]],weather.tbl[Date],0))</f>
        <v>-0.6</v>
      </c>
      <c r="R696" s="2">
        <f ca="1">INDEX(INDIRECT(_xlfn.CONCAT("weather.tbl[",R$1,"]")),MATCH(vp.tbl[[#This Row],[SDate]],weather.tbl[Date],0))</f>
        <v>-2.2999999999999998</v>
      </c>
      <c r="S696" s="2">
        <f ca="1">INDEX(INDIRECT(_xlfn.CONCAT("weather.tbl[",S$1,"]")),MATCH(vp.tbl[[#This Row],[SDate]],weather.tbl[Date],0))</f>
        <v>0.7</v>
      </c>
      <c r="T696" s="2">
        <f ca="1">INDEX(INDIRECT(_xlfn.CONCAT("weather.tbl[",T$1,"]")),MATCH(vp.tbl[[#This Row],[SDate]],weather.tbl[Date],0))</f>
        <v>-5.8</v>
      </c>
      <c r="U696" s="2">
        <f ca="1">INDEX(INDIRECT(_xlfn.CONCAT("weather.tbl[",U$1,"]")),MATCH(vp.tbl[[#This Row],[SDate]],weather.tbl[Date],0))</f>
        <v>-2.2999999999999998</v>
      </c>
      <c r="V696" s="2">
        <v>9355.1880000000001</v>
      </c>
      <c r="W696" t="s">
        <v>48</v>
      </c>
      <c r="X696">
        <f>IF(OR(vp.tbl[[#This Row],[Sulf]]="",vp.tbl[[#This Row],[Dens]]=""),1,0)</f>
        <v>0</v>
      </c>
      <c r="Y696">
        <f>IF(vp.tbl[[#This Row],[CrudeType]]="C5+",1,0)</f>
        <v>0</v>
      </c>
      <c r="Z696">
        <f>IF(AND(vp.tbl[[#This Row],[CrudeType]]="Crude",vp.tbl[[#This Row],[Dens]]&lt;=825,vp.tbl[[#This Row],[Sulf]]&gt;0.5,vp.tbl[[#This Row],[Unknown]]=0),1,0)</f>
        <v>0</v>
      </c>
      <c r="AA696">
        <f>IF(AND(vp.tbl[[#This Row],[CrudeType]]="Crude",vp.tbl[[#This Row],[Dens]]&lt;=825,vp.tbl[[#This Row],[Sulf]]&lt;=0.5,vp.tbl[[#This Row],[Unknown]]=0),1,0)</f>
        <v>0</v>
      </c>
      <c r="AB696">
        <f>IF(AND(vp.tbl[[#This Row],[CrudeType]]="Crude",vp.tbl[[#This Row],[Dens]]&gt;825,vp.tbl[[#This Row],[Dens]]&lt;=870,vp.tbl[[#This Row],[Sulf]]&gt;0.5,vp.tbl[[#This Row],[Unknown]]=0),1,0)</f>
        <v>1</v>
      </c>
      <c r="AC696">
        <f>IF(AND(vp.tbl[[#This Row],[CrudeType]]="Crude",vp.tbl[[#This Row],[Dens]]&gt;825,vp.tbl[[#This Row],[Dens]]&lt;=900,vp.tbl[[#This Row],[Sulf]]&lt;=0.5,vp.tbl[[#This Row],[Unknown]]=0),1,0)</f>
        <v>0</v>
      </c>
      <c r="AD696">
        <f>IF(AND(vp.tbl[[#This Row],[CrudeType]]="Crude",vp.tbl[[#This Row],[Dens]]&gt;870,vp.tbl[[#This Row],[Dens]]&lt;=900,vp.tbl[[#This Row],[Sulf]]&gt;0.5,vp.tbl[[#This Row],[Unknown]]=0),1,0)</f>
        <v>0</v>
      </c>
      <c r="AE696">
        <f>IF(AND(vp.tbl[[#This Row],[CrudeType]]="Crude",vp.tbl[[#This Row],[Dens]]&gt;900,vp.tbl[[#This Row],[Sulf]]&lt;=0.5,vp.tbl[[#This Row],[Unknown]]=0),1,0)</f>
        <v>0</v>
      </c>
      <c r="AF696">
        <f>IF(AND(vp.tbl[[#This Row],[CrudeType]]="Crude",vp.tbl[[#This Row],[Dens]]&gt;900,vp.tbl[[#This Row],[Sulf]]&lt;=0.5,vp.tbl[[#This Row],[Unknown]]=0),1,0)</f>
        <v>0</v>
      </c>
      <c r="AG696" t="str">
        <f>INDEX(vp.tbl[[#Headers],[Unknown]:[Heavy_SW]],MATCH(1,vp.tbl[[#This Row],[Unknown]:[Heavy_SW]],0))</f>
        <v>Medium_LSB</v>
      </c>
      <c r="AH696" t="e">
        <f>INDEX([1]!crudeBD.lkup[Number],MATCH(vp.tbl[[#This Row],[Crude_Breakdown]],[1]!crudeBD.lkup[Crude Breakdown],0))</f>
        <v>#REF!</v>
      </c>
      <c r="AI696">
        <f>MONTH(vp.tbl[[#This Row],[SDate]])</f>
        <v>1</v>
      </c>
      <c r="AJ696" s="5">
        <f>IFERROR(vp.tbl[[#This Row],[Sulf]]*vp.tbl[[#This Row],[Net Dens]],"")</f>
        <v>6102520.1050319998</v>
      </c>
      <c r="AK696" s="5">
        <f>IFERROR(vp.tbl[[#This Row],[Dens]]*vp.tbl[[#This Row],[VolumeM3]],"")</f>
        <v>7823743.7243999997</v>
      </c>
      <c r="AL696" s="5">
        <f>IFERROR(vp.tbl[[#This Row],[VP]]*vp.tbl[[#This Row],[VolumeM3]],"")</f>
        <v>783029.23560000001</v>
      </c>
      <c r="AM696" s="4">
        <f>IFERROR((vp.tbl[[#This Row],[VP]]-INDEX(crudeBD.lkup.complete[Mean_VP],MATCH(vp.tbl[[#This Row],[Crude_Breakdown]],crudeBD.lkup.complete[Crude Breakdown],0)))^2,"")</f>
        <v>12.435532670405664</v>
      </c>
      <c r="AN696" s="4">
        <f>IFERROR((vp.tbl[[#This Row],[Dens]]-INDEX(crudeBD.lkup.complete[Mean_Dens],MATCH(vp.tbl[[#This Row],[Crude_Breakdown]],crudeBD.lkup.complete[Crude Breakdown],0)))^2,"")</f>
        <v>80.852876993413645</v>
      </c>
      <c r="AO696" s="4">
        <f>IFERROR((vp.tbl[[#This Row],[Sulf]]-INDEX(crudeBD.lkup.complete[Mean_Sulf],MATCH(vp.tbl[[#This Row],[Crude_Breakdown]],crudeBD.lkup.complete[Crude Breakdown],0)))^2,"")</f>
        <v>0.45553031694483148</v>
      </c>
      <c r="AP696">
        <f>IF(AND(vp.tbl[[#This Row],[SDate]]&gt;=DATE(YEAR(vp.tbl[[#This Row],[SDate]]),5,1),vp.tbl[[#This Row],[SDate]]&lt;=DATE(YEAR(vp.tbl[[#This Row],[SDate]]),9,15)),1,0)</f>
        <v>0</v>
      </c>
      <c r="AQ696" s="15">
        <f>IF(vp.tbl[[#This Row],[SDate]]&lt;DATE(2016,12,1),0,1)</f>
        <v>1</v>
      </c>
    </row>
    <row r="697" spans="1:43" x14ac:dyDescent="0.25">
      <c r="A697">
        <v>696</v>
      </c>
      <c r="B697" t="s">
        <v>51</v>
      </c>
      <c r="C697" t="s">
        <v>51</v>
      </c>
      <c r="D697" t="s">
        <v>72</v>
      </c>
      <c r="F697" s="1">
        <v>42764</v>
      </c>
      <c r="G697" s="2">
        <v>84.9</v>
      </c>
      <c r="H697" s="2"/>
      <c r="I697" s="2">
        <v>1.1599999999999999</v>
      </c>
      <c r="J697" s="2">
        <v>25.6</v>
      </c>
      <c r="K697" s="2">
        <v>1</v>
      </c>
      <c r="L697" s="2">
        <v>838.2</v>
      </c>
      <c r="M697" s="2">
        <v>838.2</v>
      </c>
      <c r="N697" s="2">
        <f ca="1">INDEX(INDIRECT(_xlfn.CONCAT("weather.tbl[",N$1,"]")),MATCH(vp.tbl[[#This Row],[SDate]],weather.tbl[Date],0))</f>
        <v>-2.0500000000000003</v>
      </c>
      <c r="O697" s="2">
        <f ca="1">INDEX(INDIRECT(_xlfn.CONCAT("weather.tbl[",O$1,"]")),MATCH(vp.tbl[[#This Row],[SDate]],weather.tbl[Date],0))</f>
        <v>-6.545238095238096</v>
      </c>
      <c r="P697" s="2">
        <f ca="1">INDEX(INDIRECT(_xlfn.CONCAT("weather.tbl[",P$1,"]")),MATCH(vp.tbl[[#This Row],[SDate]],weather.tbl[Date],0))</f>
        <v>-2</v>
      </c>
      <c r="Q697" s="2">
        <f ca="1">INDEX(INDIRECT(_xlfn.CONCAT("weather.tbl[",Q$1,"]")),MATCH(vp.tbl[[#This Row],[SDate]],weather.tbl[Date],0))</f>
        <v>-0.6</v>
      </c>
      <c r="R697" s="2">
        <f ca="1">INDEX(INDIRECT(_xlfn.CONCAT("weather.tbl[",R$1,"]")),MATCH(vp.tbl[[#This Row],[SDate]],weather.tbl[Date],0))</f>
        <v>-2.2999999999999998</v>
      </c>
      <c r="S697" s="2">
        <f ca="1">INDEX(INDIRECT(_xlfn.CONCAT("weather.tbl[",S$1,"]")),MATCH(vp.tbl[[#This Row],[SDate]],weather.tbl[Date],0))</f>
        <v>0.7</v>
      </c>
      <c r="T697" s="2">
        <f ca="1">INDEX(INDIRECT(_xlfn.CONCAT("weather.tbl[",T$1,"]")),MATCH(vp.tbl[[#This Row],[SDate]],weather.tbl[Date],0))</f>
        <v>-5.8</v>
      </c>
      <c r="U697" s="2">
        <f ca="1">INDEX(INDIRECT(_xlfn.CONCAT("weather.tbl[",U$1,"]")),MATCH(vp.tbl[[#This Row],[SDate]],weather.tbl[Date],0))</f>
        <v>-2.2999999999999998</v>
      </c>
      <c r="V697" s="2">
        <v>14039.305</v>
      </c>
      <c r="W697" t="s">
        <v>48</v>
      </c>
      <c r="X697">
        <f>IF(OR(vp.tbl[[#This Row],[Sulf]]="",vp.tbl[[#This Row],[Dens]]=""),1,0)</f>
        <v>0</v>
      </c>
      <c r="Y697">
        <f>IF(vp.tbl[[#This Row],[CrudeType]]="C5+",1,0)</f>
        <v>0</v>
      </c>
      <c r="Z697">
        <f>IF(AND(vp.tbl[[#This Row],[CrudeType]]="Crude",vp.tbl[[#This Row],[Dens]]&lt;=825,vp.tbl[[#This Row],[Sulf]]&gt;0.5,vp.tbl[[#This Row],[Unknown]]=0),1,0)</f>
        <v>0</v>
      </c>
      <c r="AA697">
        <f>IF(AND(vp.tbl[[#This Row],[CrudeType]]="Crude",vp.tbl[[#This Row],[Dens]]&lt;=825,vp.tbl[[#This Row],[Sulf]]&lt;=0.5,vp.tbl[[#This Row],[Unknown]]=0),1,0)</f>
        <v>0</v>
      </c>
      <c r="AB697">
        <f>IF(AND(vp.tbl[[#This Row],[CrudeType]]="Crude",vp.tbl[[#This Row],[Dens]]&gt;825,vp.tbl[[#This Row],[Dens]]&lt;=870,vp.tbl[[#This Row],[Sulf]]&gt;0.5,vp.tbl[[#This Row],[Unknown]]=0),1,0)</f>
        <v>1</v>
      </c>
      <c r="AC697">
        <f>IF(AND(vp.tbl[[#This Row],[CrudeType]]="Crude",vp.tbl[[#This Row],[Dens]]&gt;825,vp.tbl[[#This Row],[Dens]]&lt;=900,vp.tbl[[#This Row],[Sulf]]&lt;=0.5,vp.tbl[[#This Row],[Unknown]]=0),1,0)</f>
        <v>0</v>
      </c>
      <c r="AD697">
        <f>IF(AND(vp.tbl[[#This Row],[CrudeType]]="Crude",vp.tbl[[#This Row],[Dens]]&gt;870,vp.tbl[[#This Row],[Dens]]&lt;=900,vp.tbl[[#This Row],[Sulf]]&gt;0.5,vp.tbl[[#This Row],[Unknown]]=0),1,0)</f>
        <v>0</v>
      </c>
      <c r="AE697">
        <f>IF(AND(vp.tbl[[#This Row],[CrudeType]]="Crude",vp.tbl[[#This Row],[Dens]]&gt;900,vp.tbl[[#This Row],[Sulf]]&lt;=0.5,vp.tbl[[#This Row],[Unknown]]=0),1,0)</f>
        <v>0</v>
      </c>
      <c r="AF697">
        <f>IF(AND(vp.tbl[[#This Row],[CrudeType]]="Crude",vp.tbl[[#This Row],[Dens]]&gt;900,vp.tbl[[#This Row],[Sulf]]&lt;=0.5,vp.tbl[[#This Row],[Unknown]]=0),1,0)</f>
        <v>0</v>
      </c>
      <c r="AG697" t="str">
        <f>INDEX(vp.tbl[[#Headers],[Unknown]:[Heavy_SW]],MATCH(1,vp.tbl[[#This Row],[Unknown]:[Heavy_SW]],0))</f>
        <v>Medium_LSB</v>
      </c>
      <c r="AH697" t="e">
        <f>INDEX([1]!crudeBD.lkup[Number],MATCH(vp.tbl[[#This Row],[Crude_Breakdown]],[1]!crudeBD.lkup[Crude Breakdown],0))</f>
        <v>#REF!</v>
      </c>
      <c r="AI697">
        <f>MONTH(vp.tbl[[#This Row],[SDate]])</f>
        <v>1</v>
      </c>
      <c r="AJ697" s="5">
        <f>IFERROR(vp.tbl[[#This Row],[Sulf]]*vp.tbl[[#This Row],[Net Dens]],"")</f>
        <v>13650584.723160001</v>
      </c>
      <c r="AK697" s="5">
        <f>IFERROR(vp.tbl[[#This Row],[Dens]]*vp.tbl[[#This Row],[VolumeM3]],"")</f>
        <v>11767745.451000001</v>
      </c>
      <c r="AL697" s="5">
        <f>IFERROR(vp.tbl[[#This Row],[VP]]*vp.tbl[[#This Row],[VolumeM3]],"")</f>
        <v>1191936.9945</v>
      </c>
      <c r="AM697" s="4">
        <f>IFERROR((vp.tbl[[#This Row],[VP]]-INDEX(crudeBD.lkup.complete[Mean_VP],MATCH(vp.tbl[[#This Row],[Crude_Breakdown]],crudeBD.lkup.complete[Crude Breakdown],0)))^2,"")</f>
        <v>22.338904822304521</v>
      </c>
      <c r="AN697" s="4">
        <f>IFERROR((vp.tbl[[#This Row],[Dens]]-INDEX(crudeBD.lkup.complete[Mean_Dens],MATCH(vp.tbl[[#This Row],[Crude_Breakdown]],crudeBD.lkup.complete[Crude Breakdown],0)))^2,"")</f>
        <v>50.293950411137445</v>
      </c>
      <c r="AO697" s="4">
        <f>IFERROR((vp.tbl[[#This Row],[Sulf]]-INDEX(crudeBD.lkup.complete[Mean_Sulf],MATCH(vp.tbl[[#This Row],[Crude_Breakdown]],crudeBD.lkup.complete[Crude Breakdown],0)))^2,"")</f>
        <v>8.6983622767615246E-2</v>
      </c>
      <c r="AP697">
        <f>IF(AND(vp.tbl[[#This Row],[SDate]]&gt;=DATE(YEAR(vp.tbl[[#This Row],[SDate]]),5,1),vp.tbl[[#This Row],[SDate]]&lt;=DATE(YEAR(vp.tbl[[#This Row],[SDate]]),9,15)),1,0)</f>
        <v>0</v>
      </c>
      <c r="AQ697" s="15">
        <f>IF(vp.tbl[[#This Row],[SDate]]&lt;DATE(2016,12,1),0,1)</f>
        <v>1</v>
      </c>
    </row>
    <row r="698" spans="1:43" x14ac:dyDescent="0.25">
      <c r="A698">
        <v>697</v>
      </c>
      <c r="B698" t="s">
        <v>68</v>
      </c>
      <c r="C698" t="s">
        <v>68</v>
      </c>
      <c r="D698" t="s">
        <v>98</v>
      </c>
      <c r="F698" s="1">
        <v>42764</v>
      </c>
      <c r="G698" s="2">
        <v>61</v>
      </c>
      <c r="H698" s="2"/>
      <c r="I698" s="2">
        <v>1.26</v>
      </c>
      <c r="J698" s="2">
        <v>29.2</v>
      </c>
      <c r="K698" s="2">
        <v>1</v>
      </c>
      <c r="L698" s="2">
        <v>854.5</v>
      </c>
      <c r="M698" s="2">
        <v>854.5</v>
      </c>
      <c r="N698" s="2">
        <f ca="1">INDEX(INDIRECT(_xlfn.CONCAT("weather.tbl[",N$1,"]")),MATCH(vp.tbl[[#This Row],[SDate]],weather.tbl[Date],0))</f>
        <v>-2.0500000000000003</v>
      </c>
      <c r="O698" s="2">
        <f ca="1">INDEX(INDIRECT(_xlfn.CONCAT("weather.tbl[",O$1,"]")),MATCH(vp.tbl[[#This Row],[SDate]],weather.tbl[Date],0))</f>
        <v>-6.545238095238096</v>
      </c>
      <c r="P698" s="2">
        <f ca="1">INDEX(INDIRECT(_xlfn.CONCAT("weather.tbl[",P$1,"]")),MATCH(vp.tbl[[#This Row],[SDate]],weather.tbl[Date],0))</f>
        <v>-2</v>
      </c>
      <c r="Q698" s="2">
        <f ca="1">INDEX(INDIRECT(_xlfn.CONCAT("weather.tbl[",Q$1,"]")),MATCH(vp.tbl[[#This Row],[SDate]],weather.tbl[Date],0))</f>
        <v>-0.6</v>
      </c>
      <c r="R698" s="2">
        <f ca="1">INDEX(INDIRECT(_xlfn.CONCAT("weather.tbl[",R$1,"]")),MATCH(vp.tbl[[#This Row],[SDate]],weather.tbl[Date],0))</f>
        <v>-2.2999999999999998</v>
      </c>
      <c r="S698" s="2">
        <f ca="1">INDEX(INDIRECT(_xlfn.CONCAT("weather.tbl[",S$1,"]")),MATCH(vp.tbl[[#This Row],[SDate]],weather.tbl[Date],0))</f>
        <v>0.7</v>
      </c>
      <c r="T698" s="2">
        <f ca="1">INDEX(INDIRECT(_xlfn.CONCAT("weather.tbl[",T$1,"]")),MATCH(vp.tbl[[#This Row],[SDate]],weather.tbl[Date],0))</f>
        <v>-5.8</v>
      </c>
      <c r="U698" s="2">
        <f ca="1">INDEX(INDIRECT(_xlfn.CONCAT("weather.tbl[",U$1,"]")),MATCH(vp.tbl[[#This Row],[SDate]],weather.tbl[Date],0))</f>
        <v>-2.2999999999999998</v>
      </c>
      <c r="V698" s="2">
        <v>5406.71</v>
      </c>
      <c r="W698" t="s">
        <v>48</v>
      </c>
      <c r="X698">
        <f>IF(OR(vp.tbl[[#This Row],[Sulf]]="",vp.tbl[[#This Row],[Dens]]=""),1,0)</f>
        <v>0</v>
      </c>
      <c r="Y698">
        <f>IF(vp.tbl[[#This Row],[CrudeType]]="C5+",1,0)</f>
        <v>0</v>
      </c>
      <c r="Z698">
        <f>IF(AND(vp.tbl[[#This Row],[CrudeType]]="Crude",vp.tbl[[#This Row],[Dens]]&lt;=825,vp.tbl[[#This Row],[Sulf]]&gt;0.5,vp.tbl[[#This Row],[Unknown]]=0),1,0)</f>
        <v>0</v>
      </c>
      <c r="AA698">
        <f>IF(AND(vp.tbl[[#This Row],[CrudeType]]="Crude",vp.tbl[[#This Row],[Dens]]&lt;=825,vp.tbl[[#This Row],[Sulf]]&lt;=0.5,vp.tbl[[#This Row],[Unknown]]=0),1,0)</f>
        <v>0</v>
      </c>
      <c r="AB698">
        <f>IF(AND(vp.tbl[[#This Row],[CrudeType]]="Crude",vp.tbl[[#This Row],[Dens]]&gt;825,vp.tbl[[#This Row],[Dens]]&lt;=870,vp.tbl[[#This Row],[Sulf]]&gt;0.5,vp.tbl[[#This Row],[Unknown]]=0),1,0)</f>
        <v>1</v>
      </c>
      <c r="AC698">
        <f>IF(AND(vp.tbl[[#This Row],[CrudeType]]="Crude",vp.tbl[[#This Row],[Dens]]&gt;825,vp.tbl[[#This Row],[Dens]]&lt;=900,vp.tbl[[#This Row],[Sulf]]&lt;=0.5,vp.tbl[[#This Row],[Unknown]]=0),1,0)</f>
        <v>0</v>
      </c>
      <c r="AD698">
        <f>IF(AND(vp.tbl[[#This Row],[CrudeType]]="Crude",vp.tbl[[#This Row],[Dens]]&gt;870,vp.tbl[[#This Row],[Dens]]&lt;=900,vp.tbl[[#This Row],[Sulf]]&gt;0.5,vp.tbl[[#This Row],[Unknown]]=0),1,0)</f>
        <v>0</v>
      </c>
      <c r="AE698">
        <f>IF(AND(vp.tbl[[#This Row],[CrudeType]]="Crude",vp.tbl[[#This Row],[Dens]]&gt;900,vp.tbl[[#This Row],[Sulf]]&lt;=0.5,vp.tbl[[#This Row],[Unknown]]=0),1,0)</f>
        <v>0</v>
      </c>
      <c r="AF698">
        <f>IF(AND(vp.tbl[[#This Row],[CrudeType]]="Crude",vp.tbl[[#This Row],[Dens]]&gt;900,vp.tbl[[#This Row],[Sulf]]&lt;=0.5,vp.tbl[[#This Row],[Unknown]]=0),1,0)</f>
        <v>0</v>
      </c>
      <c r="AG698" t="str">
        <f>INDEX(vp.tbl[[#Headers],[Unknown]:[Heavy_SW]],MATCH(1,vp.tbl[[#This Row],[Unknown]:[Heavy_SW]],0))</f>
        <v>Medium_LSB</v>
      </c>
      <c r="AH698" t="e">
        <f>INDEX([1]!crudeBD.lkup[Number],MATCH(vp.tbl[[#This Row],[Crude_Breakdown]],[1]!crudeBD.lkup[Crude Breakdown],0))</f>
        <v>#REF!</v>
      </c>
      <c r="AI698">
        <f>MONTH(vp.tbl[[#This Row],[SDate]])</f>
        <v>1</v>
      </c>
      <c r="AJ698" s="5">
        <f>IFERROR(vp.tbl[[#This Row],[Sulf]]*vp.tbl[[#This Row],[Net Dens]],"")</f>
        <v>5821242.4557000007</v>
      </c>
      <c r="AK698" s="5">
        <f>IFERROR(vp.tbl[[#This Row],[Dens]]*vp.tbl[[#This Row],[VolumeM3]],"")</f>
        <v>4620033.6950000003</v>
      </c>
      <c r="AL698" s="5">
        <f>IFERROR(vp.tbl[[#This Row],[VP]]*vp.tbl[[#This Row],[VolumeM3]],"")</f>
        <v>329809.31</v>
      </c>
      <c r="AM698" s="4">
        <f>IFERROR((vp.tbl[[#This Row],[VP]]-INDEX(crudeBD.lkup.complete[Mean_VP],MATCH(vp.tbl[[#This Row],[Crude_Breakdown]],crudeBD.lkup.complete[Crude Breakdown],0)))^2,"")</f>
        <v>367.62674279698626</v>
      </c>
      <c r="AN698" s="4">
        <f>IFERROR((vp.tbl[[#This Row],[Dens]]-INDEX(crudeBD.lkup.complete[Mean_Dens],MATCH(vp.tbl[[#This Row],[Crude_Breakdown]],crudeBD.lkup.complete[Crude Breakdown],0)))^2,"")</f>
        <v>84.79052762636006</v>
      </c>
      <c r="AO698" s="4">
        <f>IFERROR((vp.tbl[[#This Row],[Sulf]]-INDEX(crudeBD.lkup.complete[Mean_Sulf],MATCH(vp.tbl[[#This Row],[Crude_Breakdown]],crudeBD.lkup.complete[Crude Breakdown],0)))^2,"")</f>
        <v>3.7997650615716166E-2</v>
      </c>
      <c r="AP698">
        <f>IF(AND(vp.tbl[[#This Row],[SDate]]&gt;=DATE(YEAR(vp.tbl[[#This Row],[SDate]]),5,1),vp.tbl[[#This Row],[SDate]]&lt;=DATE(YEAR(vp.tbl[[#This Row],[SDate]]),9,15)),1,0)</f>
        <v>0</v>
      </c>
      <c r="AQ698" s="15">
        <f>IF(vp.tbl[[#This Row],[SDate]]&lt;DATE(2016,12,1),0,1)</f>
        <v>1</v>
      </c>
    </row>
    <row r="699" spans="1:43" x14ac:dyDescent="0.25">
      <c r="A699">
        <v>698</v>
      </c>
      <c r="B699" t="s">
        <v>68</v>
      </c>
      <c r="C699" t="s">
        <v>68</v>
      </c>
      <c r="D699" t="s">
        <v>69</v>
      </c>
      <c r="F699" s="1">
        <v>42764</v>
      </c>
      <c r="G699" s="2">
        <v>74.3</v>
      </c>
      <c r="H699" s="2"/>
      <c r="I699" s="2">
        <v>1.78</v>
      </c>
      <c r="J699" s="2">
        <v>15.3</v>
      </c>
      <c r="K699" s="2">
        <v>-6</v>
      </c>
      <c r="L699" s="2">
        <v>862.1</v>
      </c>
      <c r="M699" s="2">
        <v>862.1</v>
      </c>
      <c r="N699" s="2">
        <f ca="1">INDEX(INDIRECT(_xlfn.CONCAT("weather.tbl[",N$1,"]")),MATCH(vp.tbl[[#This Row],[SDate]],weather.tbl[Date],0))</f>
        <v>-2.0500000000000003</v>
      </c>
      <c r="O699" s="2">
        <f ca="1">INDEX(INDIRECT(_xlfn.CONCAT("weather.tbl[",O$1,"]")),MATCH(vp.tbl[[#This Row],[SDate]],weather.tbl[Date],0))</f>
        <v>-6.545238095238096</v>
      </c>
      <c r="P699" s="2">
        <f ca="1">INDEX(INDIRECT(_xlfn.CONCAT("weather.tbl[",P$1,"]")),MATCH(vp.tbl[[#This Row],[SDate]],weather.tbl[Date],0))</f>
        <v>-2</v>
      </c>
      <c r="Q699" s="2">
        <f ca="1">INDEX(INDIRECT(_xlfn.CONCAT("weather.tbl[",Q$1,"]")),MATCH(vp.tbl[[#This Row],[SDate]],weather.tbl[Date],0))</f>
        <v>-0.6</v>
      </c>
      <c r="R699" s="2">
        <f ca="1">INDEX(INDIRECT(_xlfn.CONCAT("weather.tbl[",R$1,"]")),MATCH(vp.tbl[[#This Row],[SDate]],weather.tbl[Date],0))</f>
        <v>-2.2999999999999998</v>
      </c>
      <c r="S699" s="2">
        <f ca="1">INDEX(INDIRECT(_xlfn.CONCAT("weather.tbl[",S$1,"]")),MATCH(vp.tbl[[#This Row],[SDate]],weather.tbl[Date],0))</f>
        <v>0.7</v>
      </c>
      <c r="T699" s="2">
        <f ca="1">INDEX(INDIRECT(_xlfn.CONCAT("weather.tbl[",T$1,"]")),MATCH(vp.tbl[[#This Row],[SDate]],weather.tbl[Date],0))</f>
        <v>-5.8</v>
      </c>
      <c r="U699" s="2">
        <f ca="1">INDEX(INDIRECT(_xlfn.CONCAT("weather.tbl[",U$1,"]")),MATCH(vp.tbl[[#This Row],[SDate]],weather.tbl[Date],0))</f>
        <v>-2.2999999999999998</v>
      </c>
      <c r="V699" s="2">
        <v>1452.5409999999999</v>
      </c>
      <c r="W699" t="s">
        <v>48</v>
      </c>
      <c r="X699">
        <f>IF(OR(vp.tbl[[#This Row],[Sulf]]="",vp.tbl[[#This Row],[Dens]]=""),1,0)</f>
        <v>0</v>
      </c>
      <c r="Y699">
        <f>IF(vp.tbl[[#This Row],[CrudeType]]="C5+",1,0)</f>
        <v>0</v>
      </c>
      <c r="Z699">
        <f>IF(AND(vp.tbl[[#This Row],[CrudeType]]="Crude",vp.tbl[[#This Row],[Dens]]&lt;=825,vp.tbl[[#This Row],[Sulf]]&gt;0.5,vp.tbl[[#This Row],[Unknown]]=0),1,0)</f>
        <v>0</v>
      </c>
      <c r="AA699">
        <f>IF(AND(vp.tbl[[#This Row],[CrudeType]]="Crude",vp.tbl[[#This Row],[Dens]]&lt;=825,vp.tbl[[#This Row],[Sulf]]&lt;=0.5,vp.tbl[[#This Row],[Unknown]]=0),1,0)</f>
        <v>0</v>
      </c>
      <c r="AB699">
        <f>IF(AND(vp.tbl[[#This Row],[CrudeType]]="Crude",vp.tbl[[#This Row],[Dens]]&gt;825,vp.tbl[[#This Row],[Dens]]&lt;=870,vp.tbl[[#This Row],[Sulf]]&gt;0.5,vp.tbl[[#This Row],[Unknown]]=0),1,0)</f>
        <v>1</v>
      </c>
      <c r="AC699">
        <f>IF(AND(vp.tbl[[#This Row],[CrudeType]]="Crude",vp.tbl[[#This Row],[Dens]]&gt;825,vp.tbl[[#This Row],[Dens]]&lt;=900,vp.tbl[[#This Row],[Sulf]]&lt;=0.5,vp.tbl[[#This Row],[Unknown]]=0),1,0)</f>
        <v>0</v>
      </c>
      <c r="AD699">
        <f>IF(AND(vp.tbl[[#This Row],[CrudeType]]="Crude",vp.tbl[[#This Row],[Dens]]&gt;870,vp.tbl[[#This Row],[Dens]]&lt;=900,vp.tbl[[#This Row],[Sulf]]&gt;0.5,vp.tbl[[#This Row],[Unknown]]=0),1,0)</f>
        <v>0</v>
      </c>
      <c r="AE699">
        <f>IF(AND(vp.tbl[[#This Row],[CrudeType]]="Crude",vp.tbl[[#This Row],[Dens]]&gt;900,vp.tbl[[#This Row],[Sulf]]&lt;=0.5,vp.tbl[[#This Row],[Unknown]]=0),1,0)</f>
        <v>0</v>
      </c>
      <c r="AF699">
        <f>IF(AND(vp.tbl[[#This Row],[CrudeType]]="Crude",vp.tbl[[#This Row],[Dens]]&gt;900,vp.tbl[[#This Row],[Sulf]]&lt;=0.5,vp.tbl[[#This Row],[Unknown]]=0),1,0)</f>
        <v>0</v>
      </c>
      <c r="AG699" t="str">
        <f>INDEX(vp.tbl[[#Headers],[Unknown]:[Heavy_SW]],MATCH(1,vp.tbl[[#This Row],[Unknown]:[Heavy_SW]],0))</f>
        <v>Medium_LSB</v>
      </c>
      <c r="AH699" t="e">
        <f>INDEX([1]!crudeBD.lkup[Number],MATCH(vp.tbl[[#This Row],[Crude_Breakdown]],[1]!crudeBD.lkup[Crude Breakdown],0))</f>
        <v>#REF!</v>
      </c>
      <c r="AI699">
        <f>MONTH(vp.tbl[[#This Row],[SDate]])</f>
        <v>1</v>
      </c>
      <c r="AJ699" s="5">
        <f>IFERROR(vp.tbl[[#This Row],[Sulf]]*vp.tbl[[#This Row],[Net Dens]],"")</f>
        <v>2228979.361058</v>
      </c>
      <c r="AK699" s="5">
        <f>IFERROR(vp.tbl[[#This Row],[Dens]]*vp.tbl[[#This Row],[VolumeM3]],"")</f>
        <v>1252235.5961</v>
      </c>
      <c r="AL699" s="5">
        <f>IFERROR(vp.tbl[[#This Row],[VP]]*vp.tbl[[#This Row],[VolumeM3]],"")</f>
        <v>107923.79629999999</v>
      </c>
      <c r="AM699" s="4">
        <f>IFERROR((vp.tbl[[#This Row],[VP]]-INDEX(crudeBD.lkup.complete[Mean_VP],MATCH(vp.tbl[[#This Row],[Crude_Breakdown]],crudeBD.lkup.complete[Crude Breakdown],0)))^2,"")</f>
        <v>34.499117480531567</v>
      </c>
      <c r="AN699" s="4">
        <f>IFERROR((vp.tbl[[#This Row],[Dens]]-INDEX(crudeBD.lkup.complete[Mean_Dens],MATCH(vp.tbl[[#This Row],[Crude_Breakdown]],crudeBD.lkup.complete[Crude Breakdown],0)))^2,"")</f>
        <v>282.51482129726185</v>
      </c>
      <c r="AO699" s="4">
        <f>IFERROR((vp.tbl[[#This Row],[Sulf]]-INDEX(crudeBD.lkup.complete[Mean_Sulf],MATCH(vp.tbl[[#This Row],[Crude_Breakdown]],crudeBD.lkup.complete[Crude Breakdown],0)))^2,"")</f>
        <v>0.10567059542584123</v>
      </c>
      <c r="AP699">
        <f>IF(AND(vp.tbl[[#This Row],[SDate]]&gt;=DATE(YEAR(vp.tbl[[#This Row],[SDate]]),5,1),vp.tbl[[#This Row],[SDate]]&lt;=DATE(YEAR(vp.tbl[[#This Row],[SDate]]),9,15)),1,0)</f>
        <v>0</v>
      </c>
      <c r="AQ699" s="15">
        <f>IF(vp.tbl[[#This Row],[SDate]]&lt;DATE(2016,12,1),0,1)</f>
        <v>1</v>
      </c>
    </row>
    <row r="700" spans="1:43" x14ac:dyDescent="0.25">
      <c r="A700">
        <v>699</v>
      </c>
      <c r="B700" t="s">
        <v>53</v>
      </c>
      <c r="C700" t="s">
        <v>53</v>
      </c>
      <c r="D700" t="s">
        <v>54</v>
      </c>
      <c r="E700" t="s">
        <v>55</v>
      </c>
      <c r="F700" s="1">
        <v>42766</v>
      </c>
      <c r="G700" s="2">
        <v>93.2</v>
      </c>
      <c r="H700" s="2"/>
      <c r="I700" s="2">
        <v>1.54</v>
      </c>
      <c r="J700" s="2">
        <v>8</v>
      </c>
      <c r="K700" s="2">
        <v>-2</v>
      </c>
      <c r="L700" s="2">
        <v>827.3</v>
      </c>
      <c r="M700" s="2">
        <v>827.3</v>
      </c>
      <c r="N700" s="2">
        <f ca="1">INDEX(INDIRECT(_xlfn.CONCAT("weather.tbl[",N$1,"]")),MATCH(vp.tbl[[#This Row],[SDate]],weather.tbl[Date],0))</f>
        <v>-10.783333333333333</v>
      </c>
      <c r="O700" s="2">
        <f ca="1">INDEX(INDIRECT(_xlfn.CONCAT("weather.tbl[",O$1,"]")),MATCH(vp.tbl[[#This Row],[SDate]],weather.tbl[Date],0))</f>
        <v>-5.9547619047619049</v>
      </c>
      <c r="P700" s="2">
        <f ca="1">INDEX(INDIRECT(_xlfn.CONCAT("weather.tbl[",P$1,"]")),MATCH(vp.tbl[[#This Row],[SDate]],weather.tbl[Date],0))</f>
        <v>-10.6</v>
      </c>
      <c r="Q700" s="2">
        <f ca="1">INDEX(INDIRECT(_xlfn.CONCAT("weather.tbl[",Q$1,"]")),MATCH(vp.tbl[[#This Row],[SDate]],weather.tbl[Date],0))</f>
        <v>-11.6</v>
      </c>
      <c r="R700" s="2">
        <f ca="1">INDEX(INDIRECT(_xlfn.CONCAT("weather.tbl[",R$1,"]")),MATCH(vp.tbl[[#This Row],[SDate]],weather.tbl[Date],0))</f>
        <v>-9.3000000000000007</v>
      </c>
      <c r="S700" s="2">
        <f ca="1">INDEX(INDIRECT(_xlfn.CONCAT("weather.tbl[",S$1,"]")),MATCH(vp.tbl[[#This Row],[SDate]],weather.tbl[Date],0))</f>
        <v>-11.2</v>
      </c>
      <c r="T700" s="2">
        <f ca="1">INDEX(INDIRECT(_xlfn.CONCAT("weather.tbl[",T$1,"]")),MATCH(vp.tbl[[#This Row],[SDate]],weather.tbl[Date],0))</f>
        <v>-11</v>
      </c>
      <c r="U700" s="2">
        <f ca="1">INDEX(INDIRECT(_xlfn.CONCAT("weather.tbl[",U$1,"]")),MATCH(vp.tbl[[#This Row],[SDate]],weather.tbl[Date],0))</f>
        <v>-11</v>
      </c>
      <c r="V700" s="2">
        <v>50817.362000000001</v>
      </c>
      <c r="W700" t="s">
        <v>48</v>
      </c>
      <c r="X700">
        <f>IF(OR(vp.tbl[[#This Row],[Sulf]]="",vp.tbl[[#This Row],[Dens]]=""),1,0)</f>
        <v>0</v>
      </c>
      <c r="Y700">
        <f>IF(vp.tbl[[#This Row],[CrudeType]]="C5+",1,0)</f>
        <v>0</v>
      </c>
      <c r="Z700">
        <f>IF(AND(vp.tbl[[#This Row],[CrudeType]]="Crude",vp.tbl[[#This Row],[Dens]]&lt;=825,vp.tbl[[#This Row],[Sulf]]&gt;0.5,vp.tbl[[#This Row],[Unknown]]=0),1,0)</f>
        <v>0</v>
      </c>
      <c r="AA700">
        <f>IF(AND(vp.tbl[[#This Row],[CrudeType]]="Crude",vp.tbl[[#This Row],[Dens]]&lt;=825,vp.tbl[[#This Row],[Sulf]]&lt;=0.5,vp.tbl[[#This Row],[Unknown]]=0),1,0)</f>
        <v>0</v>
      </c>
      <c r="AB700">
        <f>IF(AND(vp.tbl[[#This Row],[CrudeType]]="Crude",vp.tbl[[#This Row],[Dens]]&gt;825,vp.tbl[[#This Row],[Dens]]&lt;=870,vp.tbl[[#This Row],[Sulf]]&gt;0.5,vp.tbl[[#This Row],[Unknown]]=0),1,0)</f>
        <v>1</v>
      </c>
      <c r="AC700">
        <f>IF(AND(vp.tbl[[#This Row],[CrudeType]]="Crude",vp.tbl[[#This Row],[Dens]]&gt;825,vp.tbl[[#This Row],[Dens]]&lt;=900,vp.tbl[[#This Row],[Sulf]]&lt;=0.5,vp.tbl[[#This Row],[Unknown]]=0),1,0)</f>
        <v>0</v>
      </c>
      <c r="AD700">
        <f>IF(AND(vp.tbl[[#This Row],[CrudeType]]="Crude",vp.tbl[[#This Row],[Dens]]&gt;870,vp.tbl[[#This Row],[Dens]]&lt;=900,vp.tbl[[#This Row],[Sulf]]&gt;0.5,vp.tbl[[#This Row],[Unknown]]=0),1,0)</f>
        <v>0</v>
      </c>
      <c r="AE700">
        <f>IF(AND(vp.tbl[[#This Row],[CrudeType]]="Crude",vp.tbl[[#This Row],[Dens]]&gt;900,vp.tbl[[#This Row],[Sulf]]&lt;=0.5,vp.tbl[[#This Row],[Unknown]]=0),1,0)</f>
        <v>0</v>
      </c>
      <c r="AF700">
        <f>IF(AND(vp.tbl[[#This Row],[CrudeType]]="Crude",vp.tbl[[#This Row],[Dens]]&gt;900,vp.tbl[[#This Row],[Sulf]]&lt;=0.5,vp.tbl[[#This Row],[Unknown]]=0),1,0)</f>
        <v>0</v>
      </c>
      <c r="AG700" t="str">
        <f>INDEX(vp.tbl[[#Headers],[Unknown]:[Heavy_SW]],MATCH(1,vp.tbl[[#This Row],[Unknown]:[Heavy_SW]],0))</f>
        <v>Medium_LSB</v>
      </c>
      <c r="AH700" t="e">
        <f>INDEX([1]!crudeBD.lkup[Number],MATCH(vp.tbl[[#This Row],[Crude_Breakdown]],[1]!crudeBD.lkup[Crude Breakdown],0))</f>
        <v>#REF!</v>
      </c>
      <c r="AI700">
        <f>MONTH(vp.tbl[[#This Row],[SDate]])</f>
        <v>1</v>
      </c>
      <c r="AJ700" s="5">
        <f>IFERROR(vp.tbl[[#This Row],[Sulf]]*vp.tbl[[#This Row],[Net Dens]],"")</f>
        <v>64743453.517203994</v>
      </c>
      <c r="AK700" s="5">
        <f>IFERROR(vp.tbl[[#This Row],[Dens]]*vp.tbl[[#This Row],[VolumeM3]],"")</f>
        <v>42041203.582599998</v>
      </c>
      <c r="AL700" s="5">
        <f>IFERROR(vp.tbl[[#This Row],[VP]]*vp.tbl[[#This Row],[VolumeM3]],"")</f>
        <v>4736178.1384000005</v>
      </c>
      <c r="AM700" s="4">
        <f>IFERROR((vp.tbl[[#This Row],[VP]]-INDEX(crudeBD.lkup.complete[Mean_VP],MATCH(vp.tbl[[#This Row],[Crude_Breakdown]],crudeBD.lkup.complete[Crude Breakdown],0)))^2,"")</f>
        <v>169.68722887293808</v>
      </c>
      <c r="AN700" s="4">
        <f>IFERROR((vp.tbl[[#This Row],[Dens]]-INDEX(crudeBD.lkup.complete[Mean_Dens],MATCH(vp.tbl[[#This Row],[Crude_Breakdown]],crudeBD.lkup.complete[Crude Breakdown],0)))^2,"")</f>
        <v>323.70568711997902</v>
      </c>
      <c r="AO700" s="4">
        <f>IFERROR((vp.tbl[[#This Row],[Sulf]]-INDEX(crudeBD.lkup.complete[Mean_Sulf],MATCH(vp.tbl[[#This Row],[Crude_Breakdown]],crudeBD.lkup.complete[Crude Breakdown],0)))^2,"")</f>
        <v>7.2369285903988887E-3</v>
      </c>
      <c r="AP700">
        <f>IF(AND(vp.tbl[[#This Row],[SDate]]&gt;=DATE(YEAR(vp.tbl[[#This Row],[SDate]]),5,1),vp.tbl[[#This Row],[SDate]]&lt;=DATE(YEAR(vp.tbl[[#This Row],[SDate]]),9,15)),1,0)</f>
        <v>0</v>
      </c>
      <c r="AQ700" s="15">
        <f>IF(vp.tbl[[#This Row],[SDate]]&lt;DATE(2016,12,1),0,1)</f>
        <v>1</v>
      </c>
    </row>
    <row r="701" spans="1:43" x14ac:dyDescent="0.25">
      <c r="A701">
        <v>700</v>
      </c>
      <c r="B701" t="s">
        <v>49</v>
      </c>
      <c r="C701" t="s">
        <v>49</v>
      </c>
      <c r="D701" t="s">
        <v>75</v>
      </c>
      <c r="F701" s="1">
        <v>42766</v>
      </c>
      <c r="G701" s="2">
        <v>104.4</v>
      </c>
      <c r="H701" s="2">
        <v>0.19500000000000001</v>
      </c>
      <c r="I701" s="2">
        <v>0.19500000000000001</v>
      </c>
      <c r="J701" s="2">
        <v>1.1000000000000001</v>
      </c>
      <c r="K701" s="2">
        <v>-2</v>
      </c>
      <c r="L701" s="2">
        <v>799.5</v>
      </c>
      <c r="M701" s="2">
        <v>799.5</v>
      </c>
      <c r="N701" s="2">
        <f ca="1">INDEX(INDIRECT(_xlfn.CONCAT("weather.tbl[",N$1,"]")),MATCH(vp.tbl[[#This Row],[SDate]],weather.tbl[Date],0))</f>
        <v>-10.783333333333333</v>
      </c>
      <c r="O701" s="2">
        <f ca="1">INDEX(INDIRECT(_xlfn.CONCAT("weather.tbl[",O$1,"]")),MATCH(vp.tbl[[#This Row],[SDate]],weather.tbl[Date],0))</f>
        <v>-5.9547619047619049</v>
      </c>
      <c r="P701" s="2">
        <f ca="1">INDEX(INDIRECT(_xlfn.CONCAT("weather.tbl[",P$1,"]")),MATCH(vp.tbl[[#This Row],[SDate]],weather.tbl[Date],0))</f>
        <v>-10.6</v>
      </c>
      <c r="Q701" s="2">
        <f ca="1">INDEX(INDIRECT(_xlfn.CONCAT("weather.tbl[",Q$1,"]")),MATCH(vp.tbl[[#This Row],[SDate]],weather.tbl[Date],0))</f>
        <v>-11.6</v>
      </c>
      <c r="R701" s="2">
        <f ca="1">INDEX(INDIRECT(_xlfn.CONCAT("weather.tbl[",R$1,"]")),MATCH(vp.tbl[[#This Row],[SDate]],weather.tbl[Date],0))</f>
        <v>-9.3000000000000007</v>
      </c>
      <c r="S701" s="2">
        <f ca="1">INDEX(INDIRECT(_xlfn.CONCAT("weather.tbl[",S$1,"]")),MATCH(vp.tbl[[#This Row],[SDate]],weather.tbl[Date],0))</f>
        <v>-11.2</v>
      </c>
      <c r="T701" s="2">
        <f ca="1">INDEX(INDIRECT(_xlfn.CONCAT("weather.tbl[",T$1,"]")),MATCH(vp.tbl[[#This Row],[SDate]],weather.tbl[Date],0))</f>
        <v>-11</v>
      </c>
      <c r="U701" s="2">
        <f ca="1">INDEX(INDIRECT(_xlfn.CONCAT("weather.tbl[",U$1,"]")),MATCH(vp.tbl[[#This Row],[SDate]],weather.tbl[Date],0))</f>
        <v>-11</v>
      </c>
      <c r="V701" s="2">
        <v>12738.714</v>
      </c>
      <c r="W701" t="s">
        <v>48</v>
      </c>
      <c r="X701">
        <f>IF(OR(vp.tbl[[#This Row],[Sulf]]="",vp.tbl[[#This Row],[Dens]]=""),1,0)</f>
        <v>0</v>
      </c>
      <c r="Y701">
        <f>IF(vp.tbl[[#This Row],[CrudeType]]="C5+",1,0)</f>
        <v>0</v>
      </c>
      <c r="Z701">
        <f>IF(AND(vp.tbl[[#This Row],[CrudeType]]="Crude",vp.tbl[[#This Row],[Dens]]&lt;=825,vp.tbl[[#This Row],[Sulf]]&gt;0.5,vp.tbl[[#This Row],[Unknown]]=0),1,0)</f>
        <v>0</v>
      </c>
      <c r="AA701">
        <f>IF(AND(vp.tbl[[#This Row],[CrudeType]]="Crude",vp.tbl[[#This Row],[Dens]]&lt;=825,vp.tbl[[#This Row],[Sulf]]&lt;=0.5,vp.tbl[[#This Row],[Unknown]]=0),1,0)</f>
        <v>1</v>
      </c>
      <c r="AB701">
        <f>IF(AND(vp.tbl[[#This Row],[CrudeType]]="Crude",vp.tbl[[#This Row],[Dens]]&gt;825,vp.tbl[[#This Row],[Dens]]&lt;=870,vp.tbl[[#This Row],[Sulf]]&gt;0.5,vp.tbl[[#This Row],[Unknown]]=0),1,0)</f>
        <v>0</v>
      </c>
      <c r="AC701">
        <f>IF(AND(vp.tbl[[#This Row],[CrudeType]]="Crude",vp.tbl[[#This Row],[Dens]]&gt;825,vp.tbl[[#This Row],[Dens]]&lt;=900,vp.tbl[[#This Row],[Sulf]]&lt;=0.5,vp.tbl[[#This Row],[Unknown]]=0),1,0)</f>
        <v>0</v>
      </c>
      <c r="AD701">
        <f>IF(AND(vp.tbl[[#This Row],[CrudeType]]="Crude",vp.tbl[[#This Row],[Dens]]&gt;870,vp.tbl[[#This Row],[Dens]]&lt;=900,vp.tbl[[#This Row],[Sulf]]&gt;0.5,vp.tbl[[#This Row],[Unknown]]=0),1,0)</f>
        <v>0</v>
      </c>
      <c r="AE701">
        <f>IF(AND(vp.tbl[[#This Row],[CrudeType]]="Crude",vp.tbl[[#This Row],[Dens]]&gt;900,vp.tbl[[#This Row],[Sulf]]&lt;=0.5,vp.tbl[[#This Row],[Unknown]]=0),1,0)</f>
        <v>0</v>
      </c>
      <c r="AF701">
        <f>IF(AND(vp.tbl[[#This Row],[CrudeType]]="Crude",vp.tbl[[#This Row],[Dens]]&gt;900,vp.tbl[[#This Row],[Sulf]]&lt;=0.5,vp.tbl[[#This Row],[Unknown]]=0),1,0)</f>
        <v>0</v>
      </c>
      <c r="AG701" t="str">
        <f>INDEX(vp.tbl[[#Headers],[Unknown]:[Heavy_SW]],MATCH(1,vp.tbl[[#This Row],[Unknown]:[Heavy_SW]],0))</f>
        <v>Light_SW</v>
      </c>
      <c r="AH701" t="e">
        <f>INDEX([1]!crudeBD.lkup[Number],MATCH(vp.tbl[[#This Row],[Crude_Breakdown]],[1]!crudeBD.lkup[Crude Breakdown],0))</f>
        <v>#REF!</v>
      </c>
      <c r="AI701">
        <f>MONTH(vp.tbl[[#This Row],[SDate]])</f>
        <v>1</v>
      </c>
      <c r="AJ701" s="5">
        <f>IFERROR(vp.tbl[[#This Row],[Sulf]]*vp.tbl[[#This Row],[Net Dens]],"")</f>
        <v>1985997.3593850001</v>
      </c>
      <c r="AK701" s="5">
        <f>IFERROR(vp.tbl[[#This Row],[Dens]]*vp.tbl[[#This Row],[VolumeM3]],"")</f>
        <v>10184601.843</v>
      </c>
      <c r="AL701" s="5">
        <f>IFERROR(vp.tbl[[#This Row],[VP]]*vp.tbl[[#This Row],[VolumeM3]],"")</f>
        <v>1329921.7416000001</v>
      </c>
      <c r="AM701" s="4">
        <f>IFERROR((vp.tbl[[#This Row],[VP]]-INDEX(crudeBD.lkup.complete[Mean_VP],MATCH(vp.tbl[[#This Row],[Crude_Breakdown]],crudeBD.lkup.complete[Crude Breakdown],0)))^2,"")</f>
        <v>140.41506804258967</v>
      </c>
      <c r="AN701" s="4">
        <f>IFERROR((vp.tbl[[#This Row],[Dens]]-INDEX(crudeBD.lkup.complete[Mean_Dens],MATCH(vp.tbl[[#This Row],[Crude_Breakdown]],crudeBD.lkup.complete[Crude Breakdown],0)))^2,"")</f>
        <v>77.642501547908594</v>
      </c>
      <c r="AO701" s="4">
        <f>IFERROR((vp.tbl[[#This Row],[Sulf]]-INDEX(crudeBD.lkup.complete[Mean_Sulf],MATCH(vp.tbl[[#This Row],[Crude_Breakdown]],crudeBD.lkup.complete[Crude Breakdown],0)))^2,"")</f>
        <v>1.7008870443977577E-3</v>
      </c>
      <c r="AP701">
        <f>IF(AND(vp.tbl[[#This Row],[SDate]]&gt;=DATE(YEAR(vp.tbl[[#This Row],[SDate]]),5,1),vp.tbl[[#This Row],[SDate]]&lt;=DATE(YEAR(vp.tbl[[#This Row],[SDate]]),9,15)),1,0)</f>
        <v>0</v>
      </c>
      <c r="AQ701" s="15">
        <f>IF(vp.tbl[[#This Row],[SDate]]&lt;DATE(2016,12,1),0,1)</f>
        <v>1</v>
      </c>
    </row>
    <row r="702" spans="1:43" x14ac:dyDescent="0.25">
      <c r="A702">
        <v>701</v>
      </c>
      <c r="B702" t="s">
        <v>49</v>
      </c>
      <c r="C702" t="s">
        <v>49</v>
      </c>
      <c r="D702" t="s">
        <v>100</v>
      </c>
      <c r="F702" s="1">
        <v>42766</v>
      </c>
      <c r="G702" s="2">
        <v>91.8</v>
      </c>
      <c r="H702" s="2">
        <v>0.61</v>
      </c>
      <c r="I702" s="2">
        <v>0.61</v>
      </c>
      <c r="J702" s="2">
        <v>10.9</v>
      </c>
      <c r="K702" s="2">
        <v>-2</v>
      </c>
      <c r="L702" s="2">
        <v>821.1</v>
      </c>
      <c r="M702" s="2">
        <v>821.1</v>
      </c>
      <c r="N702" s="2">
        <f ca="1">INDEX(INDIRECT(_xlfn.CONCAT("weather.tbl[",N$1,"]")),MATCH(vp.tbl[[#This Row],[SDate]],weather.tbl[Date],0))</f>
        <v>-10.783333333333333</v>
      </c>
      <c r="O702" s="2">
        <f ca="1">INDEX(INDIRECT(_xlfn.CONCAT("weather.tbl[",O$1,"]")),MATCH(vp.tbl[[#This Row],[SDate]],weather.tbl[Date],0))</f>
        <v>-5.9547619047619049</v>
      </c>
      <c r="P702" s="2">
        <f ca="1">INDEX(INDIRECT(_xlfn.CONCAT("weather.tbl[",P$1,"]")),MATCH(vp.tbl[[#This Row],[SDate]],weather.tbl[Date],0))</f>
        <v>-10.6</v>
      </c>
      <c r="Q702" s="2">
        <f ca="1">INDEX(INDIRECT(_xlfn.CONCAT("weather.tbl[",Q$1,"]")),MATCH(vp.tbl[[#This Row],[SDate]],weather.tbl[Date],0))</f>
        <v>-11.6</v>
      </c>
      <c r="R702" s="2">
        <f ca="1">INDEX(INDIRECT(_xlfn.CONCAT("weather.tbl[",R$1,"]")),MATCH(vp.tbl[[#This Row],[SDate]],weather.tbl[Date],0))</f>
        <v>-9.3000000000000007</v>
      </c>
      <c r="S702" s="2">
        <f ca="1">INDEX(INDIRECT(_xlfn.CONCAT("weather.tbl[",S$1,"]")),MATCH(vp.tbl[[#This Row],[SDate]],weather.tbl[Date],0))</f>
        <v>-11.2</v>
      </c>
      <c r="T702" s="2">
        <f ca="1">INDEX(INDIRECT(_xlfn.CONCAT("weather.tbl[",T$1,"]")),MATCH(vp.tbl[[#This Row],[SDate]],weather.tbl[Date],0))</f>
        <v>-11</v>
      </c>
      <c r="U702" s="2">
        <f ca="1">INDEX(INDIRECT(_xlfn.CONCAT("weather.tbl[",U$1,"]")),MATCH(vp.tbl[[#This Row],[SDate]],weather.tbl[Date],0))</f>
        <v>-11</v>
      </c>
      <c r="V702" s="2">
        <v>11216.892</v>
      </c>
      <c r="W702" t="s">
        <v>48</v>
      </c>
      <c r="X702">
        <f>IF(OR(vp.tbl[[#This Row],[Sulf]]="",vp.tbl[[#This Row],[Dens]]=""),1,0)</f>
        <v>0</v>
      </c>
      <c r="Y702">
        <f>IF(vp.tbl[[#This Row],[CrudeType]]="C5+",1,0)</f>
        <v>0</v>
      </c>
      <c r="Z702">
        <f>IF(AND(vp.tbl[[#This Row],[CrudeType]]="Crude",vp.tbl[[#This Row],[Dens]]&lt;=825,vp.tbl[[#This Row],[Sulf]]&gt;0.5,vp.tbl[[#This Row],[Unknown]]=0),1,0)</f>
        <v>1</v>
      </c>
      <c r="AA702">
        <f>IF(AND(vp.tbl[[#This Row],[CrudeType]]="Crude",vp.tbl[[#This Row],[Dens]]&lt;=825,vp.tbl[[#This Row],[Sulf]]&lt;=0.5,vp.tbl[[#This Row],[Unknown]]=0),1,0)</f>
        <v>0</v>
      </c>
      <c r="AB702">
        <f>IF(AND(vp.tbl[[#This Row],[CrudeType]]="Crude",vp.tbl[[#This Row],[Dens]]&gt;825,vp.tbl[[#This Row],[Dens]]&lt;=870,vp.tbl[[#This Row],[Sulf]]&gt;0.5,vp.tbl[[#This Row],[Unknown]]=0),1,0)</f>
        <v>0</v>
      </c>
      <c r="AC702">
        <f>IF(AND(vp.tbl[[#This Row],[CrudeType]]="Crude",vp.tbl[[#This Row],[Dens]]&gt;825,vp.tbl[[#This Row],[Dens]]&lt;=900,vp.tbl[[#This Row],[Sulf]]&lt;=0.5,vp.tbl[[#This Row],[Unknown]]=0),1,0)</f>
        <v>0</v>
      </c>
      <c r="AD702">
        <f>IF(AND(vp.tbl[[#This Row],[CrudeType]]="Crude",vp.tbl[[#This Row],[Dens]]&gt;870,vp.tbl[[#This Row],[Dens]]&lt;=900,vp.tbl[[#This Row],[Sulf]]&gt;0.5,vp.tbl[[#This Row],[Unknown]]=0),1,0)</f>
        <v>0</v>
      </c>
      <c r="AE702">
        <f>IF(AND(vp.tbl[[#This Row],[CrudeType]]="Crude",vp.tbl[[#This Row],[Dens]]&gt;900,vp.tbl[[#This Row],[Sulf]]&lt;=0.5,vp.tbl[[#This Row],[Unknown]]=0),1,0)</f>
        <v>0</v>
      </c>
      <c r="AF702">
        <f>IF(AND(vp.tbl[[#This Row],[CrudeType]]="Crude",vp.tbl[[#This Row],[Dens]]&gt;900,vp.tbl[[#This Row],[Sulf]]&lt;=0.5,vp.tbl[[#This Row],[Unknown]]=0),1,0)</f>
        <v>0</v>
      </c>
      <c r="AG702" t="str">
        <f>INDEX(vp.tbl[[#Headers],[Unknown]:[Heavy_SW]],MATCH(1,vp.tbl[[#This Row],[Unknown]:[Heavy_SW]],0))</f>
        <v>Light_LSB</v>
      </c>
      <c r="AH702" t="e">
        <f>INDEX([1]!crudeBD.lkup[Number],MATCH(vp.tbl[[#This Row],[Crude_Breakdown]],[1]!crudeBD.lkup[Crude Breakdown],0))</f>
        <v>#REF!</v>
      </c>
      <c r="AI702">
        <f>MONTH(vp.tbl[[#This Row],[SDate]])</f>
        <v>1</v>
      </c>
      <c r="AJ702" s="5">
        <f>IFERROR(vp.tbl[[#This Row],[Sulf]]*vp.tbl[[#This Row],[Net Dens]],"")</f>
        <v>5618215.9129319992</v>
      </c>
      <c r="AK702" s="5">
        <f>IFERROR(vp.tbl[[#This Row],[Dens]]*vp.tbl[[#This Row],[VolumeM3]],"")</f>
        <v>9210190.0211999994</v>
      </c>
      <c r="AL702" s="5">
        <f>IFERROR(vp.tbl[[#This Row],[VP]]*vp.tbl[[#This Row],[VolumeM3]],"")</f>
        <v>1029710.6856</v>
      </c>
      <c r="AM702" s="4">
        <f>IFERROR((vp.tbl[[#This Row],[VP]]-INDEX(crudeBD.lkup.complete[Mean_VP],MATCH(vp.tbl[[#This Row],[Crude_Breakdown]],crudeBD.lkup.complete[Crude Breakdown],0)))^2,"")</f>
        <v>6.4421766393860977E-2</v>
      </c>
      <c r="AN702" s="4">
        <f>IFERROR((vp.tbl[[#This Row],[Dens]]-INDEX(crudeBD.lkup.complete[Mean_Dens],MATCH(vp.tbl[[#This Row],[Crude_Breakdown]],crudeBD.lkup.complete[Crude Breakdown],0)))^2,"")</f>
        <v>6.6730784756928632</v>
      </c>
      <c r="AO702" s="4">
        <f>IFERROR((vp.tbl[[#This Row],[Sulf]]-INDEX(crudeBD.lkup.complete[Mean_Sulf],MATCH(vp.tbl[[#This Row],[Crude_Breakdown]],crudeBD.lkup.complete[Crude Breakdown],0)))^2,"")</f>
        <v>9.7950952240196593E-2</v>
      </c>
      <c r="AP702">
        <f>IF(AND(vp.tbl[[#This Row],[SDate]]&gt;=DATE(YEAR(vp.tbl[[#This Row],[SDate]]),5,1),vp.tbl[[#This Row],[SDate]]&lt;=DATE(YEAR(vp.tbl[[#This Row],[SDate]]),9,15)),1,0)</f>
        <v>0</v>
      </c>
      <c r="AQ702" s="15">
        <f>IF(vp.tbl[[#This Row],[SDate]]&lt;DATE(2016,12,1),0,1)</f>
        <v>1</v>
      </c>
    </row>
    <row r="703" spans="1:43" x14ac:dyDescent="0.25">
      <c r="A703">
        <v>702</v>
      </c>
      <c r="B703" t="s">
        <v>49</v>
      </c>
      <c r="C703" t="s">
        <v>49</v>
      </c>
      <c r="D703" t="s">
        <v>80</v>
      </c>
      <c r="F703" s="1">
        <v>42766</v>
      </c>
      <c r="G703" s="2">
        <v>86.7</v>
      </c>
      <c r="H703" s="2">
        <v>0.626</v>
      </c>
      <c r="I703" s="2">
        <v>0.626</v>
      </c>
      <c r="J703" s="2">
        <v>11.2</v>
      </c>
      <c r="K703" s="2">
        <v>-2</v>
      </c>
      <c r="L703" s="2">
        <v>823.2</v>
      </c>
      <c r="M703" s="2">
        <v>823.2</v>
      </c>
      <c r="N703" s="2">
        <f ca="1">INDEX(INDIRECT(_xlfn.CONCAT("weather.tbl[",N$1,"]")),MATCH(vp.tbl[[#This Row],[SDate]],weather.tbl[Date],0))</f>
        <v>-10.783333333333333</v>
      </c>
      <c r="O703" s="2">
        <f ca="1">INDEX(INDIRECT(_xlfn.CONCAT("weather.tbl[",O$1,"]")),MATCH(vp.tbl[[#This Row],[SDate]],weather.tbl[Date],0))</f>
        <v>-5.9547619047619049</v>
      </c>
      <c r="P703" s="2">
        <f ca="1">INDEX(INDIRECT(_xlfn.CONCAT("weather.tbl[",P$1,"]")),MATCH(vp.tbl[[#This Row],[SDate]],weather.tbl[Date],0))</f>
        <v>-10.6</v>
      </c>
      <c r="Q703" s="2">
        <f ca="1">INDEX(INDIRECT(_xlfn.CONCAT("weather.tbl[",Q$1,"]")),MATCH(vp.tbl[[#This Row],[SDate]],weather.tbl[Date],0))</f>
        <v>-11.6</v>
      </c>
      <c r="R703" s="2">
        <f ca="1">INDEX(INDIRECT(_xlfn.CONCAT("weather.tbl[",R$1,"]")),MATCH(vp.tbl[[#This Row],[SDate]],weather.tbl[Date],0))</f>
        <v>-9.3000000000000007</v>
      </c>
      <c r="S703" s="2">
        <f ca="1">INDEX(INDIRECT(_xlfn.CONCAT("weather.tbl[",S$1,"]")),MATCH(vp.tbl[[#This Row],[SDate]],weather.tbl[Date],0))</f>
        <v>-11.2</v>
      </c>
      <c r="T703" s="2">
        <f ca="1">INDEX(INDIRECT(_xlfn.CONCAT("weather.tbl[",T$1,"]")),MATCH(vp.tbl[[#This Row],[SDate]],weather.tbl[Date],0))</f>
        <v>-11</v>
      </c>
      <c r="U703" s="2">
        <f ca="1">INDEX(INDIRECT(_xlfn.CONCAT("weather.tbl[",U$1,"]")),MATCH(vp.tbl[[#This Row],[SDate]],weather.tbl[Date],0))</f>
        <v>-11</v>
      </c>
      <c r="V703" s="2">
        <v>21030.911</v>
      </c>
      <c r="W703" t="s">
        <v>48</v>
      </c>
      <c r="X703">
        <f>IF(OR(vp.tbl[[#This Row],[Sulf]]="",vp.tbl[[#This Row],[Dens]]=""),1,0)</f>
        <v>0</v>
      </c>
      <c r="Y703">
        <f>IF(vp.tbl[[#This Row],[CrudeType]]="C5+",1,0)</f>
        <v>0</v>
      </c>
      <c r="Z703">
        <f>IF(AND(vp.tbl[[#This Row],[CrudeType]]="Crude",vp.tbl[[#This Row],[Dens]]&lt;=825,vp.tbl[[#This Row],[Sulf]]&gt;0.5,vp.tbl[[#This Row],[Unknown]]=0),1,0)</f>
        <v>1</v>
      </c>
      <c r="AA703">
        <f>IF(AND(vp.tbl[[#This Row],[CrudeType]]="Crude",vp.tbl[[#This Row],[Dens]]&lt;=825,vp.tbl[[#This Row],[Sulf]]&lt;=0.5,vp.tbl[[#This Row],[Unknown]]=0),1,0)</f>
        <v>0</v>
      </c>
      <c r="AB703">
        <f>IF(AND(vp.tbl[[#This Row],[CrudeType]]="Crude",vp.tbl[[#This Row],[Dens]]&gt;825,vp.tbl[[#This Row],[Dens]]&lt;=870,vp.tbl[[#This Row],[Sulf]]&gt;0.5,vp.tbl[[#This Row],[Unknown]]=0),1,0)</f>
        <v>0</v>
      </c>
      <c r="AC703">
        <f>IF(AND(vp.tbl[[#This Row],[CrudeType]]="Crude",vp.tbl[[#This Row],[Dens]]&gt;825,vp.tbl[[#This Row],[Dens]]&lt;=900,vp.tbl[[#This Row],[Sulf]]&lt;=0.5,vp.tbl[[#This Row],[Unknown]]=0),1,0)</f>
        <v>0</v>
      </c>
      <c r="AD703">
        <f>IF(AND(vp.tbl[[#This Row],[CrudeType]]="Crude",vp.tbl[[#This Row],[Dens]]&gt;870,vp.tbl[[#This Row],[Dens]]&lt;=900,vp.tbl[[#This Row],[Sulf]]&gt;0.5,vp.tbl[[#This Row],[Unknown]]=0),1,0)</f>
        <v>0</v>
      </c>
      <c r="AE703">
        <f>IF(AND(vp.tbl[[#This Row],[CrudeType]]="Crude",vp.tbl[[#This Row],[Dens]]&gt;900,vp.tbl[[#This Row],[Sulf]]&lt;=0.5,vp.tbl[[#This Row],[Unknown]]=0),1,0)</f>
        <v>0</v>
      </c>
      <c r="AF703">
        <f>IF(AND(vp.tbl[[#This Row],[CrudeType]]="Crude",vp.tbl[[#This Row],[Dens]]&gt;900,vp.tbl[[#This Row],[Sulf]]&lt;=0.5,vp.tbl[[#This Row],[Unknown]]=0),1,0)</f>
        <v>0</v>
      </c>
      <c r="AG703" t="str">
        <f>INDEX(vp.tbl[[#Headers],[Unknown]:[Heavy_SW]],MATCH(1,vp.tbl[[#This Row],[Unknown]:[Heavy_SW]],0))</f>
        <v>Light_LSB</v>
      </c>
      <c r="AH703" t="e">
        <f>INDEX([1]!crudeBD.lkup[Number],MATCH(vp.tbl[[#This Row],[Crude_Breakdown]],[1]!crudeBD.lkup[Crude Breakdown],0))</f>
        <v>#REF!</v>
      </c>
      <c r="AI703">
        <f>MONTH(vp.tbl[[#This Row],[SDate]])</f>
        <v>1</v>
      </c>
      <c r="AJ703" s="5">
        <f>IFERROR(vp.tbl[[#This Row],[Sulf]]*vp.tbl[[#This Row],[Net Dens]],"")</f>
        <v>10837716.355435202</v>
      </c>
      <c r="AK703" s="5">
        <f>IFERROR(vp.tbl[[#This Row],[Dens]]*vp.tbl[[#This Row],[VolumeM3]],"")</f>
        <v>17312645.935200002</v>
      </c>
      <c r="AL703" s="5">
        <f>IFERROR(vp.tbl[[#This Row],[VP]]*vp.tbl[[#This Row],[VolumeM3]],"")</f>
        <v>1823379.9837</v>
      </c>
      <c r="AM703" s="4">
        <f>IFERROR((vp.tbl[[#This Row],[VP]]-INDEX(crudeBD.lkup.complete[Mean_VP],MATCH(vp.tbl[[#This Row],[Crude_Breakdown]],crudeBD.lkup.complete[Crude Breakdown],0)))^2,"")</f>
        <v>23.485514549899307</v>
      </c>
      <c r="AN703" s="4">
        <f>IFERROR((vp.tbl[[#This Row],[Dens]]-INDEX(crudeBD.lkup.complete[Mean_Dens],MATCH(vp.tbl[[#This Row],[Crude_Breakdown]],crudeBD.lkup.complete[Crude Breakdown],0)))^2,"")</f>
        <v>21.932645486003771</v>
      </c>
      <c r="AO703" s="4">
        <f>IFERROR((vp.tbl[[#This Row],[Sulf]]-INDEX(crudeBD.lkup.complete[Mean_Sulf],MATCH(vp.tbl[[#This Row],[Crude_Breakdown]],crudeBD.lkup.complete[Crude Breakdown],0)))^2,"")</f>
        <v>8.8191874851880431E-2</v>
      </c>
      <c r="AP703">
        <f>IF(AND(vp.tbl[[#This Row],[SDate]]&gt;=DATE(YEAR(vp.tbl[[#This Row],[SDate]]),5,1),vp.tbl[[#This Row],[SDate]]&lt;=DATE(YEAR(vp.tbl[[#This Row],[SDate]]),9,15)),1,0)</f>
        <v>0</v>
      </c>
      <c r="AQ703" s="15">
        <f>IF(vp.tbl[[#This Row],[SDate]]&lt;DATE(2016,12,1),0,1)</f>
        <v>1</v>
      </c>
    </row>
    <row r="704" spans="1:43" x14ac:dyDescent="0.25">
      <c r="A704">
        <v>703</v>
      </c>
      <c r="B704" t="s">
        <v>49</v>
      </c>
      <c r="C704" t="s">
        <v>49</v>
      </c>
      <c r="D704" t="s">
        <v>89</v>
      </c>
      <c r="F704" s="1">
        <v>42766</v>
      </c>
      <c r="G704" s="2">
        <v>106.6</v>
      </c>
      <c r="H704" s="2">
        <v>0.67800000000000005</v>
      </c>
      <c r="I704" s="2">
        <v>0.67800000000000005</v>
      </c>
      <c r="J704" s="2">
        <v>3.1</v>
      </c>
      <c r="K704" s="2">
        <v>-2</v>
      </c>
      <c r="L704" s="2">
        <v>818.2</v>
      </c>
      <c r="M704" s="2">
        <v>818.2</v>
      </c>
      <c r="N704" s="2">
        <f ca="1">INDEX(INDIRECT(_xlfn.CONCAT("weather.tbl[",N$1,"]")),MATCH(vp.tbl[[#This Row],[SDate]],weather.tbl[Date],0))</f>
        <v>-10.783333333333333</v>
      </c>
      <c r="O704" s="2">
        <f ca="1">INDEX(INDIRECT(_xlfn.CONCAT("weather.tbl[",O$1,"]")),MATCH(vp.tbl[[#This Row],[SDate]],weather.tbl[Date],0))</f>
        <v>-5.9547619047619049</v>
      </c>
      <c r="P704" s="2">
        <f ca="1">INDEX(INDIRECT(_xlfn.CONCAT("weather.tbl[",P$1,"]")),MATCH(vp.tbl[[#This Row],[SDate]],weather.tbl[Date],0))</f>
        <v>-10.6</v>
      </c>
      <c r="Q704" s="2">
        <f ca="1">INDEX(INDIRECT(_xlfn.CONCAT("weather.tbl[",Q$1,"]")),MATCH(vp.tbl[[#This Row],[SDate]],weather.tbl[Date],0))</f>
        <v>-11.6</v>
      </c>
      <c r="R704" s="2">
        <f ca="1">INDEX(INDIRECT(_xlfn.CONCAT("weather.tbl[",R$1,"]")),MATCH(vp.tbl[[#This Row],[SDate]],weather.tbl[Date],0))</f>
        <v>-9.3000000000000007</v>
      </c>
      <c r="S704" s="2">
        <f ca="1">INDEX(INDIRECT(_xlfn.CONCAT("weather.tbl[",S$1,"]")),MATCH(vp.tbl[[#This Row],[SDate]],weather.tbl[Date],0))</f>
        <v>-11.2</v>
      </c>
      <c r="T704" s="2">
        <f ca="1">INDEX(INDIRECT(_xlfn.CONCAT("weather.tbl[",T$1,"]")),MATCH(vp.tbl[[#This Row],[SDate]],weather.tbl[Date],0))</f>
        <v>-11</v>
      </c>
      <c r="U704" s="2">
        <f ca="1">INDEX(INDIRECT(_xlfn.CONCAT("weather.tbl[",U$1,"]")),MATCH(vp.tbl[[#This Row],[SDate]],weather.tbl[Date],0))</f>
        <v>-11</v>
      </c>
      <c r="V704" s="2">
        <v>6179.5609999999997</v>
      </c>
      <c r="W704" t="s">
        <v>48</v>
      </c>
      <c r="X704">
        <f>IF(OR(vp.tbl[[#This Row],[Sulf]]="",vp.tbl[[#This Row],[Dens]]=""),1,0)</f>
        <v>0</v>
      </c>
      <c r="Y704">
        <f>IF(vp.tbl[[#This Row],[CrudeType]]="C5+",1,0)</f>
        <v>0</v>
      </c>
      <c r="Z704">
        <f>IF(AND(vp.tbl[[#This Row],[CrudeType]]="Crude",vp.tbl[[#This Row],[Dens]]&lt;=825,vp.tbl[[#This Row],[Sulf]]&gt;0.5,vp.tbl[[#This Row],[Unknown]]=0),1,0)</f>
        <v>1</v>
      </c>
      <c r="AA704">
        <f>IF(AND(vp.tbl[[#This Row],[CrudeType]]="Crude",vp.tbl[[#This Row],[Dens]]&lt;=825,vp.tbl[[#This Row],[Sulf]]&lt;=0.5,vp.tbl[[#This Row],[Unknown]]=0),1,0)</f>
        <v>0</v>
      </c>
      <c r="AB704">
        <f>IF(AND(vp.tbl[[#This Row],[CrudeType]]="Crude",vp.tbl[[#This Row],[Dens]]&gt;825,vp.tbl[[#This Row],[Dens]]&lt;=870,vp.tbl[[#This Row],[Sulf]]&gt;0.5,vp.tbl[[#This Row],[Unknown]]=0),1,0)</f>
        <v>0</v>
      </c>
      <c r="AC704">
        <f>IF(AND(vp.tbl[[#This Row],[CrudeType]]="Crude",vp.tbl[[#This Row],[Dens]]&gt;825,vp.tbl[[#This Row],[Dens]]&lt;=900,vp.tbl[[#This Row],[Sulf]]&lt;=0.5,vp.tbl[[#This Row],[Unknown]]=0),1,0)</f>
        <v>0</v>
      </c>
      <c r="AD704">
        <f>IF(AND(vp.tbl[[#This Row],[CrudeType]]="Crude",vp.tbl[[#This Row],[Dens]]&gt;870,vp.tbl[[#This Row],[Dens]]&lt;=900,vp.tbl[[#This Row],[Sulf]]&gt;0.5,vp.tbl[[#This Row],[Unknown]]=0),1,0)</f>
        <v>0</v>
      </c>
      <c r="AE704">
        <f>IF(AND(vp.tbl[[#This Row],[CrudeType]]="Crude",vp.tbl[[#This Row],[Dens]]&gt;900,vp.tbl[[#This Row],[Sulf]]&lt;=0.5,vp.tbl[[#This Row],[Unknown]]=0),1,0)</f>
        <v>0</v>
      </c>
      <c r="AF704">
        <f>IF(AND(vp.tbl[[#This Row],[CrudeType]]="Crude",vp.tbl[[#This Row],[Dens]]&gt;900,vp.tbl[[#This Row],[Sulf]]&lt;=0.5,vp.tbl[[#This Row],[Unknown]]=0),1,0)</f>
        <v>0</v>
      </c>
      <c r="AG704" t="str">
        <f>INDEX(vp.tbl[[#Headers],[Unknown]:[Heavy_SW]],MATCH(1,vp.tbl[[#This Row],[Unknown]:[Heavy_SW]],0))</f>
        <v>Light_LSB</v>
      </c>
      <c r="AH704" t="e">
        <f>INDEX([1]!crudeBD.lkup[Number],MATCH(vp.tbl[[#This Row],[Crude_Breakdown]],[1]!crudeBD.lkup[Crude Breakdown],0))</f>
        <v>#REF!</v>
      </c>
      <c r="AI704">
        <f>MONTH(vp.tbl[[#This Row],[SDate]])</f>
        <v>1</v>
      </c>
      <c r="AJ704" s="5">
        <f>IFERROR(vp.tbl[[#This Row],[Sulf]]*vp.tbl[[#This Row],[Net Dens]],"")</f>
        <v>3428047.1973156002</v>
      </c>
      <c r="AK704" s="5">
        <f>IFERROR(vp.tbl[[#This Row],[Dens]]*vp.tbl[[#This Row],[VolumeM3]],"")</f>
        <v>5056116.8102000002</v>
      </c>
      <c r="AL704" s="5">
        <f>IFERROR(vp.tbl[[#This Row],[VP]]*vp.tbl[[#This Row],[VolumeM3]],"")</f>
        <v>658741.20259999996</v>
      </c>
      <c r="AM704" s="4">
        <f>IFERROR((vp.tbl[[#This Row],[VP]]-INDEX(crudeBD.lkup.complete[Mean_VP],MATCH(vp.tbl[[#This Row],[Crude_Breakdown]],crudeBD.lkup.complete[Crude Breakdown],0)))^2,"")</f>
        <v>226.61732898288761</v>
      </c>
      <c r="AN704" s="4">
        <f>IFERROR((vp.tbl[[#This Row],[Dens]]-INDEX(crudeBD.lkup.complete[Mean_Dens],MATCH(vp.tbl[[#This Row],[Crude_Breakdown]],crudeBD.lkup.complete[Crude Breakdown],0)))^2,"")</f>
        <v>0.1003430805018919</v>
      </c>
      <c r="AO704" s="4">
        <f>IFERROR((vp.tbl[[#This Row],[Sulf]]-INDEX(crudeBD.lkup.complete[Mean_Sulf],MATCH(vp.tbl[[#This Row],[Crude_Breakdown]],crudeBD.lkup.complete[Crude Breakdown],0)))^2,"")</f>
        <v>6.0010873339852951E-2</v>
      </c>
      <c r="AP704">
        <f>IF(AND(vp.tbl[[#This Row],[SDate]]&gt;=DATE(YEAR(vp.tbl[[#This Row],[SDate]]),5,1),vp.tbl[[#This Row],[SDate]]&lt;=DATE(YEAR(vp.tbl[[#This Row],[SDate]]),9,15)),1,0)</f>
        <v>0</v>
      </c>
      <c r="AQ704" s="15">
        <f>IF(vp.tbl[[#This Row],[SDate]]&lt;DATE(2016,12,1),0,1)</f>
        <v>1</v>
      </c>
    </row>
    <row r="705" spans="1:43" x14ac:dyDescent="0.25">
      <c r="A705">
        <v>704</v>
      </c>
      <c r="B705" t="s">
        <v>49</v>
      </c>
      <c r="C705" t="s">
        <v>49</v>
      </c>
      <c r="D705" t="s">
        <v>67</v>
      </c>
      <c r="F705" s="1">
        <v>42766</v>
      </c>
      <c r="G705" s="2">
        <v>92.7</v>
      </c>
      <c r="H705" s="2">
        <v>0.75700000000000001</v>
      </c>
      <c r="I705" s="2">
        <v>0.75700000000000001</v>
      </c>
      <c r="J705" s="2">
        <v>7.8</v>
      </c>
      <c r="K705" s="2">
        <v>-2</v>
      </c>
      <c r="L705" s="2">
        <v>825.7</v>
      </c>
      <c r="M705" s="2">
        <v>825.7</v>
      </c>
      <c r="N705" s="2">
        <f ca="1">INDEX(INDIRECT(_xlfn.CONCAT("weather.tbl[",N$1,"]")),MATCH(vp.tbl[[#This Row],[SDate]],weather.tbl[Date],0))</f>
        <v>-10.783333333333333</v>
      </c>
      <c r="O705" s="2">
        <f ca="1">INDEX(INDIRECT(_xlfn.CONCAT("weather.tbl[",O$1,"]")),MATCH(vp.tbl[[#This Row],[SDate]],weather.tbl[Date],0))</f>
        <v>-5.9547619047619049</v>
      </c>
      <c r="P705" s="2">
        <f ca="1">INDEX(INDIRECT(_xlfn.CONCAT("weather.tbl[",P$1,"]")),MATCH(vp.tbl[[#This Row],[SDate]],weather.tbl[Date],0))</f>
        <v>-10.6</v>
      </c>
      <c r="Q705" s="2">
        <f ca="1">INDEX(INDIRECT(_xlfn.CONCAT("weather.tbl[",Q$1,"]")),MATCH(vp.tbl[[#This Row],[SDate]],weather.tbl[Date],0))</f>
        <v>-11.6</v>
      </c>
      <c r="R705" s="2">
        <f ca="1">INDEX(INDIRECT(_xlfn.CONCAT("weather.tbl[",R$1,"]")),MATCH(vp.tbl[[#This Row],[SDate]],weather.tbl[Date],0))</f>
        <v>-9.3000000000000007</v>
      </c>
      <c r="S705" s="2">
        <f ca="1">INDEX(INDIRECT(_xlfn.CONCAT("weather.tbl[",S$1,"]")),MATCH(vp.tbl[[#This Row],[SDate]],weather.tbl[Date],0))</f>
        <v>-11.2</v>
      </c>
      <c r="T705" s="2">
        <f ca="1">INDEX(INDIRECT(_xlfn.CONCAT("weather.tbl[",T$1,"]")),MATCH(vp.tbl[[#This Row],[SDate]],weather.tbl[Date],0))</f>
        <v>-11</v>
      </c>
      <c r="U705" s="2">
        <f ca="1">INDEX(INDIRECT(_xlfn.CONCAT("weather.tbl[",U$1,"]")),MATCH(vp.tbl[[#This Row],[SDate]],weather.tbl[Date],0))</f>
        <v>-11</v>
      </c>
      <c r="V705" s="2">
        <v>122139.87</v>
      </c>
      <c r="W705" t="s">
        <v>48</v>
      </c>
      <c r="X705">
        <f>IF(OR(vp.tbl[[#This Row],[Sulf]]="",vp.tbl[[#This Row],[Dens]]=""),1,0)</f>
        <v>0</v>
      </c>
      <c r="Y705">
        <f>IF(vp.tbl[[#This Row],[CrudeType]]="C5+",1,0)</f>
        <v>0</v>
      </c>
      <c r="Z705">
        <f>IF(AND(vp.tbl[[#This Row],[CrudeType]]="Crude",vp.tbl[[#This Row],[Dens]]&lt;=825,vp.tbl[[#This Row],[Sulf]]&gt;0.5,vp.tbl[[#This Row],[Unknown]]=0),1,0)</f>
        <v>0</v>
      </c>
      <c r="AA705">
        <f>IF(AND(vp.tbl[[#This Row],[CrudeType]]="Crude",vp.tbl[[#This Row],[Dens]]&lt;=825,vp.tbl[[#This Row],[Sulf]]&lt;=0.5,vp.tbl[[#This Row],[Unknown]]=0),1,0)</f>
        <v>0</v>
      </c>
      <c r="AB705">
        <f>IF(AND(vp.tbl[[#This Row],[CrudeType]]="Crude",vp.tbl[[#This Row],[Dens]]&gt;825,vp.tbl[[#This Row],[Dens]]&lt;=870,vp.tbl[[#This Row],[Sulf]]&gt;0.5,vp.tbl[[#This Row],[Unknown]]=0),1,0)</f>
        <v>1</v>
      </c>
      <c r="AC705">
        <f>IF(AND(vp.tbl[[#This Row],[CrudeType]]="Crude",vp.tbl[[#This Row],[Dens]]&gt;825,vp.tbl[[#This Row],[Dens]]&lt;=900,vp.tbl[[#This Row],[Sulf]]&lt;=0.5,vp.tbl[[#This Row],[Unknown]]=0),1,0)</f>
        <v>0</v>
      </c>
      <c r="AD705">
        <f>IF(AND(vp.tbl[[#This Row],[CrudeType]]="Crude",vp.tbl[[#This Row],[Dens]]&gt;870,vp.tbl[[#This Row],[Dens]]&lt;=900,vp.tbl[[#This Row],[Sulf]]&gt;0.5,vp.tbl[[#This Row],[Unknown]]=0),1,0)</f>
        <v>0</v>
      </c>
      <c r="AE705">
        <f>IF(AND(vp.tbl[[#This Row],[CrudeType]]="Crude",vp.tbl[[#This Row],[Dens]]&gt;900,vp.tbl[[#This Row],[Sulf]]&lt;=0.5,vp.tbl[[#This Row],[Unknown]]=0),1,0)</f>
        <v>0</v>
      </c>
      <c r="AF705">
        <f>IF(AND(vp.tbl[[#This Row],[CrudeType]]="Crude",vp.tbl[[#This Row],[Dens]]&gt;900,vp.tbl[[#This Row],[Sulf]]&lt;=0.5,vp.tbl[[#This Row],[Unknown]]=0),1,0)</f>
        <v>0</v>
      </c>
      <c r="AG705" t="str">
        <f>INDEX(vp.tbl[[#Headers],[Unknown]:[Heavy_SW]],MATCH(1,vp.tbl[[#This Row],[Unknown]:[Heavy_SW]],0))</f>
        <v>Medium_LSB</v>
      </c>
      <c r="AH705" t="e">
        <f>INDEX([1]!crudeBD.lkup[Number],MATCH(vp.tbl[[#This Row],[Crude_Breakdown]],[1]!crudeBD.lkup[Crude Breakdown],0))</f>
        <v>#REF!</v>
      </c>
      <c r="AI705">
        <f>MONTH(vp.tbl[[#This Row],[SDate]])</f>
        <v>1</v>
      </c>
      <c r="AJ705" s="5">
        <f>IFERROR(vp.tbl[[#This Row],[Sulf]]*vp.tbl[[#This Row],[Net Dens]],"")</f>
        <v>76344124.228863001</v>
      </c>
      <c r="AK705" s="5">
        <f>IFERROR(vp.tbl[[#This Row],[Dens]]*vp.tbl[[#This Row],[VolumeM3]],"")</f>
        <v>100850890.65899999</v>
      </c>
      <c r="AL705" s="5">
        <f>IFERROR(vp.tbl[[#This Row],[VP]]*vp.tbl[[#This Row],[VolumeM3]],"")</f>
        <v>11322365.948999999</v>
      </c>
      <c r="AM705" s="4">
        <f>IFERROR((vp.tbl[[#This Row],[VP]]-INDEX(crudeBD.lkup.complete[Mean_VP],MATCH(vp.tbl[[#This Row],[Crude_Breakdown]],crudeBD.lkup.complete[Crude Breakdown],0)))^2,"")</f>
        <v>156.9108238096469</v>
      </c>
      <c r="AN705" s="4">
        <f>IFERROR((vp.tbl[[#This Row],[Dens]]-INDEX(crudeBD.lkup.complete[Mean_Dens],MATCH(vp.tbl[[#This Row],[Crude_Breakdown]],crudeBD.lkup.complete[Crude Breakdown],0)))^2,"")</f>
        <v>383.83952003136488</v>
      </c>
      <c r="AO705" s="4">
        <f>IFERROR((vp.tbl[[#This Row],[Sulf]]-INDEX(crudeBD.lkup.complete[Mean_Sulf],MATCH(vp.tbl[[#This Row],[Crude_Breakdown]],crudeBD.lkup.complete[Crude Breakdown],0)))^2,"")</f>
        <v>0.48710609053976828</v>
      </c>
      <c r="AP705">
        <f>IF(AND(vp.tbl[[#This Row],[SDate]]&gt;=DATE(YEAR(vp.tbl[[#This Row],[SDate]]),5,1),vp.tbl[[#This Row],[SDate]]&lt;=DATE(YEAR(vp.tbl[[#This Row],[SDate]]),9,15)),1,0)</f>
        <v>0</v>
      </c>
      <c r="AQ705" s="15">
        <f>IF(vp.tbl[[#This Row],[SDate]]&lt;DATE(2016,12,1),0,1)</f>
        <v>1</v>
      </c>
    </row>
    <row r="706" spans="1:43" x14ac:dyDescent="0.25">
      <c r="A706">
        <v>705</v>
      </c>
      <c r="B706" t="s">
        <v>60</v>
      </c>
      <c r="C706" t="s">
        <v>60</v>
      </c>
      <c r="D706" t="s">
        <v>61</v>
      </c>
      <c r="E706" t="s">
        <v>73</v>
      </c>
      <c r="F706" s="1">
        <v>42766</v>
      </c>
      <c r="G706" s="2">
        <v>75.3</v>
      </c>
      <c r="H706" s="2">
        <v>1.1399999999999999</v>
      </c>
      <c r="I706" s="2">
        <v>1.1399999999999999</v>
      </c>
      <c r="J706" s="2">
        <v>4</v>
      </c>
      <c r="K706" s="2">
        <v>-2</v>
      </c>
      <c r="L706" s="2">
        <v>843</v>
      </c>
      <c r="M706" s="2">
        <v>843</v>
      </c>
      <c r="N706" s="2">
        <f ca="1">INDEX(INDIRECT(_xlfn.CONCAT("weather.tbl[",N$1,"]")),MATCH(vp.tbl[[#This Row],[SDate]],weather.tbl[Date],0))</f>
        <v>-10.783333333333333</v>
      </c>
      <c r="O706" s="2">
        <f ca="1">INDEX(INDIRECT(_xlfn.CONCAT("weather.tbl[",O$1,"]")),MATCH(vp.tbl[[#This Row],[SDate]],weather.tbl[Date],0))</f>
        <v>-5.9547619047619049</v>
      </c>
      <c r="P706" s="2">
        <f ca="1">INDEX(INDIRECT(_xlfn.CONCAT("weather.tbl[",P$1,"]")),MATCH(vp.tbl[[#This Row],[SDate]],weather.tbl[Date],0))</f>
        <v>-10.6</v>
      </c>
      <c r="Q706" s="2">
        <f ca="1">INDEX(INDIRECT(_xlfn.CONCAT("weather.tbl[",Q$1,"]")),MATCH(vp.tbl[[#This Row],[SDate]],weather.tbl[Date],0))</f>
        <v>-11.6</v>
      </c>
      <c r="R706" s="2">
        <f ca="1">INDEX(INDIRECT(_xlfn.CONCAT("weather.tbl[",R$1,"]")),MATCH(vp.tbl[[#This Row],[SDate]],weather.tbl[Date],0))</f>
        <v>-9.3000000000000007</v>
      </c>
      <c r="S706" s="2">
        <f ca="1">INDEX(INDIRECT(_xlfn.CONCAT("weather.tbl[",S$1,"]")),MATCH(vp.tbl[[#This Row],[SDate]],weather.tbl[Date],0))</f>
        <v>-11.2</v>
      </c>
      <c r="T706" s="2">
        <f ca="1">INDEX(INDIRECT(_xlfn.CONCAT("weather.tbl[",T$1,"]")),MATCH(vp.tbl[[#This Row],[SDate]],weather.tbl[Date],0))</f>
        <v>-11</v>
      </c>
      <c r="U706" s="2">
        <f ca="1">INDEX(INDIRECT(_xlfn.CONCAT("weather.tbl[",U$1,"]")),MATCH(vp.tbl[[#This Row],[SDate]],weather.tbl[Date],0))</f>
        <v>-11</v>
      </c>
      <c r="V706" s="2">
        <v>105136.144</v>
      </c>
      <c r="W706" t="s">
        <v>48</v>
      </c>
      <c r="X706">
        <f>IF(OR(vp.tbl[[#This Row],[Sulf]]="",vp.tbl[[#This Row],[Dens]]=""),1,0)</f>
        <v>0</v>
      </c>
      <c r="Y706">
        <f>IF(vp.tbl[[#This Row],[CrudeType]]="C5+",1,0)</f>
        <v>0</v>
      </c>
      <c r="Z706">
        <f>IF(AND(vp.tbl[[#This Row],[CrudeType]]="Crude",vp.tbl[[#This Row],[Dens]]&lt;=825,vp.tbl[[#This Row],[Sulf]]&gt;0.5,vp.tbl[[#This Row],[Unknown]]=0),1,0)</f>
        <v>0</v>
      </c>
      <c r="AA706">
        <f>IF(AND(vp.tbl[[#This Row],[CrudeType]]="Crude",vp.tbl[[#This Row],[Dens]]&lt;=825,vp.tbl[[#This Row],[Sulf]]&lt;=0.5,vp.tbl[[#This Row],[Unknown]]=0),1,0)</f>
        <v>0</v>
      </c>
      <c r="AB706">
        <f>IF(AND(vp.tbl[[#This Row],[CrudeType]]="Crude",vp.tbl[[#This Row],[Dens]]&gt;825,vp.tbl[[#This Row],[Dens]]&lt;=870,vp.tbl[[#This Row],[Sulf]]&gt;0.5,vp.tbl[[#This Row],[Unknown]]=0),1,0)</f>
        <v>1</v>
      </c>
      <c r="AC706">
        <f>IF(AND(vp.tbl[[#This Row],[CrudeType]]="Crude",vp.tbl[[#This Row],[Dens]]&gt;825,vp.tbl[[#This Row],[Dens]]&lt;=900,vp.tbl[[#This Row],[Sulf]]&lt;=0.5,vp.tbl[[#This Row],[Unknown]]=0),1,0)</f>
        <v>0</v>
      </c>
      <c r="AD706">
        <f>IF(AND(vp.tbl[[#This Row],[CrudeType]]="Crude",vp.tbl[[#This Row],[Dens]]&gt;870,vp.tbl[[#This Row],[Dens]]&lt;=900,vp.tbl[[#This Row],[Sulf]]&gt;0.5,vp.tbl[[#This Row],[Unknown]]=0),1,0)</f>
        <v>0</v>
      </c>
      <c r="AE706">
        <f>IF(AND(vp.tbl[[#This Row],[CrudeType]]="Crude",vp.tbl[[#This Row],[Dens]]&gt;900,vp.tbl[[#This Row],[Sulf]]&lt;=0.5,vp.tbl[[#This Row],[Unknown]]=0),1,0)</f>
        <v>0</v>
      </c>
      <c r="AF706">
        <f>IF(AND(vp.tbl[[#This Row],[CrudeType]]="Crude",vp.tbl[[#This Row],[Dens]]&gt;900,vp.tbl[[#This Row],[Sulf]]&lt;=0.5,vp.tbl[[#This Row],[Unknown]]=0),1,0)</f>
        <v>0</v>
      </c>
      <c r="AG706" t="str">
        <f>INDEX(vp.tbl[[#Headers],[Unknown]:[Heavy_SW]],MATCH(1,vp.tbl[[#This Row],[Unknown]:[Heavy_SW]],0))</f>
        <v>Medium_LSB</v>
      </c>
      <c r="AH706" t="e">
        <f>INDEX([1]!crudeBD.lkup[Number],MATCH(vp.tbl[[#This Row],[Crude_Breakdown]],[1]!crudeBD.lkup[Crude Breakdown],0))</f>
        <v>#REF!</v>
      </c>
      <c r="AI706">
        <f>MONTH(vp.tbl[[#This Row],[SDate]])</f>
        <v>1</v>
      </c>
      <c r="AJ706" s="5">
        <f>IFERROR(vp.tbl[[#This Row],[Sulf]]*vp.tbl[[#This Row],[Net Dens]],"")</f>
        <v>101037937.10687999</v>
      </c>
      <c r="AK706" s="5">
        <f>IFERROR(vp.tbl[[#This Row],[Dens]]*vp.tbl[[#This Row],[VolumeM3]],"")</f>
        <v>88629769.392000005</v>
      </c>
      <c r="AL706" s="5">
        <f>IFERROR(vp.tbl[[#This Row],[VP]]*vp.tbl[[#This Row],[VolumeM3]],"")</f>
        <v>7916751.6431999998</v>
      </c>
      <c r="AM706" s="4">
        <f>IFERROR((vp.tbl[[#This Row],[VP]]-INDEX(crudeBD.lkup.complete[Mean_VP],MATCH(vp.tbl[[#This Row],[Crude_Breakdown]],crudeBD.lkup.complete[Crude Breakdown],0)))^2,"")</f>
        <v>23.751927607113913</v>
      </c>
      <c r="AN706" s="4">
        <f>IFERROR((vp.tbl[[#This Row],[Dens]]-INDEX(crudeBD.lkup.complete[Mean_Dens],MATCH(vp.tbl[[#This Row],[Crude_Breakdown]],crudeBD.lkup.complete[Crude Breakdown],0)))^2,"")</f>
        <v>5.2524516769703302</v>
      </c>
      <c r="AO706" s="4">
        <f>IFERROR((vp.tbl[[#This Row],[Sulf]]-INDEX(crudeBD.lkup.complete[Mean_Sulf],MATCH(vp.tbl[[#This Row],[Crude_Breakdown]],crudeBD.lkup.complete[Crude Breakdown],0)))^2,"")</f>
        <v>9.9180817197995069E-2</v>
      </c>
      <c r="AP706">
        <f>IF(AND(vp.tbl[[#This Row],[SDate]]&gt;=DATE(YEAR(vp.tbl[[#This Row],[SDate]]),5,1),vp.tbl[[#This Row],[SDate]]&lt;=DATE(YEAR(vp.tbl[[#This Row],[SDate]]),9,15)),1,0)</f>
        <v>0</v>
      </c>
      <c r="AQ706" s="15">
        <f>IF(vp.tbl[[#This Row],[SDate]]&lt;DATE(2016,12,1),0,1)</f>
        <v>1</v>
      </c>
    </row>
    <row r="707" spans="1:43" x14ac:dyDescent="0.25">
      <c r="A707">
        <v>706</v>
      </c>
      <c r="B707" t="s">
        <v>62</v>
      </c>
      <c r="C707" t="s">
        <v>62</v>
      </c>
      <c r="D707" t="s">
        <v>83</v>
      </c>
      <c r="F707" s="1">
        <v>42766</v>
      </c>
      <c r="G707" s="2">
        <v>90.8</v>
      </c>
      <c r="H707" s="2"/>
      <c r="I707" s="2">
        <v>0.17</v>
      </c>
      <c r="J707" s="2">
        <v>0.9</v>
      </c>
      <c r="K707" s="2">
        <v>-2</v>
      </c>
      <c r="L707" s="2">
        <v>807.3</v>
      </c>
      <c r="M707" s="2">
        <v>807.3</v>
      </c>
      <c r="N707" s="2">
        <f ca="1">INDEX(INDIRECT(_xlfn.CONCAT("weather.tbl[",N$1,"]")),MATCH(vp.tbl[[#This Row],[SDate]],weather.tbl[Date],0))</f>
        <v>-10.783333333333333</v>
      </c>
      <c r="O707" s="2">
        <f ca="1">INDEX(INDIRECT(_xlfn.CONCAT("weather.tbl[",O$1,"]")),MATCH(vp.tbl[[#This Row],[SDate]],weather.tbl[Date],0))</f>
        <v>-5.9547619047619049</v>
      </c>
      <c r="P707" s="2">
        <f ca="1">INDEX(INDIRECT(_xlfn.CONCAT("weather.tbl[",P$1,"]")),MATCH(vp.tbl[[#This Row],[SDate]],weather.tbl[Date],0))</f>
        <v>-10.6</v>
      </c>
      <c r="Q707" s="2">
        <f ca="1">INDEX(INDIRECT(_xlfn.CONCAT("weather.tbl[",Q$1,"]")),MATCH(vp.tbl[[#This Row],[SDate]],weather.tbl[Date],0))</f>
        <v>-11.6</v>
      </c>
      <c r="R707" s="2">
        <f ca="1">INDEX(INDIRECT(_xlfn.CONCAT("weather.tbl[",R$1,"]")),MATCH(vp.tbl[[#This Row],[SDate]],weather.tbl[Date],0))</f>
        <v>-9.3000000000000007</v>
      </c>
      <c r="S707" s="2">
        <f ca="1">INDEX(INDIRECT(_xlfn.CONCAT("weather.tbl[",S$1,"]")),MATCH(vp.tbl[[#This Row],[SDate]],weather.tbl[Date],0))</f>
        <v>-11.2</v>
      </c>
      <c r="T707" s="2">
        <f ca="1">INDEX(INDIRECT(_xlfn.CONCAT("weather.tbl[",T$1,"]")),MATCH(vp.tbl[[#This Row],[SDate]],weather.tbl[Date],0))</f>
        <v>-11</v>
      </c>
      <c r="U707" s="2">
        <f ca="1">INDEX(INDIRECT(_xlfn.CONCAT("weather.tbl[",U$1,"]")),MATCH(vp.tbl[[#This Row],[SDate]],weather.tbl[Date],0))</f>
        <v>-11</v>
      </c>
      <c r="V707" s="2">
        <v>8873.2939999999999</v>
      </c>
      <c r="W707" t="s">
        <v>48</v>
      </c>
      <c r="X707">
        <f>IF(OR(vp.tbl[[#This Row],[Sulf]]="",vp.tbl[[#This Row],[Dens]]=""),1,0)</f>
        <v>0</v>
      </c>
      <c r="Y707">
        <f>IF(vp.tbl[[#This Row],[CrudeType]]="C5+",1,0)</f>
        <v>0</v>
      </c>
      <c r="Z707">
        <f>IF(AND(vp.tbl[[#This Row],[CrudeType]]="Crude",vp.tbl[[#This Row],[Dens]]&lt;=825,vp.tbl[[#This Row],[Sulf]]&gt;0.5,vp.tbl[[#This Row],[Unknown]]=0),1,0)</f>
        <v>0</v>
      </c>
      <c r="AA707">
        <f>IF(AND(vp.tbl[[#This Row],[CrudeType]]="Crude",vp.tbl[[#This Row],[Dens]]&lt;=825,vp.tbl[[#This Row],[Sulf]]&lt;=0.5,vp.tbl[[#This Row],[Unknown]]=0),1,0)</f>
        <v>1</v>
      </c>
      <c r="AB707">
        <f>IF(AND(vp.tbl[[#This Row],[CrudeType]]="Crude",vp.tbl[[#This Row],[Dens]]&gt;825,vp.tbl[[#This Row],[Dens]]&lt;=870,vp.tbl[[#This Row],[Sulf]]&gt;0.5,vp.tbl[[#This Row],[Unknown]]=0),1,0)</f>
        <v>0</v>
      </c>
      <c r="AC707">
        <f>IF(AND(vp.tbl[[#This Row],[CrudeType]]="Crude",vp.tbl[[#This Row],[Dens]]&gt;825,vp.tbl[[#This Row],[Dens]]&lt;=900,vp.tbl[[#This Row],[Sulf]]&lt;=0.5,vp.tbl[[#This Row],[Unknown]]=0),1,0)</f>
        <v>0</v>
      </c>
      <c r="AD707">
        <f>IF(AND(vp.tbl[[#This Row],[CrudeType]]="Crude",vp.tbl[[#This Row],[Dens]]&gt;870,vp.tbl[[#This Row],[Dens]]&lt;=900,vp.tbl[[#This Row],[Sulf]]&gt;0.5,vp.tbl[[#This Row],[Unknown]]=0),1,0)</f>
        <v>0</v>
      </c>
      <c r="AE707">
        <f>IF(AND(vp.tbl[[#This Row],[CrudeType]]="Crude",vp.tbl[[#This Row],[Dens]]&gt;900,vp.tbl[[#This Row],[Sulf]]&lt;=0.5,vp.tbl[[#This Row],[Unknown]]=0),1,0)</f>
        <v>0</v>
      </c>
      <c r="AF707">
        <f>IF(AND(vp.tbl[[#This Row],[CrudeType]]="Crude",vp.tbl[[#This Row],[Dens]]&gt;900,vp.tbl[[#This Row],[Sulf]]&lt;=0.5,vp.tbl[[#This Row],[Unknown]]=0),1,0)</f>
        <v>0</v>
      </c>
      <c r="AG707" t="str">
        <f>INDEX(vp.tbl[[#Headers],[Unknown]:[Heavy_SW]],MATCH(1,vp.tbl[[#This Row],[Unknown]:[Heavy_SW]],0))</f>
        <v>Light_SW</v>
      </c>
      <c r="AH707" t="e">
        <f>INDEX([1]!crudeBD.lkup[Number],MATCH(vp.tbl[[#This Row],[Crude_Breakdown]],[1]!crudeBD.lkup[Crude Breakdown],0))</f>
        <v>#REF!</v>
      </c>
      <c r="AI707">
        <f>MONTH(vp.tbl[[#This Row],[SDate]])</f>
        <v>1</v>
      </c>
      <c r="AJ707" s="5">
        <f>IFERROR(vp.tbl[[#This Row],[Sulf]]*vp.tbl[[#This Row],[Net Dens]],"")</f>
        <v>1217779.7418540001</v>
      </c>
      <c r="AK707" s="5">
        <f>IFERROR(vp.tbl[[#This Row],[Dens]]*vp.tbl[[#This Row],[VolumeM3]],"")</f>
        <v>7163410.2461999999</v>
      </c>
      <c r="AL707" s="5">
        <f>IFERROR(vp.tbl[[#This Row],[VP]]*vp.tbl[[#This Row],[VolumeM3]],"")</f>
        <v>805695.09519999998</v>
      </c>
      <c r="AM707" s="4">
        <f>IFERROR((vp.tbl[[#This Row],[VP]]-INDEX(crudeBD.lkup.complete[Mean_VP],MATCH(vp.tbl[[#This Row],[Crude_Breakdown]],crudeBD.lkup.complete[Crude Breakdown],0)))^2,"")</f>
        <v>3.0635976593134835</v>
      </c>
      <c r="AN707" s="4">
        <f>IFERROR((vp.tbl[[#This Row],[Dens]]-INDEX(crudeBD.lkup.complete[Mean_Dens],MATCH(vp.tbl[[#This Row],[Crude_Breakdown]],crudeBD.lkup.complete[Crude Breakdown],0)))^2,"")</f>
        <v>1.0231287256124415</v>
      </c>
      <c r="AO707" s="4">
        <f>IFERROR((vp.tbl[[#This Row],[Sulf]]-INDEX(crudeBD.lkup.complete[Mean_Sulf],MATCH(vp.tbl[[#This Row],[Crude_Breakdown]],crudeBD.lkup.complete[Crude Breakdown],0)))^2,"")</f>
        <v>4.3879776367322437E-3</v>
      </c>
      <c r="AP707">
        <f>IF(AND(vp.tbl[[#This Row],[SDate]]&gt;=DATE(YEAR(vp.tbl[[#This Row],[SDate]]),5,1),vp.tbl[[#This Row],[SDate]]&lt;=DATE(YEAR(vp.tbl[[#This Row],[SDate]]),9,15)),1,0)</f>
        <v>0</v>
      </c>
      <c r="AQ707" s="15">
        <f>IF(vp.tbl[[#This Row],[SDate]]&lt;DATE(2016,12,1),0,1)</f>
        <v>1</v>
      </c>
    </row>
    <row r="708" spans="1:43" x14ac:dyDescent="0.25">
      <c r="A708">
        <v>707</v>
      </c>
      <c r="B708" t="s">
        <v>62</v>
      </c>
      <c r="C708" t="s">
        <v>62</v>
      </c>
      <c r="D708" t="s">
        <v>79</v>
      </c>
      <c r="F708" s="1">
        <v>42766</v>
      </c>
      <c r="G708" s="2">
        <v>92.4</v>
      </c>
      <c r="H708" s="2"/>
      <c r="I708" s="2">
        <v>0.28000000000000003</v>
      </c>
      <c r="J708" s="2">
        <v>18.600000000000001</v>
      </c>
      <c r="K708" s="2">
        <v>-2</v>
      </c>
      <c r="L708" s="2">
        <v>808</v>
      </c>
      <c r="M708" s="2">
        <v>808</v>
      </c>
      <c r="N708" s="2">
        <f ca="1">INDEX(INDIRECT(_xlfn.CONCAT("weather.tbl[",N$1,"]")),MATCH(vp.tbl[[#This Row],[SDate]],weather.tbl[Date],0))</f>
        <v>-10.783333333333333</v>
      </c>
      <c r="O708" s="2">
        <f ca="1">INDEX(INDIRECT(_xlfn.CONCAT("weather.tbl[",O$1,"]")),MATCH(vp.tbl[[#This Row],[SDate]],weather.tbl[Date],0))</f>
        <v>-5.9547619047619049</v>
      </c>
      <c r="P708" s="2">
        <f ca="1">INDEX(INDIRECT(_xlfn.CONCAT("weather.tbl[",P$1,"]")),MATCH(vp.tbl[[#This Row],[SDate]],weather.tbl[Date],0))</f>
        <v>-10.6</v>
      </c>
      <c r="Q708" s="2">
        <f ca="1">INDEX(INDIRECT(_xlfn.CONCAT("weather.tbl[",Q$1,"]")),MATCH(vp.tbl[[#This Row],[SDate]],weather.tbl[Date],0))</f>
        <v>-11.6</v>
      </c>
      <c r="R708" s="2">
        <f ca="1">INDEX(INDIRECT(_xlfn.CONCAT("weather.tbl[",R$1,"]")),MATCH(vp.tbl[[#This Row],[SDate]],weather.tbl[Date],0))</f>
        <v>-9.3000000000000007</v>
      </c>
      <c r="S708" s="2">
        <f ca="1">INDEX(INDIRECT(_xlfn.CONCAT("weather.tbl[",S$1,"]")),MATCH(vp.tbl[[#This Row],[SDate]],weather.tbl[Date],0))</f>
        <v>-11.2</v>
      </c>
      <c r="T708" s="2">
        <f ca="1">INDEX(INDIRECT(_xlfn.CONCAT("weather.tbl[",T$1,"]")),MATCH(vp.tbl[[#This Row],[SDate]],weather.tbl[Date],0))</f>
        <v>-11</v>
      </c>
      <c r="U708" s="2">
        <f ca="1">INDEX(INDIRECT(_xlfn.CONCAT("weather.tbl[",U$1,"]")),MATCH(vp.tbl[[#This Row],[SDate]],weather.tbl[Date],0))</f>
        <v>-11</v>
      </c>
      <c r="V708" s="2">
        <v>14036.508</v>
      </c>
      <c r="W708" t="s">
        <v>48</v>
      </c>
      <c r="X708">
        <f>IF(OR(vp.tbl[[#This Row],[Sulf]]="",vp.tbl[[#This Row],[Dens]]=""),1,0)</f>
        <v>0</v>
      </c>
      <c r="Y708">
        <f>IF(vp.tbl[[#This Row],[CrudeType]]="C5+",1,0)</f>
        <v>0</v>
      </c>
      <c r="Z708">
        <f>IF(AND(vp.tbl[[#This Row],[CrudeType]]="Crude",vp.tbl[[#This Row],[Dens]]&lt;=825,vp.tbl[[#This Row],[Sulf]]&gt;0.5,vp.tbl[[#This Row],[Unknown]]=0),1,0)</f>
        <v>0</v>
      </c>
      <c r="AA708">
        <f>IF(AND(vp.tbl[[#This Row],[CrudeType]]="Crude",vp.tbl[[#This Row],[Dens]]&lt;=825,vp.tbl[[#This Row],[Sulf]]&lt;=0.5,vp.tbl[[#This Row],[Unknown]]=0),1,0)</f>
        <v>1</v>
      </c>
      <c r="AB708">
        <f>IF(AND(vp.tbl[[#This Row],[CrudeType]]="Crude",vp.tbl[[#This Row],[Dens]]&gt;825,vp.tbl[[#This Row],[Dens]]&lt;=870,vp.tbl[[#This Row],[Sulf]]&gt;0.5,vp.tbl[[#This Row],[Unknown]]=0),1,0)</f>
        <v>0</v>
      </c>
      <c r="AC708">
        <f>IF(AND(vp.tbl[[#This Row],[CrudeType]]="Crude",vp.tbl[[#This Row],[Dens]]&gt;825,vp.tbl[[#This Row],[Dens]]&lt;=900,vp.tbl[[#This Row],[Sulf]]&lt;=0.5,vp.tbl[[#This Row],[Unknown]]=0),1,0)</f>
        <v>0</v>
      </c>
      <c r="AD708">
        <f>IF(AND(vp.tbl[[#This Row],[CrudeType]]="Crude",vp.tbl[[#This Row],[Dens]]&gt;870,vp.tbl[[#This Row],[Dens]]&lt;=900,vp.tbl[[#This Row],[Sulf]]&gt;0.5,vp.tbl[[#This Row],[Unknown]]=0),1,0)</f>
        <v>0</v>
      </c>
      <c r="AE708">
        <f>IF(AND(vp.tbl[[#This Row],[CrudeType]]="Crude",vp.tbl[[#This Row],[Dens]]&gt;900,vp.tbl[[#This Row],[Sulf]]&lt;=0.5,vp.tbl[[#This Row],[Unknown]]=0),1,0)</f>
        <v>0</v>
      </c>
      <c r="AF708">
        <f>IF(AND(vp.tbl[[#This Row],[CrudeType]]="Crude",vp.tbl[[#This Row],[Dens]]&gt;900,vp.tbl[[#This Row],[Sulf]]&lt;=0.5,vp.tbl[[#This Row],[Unknown]]=0),1,0)</f>
        <v>0</v>
      </c>
      <c r="AG708" t="str">
        <f>INDEX(vp.tbl[[#Headers],[Unknown]:[Heavy_SW]],MATCH(1,vp.tbl[[#This Row],[Unknown]:[Heavy_SW]],0))</f>
        <v>Light_SW</v>
      </c>
      <c r="AH708" t="e">
        <f>INDEX([1]!crudeBD.lkup[Number],MATCH(vp.tbl[[#This Row],[Crude_Breakdown]],[1]!crudeBD.lkup[Crude Breakdown],0))</f>
        <v>#REF!</v>
      </c>
      <c r="AI708">
        <f>MONTH(vp.tbl[[#This Row],[SDate]])</f>
        <v>1</v>
      </c>
      <c r="AJ708" s="5">
        <f>IFERROR(vp.tbl[[#This Row],[Sulf]]*vp.tbl[[#This Row],[Net Dens]],"")</f>
        <v>3175619.5699200002</v>
      </c>
      <c r="AK708" s="5">
        <f>IFERROR(vp.tbl[[#This Row],[Dens]]*vp.tbl[[#This Row],[VolumeM3]],"")</f>
        <v>11341498.464</v>
      </c>
      <c r="AL708" s="5">
        <f>IFERROR(vp.tbl[[#This Row],[VP]]*vp.tbl[[#This Row],[VolumeM3]],"")</f>
        <v>1296973.3392</v>
      </c>
      <c r="AM708" s="4">
        <f>IFERROR((vp.tbl[[#This Row],[VP]]-INDEX(crudeBD.lkup.complete[Mean_VP],MATCH(vp.tbl[[#This Row],[Crude_Breakdown]],crudeBD.lkup.complete[Crude Breakdown],0)))^2,"")</f>
        <v>2.2594174993008635E-2</v>
      </c>
      <c r="AN708" s="4">
        <f>IFERROR((vp.tbl[[#This Row],[Dens]]-INDEX(crudeBD.lkup.complete[Mean_Dens],MATCH(vp.tbl[[#This Row],[Crude_Breakdown]],crudeBD.lkup.complete[Crude Breakdown],0)))^2,"")</f>
        <v>9.7031164637045433E-2</v>
      </c>
      <c r="AO708" s="4">
        <f>IFERROR((vp.tbl[[#This Row],[Sulf]]-INDEX(crudeBD.lkup.complete[Mean_Sulf],MATCH(vp.tbl[[#This Row],[Crude_Breakdown]],crudeBD.lkup.complete[Crude Breakdown],0)))^2,"")</f>
        <v>1.9147790304605045E-3</v>
      </c>
      <c r="AP708">
        <f>IF(AND(vp.tbl[[#This Row],[SDate]]&gt;=DATE(YEAR(vp.tbl[[#This Row],[SDate]]),5,1),vp.tbl[[#This Row],[SDate]]&lt;=DATE(YEAR(vp.tbl[[#This Row],[SDate]]),9,15)),1,0)</f>
        <v>0</v>
      </c>
      <c r="AQ708" s="15">
        <f>IF(vp.tbl[[#This Row],[SDate]]&lt;DATE(2016,12,1),0,1)</f>
        <v>1</v>
      </c>
    </row>
    <row r="709" spans="1:43" x14ac:dyDescent="0.25">
      <c r="A709">
        <v>708</v>
      </c>
      <c r="B709" t="s">
        <v>62</v>
      </c>
      <c r="C709" t="s">
        <v>62</v>
      </c>
      <c r="D709" t="s">
        <v>87</v>
      </c>
      <c r="F709" s="1">
        <v>42766</v>
      </c>
      <c r="G709" s="2">
        <v>83.6</v>
      </c>
      <c r="H709" s="2"/>
      <c r="I709" s="2">
        <v>0.19</v>
      </c>
      <c r="J709" s="2">
        <v>19.100000000000001</v>
      </c>
      <c r="K709" s="2">
        <v>-2</v>
      </c>
      <c r="L709" s="2">
        <v>810</v>
      </c>
      <c r="M709" s="2">
        <v>810</v>
      </c>
      <c r="N709" s="2">
        <f ca="1">INDEX(INDIRECT(_xlfn.CONCAT("weather.tbl[",N$1,"]")),MATCH(vp.tbl[[#This Row],[SDate]],weather.tbl[Date],0))</f>
        <v>-10.783333333333333</v>
      </c>
      <c r="O709" s="2">
        <f ca="1">INDEX(INDIRECT(_xlfn.CONCAT("weather.tbl[",O$1,"]")),MATCH(vp.tbl[[#This Row],[SDate]],weather.tbl[Date],0))</f>
        <v>-5.9547619047619049</v>
      </c>
      <c r="P709" s="2">
        <f ca="1">INDEX(INDIRECT(_xlfn.CONCAT("weather.tbl[",P$1,"]")),MATCH(vp.tbl[[#This Row],[SDate]],weather.tbl[Date],0))</f>
        <v>-10.6</v>
      </c>
      <c r="Q709" s="2">
        <f ca="1">INDEX(INDIRECT(_xlfn.CONCAT("weather.tbl[",Q$1,"]")),MATCH(vp.tbl[[#This Row],[SDate]],weather.tbl[Date],0))</f>
        <v>-11.6</v>
      </c>
      <c r="R709" s="2">
        <f ca="1">INDEX(INDIRECT(_xlfn.CONCAT("weather.tbl[",R$1,"]")),MATCH(vp.tbl[[#This Row],[SDate]],weather.tbl[Date],0))</f>
        <v>-9.3000000000000007</v>
      </c>
      <c r="S709" s="2">
        <f ca="1">INDEX(INDIRECT(_xlfn.CONCAT("weather.tbl[",S$1,"]")),MATCH(vp.tbl[[#This Row],[SDate]],weather.tbl[Date],0))</f>
        <v>-11.2</v>
      </c>
      <c r="T709" s="2">
        <f ca="1">INDEX(INDIRECT(_xlfn.CONCAT("weather.tbl[",T$1,"]")),MATCH(vp.tbl[[#This Row],[SDate]],weather.tbl[Date],0))</f>
        <v>-11</v>
      </c>
      <c r="U709" s="2">
        <f ca="1">INDEX(INDIRECT(_xlfn.CONCAT("weather.tbl[",U$1,"]")),MATCH(vp.tbl[[#This Row],[SDate]],weather.tbl[Date],0))</f>
        <v>-11</v>
      </c>
      <c r="V709" s="2">
        <v>7624.6970000000001</v>
      </c>
      <c r="W709" t="s">
        <v>48</v>
      </c>
      <c r="X709">
        <f>IF(OR(vp.tbl[[#This Row],[Sulf]]="",vp.tbl[[#This Row],[Dens]]=""),1,0)</f>
        <v>0</v>
      </c>
      <c r="Y709">
        <f>IF(vp.tbl[[#This Row],[CrudeType]]="C5+",1,0)</f>
        <v>0</v>
      </c>
      <c r="Z709">
        <f>IF(AND(vp.tbl[[#This Row],[CrudeType]]="Crude",vp.tbl[[#This Row],[Dens]]&lt;=825,vp.tbl[[#This Row],[Sulf]]&gt;0.5,vp.tbl[[#This Row],[Unknown]]=0),1,0)</f>
        <v>0</v>
      </c>
      <c r="AA709">
        <f>IF(AND(vp.tbl[[#This Row],[CrudeType]]="Crude",vp.tbl[[#This Row],[Dens]]&lt;=825,vp.tbl[[#This Row],[Sulf]]&lt;=0.5,vp.tbl[[#This Row],[Unknown]]=0),1,0)</f>
        <v>1</v>
      </c>
      <c r="AB709">
        <f>IF(AND(vp.tbl[[#This Row],[CrudeType]]="Crude",vp.tbl[[#This Row],[Dens]]&gt;825,vp.tbl[[#This Row],[Dens]]&lt;=870,vp.tbl[[#This Row],[Sulf]]&gt;0.5,vp.tbl[[#This Row],[Unknown]]=0),1,0)</f>
        <v>0</v>
      </c>
      <c r="AC709">
        <f>IF(AND(vp.tbl[[#This Row],[CrudeType]]="Crude",vp.tbl[[#This Row],[Dens]]&gt;825,vp.tbl[[#This Row],[Dens]]&lt;=900,vp.tbl[[#This Row],[Sulf]]&lt;=0.5,vp.tbl[[#This Row],[Unknown]]=0),1,0)</f>
        <v>0</v>
      </c>
      <c r="AD709">
        <f>IF(AND(vp.tbl[[#This Row],[CrudeType]]="Crude",vp.tbl[[#This Row],[Dens]]&gt;870,vp.tbl[[#This Row],[Dens]]&lt;=900,vp.tbl[[#This Row],[Sulf]]&gt;0.5,vp.tbl[[#This Row],[Unknown]]=0),1,0)</f>
        <v>0</v>
      </c>
      <c r="AE709">
        <f>IF(AND(vp.tbl[[#This Row],[CrudeType]]="Crude",vp.tbl[[#This Row],[Dens]]&gt;900,vp.tbl[[#This Row],[Sulf]]&lt;=0.5,vp.tbl[[#This Row],[Unknown]]=0),1,0)</f>
        <v>0</v>
      </c>
      <c r="AF709">
        <f>IF(AND(vp.tbl[[#This Row],[CrudeType]]="Crude",vp.tbl[[#This Row],[Dens]]&gt;900,vp.tbl[[#This Row],[Sulf]]&lt;=0.5,vp.tbl[[#This Row],[Unknown]]=0),1,0)</f>
        <v>0</v>
      </c>
      <c r="AG709" t="str">
        <f>INDEX(vp.tbl[[#Headers],[Unknown]:[Heavy_SW]],MATCH(1,vp.tbl[[#This Row],[Unknown]:[Heavy_SW]],0))</f>
        <v>Light_SW</v>
      </c>
      <c r="AH709" t="e">
        <f>INDEX([1]!crudeBD.lkup[Number],MATCH(vp.tbl[[#This Row],[Crude_Breakdown]],[1]!crudeBD.lkup[Crude Breakdown],0))</f>
        <v>#REF!</v>
      </c>
      <c r="AI709">
        <f>MONTH(vp.tbl[[#This Row],[SDate]])</f>
        <v>1</v>
      </c>
      <c r="AJ709" s="5">
        <f>IFERROR(vp.tbl[[#This Row],[Sulf]]*vp.tbl[[#This Row],[Net Dens]],"")</f>
        <v>1173440.8683</v>
      </c>
      <c r="AK709" s="5">
        <f>IFERROR(vp.tbl[[#This Row],[Dens]]*vp.tbl[[#This Row],[VolumeM3]],"")</f>
        <v>6176004.5700000003</v>
      </c>
      <c r="AL709" s="5">
        <f>IFERROR(vp.tbl[[#This Row],[VP]]*vp.tbl[[#This Row],[VolumeM3]],"")</f>
        <v>637424.6692</v>
      </c>
      <c r="AM709" s="4">
        <f>IFERROR((vp.tbl[[#This Row],[VP]]-INDEX(crudeBD.lkup.complete[Mean_VP],MATCH(vp.tbl[[#This Row],[Crude_Breakdown]],crudeBD.lkup.complete[Crude Breakdown],0)))^2,"")</f>
        <v>80.108113338755658</v>
      </c>
      <c r="AN709" s="4">
        <f>IFERROR((vp.tbl[[#This Row],[Dens]]-INDEX(crudeBD.lkup.complete[Mean_Dens],MATCH(vp.tbl[[#This Row],[Crude_Breakdown]],crudeBD.lkup.complete[Crude Breakdown],0)))^2,"")</f>
        <v>2.851038133279034</v>
      </c>
      <c r="AO709" s="4">
        <f>IFERROR((vp.tbl[[#This Row],[Sulf]]-INDEX(crudeBD.lkup.complete[Mean_Sulf],MATCH(vp.tbl[[#This Row],[Crude_Breakdown]],crudeBD.lkup.complete[Crude Breakdown],0)))^2,"")</f>
        <v>2.1383051628646554E-3</v>
      </c>
      <c r="AP709">
        <f>IF(AND(vp.tbl[[#This Row],[SDate]]&gt;=DATE(YEAR(vp.tbl[[#This Row],[SDate]]),5,1),vp.tbl[[#This Row],[SDate]]&lt;=DATE(YEAR(vp.tbl[[#This Row],[SDate]]),9,15)),1,0)</f>
        <v>0</v>
      </c>
      <c r="AQ709" s="15">
        <f>IF(vp.tbl[[#This Row],[SDate]]&lt;DATE(2016,12,1),0,1)</f>
        <v>1</v>
      </c>
    </row>
    <row r="710" spans="1:43" x14ac:dyDescent="0.25">
      <c r="A710">
        <v>709</v>
      </c>
      <c r="B710" t="s">
        <v>62</v>
      </c>
      <c r="C710" t="s">
        <v>62</v>
      </c>
      <c r="D710" t="s">
        <v>63</v>
      </c>
      <c r="F710" s="1">
        <v>42766</v>
      </c>
      <c r="G710" s="2">
        <v>112.2</v>
      </c>
      <c r="H710" s="2"/>
      <c r="I710" s="2">
        <v>1.48</v>
      </c>
      <c r="J710" s="2">
        <v>12.7</v>
      </c>
      <c r="K710" s="2">
        <v>-2</v>
      </c>
      <c r="L710" s="2">
        <v>827.3</v>
      </c>
      <c r="M710" s="2">
        <v>827.3</v>
      </c>
      <c r="N710" s="2">
        <f ca="1">INDEX(INDIRECT(_xlfn.CONCAT("weather.tbl[",N$1,"]")),MATCH(vp.tbl[[#This Row],[SDate]],weather.tbl[Date],0))</f>
        <v>-10.783333333333333</v>
      </c>
      <c r="O710" s="2">
        <f ca="1">INDEX(INDIRECT(_xlfn.CONCAT("weather.tbl[",O$1,"]")),MATCH(vp.tbl[[#This Row],[SDate]],weather.tbl[Date],0))</f>
        <v>-5.9547619047619049</v>
      </c>
      <c r="P710" s="2">
        <f ca="1">INDEX(INDIRECT(_xlfn.CONCAT("weather.tbl[",P$1,"]")),MATCH(vp.tbl[[#This Row],[SDate]],weather.tbl[Date],0))</f>
        <v>-10.6</v>
      </c>
      <c r="Q710" s="2">
        <f ca="1">INDEX(INDIRECT(_xlfn.CONCAT("weather.tbl[",Q$1,"]")),MATCH(vp.tbl[[#This Row],[SDate]],weather.tbl[Date],0))</f>
        <v>-11.6</v>
      </c>
      <c r="R710" s="2">
        <f ca="1">INDEX(INDIRECT(_xlfn.CONCAT("weather.tbl[",R$1,"]")),MATCH(vp.tbl[[#This Row],[SDate]],weather.tbl[Date],0))</f>
        <v>-9.3000000000000007</v>
      </c>
      <c r="S710" s="2">
        <f ca="1">INDEX(INDIRECT(_xlfn.CONCAT("weather.tbl[",S$1,"]")),MATCH(vp.tbl[[#This Row],[SDate]],weather.tbl[Date],0))</f>
        <v>-11.2</v>
      </c>
      <c r="T710" s="2">
        <f ca="1">INDEX(INDIRECT(_xlfn.CONCAT("weather.tbl[",T$1,"]")),MATCH(vp.tbl[[#This Row],[SDate]],weather.tbl[Date],0))</f>
        <v>-11</v>
      </c>
      <c r="U710" s="2">
        <f ca="1">INDEX(INDIRECT(_xlfn.CONCAT("weather.tbl[",U$1,"]")),MATCH(vp.tbl[[#This Row],[SDate]],weather.tbl[Date],0))</f>
        <v>-11</v>
      </c>
      <c r="V710" s="2">
        <v>4893.7520000000004</v>
      </c>
      <c r="W710" t="s">
        <v>48</v>
      </c>
      <c r="X710">
        <f>IF(OR(vp.tbl[[#This Row],[Sulf]]="",vp.tbl[[#This Row],[Dens]]=""),1,0)</f>
        <v>0</v>
      </c>
      <c r="Y710">
        <f>IF(vp.tbl[[#This Row],[CrudeType]]="C5+",1,0)</f>
        <v>0</v>
      </c>
      <c r="Z710">
        <f>IF(AND(vp.tbl[[#This Row],[CrudeType]]="Crude",vp.tbl[[#This Row],[Dens]]&lt;=825,vp.tbl[[#This Row],[Sulf]]&gt;0.5,vp.tbl[[#This Row],[Unknown]]=0),1,0)</f>
        <v>0</v>
      </c>
      <c r="AA710">
        <f>IF(AND(vp.tbl[[#This Row],[CrudeType]]="Crude",vp.tbl[[#This Row],[Dens]]&lt;=825,vp.tbl[[#This Row],[Sulf]]&lt;=0.5,vp.tbl[[#This Row],[Unknown]]=0),1,0)</f>
        <v>0</v>
      </c>
      <c r="AB710">
        <f>IF(AND(vp.tbl[[#This Row],[CrudeType]]="Crude",vp.tbl[[#This Row],[Dens]]&gt;825,vp.tbl[[#This Row],[Dens]]&lt;=870,vp.tbl[[#This Row],[Sulf]]&gt;0.5,vp.tbl[[#This Row],[Unknown]]=0),1,0)</f>
        <v>1</v>
      </c>
      <c r="AC710">
        <f>IF(AND(vp.tbl[[#This Row],[CrudeType]]="Crude",vp.tbl[[#This Row],[Dens]]&gt;825,vp.tbl[[#This Row],[Dens]]&lt;=900,vp.tbl[[#This Row],[Sulf]]&lt;=0.5,vp.tbl[[#This Row],[Unknown]]=0),1,0)</f>
        <v>0</v>
      </c>
      <c r="AD710">
        <f>IF(AND(vp.tbl[[#This Row],[CrudeType]]="Crude",vp.tbl[[#This Row],[Dens]]&gt;870,vp.tbl[[#This Row],[Dens]]&lt;=900,vp.tbl[[#This Row],[Sulf]]&gt;0.5,vp.tbl[[#This Row],[Unknown]]=0),1,0)</f>
        <v>0</v>
      </c>
      <c r="AE710">
        <f>IF(AND(vp.tbl[[#This Row],[CrudeType]]="Crude",vp.tbl[[#This Row],[Dens]]&gt;900,vp.tbl[[#This Row],[Sulf]]&lt;=0.5,vp.tbl[[#This Row],[Unknown]]=0),1,0)</f>
        <v>0</v>
      </c>
      <c r="AF710">
        <f>IF(AND(vp.tbl[[#This Row],[CrudeType]]="Crude",vp.tbl[[#This Row],[Dens]]&gt;900,vp.tbl[[#This Row],[Sulf]]&lt;=0.5,vp.tbl[[#This Row],[Unknown]]=0),1,0)</f>
        <v>0</v>
      </c>
      <c r="AG710" t="str">
        <f>INDEX(vp.tbl[[#Headers],[Unknown]:[Heavy_SW]],MATCH(1,vp.tbl[[#This Row],[Unknown]:[Heavy_SW]],0))</f>
        <v>Medium_LSB</v>
      </c>
      <c r="AH710" t="e">
        <f>INDEX([1]!crudeBD.lkup[Number],MATCH(vp.tbl[[#This Row],[Crude_Breakdown]],[1]!crudeBD.lkup[Crude Breakdown],0))</f>
        <v>#REF!</v>
      </c>
      <c r="AI710">
        <f>MONTH(vp.tbl[[#This Row],[SDate]])</f>
        <v>1</v>
      </c>
      <c r="AJ710" s="5">
        <f>IFERROR(vp.tbl[[#This Row],[Sulf]]*vp.tbl[[#This Row],[Net Dens]],"")</f>
        <v>5991929.5238079997</v>
      </c>
      <c r="AK710" s="5">
        <f>IFERROR(vp.tbl[[#This Row],[Dens]]*vp.tbl[[#This Row],[VolumeM3]],"")</f>
        <v>4048601.0296</v>
      </c>
      <c r="AL710" s="5">
        <f>IFERROR(vp.tbl[[#This Row],[VP]]*vp.tbl[[#This Row],[VolumeM3]],"")</f>
        <v>549078.97440000006</v>
      </c>
      <c r="AM710" s="4">
        <f>IFERROR((vp.tbl[[#This Row],[VP]]-INDEX(crudeBD.lkup.complete[Mean_VP],MATCH(vp.tbl[[#This Row],[Crude_Breakdown]],crudeBD.lkup.complete[Crude Breakdown],0)))^2,"")</f>
        <v>1025.6906212780029</v>
      </c>
      <c r="AN710" s="4">
        <f>IFERROR((vp.tbl[[#This Row],[Dens]]-INDEX(crudeBD.lkup.complete[Mean_Dens],MATCH(vp.tbl[[#This Row],[Crude_Breakdown]],crudeBD.lkup.complete[Crude Breakdown],0)))^2,"")</f>
        <v>323.70568711997902</v>
      </c>
      <c r="AO710" s="4">
        <f>IFERROR((vp.tbl[[#This Row],[Sulf]]-INDEX(crudeBD.lkup.complete[Mean_Sulf],MATCH(vp.tbl[[#This Row],[Crude_Breakdown]],crudeBD.lkup.complete[Crude Breakdown],0)))^2,"")</f>
        <v>6.2851188153830004E-4</v>
      </c>
      <c r="AP710">
        <f>IF(AND(vp.tbl[[#This Row],[SDate]]&gt;=DATE(YEAR(vp.tbl[[#This Row],[SDate]]),5,1),vp.tbl[[#This Row],[SDate]]&lt;=DATE(YEAR(vp.tbl[[#This Row],[SDate]]),9,15)),1,0)</f>
        <v>0</v>
      </c>
      <c r="AQ710" s="15">
        <f>IF(vp.tbl[[#This Row],[SDate]]&lt;DATE(2016,12,1),0,1)</f>
        <v>1</v>
      </c>
    </row>
    <row r="711" spans="1:43" x14ac:dyDescent="0.25">
      <c r="A711">
        <v>710</v>
      </c>
      <c r="B711" t="s">
        <v>51</v>
      </c>
      <c r="C711" t="s">
        <v>51</v>
      </c>
      <c r="D711" t="s">
        <v>95</v>
      </c>
      <c r="F711" s="1">
        <v>42766</v>
      </c>
      <c r="G711" s="2">
        <v>67</v>
      </c>
      <c r="H711" s="2"/>
      <c r="I711" s="2">
        <v>1.22</v>
      </c>
      <c r="J711" s="2">
        <v>30.8</v>
      </c>
      <c r="K711" s="2">
        <v>-2</v>
      </c>
      <c r="L711" s="2">
        <v>843.8</v>
      </c>
      <c r="M711" s="2">
        <v>843.8</v>
      </c>
      <c r="N711" s="2">
        <f ca="1">INDEX(INDIRECT(_xlfn.CONCAT("weather.tbl[",N$1,"]")),MATCH(vp.tbl[[#This Row],[SDate]],weather.tbl[Date],0))</f>
        <v>-10.783333333333333</v>
      </c>
      <c r="O711" s="2">
        <f ca="1">INDEX(INDIRECT(_xlfn.CONCAT("weather.tbl[",O$1,"]")),MATCH(vp.tbl[[#This Row],[SDate]],weather.tbl[Date],0))</f>
        <v>-5.9547619047619049</v>
      </c>
      <c r="P711" s="2">
        <f ca="1">INDEX(INDIRECT(_xlfn.CONCAT("weather.tbl[",P$1,"]")),MATCH(vp.tbl[[#This Row],[SDate]],weather.tbl[Date],0))</f>
        <v>-10.6</v>
      </c>
      <c r="Q711" s="2">
        <f ca="1">INDEX(INDIRECT(_xlfn.CONCAT("weather.tbl[",Q$1,"]")),MATCH(vp.tbl[[#This Row],[SDate]],weather.tbl[Date],0))</f>
        <v>-11.6</v>
      </c>
      <c r="R711" s="2">
        <f ca="1">INDEX(INDIRECT(_xlfn.CONCAT("weather.tbl[",R$1,"]")),MATCH(vp.tbl[[#This Row],[SDate]],weather.tbl[Date],0))</f>
        <v>-9.3000000000000007</v>
      </c>
      <c r="S711" s="2">
        <f ca="1">INDEX(INDIRECT(_xlfn.CONCAT("weather.tbl[",S$1,"]")),MATCH(vp.tbl[[#This Row],[SDate]],weather.tbl[Date],0))</f>
        <v>-11.2</v>
      </c>
      <c r="T711" s="2">
        <f ca="1">INDEX(INDIRECT(_xlfn.CONCAT("weather.tbl[",T$1,"]")),MATCH(vp.tbl[[#This Row],[SDate]],weather.tbl[Date],0))</f>
        <v>-11</v>
      </c>
      <c r="U711" s="2">
        <f ca="1">INDEX(INDIRECT(_xlfn.CONCAT("weather.tbl[",U$1,"]")),MATCH(vp.tbl[[#This Row],[SDate]],weather.tbl[Date],0))</f>
        <v>-11</v>
      </c>
      <c r="V711" s="2">
        <v>6182.9449999999997</v>
      </c>
      <c r="W711" t="s">
        <v>48</v>
      </c>
      <c r="X711">
        <f>IF(OR(vp.tbl[[#This Row],[Sulf]]="",vp.tbl[[#This Row],[Dens]]=""),1,0)</f>
        <v>0</v>
      </c>
      <c r="Y711">
        <f>IF(vp.tbl[[#This Row],[CrudeType]]="C5+",1,0)</f>
        <v>0</v>
      </c>
      <c r="Z711">
        <f>IF(AND(vp.tbl[[#This Row],[CrudeType]]="Crude",vp.tbl[[#This Row],[Dens]]&lt;=825,vp.tbl[[#This Row],[Sulf]]&gt;0.5,vp.tbl[[#This Row],[Unknown]]=0),1,0)</f>
        <v>0</v>
      </c>
      <c r="AA711">
        <f>IF(AND(vp.tbl[[#This Row],[CrudeType]]="Crude",vp.tbl[[#This Row],[Dens]]&lt;=825,vp.tbl[[#This Row],[Sulf]]&lt;=0.5,vp.tbl[[#This Row],[Unknown]]=0),1,0)</f>
        <v>0</v>
      </c>
      <c r="AB711">
        <f>IF(AND(vp.tbl[[#This Row],[CrudeType]]="Crude",vp.tbl[[#This Row],[Dens]]&gt;825,vp.tbl[[#This Row],[Dens]]&lt;=870,vp.tbl[[#This Row],[Sulf]]&gt;0.5,vp.tbl[[#This Row],[Unknown]]=0),1,0)</f>
        <v>1</v>
      </c>
      <c r="AC711">
        <f>IF(AND(vp.tbl[[#This Row],[CrudeType]]="Crude",vp.tbl[[#This Row],[Dens]]&gt;825,vp.tbl[[#This Row],[Dens]]&lt;=900,vp.tbl[[#This Row],[Sulf]]&lt;=0.5,vp.tbl[[#This Row],[Unknown]]=0),1,0)</f>
        <v>0</v>
      </c>
      <c r="AD711">
        <f>IF(AND(vp.tbl[[#This Row],[CrudeType]]="Crude",vp.tbl[[#This Row],[Dens]]&gt;870,vp.tbl[[#This Row],[Dens]]&lt;=900,vp.tbl[[#This Row],[Sulf]]&gt;0.5,vp.tbl[[#This Row],[Unknown]]=0),1,0)</f>
        <v>0</v>
      </c>
      <c r="AE711">
        <f>IF(AND(vp.tbl[[#This Row],[CrudeType]]="Crude",vp.tbl[[#This Row],[Dens]]&gt;900,vp.tbl[[#This Row],[Sulf]]&lt;=0.5,vp.tbl[[#This Row],[Unknown]]=0),1,0)</f>
        <v>0</v>
      </c>
      <c r="AF711">
        <f>IF(AND(vp.tbl[[#This Row],[CrudeType]]="Crude",vp.tbl[[#This Row],[Dens]]&gt;900,vp.tbl[[#This Row],[Sulf]]&lt;=0.5,vp.tbl[[#This Row],[Unknown]]=0),1,0)</f>
        <v>0</v>
      </c>
      <c r="AG711" t="str">
        <f>INDEX(vp.tbl[[#Headers],[Unknown]:[Heavy_SW]],MATCH(1,vp.tbl[[#This Row],[Unknown]:[Heavy_SW]],0))</f>
        <v>Medium_LSB</v>
      </c>
      <c r="AH711" t="e">
        <f>INDEX([1]!crudeBD.lkup[Number],MATCH(vp.tbl[[#This Row],[Crude_Breakdown]],[1]!crudeBD.lkup[Crude Breakdown],0))</f>
        <v>#REF!</v>
      </c>
      <c r="AI711">
        <f>MONTH(vp.tbl[[#This Row],[SDate]])</f>
        <v>1</v>
      </c>
      <c r="AJ711" s="5">
        <f>IFERROR(vp.tbl[[#This Row],[Sulf]]*vp.tbl[[#This Row],[Net Dens]],"")</f>
        <v>6364946.169019999</v>
      </c>
      <c r="AK711" s="5">
        <f>IFERROR(vp.tbl[[#This Row],[Dens]]*vp.tbl[[#This Row],[VolumeM3]],"")</f>
        <v>5217168.9909999995</v>
      </c>
      <c r="AL711" s="5">
        <f>IFERROR(vp.tbl[[#This Row],[VP]]*vp.tbl[[#This Row],[VolumeM3]],"")</f>
        <v>414257.315</v>
      </c>
      <c r="AM711" s="4">
        <f>IFERROR((vp.tbl[[#This Row],[VP]]-INDEX(crudeBD.lkup.complete[Mean_VP],MATCH(vp.tbl[[#This Row],[Crude_Breakdown]],crudeBD.lkup.complete[Crude Breakdown],0)))^2,"")</f>
        <v>173.54360355648035</v>
      </c>
      <c r="AN711" s="4">
        <f>IFERROR((vp.tbl[[#This Row],[Dens]]-INDEX(crudeBD.lkup.complete[Mean_Dens],MATCH(vp.tbl[[#This Row],[Crude_Breakdown]],crudeBD.lkup.complete[Crude Breakdown],0)))^2,"")</f>
        <v>2.2255352212758392</v>
      </c>
      <c r="AO711" s="4">
        <f>IFERROR((vp.tbl[[#This Row],[Sulf]]-INDEX(crudeBD.lkup.complete[Mean_Sulf],MATCH(vp.tbl[[#This Row],[Crude_Breakdown]],crudeBD.lkup.complete[Crude Breakdown],0)))^2,"")</f>
        <v>5.5192039476475795E-2</v>
      </c>
      <c r="AP711">
        <f>IF(AND(vp.tbl[[#This Row],[SDate]]&gt;=DATE(YEAR(vp.tbl[[#This Row],[SDate]]),5,1),vp.tbl[[#This Row],[SDate]]&lt;=DATE(YEAR(vp.tbl[[#This Row],[SDate]]),9,15)),1,0)</f>
        <v>0</v>
      </c>
      <c r="AQ711" s="15">
        <f>IF(vp.tbl[[#This Row],[SDate]]&lt;DATE(2016,12,1),0,1)</f>
        <v>1</v>
      </c>
    </row>
    <row r="712" spans="1:43" x14ac:dyDescent="0.25">
      <c r="A712">
        <v>711</v>
      </c>
      <c r="B712" t="s">
        <v>60</v>
      </c>
      <c r="C712" t="s">
        <v>60</v>
      </c>
      <c r="D712" t="s">
        <v>61</v>
      </c>
      <c r="E712" t="s">
        <v>55</v>
      </c>
      <c r="F712" s="1">
        <v>42766</v>
      </c>
      <c r="G712" s="2">
        <v>95.2</v>
      </c>
      <c r="H712" s="2">
        <v>1.196</v>
      </c>
      <c r="I712" s="2">
        <v>1.196</v>
      </c>
      <c r="J712" s="2">
        <v>5.5</v>
      </c>
      <c r="K712" s="2">
        <v>-2</v>
      </c>
      <c r="L712" s="2">
        <v>836.9</v>
      </c>
      <c r="M712" s="2">
        <v>836.9</v>
      </c>
      <c r="N712" s="2">
        <f ca="1">INDEX(INDIRECT(_xlfn.CONCAT("weather.tbl[",N$1,"]")),MATCH(vp.tbl[[#This Row],[SDate]],weather.tbl[Date],0))</f>
        <v>-10.783333333333333</v>
      </c>
      <c r="O712" s="2">
        <f ca="1">INDEX(INDIRECT(_xlfn.CONCAT("weather.tbl[",O$1,"]")),MATCH(vp.tbl[[#This Row],[SDate]],weather.tbl[Date],0))</f>
        <v>-5.9547619047619049</v>
      </c>
      <c r="P712" s="2">
        <f ca="1">INDEX(INDIRECT(_xlfn.CONCAT("weather.tbl[",P$1,"]")),MATCH(vp.tbl[[#This Row],[SDate]],weather.tbl[Date],0))</f>
        <v>-10.6</v>
      </c>
      <c r="Q712" s="2">
        <f ca="1">INDEX(INDIRECT(_xlfn.CONCAT("weather.tbl[",Q$1,"]")),MATCH(vp.tbl[[#This Row],[SDate]],weather.tbl[Date],0))</f>
        <v>-11.6</v>
      </c>
      <c r="R712" s="2">
        <f ca="1">INDEX(INDIRECT(_xlfn.CONCAT("weather.tbl[",R$1,"]")),MATCH(vp.tbl[[#This Row],[SDate]],weather.tbl[Date],0))</f>
        <v>-9.3000000000000007</v>
      </c>
      <c r="S712" s="2">
        <f ca="1">INDEX(INDIRECT(_xlfn.CONCAT("weather.tbl[",S$1,"]")),MATCH(vp.tbl[[#This Row],[SDate]],weather.tbl[Date],0))</f>
        <v>-11.2</v>
      </c>
      <c r="T712" s="2">
        <f ca="1">INDEX(INDIRECT(_xlfn.CONCAT("weather.tbl[",T$1,"]")),MATCH(vp.tbl[[#This Row],[SDate]],weather.tbl[Date],0))</f>
        <v>-11</v>
      </c>
      <c r="U712" s="2">
        <f ca="1">INDEX(INDIRECT(_xlfn.CONCAT("weather.tbl[",U$1,"]")),MATCH(vp.tbl[[#This Row],[SDate]],weather.tbl[Date],0))</f>
        <v>-11</v>
      </c>
      <c r="V712" s="2">
        <v>105136.144</v>
      </c>
      <c r="W712" t="s">
        <v>48</v>
      </c>
      <c r="X712">
        <f>IF(OR(vp.tbl[[#This Row],[Sulf]]="",vp.tbl[[#This Row],[Dens]]=""),1,0)</f>
        <v>0</v>
      </c>
      <c r="Y712">
        <f>IF(vp.tbl[[#This Row],[CrudeType]]="C5+",1,0)</f>
        <v>0</v>
      </c>
      <c r="Z712">
        <f>IF(AND(vp.tbl[[#This Row],[CrudeType]]="Crude",vp.tbl[[#This Row],[Dens]]&lt;=825,vp.tbl[[#This Row],[Sulf]]&gt;0.5,vp.tbl[[#This Row],[Unknown]]=0),1,0)</f>
        <v>0</v>
      </c>
      <c r="AA712">
        <f>IF(AND(vp.tbl[[#This Row],[CrudeType]]="Crude",vp.tbl[[#This Row],[Dens]]&lt;=825,vp.tbl[[#This Row],[Sulf]]&lt;=0.5,vp.tbl[[#This Row],[Unknown]]=0),1,0)</f>
        <v>0</v>
      </c>
      <c r="AB712">
        <f>IF(AND(vp.tbl[[#This Row],[CrudeType]]="Crude",vp.tbl[[#This Row],[Dens]]&gt;825,vp.tbl[[#This Row],[Dens]]&lt;=870,vp.tbl[[#This Row],[Sulf]]&gt;0.5,vp.tbl[[#This Row],[Unknown]]=0),1,0)</f>
        <v>1</v>
      </c>
      <c r="AC712">
        <f>IF(AND(vp.tbl[[#This Row],[CrudeType]]="Crude",vp.tbl[[#This Row],[Dens]]&gt;825,vp.tbl[[#This Row],[Dens]]&lt;=900,vp.tbl[[#This Row],[Sulf]]&lt;=0.5,vp.tbl[[#This Row],[Unknown]]=0),1,0)</f>
        <v>0</v>
      </c>
      <c r="AD712">
        <f>IF(AND(vp.tbl[[#This Row],[CrudeType]]="Crude",vp.tbl[[#This Row],[Dens]]&gt;870,vp.tbl[[#This Row],[Dens]]&lt;=900,vp.tbl[[#This Row],[Sulf]]&gt;0.5,vp.tbl[[#This Row],[Unknown]]=0),1,0)</f>
        <v>0</v>
      </c>
      <c r="AE712">
        <f>IF(AND(vp.tbl[[#This Row],[CrudeType]]="Crude",vp.tbl[[#This Row],[Dens]]&gt;900,vp.tbl[[#This Row],[Sulf]]&lt;=0.5,vp.tbl[[#This Row],[Unknown]]=0),1,0)</f>
        <v>0</v>
      </c>
      <c r="AF712">
        <f>IF(AND(vp.tbl[[#This Row],[CrudeType]]="Crude",vp.tbl[[#This Row],[Dens]]&gt;900,vp.tbl[[#This Row],[Sulf]]&lt;=0.5,vp.tbl[[#This Row],[Unknown]]=0),1,0)</f>
        <v>0</v>
      </c>
      <c r="AG712" t="str">
        <f>INDEX(vp.tbl[[#Headers],[Unknown]:[Heavy_SW]],MATCH(1,vp.tbl[[#This Row],[Unknown]:[Heavy_SW]],0))</f>
        <v>Medium_LSB</v>
      </c>
      <c r="AH712" t="e">
        <f>INDEX([1]!crudeBD.lkup[Number],MATCH(vp.tbl[[#This Row],[Crude_Breakdown]],[1]!crudeBD.lkup[Crude Breakdown],0))</f>
        <v>#REF!</v>
      </c>
      <c r="AI712">
        <f>MONTH(vp.tbl[[#This Row],[SDate]])</f>
        <v>1</v>
      </c>
      <c r="AJ712" s="5">
        <f>IFERROR(vp.tbl[[#This Row],[Sulf]]*vp.tbl[[#This Row],[Net Dens]],"")</f>
        <v>105234172.94066559</v>
      </c>
      <c r="AK712" s="5">
        <f>IFERROR(vp.tbl[[#This Row],[Dens]]*vp.tbl[[#This Row],[VolumeM3]],"")</f>
        <v>87988438.913599998</v>
      </c>
      <c r="AL712" s="5">
        <f>IFERROR(vp.tbl[[#This Row],[VP]]*vp.tbl[[#This Row],[VolumeM3]],"")</f>
        <v>10008960.9088</v>
      </c>
      <c r="AM712" s="4">
        <f>IFERROR((vp.tbl[[#This Row],[VP]]-INDEX(crudeBD.lkup.complete[Mean_VP],MATCH(vp.tbl[[#This Row],[Crude_Breakdown]],crudeBD.lkup.complete[Crude Breakdown],0)))^2,"")</f>
        <v>225.79284912610279</v>
      </c>
      <c r="AN712" s="4">
        <f>IFERROR((vp.tbl[[#This Row],[Dens]]-INDEX(crudeBD.lkup.complete[Mean_Dens],MATCH(vp.tbl[[#This Row],[Crude_Breakdown]],crudeBD.lkup.complete[Crude Breakdown],0)))^2,"")</f>
        <v>70.422689651642244</v>
      </c>
      <c r="AO712" s="4">
        <f>IFERROR((vp.tbl[[#This Row],[Sulf]]-INDEX(crudeBD.lkup.complete[Mean_Sulf],MATCH(vp.tbl[[#This Row],[Crude_Breakdown]],crudeBD.lkup.complete[Crude Breakdown],0)))^2,"")</f>
        <v>6.7044672792931567E-2</v>
      </c>
      <c r="AP712">
        <f>IF(AND(vp.tbl[[#This Row],[SDate]]&gt;=DATE(YEAR(vp.tbl[[#This Row],[SDate]]),5,1),vp.tbl[[#This Row],[SDate]]&lt;=DATE(YEAR(vp.tbl[[#This Row],[SDate]]),9,15)),1,0)</f>
        <v>0</v>
      </c>
      <c r="AQ712" s="15">
        <f>IF(vp.tbl[[#This Row],[SDate]]&lt;DATE(2016,12,1),0,1)</f>
        <v>1</v>
      </c>
    </row>
    <row r="713" spans="1:43" x14ac:dyDescent="0.25">
      <c r="A713">
        <v>712</v>
      </c>
      <c r="B713" t="s">
        <v>49</v>
      </c>
      <c r="C713" t="s">
        <v>49</v>
      </c>
      <c r="D713" t="s">
        <v>151</v>
      </c>
      <c r="F713" s="1">
        <v>42767</v>
      </c>
      <c r="G713" s="2">
        <v>108.5</v>
      </c>
      <c r="H713" s="2">
        <v>0.39900000000000002</v>
      </c>
      <c r="I713" s="2">
        <v>0.39900000000000002</v>
      </c>
      <c r="J713" s="2">
        <v>-8.4</v>
      </c>
      <c r="K713" s="2">
        <v>-14</v>
      </c>
      <c r="L713" s="2">
        <v>821.8</v>
      </c>
      <c r="M713" s="2">
        <v>821.8</v>
      </c>
      <c r="N713" s="2">
        <f ca="1">INDEX(INDIRECT(_xlfn.CONCAT("weather.tbl[",N$1,"]")),MATCH(vp.tbl[[#This Row],[SDate]],weather.tbl[Date],0))</f>
        <v>-17.433333333333334</v>
      </c>
      <c r="O713" s="2">
        <f ca="1">INDEX(INDIRECT(_xlfn.CONCAT("weather.tbl[",O$1,"]")),MATCH(vp.tbl[[#This Row],[SDate]],weather.tbl[Date],0))</f>
        <v>-6.8666666666666663</v>
      </c>
      <c r="P713" s="2">
        <f ca="1">INDEX(INDIRECT(_xlfn.CONCAT("weather.tbl[",P$1,"]")),MATCH(vp.tbl[[#This Row],[SDate]],weather.tbl[Date],0))</f>
        <v>-18</v>
      </c>
      <c r="Q713" s="2">
        <f ca="1">INDEX(INDIRECT(_xlfn.CONCAT("weather.tbl[",Q$1,"]")),MATCH(vp.tbl[[#This Row],[SDate]],weather.tbl[Date],0))</f>
        <v>-17.2</v>
      </c>
      <c r="R713" s="2">
        <f ca="1">INDEX(INDIRECT(_xlfn.CONCAT("weather.tbl[",R$1,"]")),MATCH(vp.tbl[[#This Row],[SDate]],weather.tbl[Date],0))</f>
        <v>-19.3</v>
      </c>
      <c r="S713" s="2">
        <f ca="1">INDEX(INDIRECT(_xlfn.CONCAT("weather.tbl[",S$1,"]")),MATCH(vp.tbl[[#This Row],[SDate]],weather.tbl[Date],0))</f>
        <v>-11.2</v>
      </c>
      <c r="T713" s="2">
        <f ca="1">INDEX(INDIRECT(_xlfn.CONCAT("weather.tbl[",T$1,"]")),MATCH(vp.tbl[[#This Row],[SDate]],weather.tbl[Date],0))</f>
        <v>-19.399999999999999</v>
      </c>
      <c r="U713" s="2">
        <f ca="1">INDEX(INDIRECT(_xlfn.CONCAT("weather.tbl[",U$1,"]")),MATCH(vp.tbl[[#This Row],[SDate]],weather.tbl[Date],0))</f>
        <v>-19.5</v>
      </c>
      <c r="V713" s="2">
        <v>153.81800000000001</v>
      </c>
      <c r="W713" t="s">
        <v>48</v>
      </c>
      <c r="X713">
        <f>IF(OR(vp.tbl[[#This Row],[Sulf]]="",vp.tbl[[#This Row],[Dens]]=""),1,0)</f>
        <v>0</v>
      </c>
      <c r="Y713">
        <f>IF(vp.tbl[[#This Row],[CrudeType]]="C5+",1,0)</f>
        <v>0</v>
      </c>
      <c r="Z713">
        <f>IF(AND(vp.tbl[[#This Row],[CrudeType]]="Crude",vp.tbl[[#This Row],[Dens]]&lt;=825,vp.tbl[[#This Row],[Sulf]]&gt;0.5,vp.tbl[[#This Row],[Unknown]]=0),1,0)</f>
        <v>0</v>
      </c>
      <c r="AA713">
        <f>IF(AND(vp.tbl[[#This Row],[CrudeType]]="Crude",vp.tbl[[#This Row],[Dens]]&lt;=825,vp.tbl[[#This Row],[Sulf]]&lt;=0.5,vp.tbl[[#This Row],[Unknown]]=0),1,0)</f>
        <v>1</v>
      </c>
      <c r="AB713">
        <f>IF(AND(vp.tbl[[#This Row],[CrudeType]]="Crude",vp.tbl[[#This Row],[Dens]]&gt;825,vp.tbl[[#This Row],[Dens]]&lt;=870,vp.tbl[[#This Row],[Sulf]]&gt;0.5,vp.tbl[[#This Row],[Unknown]]=0),1,0)</f>
        <v>0</v>
      </c>
      <c r="AC713">
        <f>IF(AND(vp.tbl[[#This Row],[CrudeType]]="Crude",vp.tbl[[#This Row],[Dens]]&gt;825,vp.tbl[[#This Row],[Dens]]&lt;=900,vp.tbl[[#This Row],[Sulf]]&lt;=0.5,vp.tbl[[#This Row],[Unknown]]=0),1,0)</f>
        <v>0</v>
      </c>
      <c r="AD713">
        <f>IF(AND(vp.tbl[[#This Row],[CrudeType]]="Crude",vp.tbl[[#This Row],[Dens]]&gt;870,vp.tbl[[#This Row],[Dens]]&lt;=900,vp.tbl[[#This Row],[Sulf]]&gt;0.5,vp.tbl[[#This Row],[Unknown]]=0),1,0)</f>
        <v>0</v>
      </c>
      <c r="AE713">
        <f>IF(AND(vp.tbl[[#This Row],[CrudeType]]="Crude",vp.tbl[[#This Row],[Dens]]&gt;900,vp.tbl[[#This Row],[Sulf]]&lt;=0.5,vp.tbl[[#This Row],[Unknown]]=0),1,0)</f>
        <v>0</v>
      </c>
      <c r="AF713">
        <f>IF(AND(vp.tbl[[#This Row],[CrudeType]]="Crude",vp.tbl[[#This Row],[Dens]]&gt;900,vp.tbl[[#This Row],[Sulf]]&lt;=0.5,vp.tbl[[#This Row],[Unknown]]=0),1,0)</f>
        <v>0</v>
      </c>
      <c r="AG713" t="str">
        <f>INDEX(vp.tbl[[#Headers],[Unknown]:[Heavy_SW]],MATCH(1,vp.tbl[[#This Row],[Unknown]:[Heavy_SW]],0))</f>
        <v>Light_SW</v>
      </c>
      <c r="AH713" t="e">
        <f>INDEX([1]!crudeBD.lkup[Number],MATCH(vp.tbl[[#This Row],[Crude_Breakdown]],[1]!crudeBD.lkup[Crude Breakdown],0))</f>
        <v>#REF!</v>
      </c>
      <c r="AI713">
        <f>MONTH(vp.tbl[[#This Row],[SDate]])</f>
        <v>2</v>
      </c>
      <c r="AJ713" s="5">
        <f>IFERROR(vp.tbl[[#This Row],[Sulf]]*vp.tbl[[#This Row],[Net Dens]],"")</f>
        <v>50436.645327600003</v>
      </c>
      <c r="AK713" s="5">
        <f>IFERROR(vp.tbl[[#This Row],[Dens]]*vp.tbl[[#This Row],[VolumeM3]],"")</f>
        <v>126407.6324</v>
      </c>
      <c r="AL713" s="5">
        <f>IFERROR(vp.tbl[[#This Row],[VP]]*vp.tbl[[#This Row],[VolumeM3]],"")</f>
        <v>16689.253000000001</v>
      </c>
      <c r="AM713" s="4">
        <f>IFERROR((vp.tbl[[#This Row],[VP]]-INDEX(crudeBD.lkup.complete[Mean_VP],MATCH(vp.tbl[[#This Row],[Crude_Breakdown]],crudeBD.lkup.complete[Crude Breakdown],0)))^2,"")</f>
        <v>254.39249661401834</v>
      </c>
      <c r="AN713" s="4">
        <f>IFERROR((vp.tbl[[#This Row],[Dens]]-INDEX(crudeBD.lkup.complete[Mean_Dens],MATCH(vp.tbl[[#This Row],[Crude_Breakdown]],crudeBD.lkup.complete[Crude Breakdown],0)))^2,"")</f>
        <v>181.93967924826555</v>
      </c>
      <c r="AO713" s="4">
        <f>IFERROR((vp.tbl[[#This Row],[Sulf]]-INDEX(crudeBD.lkup.complete[Mean_Sulf],MATCH(vp.tbl[[#This Row],[Crude_Breakdown]],crudeBD.lkup.complete[Crude Breakdown],0)))^2,"")</f>
        <v>2.6490227810948352E-2</v>
      </c>
      <c r="AP713">
        <f>IF(AND(vp.tbl[[#This Row],[SDate]]&gt;=DATE(YEAR(vp.tbl[[#This Row],[SDate]]),5,1),vp.tbl[[#This Row],[SDate]]&lt;=DATE(YEAR(vp.tbl[[#This Row],[SDate]]),9,15)),1,0)</f>
        <v>0</v>
      </c>
      <c r="AQ713" s="15">
        <f>IF(vp.tbl[[#This Row],[SDate]]&lt;DATE(2016,12,1),0,1)</f>
        <v>1</v>
      </c>
    </row>
    <row r="714" spans="1:43" x14ac:dyDescent="0.25">
      <c r="A714">
        <v>713</v>
      </c>
      <c r="B714" t="s">
        <v>49</v>
      </c>
      <c r="C714" t="s">
        <v>49</v>
      </c>
      <c r="D714" t="s">
        <v>89</v>
      </c>
      <c r="F714" s="1">
        <v>42767</v>
      </c>
      <c r="G714" s="2">
        <v>115.5</v>
      </c>
      <c r="H714" s="2">
        <v>0.62</v>
      </c>
      <c r="I714" s="2">
        <v>0.62</v>
      </c>
      <c r="J714" s="2">
        <v>0.86</v>
      </c>
      <c r="K714" s="2">
        <v>-14</v>
      </c>
      <c r="L714" s="2">
        <v>820.8</v>
      </c>
      <c r="M714" s="2">
        <v>820.8</v>
      </c>
      <c r="N714" s="2">
        <f ca="1">INDEX(INDIRECT(_xlfn.CONCAT("weather.tbl[",N$1,"]")),MATCH(vp.tbl[[#This Row],[SDate]],weather.tbl[Date],0))</f>
        <v>-17.433333333333334</v>
      </c>
      <c r="O714" s="2">
        <f ca="1">INDEX(INDIRECT(_xlfn.CONCAT("weather.tbl[",O$1,"]")),MATCH(vp.tbl[[#This Row],[SDate]],weather.tbl[Date],0))</f>
        <v>-6.8666666666666663</v>
      </c>
      <c r="P714" s="2">
        <f ca="1">INDEX(INDIRECT(_xlfn.CONCAT("weather.tbl[",P$1,"]")),MATCH(vp.tbl[[#This Row],[SDate]],weather.tbl[Date],0))</f>
        <v>-18</v>
      </c>
      <c r="Q714" s="2">
        <f ca="1">INDEX(INDIRECT(_xlfn.CONCAT("weather.tbl[",Q$1,"]")),MATCH(vp.tbl[[#This Row],[SDate]],weather.tbl[Date],0))</f>
        <v>-17.2</v>
      </c>
      <c r="R714" s="2">
        <f ca="1">INDEX(INDIRECT(_xlfn.CONCAT("weather.tbl[",R$1,"]")),MATCH(vp.tbl[[#This Row],[SDate]],weather.tbl[Date],0))</f>
        <v>-19.3</v>
      </c>
      <c r="S714" s="2">
        <f ca="1">INDEX(INDIRECT(_xlfn.CONCAT("weather.tbl[",S$1,"]")),MATCH(vp.tbl[[#This Row],[SDate]],weather.tbl[Date],0))</f>
        <v>-11.2</v>
      </c>
      <c r="T714" s="2">
        <f ca="1">INDEX(INDIRECT(_xlfn.CONCAT("weather.tbl[",T$1,"]")),MATCH(vp.tbl[[#This Row],[SDate]],weather.tbl[Date],0))</f>
        <v>-19.399999999999999</v>
      </c>
      <c r="U714" s="2">
        <f ca="1">INDEX(INDIRECT(_xlfn.CONCAT("weather.tbl[",U$1,"]")),MATCH(vp.tbl[[#This Row],[SDate]],weather.tbl[Date],0))</f>
        <v>-19.5</v>
      </c>
      <c r="V714" s="2">
        <v>5063.2240000000002</v>
      </c>
      <c r="W714" t="s">
        <v>48</v>
      </c>
      <c r="X714">
        <f>IF(OR(vp.tbl[[#This Row],[Sulf]]="",vp.tbl[[#This Row],[Dens]]=""),1,0)</f>
        <v>0</v>
      </c>
      <c r="Y714">
        <f>IF(vp.tbl[[#This Row],[CrudeType]]="C5+",1,0)</f>
        <v>0</v>
      </c>
      <c r="Z714">
        <f>IF(AND(vp.tbl[[#This Row],[CrudeType]]="Crude",vp.tbl[[#This Row],[Dens]]&lt;=825,vp.tbl[[#This Row],[Sulf]]&gt;0.5,vp.tbl[[#This Row],[Unknown]]=0),1,0)</f>
        <v>1</v>
      </c>
      <c r="AA714">
        <f>IF(AND(vp.tbl[[#This Row],[CrudeType]]="Crude",vp.tbl[[#This Row],[Dens]]&lt;=825,vp.tbl[[#This Row],[Sulf]]&lt;=0.5,vp.tbl[[#This Row],[Unknown]]=0),1,0)</f>
        <v>0</v>
      </c>
      <c r="AB714">
        <f>IF(AND(vp.tbl[[#This Row],[CrudeType]]="Crude",vp.tbl[[#This Row],[Dens]]&gt;825,vp.tbl[[#This Row],[Dens]]&lt;=870,vp.tbl[[#This Row],[Sulf]]&gt;0.5,vp.tbl[[#This Row],[Unknown]]=0),1,0)</f>
        <v>0</v>
      </c>
      <c r="AC714">
        <f>IF(AND(vp.tbl[[#This Row],[CrudeType]]="Crude",vp.tbl[[#This Row],[Dens]]&gt;825,vp.tbl[[#This Row],[Dens]]&lt;=900,vp.tbl[[#This Row],[Sulf]]&lt;=0.5,vp.tbl[[#This Row],[Unknown]]=0),1,0)</f>
        <v>0</v>
      </c>
      <c r="AD714">
        <f>IF(AND(vp.tbl[[#This Row],[CrudeType]]="Crude",vp.tbl[[#This Row],[Dens]]&gt;870,vp.tbl[[#This Row],[Dens]]&lt;=900,vp.tbl[[#This Row],[Sulf]]&gt;0.5,vp.tbl[[#This Row],[Unknown]]=0),1,0)</f>
        <v>0</v>
      </c>
      <c r="AE714">
        <f>IF(AND(vp.tbl[[#This Row],[CrudeType]]="Crude",vp.tbl[[#This Row],[Dens]]&gt;900,vp.tbl[[#This Row],[Sulf]]&lt;=0.5,vp.tbl[[#This Row],[Unknown]]=0),1,0)</f>
        <v>0</v>
      </c>
      <c r="AF714">
        <f>IF(AND(vp.tbl[[#This Row],[CrudeType]]="Crude",vp.tbl[[#This Row],[Dens]]&gt;900,vp.tbl[[#This Row],[Sulf]]&lt;=0.5,vp.tbl[[#This Row],[Unknown]]=0),1,0)</f>
        <v>0</v>
      </c>
      <c r="AG714" t="str">
        <f>INDEX(vp.tbl[[#Headers],[Unknown]:[Heavy_SW]],MATCH(1,vp.tbl[[#This Row],[Unknown]:[Heavy_SW]],0))</f>
        <v>Light_LSB</v>
      </c>
      <c r="AH714" t="e">
        <f>INDEX([1]!crudeBD.lkup[Number],MATCH(vp.tbl[[#This Row],[Crude_Breakdown]],[1]!crudeBD.lkup[Crude Breakdown],0))</f>
        <v>#REF!</v>
      </c>
      <c r="AI714">
        <f>MONTH(vp.tbl[[#This Row],[SDate]])</f>
        <v>2</v>
      </c>
      <c r="AJ714" s="5">
        <f>IFERROR(vp.tbl[[#This Row],[Sulf]]*vp.tbl[[#This Row],[Net Dens]],"")</f>
        <v>2576654.4407039997</v>
      </c>
      <c r="AK714" s="5">
        <f>IFERROR(vp.tbl[[#This Row],[Dens]]*vp.tbl[[#This Row],[VolumeM3]],"")</f>
        <v>4155894.2591999997</v>
      </c>
      <c r="AL714" s="5">
        <f>IFERROR(vp.tbl[[#This Row],[VP]]*vp.tbl[[#This Row],[VolumeM3]],"")</f>
        <v>584802.37199999997</v>
      </c>
      <c r="AM714" s="4">
        <f>IFERROR((vp.tbl[[#This Row],[VP]]-INDEX(crudeBD.lkup.complete[Mean_VP],MATCH(vp.tbl[[#This Row],[Crude_Breakdown]],crudeBD.lkup.complete[Crude Breakdown],0)))^2,"")</f>
        <v>573.78522589010367</v>
      </c>
      <c r="AN714" s="4">
        <f>IFERROR((vp.tbl[[#This Row],[Dens]]-INDEX(crudeBD.lkup.complete[Mean_Dens],MATCH(vp.tbl[[#This Row],[Crude_Breakdown]],crudeBD.lkup.complete[Crude Breakdown],0)))^2,"")</f>
        <v>5.2131403313624531</v>
      </c>
      <c r="AO714" s="4">
        <f>IFERROR((vp.tbl[[#This Row],[Sulf]]-INDEX(crudeBD.lkup.complete[Mean_Sulf],MATCH(vp.tbl[[#This Row],[Crude_Breakdown]],crudeBD.lkup.complete[Crude Breakdown],0)))^2,"")</f>
        <v>9.1791528872498987E-2</v>
      </c>
      <c r="AP714">
        <f>IF(AND(vp.tbl[[#This Row],[SDate]]&gt;=DATE(YEAR(vp.tbl[[#This Row],[SDate]]),5,1),vp.tbl[[#This Row],[SDate]]&lt;=DATE(YEAR(vp.tbl[[#This Row],[SDate]]),9,15)),1,0)</f>
        <v>0</v>
      </c>
      <c r="AQ714" s="15">
        <f>IF(vp.tbl[[#This Row],[SDate]]&lt;DATE(2016,12,1),0,1)</f>
        <v>1</v>
      </c>
    </row>
    <row r="715" spans="1:43" x14ac:dyDescent="0.25">
      <c r="A715">
        <v>714</v>
      </c>
      <c r="B715" t="s">
        <v>49</v>
      </c>
      <c r="C715" t="s">
        <v>49</v>
      </c>
      <c r="D715" t="s">
        <v>67</v>
      </c>
      <c r="F715" s="1">
        <v>42767</v>
      </c>
      <c r="G715" s="2">
        <v>95.8</v>
      </c>
      <c r="H715" s="2">
        <v>0.73899999999999999</v>
      </c>
      <c r="I715" s="2">
        <v>0.73899999999999999</v>
      </c>
      <c r="J715" s="2">
        <v>4.2</v>
      </c>
      <c r="K715" s="2">
        <v>-14</v>
      </c>
      <c r="L715" s="2">
        <v>825.1</v>
      </c>
      <c r="M715" s="2">
        <v>825.1</v>
      </c>
      <c r="N715" s="2">
        <f ca="1">INDEX(INDIRECT(_xlfn.CONCAT("weather.tbl[",N$1,"]")),MATCH(vp.tbl[[#This Row],[SDate]],weather.tbl[Date],0))</f>
        <v>-17.433333333333334</v>
      </c>
      <c r="O715" s="2">
        <f ca="1">INDEX(INDIRECT(_xlfn.CONCAT("weather.tbl[",O$1,"]")),MATCH(vp.tbl[[#This Row],[SDate]],weather.tbl[Date],0))</f>
        <v>-6.8666666666666663</v>
      </c>
      <c r="P715" s="2">
        <f ca="1">INDEX(INDIRECT(_xlfn.CONCAT("weather.tbl[",P$1,"]")),MATCH(vp.tbl[[#This Row],[SDate]],weather.tbl[Date],0))</f>
        <v>-18</v>
      </c>
      <c r="Q715" s="2">
        <f ca="1">INDEX(INDIRECT(_xlfn.CONCAT("weather.tbl[",Q$1,"]")),MATCH(vp.tbl[[#This Row],[SDate]],weather.tbl[Date],0))</f>
        <v>-17.2</v>
      </c>
      <c r="R715" s="2">
        <f ca="1">INDEX(INDIRECT(_xlfn.CONCAT("weather.tbl[",R$1,"]")),MATCH(vp.tbl[[#This Row],[SDate]],weather.tbl[Date],0))</f>
        <v>-19.3</v>
      </c>
      <c r="S715" s="2">
        <f ca="1">INDEX(INDIRECT(_xlfn.CONCAT("weather.tbl[",S$1,"]")),MATCH(vp.tbl[[#This Row],[SDate]],weather.tbl[Date],0))</f>
        <v>-11.2</v>
      </c>
      <c r="T715" s="2">
        <f ca="1">INDEX(INDIRECT(_xlfn.CONCAT("weather.tbl[",T$1,"]")),MATCH(vp.tbl[[#This Row],[SDate]],weather.tbl[Date],0))</f>
        <v>-19.399999999999999</v>
      </c>
      <c r="U715" s="2">
        <f ca="1">INDEX(INDIRECT(_xlfn.CONCAT("weather.tbl[",U$1,"]")),MATCH(vp.tbl[[#This Row],[SDate]],weather.tbl[Date],0))</f>
        <v>-19.5</v>
      </c>
      <c r="V715" s="2">
        <v>124428.834</v>
      </c>
      <c r="W715" t="s">
        <v>48</v>
      </c>
      <c r="X715">
        <f>IF(OR(vp.tbl[[#This Row],[Sulf]]="",vp.tbl[[#This Row],[Dens]]=""),1,0)</f>
        <v>0</v>
      </c>
      <c r="Y715">
        <f>IF(vp.tbl[[#This Row],[CrudeType]]="C5+",1,0)</f>
        <v>0</v>
      </c>
      <c r="Z715">
        <f>IF(AND(vp.tbl[[#This Row],[CrudeType]]="Crude",vp.tbl[[#This Row],[Dens]]&lt;=825,vp.tbl[[#This Row],[Sulf]]&gt;0.5,vp.tbl[[#This Row],[Unknown]]=0),1,0)</f>
        <v>0</v>
      </c>
      <c r="AA715">
        <f>IF(AND(vp.tbl[[#This Row],[CrudeType]]="Crude",vp.tbl[[#This Row],[Dens]]&lt;=825,vp.tbl[[#This Row],[Sulf]]&lt;=0.5,vp.tbl[[#This Row],[Unknown]]=0),1,0)</f>
        <v>0</v>
      </c>
      <c r="AB715">
        <f>IF(AND(vp.tbl[[#This Row],[CrudeType]]="Crude",vp.tbl[[#This Row],[Dens]]&gt;825,vp.tbl[[#This Row],[Dens]]&lt;=870,vp.tbl[[#This Row],[Sulf]]&gt;0.5,vp.tbl[[#This Row],[Unknown]]=0),1,0)</f>
        <v>1</v>
      </c>
      <c r="AC715">
        <f>IF(AND(vp.tbl[[#This Row],[CrudeType]]="Crude",vp.tbl[[#This Row],[Dens]]&gt;825,vp.tbl[[#This Row],[Dens]]&lt;=900,vp.tbl[[#This Row],[Sulf]]&lt;=0.5,vp.tbl[[#This Row],[Unknown]]=0),1,0)</f>
        <v>0</v>
      </c>
      <c r="AD715">
        <f>IF(AND(vp.tbl[[#This Row],[CrudeType]]="Crude",vp.tbl[[#This Row],[Dens]]&gt;870,vp.tbl[[#This Row],[Dens]]&lt;=900,vp.tbl[[#This Row],[Sulf]]&gt;0.5,vp.tbl[[#This Row],[Unknown]]=0),1,0)</f>
        <v>0</v>
      </c>
      <c r="AE715">
        <f>IF(AND(vp.tbl[[#This Row],[CrudeType]]="Crude",vp.tbl[[#This Row],[Dens]]&gt;900,vp.tbl[[#This Row],[Sulf]]&lt;=0.5,vp.tbl[[#This Row],[Unknown]]=0),1,0)</f>
        <v>0</v>
      </c>
      <c r="AF715">
        <f>IF(AND(vp.tbl[[#This Row],[CrudeType]]="Crude",vp.tbl[[#This Row],[Dens]]&gt;900,vp.tbl[[#This Row],[Sulf]]&lt;=0.5,vp.tbl[[#This Row],[Unknown]]=0),1,0)</f>
        <v>0</v>
      </c>
      <c r="AG715" t="str">
        <f>INDEX(vp.tbl[[#Headers],[Unknown]:[Heavy_SW]],MATCH(1,vp.tbl[[#This Row],[Unknown]:[Heavy_SW]],0))</f>
        <v>Medium_LSB</v>
      </c>
      <c r="AH715" t="e">
        <f>INDEX([1]!crudeBD.lkup[Number],MATCH(vp.tbl[[#This Row],[Crude_Breakdown]],[1]!crudeBD.lkup[Crude Breakdown],0))</f>
        <v>#REF!</v>
      </c>
      <c r="AI715">
        <f>MONTH(vp.tbl[[#This Row],[SDate]])</f>
        <v>2</v>
      </c>
      <c r="AJ715" s="5">
        <f>IFERROR(vp.tbl[[#This Row],[Sulf]]*vp.tbl[[#This Row],[Net Dens]],"")</f>
        <v>75870344.659782603</v>
      </c>
      <c r="AK715" s="5">
        <f>IFERROR(vp.tbl[[#This Row],[Dens]]*vp.tbl[[#This Row],[VolumeM3]],"")</f>
        <v>102666230.93340001</v>
      </c>
      <c r="AL715" s="5">
        <f>IFERROR(vp.tbl[[#This Row],[VP]]*vp.tbl[[#This Row],[VolumeM3]],"")</f>
        <v>11920282.2972</v>
      </c>
      <c r="AM715" s="4">
        <f>IFERROR((vp.tbl[[#This Row],[VP]]-INDEX(crudeBD.lkup.complete[Mean_VP],MATCH(vp.tbl[[#This Row],[Crude_Breakdown]],crudeBD.lkup.complete[Crude Breakdown],0)))^2,"")</f>
        <v>244.18453520205202</v>
      </c>
      <c r="AN715" s="4">
        <f>IFERROR((vp.tbl[[#This Row],[Dens]]-INDEX(crudeBD.lkup.complete[Mean_Dens],MATCH(vp.tbl[[#This Row],[Crude_Breakdown]],crudeBD.lkup.complete[Crude Breakdown],0)))^2,"")</f>
        <v>407.70970737313667</v>
      </c>
      <c r="AO715" s="4">
        <f>IFERROR((vp.tbl[[#This Row],[Sulf]]-INDEX(crudeBD.lkup.complete[Mean_Sulf],MATCH(vp.tbl[[#This Row],[Crude_Breakdown]],crudeBD.lkup.complete[Crude Breakdown],0)))^2,"")</f>
        <v>0.51255556552711012</v>
      </c>
      <c r="AP715">
        <f>IF(AND(vp.tbl[[#This Row],[SDate]]&gt;=DATE(YEAR(vp.tbl[[#This Row],[SDate]]),5,1),vp.tbl[[#This Row],[SDate]]&lt;=DATE(YEAR(vp.tbl[[#This Row],[SDate]]),9,15)),1,0)</f>
        <v>0</v>
      </c>
      <c r="AQ715" s="15">
        <f>IF(vp.tbl[[#This Row],[SDate]]&lt;DATE(2016,12,1),0,1)</f>
        <v>1</v>
      </c>
    </row>
    <row r="716" spans="1:43" x14ac:dyDescent="0.25">
      <c r="A716">
        <v>715</v>
      </c>
      <c r="B716" t="s">
        <v>49</v>
      </c>
      <c r="C716" t="s">
        <v>49</v>
      </c>
      <c r="D716" t="s">
        <v>152</v>
      </c>
      <c r="F716" s="1">
        <v>42767</v>
      </c>
      <c r="G716" s="2">
        <v>66.599999999999994</v>
      </c>
      <c r="H716" s="2">
        <v>0.79200000000000004</v>
      </c>
      <c r="I716" s="2">
        <v>0.79200000000000004</v>
      </c>
      <c r="J716" s="2">
        <v>20.9</v>
      </c>
      <c r="K716" s="2">
        <v>-14</v>
      </c>
      <c r="L716" s="2">
        <v>842.6</v>
      </c>
      <c r="M716" s="2">
        <v>842.6</v>
      </c>
      <c r="N716" s="2">
        <f ca="1">INDEX(INDIRECT(_xlfn.CONCAT("weather.tbl[",N$1,"]")),MATCH(vp.tbl[[#This Row],[SDate]],weather.tbl[Date],0))</f>
        <v>-17.433333333333334</v>
      </c>
      <c r="O716" s="2">
        <f ca="1">INDEX(INDIRECT(_xlfn.CONCAT("weather.tbl[",O$1,"]")),MATCH(vp.tbl[[#This Row],[SDate]],weather.tbl[Date],0))</f>
        <v>-6.8666666666666663</v>
      </c>
      <c r="P716" s="2">
        <f ca="1">INDEX(INDIRECT(_xlfn.CONCAT("weather.tbl[",P$1,"]")),MATCH(vp.tbl[[#This Row],[SDate]],weather.tbl[Date],0))</f>
        <v>-18</v>
      </c>
      <c r="Q716" s="2">
        <f ca="1">INDEX(INDIRECT(_xlfn.CONCAT("weather.tbl[",Q$1,"]")),MATCH(vp.tbl[[#This Row],[SDate]],weather.tbl[Date],0))</f>
        <v>-17.2</v>
      </c>
      <c r="R716" s="2">
        <f ca="1">INDEX(INDIRECT(_xlfn.CONCAT("weather.tbl[",R$1,"]")),MATCH(vp.tbl[[#This Row],[SDate]],weather.tbl[Date],0))</f>
        <v>-19.3</v>
      </c>
      <c r="S716" s="2">
        <f ca="1">INDEX(INDIRECT(_xlfn.CONCAT("weather.tbl[",S$1,"]")),MATCH(vp.tbl[[#This Row],[SDate]],weather.tbl[Date],0))</f>
        <v>-11.2</v>
      </c>
      <c r="T716" s="2">
        <f ca="1">INDEX(INDIRECT(_xlfn.CONCAT("weather.tbl[",T$1,"]")),MATCH(vp.tbl[[#This Row],[SDate]],weather.tbl[Date],0))</f>
        <v>-19.399999999999999</v>
      </c>
      <c r="U716" s="2">
        <f ca="1">INDEX(INDIRECT(_xlfn.CONCAT("weather.tbl[",U$1,"]")),MATCH(vp.tbl[[#This Row],[SDate]],weather.tbl[Date],0))</f>
        <v>-19.5</v>
      </c>
      <c r="V716" s="2">
        <v>665.44299999999998</v>
      </c>
      <c r="W716" t="s">
        <v>48</v>
      </c>
      <c r="X716">
        <f>IF(OR(vp.tbl[[#This Row],[Sulf]]="",vp.tbl[[#This Row],[Dens]]=""),1,0)</f>
        <v>0</v>
      </c>
      <c r="Y716">
        <f>IF(vp.tbl[[#This Row],[CrudeType]]="C5+",1,0)</f>
        <v>0</v>
      </c>
      <c r="Z716">
        <f>IF(AND(vp.tbl[[#This Row],[CrudeType]]="Crude",vp.tbl[[#This Row],[Dens]]&lt;=825,vp.tbl[[#This Row],[Sulf]]&gt;0.5,vp.tbl[[#This Row],[Unknown]]=0),1,0)</f>
        <v>0</v>
      </c>
      <c r="AA716">
        <f>IF(AND(vp.tbl[[#This Row],[CrudeType]]="Crude",vp.tbl[[#This Row],[Dens]]&lt;=825,vp.tbl[[#This Row],[Sulf]]&lt;=0.5,vp.tbl[[#This Row],[Unknown]]=0),1,0)</f>
        <v>0</v>
      </c>
      <c r="AB716">
        <f>IF(AND(vp.tbl[[#This Row],[CrudeType]]="Crude",vp.tbl[[#This Row],[Dens]]&gt;825,vp.tbl[[#This Row],[Dens]]&lt;=870,vp.tbl[[#This Row],[Sulf]]&gt;0.5,vp.tbl[[#This Row],[Unknown]]=0),1,0)</f>
        <v>1</v>
      </c>
      <c r="AC716">
        <f>IF(AND(vp.tbl[[#This Row],[CrudeType]]="Crude",vp.tbl[[#This Row],[Dens]]&gt;825,vp.tbl[[#This Row],[Dens]]&lt;=900,vp.tbl[[#This Row],[Sulf]]&lt;=0.5,vp.tbl[[#This Row],[Unknown]]=0),1,0)</f>
        <v>0</v>
      </c>
      <c r="AD716">
        <f>IF(AND(vp.tbl[[#This Row],[CrudeType]]="Crude",vp.tbl[[#This Row],[Dens]]&gt;870,vp.tbl[[#This Row],[Dens]]&lt;=900,vp.tbl[[#This Row],[Sulf]]&gt;0.5,vp.tbl[[#This Row],[Unknown]]=0),1,0)</f>
        <v>0</v>
      </c>
      <c r="AE716">
        <f>IF(AND(vp.tbl[[#This Row],[CrudeType]]="Crude",vp.tbl[[#This Row],[Dens]]&gt;900,vp.tbl[[#This Row],[Sulf]]&lt;=0.5,vp.tbl[[#This Row],[Unknown]]=0),1,0)</f>
        <v>0</v>
      </c>
      <c r="AF716">
        <f>IF(AND(vp.tbl[[#This Row],[CrudeType]]="Crude",vp.tbl[[#This Row],[Dens]]&gt;900,vp.tbl[[#This Row],[Sulf]]&lt;=0.5,vp.tbl[[#This Row],[Unknown]]=0),1,0)</f>
        <v>0</v>
      </c>
      <c r="AG716" t="str">
        <f>INDEX(vp.tbl[[#Headers],[Unknown]:[Heavy_SW]],MATCH(1,vp.tbl[[#This Row],[Unknown]:[Heavy_SW]],0))</f>
        <v>Medium_LSB</v>
      </c>
      <c r="AH716" t="e">
        <f>INDEX([1]!crudeBD.lkup[Number],MATCH(vp.tbl[[#This Row],[Crude_Breakdown]],[1]!crudeBD.lkup[Crude Breakdown],0))</f>
        <v>#REF!</v>
      </c>
      <c r="AI716">
        <f>MONTH(vp.tbl[[#This Row],[SDate]])</f>
        <v>2</v>
      </c>
      <c r="AJ716" s="5">
        <f>IFERROR(vp.tbl[[#This Row],[Sulf]]*vp.tbl[[#This Row],[Net Dens]],"")</f>
        <v>444076.19926560001</v>
      </c>
      <c r="AK716" s="5">
        <f>IFERROR(vp.tbl[[#This Row],[Dens]]*vp.tbl[[#This Row],[VolumeM3]],"")</f>
        <v>560702.27179999999</v>
      </c>
      <c r="AL716" s="5">
        <f>IFERROR(vp.tbl[[#This Row],[VP]]*vp.tbl[[#This Row],[VolumeM3]],"")</f>
        <v>44318.503799999999</v>
      </c>
      <c r="AM716" s="4">
        <f>IFERROR((vp.tbl[[#This Row],[VP]]-INDEX(crudeBD.lkup.complete[Mean_VP],MATCH(vp.tbl[[#This Row],[Crude_Breakdown]],crudeBD.lkup.complete[Crude Breakdown],0)))^2,"")</f>
        <v>184.24247950584757</v>
      </c>
      <c r="AN716" s="4">
        <f>IFERROR((vp.tbl[[#This Row],[Dens]]-INDEX(crudeBD.lkup.complete[Mean_Dens],MATCH(vp.tbl[[#This Row],[Crude_Breakdown]],crudeBD.lkup.complete[Crude Breakdown],0)))^2,"")</f>
        <v>7.2459099048175215</v>
      </c>
      <c r="AO716" s="4">
        <f>IFERROR((vp.tbl[[#This Row],[Sulf]]-INDEX(crudeBD.lkup.complete[Mean_Sulf],MATCH(vp.tbl[[#This Row],[Crude_Breakdown]],crudeBD.lkup.complete[Crude Breakdown],0)))^2,"")</f>
        <v>0.43947600028660361</v>
      </c>
      <c r="AP716">
        <f>IF(AND(vp.tbl[[#This Row],[SDate]]&gt;=DATE(YEAR(vp.tbl[[#This Row],[SDate]]),5,1),vp.tbl[[#This Row],[SDate]]&lt;=DATE(YEAR(vp.tbl[[#This Row],[SDate]]),9,15)),1,0)</f>
        <v>0</v>
      </c>
      <c r="AQ716" s="15">
        <f>IF(vp.tbl[[#This Row],[SDate]]&lt;DATE(2016,12,1),0,1)</f>
        <v>1</v>
      </c>
    </row>
    <row r="717" spans="1:43" x14ac:dyDescent="0.25">
      <c r="A717">
        <v>716</v>
      </c>
      <c r="B717" t="s">
        <v>49</v>
      </c>
      <c r="C717" t="s">
        <v>49</v>
      </c>
      <c r="D717" t="s">
        <v>59</v>
      </c>
      <c r="F717" s="1">
        <v>42767</v>
      </c>
      <c r="G717" s="2">
        <v>87.2</v>
      </c>
      <c r="H717" s="2">
        <v>1.5760000000000001</v>
      </c>
      <c r="I717" s="2">
        <v>1.5760000000000001</v>
      </c>
      <c r="J717" s="2">
        <v>11.2</v>
      </c>
      <c r="K717" s="2">
        <v>-14</v>
      </c>
      <c r="L717" s="2">
        <v>850.5</v>
      </c>
      <c r="M717" s="2">
        <v>850.5</v>
      </c>
      <c r="N717" s="2">
        <f ca="1">INDEX(INDIRECT(_xlfn.CONCAT("weather.tbl[",N$1,"]")),MATCH(vp.tbl[[#This Row],[SDate]],weather.tbl[Date],0))</f>
        <v>-17.433333333333334</v>
      </c>
      <c r="O717" s="2">
        <f ca="1">INDEX(INDIRECT(_xlfn.CONCAT("weather.tbl[",O$1,"]")),MATCH(vp.tbl[[#This Row],[SDate]],weather.tbl[Date],0))</f>
        <v>-6.8666666666666663</v>
      </c>
      <c r="P717" s="2">
        <f ca="1">INDEX(INDIRECT(_xlfn.CONCAT("weather.tbl[",P$1,"]")),MATCH(vp.tbl[[#This Row],[SDate]],weather.tbl[Date],0))</f>
        <v>-18</v>
      </c>
      <c r="Q717" s="2">
        <f ca="1">INDEX(INDIRECT(_xlfn.CONCAT("weather.tbl[",Q$1,"]")),MATCH(vp.tbl[[#This Row],[SDate]],weather.tbl[Date],0))</f>
        <v>-17.2</v>
      </c>
      <c r="R717" s="2">
        <f ca="1">INDEX(INDIRECT(_xlfn.CONCAT("weather.tbl[",R$1,"]")),MATCH(vp.tbl[[#This Row],[SDate]],weather.tbl[Date],0))</f>
        <v>-19.3</v>
      </c>
      <c r="S717" s="2">
        <f ca="1">INDEX(INDIRECT(_xlfn.CONCAT("weather.tbl[",S$1,"]")),MATCH(vp.tbl[[#This Row],[SDate]],weather.tbl[Date],0))</f>
        <v>-11.2</v>
      </c>
      <c r="T717" s="2">
        <f ca="1">INDEX(INDIRECT(_xlfn.CONCAT("weather.tbl[",T$1,"]")),MATCH(vp.tbl[[#This Row],[SDate]],weather.tbl[Date],0))</f>
        <v>-19.399999999999999</v>
      </c>
      <c r="U717" s="2">
        <f ca="1">INDEX(INDIRECT(_xlfn.CONCAT("weather.tbl[",U$1,"]")),MATCH(vp.tbl[[#This Row],[SDate]],weather.tbl[Date],0))</f>
        <v>-19.5</v>
      </c>
      <c r="V717" s="2">
        <v>1437.386</v>
      </c>
      <c r="W717" t="s">
        <v>48</v>
      </c>
      <c r="X717">
        <f>IF(OR(vp.tbl[[#This Row],[Sulf]]="",vp.tbl[[#This Row],[Dens]]=""),1,0)</f>
        <v>0</v>
      </c>
      <c r="Y717">
        <f>IF(vp.tbl[[#This Row],[CrudeType]]="C5+",1,0)</f>
        <v>0</v>
      </c>
      <c r="Z717">
        <f>IF(AND(vp.tbl[[#This Row],[CrudeType]]="Crude",vp.tbl[[#This Row],[Dens]]&lt;=825,vp.tbl[[#This Row],[Sulf]]&gt;0.5,vp.tbl[[#This Row],[Unknown]]=0),1,0)</f>
        <v>0</v>
      </c>
      <c r="AA717">
        <f>IF(AND(vp.tbl[[#This Row],[CrudeType]]="Crude",vp.tbl[[#This Row],[Dens]]&lt;=825,vp.tbl[[#This Row],[Sulf]]&lt;=0.5,vp.tbl[[#This Row],[Unknown]]=0),1,0)</f>
        <v>0</v>
      </c>
      <c r="AB717">
        <f>IF(AND(vp.tbl[[#This Row],[CrudeType]]="Crude",vp.tbl[[#This Row],[Dens]]&gt;825,vp.tbl[[#This Row],[Dens]]&lt;=870,vp.tbl[[#This Row],[Sulf]]&gt;0.5,vp.tbl[[#This Row],[Unknown]]=0),1,0)</f>
        <v>1</v>
      </c>
      <c r="AC717">
        <f>IF(AND(vp.tbl[[#This Row],[CrudeType]]="Crude",vp.tbl[[#This Row],[Dens]]&gt;825,vp.tbl[[#This Row],[Dens]]&lt;=900,vp.tbl[[#This Row],[Sulf]]&lt;=0.5,vp.tbl[[#This Row],[Unknown]]=0),1,0)</f>
        <v>0</v>
      </c>
      <c r="AD717">
        <f>IF(AND(vp.tbl[[#This Row],[CrudeType]]="Crude",vp.tbl[[#This Row],[Dens]]&gt;870,vp.tbl[[#This Row],[Dens]]&lt;=900,vp.tbl[[#This Row],[Sulf]]&gt;0.5,vp.tbl[[#This Row],[Unknown]]=0),1,0)</f>
        <v>0</v>
      </c>
      <c r="AE717">
        <f>IF(AND(vp.tbl[[#This Row],[CrudeType]]="Crude",vp.tbl[[#This Row],[Dens]]&gt;900,vp.tbl[[#This Row],[Sulf]]&lt;=0.5,vp.tbl[[#This Row],[Unknown]]=0),1,0)</f>
        <v>0</v>
      </c>
      <c r="AF717">
        <f>IF(AND(vp.tbl[[#This Row],[CrudeType]]="Crude",vp.tbl[[#This Row],[Dens]]&gt;900,vp.tbl[[#This Row],[Sulf]]&lt;=0.5,vp.tbl[[#This Row],[Unknown]]=0),1,0)</f>
        <v>0</v>
      </c>
      <c r="AG717" t="str">
        <f>INDEX(vp.tbl[[#Headers],[Unknown]:[Heavy_SW]],MATCH(1,vp.tbl[[#This Row],[Unknown]:[Heavy_SW]],0))</f>
        <v>Medium_LSB</v>
      </c>
      <c r="AH717" t="e">
        <f>INDEX([1]!crudeBD.lkup[Number],MATCH(vp.tbl[[#This Row],[Crude_Breakdown]],[1]!crudeBD.lkup[Crude Breakdown],0))</f>
        <v>#REF!</v>
      </c>
      <c r="AI717">
        <f>MONTH(vp.tbl[[#This Row],[SDate]])</f>
        <v>2</v>
      </c>
      <c r="AJ717" s="5">
        <f>IFERROR(vp.tbl[[#This Row],[Sulf]]*vp.tbl[[#This Row],[Net Dens]],"")</f>
        <v>1926654.9457680001</v>
      </c>
      <c r="AK717" s="5">
        <f>IFERROR(vp.tbl[[#This Row],[Dens]]*vp.tbl[[#This Row],[VolumeM3]],"")</f>
        <v>1222496.7930000001</v>
      </c>
      <c r="AL717" s="5">
        <f>IFERROR(vp.tbl[[#This Row],[VP]]*vp.tbl[[#This Row],[VolumeM3]],"")</f>
        <v>125340.0592</v>
      </c>
      <c r="AM717" s="4">
        <f>IFERROR((vp.tbl[[#This Row],[VP]]-INDEX(crudeBD.lkup.complete[Mean_VP],MATCH(vp.tbl[[#This Row],[Crude_Breakdown]],crudeBD.lkup.complete[Crude Breakdown],0)))^2,"")</f>
        <v>49.370368113443917</v>
      </c>
      <c r="AN717" s="4">
        <f>IFERROR((vp.tbl[[#This Row],[Dens]]-INDEX(crudeBD.lkup.complete[Mean_Dens],MATCH(vp.tbl[[#This Row],[Crude_Breakdown]],crudeBD.lkup.complete[Crude Breakdown],0)))^2,"")</f>
        <v>27.125109904833202</v>
      </c>
      <c r="AO717" s="4">
        <f>IFERROR((vp.tbl[[#This Row],[Sulf]]-INDEX(crudeBD.lkup.complete[Mean_Sulf],MATCH(vp.tbl[[#This Row],[Crude_Breakdown]],crudeBD.lkup.complete[Crude Breakdown],0)))^2,"")</f>
        <v>1.4657978615715248E-2</v>
      </c>
      <c r="AP717">
        <f>IF(AND(vp.tbl[[#This Row],[SDate]]&gt;=DATE(YEAR(vp.tbl[[#This Row],[SDate]]),5,1),vp.tbl[[#This Row],[SDate]]&lt;=DATE(YEAR(vp.tbl[[#This Row],[SDate]]),9,15)),1,0)</f>
        <v>0</v>
      </c>
      <c r="AQ717" s="15">
        <f>IF(vp.tbl[[#This Row],[SDate]]&lt;DATE(2016,12,1),0,1)</f>
        <v>1</v>
      </c>
    </row>
    <row r="718" spans="1:43" x14ac:dyDescent="0.25">
      <c r="A718">
        <v>717</v>
      </c>
      <c r="B718" t="s">
        <v>62</v>
      </c>
      <c r="C718" t="s">
        <v>62</v>
      </c>
      <c r="D718" t="s">
        <v>63</v>
      </c>
      <c r="F718" s="1">
        <v>42767</v>
      </c>
      <c r="G718" s="2">
        <v>118.6</v>
      </c>
      <c r="H718" s="2"/>
      <c r="I718" s="2">
        <v>1.53</v>
      </c>
      <c r="J718" s="2">
        <v>4.5999999999999996</v>
      </c>
      <c r="K718" s="2">
        <v>-14</v>
      </c>
      <c r="L718" s="2">
        <v>823.9</v>
      </c>
      <c r="M718" s="2">
        <v>823.9</v>
      </c>
      <c r="N718" s="2">
        <f ca="1">INDEX(INDIRECT(_xlfn.CONCAT("weather.tbl[",N$1,"]")),MATCH(vp.tbl[[#This Row],[SDate]],weather.tbl[Date],0))</f>
        <v>-17.433333333333334</v>
      </c>
      <c r="O718" s="2">
        <f ca="1">INDEX(INDIRECT(_xlfn.CONCAT("weather.tbl[",O$1,"]")),MATCH(vp.tbl[[#This Row],[SDate]],weather.tbl[Date],0))</f>
        <v>-6.8666666666666663</v>
      </c>
      <c r="P718" s="2">
        <f ca="1">INDEX(INDIRECT(_xlfn.CONCAT("weather.tbl[",P$1,"]")),MATCH(vp.tbl[[#This Row],[SDate]],weather.tbl[Date],0))</f>
        <v>-18</v>
      </c>
      <c r="Q718" s="2">
        <f ca="1">INDEX(INDIRECT(_xlfn.CONCAT("weather.tbl[",Q$1,"]")),MATCH(vp.tbl[[#This Row],[SDate]],weather.tbl[Date],0))</f>
        <v>-17.2</v>
      </c>
      <c r="R718" s="2">
        <f ca="1">INDEX(INDIRECT(_xlfn.CONCAT("weather.tbl[",R$1,"]")),MATCH(vp.tbl[[#This Row],[SDate]],weather.tbl[Date],0))</f>
        <v>-19.3</v>
      </c>
      <c r="S718" s="2">
        <f ca="1">INDEX(INDIRECT(_xlfn.CONCAT("weather.tbl[",S$1,"]")),MATCH(vp.tbl[[#This Row],[SDate]],weather.tbl[Date],0))</f>
        <v>-11.2</v>
      </c>
      <c r="T718" s="2">
        <f ca="1">INDEX(INDIRECT(_xlfn.CONCAT("weather.tbl[",T$1,"]")),MATCH(vp.tbl[[#This Row],[SDate]],weather.tbl[Date],0))</f>
        <v>-19.399999999999999</v>
      </c>
      <c r="U718" s="2">
        <f ca="1">INDEX(INDIRECT(_xlfn.CONCAT("weather.tbl[",U$1,"]")),MATCH(vp.tbl[[#This Row],[SDate]],weather.tbl[Date],0))</f>
        <v>-19.5</v>
      </c>
      <c r="V718" s="2">
        <v>4978.7389999999996</v>
      </c>
      <c r="W718" t="s">
        <v>48</v>
      </c>
      <c r="X718">
        <f>IF(OR(vp.tbl[[#This Row],[Sulf]]="",vp.tbl[[#This Row],[Dens]]=""),1,0)</f>
        <v>0</v>
      </c>
      <c r="Y718">
        <f>IF(vp.tbl[[#This Row],[CrudeType]]="C5+",1,0)</f>
        <v>0</v>
      </c>
      <c r="Z718">
        <f>IF(AND(vp.tbl[[#This Row],[CrudeType]]="Crude",vp.tbl[[#This Row],[Dens]]&lt;=825,vp.tbl[[#This Row],[Sulf]]&gt;0.5,vp.tbl[[#This Row],[Unknown]]=0),1,0)</f>
        <v>1</v>
      </c>
      <c r="AA718">
        <f>IF(AND(vp.tbl[[#This Row],[CrudeType]]="Crude",vp.tbl[[#This Row],[Dens]]&lt;=825,vp.tbl[[#This Row],[Sulf]]&lt;=0.5,vp.tbl[[#This Row],[Unknown]]=0),1,0)</f>
        <v>0</v>
      </c>
      <c r="AB718">
        <f>IF(AND(vp.tbl[[#This Row],[CrudeType]]="Crude",vp.tbl[[#This Row],[Dens]]&gt;825,vp.tbl[[#This Row],[Dens]]&lt;=870,vp.tbl[[#This Row],[Sulf]]&gt;0.5,vp.tbl[[#This Row],[Unknown]]=0),1,0)</f>
        <v>0</v>
      </c>
      <c r="AC718">
        <f>IF(AND(vp.tbl[[#This Row],[CrudeType]]="Crude",vp.tbl[[#This Row],[Dens]]&gt;825,vp.tbl[[#This Row],[Dens]]&lt;=900,vp.tbl[[#This Row],[Sulf]]&lt;=0.5,vp.tbl[[#This Row],[Unknown]]=0),1,0)</f>
        <v>0</v>
      </c>
      <c r="AD718">
        <f>IF(AND(vp.tbl[[#This Row],[CrudeType]]="Crude",vp.tbl[[#This Row],[Dens]]&gt;870,vp.tbl[[#This Row],[Dens]]&lt;=900,vp.tbl[[#This Row],[Sulf]]&gt;0.5,vp.tbl[[#This Row],[Unknown]]=0),1,0)</f>
        <v>0</v>
      </c>
      <c r="AE718">
        <f>IF(AND(vp.tbl[[#This Row],[CrudeType]]="Crude",vp.tbl[[#This Row],[Dens]]&gt;900,vp.tbl[[#This Row],[Sulf]]&lt;=0.5,vp.tbl[[#This Row],[Unknown]]=0),1,0)</f>
        <v>0</v>
      </c>
      <c r="AF718">
        <f>IF(AND(vp.tbl[[#This Row],[CrudeType]]="Crude",vp.tbl[[#This Row],[Dens]]&gt;900,vp.tbl[[#This Row],[Sulf]]&lt;=0.5,vp.tbl[[#This Row],[Unknown]]=0),1,0)</f>
        <v>0</v>
      </c>
      <c r="AG718" t="str">
        <f>INDEX(vp.tbl[[#Headers],[Unknown]:[Heavy_SW]],MATCH(1,vp.tbl[[#This Row],[Unknown]:[Heavy_SW]],0))</f>
        <v>Light_LSB</v>
      </c>
      <c r="AH718" t="e">
        <f>INDEX([1]!crudeBD.lkup[Number],MATCH(vp.tbl[[#This Row],[Crude_Breakdown]],[1]!crudeBD.lkup[Crude Breakdown],0))</f>
        <v>#REF!</v>
      </c>
      <c r="AI718">
        <f>MONTH(vp.tbl[[#This Row],[SDate]])</f>
        <v>2</v>
      </c>
      <c r="AJ718" s="5">
        <f>IFERROR(vp.tbl[[#This Row],[Sulf]]*vp.tbl[[#This Row],[Net Dens]],"")</f>
        <v>6276034.0850129994</v>
      </c>
      <c r="AK718" s="5">
        <f>IFERROR(vp.tbl[[#This Row],[Dens]]*vp.tbl[[#This Row],[VolumeM3]],"")</f>
        <v>4101983.0620999997</v>
      </c>
      <c r="AL718" s="5">
        <f>IFERROR(vp.tbl[[#This Row],[VP]]*vp.tbl[[#This Row],[VolumeM3]],"")</f>
        <v>590478.44539999997</v>
      </c>
      <c r="AM718" s="4">
        <f>IFERROR((vp.tbl[[#This Row],[VP]]-INDEX(crudeBD.lkup.complete[Mean_VP],MATCH(vp.tbl[[#This Row],[Crude_Breakdown]],crudeBD.lkup.complete[Crude Breakdown],0)))^2,"")</f>
        <v>731.90887537463936</v>
      </c>
      <c r="AN718" s="4">
        <f>IFERROR((vp.tbl[[#This Row],[Dens]]-INDEX(crudeBD.lkup.complete[Mean_Dens],MATCH(vp.tbl[[#This Row],[Crude_Breakdown]],crudeBD.lkup.complete[Crude Breakdown],0)))^2,"")</f>
        <v>28.979167822773299</v>
      </c>
      <c r="AO718" s="4">
        <f>IFERROR((vp.tbl[[#This Row],[Sulf]]-INDEX(crudeBD.lkup.complete[Mean_Sulf],MATCH(vp.tbl[[#This Row],[Crude_Breakdown]],crudeBD.lkup.complete[Crude Breakdown],0)))^2,"")</f>
        <v>0.3684840024120184</v>
      </c>
      <c r="AP718">
        <f>IF(AND(vp.tbl[[#This Row],[SDate]]&gt;=DATE(YEAR(vp.tbl[[#This Row],[SDate]]),5,1),vp.tbl[[#This Row],[SDate]]&lt;=DATE(YEAR(vp.tbl[[#This Row],[SDate]]),9,15)),1,0)</f>
        <v>0</v>
      </c>
      <c r="AQ718" s="15">
        <f>IF(vp.tbl[[#This Row],[SDate]]&lt;DATE(2016,12,1),0,1)</f>
        <v>1</v>
      </c>
    </row>
    <row r="719" spans="1:43" x14ac:dyDescent="0.25">
      <c r="A719">
        <v>718</v>
      </c>
      <c r="B719" t="s">
        <v>51</v>
      </c>
      <c r="C719" t="s">
        <v>51</v>
      </c>
      <c r="D719" t="s">
        <v>153</v>
      </c>
      <c r="F719" s="1">
        <v>42767</v>
      </c>
      <c r="G719" s="2">
        <v>80.7</v>
      </c>
      <c r="H719" s="2"/>
      <c r="I719" s="2">
        <v>0.99</v>
      </c>
      <c r="J719" s="2">
        <v>11.6</v>
      </c>
      <c r="K719" s="2">
        <v>-14</v>
      </c>
      <c r="L719" s="2">
        <v>834.8</v>
      </c>
      <c r="M719" s="2">
        <v>834.8</v>
      </c>
      <c r="N719" s="2">
        <f ca="1">INDEX(INDIRECT(_xlfn.CONCAT("weather.tbl[",N$1,"]")),MATCH(vp.tbl[[#This Row],[SDate]],weather.tbl[Date],0))</f>
        <v>-17.433333333333334</v>
      </c>
      <c r="O719" s="2">
        <f ca="1">INDEX(INDIRECT(_xlfn.CONCAT("weather.tbl[",O$1,"]")),MATCH(vp.tbl[[#This Row],[SDate]],weather.tbl[Date],0))</f>
        <v>-6.8666666666666663</v>
      </c>
      <c r="P719" s="2">
        <f ca="1">INDEX(INDIRECT(_xlfn.CONCAT("weather.tbl[",P$1,"]")),MATCH(vp.tbl[[#This Row],[SDate]],weather.tbl[Date],0))</f>
        <v>-18</v>
      </c>
      <c r="Q719" s="2">
        <f ca="1">INDEX(INDIRECT(_xlfn.CONCAT("weather.tbl[",Q$1,"]")),MATCH(vp.tbl[[#This Row],[SDate]],weather.tbl[Date],0))</f>
        <v>-17.2</v>
      </c>
      <c r="R719" s="2">
        <f ca="1">INDEX(INDIRECT(_xlfn.CONCAT("weather.tbl[",R$1,"]")),MATCH(vp.tbl[[#This Row],[SDate]],weather.tbl[Date],0))</f>
        <v>-19.3</v>
      </c>
      <c r="S719" s="2">
        <f ca="1">INDEX(INDIRECT(_xlfn.CONCAT("weather.tbl[",S$1,"]")),MATCH(vp.tbl[[#This Row],[SDate]],weather.tbl[Date],0))</f>
        <v>-11.2</v>
      </c>
      <c r="T719" s="2">
        <f ca="1">INDEX(INDIRECT(_xlfn.CONCAT("weather.tbl[",T$1,"]")),MATCH(vp.tbl[[#This Row],[SDate]],weather.tbl[Date],0))</f>
        <v>-19.399999999999999</v>
      </c>
      <c r="U719" s="2">
        <f ca="1">INDEX(INDIRECT(_xlfn.CONCAT("weather.tbl[",U$1,"]")),MATCH(vp.tbl[[#This Row],[SDate]],weather.tbl[Date],0))</f>
        <v>-19.5</v>
      </c>
      <c r="V719" s="2">
        <v>1340.56</v>
      </c>
      <c r="W719" t="s">
        <v>48</v>
      </c>
      <c r="X719">
        <f>IF(OR(vp.tbl[[#This Row],[Sulf]]="",vp.tbl[[#This Row],[Dens]]=""),1,0)</f>
        <v>0</v>
      </c>
      <c r="Y719">
        <f>IF(vp.tbl[[#This Row],[CrudeType]]="C5+",1,0)</f>
        <v>0</v>
      </c>
      <c r="Z719">
        <f>IF(AND(vp.tbl[[#This Row],[CrudeType]]="Crude",vp.tbl[[#This Row],[Dens]]&lt;=825,vp.tbl[[#This Row],[Sulf]]&gt;0.5,vp.tbl[[#This Row],[Unknown]]=0),1,0)</f>
        <v>0</v>
      </c>
      <c r="AA719">
        <f>IF(AND(vp.tbl[[#This Row],[CrudeType]]="Crude",vp.tbl[[#This Row],[Dens]]&lt;=825,vp.tbl[[#This Row],[Sulf]]&lt;=0.5,vp.tbl[[#This Row],[Unknown]]=0),1,0)</f>
        <v>0</v>
      </c>
      <c r="AB719">
        <f>IF(AND(vp.tbl[[#This Row],[CrudeType]]="Crude",vp.tbl[[#This Row],[Dens]]&gt;825,vp.tbl[[#This Row],[Dens]]&lt;=870,vp.tbl[[#This Row],[Sulf]]&gt;0.5,vp.tbl[[#This Row],[Unknown]]=0),1,0)</f>
        <v>1</v>
      </c>
      <c r="AC719">
        <f>IF(AND(vp.tbl[[#This Row],[CrudeType]]="Crude",vp.tbl[[#This Row],[Dens]]&gt;825,vp.tbl[[#This Row],[Dens]]&lt;=900,vp.tbl[[#This Row],[Sulf]]&lt;=0.5,vp.tbl[[#This Row],[Unknown]]=0),1,0)</f>
        <v>0</v>
      </c>
      <c r="AD719">
        <f>IF(AND(vp.tbl[[#This Row],[CrudeType]]="Crude",vp.tbl[[#This Row],[Dens]]&gt;870,vp.tbl[[#This Row],[Dens]]&lt;=900,vp.tbl[[#This Row],[Sulf]]&gt;0.5,vp.tbl[[#This Row],[Unknown]]=0),1,0)</f>
        <v>0</v>
      </c>
      <c r="AE719">
        <f>IF(AND(vp.tbl[[#This Row],[CrudeType]]="Crude",vp.tbl[[#This Row],[Dens]]&gt;900,vp.tbl[[#This Row],[Sulf]]&lt;=0.5,vp.tbl[[#This Row],[Unknown]]=0),1,0)</f>
        <v>0</v>
      </c>
      <c r="AF719">
        <f>IF(AND(vp.tbl[[#This Row],[CrudeType]]="Crude",vp.tbl[[#This Row],[Dens]]&gt;900,vp.tbl[[#This Row],[Sulf]]&lt;=0.5,vp.tbl[[#This Row],[Unknown]]=0),1,0)</f>
        <v>0</v>
      </c>
      <c r="AG719" t="str">
        <f>INDEX(vp.tbl[[#Headers],[Unknown]:[Heavy_SW]],MATCH(1,vp.tbl[[#This Row],[Unknown]:[Heavy_SW]],0))</f>
        <v>Medium_LSB</v>
      </c>
      <c r="AH719" t="e">
        <f>INDEX([1]!crudeBD.lkup[Number],MATCH(vp.tbl[[#This Row],[Crude_Breakdown]],[1]!crudeBD.lkup[Crude Breakdown],0))</f>
        <v>#REF!</v>
      </c>
      <c r="AI719">
        <f>MONTH(vp.tbl[[#This Row],[SDate]])</f>
        <v>2</v>
      </c>
      <c r="AJ719" s="5">
        <f>IFERROR(vp.tbl[[#This Row],[Sulf]]*vp.tbl[[#This Row],[Net Dens]],"")</f>
        <v>1107908.49312</v>
      </c>
      <c r="AK719" s="5">
        <f>IFERROR(vp.tbl[[#This Row],[Dens]]*vp.tbl[[#This Row],[VolumeM3]],"")</f>
        <v>1119099.4879999999</v>
      </c>
      <c r="AL719" s="5">
        <f>IFERROR(vp.tbl[[#This Row],[VP]]*vp.tbl[[#This Row],[VolumeM3]],"")</f>
        <v>108183.192</v>
      </c>
      <c r="AM719" s="4">
        <f>IFERROR((vp.tbl[[#This Row],[VP]]-INDEX(crudeBD.lkup.complete[Mean_VP],MATCH(vp.tbl[[#This Row],[Crude_Breakdown]],crudeBD.lkup.complete[Crude Breakdown],0)))^2,"")</f>
        <v>0.27710229065859016</v>
      </c>
      <c r="AN719" s="4">
        <f>IFERROR((vp.tbl[[#This Row],[Dens]]-INDEX(crudeBD.lkup.complete[Mean_Dens],MATCH(vp.tbl[[#This Row],[Crude_Breakdown]],crudeBD.lkup.complete[Crude Breakdown],0)))^2,"")</f>
        <v>110.07834534784121</v>
      </c>
      <c r="AO719" s="4">
        <f>IFERROR((vp.tbl[[#This Row],[Sulf]]-INDEX(crudeBD.lkup.complete[Mean_Sulf],MATCH(vp.tbl[[#This Row],[Crude_Breakdown]],crudeBD.lkup.complete[Crude Breakdown],0)))^2,"")</f>
        <v>0.21615977542584355</v>
      </c>
      <c r="AP719">
        <f>IF(AND(vp.tbl[[#This Row],[SDate]]&gt;=DATE(YEAR(vp.tbl[[#This Row],[SDate]]),5,1),vp.tbl[[#This Row],[SDate]]&lt;=DATE(YEAR(vp.tbl[[#This Row],[SDate]]),9,15)),1,0)</f>
        <v>0</v>
      </c>
      <c r="AQ719" s="15">
        <f>IF(vp.tbl[[#This Row],[SDate]]&lt;DATE(2016,12,1),0,1)</f>
        <v>1</v>
      </c>
    </row>
    <row r="720" spans="1:43" x14ac:dyDescent="0.25">
      <c r="A720">
        <v>719</v>
      </c>
      <c r="B720" t="s">
        <v>51</v>
      </c>
      <c r="C720" t="s">
        <v>51</v>
      </c>
      <c r="D720" t="s">
        <v>72</v>
      </c>
      <c r="F720" s="1">
        <v>42767</v>
      </c>
      <c r="G720" s="2">
        <v>97.9</v>
      </c>
      <c r="H720" s="2"/>
      <c r="I720" s="2">
        <v>1.1299999999999999</v>
      </c>
      <c r="J720" s="2">
        <v>15.6</v>
      </c>
      <c r="K720" s="2">
        <v>-14</v>
      </c>
      <c r="L720" s="2">
        <v>835.1</v>
      </c>
      <c r="M720" s="2">
        <v>835.1</v>
      </c>
      <c r="N720" s="2">
        <f ca="1">INDEX(INDIRECT(_xlfn.CONCAT("weather.tbl[",N$1,"]")),MATCH(vp.tbl[[#This Row],[SDate]],weather.tbl[Date],0))</f>
        <v>-17.433333333333334</v>
      </c>
      <c r="O720" s="2">
        <f ca="1">INDEX(INDIRECT(_xlfn.CONCAT("weather.tbl[",O$1,"]")),MATCH(vp.tbl[[#This Row],[SDate]],weather.tbl[Date],0))</f>
        <v>-6.8666666666666663</v>
      </c>
      <c r="P720" s="2">
        <f ca="1">INDEX(INDIRECT(_xlfn.CONCAT("weather.tbl[",P$1,"]")),MATCH(vp.tbl[[#This Row],[SDate]],weather.tbl[Date],0))</f>
        <v>-18</v>
      </c>
      <c r="Q720" s="2">
        <f ca="1">INDEX(INDIRECT(_xlfn.CONCAT("weather.tbl[",Q$1,"]")),MATCH(vp.tbl[[#This Row],[SDate]],weather.tbl[Date],0))</f>
        <v>-17.2</v>
      </c>
      <c r="R720" s="2">
        <f ca="1">INDEX(INDIRECT(_xlfn.CONCAT("weather.tbl[",R$1,"]")),MATCH(vp.tbl[[#This Row],[SDate]],weather.tbl[Date],0))</f>
        <v>-19.3</v>
      </c>
      <c r="S720" s="2">
        <f ca="1">INDEX(INDIRECT(_xlfn.CONCAT("weather.tbl[",S$1,"]")),MATCH(vp.tbl[[#This Row],[SDate]],weather.tbl[Date],0))</f>
        <v>-11.2</v>
      </c>
      <c r="T720" s="2">
        <f ca="1">INDEX(INDIRECT(_xlfn.CONCAT("weather.tbl[",T$1,"]")),MATCH(vp.tbl[[#This Row],[SDate]],weather.tbl[Date],0))</f>
        <v>-19.399999999999999</v>
      </c>
      <c r="U720" s="2">
        <f ca="1">INDEX(INDIRECT(_xlfn.CONCAT("weather.tbl[",U$1,"]")),MATCH(vp.tbl[[#This Row],[SDate]],weather.tbl[Date],0))</f>
        <v>-19.5</v>
      </c>
      <c r="V720" s="2">
        <v>12541.532999999999</v>
      </c>
      <c r="W720" t="s">
        <v>48</v>
      </c>
      <c r="X720">
        <f>IF(OR(vp.tbl[[#This Row],[Sulf]]="",vp.tbl[[#This Row],[Dens]]=""),1,0)</f>
        <v>0</v>
      </c>
      <c r="Y720">
        <f>IF(vp.tbl[[#This Row],[CrudeType]]="C5+",1,0)</f>
        <v>0</v>
      </c>
      <c r="Z720">
        <f>IF(AND(vp.tbl[[#This Row],[CrudeType]]="Crude",vp.tbl[[#This Row],[Dens]]&lt;=825,vp.tbl[[#This Row],[Sulf]]&gt;0.5,vp.tbl[[#This Row],[Unknown]]=0),1,0)</f>
        <v>0</v>
      </c>
      <c r="AA720">
        <f>IF(AND(vp.tbl[[#This Row],[CrudeType]]="Crude",vp.tbl[[#This Row],[Dens]]&lt;=825,vp.tbl[[#This Row],[Sulf]]&lt;=0.5,vp.tbl[[#This Row],[Unknown]]=0),1,0)</f>
        <v>0</v>
      </c>
      <c r="AB720">
        <f>IF(AND(vp.tbl[[#This Row],[CrudeType]]="Crude",vp.tbl[[#This Row],[Dens]]&gt;825,vp.tbl[[#This Row],[Dens]]&lt;=870,vp.tbl[[#This Row],[Sulf]]&gt;0.5,vp.tbl[[#This Row],[Unknown]]=0),1,0)</f>
        <v>1</v>
      </c>
      <c r="AC720">
        <f>IF(AND(vp.tbl[[#This Row],[CrudeType]]="Crude",vp.tbl[[#This Row],[Dens]]&gt;825,vp.tbl[[#This Row],[Dens]]&lt;=900,vp.tbl[[#This Row],[Sulf]]&lt;=0.5,vp.tbl[[#This Row],[Unknown]]=0),1,0)</f>
        <v>0</v>
      </c>
      <c r="AD720">
        <f>IF(AND(vp.tbl[[#This Row],[CrudeType]]="Crude",vp.tbl[[#This Row],[Dens]]&gt;870,vp.tbl[[#This Row],[Dens]]&lt;=900,vp.tbl[[#This Row],[Sulf]]&gt;0.5,vp.tbl[[#This Row],[Unknown]]=0),1,0)</f>
        <v>0</v>
      </c>
      <c r="AE720">
        <f>IF(AND(vp.tbl[[#This Row],[CrudeType]]="Crude",vp.tbl[[#This Row],[Dens]]&gt;900,vp.tbl[[#This Row],[Sulf]]&lt;=0.5,vp.tbl[[#This Row],[Unknown]]=0),1,0)</f>
        <v>0</v>
      </c>
      <c r="AF720">
        <f>IF(AND(vp.tbl[[#This Row],[CrudeType]]="Crude",vp.tbl[[#This Row],[Dens]]&gt;900,vp.tbl[[#This Row],[Sulf]]&lt;=0.5,vp.tbl[[#This Row],[Unknown]]=0),1,0)</f>
        <v>0</v>
      </c>
      <c r="AG720" t="str">
        <f>INDEX(vp.tbl[[#Headers],[Unknown]:[Heavy_SW]],MATCH(1,vp.tbl[[#This Row],[Unknown]:[Heavy_SW]],0))</f>
        <v>Medium_LSB</v>
      </c>
      <c r="AH720" t="e">
        <f>INDEX([1]!crudeBD.lkup[Number],MATCH(vp.tbl[[#This Row],[Crude_Breakdown]],[1]!crudeBD.lkup[Crude Breakdown],0))</f>
        <v>#REF!</v>
      </c>
      <c r="AI720">
        <f>MONTH(vp.tbl[[#This Row],[SDate]])</f>
        <v>2</v>
      </c>
      <c r="AJ720" s="5">
        <f>IFERROR(vp.tbl[[#This Row],[Sulf]]*vp.tbl[[#This Row],[Net Dens]],"")</f>
        <v>11834980.655378999</v>
      </c>
      <c r="AK720" s="5">
        <f>IFERROR(vp.tbl[[#This Row],[Dens]]*vp.tbl[[#This Row],[VolumeM3]],"")</f>
        <v>10473434.2083</v>
      </c>
      <c r="AL720" s="5">
        <f>IFERROR(vp.tbl[[#This Row],[VP]]*vp.tbl[[#This Row],[VolumeM3]],"")</f>
        <v>1227816.0807</v>
      </c>
      <c r="AM720" s="4">
        <f>IFERROR((vp.tbl[[#This Row],[VP]]-INDEX(crudeBD.lkup.complete[Mean_VP],MATCH(vp.tbl[[#This Row],[Crude_Breakdown]],crudeBD.lkup.complete[Crude Breakdown],0)))^2,"")</f>
        <v>314.22543646787523</v>
      </c>
      <c r="AN720" s="4">
        <f>IFERROR((vp.tbl[[#This Row],[Dens]]-INDEX(crudeBD.lkup.complete[Mean_Dens],MATCH(vp.tbl[[#This Row],[Crude_Breakdown]],crudeBD.lkup.complete[Crude Breakdown],0)))^2,"")</f>
        <v>103.87325167695431</v>
      </c>
      <c r="AO720" s="4">
        <f>IFERROR((vp.tbl[[#This Row],[Sulf]]-INDEX(crudeBD.lkup.complete[Mean_Sulf],MATCH(vp.tbl[[#This Row],[Crude_Breakdown]],crudeBD.lkup.complete[Crude Breakdown],0)))^2,"")</f>
        <v>0.10557941441318498</v>
      </c>
      <c r="AP720">
        <f>IF(AND(vp.tbl[[#This Row],[SDate]]&gt;=DATE(YEAR(vp.tbl[[#This Row],[SDate]]),5,1),vp.tbl[[#This Row],[SDate]]&lt;=DATE(YEAR(vp.tbl[[#This Row],[SDate]]),9,15)),1,0)</f>
        <v>0</v>
      </c>
      <c r="AQ720" s="15">
        <f>IF(vp.tbl[[#This Row],[SDate]]&lt;DATE(2016,12,1),0,1)</f>
        <v>1</v>
      </c>
    </row>
    <row r="721" spans="1:43" x14ac:dyDescent="0.25">
      <c r="A721">
        <v>720</v>
      </c>
      <c r="B721" t="s">
        <v>68</v>
      </c>
      <c r="C721" t="s">
        <v>68</v>
      </c>
      <c r="D721" t="s">
        <v>98</v>
      </c>
      <c r="F721" s="1">
        <v>42767</v>
      </c>
      <c r="G721" s="2">
        <v>60.7</v>
      </c>
      <c r="H721" s="2"/>
      <c r="I721" s="2">
        <v>1.33</v>
      </c>
      <c r="J721" s="2">
        <v>22.1</v>
      </c>
      <c r="K721" s="2">
        <v>-14</v>
      </c>
      <c r="L721" s="2">
        <v>853.9</v>
      </c>
      <c r="M721" s="2">
        <v>853.9</v>
      </c>
      <c r="N721" s="2">
        <f ca="1">INDEX(INDIRECT(_xlfn.CONCAT("weather.tbl[",N$1,"]")),MATCH(vp.tbl[[#This Row],[SDate]],weather.tbl[Date],0))</f>
        <v>-17.433333333333334</v>
      </c>
      <c r="O721" s="2">
        <f ca="1">INDEX(INDIRECT(_xlfn.CONCAT("weather.tbl[",O$1,"]")),MATCH(vp.tbl[[#This Row],[SDate]],weather.tbl[Date],0))</f>
        <v>-6.8666666666666663</v>
      </c>
      <c r="P721" s="2">
        <f ca="1">INDEX(INDIRECT(_xlfn.CONCAT("weather.tbl[",P$1,"]")),MATCH(vp.tbl[[#This Row],[SDate]],weather.tbl[Date],0))</f>
        <v>-18</v>
      </c>
      <c r="Q721" s="2">
        <f ca="1">INDEX(INDIRECT(_xlfn.CONCAT("weather.tbl[",Q$1,"]")),MATCH(vp.tbl[[#This Row],[SDate]],weather.tbl[Date],0))</f>
        <v>-17.2</v>
      </c>
      <c r="R721" s="2">
        <f ca="1">INDEX(INDIRECT(_xlfn.CONCAT("weather.tbl[",R$1,"]")),MATCH(vp.tbl[[#This Row],[SDate]],weather.tbl[Date],0))</f>
        <v>-19.3</v>
      </c>
      <c r="S721" s="2">
        <f ca="1">INDEX(INDIRECT(_xlfn.CONCAT("weather.tbl[",S$1,"]")),MATCH(vp.tbl[[#This Row],[SDate]],weather.tbl[Date],0))</f>
        <v>-11.2</v>
      </c>
      <c r="T721" s="2">
        <f ca="1">INDEX(INDIRECT(_xlfn.CONCAT("weather.tbl[",T$1,"]")),MATCH(vp.tbl[[#This Row],[SDate]],weather.tbl[Date],0))</f>
        <v>-19.399999999999999</v>
      </c>
      <c r="U721" s="2">
        <f ca="1">INDEX(INDIRECT(_xlfn.CONCAT("weather.tbl[",U$1,"]")),MATCH(vp.tbl[[#This Row],[SDate]],weather.tbl[Date],0))</f>
        <v>-19.5</v>
      </c>
      <c r="V721" s="2">
        <v>4577.7129999999997</v>
      </c>
      <c r="W721" t="s">
        <v>48</v>
      </c>
      <c r="X721">
        <f>IF(OR(vp.tbl[[#This Row],[Sulf]]="",vp.tbl[[#This Row],[Dens]]=""),1,0)</f>
        <v>0</v>
      </c>
      <c r="Y721">
        <f>IF(vp.tbl[[#This Row],[CrudeType]]="C5+",1,0)</f>
        <v>0</v>
      </c>
      <c r="Z721">
        <f>IF(AND(vp.tbl[[#This Row],[CrudeType]]="Crude",vp.tbl[[#This Row],[Dens]]&lt;=825,vp.tbl[[#This Row],[Sulf]]&gt;0.5,vp.tbl[[#This Row],[Unknown]]=0),1,0)</f>
        <v>0</v>
      </c>
      <c r="AA721">
        <f>IF(AND(vp.tbl[[#This Row],[CrudeType]]="Crude",vp.tbl[[#This Row],[Dens]]&lt;=825,vp.tbl[[#This Row],[Sulf]]&lt;=0.5,vp.tbl[[#This Row],[Unknown]]=0),1,0)</f>
        <v>0</v>
      </c>
      <c r="AB721">
        <f>IF(AND(vp.tbl[[#This Row],[CrudeType]]="Crude",vp.tbl[[#This Row],[Dens]]&gt;825,vp.tbl[[#This Row],[Dens]]&lt;=870,vp.tbl[[#This Row],[Sulf]]&gt;0.5,vp.tbl[[#This Row],[Unknown]]=0),1,0)</f>
        <v>1</v>
      </c>
      <c r="AC721">
        <f>IF(AND(vp.tbl[[#This Row],[CrudeType]]="Crude",vp.tbl[[#This Row],[Dens]]&gt;825,vp.tbl[[#This Row],[Dens]]&lt;=900,vp.tbl[[#This Row],[Sulf]]&lt;=0.5,vp.tbl[[#This Row],[Unknown]]=0),1,0)</f>
        <v>0</v>
      </c>
      <c r="AD721">
        <f>IF(AND(vp.tbl[[#This Row],[CrudeType]]="Crude",vp.tbl[[#This Row],[Dens]]&gt;870,vp.tbl[[#This Row],[Dens]]&lt;=900,vp.tbl[[#This Row],[Sulf]]&gt;0.5,vp.tbl[[#This Row],[Unknown]]=0),1,0)</f>
        <v>0</v>
      </c>
      <c r="AE721">
        <f>IF(AND(vp.tbl[[#This Row],[CrudeType]]="Crude",vp.tbl[[#This Row],[Dens]]&gt;900,vp.tbl[[#This Row],[Sulf]]&lt;=0.5,vp.tbl[[#This Row],[Unknown]]=0),1,0)</f>
        <v>0</v>
      </c>
      <c r="AF721">
        <f>IF(AND(vp.tbl[[#This Row],[CrudeType]]="Crude",vp.tbl[[#This Row],[Dens]]&gt;900,vp.tbl[[#This Row],[Sulf]]&lt;=0.5,vp.tbl[[#This Row],[Unknown]]=0),1,0)</f>
        <v>0</v>
      </c>
      <c r="AG721" t="str">
        <f>INDEX(vp.tbl[[#Headers],[Unknown]:[Heavy_SW]],MATCH(1,vp.tbl[[#This Row],[Unknown]:[Heavy_SW]],0))</f>
        <v>Medium_LSB</v>
      </c>
      <c r="AH721" t="e">
        <f>INDEX([1]!crudeBD.lkup[Number],MATCH(vp.tbl[[#This Row],[Crude_Breakdown]],[1]!crudeBD.lkup[Crude Breakdown],0))</f>
        <v>#REF!</v>
      </c>
      <c r="AI721">
        <f>MONTH(vp.tbl[[#This Row],[SDate]])</f>
        <v>2</v>
      </c>
      <c r="AJ721" s="5">
        <f>IFERROR(vp.tbl[[#This Row],[Sulf]]*vp.tbl[[#This Row],[Net Dens]],"")</f>
        <v>5198849.1438309997</v>
      </c>
      <c r="AK721" s="5">
        <f>IFERROR(vp.tbl[[#This Row],[Dens]]*vp.tbl[[#This Row],[VolumeM3]],"")</f>
        <v>3908909.1306999996</v>
      </c>
      <c r="AL721" s="5">
        <f>IFERROR(vp.tbl[[#This Row],[VP]]*vp.tbl[[#This Row],[VolumeM3]],"")</f>
        <v>277867.17910000001</v>
      </c>
      <c r="AM721" s="4">
        <f>IFERROR((vp.tbl[[#This Row],[VP]]-INDEX(crudeBD.lkup.complete[Mean_VP],MATCH(vp.tbl[[#This Row],[Crude_Breakdown]],crudeBD.lkup.complete[Crude Breakdown],0)))^2,"")</f>
        <v>379.22089975901144</v>
      </c>
      <c r="AN721" s="4">
        <f>IFERROR((vp.tbl[[#This Row],[Dens]]-INDEX(crudeBD.lkup.complete[Mean_Dens],MATCH(vp.tbl[[#This Row],[Crude_Breakdown]],crudeBD.lkup.complete[Crude Breakdown],0)))^2,"")</f>
        <v>74.100714968130646</v>
      </c>
      <c r="AO721" s="4">
        <f>IFERROR((vp.tbl[[#This Row],[Sulf]]-INDEX(crudeBD.lkup.complete[Mean_Sulf],MATCH(vp.tbl[[#This Row],[Crude_Breakdown]],crudeBD.lkup.complete[Crude Breakdown],0)))^2,"")</f>
        <v>1.5607470109386829E-2</v>
      </c>
      <c r="AP721">
        <f>IF(AND(vp.tbl[[#This Row],[SDate]]&gt;=DATE(YEAR(vp.tbl[[#This Row],[SDate]]),5,1),vp.tbl[[#This Row],[SDate]]&lt;=DATE(YEAR(vp.tbl[[#This Row],[SDate]]),9,15)),1,0)</f>
        <v>0</v>
      </c>
      <c r="AQ721" s="15">
        <f>IF(vp.tbl[[#This Row],[SDate]]&lt;DATE(2016,12,1),0,1)</f>
        <v>1</v>
      </c>
    </row>
    <row r="722" spans="1:43" x14ac:dyDescent="0.25">
      <c r="A722">
        <v>721</v>
      </c>
      <c r="B722" t="s">
        <v>62</v>
      </c>
      <c r="C722" t="s">
        <v>62</v>
      </c>
      <c r="D722" t="s">
        <v>63</v>
      </c>
      <c r="F722" s="1">
        <v>42769</v>
      </c>
      <c r="G722" s="2">
        <v>112.8</v>
      </c>
      <c r="H722" s="2"/>
      <c r="I722" s="2">
        <v>1.53</v>
      </c>
      <c r="J722" s="2">
        <v>1.4</v>
      </c>
      <c r="K722" s="2">
        <v>-6</v>
      </c>
      <c r="L722" s="2">
        <v>831.4</v>
      </c>
      <c r="M722" s="2">
        <v>831.4</v>
      </c>
      <c r="N722" s="2">
        <f ca="1">INDEX(INDIRECT(_xlfn.CONCAT("weather.tbl[",N$1,"]")),MATCH(vp.tbl[[#This Row],[SDate]],weather.tbl[Date],0))</f>
        <v>-15.966666666666667</v>
      </c>
      <c r="O722" s="2">
        <f ca="1">INDEX(INDIRECT(_xlfn.CONCAT("weather.tbl[",O$1,"]")),MATCH(vp.tbl[[#This Row],[SDate]],weather.tbl[Date],0))</f>
        <v>-9.2309523809523828</v>
      </c>
      <c r="P722" s="2">
        <f ca="1">INDEX(INDIRECT(_xlfn.CONCAT("weather.tbl[",P$1,"]")),MATCH(vp.tbl[[#This Row],[SDate]],weather.tbl[Date],0))</f>
        <v>-16</v>
      </c>
      <c r="Q722" s="2">
        <f ca="1">INDEX(INDIRECT(_xlfn.CONCAT("weather.tbl[",Q$1,"]")),MATCH(vp.tbl[[#This Row],[SDate]],weather.tbl[Date],0))</f>
        <v>-16</v>
      </c>
      <c r="R722" s="2">
        <f ca="1">INDEX(INDIRECT(_xlfn.CONCAT("weather.tbl[",R$1,"]")),MATCH(vp.tbl[[#This Row],[SDate]],weather.tbl[Date],0))</f>
        <v>-16.5</v>
      </c>
      <c r="S722" s="2">
        <f ca="1">INDEX(INDIRECT(_xlfn.CONCAT("weather.tbl[",S$1,"]")),MATCH(vp.tbl[[#This Row],[SDate]],weather.tbl[Date],0))</f>
        <v>-13.4</v>
      </c>
      <c r="T722" s="2">
        <f ca="1">INDEX(INDIRECT(_xlfn.CONCAT("weather.tbl[",T$1,"]")),MATCH(vp.tbl[[#This Row],[SDate]],weather.tbl[Date],0))</f>
        <v>-17.399999999999999</v>
      </c>
      <c r="U722" s="2">
        <f ca="1">INDEX(INDIRECT(_xlfn.CONCAT("weather.tbl[",U$1,"]")),MATCH(vp.tbl[[#This Row],[SDate]],weather.tbl[Date],0))</f>
        <v>-16.5</v>
      </c>
      <c r="V722" s="2">
        <v>4978.7389999999996</v>
      </c>
      <c r="W722" t="s">
        <v>48</v>
      </c>
      <c r="X722">
        <f>IF(OR(vp.tbl[[#This Row],[Sulf]]="",vp.tbl[[#This Row],[Dens]]=""),1,0)</f>
        <v>0</v>
      </c>
      <c r="Y722">
        <f>IF(vp.tbl[[#This Row],[CrudeType]]="C5+",1,0)</f>
        <v>0</v>
      </c>
      <c r="Z722">
        <f>IF(AND(vp.tbl[[#This Row],[CrudeType]]="Crude",vp.tbl[[#This Row],[Dens]]&lt;=825,vp.tbl[[#This Row],[Sulf]]&gt;0.5,vp.tbl[[#This Row],[Unknown]]=0),1,0)</f>
        <v>0</v>
      </c>
      <c r="AA722">
        <f>IF(AND(vp.tbl[[#This Row],[CrudeType]]="Crude",vp.tbl[[#This Row],[Dens]]&lt;=825,vp.tbl[[#This Row],[Sulf]]&lt;=0.5,vp.tbl[[#This Row],[Unknown]]=0),1,0)</f>
        <v>0</v>
      </c>
      <c r="AB722">
        <f>IF(AND(vp.tbl[[#This Row],[CrudeType]]="Crude",vp.tbl[[#This Row],[Dens]]&gt;825,vp.tbl[[#This Row],[Dens]]&lt;=870,vp.tbl[[#This Row],[Sulf]]&gt;0.5,vp.tbl[[#This Row],[Unknown]]=0),1,0)</f>
        <v>1</v>
      </c>
      <c r="AC722">
        <f>IF(AND(vp.tbl[[#This Row],[CrudeType]]="Crude",vp.tbl[[#This Row],[Dens]]&gt;825,vp.tbl[[#This Row],[Dens]]&lt;=900,vp.tbl[[#This Row],[Sulf]]&lt;=0.5,vp.tbl[[#This Row],[Unknown]]=0),1,0)</f>
        <v>0</v>
      </c>
      <c r="AD722">
        <f>IF(AND(vp.tbl[[#This Row],[CrudeType]]="Crude",vp.tbl[[#This Row],[Dens]]&gt;870,vp.tbl[[#This Row],[Dens]]&lt;=900,vp.tbl[[#This Row],[Sulf]]&gt;0.5,vp.tbl[[#This Row],[Unknown]]=0),1,0)</f>
        <v>0</v>
      </c>
      <c r="AE722">
        <f>IF(AND(vp.tbl[[#This Row],[CrudeType]]="Crude",vp.tbl[[#This Row],[Dens]]&gt;900,vp.tbl[[#This Row],[Sulf]]&lt;=0.5,vp.tbl[[#This Row],[Unknown]]=0),1,0)</f>
        <v>0</v>
      </c>
      <c r="AF722">
        <f>IF(AND(vp.tbl[[#This Row],[CrudeType]]="Crude",vp.tbl[[#This Row],[Dens]]&gt;900,vp.tbl[[#This Row],[Sulf]]&lt;=0.5,vp.tbl[[#This Row],[Unknown]]=0),1,0)</f>
        <v>0</v>
      </c>
      <c r="AG722" t="str">
        <f>INDEX(vp.tbl[[#Headers],[Unknown]:[Heavy_SW]],MATCH(1,vp.tbl[[#This Row],[Unknown]:[Heavy_SW]],0))</f>
        <v>Medium_LSB</v>
      </c>
      <c r="AH722" t="e">
        <f>INDEX([1]!crudeBD.lkup[Number],MATCH(vp.tbl[[#This Row],[Crude_Breakdown]],[1]!crudeBD.lkup[Crude Breakdown],0))</f>
        <v>#REF!</v>
      </c>
      <c r="AI722">
        <f>MONTH(vp.tbl[[#This Row],[SDate]])</f>
        <v>2</v>
      </c>
      <c r="AJ722" s="5">
        <f>IFERROR(vp.tbl[[#This Row],[Sulf]]*vp.tbl[[#This Row],[Net Dens]],"")</f>
        <v>6333165.115038</v>
      </c>
      <c r="AK722" s="5">
        <f>IFERROR(vp.tbl[[#This Row],[Dens]]*vp.tbl[[#This Row],[VolumeM3]],"")</f>
        <v>4139323.6045999997</v>
      </c>
      <c r="AL722" s="5">
        <f>IFERROR(vp.tbl[[#This Row],[VP]]*vp.tbl[[#This Row],[VolumeM3]],"")</f>
        <v>561601.75919999997</v>
      </c>
      <c r="AM722" s="4">
        <f>IFERROR((vp.tbl[[#This Row],[VP]]-INDEX(crudeBD.lkup.complete[Mean_VP],MATCH(vp.tbl[[#This Row],[Crude_Breakdown]],crudeBD.lkup.complete[Crude Breakdown],0)))^2,"")</f>
        <v>1064.4823073539519</v>
      </c>
      <c r="AN722" s="4">
        <f>IFERROR((vp.tbl[[#This Row],[Dens]]-INDEX(crudeBD.lkup.complete[Mean_Dens],MATCH(vp.tbl[[#This Row],[Crude_Breakdown]],crudeBD.lkup.complete[Crude Breakdown],0)))^2,"")</f>
        <v>192.98274028454304</v>
      </c>
      <c r="AO722" s="4">
        <f>IFERROR((vp.tbl[[#This Row],[Sulf]]-INDEX(crudeBD.lkup.complete[Mean_Sulf],MATCH(vp.tbl[[#This Row],[Crude_Breakdown]],crudeBD.lkup.complete[Crude Breakdown],0)))^2,"")</f>
        <v>5.6355258055887899E-3</v>
      </c>
      <c r="AP722">
        <f>IF(AND(vp.tbl[[#This Row],[SDate]]&gt;=DATE(YEAR(vp.tbl[[#This Row],[SDate]]),5,1),vp.tbl[[#This Row],[SDate]]&lt;=DATE(YEAR(vp.tbl[[#This Row],[SDate]]),9,15)),1,0)</f>
        <v>0</v>
      </c>
      <c r="AQ722" s="15">
        <f>IF(vp.tbl[[#This Row],[SDate]]&lt;DATE(2016,12,1),0,1)</f>
        <v>1</v>
      </c>
    </row>
    <row r="723" spans="1:43" x14ac:dyDescent="0.25">
      <c r="A723">
        <v>722</v>
      </c>
      <c r="B723" t="s">
        <v>60</v>
      </c>
      <c r="C723" t="s">
        <v>60</v>
      </c>
      <c r="D723" t="s">
        <v>61</v>
      </c>
      <c r="E723" t="s">
        <v>73</v>
      </c>
      <c r="F723" s="1">
        <v>42770</v>
      </c>
      <c r="G723" s="2">
        <v>79</v>
      </c>
      <c r="H723" s="2">
        <v>1.202</v>
      </c>
      <c r="I723" s="2">
        <v>1.202</v>
      </c>
      <c r="J723" s="2">
        <v>3.3</v>
      </c>
      <c r="K723" s="2">
        <v>-12</v>
      </c>
      <c r="L723" s="2">
        <v>839.5</v>
      </c>
      <c r="M723" s="2">
        <v>839.5</v>
      </c>
      <c r="N723" s="2">
        <f ca="1">INDEX(INDIRECT(_xlfn.CONCAT("weather.tbl[",N$1,"]")),MATCH(vp.tbl[[#This Row],[SDate]],weather.tbl[Date],0))</f>
        <v>-14.933333333333332</v>
      </c>
      <c r="O723" s="2">
        <f ca="1">INDEX(INDIRECT(_xlfn.CONCAT("weather.tbl[",O$1,"]")),MATCH(vp.tbl[[#This Row],[SDate]],weather.tbl[Date],0))</f>
        <v>-11.192857142857145</v>
      </c>
      <c r="P723" s="2">
        <f ca="1">INDEX(INDIRECT(_xlfn.CONCAT("weather.tbl[",P$1,"]")),MATCH(vp.tbl[[#This Row],[SDate]],weather.tbl[Date],0))</f>
        <v>-14.5</v>
      </c>
      <c r="Q723" s="2">
        <f ca="1">INDEX(INDIRECT(_xlfn.CONCAT("weather.tbl[",Q$1,"]")),MATCH(vp.tbl[[#This Row],[SDate]],weather.tbl[Date],0))</f>
        <v>-15</v>
      </c>
      <c r="R723" s="2">
        <f ca="1">INDEX(INDIRECT(_xlfn.CONCAT("weather.tbl[",R$1,"]")),MATCH(vp.tbl[[#This Row],[SDate]],weather.tbl[Date],0))</f>
        <v>-14.5</v>
      </c>
      <c r="S723" s="2">
        <f ca="1">INDEX(INDIRECT(_xlfn.CONCAT("weather.tbl[",S$1,"]")),MATCH(vp.tbl[[#This Row],[SDate]],weather.tbl[Date],0))</f>
        <v>-14.2</v>
      </c>
      <c r="T723" s="2">
        <f ca="1">INDEX(INDIRECT(_xlfn.CONCAT("weather.tbl[",T$1,"]")),MATCH(vp.tbl[[#This Row],[SDate]],weather.tbl[Date],0))</f>
        <v>-15.6</v>
      </c>
      <c r="U723" s="2">
        <f ca="1">INDEX(INDIRECT(_xlfn.CONCAT("weather.tbl[",U$1,"]")),MATCH(vp.tbl[[#This Row],[SDate]],weather.tbl[Date],0))</f>
        <v>-15.8</v>
      </c>
      <c r="V723" s="2">
        <v>96501.951000000001</v>
      </c>
      <c r="W723" t="s">
        <v>48</v>
      </c>
      <c r="X723">
        <f>IF(OR(vp.tbl[[#This Row],[Sulf]]="",vp.tbl[[#This Row],[Dens]]=""),1,0)</f>
        <v>0</v>
      </c>
      <c r="Y723">
        <f>IF(vp.tbl[[#This Row],[CrudeType]]="C5+",1,0)</f>
        <v>0</v>
      </c>
      <c r="Z723">
        <f>IF(AND(vp.tbl[[#This Row],[CrudeType]]="Crude",vp.tbl[[#This Row],[Dens]]&lt;=825,vp.tbl[[#This Row],[Sulf]]&gt;0.5,vp.tbl[[#This Row],[Unknown]]=0),1,0)</f>
        <v>0</v>
      </c>
      <c r="AA723">
        <f>IF(AND(vp.tbl[[#This Row],[CrudeType]]="Crude",vp.tbl[[#This Row],[Dens]]&lt;=825,vp.tbl[[#This Row],[Sulf]]&lt;=0.5,vp.tbl[[#This Row],[Unknown]]=0),1,0)</f>
        <v>0</v>
      </c>
      <c r="AB723">
        <f>IF(AND(vp.tbl[[#This Row],[CrudeType]]="Crude",vp.tbl[[#This Row],[Dens]]&gt;825,vp.tbl[[#This Row],[Dens]]&lt;=870,vp.tbl[[#This Row],[Sulf]]&gt;0.5,vp.tbl[[#This Row],[Unknown]]=0),1,0)</f>
        <v>1</v>
      </c>
      <c r="AC723">
        <f>IF(AND(vp.tbl[[#This Row],[CrudeType]]="Crude",vp.tbl[[#This Row],[Dens]]&gt;825,vp.tbl[[#This Row],[Dens]]&lt;=900,vp.tbl[[#This Row],[Sulf]]&lt;=0.5,vp.tbl[[#This Row],[Unknown]]=0),1,0)</f>
        <v>0</v>
      </c>
      <c r="AD723">
        <f>IF(AND(vp.tbl[[#This Row],[CrudeType]]="Crude",vp.tbl[[#This Row],[Dens]]&gt;870,vp.tbl[[#This Row],[Dens]]&lt;=900,vp.tbl[[#This Row],[Sulf]]&gt;0.5,vp.tbl[[#This Row],[Unknown]]=0),1,0)</f>
        <v>0</v>
      </c>
      <c r="AE723">
        <f>IF(AND(vp.tbl[[#This Row],[CrudeType]]="Crude",vp.tbl[[#This Row],[Dens]]&gt;900,vp.tbl[[#This Row],[Sulf]]&lt;=0.5,vp.tbl[[#This Row],[Unknown]]=0),1,0)</f>
        <v>0</v>
      </c>
      <c r="AF723">
        <f>IF(AND(vp.tbl[[#This Row],[CrudeType]]="Crude",vp.tbl[[#This Row],[Dens]]&gt;900,vp.tbl[[#This Row],[Sulf]]&lt;=0.5,vp.tbl[[#This Row],[Unknown]]=0),1,0)</f>
        <v>0</v>
      </c>
      <c r="AG723" t="str">
        <f>INDEX(vp.tbl[[#Headers],[Unknown]:[Heavy_SW]],MATCH(1,vp.tbl[[#This Row],[Unknown]:[Heavy_SW]],0))</f>
        <v>Medium_LSB</v>
      </c>
      <c r="AH723" t="e">
        <f>INDEX([1]!crudeBD.lkup[Number],MATCH(vp.tbl[[#This Row],[Crude_Breakdown]],[1]!crudeBD.lkup[Crude Breakdown],0))</f>
        <v>#REF!</v>
      </c>
      <c r="AI723">
        <f>MONTH(vp.tbl[[#This Row],[SDate]])</f>
        <v>2</v>
      </c>
      <c r="AJ723" s="5">
        <f>IFERROR(vp.tbl[[#This Row],[Sulf]]*vp.tbl[[#This Row],[Net Dens]],"")</f>
        <v>97378092.213128999</v>
      </c>
      <c r="AK723" s="5">
        <f>IFERROR(vp.tbl[[#This Row],[Dens]]*vp.tbl[[#This Row],[VolumeM3]],"")</f>
        <v>81013387.864500001</v>
      </c>
      <c r="AL723" s="5">
        <f>IFERROR(vp.tbl[[#This Row],[VP]]*vp.tbl[[#This Row],[VolumeM3]],"")</f>
        <v>7623654.1289999997</v>
      </c>
      <c r="AM723" s="4">
        <f>IFERROR((vp.tbl[[#This Row],[VP]]-INDEX(crudeBD.lkup.complete[Mean_VP],MATCH(vp.tbl[[#This Row],[Crude_Breakdown]],crudeBD.lkup.complete[Crude Breakdown],0)))^2,"")</f>
        <v>1.3773250754685884</v>
      </c>
      <c r="AN723" s="4">
        <f>IFERROR((vp.tbl[[#This Row],[Dens]]-INDEX(crudeBD.lkup.complete[Mean_Dens],MATCH(vp.tbl[[#This Row],[Crude_Breakdown]],crudeBD.lkup.complete[Crude Breakdown],0)))^2,"")</f>
        <v>33.545211170634325</v>
      </c>
      <c r="AO723" s="4">
        <f>IFERROR((vp.tbl[[#This Row],[Sulf]]-INDEX(crudeBD.lkup.complete[Mean_Sulf],MATCH(vp.tbl[[#This Row],[Crude_Breakdown]],crudeBD.lkup.complete[Crude Breakdown],0)))^2,"")</f>
        <v>6.3973514463817632E-2</v>
      </c>
      <c r="AP723">
        <f>IF(AND(vp.tbl[[#This Row],[SDate]]&gt;=DATE(YEAR(vp.tbl[[#This Row],[SDate]]),5,1),vp.tbl[[#This Row],[SDate]]&lt;=DATE(YEAR(vp.tbl[[#This Row],[SDate]]),9,15)),1,0)</f>
        <v>0</v>
      </c>
      <c r="AQ723" s="15">
        <f>IF(vp.tbl[[#This Row],[SDate]]&lt;DATE(2016,12,1),0,1)</f>
        <v>1</v>
      </c>
    </row>
    <row r="724" spans="1:43" x14ac:dyDescent="0.25">
      <c r="A724">
        <v>723</v>
      </c>
      <c r="B724" t="s">
        <v>49</v>
      </c>
      <c r="C724" t="s">
        <v>49</v>
      </c>
      <c r="D724" t="s">
        <v>154</v>
      </c>
      <c r="F724" s="1">
        <v>42770</v>
      </c>
      <c r="G724" s="2">
        <v>98.5</v>
      </c>
      <c r="H724" s="2">
        <v>1.2110000000000001</v>
      </c>
      <c r="I724" s="2">
        <v>1.2110000000000001</v>
      </c>
      <c r="J724" s="2">
        <v>11.9</v>
      </c>
      <c r="K724" s="2">
        <v>-15</v>
      </c>
      <c r="L724" s="2">
        <v>840.1</v>
      </c>
      <c r="M724" s="2">
        <v>840.1</v>
      </c>
      <c r="N724" s="2">
        <f ca="1">INDEX(INDIRECT(_xlfn.CONCAT("weather.tbl[",N$1,"]")),MATCH(vp.tbl[[#This Row],[SDate]],weather.tbl[Date],0))</f>
        <v>-14.933333333333332</v>
      </c>
      <c r="O724" s="2">
        <f ca="1">INDEX(INDIRECT(_xlfn.CONCAT("weather.tbl[",O$1,"]")),MATCH(vp.tbl[[#This Row],[SDate]],weather.tbl[Date],0))</f>
        <v>-11.192857142857145</v>
      </c>
      <c r="P724" s="2">
        <f ca="1">INDEX(INDIRECT(_xlfn.CONCAT("weather.tbl[",P$1,"]")),MATCH(vp.tbl[[#This Row],[SDate]],weather.tbl[Date],0))</f>
        <v>-14.5</v>
      </c>
      <c r="Q724" s="2">
        <f ca="1">INDEX(INDIRECT(_xlfn.CONCAT("weather.tbl[",Q$1,"]")),MATCH(vp.tbl[[#This Row],[SDate]],weather.tbl[Date],0))</f>
        <v>-15</v>
      </c>
      <c r="R724" s="2">
        <f ca="1">INDEX(INDIRECT(_xlfn.CONCAT("weather.tbl[",R$1,"]")),MATCH(vp.tbl[[#This Row],[SDate]],weather.tbl[Date],0))</f>
        <v>-14.5</v>
      </c>
      <c r="S724" s="2">
        <f ca="1">INDEX(INDIRECT(_xlfn.CONCAT("weather.tbl[",S$1,"]")),MATCH(vp.tbl[[#This Row],[SDate]],weather.tbl[Date],0))</f>
        <v>-14.2</v>
      </c>
      <c r="T724" s="2">
        <f ca="1">INDEX(INDIRECT(_xlfn.CONCAT("weather.tbl[",T$1,"]")),MATCH(vp.tbl[[#This Row],[SDate]],weather.tbl[Date],0))</f>
        <v>-15.6</v>
      </c>
      <c r="U724" s="2">
        <f ca="1">INDEX(INDIRECT(_xlfn.CONCAT("weather.tbl[",U$1,"]")),MATCH(vp.tbl[[#This Row],[SDate]],weather.tbl[Date],0))</f>
        <v>-15.8</v>
      </c>
      <c r="V724" s="2">
        <v>2171.7860000000001</v>
      </c>
      <c r="W724" t="s">
        <v>48</v>
      </c>
      <c r="X724">
        <f>IF(OR(vp.tbl[[#This Row],[Sulf]]="",vp.tbl[[#This Row],[Dens]]=""),1,0)</f>
        <v>0</v>
      </c>
      <c r="Y724">
        <f>IF(vp.tbl[[#This Row],[CrudeType]]="C5+",1,0)</f>
        <v>0</v>
      </c>
      <c r="Z724">
        <f>IF(AND(vp.tbl[[#This Row],[CrudeType]]="Crude",vp.tbl[[#This Row],[Dens]]&lt;=825,vp.tbl[[#This Row],[Sulf]]&gt;0.5,vp.tbl[[#This Row],[Unknown]]=0),1,0)</f>
        <v>0</v>
      </c>
      <c r="AA724">
        <f>IF(AND(vp.tbl[[#This Row],[CrudeType]]="Crude",vp.tbl[[#This Row],[Dens]]&lt;=825,vp.tbl[[#This Row],[Sulf]]&lt;=0.5,vp.tbl[[#This Row],[Unknown]]=0),1,0)</f>
        <v>0</v>
      </c>
      <c r="AB724">
        <f>IF(AND(vp.tbl[[#This Row],[CrudeType]]="Crude",vp.tbl[[#This Row],[Dens]]&gt;825,vp.tbl[[#This Row],[Dens]]&lt;=870,vp.tbl[[#This Row],[Sulf]]&gt;0.5,vp.tbl[[#This Row],[Unknown]]=0),1,0)</f>
        <v>1</v>
      </c>
      <c r="AC724">
        <f>IF(AND(vp.tbl[[#This Row],[CrudeType]]="Crude",vp.tbl[[#This Row],[Dens]]&gt;825,vp.tbl[[#This Row],[Dens]]&lt;=900,vp.tbl[[#This Row],[Sulf]]&lt;=0.5,vp.tbl[[#This Row],[Unknown]]=0),1,0)</f>
        <v>0</v>
      </c>
      <c r="AD724">
        <f>IF(AND(vp.tbl[[#This Row],[CrudeType]]="Crude",vp.tbl[[#This Row],[Dens]]&gt;870,vp.tbl[[#This Row],[Dens]]&lt;=900,vp.tbl[[#This Row],[Sulf]]&gt;0.5,vp.tbl[[#This Row],[Unknown]]=0),1,0)</f>
        <v>0</v>
      </c>
      <c r="AE724">
        <f>IF(AND(vp.tbl[[#This Row],[CrudeType]]="Crude",vp.tbl[[#This Row],[Dens]]&gt;900,vp.tbl[[#This Row],[Sulf]]&lt;=0.5,vp.tbl[[#This Row],[Unknown]]=0),1,0)</f>
        <v>0</v>
      </c>
      <c r="AF724">
        <f>IF(AND(vp.tbl[[#This Row],[CrudeType]]="Crude",vp.tbl[[#This Row],[Dens]]&gt;900,vp.tbl[[#This Row],[Sulf]]&lt;=0.5,vp.tbl[[#This Row],[Unknown]]=0),1,0)</f>
        <v>0</v>
      </c>
      <c r="AG724" t="str">
        <f>INDEX(vp.tbl[[#Headers],[Unknown]:[Heavy_SW]],MATCH(1,vp.tbl[[#This Row],[Unknown]:[Heavy_SW]],0))</f>
        <v>Medium_LSB</v>
      </c>
      <c r="AH724" t="e">
        <f>INDEX([1]!crudeBD.lkup[Number],MATCH(vp.tbl[[#This Row],[Crude_Breakdown]],[1]!crudeBD.lkup[Crude Breakdown],0))</f>
        <v>#REF!</v>
      </c>
      <c r="AI724">
        <f>MONTH(vp.tbl[[#This Row],[SDate]])</f>
        <v>2</v>
      </c>
      <c r="AJ724" s="5">
        <f>IFERROR(vp.tbl[[#This Row],[Sulf]]*vp.tbl[[#This Row],[Net Dens]],"")</f>
        <v>2209490.5939246002</v>
      </c>
      <c r="AK724" s="5">
        <f>IFERROR(vp.tbl[[#This Row],[Dens]]*vp.tbl[[#This Row],[VolumeM3]],"")</f>
        <v>1824517.4186000002</v>
      </c>
      <c r="AL724" s="5">
        <f>IFERROR(vp.tbl[[#This Row],[VP]]*vp.tbl[[#This Row],[VolumeM3]],"")</f>
        <v>213920.921</v>
      </c>
      <c r="AM724" s="4">
        <f>IFERROR((vp.tbl[[#This Row],[VP]]-INDEX(crudeBD.lkup.complete[Mean_VP],MATCH(vp.tbl[[#This Row],[Crude_Breakdown]],crudeBD.lkup.complete[Crude Breakdown],0)))^2,"")</f>
        <v>335.85712254382446</v>
      </c>
      <c r="AN724" s="4">
        <f>IFERROR((vp.tbl[[#This Row],[Dens]]-INDEX(crudeBD.lkup.complete[Mean_Dens],MATCH(vp.tbl[[#This Row],[Crude_Breakdown]],crudeBD.lkup.complete[Crude Breakdown],0)))^2,"")</f>
        <v>26.955023828863119</v>
      </c>
      <c r="AO724" s="4">
        <f>IFERROR((vp.tbl[[#This Row],[Sulf]]-INDEX(crudeBD.lkup.complete[Mean_Sulf],MATCH(vp.tbl[[#This Row],[Crude_Breakdown]],crudeBD.lkup.complete[Crude Breakdown],0)))^2,"")</f>
        <v>5.9501776970146657E-2</v>
      </c>
      <c r="AP724">
        <f>IF(AND(vp.tbl[[#This Row],[SDate]]&gt;=DATE(YEAR(vp.tbl[[#This Row],[SDate]]),5,1),vp.tbl[[#This Row],[SDate]]&lt;=DATE(YEAR(vp.tbl[[#This Row],[SDate]]),9,15)),1,0)</f>
        <v>0</v>
      </c>
      <c r="AQ724" s="15">
        <f>IF(vp.tbl[[#This Row],[SDate]]&lt;DATE(2016,12,1),0,1)</f>
        <v>1</v>
      </c>
    </row>
    <row r="725" spans="1:43" x14ac:dyDescent="0.25">
      <c r="A725">
        <v>724</v>
      </c>
      <c r="B725" t="s">
        <v>108</v>
      </c>
      <c r="C725" t="s">
        <v>108</v>
      </c>
      <c r="D725" t="s">
        <v>155</v>
      </c>
      <c r="F725" s="1">
        <v>42770</v>
      </c>
      <c r="G725" s="2">
        <v>73.400000000000006</v>
      </c>
      <c r="H725" s="2"/>
      <c r="I725" s="2">
        <v>0.85</v>
      </c>
      <c r="J725" s="2">
        <v>17.399999999999999</v>
      </c>
      <c r="K725" s="2">
        <v>-15</v>
      </c>
      <c r="L725" s="2">
        <v>834</v>
      </c>
      <c r="M725" s="2">
        <v>834</v>
      </c>
      <c r="N725" s="2">
        <f ca="1">INDEX(INDIRECT(_xlfn.CONCAT("weather.tbl[",N$1,"]")),MATCH(vp.tbl[[#This Row],[SDate]],weather.tbl[Date],0))</f>
        <v>-14.933333333333332</v>
      </c>
      <c r="O725" s="2">
        <f ca="1">INDEX(INDIRECT(_xlfn.CONCAT("weather.tbl[",O$1,"]")),MATCH(vp.tbl[[#This Row],[SDate]],weather.tbl[Date],0))</f>
        <v>-11.192857142857145</v>
      </c>
      <c r="P725" s="2">
        <f ca="1">INDEX(INDIRECT(_xlfn.CONCAT("weather.tbl[",P$1,"]")),MATCH(vp.tbl[[#This Row],[SDate]],weather.tbl[Date],0))</f>
        <v>-14.5</v>
      </c>
      <c r="Q725" s="2">
        <f ca="1">INDEX(INDIRECT(_xlfn.CONCAT("weather.tbl[",Q$1,"]")),MATCH(vp.tbl[[#This Row],[SDate]],weather.tbl[Date],0))</f>
        <v>-15</v>
      </c>
      <c r="R725" s="2">
        <f ca="1">INDEX(INDIRECT(_xlfn.CONCAT("weather.tbl[",R$1,"]")),MATCH(vp.tbl[[#This Row],[SDate]],weather.tbl[Date],0))</f>
        <v>-14.5</v>
      </c>
      <c r="S725" s="2">
        <f ca="1">INDEX(INDIRECT(_xlfn.CONCAT("weather.tbl[",S$1,"]")),MATCH(vp.tbl[[#This Row],[SDate]],weather.tbl[Date],0))</f>
        <v>-14.2</v>
      </c>
      <c r="T725" s="2">
        <f ca="1">INDEX(INDIRECT(_xlfn.CONCAT("weather.tbl[",T$1,"]")),MATCH(vp.tbl[[#This Row],[SDate]],weather.tbl[Date],0))</f>
        <v>-15.6</v>
      </c>
      <c r="U725" s="2">
        <f ca="1">INDEX(INDIRECT(_xlfn.CONCAT("weather.tbl[",U$1,"]")),MATCH(vp.tbl[[#This Row],[SDate]],weather.tbl[Date],0))</f>
        <v>-15.8</v>
      </c>
      <c r="V725" s="2">
        <v>365.95499999999998</v>
      </c>
      <c r="W725" t="s">
        <v>48</v>
      </c>
      <c r="X725">
        <f>IF(OR(vp.tbl[[#This Row],[Sulf]]="",vp.tbl[[#This Row],[Dens]]=""),1,0)</f>
        <v>0</v>
      </c>
      <c r="Y725">
        <f>IF(vp.tbl[[#This Row],[CrudeType]]="C5+",1,0)</f>
        <v>0</v>
      </c>
      <c r="Z725">
        <f>IF(AND(vp.tbl[[#This Row],[CrudeType]]="Crude",vp.tbl[[#This Row],[Dens]]&lt;=825,vp.tbl[[#This Row],[Sulf]]&gt;0.5,vp.tbl[[#This Row],[Unknown]]=0),1,0)</f>
        <v>0</v>
      </c>
      <c r="AA725">
        <f>IF(AND(vp.tbl[[#This Row],[CrudeType]]="Crude",vp.tbl[[#This Row],[Dens]]&lt;=825,vp.tbl[[#This Row],[Sulf]]&lt;=0.5,vp.tbl[[#This Row],[Unknown]]=0),1,0)</f>
        <v>0</v>
      </c>
      <c r="AB725">
        <f>IF(AND(vp.tbl[[#This Row],[CrudeType]]="Crude",vp.tbl[[#This Row],[Dens]]&gt;825,vp.tbl[[#This Row],[Dens]]&lt;=870,vp.tbl[[#This Row],[Sulf]]&gt;0.5,vp.tbl[[#This Row],[Unknown]]=0),1,0)</f>
        <v>1</v>
      </c>
      <c r="AC725">
        <f>IF(AND(vp.tbl[[#This Row],[CrudeType]]="Crude",vp.tbl[[#This Row],[Dens]]&gt;825,vp.tbl[[#This Row],[Dens]]&lt;=900,vp.tbl[[#This Row],[Sulf]]&lt;=0.5,vp.tbl[[#This Row],[Unknown]]=0),1,0)</f>
        <v>0</v>
      </c>
      <c r="AD725">
        <f>IF(AND(vp.tbl[[#This Row],[CrudeType]]="Crude",vp.tbl[[#This Row],[Dens]]&gt;870,vp.tbl[[#This Row],[Dens]]&lt;=900,vp.tbl[[#This Row],[Sulf]]&gt;0.5,vp.tbl[[#This Row],[Unknown]]=0),1,0)</f>
        <v>0</v>
      </c>
      <c r="AE725">
        <f>IF(AND(vp.tbl[[#This Row],[CrudeType]]="Crude",vp.tbl[[#This Row],[Dens]]&gt;900,vp.tbl[[#This Row],[Sulf]]&lt;=0.5,vp.tbl[[#This Row],[Unknown]]=0),1,0)</f>
        <v>0</v>
      </c>
      <c r="AF725">
        <f>IF(AND(vp.tbl[[#This Row],[CrudeType]]="Crude",vp.tbl[[#This Row],[Dens]]&gt;900,vp.tbl[[#This Row],[Sulf]]&lt;=0.5,vp.tbl[[#This Row],[Unknown]]=0),1,0)</f>
        <v>0</v>
      </c>
      <c r="AG725" t="str">
        <f>INDEX(vp.tbl[[#Headers],[Unknown]:[Heavy_SW]],MATCH(1,vp.tbl[[#This Row],[Unknown]:[Heavy_SW]],0))</f>
        <v>Medium_LSB</v>
      </c>
      <c r="AH725" t="e">
        <f>INDEX([1]!crudeBD.lkup[Number],MATCH(vp.tbl[[#This Row],[Crude_Breakdown]],[1]!crudeBD.lkup[Crude Breakdown],0))</f>
        <v>#REF!</v>
      </c>
      <c r="AI725">
        <f>MONTH(vp.tbl[[#This Row],[SDate]])</f>
        <v>2</v>
      </c>
      <c r="AJ725" s="5">
        <f>IFERROR(vp.tbl[[#This Row],[Sulf]]*vp.tbl[[#This Row],[Net Dens]],"")</f>
        <v>259425.49949999998</v>
      </c>
      <c r="AK725" s="5">
        <f>IFERROR(vp.tbl[[#This Row],[Dens]]*vp.tbl[[#This Row],[VolumeM3]],"")</f>
        <v>305206.46999999997</v>
      </c>
      <c r="AL725" s="5">
        <f>IFERROR(vp.tbl[[#This Row],[VP]]*vp.tbl[[#This Row],[VolumeM3]],"")</f>
        <v>26861.097000000002</v>
      </c>
      <c r="AM725" s="4">
        <f>IFERROR((vp.tbl[[#This Row],[VP]]-INDEX(crudeBD.lkup.complete[Mean_VP],MATCH(vp.tbl[[#This Row],[Crude_Breakdown]],crudeBD.lkup.complete[Crude Breakdown],0)))^2,"")</f>
        <v>45.881588366607339</v>
      </c>
      <c r="AN725" s="4">
        <f>IFERROR((vp.tbl[[#This Row],[Dens]]-INDEX(crudeBD.lkup.complete[Mean_Dens],MATCH(vp.tbl[[#This Row],[Crude_Breakdown]],crudeBD.lkup.complete[Crude Breakdown],0)))^2,"")</f>
        <v>127.50526180353488</v>
      </c>
      <c r="AO725" s="4">
        <f>IFERROR((vp.tbl[[#This Row],[Sulf]]-INDEX(crudeBD.lkup.complete[Mean_Sulf],MATCH(vp.tbl[[#This Row],[Crude_Breakdown]],crudeBD.lkup.complete[Crude Breakdown],0)))^2,"")</f>
        <v>0.36594013643850221</v>
      </c>
      <c r="AP725">
        <f>IF(AND(vp.tbl[[#This Row],[SDate]]&gt;=DATE(YEAR(vp.tbl[[#This Row],[SDate]]),5,1),vp.tbl[[#This Row],[SDate]]&lt;=DATE(YEAR(vp.tbl[[#This Row],[SDate]]),9,15)),1,0)</f>
        <v>0</v>
      </c>
      <c r="AQ725" s="15">
        <f>IF(vp.tbl[[#This Row],[SDate]]&lt;DATE(2016,12,1),0,1)</f>
        <v>1</v>
      </c>
    </row>
    <row r="726" spans="1:43" x14ac:dyDescent="0.25">
      <c r="A726">
        <v>725</v>
      </c>
      <c r="B726" t="s">
        <v>51</v>
      </c>
      <c r="C726" t="s">
        <v>51</v>
      </c>
      <c r="D726" t="s">
        <v>72</v>
      </c>
      <c r="F726" s="1">
        <v>42770</v>
      </c>
      <c r="G726" s="2">
        <v>94.8</v>
      </c>
      <c r="H726" s="2"/>
      <c r="I726" s="2">
        <v>1.1299999999999999</v>
      </c>
      <c r="J726" s="2">
        <v>21.8</v>
      </c>
      <c r="K726" s="2">
        <v>-18</v>
      </c>
      <c r="L726" s="2">
        <v>834.4</v>
      </c>
      <c r="M726" s="2">
        <v>834.4</v>
      </c>
      <c r="N726" s="2">
        <f ca="1">INDEX(INDIRECT(_xlfn.CONCAT("weather.tbl[",N$1,"]")),MATCH(vp.tbl[[#This Row],[SDate]],weather.tbl[Date],0))</f>
        <v>-14.933333333333332</v>
      </c>
      <c r="O726" s="2">
        <f ca="1">INDEX(INDIRECT(_xlfn.CONCAT("weather.tbl[",O$1,"]")),MATCH(vp.tbl[[#This Row],[SDate]],weather.tbl[Date],0))</f>
        <v>-11.192857142857145</v>
      </c>
      <c r="P726" s="2">
        <f ca="1">INDEX(INDIRECT(_xlfn.CONCAT("weather.tbl[",P$1,"]")),MATCH(vp.tbl[[#This Row],[SDate]],weather.tbl[Date],0))</f>
        <v>-14.5</v>
      </c>
      <c r="Q726" s="2">
        <f ca="1">INDEX(INDIRECT(_xlfn.CONCAT("weather.tbl[",Q$1,"]")),MATCH(vp.tbl[[#This Row],[SDate]],weather.tbl[Date],0))</f>
        <v>-15</v>
      </c>
      <c r="R726" s="2">
        <f ca="1">INDEX(INDIRECT(_xlfn.CONCAT("weather.tbl[",R$1,"]")),MATCH(vp.tbl[[#This Row],[SDate]],weather.tbl[Date],0))</f>
        <v>-14.5</v>
      </c>
      <c r="S726" s="2">
        <f ca="1">INDEX(INDIRECT(_xlfn.CONCAT("weather.tbl[",S$1,"]")),MATCH(vp.tbl[[#This Row],[SDate]],weather.tbl[Date],0))</f>
        <v>-14.2</v>
      </c>
      <c r="T726" s="2">
        <f ca="1">INDEX(INDIRECT(_xlfn.CONCAT("weather.tbl[",T$1,"]")),MATCH(vp.tbl[[#This Row],[SDate]],weather.tbl[Date],0))</f>
        <v>-15.6</v>
      </c>
      <c r="U726" s="2">
        <f ca="1">INDEX(INDIRECT(_xlfn.CONCAT("weather.tbl[",U$1,"]")),MATCH(vp.tbl[[#This Row],[SDate]],weather.tbl[Date],0))</f>
        <v>-15.8</v>
      </c>
      <c r="V726" s="2">
        <v>12541.532999999999</v>
      </c>
      <c r="W726" t="s">
        <v>48</v>
      </c>
      <c r="X726">
        <f>IF(OR(vp.tbl[[#This Row],[Sulf]]="",vp.tbl[[#This Row],[Dens]]=""),1,0)</f>
        <v>0</v>
      </c>
      <c r="Y726">
        <f>IF(vp.tbl[[#This Row],[CrudeType]]="C5+",1,0)</f>
        <v>0</v>
      </c>
      <c r="Z726">
        <f>IF(AND(vp.tbl[[#This Row],[CrudeType]]="Crude",vp.tbl[[#This Row],[Dens]]&lt;=825,vp.tbl[[#This Row],[Sulf]]&gt;0.5,vp.tbl[[#This Row],[Unknown]]=0),1,0)</f>
        <v>0</v>
      </c>
      <c r="AA726">
        <f>IF(AND(vp.tbl[[#This Row],[CrudeType]]="Crude",vp.tbl[[#This Row],[Dens]]&lt;=825,vp.tbl[[#This Row],[Sulf]]&lt;=0.5,vp.tbl[[#This Row],[Unknown]]=0),1,0)</f>
        <v>0</v>
      </c>
      <c r="AB726">
        <f>IF(AND(vp.tbl[[#This Row],[CrudeType]]="Crude",vp.tbl[[#This Row],[Dens]]&gt;825,vp.tbl[[#This Row],[Dens]]&lt;=870,vp.tbl[[#This Row],[Sulf]]&gt;0.5,vp.tbl[[#This Row],[Unknown]]=0),1,0)</f>
        <v>1</v>
      </c>
      <c r="AC726">
        <f>IF(AND(vp.tbl[[#This Row],[CrudeType]]="Crude",vp.tbl[[#This Row],[Dens]]&gt;825,vp.tbl[[#This Row],[Dens]]&lt;=900,vp.tbl[[#This Row],[Sulf]]&lt;=0.5,vp.tbl[[#This Row],[Unknown]]=0),1,0)</f>
        <v>0</v>
      </c>
      <c r="AD726">
        <f>IF(AND(vp.tbl[[#This Row],[CrudeType]]="Crude",vp.tbl[[#This Row],[Dens]]&gt;870,vp.tbl[[#This Row],[Dens]]&lt;=900,vp.tbl[[#This Row],[Sulf]]&gt;0.5,vp.tbl[[#This Row],[Unknown]]=0),1,0)</f>
        <v>0</v>
      </c>
      <c r="AE726">
        <f>IF(AND(vp.tbl[[#This Row],[CrudeType]]="Crude",vp.tbl[[#This Row],[Dens]]&gt;900,vp.tbl[[#This Row],[Sulf]]&lt;=0.5,vp.tbl[[#This Row],[Unknown]]=0),1,0)</f>
        <v>0</v>
      </c>
      <c r="AF726">
        <f>IF(AND(vp.tbl[[#This Row],[CrudeType]]="Crude",vp.tbl[[#This Row],[Dens]]&gt;900,vp.tbl[[#This Row],[Sulf]]&lt;=0.5,vp.tbl[[#This Row],[Unknown]]=0),1,0)</f>
        <v>0</v>
      </c>
      <c r="AG726" t="str">
        <f>INDEX(vp.tbl[[#Headers],[Unknown]:[Heavy_SW]],MATCH(1,vp.tbl[[#This Row],[Unknown]:[Heavy_SW]],0))</f>
        <v>Medium_LSB</v>
      </c>
      <c r="AH726" t="e">
        <f>INDEX([1]!crudeBD.lkup[Number],MATCH(vp.tbl[[#This Row],[Crude_Breakdown]],[1]!crudeBD.lkup[Crude Breakdown],0))</f>
        <v>#REF!</v>
      </c>
      <c r="AI726">
        <f>MONTH(vp.tbl[[#This Row],[SDate]])</f>
        <v>2</v>
      </c>
      <c r="AJ726" s="5">
        <f>IFERROR(vp.tbl[[#This Row],[Sulf]]*vp.tbl[[#This Row],[Net Dens]],"")</f>
        <v>11825060.302775998</v>
      </c>
      <c r="AK726" s="5">
        <f>IFERROR(vp.tbl[[#This Row],[Dens]]*vp.tbl[[#This Row],[VolumeM3]],"")</f>
        <v>10464655.135199999</v>
      </c>
      <c r="AL726" s="5">
        <f>IFERROR(vp.tbl[[#This Row],[VP]]*vp.tbl[[#This Row],[VolumeM3]],"")</f>
        <v>1188937.3284</v>
      </c>
      <c r="AM726" s="4">
        <f>IFERROR((vp.tbl[[#This Row],[VP]]-INDEX(crudeBD.lkup.complete[Mean_VP],MATCH(vp.tbl[[#This Row],[Crude_Breakdown]],crudeBD.lkup.complete[Crude Breakdown],0)))^2,"")</f>
        <v>213.93172507546967</v>
      </c>
      <c r="AN726" s="4">
        <f>IFERROR((vp.tbl[[#This Row],[Dens]]-INDEX(crudeBD.lkup.complete[Mean_Dens],MATCH(vp.tbl[[#This Row],[Crude_Breakdown]],crudeBD.lkup.complete[Crude Breakdown],0)))^2,"")</f>
        <v>118.63180357568807</v>
      </c>
      <c r="AO726" s="4">
        <f>IFERROR((vp.tbl[[#This Row],[Sulf]]-INDEX(crudeBD.lkup.complete[Mean_Sulf],MATCH(vp.tbl[[#This Row],[Crude_Breakdown]],crudeBD.lkup.complete[Crude Breakdown],0)))^2,"")</f>
        <v>0.10557941441318498</v>
      </c>
      <c r="AP726">
        <f>IF(AND(vp.tbl[[#This Row],[SDate]]&gt;=DATE(YEAR(vp.tbl[[#This Row],[SDate]]),5,1),vp.tbl[[#This Row],[SDate]]&lt;=DATE(YEAR(vp.tbl[[#This Row],[SDate]]),9,15)),1,0)</f>
        <v>0</v>
      </c>
      <c r="AQ726" s="15">
        <f>IF(vp.tbl[[#This Row],[SDate]]&lt;DATE(2016,12,1),0,1)</f>
        <v>1</v>
      </c>
    </row>
    <row r="727" spans="1:43" x14ac:dyDescent="0.25">
      <c r="A727">
        <v>726</v>
      </c>
      <c r="B727" t="s">
        <v>51</v>
      </c>
      <c r="C727" t="s">
        <v>51</v>
      </c>
      <c r="D727" t="s">
        <v>156</v>
      </c>
      <c r="F727" s="1">
        <v>42770</v>
      </c>
      <c r="G727" s="2">
        <v>75</v>
      </c>
      <c r="H727" s="2"/>
      <c r="I727" s="2">
        <v>1.24</v>
      </c>
      <c r="J727" s="2">
        <v>19.7</v>
      </c>
      <c r="K727" s="2">
        <v>-18</v>
      </c>
      <c r="L727" s="2">
        <v>844.5</v>
      </c>
      <c r="M727" s="2">
        <v>844.5</v>
      </c>
      <c r="N727" s="2">
        <f ca="1">INDEX(INDIRECT(_xlfn.CONCAT("weather.tbl[",N$1,"]")),MATCH(vp.tbl[[#This Row],[SDate]],weather.tbl[Date],0))</f>
        <v>-14.933333333333332</v>
      </c>
      <c r="O727" s="2">
        <f ca="1">INDEX(INDIRECT(_xlfn.CONCAT("weather.tbl[",O$1,"]")),MATCH(vp.tbl[[#This Row],[SDate]],weather.tbl[Date],0))</f>
        <v>-11.192857142857145</v>
      </c>
      <c r="P727" s="2">
        <f ca="1">INDEX(INDIRECT(_xlfn.CONCAT("weather.tbl[",P$1,"]")),MATCH(vp.tbl[[#This Row],[SDate]],weather.tbl[Date],0))</f>
        <v>-14.5</v>
      </c>
      <c r="Q727" s="2">
        <f ca="1">INDEX(INDIRECT(_xlfn.CONCAT("weather.tbl[",Q$1,"]")),MATCH(vp.tbl[[#This Row],[SDate]],weather.tbl[Date],0))</f>
        <v>-15</v>
      </c>
      <c r="R727" s="2">
        <f ca="1">INDEX(INDIRECT(_xlfn.CONCAT("weather.tbl[",R$1,"]")),MATCH(vp.tbl[[#This Row],[SDate]],weather.tbl[Date],0))</f>
        <v>-14.5</v>
      </c>
      <c r="S727" s="2">
        <f ca="1">INDEX(INDIRECT(_xlfn.CONCAT("weather.tbl[",S$1,"]")),MATCH(vp.tbl[[#This Row],[SDate]],weather.tbl[Date],0))</f>
        <v>-14.2</v>
      </c>
      <c r="T727" s="2">
        <f ca="1">INDEX(INDIRECT(_xlfn.CONCAT("weather.tbl[",T$1,"]")),MATCH(vp.tbl[[#This Row],[SDate]],weather.tbl[Date],0))</f>
        <v>-15.6</v>
      </c>
      <c r="U727" s="2">
        <f ca="1">INDEX(INDIRECT(_xlfn.CONCAT("weather.tbl[",U$1,"]")),MATCH(vp.tbl[[#This Row],[SDate]],weather.tbl[Date],0))</f>
        <v>-15.8</v>
      </c>
      <c r="V727" s="2">
        <v>736.87699999999995</v>
      </c>
      <c r="W727" t="s">
        <v>48</v>
      </c>
      <c r="X727">
        <f>IF(OR(vp.tbl[[#This Row],[Sulf]]="",vp.tbl[[#This Row],[Dens]]=""),1,0)</f>
        <v>0</v>
      </c>
      <c r="Y727">
        <f>IF(vp.tbl[[#This Row],[CrudeType]]="C5+",1,0)</f>
        <v>0</v>
      </c>
      <c r="Z727">
        <f>IF(AND(vp.tbl[[#This Row],[CrudeType]]="Crude",vp.tbl[[#This Row],[Dens]]&lt;=825,vp.tbl[[#This Row],[Sulf]]&gt;0.5,vp.tbl[[#This Row],[Unknown]]=0),1,0)</f>
        <v>0</v>
      </c>
      <c r="AA727">
        <f>IF(AND(vp.tbl[[#This Row],[CrudeType]]="Crude",vp.tbl[[#This Row],[Dens]]&lt;=825,vp.tbl[[#This Row],[Sulf]]&lt;=0.5,vp.tbl[[#This Row],[Unknown]]=0),1,0)</f>
        <v>0</v>
      </c>
      <c r="AB727">
        <f>IF(AND(vp.tbl[[#This Row],[CrudeType]]="Crude",vp.tbl[[#This Row],[Dens]]&gt;825,vp.tbl[[#This Row],[Dens]]&lt;=870,vp.tbl[[#This Row],[Sulf]]&gt;0.5,vp.tbl[[#This Row],[Unknown]]=0),1,0)</f>
        <v>1</v>
      </c>
      <c r="AC727">
        <f>IF(AND(vp.tbl[[#This Row],[CrudeType]]="Crude",vp.tbl[[#This Row],[Dens]]&gt;825,vp.tbl[[#This Row],[Dens]]&lt;=900,vp.tbl[[#This Row],[Sulf]]&lt;=0.5,vp.tbl[[#This Row],[Unknown]]=0),1,0)</f>
        <v>0</v>
      </c>
      <c r="AD727">
        <f>IF(AND(vp.tbl[[#This Row],[CrudeType]]="Crude",vp.tbl[[#This Row],[Dens]]&gt;870,vp.tbl[[#This Row],[Dens]]&lt;=900,vp.tbl[[#This Row],[Sulf]]&gt;0.5,vp.tbl[[#This Row],[Unknown]]=0),1,0)</f>
        <v>0</v>
      </c>
      <c r="AE727">
        <f>IF(AND(vp.tbl[[#This Row],[CrudeType]]="Crude",vp.tbl[[#This Row],[Dens]]&gt;900,vp.tbl[[#This Row],[Sulf]]&lt;=0.5,vp.tbl[[#This Row],[Unknown]]=0),1,0)</f>
        <v>0</v>
      </c>
      <c r="AF727">
        <f>IF(AND(vp.tbl[[#This Row],[CrudeType]]="Crude",vp.tbl[[#This Row],[Dens]]&gt;900,vp.tbl[[#This Row],[Sulf]]&lt;=0.5,vp.tbl[[#This Row],[Unknown]]=0),1,0)</f>
        <v>0</v>
      </c>
      <c r="AG727" t="str">
        <f>INDEX(vp.tbl[[#Headers],[Unknown]:[Heavy_SW]],MATCH(1,vp.tbl[[#This Row],[Unknown]:[Heavy_SW]],0))</f>
        <v>Medium_LSB</v>
      </c>
      <c r="AH727" t="e">
        <f>INDEX([1]!crudeBD.lkup[Number],MATCH(vp.tbl[[#This Row],[Crude_Breakdown]],[1]!crudeBD.lkup[Crude Breakdown],0))</f>
        <v>#REF!</v>
      </c>
      <c r="AI727">
        <f>MONTH(vp.tbl[[#This Row],[SDate]])</f>
        <v>2</v>
      </c>
      <c r="AJ727" s="5">
        <f>IFERROR(vp.tbl[[#This Row],[Sulf]]*vp.tbl[[#This Row],[Net Dens]],"")</f>
        <v>771642.85686000006</v>
      </c>
      <c r="AK727" s="5">
        <f>IFERROR(vp.tbl[[#This Row],[Dens]]*vp.tbl[[#This Row],[VolumeM3]],"")</f>
        <v>622292.62650000001</v>
      </c>
      <c r="AL727" s="5">
        <f>IFERROR(vp.tbl[[#This Row],[VP]]*vp.tbl[[#This Row],[VolumeM3]],"")</f>
        <v>55265.774999999994</v>
      </c>
      <c r="AM727" s="4">
        <f>IFERROR((vp.tbl[[#This Row],[VP]]-INDEX(crudeBD.lkup.complete[Mean_VP],MATCH(vp.tbl[[#This Row],[Crude_Breakdown]],crudeBD.lkup.complete[Crude Breakdown],0)))^2,"")</f>
        <v>26.766084569139178</v>
      </c>
      <c r="AN727" s="4">
        <f>IFERROR((vp.tbl[[#This Row],[Dens]]-INDEX(crudeBD.lkup.complete[Mean_Dens],MATCH(vp.tbl[[#This Row],[Crude_Breakdown]],crudeBD.lkup.complete[Crude Breakdown],0)))^2,"")</f>
        <v>0.62698332254290468</v>
      </c>
      <c r="AO727" s="4">
        <f>IFERROR((vp.tbl[[#This Row],[Sulf]]-INDEX(crudeBD.lkup.complete[Mean_Sulf],MATCH(vp.tbl[[#This Row],[Crude_Breakdown]],crudeBD.lkup.complete[Crude Breakdown],0)))^2,"")</f>
        <v>4.6194845046095979E-2</v>
      </c>
      <c r="AP727">
        <f>IF(AND(vp.tbl[[#This Row],[SDate]]&gt;=DATE(YEAR(vp.tbl[[#This Row],[SDate]]),5,1),vp.tbl[[#This Row],[SDate]]&lt;=DATE(YEAR(vp.tbl[[#This Row],[SDate]]),9,15)),1,0)</f>
        <v>0</v>
      </c>
      <c r="AQ727" s="15">
        <f>IF(vp.tbl[[#This Row],[SDate]]&lt;DATE(2016,12,1),0,1)</f>
        <v>1</v>
      </c>
    </row>
    <row r="728" spans="1:43" x14ac:dyDescent="0.25">
      <c r="A728">
        <v>727</v>
      </c>
      <c r="B728" t="s">
        <v>62</v>
      </c>
      <c r="C728" t="s">
        <v>62</v>
      </c>
      <c r="D728" t="s">
        <v>63</v>
      </c>
      <c r="F728" s="1">
        <v>42770</v>
      </c>
      <c r="G728" s="2">
        <v>86.6</v>
      </c>
      <c r="H728" s="2"/>
      <c r="I728" s="2">
        <v>1.53</v>
      </c>
      <c r="J728" s="2">
        <v>16</v>
      </c>
      <c r="K728" s="2">
        <v>-19</v>
      </c>
      <c r="L728" s="2">
        <v>848.1</v>
      </c>
      <c r="M728" s="2">
        <v>848.1</v>
      </c>
      <c r="N728" s="2">
        <f ca="1">INDEX(INDIRECT(_xlfn.CONCAT("weather.tbl[",N$1,"]")),MATCH(vp.tbl[[#This Row],[SDate]],weather.tbl[Date],0))</f>
        <v>-14.933333333333332</v>
      </c>
      <c r="O728" s="2">
        <f ca="1">INDEX(INDIRECT(_xlfn.CONCAT("weather.tbl[",O$1,"]")),MATCH(vp.tbl[[#This Row],[SDate]],weather.tbl[Date],0))</f>
        <v>-11.192857142857145</v>
      </c>
      <c r="P728" s="2">
        <f ca="1">INDEX(INDIRECT(_xlfn.CONCAT("weather.tbl[",P$1,"]")),MATCH(vp.tbl[[#This Row],[SDate]],weather.tbl[Date],0))</f>
        <v>-14.5</v>
      </c>
      <c r="Q728" s="2">
        <f ca="1">INDEX(INDIRECT(_xlfn.CONCAT("weather.tbl[",Q$1,"]")),MATCH(vp.tbl[[#This Row],[SDate]],weather.tbl[Date],0))</f>
        <v>-15</v>
      </c>
      <c r="R728" s="2">
        <f ca="1">INDEX(INDIRECT(_xlfn.CONCAT("weather.tbl[",R$1,"]")),MATCH(vp.tbl[[#This Row],[SDate]],weather.tbl[Date],0))</f>
        <v>-14.5</v>
      </c>
      <c r="S728" s="2">
        <f ca="1">INDEX(INDIRECT(_xlfn.CONCAT("weather.tbl[",S$1,"]")),MATCH(vp.tbl[[#This Row],[SDate]],weather.tbl[Date],0))</f>
        <v>-14.2</v>
      </c>
      <c r="T728" s="2">
        <f ca="1">INDEX(INDIRECT(_xlfn.CONCAT("weather.tbl[",T$1,"]")),MATCH(vp.tbl[[#This Row],[SDate]],weather.tbl[Date],0))</f>
        <v>-15.6</v>
      </c>
      <c r="U728" s="2">
        <f ca="1">INDEX(INDIRECT(_xlfn.CONCAT("weather.tbl[",U$1,"]")),MATCH(vp.tbl[[#This Row],[SDate]],weather.tbl[Date],0))</f>
        <v>-15.8</v>
      </c>
      <c r="V728" s="2">
        <v>4978.7389999999996</v>
      </c>
      <c r="W728" t="s">
        <v>48</v>
      </c>
      <c r="X728">
        <f>IF(OR(vp.tbl[[#This Row],[Sulf]]="",vp.tbl[[#This Row],[Dens]]=""),1,0)</f>
        <v>0</v>
      </c>
      <c r="Y728">
        <f>IF(vp.tbl[[#This Row],[CrudeType]]="C5+",1,0)</f>
        <v>0</v>
      </c>
      <c r="Z728">
        <f>IF(AND(vp.tbl[[#This Row],[CrudeType]]="Crude",vp.tbl[[#This Row],[Dens]]&lt;=825,vp.tbl[[#This Row],[Sulf]]&gt;0.5,vp.tbl[[#This Row],[Unknown]]=0),1,0)</f>
        <v>0</v>
      </c>
      <c r="AA728">
        <f>IF(AND(vp.tbl[[#This Row],[CrudeType]]="Crude",vp.tbl[[#This Row],[Dens]]&lt;=825,vp.tbl[[#This Row],[Sulf]]&lt;=0.5,vp.tbl[[#This Row],[Unknown]]=0),1,0)</f>
        <v>0</v>
      </c>
      <c r="AB728">
        <f>IF(AND(vp.tbl[[#This Row],[CrudeType]]="Crude",vp.tbl[[#This Row],[Dens]]&gt;825,vp.tbl[[#This Row],[Dens]]&lt;=870,vp.tbl[[#This Row],[Sulf]]&gt;0.5,vp.tbl[[#This Row],[Unknown]]=0),1,0)</f>
        <v>1</v>
      </c>
      <c r="AC728">
        <f>IF(AND(vp.tbl[[#This Row],[CrudeType]]="Crude",vp.tbl[[#This Row],[Dens]]&gt;825,vp.tbl[[#This Row],[Dens]]&lt;=900,vp.tbl[[#This Row],[Sulf]]&lt;=0.5,vp.tbl[[#This Row],[Unknown]]=0),1,0)</f>
        <v>0</v>
      </c>
      <c r="AD728">
        <f>IF(AND(vp.tbl[[#This Row],[CrudeType]]="Crude",vp.tbl[[#This Row],[Dens]]&gt;870,vp.tbl[[#This Row],[Dens]]&lt;=900,vp.tbl[[#This Row],[Sulf]]&gt;0.5,vp.tbl[[#This Row],[Unknown]]=0),1,0)</f>
        <v>0</v>
      </c>
      <c r="AE728">
        <f>IF(AND(vp.tbl[[#This Row],[CrudeType]]="Crude",vp.tbl[[#This Row],[Dens]]&gt;900,vp.tbl[[#This Row],[Sulf]]&lt;=0.5,vp.tbl[[#This Row],[Unknown]]=0),1,0)</f>
        <v>0</v>
      </c>
      <c r="AF728">
        <f>IF(AND(vp.tbl[[#This Row],[CrudeType]]="Crude",vp.tbl[[#This Row],[Dens]]&gt;900,vp.tbl[[#This Row],[Sulf]]&lt;=0.5,vp.tbl[[#This Row],[Unknown]]=0),1,0)</f>
        <v>0</v>
      </c>
      <c r="AG728" t="str">
        <f>INDEX(vp.tbl[[#Headers],[Unknown]:[Heavy_SW]],MATCH(1,vp.tbl[[#This Row],[Unknown]:[Heavy_SW]],0))</f>
        <v>Medium_LSB</v>
      </c>
      <c r="AH728" t="e">
        <f>INDEX([1]!crudeBD.lkup[Number],MATCH(vp.tbl[[#This Row],[Crude_Breakdown]],[1]!crudeBD.lkup[Crude Breakdown],0))</f>
        <v>#REF!</v>
      </c>
      <c r="AI728">
        <f>MONTH(vp.tbl[[#This Row],[SDate]])</f>
        <v>2</v>
      </c>
      <c r="AJ728" s="5">
        <f>IFERROR(vp.tbl[[#This Row],[Sulf]]*vp.tbl[[#This Row],[Net Dens]],"")</f>
        <v>6460376.8752269987</v>
      </c>
      <c r="AK728" s="5">
        <f>IFERROR(vp.tbl[[#This Row],[Dens]]*vp.tbl[[#This Row],[VolumeM3]],"")</f>
        <v>4222468.5458999993</v>
      </c>
      <c r="AL728" s="5">
        <f>IFERROR(vp.tbl[[#This Row],[VP]]*vp.tbl[[#This Row],[VolumeM3]],"")</f>
        <v>431158.79739999992</v>
      </c>
      <c r="AM728" s="4">
        <f>IFERROR((vp.tbl[[#This Row],[VP]]-INDEX(crudeBD.lkup.complete[Mean_VP],MATCH(vp.tbl[[#This Row],[Crude_Breakdown]],crudeBD.lkup.complete[Crude Breakdown],0)))^2,"")</f>
        <v>41.298682037494395</v>
      </c>
      <c r="AN728" s="4">
        <f>IFERROR((vp.tbl[[#This Row],[Dens]]-INDEX(crudeBD.lkup.complete[Mean_Dens],MATCH(vp.tbl[[#This Row],[Crude_Breakdown]],crudeBD.lkup.complete[Crude Breakdown],0)))^2,"")</f>
        <v>7.8858592719172105</v>
      </c>
      <c r="AO728" s="4">
        <f>IFERROR((vp.tbl[[#This Row],[Sulf]]-INDEX(crudeBD.lkup.complete[Mean_Sulf],MATCH(vp.tbl[[#This Row],[Crude_Breakdown]],crudeBD.lkup.complete[Crude Breakdown],0)))^2,"")</f>
        <v>5.6355258055887899E-3</v>
      </c>
      <c r="AP728">
        <f>IF(AND(vp.tbl[[#This Row],[SDate]]&gt;=DATE(YEAR(vp.tbl[[#This Row],[SDate]]),5,1),vp.tbl[[#This Row],[SDate]]&lt;=DATE(YEAR(vp.tbl[[#This Row],[SDate]]),9,15)),1,0)</f>
        <v>0</v>
      </c>
      <c r="AQ728" s="15">
        <f>IF(vp.tbl[[#This Row],[SDate]]&lt;DATE(2016,12,1),0,1)</f>
        <v>1</v>
      </c>
    </row>
    <row r="729" spans="1:43" x14ac:dyDescent="0.25">
      <c r="A729">
        <v>728</v>
      </c>
      <c r="B729" t="s">
        <v>68</v>
      </c>
      <c r="C729" t="s">
        <v>68</v>
      </c>
      <c r="D729" t="s">
        <v>110</v>
      </c>
      <c r="F729" s="1">
        <v>42770</v>
      </c>
      <c r="G729" s="2">
        <v>61</v>
      </c>
      <c r="H729" s="2"/>
      <c r="I729" s="2">
        <v>1.44</v>
      </c>
      <c r="J729" s="2">
        <v>34.200000000000003</v>
      </c>
      <c r="K729" s="2">
        <v>-19</v>
      </c>
      <c r="L729" s="2">
        <v>852.2</v>
      </c>
      <c r="M729" s="2">
        <v>852.2</v>
      </c>
      <c r="N729" s="2">
        <f ca="1">INDEX(INDIRECT(_xlfn.CONCAT("weather.tbl[",N$1,"]")),MATCH(vp.tbl[[#This Row],[SDate]],weather.tbl[Date],0))</f>
        <v>-14.933333333333332</v>
      </c>
      <c r="O729" s="2">
        <f ca="1">INDEX(INDIRECT(_xlfn.CONCAT("weather.tbl[",O$1,"]")),MATCH(vp.tbl[[#This Row],[SDate]],weather.tbl[Date],0))</f>
        <v>-11.192857142857145</v>
      </c>
      <c r="P729" s="2">
        <f ca="1">INDEX(INDIRECT(_xlfn.CONCAT("weather.tbl[",P$1,"]")),MATCH(vp.tbl[[#This Row],[SDate]],weather.tbl[Date],0))</f>
        <v>-14.5</v>
      </c>
      <c r="Q729" s="2">
        <f ca="1">INDEX(INDIRECT(_xlfn.CONCAT("weather.tbl[",Q$1,"]")),MATCH(vp.tbl[[#This Row],[SDate]],weather.tbl[Date],0))</f>
        <v>-15</v>
      </c>
      <c r="R729" s="2">
        <f ca="1">INDEX(INDIRECT(_xlfn.CONCAT("weather.tbl[",R$1,"]")),MATCH(vp.tbl[[#This Row],[SDate]],weather.tbl[Date],0))</f>
        <v>-14.5</v>
      </c>
      <c r="S729" s="2">
        <f ca="1">INDEX(INDIRECT(_xlfn.CONCAT("weather.tbl[",S$1,"]")),MATCH(vp.tbl[[#This Row],[SDate]],weather.tbl[Date],0))</f>
        <v>-14.2</v>
      </c>
      <c r="T729" s="2">
        <f ca="1">INDEX(INDIRECT(_xlfn.CONCAT("weather.tbl[",T$1,"]")),MATCH(vp.tbl[[#This Row],[SDate]],weather.tbl[Date],0))</f>
        <v>-15.6</v>
      </c>
      <c r="U729" s="2">
        <f ca="1">INDEX(INDIRECT(_xlfn.CONCAT("weather.tbl[",U$1,"]")),MATCH(vp.tbl[[#This Row],[SDate]],weather.tbl[Date],0))</f>
        <v>-15.8</v>
      </c>
      <c r="V729" s="2">
        <v>4067.5740000000001</v>
      </c>
      <c r="W729" t="s">
        <v>48</v>
      </c>
      <c r="X729">
        <f>IF(OR(vp.tbl[[#This Row],[Sulf]]="",vp.tbl[[#This Row],[Dens]]=""),1,0)</f>
        <v>0</v>
      </c>
      <c r="Y729">
        <f>IF(vp.tbl[[#This Row],[CrudeType]]="C5+",1,0)</f>
        <v>0</v>
      </c>
      <c r="Z729">
        <f>IF(AND(vp.tbl[[#This Row],[CrudeType]]="Crude",vp.tbl[[#This Row],[Dens]]&lt;=825,vp.tbl[[#This Row],[Sulf]]&gt;0.5,vp.tbl[[#This Row],[Unknown]]=0),1,0)</f>
        <v>0</v>
      </c>
      <c r="AA729">
        <f>IF(AND(vp.tbl[[#This Row],[CrudeType]]="Crude",vp.tbl[[#This Row],[Dens]]&lt;=825,vp.tbl[[#This Row],[Sulf]]&lt;=0.5,vp.tbl[[#This Row],[Unknown]]=0),1,0)</f>
        <v>0</v>
      </c>
      <c r="AB729">
        <f>IF(AND(vp.tbl[[#This Row],[CrudeType]]="Crude",vp.tbl[[#This Row],[Dens]]&gt;825,vp.tbl[[#This Row],[Dens]]&lt;=870,vp.tbl[[#This Row],[Sulf]]&gt;0.5,vp.tbl[[#This Row],[Unknown]]=0),1,0)</f>
        <v>1</v>
      </c>
      <c r="AC729">
        <f>IF(AND(vp.tbl[[#This Row],[CrudeType]]="Crude",vp.tbl[[#This Row],[Dens]]&gt;825,vp.tbl[[#This Row],[Dens]]&lt;=900,vp.tbl[[#This Row],[Sulf]]&lt;=0.5,vp.tbl[[#This Row],[Unknown]]=0),1,0)</f>
        <v>0</v>
      </c>
      <c r="AD729">
        <f>IF(AND(vp.tbl[[#This Row],[CrudeType]]="Crude",vp.tbl[[#This Row],[Dens]]&gt;870,vp.tbl[[#This Row],[Dens]]&lt;=900,vp.tbl[[#This Row],[Sulf]]&gt;0.5,vp.tbl[[#This Row],[Unknown]]=0),1,0)</f>
        <v>0</v>
      </c>
      <c r="AE729">
        <f>IF(AND(vp.tbl[[#This Row],[CrudeType]]="Crude",vp.tbl[[#This Row],[Dens]]&gt;900,vp.tbl[[#This Row],[Sulf]]&lt;=0.5,vp.tbl[[#This Row],[Unknown]]=0),1,0)</f>
        <v>0</v>
      </c>
      <c r="AF729">
        <f>IF(AND(vp.tbl[[#This Row],[CrudeType]]="Crude",vp.tbl[[#This Row],[Dens]]&gt;900,vp.tbl[[#This Row],[Sulf]]&lt;=0.5,vp.tbl[[#This Row],[Unknown]]=0),1,0)</f>
        <v>0</v>
      </c>
      <c r="AG729" t="str">
        <f>INDEX(vp.tbl[[#Headers],[Unknown]:[Heavy_SW]],MATCH(1,vp.tbl[[#This Row],[Unknown]:[Heavy_SW]],0))</f>
        <v>Medium_LSB</v>
      </c>
      <c r="AH729" t="e">
        <f>INDEX([1]!crudeBD.lkup[Number],MATCH(vp.tbl[[#This Row],[Crude_Breakdown]],[1]!crudeBD.lkup[Crude Breakdown],0))</f>
        <v>#REF!</v>
      </c>
      <c r="AI729">
        <f>MONTH(vp.tbl[[#This Row],[SDate]])</f>
        <v>2</v>
      </c>
      <c r="AJ729" s="5">
        <f>IFERROR(vp.tbl[[#This Row],[Sulf]]*vp.tbl[[#This Row],[Net Dens]],"")</f>
        <v>4991596.6504320009</v>
      </c>
      <c r="AK729" s="5">
        <f>IFERROR(vp.tbl[[#This Row],[Dens]]*vp.tbl[[#This Row],[VolumeM3]],"")</f>
        <v>3466386.5628000004</v>
      </c>
      <c r="AL729" s="5">
        <f>IFERROR(vp.tbl[[#This Row],[VP]]*vp.tbl[[#This Row],[VolumeM3]],"")</f>
        <v>248122.014</v>
      </c>
      <c r="AM729" s="4">
        <f>IFERROR((vp.tbl[[#This Row],[VP]]-INDEX(crudeBD.lkup.complete[Mean_VP],MATCH(vp.tbl[[#This Row],[Crude_Breakdown]],crudeBD.lkup.complete[Crude Breakdown],0)))^2,"")</f>
        <v>367.62674279698626</v>
      </c>
      <c r="AN729" s="4">
        <f>IFERROR((vp.tbl[[#This Row],[Dens]]-INDEX(crudeBD.lkup.complete[Mean_Dens],MATCH(vp.tbl[[#This Row],[Crude_Breakdown]],crudeBD.lkup.complete[Crude Breakdown],0)))^2,"")</f>
        <v>47.722912436482744</v>
      </c>
      <c r="AO729" s="4">
        <f>IFERROR((vp.tbl[[#This Row],[Sulf]]-INDEX(crudeBD.lkup.complete[Mean_Sulf],MATCH(vp.tbl[[#This Row],[Crude_Breakdown]],crudeBD.lkup.complete[Crude Breakdown],0)))^2,"")</f>
        <v>2.2290074229791476E-4</v>
      </c>
      <c r="AP729">
        <f>IF(AND(vp.tbl[[#This Row],[SDate]]&gt;=DATE(YEAR(vp.tbl[[#This Row],[SDate]]),5,1),vp.tbl[[#This Row],[SDate]]&lt;=DATE(YEAR(vp.tbl[[#This Row],[SDate]]),9,15)),1,0)</f>
        <v>0</v>
      </c>
      <c r="AQ729" s="15">
        <f>IF(vp.tbl[[#This Row],[SDate]]&lt;DATE(2016,12,1),0,1)</f>
        <v>1</v>
      </c>
    </row>
    <row r="730" spans="1:43" x14ac:dyDescent="0.25">
      <c r="A730">
        <v>729</v>
      </c>
      <c r="B730" t="s">
        <v>60</v>
      </c>
      <c r="C730" t="s">
        <v>60</v>
      </c>
      <c r="D730" t="s">
        <v>61</v>
      </c>
      <c r="E730" t="s">
        <v>55</v>
      </c>
      <c r="F730" s="1">
        <v>42770</v>
      </c>
      <c r="G730" s="2">
        <v>101.4</v>
      </c>
      <c r="H730" s="2">
        <v>1.1739999999999999</v>
      </c>
      <c r="I730" s="2">
        <v>1.1739999999999999</v>
      </c>
      <c r="J730" s="2">
        <v>4.4000000000000004</v>
      </c>
      <c r="K730" s="2">
        <v>-12</v>
      </c>
      <c r="L730" s="2">
        <v>837.8</v>
      </c>
      <c r="M730" s="2">
        <v>837.8</v>
      </c>
      <c r="N730" s="2">
        <f ca="1">INDEX(INDIRECT(_xlfn.CONCAT("weather.tbl[",N$1,"]")),MATCH(vp.tbl[[#This Row],[SDate]],weather.tbl[Date],0))</f>
        <v>-14.933333333333332</v>
      </c>
      <c r="O730" s="2">
        <f ca="1">INDEX(INDIRECT(_xlfn.CONCAT("weather.tbl[",O$1,"]")),MATCH(vp.tbl[[#This Row],[SDate]],weather.tbl[Date],0))</f>
        <v>-11.192857142857145</v>
      </c>
      <c r="P730" s="2">
        <f ca="1">INDEX(INDIRECT(_xlfn.CONCAT("weather.tbl[",P$1,"]")),MATCH(vp.tbl[[#This Row],[SDate]],weather.tbl[Date],0))</f>
        <v>-14.5</v>
      </c>
      <c r="Q730" s="2">
        <f ca="1">INDEX(INDIRECT(_xlfn.CONCAT("weather.tbl[",Q$1,"]")),MATCH(vp.tbl[[#This Row],[SDate]],weather.tbl[Date],0))</f>
        <v>-15</v>
      </c>
      <c r="R730" s="2">
        <f ca="1">INDEX(INDIRECT(_xlfn.CONCAT("weather.tbl[",R$1,"]")),MATCH(vp.tbl[[#This Row],[SDate]],weather.tbl[Date],0))</f>
        <v>-14.5</v>
      </c>
      <c r="S730" s="2">
        <f ca="1">INDEX(INDIRECT(_xlfn.CONCAT("weather.tbl[",S$1,"]")),MATCH(vp.tbl[[#This Row],[SDate]],weather.tbl[Date],0))</f>
        <v>-14.2</v>
      </c>
      <c r="T730" s="2">
        <f ca="1">INDEX(INDIRECT(_xlfn.CONCAT("weather.tbl[",T$1,"]")),MATCH(vp.tbl[[#This Row],[SDate]],weather.tbl[Date],0))</f>
        <v>-15.6</v>
      </c>
      <c r="U730" s="2">
        <f ca="1">INDEX(INDIRECT(_xlfn.CONCAT("weather.tbl[",U$1,"]")),MATCH(vp.tbl[[#This Row],[SDate]],weather.tbl[Date],0))</f>
        <v>-15.8</v>
      </c>
      <c r="V730" s="2">
        <v>96501.951000000001</v>
      </c>
      <c r="W730" t="s">
        <v>48</v>
      </c>
      <c r="X730">
        <f>IF(OR(vp.tbl[[#This Row],[Sulf]]="",vp.tbl[[#This Row],[Dens]]=""),1,0)</f>
        <v>0</v>
      </c>
      <c r="Y730">
        <f>IF(vp.tbl[[#This Row],[CrudeType]]="C5+",1,0)</f>
        <v>0</v>
      </c>
      <c r="Z730">
        <f>IF(AND(vp.tbl[[#This Row],[CrudeType]]="Crude",vp.tbl[[#This Row],[Dens]]&lt;=825,vp.tbl[[#This Row],[Sulf]]&gt;0.5,vp.tbl[[#This Row],[Unknown]]=0),1,0)</f>
        <v>0</v>
      </c>
      <c r="AA730">
        <f>IF(AND(vp.tbl[[#This Row],[CrudeType]]="Crude",vp.tbl[[#This Row],[Dens]]&lt;=825,vp.tbl[[#This Row],[Sulf]]&lt;=0.5,vp.tbl[[#This Row],[Unknown]]=0),1,0)</f>
        <v>0</v>
      </c>
      <c r="AB730">
        <f>IF(AND(vp.tbl[[#This Row],[CrudeType]]="Crude",vp.tbl[[#This Row],[Dens]]&gt;825,vp.tbl[[#This Row],[Dens]]&lt;=870,vp.tbl[[#This Row],[Sulf]]&gt;0.5,vp.tbl[[#This Row],[Unknown]]=0),1,0)</f>
        <v>1</v>
      </c>
      <c r="AC730">
        <f>IF(AND(vp.tbl[[#This Row],[CrudeType]]="Crude",vp.tbl[[#This Row],[Dens]]&gt;825,vp.tbl[[#This Row],[Dens]]&lt;=900,vp.tbl[[#This Row],[Sulf]]&lt;=0.5,vp.tbl[[#This Row],[Unknown]]=0),1,0)</f>
        <v>0</v>
      </c>
      <c r="AD730">
        <f>IF(AND(vp.tbl[[#This Row],[CrudeType]]="Crude",vp.tbl[[#This Row],[Dens]]&gt;870,vp.tbl[[#This Row],[Dens]]&lt;=900,vp.tbl[[#This Row],[Sulf]]&gt;0.5,vp.tbl[[#This Row],[Unknown]]=0),1,0)</f>
        <v>0</v>
      </c>
      <c r="AE730">
        <f>IF(AND(vp.tbl[[#This Row],[CrudeType]]="Crude",vp.tbl[[#This Row],[Dens]]&gt;900,vp.tbl[[#This Row],[Sulf]]&lt;=0.5,vp.tbl[[#This Row],[Unknown]]=0),1,0)</f>
        <v>0</v>
      </c>
      <c r="AF730">
        <f>IF(AND(vp.tbl[[#This Row],[CrudeType]]="Crude",vp.tbl[[#This Row],[Dens]]&gt;900,vp.tbl[[#This Row],[Sulf]]&lt;=0.5,vp.tbl[[#This Row],[Unknown]]=0),1,0)</f>
        <v>0</v>
      </c>
      <c r="AG730" t="str">
        <f>INDEX(vp.tbl[[#Headers],[Unknown]:[Heavy_SW]],MATCH(1,vp.tbl[[#This Row],[Unknown]:[Heavy_SW]],0))</f>
        <v>Medium_LSB</v>
      </c>
      <c r="AH730" t="e">
        <f>INDEX([1]!crudeBD.lkup[Number],MATCH(vp.tbl[[#This Row],[Crude_Breakdown]],[1]!crudeBD.lkup[Crude Breakdown],0))</f>
        <v>#REF!</v>
      </c>
      <c r="AI730">
        <f>MONTH(vp.tbl[[#This Row],[SDate]])</f>
        <v>2</v>
      </c>
      <c r="AJ730" s="5">
        <f>IFERROR(vp.tbl[[#This Row],[Sulf]]*vp.tbl[[#This Row],[Net Dens]],"")</f>
        <v>94917118.759117186</v>
      </c>
      <c r="AK730" s="5">
        <f>IFERROR(vp.tbl[[#This Row],[Dens]]*vp.tbl[[#This Row],[VolumeM3]],"")</f>
        <v>80849334.54779999</v>
      </c>
      <c r="AL730" s="5">
        <f>IFERROR(vp.tbl[[#This Row],[VP]]*vp.tbl[[#This Row],[VolumeM3]],"")</f>
        <v>9785297.8314000014</v>
      </c>
      <c r="AM730" s="4">
        <f>IFERROR((vp.tbl[[#This Row],[VP]]-INDEX(crudeBD.lkup.complete[Mean_VP],MATCH(vp.tbl[[#This Row],[Crude_Breakdown]],crudeBD.lkup.complete[Crude Breakdown],0)))^2,"")</f>
        <v>450.56027191091351</v>
      </c>
      <c r="AN730" s="4">
        <f>IFERROR((vp.tbl[[#This Row],[Dens]]-INDEX(crudeBD.lkup.complete[Mean_Dens],MATCH(vp.tbl[[#This Row],[Crude_Breakdown]],crudeBD.lkup.complete[Crude Breakdown],0)))^2,"")</f>
        <v>56.12740863898609</v>
      </c>
      <c r="AO730" s="4">
        <f>IFERROR((vp.tbl[[#This Row],[Sulf]]-INDEX(crudeBD.lkup.complete[Mean_Sulf],MATCH(vp.tbl[[#This Row],[Crude_Breakdown]],crudeBD.lkup.complete[Crude Breakdown],0)))^2,"")</f>
        <v>7.8921586666349366E-2</v>
      </c>
      <c r="AP730">
        <f>IF(AND(vp.tbl[[#This Row],[SDate]]&gt;=DATE(YEAR(vp.tbl[[#This Row],[SDate]]),5,1),vp.tbl[[#This Row],[SDate]]&lt;=DATE(YEAR(vp.tbl[[#This Row],[SDate]]),9,15)),1,0)</f>
        <v>0</v>
      </c>
      <c r="AQ730" s="15">
        <f>IF(vp.tbl[[#This Row],[SDate]]&lt;DATE(2016,12,1),0,1)</f>
        <v>1</v>
      </c>
    </row>
    <row r="731" spans="1:43" x14ac:dyDescent="0.25">
      <c r="A731">
        <v>730</v>
      </c>
      <c r="B731" t="s">
        <v>49</v>
      </c>
      <c r="C731" t="s">
        <v>49</v>
      </c>
      <c r="D731" t="s">
        <v>78</v>
      </c>
      <c r="F731" s="1">
        <v>42771</v>
      </c>
      <c r="G731" s="2">
        <v>94.3</v>
      </c>
      <c r="H731" s="2">
        <v>0.34699999999999998</v>
      </c>
      <c r="I731" s="2">
        <v>0.34699999999999998</v>
      </c>
      <c r="J731" s="2"/>
      <c r="K731" s="2">
        <v>-16</v>
      </c>
      <c r="L731" s="2">
        <v>809.9</v>
      </c>
      <c r="M731" s="2">
        <v>809.9</v>
      </c>
      <c r="N731" s="2">
        <f ca="1">INDEX(INDIRECT(_xlfn.CONCAT("weather.tbl[",N$1,"]")),MATCH(vp.tbl[[#This Row],[SDate]],weather.tbl[Date],0))</f>
        <v>-19.466666666666665</v>
      </c>
      <c r="O731" s="2">
        <f ca="1">INDEX(INDIRECT(_xlfn.CONCAT("weather.tbl[",O$1,"]")),MATCH(vp.tbl[[#This Row],[SDate]],weather.tbl[Date],0))</f>
        <v>-13.680952380952382</v>
      </c>
      <c r="P731" s="2">
        <f ca="1">INDEX(INDIRECT(_xlfn.CONCAT("weather.tbl[",P$1,"]")),MATCH(vp.tbl[[#This Row],[SDate]],weather.tbl[Date],0))</f>
        <v>-19.3</v>
      </c>
      <c r="Q731" s="2">
        <f ca="1">INDEX(INDIRECT(_xlfn.CONCAT("weather.tbl[",Q$1,"]")),MATCH(vp.tbl[[#This Row],[SDate]],weather.tbl[Date],0))</f>
        <v>-19</v>
      </c>
      <c r="R731" s="2">
        <f ca="1">INDEX(INDIRECT(_xlfn.CONCAT("weather.tbl[",R$1,"]")),MATCH(vp.tbl[[#This Row],[SDate]],weather.tbl[Date],0))</f>
        <v>-21.8</v>
      </c>
      <c r="S731" s="2">
        <f ca="1">INDEX(INDIRECT(_xlfn.CONCAT("weather.tbl[",S$1,"]")),MATCH(vp.tbl[[#This Row],[SDate]],weather.tbl[Date],0))</f>
        <v>-17.399999999999999</v>
      </c>
      <c r="T731" s="2">
        <f ca="1">INDEX(INDIRECT(_xlfn.CONCAT("weather.tbl[",T$1,"]")),MATCH(vp.tbl[[#This Row],[SDate]],weather.tbl[Date],0))</f>
        <v>-20.8</v>
      </c>
      <c r="U731" s="2">
        <f ca="1">INDEX(INDIRECT(_xlfn.CONCAT("weather.tbl[",U$1,"]")),MATCH(vp.tbl[[#This Row],[SDate]],weather.tbl[Date],0))</f>
        <v>-18.5</v>
      </c>
      <c r="V731" s="2">
        <v>17200.881000000001</v>
      </c>
      <c r="W731" t="s">
        <v>48</v>
      </c>
      <c r="X731">
        <f>IF(OR(vp.tbl[[#This Row],[Sulf]]="",vp.tbl[[#This Row],[Dens]]=""),1,0)</f>
        <v>0</v>
      </c>
      <c r="Y731">
        <f>IF(vp.tbl[[#This Row],[CrudeType]]="C5+",1,0)</f>
        <v>0</v>
      </c>
      <c r="Z731">
        <f>IF(AND(vp.tbl[[#This Row],[CrudeType]]="Crude",vp.tbl[[#This Row],[Dens]]&lt;=825,vp.tbl[[#This Row],[Sulf]]&gt;0.5,vp.tbl[[#This Row],[Unknown]]=0),1,0)</f>
        <v>0</v>
      </c>
      <c r="AA731">
        <f>IF(AND(vp.tbl[[#This Row],[CrudeType]]="Crude",vp.tbl[[#This Row],[Dens]]&lt;=825,vp.tbl[[#This Row],[Sulf]]&lt;=0.5,vp.tbl[[#This Row],[Unknown]]=0),1,0)</f>
        <v>1</v>
      </c>
      <c r="AB731">
        <f>IF(AND(vp.tbl[[#This Row],[CrudeType]]="Crude",vp.tbl[[#This Row],[Dens]]&gt;825,vp.tbl[[#This Row],[Dens]]&lt;=870,vp.tbl[[#This Row],[Sulf]]&gt;0.5,vp.tbl[[#This Row],[Unknown]]=0),1,0)</f>
        <v>0</v>
      </c>
      <c r="AC731">
        <f>IF(AND(vp.tbl[[#This Row],[CrudeType]]="Crude",vp.tbl[[#This Row],[Dens]]&gt;825,vp.tbl[[#This Row],[Dens]]&lt;=900,vp.tbl[[#This Row],[Sulf]]&lt;=0.5,vp.tbl[[#This Row],[Unknown]]=0),1,0)</f>
        <v>0</v>
      </c>
      <c r="AD731">
        <f>IF(AND(vp.tbl[[#This Row],[CrudeType]]="Crude",vp.tbl[[#This Row],[Dens]]&gt;870,vp.tbl[[#This Row],[Dens]]&lt;=900,vp.tbl[[#This Row],[Sulf]]&gt;0.5,vp.tbl[[#This Row],[Unknown]]=0),1,0)</f>
        <v>0</v>
      </c>
      <c r="AE731">
        <f>IF(AND(vp.tbl[[#This Row],[CrudeType]]="Crude",vp.tbl[[#This Row],[Dens]]&gt;900,vp.tbl[[#This Row],[Sulf]]&lt;=0.5,vp.tbl[[#This Row],[Unknown]]=0),1,0)</f>
        <v>0</v>
      </c>
      <c r="AF731">
        <f>IF(AND(vp.tbl[[#This Row],[CrudeType]]="Crude",vp.tbl[[#This Row],[Dens]]&gt;900,vp.tbl[[#This Row],[Sulf]]&lt;=0.5,vp.tbl[[#This Row],[Unknown]]=0),1,0)</f>
        <v>0</v>
      </c>
      <c r="AG731" t="str">
        <f>INDEX(vp.tbl[[#Headers],[Unknown]:[Heavy_SW]],MATCH(1,vp.tbl[[#This Row],[Unknown]:[Heavy_SW]],0))</f>
        <v>Light_SW</v>
      </c>
      <c r="AH731" t="e">
        <f>INDEX([1]!crudeBD.lkup[Number],MATCH(vp.tbl[[#This Row],[Crude_Breakdown]],[1]!crudeBD.lkup[Crude Breakdown],0))</f>
        <v>#REF!</v>
      </c>
      <c r="AI731">
        <f>MONTH(vp.tbl[[#This Row],[SDate]])</f>
        <v>2</v>
      </c>
      <c r="AJ731" s="5">
        <f>IFERROR(vp.tbl[[#This Row],[Sulf]]*vp.tbl[[#This Row],[Net Dens]],"")</f>
        <v>4834054.7520992998</v>
      </c>
      <c r="AK731" s="5">
        <f>IFERROR(vp.tbl[[#This Row],[Dens]]*vp.tbl[[#This Row],[VolumeM3]],"")</f>
        <v>13930993.5219</v>
      </c>
      <c r="AL731" s="5">
        <f>IFERROR(vp.tbl[[#This Row],[VP]]*vp.tbl[[#This Row],[VolumeM3]],"")</f>
        <v>1622043.0783000002</v>
      </c>
      <c r="AM731" s="4">
        <f>IFERROR((vp.tbl[[#This Row],[VP]]-INDEX(crudeBD.lkup.complete[Mean_VP],MATCH(vp.tbl[[#This Row],[Crude_Breakdown]],crudeBD.lkup.complete[Crude Breakdown],0)))^2,"")</f>
        <v>3.0614025373624507</v>
      </c>
      <c r="AN731" s="4">
        <f>IFERROR((vp.tbl[[#This Row],[Dens]]-INDEX(crudeBD.lkup.complete[Mean_Dens],MATCH(vp.tbl[[#This Row],[Crude_Breakdown]],crudeBD.lkup.complete[Crude Breakdown],0)))^2,"")</f>
        <v>2.5233377848468623</v>
      </c>
      <c r="AO731" s="4">
        <f>IFERROR((vp.tbl[[#This Row],[Sulf]]-INDEX(crudeBD.lkup.complete[Mean_Sulf],MATCH(vp.tbl[[#This Row],[Crude_Breakdown]],crudeBD.lkup.complete[Crude Breakdown],0)))^2,"")</f>
        <v>1.2267376243004072E-2</v>
      </c>
      <c r="AP731">
        <f>IF(AND(vp.tbl[[#This Row],[SDate]]&gt;=DATE(YEAR(vp.tbl[[#This Row],[SDate]]),5,1),vp.tbl[[#This Row],[SDate]]&lt;=DATE(YEAR(vp.tbl[[#This Row],[SDate]]),9,15)),1,0)</f>
        <v>0</v>
      </c>
      <c r="AQ731" s="15">
        <f>IF(vp.tbl[[#This Row],[SDate]]&lt;DATE(2016,12,1),0,1)</f>
        <v>1</v>
      </c>
    </row>
    <row r="732" spans="1:43" x14ac:dyDescent="0.25">
      <c r="A732">
        <v>731</v>
      </c>
      <c r="B732" t="s">
        <v>49</v>
      </c>
      <c r="C732" t="s">
        <v>49</v>
      </c>
      <c r="D732" t="s">
        <v>92</v>
      </c>
      <c r="F732" s="1">
        <v>42771</v>
      </c>
      <c r="G732" s="2">
        <v>85.2</v>
      </c>
      <c r="H732" s="2">
        <v>0.56100000000000005</v>
      </c>
      <c r="I732" s="2">
        <v>0.56100000000000005</v>
      </c>
      <c r="J732" s="2">
        <v>20.6</v>
      </c>
      <c r="K732" s="2">
        <v>-16</v>
      </c>
      <c r="L732" s="2">
        <v>814.7</v>
      </c>
      <c r="M732" s="2">
        <v>814.7</v>
      </c>
      <c r="N732" s="2">
        <f ca="1">INDEX(INDIRECT(_xlfn.CONCAT("weather.tbl[",N$1,"]")),MATCH(vp.tbl[[#This Row],[SDate]],weather.tbl[Date],0))</f>
        <v>-19.466666666666665</v>
      </c>
      <c r="O732" s="2">
        <f ca="1">INDEX(INDIRECT(_xlfn.CONCAT("weather.tbl[",O$1,"]")),MATCH(vp.tbl[[#This Row],[SDate]],weather.tbl[Date],0))</f>
        <v>-13.680952380952382</v>
      </c>
      <c r="P732" s="2">
        <f ca="1">INDEX(INDIRECT(_xlfn.CONCAT("weather.tbl[",P$1,"]")),MATCH(vp.tbl[[#This Row],[SDate]],weather.tbl[Date],0))</f>
        <v>-19.3</v>
      </c>
      <c r="Q732" s="2">
        <f ca="1">INDEX(INDIRECT(_xlfn.CONCAT("weather.tbl[",Q$1,"]")),MATCH(vp.tbl[[#This Row],[SDate]],weather.tbl[Date],0))</f>
        <v>-19</v>
      </c>
      <c r="R732" s="2">
        <f ca="1">INDEX(INDIRECT(_xlfn.CONCAT("weather.tbl[",R$1,"]")),MATCH(vp.tbl[[#This Row],[SDate]],weather.tbl[Date],0))</f>
        <v>-21.8</v>
      </c>
      <c r="S732" s="2">
        <f ca="1">INDEX(INDIRECT(_xlfn.CONCAT("weather.tbl[",S$1,"]")),MATCH(vp.tbl[[#This Row],[SDate]],weather.tbl[Date],0))</f>
        <v>-17.399999999999999</v>
      </c>
      <c r="T732" s="2">
        <f ca="1">INDEX(INDIRECT(_xlfn.CONCAT("weather.tbl[",T$1,"]")),MATCH(vp.tbl[[#This Row],[SDate]],weather.tbl[Date],0))</f>
        <v>-20.8</v>
      </c>
      <c r="U732" s="2">
        <f ca="1">INDEX(INDIRECT(_xlfn.CONCAT("weather.tbl[",U$1,"]")),MATCH(vp.tbl[[#This Row],[SDate]],weather.tbl[Date],0))</f>
        <v>-18.5</v>
      </c>
      <c r="V732" s="2">
        <v>20149.223999999998</v>
      </c>
      <c r="W732" t="s">
        <v>48</v>
      </c>
      <c r="X732">
        <f>IF(OR(vp.tbl[[#This Row],[Sulf]]="",vp.tbl[[#This Row],[Dens]]=""),1,0)</f>
        <v>0</v>
      </c>
      <c r="Y732">
        <f>IF(vp.tbl[[#This Row],[CrudeType]]="C5+",1,0)</f>
        <v>0</v>
      </c>
      <c r="Z732">
        <f>IF(AND(vp.tbl[[#This Row],[CrudeType]]="Crude",vp.tbl[[#This Row],[Dens]]&lt;=825,vp.tbl[[#This Row],[Sulf]]&gt;0.5,vp.tbl[[#This Row],[Unknown]]=0),1,0)</f>
        <v>1</v>
      </c>
      <c r="AA732">
        <f>IF(AND(vp.tbl[[#This Row],[CrudeType]]="Crude",vp.tbl[[#This Row],[Dens]]&lt;=825,vp.tbl[[#This Row],[Sulf]]&lt;=0.5,vp.tbl[[#This Row],[Unknown]]=0),1,0)</f>
        <v>0</v>
      </c>
      <c r="AB732">
        <f>IF(AND(vp.tbl[[#This Row],[CrudeType]]="Crude",vp.tbl[[#This Row],[Dens]]&gt;825,vp.tbl[[#This Row],[Dens]]&lt;=870,vp.tbl[[#This Row],[Sulf]]&gt;0.5,vp.tbl[[#This Row],[Unknown]]=0),1,0)</f>
        <v>0</v>
      </c>
      <c r="AC732">
        <f>IF(AND(vp.tbl[[#This Row],[CrudeType]]="Crude",vp.tbl[[#This Row],[Dens]]&gt;825,vp.tbl[[#This Row],[Dens]]&lt;=900,vp.tbl[[#This Row],[Sulf]]&lt;=0.5,vp.tbl[[#This Row],[Unknown]]=0),1,0)</f>
        <v>0</v>
      </c>
      <c r="AD732">
        <f>IF(AND(vp.tbl[[#This Row],[CrudeType]]="Crude",vp.tbl[[#This Row],[Dens]]&gt;870,vp.tbl[[#This Row],[Dens]]&lt;=900,vp.tbl[[#This Row],[Sulf]]&gt;0.5,vp.tbl[[#This Row],[Unknown]]=0),1,0)</f>
        <v>0</v>
      </c>
      <c r="AE732">
        <f>IF(AND(vp.tbl[[#This Row],[CrudeType]]="Crude",vp.tbl[[#This Row],[Dens]]&gt;900,vp.tbl[[#This Row],[Sulf]]&lt;=0.5,vp.tbl[[#This Row],[Unknown]]=0),1,0)</f>
        <v>0</v>
      </c>
      <c r="AF732">
        <f>IF(AND(vp.tbl[[#This Row],[CrudeType]]="Crude",vp.tbl[[#This Row],[Dens]]&gt;900,vp.tbl[[#This Row],[Sulf]]&lt;=0.5,vp.tbl[[#This Row],[Unknown]]=0),1,0)</f>
        <v>0</v>
      </c>
      <c r="AG732" t="str">
        <f>INDEX(vp.tbl[[#Headers],[Unknown]:[Heavy_SW]],MATCH(1,vp.tbl[[#This Row],[Unknown]:[Heavy_SW]],0))</f>
        <v>Light_LSB</v>
      </c>
      <c r="AH732" t="e">
        <f>INDEX([1]!crudeBD.lkup[Number],MATCH(vp.tbl[[#This Row],[Crude_Breakdown]],[1]!crudeBD.lkup[Crude Breakdown],0))</f>
        <v>#REF!</v>
      </c>
      <c r="AI732">
        <f>MONTH(vp.tbl[[#This Row],[SDate]])</f>
        <v>2</v>
      </c>
      <c r="AJ732" s="5">
        <f>IFERROR(vp.tbl[[#This Row],[Sulf]]*vp.tbl[[#This Row],[Net Dens]],"")</f>
        <v>9209136.3367608003</v>
      </c>
      <c r="AK732" s="5">
        <f>IFERROR(vp.tbl[[#This Row],[Dens]]*vp.tbl[[#This Row],[VolumeM3]],"")</f>
        <v>16415572.7928</v>
      </c>
      <c r="AL732" s="5">
        <f>IFERROR(vp.tbl[[#This Row],[VP]]*vp.tbl[[#This Row],[VolumeM3]],"")</f>
        <v>1716713.8847999999</v>
      </c>
      <c r="AM732" s="4">
        <f>IFERROR((vp.tbl[[#This Row],[VP]]-INDEX(crudeBD.lkup.complete[Mean_VP],MATCH(vp.tbl[[#This Row],[Crude_Breakdown]],crudeBD.lkup.complete[Crude Breakdown],0)))^2,"")</f>
        <v>40.274071250930319</v>
      </c>
      <c r="AN732" s="4">
        <f>IFERROR((vp.tbl[[#This Row],[Dens]]-INDEX(crudeBD.lkup.complete[Mean_Dens],MATCH(vp.tbl[[#This Row],[Crude_Breakdown]],crudeBD.lkup.complete[Crude Breakdown],0)))^2,"")</f>
        <v>14.567731396650577</v>
      </c>
      <c r="AO732" s="4">
        <f>IFERROR((vp.tbl[[#This Row],[Sulf]]-INDEX(crudeBD.lkup.complete[Mean_Sulf],MATCH(vp.tbl[[#This Row],[Crude_Breakdown]],crudeBD.lkup.complete[Crude Breakdown],0)))^2,"")</f>
        <v>0.13102312674191471</v>
      </c>
      <c r="AP732">
        <f>IF(AND(vp.tbl[[#This Row],[SDate]]&gt;=DATE(YEAR(vp.tbl[[#This Row],[SDate]]),5,1),vp.tbl[[#This Row],[SDate]]&lt;=DATE(YEAR(vp.tbl[[#This Row],[SDate]]),9,15)),1,0)</f>
        <v>0</v>
      </c>
      <c r="AQ732" s="15">
        <f>IF(vp.tbl[[#This Row],[SDate]]&lt;DATE(2016,12,1),0,1)</f>
        <v>1</v>
      </c>
    </row>
    <row r="733" spans="1:43" x14ac:dyDescent="0.25">
      <c r="A733">
        <v>732</v>
      </c>
      <c r="B733" t="s">
        <v>49</v>
      </c>
      <c r="C733" t="s">
        <v>49</v>
      </c>
      <c r="D733" t="s">
        <v>50</v>
      </c>
      <c r="F733" s="1">
        <v>42771</v>
      </c>
      <c r="G733" s="2">
        <v>81.400000000000006</v>
      </c>
      <c r="H733" s="2">
        <v>2.5459999999999998</v>
      </c>
      <c r="I733" s="2">
        <v>2.5459999999999998</v>
      </c>
      <c r="J733" s="2">
        <v>15</v>
      </c>
      <c r="K733" s="2">
        <v>-16</v>
      </c>
      <c r="L733" s="2">
        <v>871.6</v>
      </c>
      <c r="M733" s="2">
        <v>871.6</v>
      </c>
      <c r="N733" s="2">
        <f ca="1">INDEX(INDIRECT(_xlfn.CONCAT("weather.tbl[",N$1,"]")),MATCH(vp.tbl[[#This Row],[SDate]],weather.tbl[Date],0))</f>
        <v>-19.466666666666665</v>
      </c>
      <c r="O733" s="2">
        <f ca="1">INDEX(INDIRECT(_xlfn.CONCAT("weather.tbl[",O$1,"]")),MATCH(vp.tbl[[#This Row],[SDate]],weather.tbl[Date],0))</f>
        <v>-13.680952380952382</v>
      </c>
      <c r="P733" s="2">
        <f ca="1">INDEX(INDIRECT(_xlfn.CONCAT("weather.tbl[",P$1,"]")),MATCH(vp.tbl[[#This Row],[SDate]],weather.tbl[Date],0))</f>
        <v>-19.3</v>
      </c>
      <c r="Q733" s="2">
        <f ca="1">INDEX(INDIRECT(_xlfn.CONCAT("weather.tbl[",Q$1,"]")),MATCH(vp.tbl[[#This Row],[SDate]],weather.tbl[Date],0))</f>
        <v>-19</v>
      </c>
      <c r="R733" s="2">
        <f ca="1">INDEX(INDIRECT(_xlfn.CONCAT("weather.tbl[",R$1,"]")),MATCH(vp.tbl[[#This Row],[SDate]],weather.tbl[Date],0))</f>
        <v>-21.8</v>
      </c>
      <c r="S733" s="2">
        <f ca="1">INDEX(INDIRECT(_xlfn.CONCAT("weather.tbl[",S$1,"]")),MATCH(vp.tbl[[#This Row],[SDate]],weather.tbl[Date],0))</f>
        <v>-17.399999999999999</v>
      </c>
      <c r="T733" s="2">
        <f ca="1">INDEX(INDIRECT(_xlfn.CONCAT("weather.tbl[",T$1,"]")),MATCH(vp.tbl[[#This Row],[SDate]],weather.tbl[Date],0))</f>
        <v>-20.8</v>
      </c>
      <c r="U733" s="2">
        <f ca="1">INDEX(INDIRECT(_xlfn.CONCAT("weather.tbl[",U$1,"]")),MATCH(vp.tbl[[#This Row],[SDate]],weather.tbl[Date],0))</f>
        <v>-18.5</v>
      </c>
      <c r="V733" s="2">
        <v>5073.817</v>
      </c>
      <c r="W733" t="s">
        <v>48</v>
      </c>
      <c r="X733">
        <f>IF(OR(vp.tbl[[#This Row],[Sulf]]="",vp.tbl[[#This Row],[Dens]]=""),1,0)</f>
        <v>0</v>
      </c>
      <c r="Y733">
        <f>IF(vp.tbl[[#This Row],[CrudeType]]="C5+",1,0)</f>
        <v>0</v>
      </c>
      <c r="Z733">
        <f>IF(AND(vp.tbl[[#This Row],[CrudeType]]="Crude",vp.tbl[[#This Row],[Dens]]&lt;=825,vp.tbl[[#This Row],[Sulf]]&gt;0.5,vp.tbl[[#This Row],[Unknown]]=0),1,0)</f>
        <v>0</v>
      </c>
      <c r="AA733">
        <f>IF(AND(vp.tbl[[#This Row],[CrudeType]]="Crude",vp.tbl[[#This Row],[Dens]]&lt;=825,vp.tbl[[#This Row],[Sulf]]&lt;=0.5,vp.tbl[[#This Row],[Unknown]]=0),1,0)</f>
        <v>0</v>
      </c>
      <c r="AB733">
        <f>IF(AND(vp.tbl[[#This Row],[CrudeType]]="Crude",vp.tbl[[#This Row],[Dens]]&gt;825,vp.tbl[[#This Row],[Dens]]&lt;=870,vp.tbl[[#This Row],[Sulf]]&gt;0.5,vp.tbl[[#This Row],[Unknown]]=0),1,0)</f>
        <v>0</v>
      </c>
      <c r="AC733">
        <f>IF(AND(vp.tbl[[#This Row],[CrudeType]]="Crude",vp.tbl[[#This Row],[Dens]]&gt;825,vp.tbl[[#This Row],[Dens]]&lt;=900,vp.tbl[[#This Row],[Sulf]]&lt;=0.5,vp.tbl[[#This Row],[Unknown]]=0),1,0)</f>
        <v>0</v>
      </c>
      <c r="AD733">
        <f>IF(AND(vp.tbl[[#This Row],[CrudeType]]="Crude",vp.tbl[[#This Row],[Dens]]&gt;870,vp.tbl[[#This Row],[Dens]]&lt;=900,vp.tbl[[#This Row],[Sulf]]&gt;0.5,vp.tbl[[#This Row],[Unknown]]=0),1,0)</f>
        <v>1</v>
      </c>
      <c r="AE733">
        <f>IF(AND(vp.tbl[[#This Row],[CrudeType]]="Crude",vp.tbl[[#This Row],[Dens]]&gt;900,vp.tbl[[#This Row],[Sulf]]&lt;=0.5,vp.tbl[[#This Row],[Unknown]]=0),1,0)</f>
        <v>0</v>
      </c>
      <c r="AF733">
        <f>IF(AND(vp.tbl[[#This Row],[CrudeType]]="Crude",vp.tbl[[#This Row],[Dens]]&gt;900,vp.tbl[[#This Row],[Sulf]]&lt;=0.5,vp.tbl[[#This Row],[Unknown]]=0),1,0)</f>
        <v>0</v>
      </c>
      <c r="AG733" t="str">
        <f>INDEX(vp.tbl[[#Headers],[Unknown]:[Heavy_SW]],MATCH(1,vp.tbl[[#This Row],[Unknown]:[Heavy_SW]],0))</f>
        <v>Midale</v>
      </c>
      <c r="AH733" t="e">
        <f>INDEX([1]!crudeBD.lkup[Number],MATCH(vp.tbl[[#This Row],[Crude_Breakdown]],[1]!crudeBD.lkup[Crude Breakdown],0))</f>
        <v>#REF!</v>
      </c>
      <c r="AI733">
        <f>MONTH(vp.tbl[[#This Row],[SDate]])</f>
        <v>2</v>
      </c>
      <c r="AJ733" s="5">
        <f>IFERROR(vp.tbl[[#This Row],[Sulf]]*vp.tbl[[#This Row],[Net Dens]],"")</f>
        <v>11259274.8322712</v>
      </c>
      <c r="AK733" s="5">
        <f>IFERROR(vp.tbl[[#This Row],[Dens]]*vp.tbl[[#This Row],[VolumeM3]],"")</f>
        <v>4422338.8972000005</v>
      </c>
      <c r="AL733" s="5">
        <f>IFERROR(vp.tbl[[#This Row],[VP]]*vp.tbl[[#This Row],[VolumeM3]],"")</f>
        <v>413008.70380000002</v>
      </c>
      <c r="AM733" s="4">
        <f>IFERROR((vp.tbl[[#This Row],[VP]]-INDEX(crudeBD.lkup.complete[Mean_VP],MATCH(vp.tbl[[#This Row],[Crude_Breakdown]],crudeBD.lkup.complete[Crude Breakdown],0)))^2,"")</f>
        <v>173.22886845561999</v>
      </c>
      <c r="AN733" s="4">
        <f>IFERROR((vp.tbl[[#This Row],[Dens]]-INDEX(crudeBD.lkup.complete[Mean_Dens],MATCH(vp.tbl[[#This Row],[Crude_Breakdown]],crudeBD.lkup.complete[Crude Breakdown],0)))^2,"")</f>
        <v>35.426956276971168</v>
      </c>
      <c r="AO733" s="4">
        <f>IFERROR((vp.tbl[[#This Row],[Sulf]]-INDEX(crudeBD.lkup.complete[Mean_Sulf],MATCH(vp.tbl[[#This Row],[Crude_Breakdown]],crudeBD.lkup.complete[Crude Breakdown],0)))^2,"")</f>
        <v>1.707199980275877E-2</v>
      </c>
      <c r="AP733">
        <f>IF(AND(vp.tbl[[#This Row],[SDate]]&gt;=DATE(YEAR(vp.tbl[[#This Row],[SDate]]),5,1),vp.tbl[[#This Row],[SDate]]&lt;=DATE(YEAR(vp.tbl[[#This Row],[SDate]]),9,15)),1,0)</f>
        <v>0</v>
      </c>
      <c r="AQ733" s="15">
        <f>IF(vp.tbl[[#This Row],[SDate]]&lt;DATE(2016,12,1),0,1)</f>
        <v>1</v>
      </c>
    </row>
    <row r="734" spans="1:43" x14ac:dyDescent="0.25">
      <c r="A734">
        <v>733</v>
      </c>
      <c r="B734" t="s">
        <v>51</v>
      </c>
      <c r="C734" t="s">
        <v>51</v>
      </c>
      <c r="D734" t="s">
        <v>71</v>
      </c>
      <c r="F734" s="1">
        <v>42771</v>
      </c>
      <c r="G734" s="2">
        <v>98.1</v>
      </c>
      <c r="H734" s="2"/>
      <c r="I734" s="2">
        <v>1.61</v>
      </c>
      <c r="J734" s="2">
        <v>28.9</v>
      </c>
      <c r="K734" s="2">
        <v>-18</v>
      </c>
      <c r="L734" s="2">
        <v>836</v>
      </c>
      <c r="M734" s="2">
        <v>836</v>
      </c>
      <c r="N734" s="2">
        <f ca="1">INDEX(INDIRECT(_xlfn.CONCAT("weather.tbl[",N$1,"]")),MATCH(vp.tbl[[#This Row],[SDate]],weather.tbl[Date],0))</f>
        <v>-19.466666666666665</v>
      </c>
      <c r="O734" s="2">
        <f ca="1">INDEX(INDIRECT(_xlfn.CONCAT("weather.tbl[",O$1,"]")),MATCH(vp.tbl[[#This Row],[SDate]],weather.tbl[Date],0))</f>
        <v>-13.680952380952382</v>
      </c>
      <c r="P734" s="2">
        <f ca="1">INDEX(INDIRECT(_xlfn.CONCAT("weather.tbl[",P$1,"]")),MATCH(vp.tbl[[#This Row],[SDate]],weather.tbl[Date],0))</f>
        <v>-19.3</v>
      </c>
      <c r="Q734" s="2">
        <f ca="1">INDEX(INDIRECT(_xlfn.CONCAT("weather.tbl[",Q$1,"]")),MATCH(vp.tbl[[#This Row],[SDate]],weather.tbl[Date],0))</f>
        <v>-19</v>
      </c>
      <c r="R734" s="2">
        <f ca="1">INDEX(INDIRECT(_xlfn.CONCAT("weather.tbl[",R$1,"]")),MATCH(vp.tbl[[#This Row],[SDate]],weather.tbl[Date],0))</f>
        <v>-21.8</v>
      </c>
      <c r="S734" s="2">
        <f ca="1">INDEX(INDIRECT(_xlfn.CONCAT("weather.tbl[",S$1,"]")),MATCH(vp.tbl[[#This Row],[SDate]],weather.tbl[Date],0))</f>
        <v>-17.399999999999999</v>
      </c>
      <c r="T734" s="2">
        <f ca="1">INDEX(INDIRECT(_xlfn.CONCAT("weather.tbl[",T$1,"]")),MATCH(vp.tbl[[#This Row],[SDate]],weather.tbl[Date],0))</f>
        <v>-20.8</v>
      </c>
      <c r="U734" s="2">
        <f ca="1">INDEX(INDIRECT(_xlfn.CONCAT("weather.tbl[",U$1,"]")),MATCH(vp.tbl[[#This Row],[SDate]],weather.tbl[Date],0))</f>
        <v>-18.5</v>
      </c>
      <c r="V734" s="2">
        <v>7771.3980000000001</v>
      </c>
      <c r="W734" t="s">
        <v>48</v>
      </c>
      <c r="X734">
        <f>IF(OR(vp.tbl[[#This Row],[Sulf]]="",vp.tbl[[#This Row],[Dens]]=""),1,0)</f>
        <v>0</v>
      </c>
      <c r="Y734">
        <f>IF(vp.tbl[[#This Row],[CrudeType]]="C5+",1,0)</f>
        <v>0</v>
      </c>
      <c r="Z734">
        <f>IF(AND(vp.tbl[[#This Row],[CrudeType]]="Crude",vp.tbl[[#This Row],[Dens]]&lt;=825,vp.tbl[[#This Row],[Sulf]]&gt;0.5,vp.tbl[[#This Row],[Unknown]]=0),1,0)</f>
        <v>0</v>
      </c>
      <c r="AA734">
        <f>IF(AND(vp.tbl[[#This Row],[CrudeType]]="Crude",vp.tbl[[#This Row],[Dens]]&lt;=825,vp.tbl[[#This Row],[Sulf]]&lt;=0.5,vp.tbl[[#This Row],[Unknown]]=0),1,0)</f>
        <v>0</v>
      </c>
      <c r="AB734">
        <f>IF(AND(vp.tbl[[#This Row],[CrudeType]]="Crude",vp.tbl[[#This Row],[Dens]]&gt;825,vp.tbl[[#This Row],[Dens]]&lt;=870,vp.tbl[[#This Row],[Sulf]]&gt;0.5,vp.tbl[[#This Row],[Unknown]]=0),1,0)</f>
        <v>1</v>
      </c>
      <c r="AC734">
        <f>IF(AND(vp.tbl[[#This Row],[CrudeType]]="Crude",vp.tbl[[#This Row],[Dens]]&gt;825,vp.tbl[[#This Row],[Dens]]&lt;=900,vp.tbl[[#This Row],[Sulf]]&lt;=0.5,vp.tbl[[#This Row],[Unknown]]=0),1,0)</f>
        <v>0</v>
      </c>
      <c r="AD734">
        <f>IF(AND(vp.tbl[[#This Row],[CrudeType]]="Crude",vp.tbl[[#This Row],[Dens]]&gt;870,vp.tbl[[#This Row],[Dens]]&lt;=900,vp.tbl[[#This Row],[Sulf]]&gt;0.5,vp.tbl[[#This Row],[Unknown]]=0),1,0)</f>
        <v>0</v>
      </c>
      <c r="AE734">
        <f>IF(AND(vp.tbl[[#This Row],[CrudeType]]="Crude",vp.tbl[[#This Row],[Dens]]&gt;900,vp.tbl[[#This Row],[Sulf]]&lt;=0.5,vp.tbl[[#This Row],[Unknown]]=0),1,0)</f>
        <v>0</v>
      </c>
      <c r="AF734">
        <f>IF(AND(vp.tbl[[#This Row],[CrudeType]]="Crude",vp.tbl[[#This Row],[Dens]]&gt;900,vp.tbl[[#This Row],[Sulf]]&lt;=0.5,vp.tbl[[#This Row],[Unknown]]=0),1,0)</f>
        <v>0</v>
      </c>
      <c r="AG734" t="str">
        <f>INDEX(vp.tbl[[#Headers],[Unknown]:[Heavy_SW]],MATCH(1,vp.tbl[[#This Row],[Unknown]:[Heavy_SW]],0))</f>
        <v>Medium_LSB</v>
      </c>
      <c r="AH734" t="e">
        <f>INDEX([1]!crudeBD.lkup[Number],MATCH(vp.tbl[[#This Row],[Crude_Breakdown]],[1]!crudeBD.lkup[Crude Breakdown],0))</f>
        <v>#REF!</v>
      </c>
      <c r="AI734">
        <f>MONTH(vp.tbl[[#This Row],[SDate]])</f>
        <v>2</v>
      </c>
      <c r="AJ734" s="5">
        <f>IFERROR(vp.tbl[[#This Row],[Sulf]]*vp.tbl[[#This Row],[Net Dens]],"")</f>
        <v>10459990.852080001</v>
      </c>
      <c r="AK734" s="5">
        <f>IFERROR(vp.tbl[[#This Row],[Dens]]*vp.tbl[[#This Row],[VolumeM3]],"")</f>
        <v>6496888.7280000001</v>
      </c>
      <c r="AL734" s="5">
        <f>IFERROR(vp.tbl[[#This Row],[VP]]*vp.tbl[[#This Row],[VolumeM3]],"")</f>
        <v>762374.14379999996</v>
      </c>
      <c r="AM734" s="4">
        <f>IFERROR((vp.tbl[[#This Row],[VP]]-INDEX(crudeBD.lkup.complete[Mean_VP],MATCH(vp.tbl[[#This Row],[Crude_Breakdown]],crudeBD.lkup.complete[Crude Breakdown],0)))^2,"")</f>
        <v>321.35599849319129</v>
      </c>
      <c r="AN734" s="4">
        <f>IFERROR((vp.tbl[[#This Row],[Dens]]-INDEX(crudeBD.lkup.complete[Mean_Dens],MATCH(vp.tbl[[#This Row],[Crude_Breakdown]],crudeBD.lkup.complete[Crude Breakdown],0)))^2,"")</f>
        <v>86.337970664298311</v>
      </c>
      <c r="AO734" s="4">
        <f>IFERROR((vp.tbl[[#This Row],[Sulf]]-INDEX(crudeBD.lkup.complete[Mean_Sulf],MATCH(vp.tbl[[#This Row],[Crude_Breakdown]],crudeBD.lkup.complete[Crude Breakdown],0)))^2,"")</f>
        <v>2.4046748084069591E-2</v>
      </c>
      <c r="AP734">
        <f>IF(AND(vp.tbl[[#This Row],[SDate]]&gt;=DATE(YEAR(vp.tbl[[#This Row],[SDate]]),5,1),vp.tbl[[#This Row],[SDate]]&lt;=DATE(YEAR(vp.tbl[[#This Row],[SDate]]),9,15)),1,0)</f>
        <v>0</v>
      </c>
      <c r="AQ734" s="15">
        <f>IF(vp.tbl[[#This Row],[SDate]]&lt;DATE(2016,12,1),0,1)</f>
        <v>1</v>
      </c>
    </row>
    <row r="735" spans="1:43" x14ac:dyDescent="0.25">
      <c r="A735">
        <v>734</v>
      </c>
      <c r="B735" t="s">
        <v>51</v>
      </c>
      <c r="C735" t="s">
        <v>51</v>
      </c>
      <c r="D735" t="s">
        <v>58</v>
      </c>
      <c r="F735" s="1">
        <v>42771</v>
      </c>
      <c r="G735" s="2">
        <v>93.4</v>
      </c>
      <c r="H735" s="2"/>
      <c r="I735" s="2">
        <v>1.44</v>
      </c>
      <c r="J735" s="2">
        <v>26.2</v>
      </c>
      <c r="K735" s="2">
        <v>-16</v>
      </c>
      <c r="L735" s="2">
        <v>837.2</v>
      </c>
      <c r="M735" s="2">
        <v>837.2</v>
      </c>
      <c r="N735" s="2">
        <f ca="1">INDEX(INDIRECT(_xlfn.CONCAT("weather.tbl[",N$1,"]")),MATCH(vp.tbl[[#This Row],[SDate]],weather.tbl[Date],0))</f>
        <v>-19.466666666666665</v>
      </c>
      <c r="O735" s="2">
        <f ca="1">INDEX(INDIRECT(_xlfn.CONCAT("weather.tbl[",O$1,"]")),MATCH(vp.tbl[[#This Row],[SDate]],weather.tbl[Date],0))</f>
        <v>-13.680952380952382</v>
      </c>
      <c r="P735" s="2">
        <f ca="1">INDEX(INDIRECT(_xlfn.CONCAT("weather.tbl[",P$1,"]")),MATCH(vp.tbl[[#This Row],[SDate]],weather.tbl[Date],0))</f>
        <v>-19.3</v>
      </c>
      <c r="Q735" s="2">
        <f ca="1">INDEX(INDIRECT(_xlfn.CONCAT("weather.tbl[",Q$1,"]")),MATCH(vp.tbl[[#This Row],[SDate]],weather.tbl[Date],0))</f>
        <v>-19</v>
      </c>
      <c r="R735" s="2">
        <f ca="1">INDEX(INDIRECT(_xlfn.CONCAT("weather.tbl[",R$1,"]")),MATCH(vp.tbl[[#This Row],[SDate]],weather.tbl[Date],0))</f>
        <v>-21.8</v>
      </c>
      <c r="S735" s="2">
        <f ca="1">INDEX(INDIRECT(_xlfn.CONCAT("weather.tbl[",S$1,"]")),MATCH(vp.tbl[[#This Row],[SDate]],weather.tbl[Date],0))</f>
        <v>-17.399999999999999</v>
      </c>
      <c r="T735" s="2">
        <f ca="1">INDEX(INDIRECT(_xlfn.CONCAT("weather.tbl[",T$1,"]")),MATCH(vp.tbl[[#This Row],[SDate]],weather.tbl[Date],0))</f>
        <v>-20.8</v>
      </c>
      <c r="U735" s="2">
        <f ca="1">INDEX(INDIRECT(_xlfn.CONCAT("weather.tbl[",U$1,"]")),MATCH(vp.tbl[[#This Row],[SDate]],weather.tbl[Date],0))</f>
        <v>-18.5</v>
      </c>
      <c r="V735" s="2">
        <v>5483.6130000000003</v>
      </c>
      <c r="W735" t="s">
        <v>48</v>
      </c>
      <c r="X735">
        <f>IF(OR(vp.tbl[[#This Row],[Sulf]]="",vp.tbl[[#This Row],[Dens]]=""),1,0)</f>
        <v>0</v>
      </c>
      <c r="Y735">
        <f>IF(vp.tbl[[#This Row],[CrudeType]]="C5+",1,0)</f>
        <v>0</v>
      </c>
      <c r="Z735">
        <f>IF(AND(vp.tbl[[#This Row],[CrudeType]]="Crude",vp.tbl[[#This Row],[Dens]]&lt;=825,vp.tbl[[#This Row],[Sulf]]&gt;0.5,vp.tbl[[#This Row],[Unknown]]=0),1,0)</f>
        <v>0</v>
      </c>
      <c r="AA735">
        <f>IF(AND(vp.tbl[[#This Row],[CrudeType]]="Crude",vp.tbl[[#This Row],[Dens]]&lt;=825,vp.tbl[[#This Row],[Sulf]]&lt;=0.5,vp.tbl[[#This Row],[Unknown]]=0),1,0)</f>
        <v>0</v>
      </c>
      <c r="AB735">
        <f>IF(AND(vp.tbl[[#This Row],[CrudeType]]="Crude",vp.tbl[[#This Row],[Dens]]&gt;825,vp.tbl[[#This Row],[Dens]]&lt;=870,vp.tbl[[#This Row],[Sulf]]&gt;0.5,vp.tbl[[#This Row],[Unknown]]=0),1,0)</f>
        <v>1</v>
      </c>
      <c r="AC735">
        <f>IF(AND(vp.tbl[[#This Row],[CrudeType]]="Crude",vp.tbl[[#This Row],[Dens]]&gt;825,vp.tbl[[#This Row],[Dens]]&lt;=900,vp.tbl[[#This Row],[Sulf]]&lt;=0.5,vp.tbl[[#This Row],[Unknown]]=0),1,0)</f>
        <v>0</v>
      </c>
      <c r="AD735">
        <f>IF(AND(vp.tbl[[#This Row],[CrudeType]]="Crude",vp.tbl[[#This Row],[Dens]]&gt;870,vp.tbl[[#This Row],[Dens]]&lt;=900,vp.tbl[[#This Row],[Sulf]]&gt;0.5,vp.tbl[[#This Row],[Unknown]]=0),1,0)</f>
        <v>0</v>
      </c>
      <c r="AE735">
        <f>IF(AND(vp.tbl[[#This Row],[CrudeType]]="Crude",vp.tbl[[#This Row],[Dens]]&gt;900,vp.tbl[[#This Row],[Sulf]]&lt;=0.5,vp.tbl[[#This Row],[Unknown]]=0),1,0)</f>
        <v>0</v>
      </c>
      <c r="AF735">
        <f>IF(AND(vp.tbl[[#This Row],[CrudeType]]="Crude",vp.tbl[[#This Row],[Dens]]&gt;900,vp.tbl[[#This Row],[Sulf]]&lt;=0.5,vp.tbl[[#This Row],[Unknown]]=0),1,0)</f>
        <v>0</v>
      </c>
      <c r="AG735" t="str">
        <f>INDEX(vp.tbl[[#Headers],[Unknown]:[Heavy_SW]],MATCH(1,vp.tbl[[#This Row],[Unknown]:[Heavy_SW]],0))</f>
        <v>Medium_LSB</v>
      </c>
      <c r="AH735" t="e">
        <f>INDEX([1]!crudeBD.lkup[Number],MATCH(vp.tbl[[#This Row],[Crude_Breakdown]],[1]!crudeBD.lkup[Crude Breakdown],0))</f>
        <v>#REF!</v>
      </c>
      <c r="AI735">
        <f>MONTH(vp.tbl[[#This Row],[SDate]])</f>
        <v>2</v>
      </c>
      <c r="AJ735" s="5">
        <f>IFERROR(vp.tbl[[#This Row],[Sulf]]*vp.tbl[[#This Row],[Net Dens]],"")</f>
        <v>6610868.3571840003</v>
      </c>
      <c r="AK735" s="5">
        <f>IFERROR(vp.tbl[[#This Row],[Dens]]*vp.tbl[[#This Row],[VolumeM3]],"")</f>
        <v>4590880.8036000002</v>
      </c>
      <c r="AL735" s="5">
        <f>IFERROR(vp.tbl[[#This Row],[VP]]*vp.tbl[[#This Row],[VolumeM3]],"")</f>
        <v>512169.45420000004</v>
      </c>
      <c r="AM735" s="4">
        <f>IFERROR((vp.tbl[[#This Row],[VP]]-INDEX(crudeBD.lkup.complete[Mean_VP],MATCH(vp.tbl[[#This Row],[Crude_Breakdown]],crudeBD.lkup.complete[Crude Breakdown],0)))^2,"")</f>
        <v>174.9377908982546</v>
      </c>
      <c r="AN735" s="4">
        <f>IFERROR((vp.tbl[[#This Row],[Dens]]-INDEX(crudeBD.lkup.complete[Mean_Dens],MATCH(vp.tbl[[#This Row],[Crude_Breakdown]],crudeBD.lkup.complete[Crude Breakdown],0)))^2,"")</f>
        <v>65.477595980755638</v>
      </c>
      <c r="AO735" s="4">
        <f>IFERROR((vp.tbl[[#This Row],[Sulf]]-INDEX(crudeBD.lkup.complete[Mean_Sulf],MATCH(vp.tbl[[#This Row],[Crude_Breakdown]],crudeBD.lkup.complete[Crude Breakdown],0)))^2,"")</f>
        <v>2.2290074229791476E-4</v>
      </c>
      <c r="AP735">
        <f>IF(AND(vp.tbl[[#This Row],[SDate]]&gt;=DATE(YEAR(vp.tbl[[#This Row],[SDate]]),5,1),vp.tbl[[#This Row],[SDate]]&lt;=DATE(YEAR(vp.tbl[[#This Row],[SDate]]),9,15)),1,0)</f>
        <v>0</v>
      </c>
      <c r="AQ735" s="15">
        <f>IF(vp.tbl[[#This Row],[SDate]]&lt;DATE(2016,12,1),0,1)</f>
        <v>1</v>
      </c>
    </row>
    <row r="736" spans="1:43" x14ac:dyDescent="0.25">
      <c r="A736">
        <v>735</v>
      </c>
      <c r="B736" t="s">
        <v>56</v>
      </c>
      <c r="C736" t="s">
        <v>56</v>
      </c>
      <c r="D736" t="s">
        <v>57</v>
      </c>
      <c r="F736" s="1">
        <v>42771</v>
      </c>
      <c r="G736" s="2">
        <v>107.1</v>
      </c>
      <c r="H736" s="2"/>
      <c r="I736" s="2">
        <v>1.69</v>
      </c>
      <c r="J736" s="2">
        <v>5</v>
      </c>
      <c r="K736" s="2">
        <v>-16</v>
      </c>
      <c r="L736" s="2">
        <v>840.3</v>
      </c>
      <c r="M736" s="2">
        <v>840.3</v>
      </c>
      <c r="N736" s="2">
        <f ca="1">INDEX(INDIRECT(_xlfn.CONCAT("weather.tbl[",N$1,"]")),MATCH(vp.tbl[[#This Row],[SDate]],weather.tbl[Date],0))</f>
        <v>-19.466666666666665</v>
      </c>
      <c r="O736" s="2">
        <f ca="1">INDEX(INDIRECT(_xlfn.CONCAT("weather.tbl[",O$1,"]")),MATCH(vp.tbl[[#This Row],[SDate]],weather.tbl[Date],0))</f>
        <v>-13.680952380952382</v>
      </c>
      <c r="P736" s="2">
        <f ca="1">INDEX(INDIRECT(_xlfn.CONCAT("weather.tbl[",P$1,"]")),MATCH(vp.tbl[[#This Row],[SDate]],weather.tbl[Date],0))</f>
        <v>-19.3</v>
      </c>
      <c r="Q736" s="2">
        <f ca="1">INDEX(INDIRECT(_xlfn.CONCAT("weather.tbl[",Q$1,"]")),MATCH(vp.tbl[[#This Row],[SDate]],weather.tbl[Date],0))</f>
        <v>-19</v>
      </c>
      <c r="R736" s="2">
        <f ca="1">INDEX(INDIRECT(_xlfn.CONCAT("weather.tbl[",R$1,"]")),MATCH(vp.tbl[[#This Row],[SDate]],weather.tbl[Date],0))</f>
        <v>-21.8</v>
      </c>
      <c r="S736" s="2">
        <f ca="1">INDEX(INDIRECT(_xlfn.CONCAT("weather.tbl[",S$1,"]")),MATCH(vp.tbl[[#This Row],[SDate]],weather.tbl[Date],0))</f>
        <v>-17.399999999999999</v>
      </c>
      <c r="T736" s="2">
        <f ca="1">INDEX(INDIRECT(_xlfn.CONCAT("weather.tbl[",T$1,"]")),MATCH(vp.tbl[[#This Row],[SDate]],weather.tbl[Date],0))</f>
        <v>-20.8</v>
      </c>
      <c r="U736" s="2">
        <f ca="1">INDEX(INDIRECT(_xlfn.CONCAT("weather.tbl[",U$1,"]")),MATCH(vp.tbl[[#This Row],[SDate]],weather.tbl[Date],0))</f>
        <v>-18.5</v>
      </c>
      <c r="V736" s="2">
        <v>2751.2289999999998</v>
      </c>
      <c r="W736" t="s">
        <v>48</v>
      </c>
      <c r="X736">
        <f>IF(OR(vp.tbl[[#This Row],[Sulf]]="",vp.tbl[[#This Row],[Dens]]=""),1,0)</f>
        <v>0</v>
      </c>
      <c r="Y736">
        <f>IF(vp.tbl[[#This Row],[CrudeType]]="C5+",1,0)</f>
        <v>0</v>
      </c>
      <c r="Z736">
        <f>IF(AND(vp.tbl[[#This Row],[CrudeType]]="Crude",vp.tbl[[#This Row],[Dens]]&lt;=825,vp.tbl[[#This Row],[Sulf]]&gt;0.5,vp.tbl[[#This Row],[Unknown]]=0),1,0)</f>
        <v>0</v>
      </c>
      <c r="AA736">
        <f>IF(AND(vp.tbl[[#This Row],[CrudeType]]="Crude",vp.tbl[[#This Row],[Dens]]&lt;=825,vp.tbl[[#This Row],[Sulf]]&lt;=0.5,vp.tbl[[#This Row],[Unknown]]=0),1,0)</f>
        <v>0</v>
      </c>
      <c r="AB736">
        <f>IF(AND(vp.tbl[[#This Row],[CrudeType]]="Crude",vp.tbl[[#This Row],[Dens]]&gt;825,vp.tbl[[#This Row],[Dens]]&lt;=870,vp.tbl[[#This Row],[Sulf]]&gt;0.5,vp.tbl[[#This Row],[Unknown]]=0),1,0)</f>
        <v>1</v>
      </c>
      <c r="AC736">
        <f>IF(AND(vp.tbl[[#This Row],[CrudeType]]="Crude",vp.tbl[[#This Row],[Dens]]&gt;825,vp.tbl[[#This Row],[Dens]]&lt;=900,vp.tbl[[#This Row],[Sulf]]&lt;=0.5,vp.tbl[[#This Row],[Unknown]]=0),1,0)</f>
        <v>0</v>
      </c>
      <c r="AD736">
        <f>IF(AND(vp.tbl[[#This Row],[CrudeType]]="Crude",vp.tbl[[#This Row],[Dens]]&gt;870,vp.tbl[[#This Row],[Dens]]&lt;=900,vp.tbl[[#This Row],[Sulf]]&gt;0.5,vp.tbl[[#This Row],[Unknown]]=0),1,0)</f>
        <v>0</v>
      </c>
      <c r="AE736">
        <f>IF(AND(vp.tbl[[#This Row],[CrudeType]]="Crude",vp.tbl[[#This Row],[Dens]]&gt;900,vp.tbl[[#This Row],[Sulf]]&lt;=0.5,vp.tbl[[#This Row],[Unknown]]=0),1,0)</f>
        <v>0</v>
      </c>
      <c r="AF736">
        <f>IF(AND(vp.tbl[[#This Row],[CrudeType]]="Crude",vp.tbl[[#This Row],[Dens]]&gt;900,vp.tbl[[#This Row],[Sulf]]&lt;=0.5,vp.tbl[[#This Row],[Unknown]]=0),1,0)</f>
        <v>0</v>
      </c>
      <c r="AG736" t="str">
        <f>INDEX(vp.tbl[[#Headers],[Unknown]:[Heavy_SW]],MATCH(1,vp.tbl[[#This Row],[Unknown]:[Heavy_SW]],0))</f>
        <v>Medium_LSB</v>
      </c>
      <c r="AH736" t="e">
        <f>INDEX([1]!crudeBD.lkup[Number],MATCH(vp.tbl[[#This Row],[Crude_Breakdown]],[1]!crudeBD.lkup[Crude Breakdown],0))</f>
        <v>#REF!</v>
      </c>
      <c r="AI736">
        <f>MONTH(vp.tbl[[#This Row],[SDate]])</f>
        <v>2</v>
      </c>
      <c r="AJ736" s="5">
        <f>IFERROR(vp.tbl[[#This Row],[Sulf]]*vp.tbl[[#This Row],[Net Dens]],"")</f>
        <v>3907039.5615029996</v>
      </c>
      <c r="AK736" s="5">
        <f>IFERROR(vp.tbl[[#This Row],[Dens]]*vp.tbl[[#This Row],[VolumeM3]],"")</f>
        <v>2311857.7286999999</v>
      </c>
      <c r="AL736" s="5">
        <f>IFERROR(vp.tbl[[#This Row],[VP]]*vp.tbl[[#This Row],[VolumeM3]],"")</f>
        <v>294656.62589999998</v>
      </c>
      <c r="AM736" s="4">
        <f>IFERROR((vp.tbl[[#This Row],[VP]]-INDEX(crudeBD.lkup.complete[Mean_VP],MATCH(vp.tbl[[#This Row],[Crude_Breakdown]],crudeBD.lkup.complete[Crude Breakdown],0)))^2,"")</f>
        <v>725.03128963243239</v>
      </c>
      <c r="AN736" s="4">
        <f>IFERROR((vp.tbl[[#This Row],[Dens]]-INDEX(crudeBD.lkup.complete[Mean_Dens],MATCH(vp.tbl[[#This Row],[Crude_Breakdown]],crudeBD.lkup.complete[Crude Breakdown],0)))^2,"")</f>
        <v>24.918294714940149</v>
      </c>
      <c r="AO736" s="4">
        <f>IFERROR((vp.tbl[[#This Row],[Sulf]]-INDEX(crudeBD.lkup.complete[Mean_Sulf],MATCH(vp.tbl[[#This Row],[Crude_Breakdown]],crudeBD.lkup.complete[Crude Breakdown],0)))^2,"")</f>
        <v>5.5257970362550313E-2</v>
      </c>
      <c r="AP736">
        <f>IF(AND(vp.tbl[[#This Row],[SDate]]&gt;=DATE(YEAR(vp.tbl[[#This Row],[SDate]]),5,1),vp.tbl[[#This Row],[SDate]]&lt;=DATE(YEAR(vp.tbl[[#This Row],[SDate]]),9,15)),1,0)</f>
        <v>0</v>
      </c>
      <c r="AQ736" s="15">
        <f>IF(vp.tbl[[#This Row],[SDate]]&lt;DATE(2016,12,1),0,1)</f>
        <v>1</v>
      </c>
    </row>
    <row r="737" spans="1:43" x14ac:dyDescent="0.25">
      <c r="A737">
        <v>736</v>
      </c>
      <c r="B737" t="s">
        <v>62</v>
      </c>
      <c r="C737" t="s">
        <v>62</v>
      </c>
      <c r="D737" t="s">
        <v>63</v>
      </c>
      <c r="F737" s="1">
        <v>42771</v>
      </c>
      <c r="G737" s="2">
        <v>88.1</v>
      </c>
      <c r="H737" s="2"/>
      <c r="I737" s="2">
        <v>1.53</v>
      </c>
      <c r="J737" s="2">
        <v>7.7</v>
      </c>
      <c r="K737" s="2">
        <v>-18</v>
      </c>
      <c r="L737" s="2">
        <v>849.2</v>
      </c>
      <c r="M737" s="2">
        <v>849.2</v>
      </c>
      <c r="N737" s="2">
        <f ca="1">INDEX(INDIRECT(_xlfn.CONCAT("weather.tbl[",N$1,"]")),MATCH(vp.tbl[[#This Row],[SDate]],weather.tbl[Date],0))</f>
        <v>-19.466666666666665</v>
      </c>
      <c r="O737" s="2">
        <f ca="1">INDEX(INDIRECT(_xlfn.CONCAT("weather.tbl[",O$1,"]")),MATCH(vp.tbl[[#This Row],[SDate]],weather.tbl[Date],0))</f>
        <v>-13.680952380952382</v>
      </c>
      <c r="P737" s="2">
        <f ca="1">INDEX(INDIRECT(_xlfn.CONCAT("weather.tbl[",P$1,"]")),MATCH(vp.tbl[[#This Row],[SDate]],weather.tbl[Date],0))</f>
        <v>-19.3</v>
      </c>
      <c r="Q737" s="2">
        <f ca="1">INDEX(INDIRECT(_xlfn.CONCAT("weather.tbl[",Q$1,"]")),MATCH(vp.tbl[[#This Row],[SDate]],weather.tbl[Date],0))</f>
        <v>-19</v>
      </c>
      <c r="R737" s="2">
        <f ca="1">INDEX(INDIRECT(_xlfn.CONCAT("weather.tbl[",R$1,"]")),MATCH(vp.tbl[[#This Row],[SDate]],weather.tbl[Date],0))</f>
        <v>-21.8</v>
      </c>
      <c r="S737" s="2">
        <f ca="1">INDEX(INDIRECT(_xlfn.CONCAT("weather.tbl[",S$1,"]")),MATCH(vp.tbl[[#This Row],[SDate]],weather.tbl[Date],0))</f>
        <v>-17.399999999999999</v>
      </c>
      <c r="T737" s="2">
        <f ca="1">INDEX(INDIRECT(_xlfn.CONCAT("weather.tbl[",T$1,"]")),MATCH(vp.tbl[[#This Row],[SDate]],weather.tbl[Date],0))</f>
        <v>-20.8</v>
      </c>
      <c r="U737" s="2">
        <f ca="1">INDEX(INDIRECT(_xlfn.CONCAT("weather.tbl[",U$1,"]")),MATCH(vp.tbl[[#This Row],[SDate]],weather.tbl[Date],0))</f>
        <v>-18.5</v>
      </c>
      <c r="V737" s="2">
        <v>4978.7389999999996</v>
      </c>
      <c r="W737" t="s">
        <v>48</v>
      </c>
      <c r="X737">
        <f>IF(OR(vp.tbl[[#This Row],[Sulf]]="",vp.tbl[[#This Row],[Dens]]=""),1,0)</f>
        <v>0</v>
      </c>
      <c r="Y737">
        <f>IF(vp.tbl[[#This Row],[CrudeType]]="C5+",1,0)</f>
        <v>0</v>
      </c>
      <c r="Z737">
        <f>IF(AND(vp.tbl[[#This Row],[CrudeType]]="Crude",vp.tbl[[#This Row],[Dens]]&lt;=825,vp.tbl[[#This Row],[Sulf]]&gt;0.5,vp.tbl[[#This Row],[Unknown]]=0),1,0)</f>
        <v>0</v>
      </c>
      <c r="AA737">
        <f>IF(AND(vp.tbl[[#This Row],[CrudeType]]="Crude",vp.tbl[[#This Row],[Dens]]&lt;=825,vp.tbl[[#This Row],[Sulf]]&lt;=0.5,vp.tbl[[#This Row],[Unknown]]=0),1,0)</f>
        <v>0</v>
      </c>
      <c r="AB737">
        <f>IF(AND(vp.tbl[[#This Row],[CrudeType]]="Crude",vp.tbl[[#This Row],[Dens]]&gt;825,vp.tbl[[#This Row],[Dens]]&lt;=870,vp.tbl[[#This Row],[Sulf]]&gt;0.5,vp.tbl[[#This Row],[Unknown]]=0),1,0)</f>
        <v>1</v>
      </c>
      <c r="AC737">
        <f>IF(AND(vp.tbl[[#This Row],[CrudeType]]="Crude",vp.tbl[[#This Row],[Dens]]&gt;825,vp.tbl[[#This Row],[Dens]]&lt;=900,vp.tbl[[#This Row],[Sulf]]&lt;=0.5,vp.tbl[[#This Row],[Unknown]]=0),1,0)</f>
        <v>0</v>
      </c>
      <c r="AD737">
        <f>IF(AND(vp.tbl[[#This Row],[CrudeType]]="Crude",vp.tbl[[#This Row],[Dens]]&gt;870,vp.tbl[[#This Row],[Dens]]&lt;=900,vp.tbl[[#This Row],[Sulf]]&gt;0.5,vp.tbl[[#This Row],[Unknown]]=0),1,0)</f>
        <v>0</v>
      </c>
      <c r="AE737">
        <f>IF(AND(vp.tbl[[#This Row],[CrudeType]]="Crude",vp.tbl[[#This Row],[Dens]]&gt;900,vp.tbl[[#This Row],[Sulf]]&lt;=0.5,vp.tbl[[#This Row],[Unknown]]=0),1,0)</f>
        <v>0</v>
      </c>
      <c r="AF737">
        <f>IF(AND(vp.tbl[[#This Row],[CrudeType]]="Crude",vp.tbl[[#This Row],[Dens]]&gt;900,vp.tbl[[#This Row],[Sulf]]&lt;=0.5,vp.tbl[[#This Row],[Unknown]]=0),1,0)</f>
        <v>0</v>
      </c>
      <c r="AG737" t="str">
        <f>INDEX(vp.tbl[[#Headers],[Unknown]:[Heavy_SW]],MATCH(1,vp.tbl[[#This Row],[Unknown]:[Heavy_SW]],0))</f>
        <v>Medium_LSB</v>
      </c>
      <c r="AH737" t="e">
        <f>INDEX([1]!crudeBD.lkup[Number],MATCH(vp.tbl[[#This Row],[Crude_Breakdown]],[1]!crudeBD.lkup[Crude Breakdown],0))</f>
        <v>#REF!</v>
      </c>
      <c r="AI737">
        <f>MONTH(vp.tbl[[#This Row],[SDate]])</f>
        <v>2</v>
      </c>
      <c r="AJ737" s="5">
        <f>IFERROR(vp.tbl[[#This Row],[Sulf]]*vp.tbl[[#This Row],[Net Dens]],"")</f>
        <v>6468756.092964001</v>
      </c>
      <c r="AK737" s="5">
        <f>IFERROR(vp.tbl[[#This Row],[Dens]]*vp.tbl[[#This Row],[VolumeM3]],"")</f>
        <v>4227945.1588000003</v>
      </c>
      <c r="AL737" s="5">
        <f>IFERROR(vp.tbl[[#This Row],[VP]]*vp.tbl[[#This Row],[VolumeM3]],"")</f>
        <v>438626.90589999995</v>
      </c>
      <c r="AM737" s="4">
        <f>IFERROR((vp.tbl[[#This Row],[VP]]-INDEX(crudeBD.lkup.complete[Mean_VP],MATCH(vp.tbl[[#This Row],[Crude_Breakdown]],crudeBD.lkup.complete[Crude Breakdown],0)))^2,"")</f>
        <v>62.827897227367906</v>
      </c>
      <c r="AN737" s="4">
        <f>IFERROR((vp.tbl[[#This Row],[Dens]]-INDEX(crudeBD.lkup.complete[Mean_Dens],MATCH(vp.tbl[[#This Row],[Crude_Breakdown]],crudeBD.lkup.complete[Crude Breakdown],0)))^2,"")</f>
        <v>15.273849145337326</v>
      </c>
      <c r="AO737" s="4">
        <f>IFERROR((vp.tbl[[#This Row],[Sulf]]-INDEX(crudeBD.lkup.complete[Mean_Sulf],MATCH(vp.tbl[[#This Row],[Crude_Breakdown]],crudeBD.lkup.complete[Crude Breakdown],0)))^2,"")</f>
        <v>5.6355258055887899E-3</v>
      </c>
      <c r="AP737">
        <f>IF(AND(vp.tbl[[#This Row],[SDate]]&gt;=DATE(YEAR(vp.tbl[[#This Row],[SDate]]),5,1),vp.tbl[[#This Row],[SDate]]&lt;=DATE(YEAR(vp.tbl[[#This Row],[SDate]]),9,15)),1,0)</f>
        <v>0</v>
      </c>
      <c r="AQ737" s="15">
        <f>IF(vp.tbl[[#This Row],[SDate]]&lt;DATE(2016,12,1),0,1)</f>
        <v>1</v>
      </c>
    </row>
    <row r="738" spans="1:43" x14ac:dyDescent="0.25">
      <c r="A738">
        <v>737</v>
      </c>
      <c r="B738" t="s">
        <v>56</v>
      </c>
      <c r="C738" t="s">
        <v>56</v>
      </c>
      <c r="D738" t="s">
        <v>94</v>
      </c>
      <c r="F738" s="1">
        <v>42771</v>
      </c>
      <c r="G738" s="2">
        <v>83.4</v>
      </c>
      <c r="H738" s="2"/>
      <c r="I738" s="2">
        <v>1.95</v>
      </c>
      <c r="J738" s="2">
        <v>13.4</v>
      </c>
      <c r="K738" s="2">
        <v>-16</v>
      </c>
      <c r="L738" s="2">
        <v>860.3</v>
      </c>
      <c r="M738" s="2">
        <v>860.3</v>
      </c>
      <c r="N738" s="2">
        <f ca="1">INDEX(INDIRECT(_xlfn.CONCAT("weather.tbl[",N$1,"]")),MATCH(vp.tbl[[#This Row],[SDate]],weather.tbl[Date],0))</f>
        <v>-19.466666666666665</v>
      </c>
      <c r="O738" s="2">
        <f ca="1">INDEX(INDIRECT(_xlfn.CONCAT("weather.tbl[",O$1,"]")),MATCH(vp.tbl[[#This Row],[SDate]],weather.tbl[Date],0))</f>
        <v>-13.680952380952382</v>
      </c>
      <c r="P738" s="2">
        <f ca="1">INDEX(INDIRECT(_xlfn.CONCAT("weather.tbl[",P$1,"]")),MATCH(vp.tbl[[#This Row],[SDate]],weather.tbl[Date],0))</f>
        <v>-19.3</v>
      </c>
      <c r="Q738" s="2">
        <f ca="1">INDEX(INDIRECT(_xlfn.CONCAT("weather.tbl[",Q$1,"]")),MATCH(vp.tbl[[#This Row],[SDate]],weather.tbl[Date],0))</f>
        <v>-19</v>
      </c>
      <c r="R738" s="2">
        <f ca="1">INDEX(INDIRECT(_xlfn.CONCAT("weather.tbl[",R$1,"]")),MATCH(vp.tbl[[#This Row],[SDate]],weather.tbl[Date],0))</f>
        <v>-21.8</v>
      </c>
      <c r="S738" s="2">
        <f ca="1">INDEX(INDIRECT(_xlfn.CONCAT("weather.tbl[",S$1,"]")),MATCH(vp.tbl[[#This Row],[SDate]],weather.tbl[Date],0))</f>
        <v>-17.399999999999999</v>
      </c>
      <c r="T738" s="2">
        <f ca="1">INDEX(INDIRECT(_xlfn.CONCAT("weather.tbl[",T$1,"]")),MATCH(vp.tbl[[#This Row],[SDate]],weather.tbl[Date],0))</f>
        <v>-20.8</v>
      </c>
      <c r="U738" s="2">
        <f ca="1">INDEX(INDIRECT(_xlfn.CONCAT("weather.tbl[",U$1,"]")),MATCH(vp.tbl[[#This Row],[SDate]],weather.tbl[Date],0))</f>
        <v>-18.5</v>
      </c>
      <c r="V738" s="2">
        <v>3347.944</v>
      </c>
      <c r="W738" t="s">
        <v>48</v>
      </c>
      <c r="X738">
        <f>IF(OR(vp.tbl[[#This Row],[Sulf]]="",vp.tbl[[#This Row],[Dens]]=""),1,0)</f>
        <v>0</v>
      </c>
      <c r="Y738">
        <f>IF(vp.tbl[[#This Row],[CrudeType]]="C5+",1,0)</f>
        <v>0</v>
      </c>
      <c r="Z738">
        <f>IF(AND(vp.tbl[[#This Row],[CrudeType]]="Crude",vp.tbl[[#This Row],[Dens]]&lt;=825,vp.tbl[[#This Row],[Sulf]]&gt;0.5,vp.tbl[[#This Row],[Unknown]]=0),1,0)</f>
        <v>0</v>
      </c>
      <c r="AA738">
        <f>IF(AND(vp.tbl[[#This Row],[CrudeType]]="Crude",vp.tbl[[#This Row],[Dens]]&lt;=825,vp.tbl[[#This Row],[Sulf]]&lt;=0.5,vp.tbl[[#This Row],[Unknown]]=0),1,0)</f>
        <v>0</v>
      </c>
      <c r="AB738">
        <f>IF(AND(vp.tbl[[#This Row],[CrudeType]]="Crude",vp.tbl[[#This Row],[Dens]]&gt;825,vp.tbl[[#This Row],[Dens]]&lt;=870,vp.tbl[[#This Row],[Sulf]]&gt;0.5,vp.tbl[[#This Row],[Unknown]]=0),1,0)</f>
        <v>1</v>
      </c>
      <c r="AC738">
        <f>IF(AND(vp.tbl[[#This Row],[CrudeType]]="Crude",vp.tbl[[#This Row],[Dens]]&gt;825,vp.tbl[[#This Row],[Dens]]&lt;=900,vp.tbl[[#This Row],[Sulf]]&lt;=0.5,vp.tbl[[#This Row],[Unknown]]=0),1,0)</f>
        <v>0</v>
      </c>
      <c r="AD738">
        <f>IF(AND(vp.tbl[[#This Row],[CrudeType]]="Crude",vp.tbl[[#This Row],[Dens]]&gt;870,vp.tbl[[#This Row],[Dens]]&lt;=900,vp.tbl[[#This Row],[Sulf]]&gt;0.5,vp.tbl[[#This Row],[Unknown]]=0),1,0)</f>
        <v>0</v>
      </c>
      <c r="AE738">
        <f>IF(AND(vp.tbl[[#This Row],[CrudeType]]="Crude",vp.tbl[[#This Row],[Dens]]&gt;900,vp.tbl[[#This Row],[Sulf]]&lt;=0.5,vp.tbl[[#This Row],[Unknown]]=0),1,0)</f>
        <v>0</v>
      </c>
      <c r="AF738">
        <f>IF(AND(vp.tbl[[#This Row],[CrudeType]]="Crude",vp.tbl[[#This Row],[Dens]]&gt;900,vp.tbl[[#This Row],[Sulf]]&lt;=0.5,vp.tbl[[#This Row],[Unknown]]=0),1,0)</f>
        <v>0</v>
      </c>
      <c r="AG738" t="str">
        <f>INDEX(vp.tbl[[#Headers],[Unknown]:[Heavy_SW]],MATCH(1,vp.tbl[[#This Row],[Unknown]:[Heavy_SW]],0))</f>
        <v>Medium_LSB</v>
      </c>
      <c r="AH738" t="e">
        <f>INDEX([1]!crudeBD.lkup[Number],MATCH(vp.tbl[[#This Row],[Crude_Breakdown]],[1]!crudeBD.lkup[Crude Breakdown],0))</f>
        <v>#REF!</v>
      </c>
      <c r="AI738">
        <f>MONTH(vp.tbl[[#This Row],[SDate]])</f>
        <v>2</v>
      </c>
      <c r="AJ738" s="5">
        <f>IFERROR(vp.tbl[[#This Row],[Sulf]]*vp.tbl[[#This Row],[Net Dens]],"")</f>
        <v>5616460.6352399997</v>
      </c>
      <c r="AK738" s="5">
        <f>IFERROR(vp.tbl[[#This Row],[Dens]]*vp.tbl[[#This Row],[VolumeM3]],"")</f>
        <v>2880236.2231999999</v>
      </c>
      <c r="AL738" s="5">
        <f>IFERROR(vp.tbl[[#This Row],[VP]]*vp.tbl[[#This Row],[VolumeM3]],"")</f>
        <v>279218.52960000001</v>
      </c>
      <c r="AM738" s="4">
        <f>IFERROR((vp.tbl[[#This Row],[VP]]-INDEX(crudeBD.lkup.complete[Mean_VP],MATCH(vp.tbl[[#This Row],[Crude_Breakdown]],crudeBD.lkup.complete[Crude Breakdown],0)))^2,"")</f>
        <v>10.409689632430975</v>
      </c>
      <c r="AN738" s="4">
        <f>IFERROR((vp.tbl[[#This Row],[Dens]]-INDEX(crudeBD.lkup.complete[Mean_Dens],MATCH(vp.tbl[[#This Row],[Crude_Breakdown]],crudeBD.lkup.complete[Crude Breakdown],0)))^2,"")</f>
        <v>225.24538332257265</v>
      </c>
      <c r="AO738" s="4">
        <f>IFERROR((vp.tbl[[#This Row],[Sulf]]-INDEX(crudeBD.lkup.complete[Mean_Sulf],MATCH(vp.tbl[[#This Row],[Crude_Breakdown]],crudeBD.lkup.complete[Crude Breakdown],0)))^2,"")</f>
        <v>0.2450944427676128</v>
      </c>
      <c r="AP738">
        <f>IF(AND(vp.tbl[[#This Row],[SDate]]&gt;=DATE(YEAR(vp.tbl[[#This Row],[SDate]]),5,1),vp.tbl[[#This Row],[SDate]]&lt;=DATE(YEAR(vp.tbl[[#This Row],[SDate]]),9,15)),1,0)</f>
        <v>0</v>
      </c>
      <c r="AQ738" s="15">
        <f>IF(vp.tbl[[#This Row],[SDate]]&lt;DATE(2016,12,1),0,1)</f>
        <v>1</v>
      </c>
    </row>
    <row r="739" spans="1:43" x14ac:dyDescent="0.25">
      <c r="A739">
        <v>738</v>
      </c>
      <c r="B739" t="s">
        <v>46</v>
      </c>
      <c r="C739" t="s">
        <v>46</v>
      </c>
      <c r="D739" t="s">
        <v>47</v>
      </c>
      <c r="F739" s="1">
        <v>42771</v>
      </c>
      <c r="G739" s="2">
        <v>59.2</v>
      </c>
      <c r="H739" s="2"/>
      <c r="I739" s="2">
        <v>2.39</v>
      </c>
      <c r="J739" s="2">
        <v>28.8</v>
      </c>
      <c r="K739" s="2">
        <v>-16</v>
      </c>
      <c r="L739" s="2">
        <v>867.6</v>
      </c>
      <c r="M739" s="2">
        <v>867.6</v>
      </c>
      <c r="N739" s="2">
        <f ca="1">INDEX(INDIRECT(_xlfn.CONCAT("weather.tbl[",N$1,"]")),MATCH(vp.tbl[[#This Row],[SDate]],weather.tbl[Date],0))</f>
        <v>-19.466666666666665</v>
      </c>
      <c r="O739" s="2">
        <f ca="1">INDEX(INDIRECT(_xlfn.CONCAT("weather.tbl[",O$1,"]")),MATCH(vp.tbl[[#This Row],[SDate]],weather.tbl[Date],0))</f>
        <v>-13.680952380952382</v>
      </c>
      <c r="P739" s="2">
        <f ca="1">INDEX(INDIRECT(_xlfn.CONCAT("weather.tbl[",P$1,"]")),MATCH(vp.tbl[[#This Row],[SDate]],weather.tbl[Date],0))</f>
        <v>-19.3</v>
      </c>
      <c r="Q739" s="2">
        <f ca="1">INDEX(INDIRECT(_xlfn.CONCAT("weather.tbl[",Q$1,"]")),MATCH(vp.tbl[[#This Row],[SDate]],weather.tbl[Date],0))</f>
        <v>-19</v>
      </c>
      <c r="R739" s="2">
        <f ca="1">INDEX(INDIRECT(_xlfn.CONCAT("weather.tbl[",R$1,"]")),MATCH(vp.tbl[[#This Row],[SDate]],weather.tbl[Date],0))</f>
        <v>-21.8</v>
      </c>
      <c r="S739" s="2">
        <f ca="1">INDEX(INDIRECT(_xlfn.CONCAT("weather.tbl[",S$1,"]")),MATCH(vp.tbl[[#This Row],[SDate]],weather.tbl[Date],0))</f>
        <v>-17.399999999999999</v>
      </c>
      <c r="T739" s="2">
        <f ca="1">INDEX(INDIRECT(_xlfn.CONCAT("weather.tbl[",T$1,"]")),MATCH(vp.tbl[[#This Row],[SDate]],weather.tbl[Date],0))</f>
        <v>-20.8</v>
      </c>
      <c r="U739" s="2">
        <f ca="1">INDEX(INDIRECT(_xlfn.CONCAT("weather.tbl[",U$1,"]")),MATCH(vp.tbl[[#This Row],[SDate]],weather.tbl[Date],0))</f>
        <v>-18.5</v>
      </c>
      <c r="V739" s="2">
        <v>104905.11500000001</v>
      </c>
      <c r="W739" t="s">
        <v>48</v>
      </c>
      <c r="X739">
        <f>IF(OR(vp.tbl[[#This Row],[Sulf]]="",vp.tbl[[#This Row],[Dens]]=""),1,0)</f>
        <v>0</v>
      </c>
      <c r="Y739">
        <f>IF(vp.tbl[[#This Row],[CrudeType]]="C5+",1,0)</f>
        <v>0</v>
      </c>
      <c r="Z739">
        <f>IF(AND(vp.tbl[[#This Row],[CrudeType]]="Crude",vp.tbl[[#This Row],[Dens]]&lt;=825,vp.tbl[[#This Row],[Sulf]]&gt;0.5,vp.tbl[[#This Row],[Unknown]]=0),1,0)</f>
        <v>0</v>
      </c>
      <c r="AA739">
        <f>IF(AND(vp.tbl[[#This Row],[CrudeType]]="Crude",vp.tbl[[#This Row],[Dens]]&lt;=825,vp.tbl[[#This Row],[Sulf]]&lt;=0.5,vp.tbl[[#This Row],[Unknown]]=0),1,0)</f>
        <v>0</v>
      </c>
      <c r="AB739">
        <f>IF(AND(vp.tbl[[#This Row],[CrudeType]]="Crude",vp.tbl[[#This Row],[Dens]]&gt;825,vp.tbl[[#This Row],[Dens]]&lt;=870,vp.tbl[[#This Row],[Sulf]]&gt;0.5,vp.tbl[[#This Row],[Unknown]]=0),1,0)</f>
        <v>1</v>
      </c>
      <c r="AC739">
        <f>IF(AND(vp.tbl[[#This Row],[CrudeType]]="Crude",vp.tbl[[#This Row],[Dens]]&gt;825,vp.tbl[[#This Row],[Dens]]&lt;=900,vp.tbl[[#This Row],[Sulf]]&lt;=0.5,vp.tbl[[#This Row],[Unknown]]=0),1,0)</f>
        <v>0</v>
      </c>
      <c r="AD739">
        <f>IF(AND(vp.tbl[[#This Row],[CrudeType]]="Crude",vp.tbl[[#This Row],[Dens]]&gt;870,vp.tbl[[#This Row],[Dens]]&lt;=900,vp.tbl[[#This Row],[Sulf]]&gt;0.5,vp.tbl[[#This Row],[Unknown]]=0),1,0)</f>
        <v>0</v>
      </c>
      <c r="AE739">
        <f>IF(AND(vp.tbl[[#This Row],[CrudeType]]="Crude",vp.tbl[[#This Row],[Dens]]&gt;900,vp.tbl[[#This Row],[Sulf]]&lt;=0.5,vp.tbl[[#This Row],[Unknown]]=0),1,0)</f>
        <v>0</v>
      </c>
      <c r="AF739">
        <f>IF(AND(vp.tbl[[#This Row],[CrudeType]]="Crude",vp.tbl[[#This Row],[Dens]]&gt;900,vp.tbl[[#This Row],[Sulf]]&lt;=0.5,vp.tbl[[#This Row],[Unknown]]=0),1,0)</f>
        <v>0</v>
      </c>
      <c r="AG739" t="str">
        <f>INDEX(vp.tbl[[#Headers],[Unknown]:[Heavy_SW]],MATCH(1,vp.tbl[[#This Row],[Unknown]:[Heavy_SW]],0))</f>
        <v>Medium_LSB</v>
      </c>
      <c r="AH739" t="e">
        <f>INDEX([1]!crudeBD.lkup[Number],MATCH(vp.tbl[[#This Row],[Crude_Breakdown]],[1]!crudeBD.lkup[Crude Breakdown],0))</f>
        <v>#REF!</v>
      </c>
      <c r="AI739">
        <f>MONTH(vp.tbl[[#This Row],[SDate]])</f>
        <v>2</v>
      </c>
      <c r="AJ739" s="5">
        <f>IFERROR(vp.tbl[[#This Row],[Sulf]]*vp.tbl[[#This Row],[Net Dens]],"")</f>
        <v>217527469.87986001</v>
      </c>
      <c r="AK739" s="5">
        <f>IFERROR(vp.tbl[[#This Row],[Dens]]*vp.tbl[[#This Row],[VolumeM3]],"")</f>
        <v>91015677.774000004</v>
      </c>
      <c r="AL739" s="5">
        <f>IFERROR(vp.tbl[[#This Row],[VP]]*vp.tbl[[#This Row],[VolumeM3]],"")</f>
        <v>6210382.8080000002</v>
      </c>
      <c r="AM739" s="4">
        <f>IFERROR((vp.tbl[[#This Row],[VP]]-INDEX(crudeBD.lkup.complete[Mean_VP],MATCH(vp.tbl[[#This Row],[Crude_Breakdown]],crudeBD.lkup.complete[Crude Breakdown],0)))^2,"")</f>
        <v>439.89168456913791</v>
      </c>
      <c r="AN739" s="4">
        <f>IFERROR((vp.tbl[[#This Row],[Dens]]-INDEX(crudeBD.lkup.complete[Mean_Dens],MATCH(vp.tbl[[#This Row],[Crude_Breakdown]],crudeBD.lkup.complete[Crude Breakdown],0)))^2,"")</f>
        <v>497.65477066436154</v>
      </c>
      <c r="AO739" s="4">
        <f>IFERROR((vp.tbl[[#This Row],[Sulf]]-INDEX(crudeBD.lkup.complete[Mean_Sulf],MATCH(vp.tbl[[#This Row],[Crude_Breakdown]],crudeBD.lkup.complete[Crude Breakdown],0)))^2,"")</f>
        <v>0.8743561652992573</v>
      </c>
      <c r="AP739">
        <f>IF(AND(vp.tbl[[#This Row],[SDate]]&gt;=DATE(YEAR(vp.tbl[[#This Row],[SDate]]),5,1),vp.tbl[[#This Row],[SDate]]&lt;=DATE(YEAR(vp.tbl[[#This Row],[SDate]]),9,15)),1,0)</f>
        <v>0</v>
      </c>
      <c r="AQ739" s="15">
        <f>IF(vp.tbl[[#This Row],[SDate]]&lt;DATE(2016,12,1),0,1)</f>
        <v>1</v>
      </c>
    </row>
    <row r="740" spans="1:43" x14ac:dyDescent="0.25">
      <c r="A740">
        <v>739</v>
      </c>
      <c r="B740" t="s">
        <v>51</v>
      </c>
      <c r="C740" t="s">
        <v>51</v>
      </c>
      <c r="D740" t="s">
        <v>52</v>
      </c>
      <c r="F740" s="1">
        <v>42771</v>
      </c>
      <c r="G740" s="2">
        <v>78.400000000000006</v>
      </c>
      <c r="H740" s="2"/>
      <c r="I740" s="2">
        <v>2.46</v>
      </c>
      <c r="J740" s="2">
        <v>27.6</v>
      </c>
      <c r="K740" s="2">
        <v>-16</v>
      </c>
      <c r="L740" s="2">
        <v>868.3</v>
      </c>
      <c r="M740" s="2">
        <v>868.3</v>
      </c>
      <c r="N740" s="2">
        <f ca="1">INDEX(INDIRECT(_xlfn.CONCAT("weather.tbl[",N$1,"]")),MATCH(vp.tbl[[#This Row],[SDate]],weather.tbl[Date],0))</f>
        <v>-19.466666666666665</v>
      </c>
      <c r="O740" s="2">
        <f ca="1">INDEX(INDIRECT(_xlfn.CONCAT("weather.tbl[",O$1,"]")),MATCH(vp.tbl[[#This Row],[SDate]],weather.tbl[Date],0))</f>
        <v>-13.680952380952382</v>
      </c>
      <c r="P740" s="2">
        <f ca="1">INDEX(INDIRECT(_xlfn.CONCAT("weather.tbl[",P$1,"]")),MATCH(vp.tbl[[#This Row],[SDate]],weather.tbl[Date],0))</f>
        <v>-19.3</v>
      </c>
      <c r="Q740" s="2">
        <f ca="1">INDEX(INDIRECT(_xlfn.CONCAT("weather.tbl[",Q$1,"]")),MATCH(vp.tbl[[#This Row],[SDate]],weather.tbl[Date],0))</f>
        <v>-19</v>
      </c>
      <c r="R740" s="2">
        <f ca="1">INDEX(INDIRECT(_xlfn.CONCAT("weather.tbl[",R$1,"]")),MATCH(vp.tbl[[#This Row],[SDate]],weather.tbl[Date],0))</f>
        <v>-21.8</v>
      </c>
      <c r="S740" s="2">
        <f ca="1">INDEX(INDIRECT(_xlfn.CONCAT("weather.tbl[",S$1,"]")),MATCH(vp.tbl[[#This Row],[SDate]],weather.tbl[Date],0))</f>
        <v>-17.399999999999999</v>
      </c>
      <c r="T740" s="2">
        <f ca="1">INDEX(INDIRECT(_xlfn.CONCAT("weather.tbl[",T$1,"]")),MATCH(vp.tbl[[#This Row],[SDate]],weather.tbl[Date],0))</f>
        <v>-20.8</v>
      </c>
      <c r="U740" s="2">
        <f ca="1">INDEX(INDIRECT(_xlfn.CONCAT("weather.tbl[",U$1,"]")),MATCH(vp.tbl[[#This Row],[SDate]],weather.tbl[Date],0))</f>
        <v>-18.5</v>
      </c>
      <c r="V740" s="2">
        <v>6655.18</v>
      </c>
      <c r="W740" t="s">
        <v>48</v>
      </c>
      <c r="X740">
        <f>IF(OR(vp.tbl[[#This Row],[Sulf]]="",vp.tbl[[#This Row],[Dens]]=""),1,0)</f>
        <v>0</v>
      </c>
      <c r="Y740">
        <f>IF(vp.tbl[[#This Row],[CrudeType]]="C5+",1,0)</f>
        <v>0</v>
      </c>
      <c r="Z740">
        <f>IF(AND(vp.tbl[[#This Row],[CrudeType]]="Crude",vp.tbl[[#This Row],[Dens]]&lt;=825,vp.tbl[[#This Row],[Sulf]]&gt;0.5,vp.tbl[[#This Row],[Unknown]]=0),1,0)</f>
        <v>0</v>
      </c>
      <c r="AA740">
        <f>IF(AND(vp.tbl[[#This Row],[CrudeType]]="Crude",vp.tbl[[#This Row],[Dens]]&lt;=825,vp.tbl[[#This Row],[Sulf]]&lt;=0.5,vp.tbl[[#This Row],[Unknown]]=0),1,0)</f>
        <v>0</v>
      </c>
      <c r="AB740">
        <f>IF(AND(vp.tbl[[#This Row],[CrudeType]]="Crude",vp.tbl[[#This Row],[Dens]]&gt;825,vp.tbl[[#This Row],[Dens]]&lt;=870,vp.tbl[[#This Row],[Sulf]]&gt;0.5,vp.tbl[[#This Row],[Unknown]]=0),1,0)</f>
        <v>1</v>
      </c>
      <c r="AC740">
        <f>IF(AND(vp.tbl[[#This Row],[CrudeType]]="Crude",vp.tbl[[#This Row],[Dens]]&gt;825,vp.tbl[[#This Row],[Dens]]&lt;=900,vp.tbl[[#This Row],[Sulf]]&lt;=0.5,vp.tbl[[#This Row],[Unknown]]=0),1,0)</f>
        <v>0</v>
      </c>
      <c r="AD740">
        <f>IF(AND(vp.tbl[[#This Row],[CrudeType]]="Crude",vp.tbl[[#This Row],[Dens]]&gt;870,vp.tbl[[#This Row],[Dens]]&lt;=900,vp.tbl[[#This Row],[Sulf]]&gt;0.5,vp.tbl[[#This Row],[Unknown]]=0),1,0)</f>
        <v>0</v>
      </c>
      <c r="AE740">
        <f>IF(AND(vp.tbl[[#This Row],[CrudeType]]="Crude",vp.tbl[[#This Row],[Dens]]&gt;900,vp.tbl[[#This Row],[Sulf]]&lt;=0.5,vp.tbl[[#This Row],[Unknown]]=0),1,0)</f>
        <v>0</v>
      </c>
      <c r="AF740">
        <f>IF(AND(vp.tbl[[#This Row],[CrudeType]]="Crude",vp.tbl[[#This Row],[Dens]]&gt;900,vp.tbl[[#This Row],[Sulf]]&lt;=0.5,vp.tbl[[#This Row],[Unknown]]=0),1,0)</f>
        <v>0</v>
      </c>
      <c r="AG740" t="str">
        <f>INDEX(vp.tbl[[#Headers],[Unknown]:[Heavy_SW]],MATCH(1,vp.tbl[[#This Row],[Unknown]:[Heavy_SW]],0))</f>
        <v>Medium_LSB</v>
      </c>
      <c r="AH740" t="e">
        <f>INDEX([1]!crudeBD.lkup[Number],MATCH(vp.tbl[[#This Row],[Crude_Breakdown]],[1]!crudeBD.lkup[Crude Breakdown],0))</f>
        <v>#REF!</v>
      </c>
      <c r="AI740">
        <f>MONTH(vp.tbl[[#This Row],[SDate]])</f>
        <v>2</v>
      </c>
      <c r="AJ740" s="5">
        <f>IFERROR(vp.tbl[[#This Row],[Sulf]]*vp.tbl[[#This Row],[Net Dens]],"")</f>
        <v>14215584.27324</v>
      </c>
      <c r="AK740" s="5">
        <f>IFERROR(vp.tbl[[#This Row],[Dens]]*vp.tbl[[#This Row],[VolumeM3]],"")</f>
        <v>5778692.7939999998</v>
      </c>
      <c r="AL740" s="5">
        <f>IFERROR(vp.tbl[[#This Row],[VP]]*vp.tbl[[#This Row],[VolumeM3]],"")</f>
        <v>521766.11200000008</v>
      </c>
      <c r="AM740" s="4">
        <f>IFERROR((vp.tbl[[#This Row],[VP]]-INDEX(crudeBD.lkup.complete[Mean_VP],MATCH(vp.tbl[[#This Row],[Crude_Breakdown]],crudeBD.lkup.complete[Crude Breakdown],0)))^2,"")</f>
        <v>3.1456389995191567</v>
      </c>
      <c r="AN740" s="4">
        <f>IFERROR((vp.tbl[[#This Row],[Dens]]-INDEX(crudeBD.lkup.complete[Mean_Dens],MATCH(vp.tbl[[#This Row],[Crude_Breakdown]],crudeBD.lkup.complete[Crude Breakdown],0)))^2,"")</f>
        <v>529.37621876562571</v>
      </c>
      <c r="AO740" s="4">
        <f>IFERROR((vp.tbl[[#This Row],[Sulf]]-INDEX(crudeBD.lkup.complete[Mean_Sulf],MATCH(vp.tbl[[#This Row],[Crude_Breakdown]],crudeBD.lkup.complete[Crude Breakdown],0)))^2,"")</f>
        <v>1.0101659847929276</v>
      </c>
      <c r="AP740">
        <f>IF(AND(vp.tbl[[#This Row],[SDate]]&gt;=DATE(YEAR(vp.tbl[[#This Row],[SDate]]),5,1),vp.tbl[[#This Row],[SDate]]&lt;=DATE(YEAR(vp.tbl[[#This Row],[SDate]]),9,15)),1,0)</f>
        <v>0</v>
      </c>
      <c r="AQ740" s="15">
        <f>IF(vp.tbl[[#This Row],[SDate]]&lt;DATE(2016,12,1),0,1)</f>
        <v>1</v>
      </c>
    </row>
    <row r="741" spans="1:43" x14ac:dyDescent="0.25">
      <c r="A741">
        <v>740</v>
      </c>
      <c r="B741" t="s">
        <v>53</v>
      </c>
      <c r="C741" t="s">
        <v>53</v>
      </c>
      <c r="D741" t="s">
        <v>54</v>
      </c>
      <c r="E741" t="s">
        <v>73</v>
      </c>
      <c r="F741" s="1">
        <v>42773</v>
      </c>
      <c r="G741" s="2">
        <v>87.3</v>
      </c>
      <c r="H741" s="2"/>
      <c r="I741" s="2">
        <v>1.68</v>
      </c>
      <c r="J741" s="2">
        <v>3.5</v>
      </c>
      <c r="K741" s="2">
        <v>-30</v>
      </c>
      <c r="L741" s="2">
        <v>842.6</v>
      </c>
      <c r="M741" s="2">
        <v>842.6</v>
      </c>
      <c r="N741" s="2">
        <f ca="1">INDEX(INDIRECT(_xlfn.CONCAT("weather.tbl[",N$1,"]")),MATCH(vp.tbl[[#This Row],[SDate]],weather.tbl[Date],0))</f>
        <v>-24.133333333333336</v>
      </c>
      <c r="O741" s="2">
        <f ca="1">INDEX(INDIRECT(_xlfn.CONCAT("weather.tbl[",O$1,"]")),MATCH(vp.tbl[[#This Row],[SDate]],weather.tbl[Date],0))</f>
        <v>-18.05952380952381</v>
      </c>
      <c r="P741" s="2">
        <f ca="1">INDEX(INDIRECT(_xlfn.CONCAT("weather.tbl[",P$1,"]")),MATCH(vp.tbl[[#This Row],[SDate]],weather.tbl[Date],0))</f>
        <v>-24.4</v>
      </c>
      <c r="Q741" s="2">
        <f ca="1">INDEX(INDIRECT(_xlfn.CONCAT("weather.tbl[",Q$1,"]")),MATCH(vp.tbl[[#This Row],[SDate]],weather.tbl[Date],0))</f>
        <v>-25.8</v>
      </c>
      <c r="R741" s="2">
        <f ca="1">INDEX(INDIRECT(_xlfn.CONCAT("weather.tbl[",R$1,"]")),MATCH(vp.tbl[[#This Row],[SDate]],weather.tbl[Date],0))</f>
        <v>-22.3</v>
      </c>
      <c r="S741" s="2">
        <f ca="1">INDEX(INDIRECT(_xlfn.CONCAT("weather.tbl[",S$1,"]")),MATCH(vp.tbl[[#This Row],[SDate]],weather.tbl[Date],0))</f>
        <v>-25.5</v>
      </c>
      <c r="T741" s="2">
        <f ca="1">INDEX(INDIRECT(_xlfn.CONCAT("weather.tbl[",T$1,"]")),MATCH(vp.tbl[[#This Row],[SDate]],weather.tbl[Date],0))</f>
        <v>-24</v>
      </c>
      <c r="U741" s="2">
        <f ca="1">INDEX(INDIRECT(_xlfn.CONCAT("weather.tbl[",U$1,"]")),MATCH(vp.tbl[[#This Row],[SDate]],weather.tbl[Date],0))</f>
        <v>-22.8</v>
      </c>
      <c r="V741" s="2">
        <v>47607.114999999998</v>
      </c>
      <c r="W741" t="s">
        <v>48</v>
      </c>
      <c r="X741">
        <f>IF(OR(vp.tbl[[#This Row],[Sulf]]="",vp.tbl[[#This Row],[Dens]]=""),1,0)</f>
        <v>0</v>
      </c>
      <c r="Y741">
        <f>IF(vp.tbl[[#This Row],[CrudeType]]="C5+",1,0)</f>
        <v>0</v>
      </c>
      <c r="Z741">
        <f>IF(AND(vp.tbl[[#This Row],[CrudeType]]="Crude",vp.tbl[[#This Row],[Dens]]&lt;=825,vp.tbl[[#This Row],[Sulf]]&gt;0.5,vp.tbl[[#This Row],[Unknown]]=0),1,0)</f>
        <v>0</v>
      </c>
      <c r="AA741">
        <f>IF(AND(vp.tbl[[#This Row],[CrudeType]]="Crude",vp.tbl[[#This Row],[Dens]]&lt;=825,vp.tbl[[#This Row],[Sulf]]&lt;=0.5,vp.tbl[[#This Row],[Unknown]]=0),1,0)</f>
        <v>0</v>
      </c>
      <c r="AB741">
        <f>IF(AND(vp.tbl[[#This Row],[CrudeType]]="Crude",vp.tbl[[#This Row],[Dens]]&gt;825,vp.tbl[[#This Row],[Dens]]&lt;=870,vp.tbl[[#This Row],[Sulf]]&gt;0.5,vp.tbl[[#This Row],[Unknown]]=0),1,0)</f>
        <v>1</v>
      </c>
      <c r="AC741">
        <f>IF(AND(vp.tbl[[#This Row],[CrudeType]]="Crude",vp.tbl[[#This Row],[Dens]]&gt;825,vp.tbl[[#This Row],[Dens]]&lt;=900,vp.tbl[[#This Row],[Sulf]]&lt;=0.5,vp.tbl[[#This Row],[Unknown]]=0),1,0)</f>
        <v>0</v>
      </c>
      <c r="AD741">
        <f>IF(AND(vp.tbl[[#This Row],[CrudeType]]="Crude",vp.tbl[[#This Row],[Dens]]&gt;870,vp.tbl[[#This Row],[Dens]]&lt;=900,vp.tbl[[#This Row],[Sulf]]&gt;0.5,vp.tbl[[#This Row],[Unknown]]=0),1,0)</f>
        <v>0</v>
      </c>
      <c r="AE741">
        <f>IF(AND(vp.tbl[[#This Row],[CrudeType]]="Crude",vp.tbl[[#This Row],[Dens]]&gt;900,vp.tbl[[#This Row],[Sulf]]&lt;=0.5,vp.tbl[[#This Row],[Unknown]]=0),1,0)</f>
        <v>0</v>
      </c>
      <c r="AF741">
        <f>IF(AND(vp.tbl[[#This Row],[CrudeType]]="Crude",vp.tbl[[#This Row],[Dens]]&gt;900,vp.tbl[[#This Row],[Sulf]]&lt;=0.5,vp.tbl[[#This Row],[Unknown]]=0),1,0)</f>
        <v>0</v>
      </c>
      <c r="AG741" t="str">
        <f>INDEX(vp.tbl[[#Headers],[Unknown]:[Heavy_SW]],MATCH(1,vp.tbl[[#This Row],[Unknown]:[Heavy_SW]],0))</f>
        <v>Medium_LSB</v>
      </c>
      <c r="AH741" t="e">
        <f>INDEX([1]!crudeBD.lkup[Number],MATCH(vp.tbl[[#This Row],[Crude_Breakdown]],[1]!crudeBD.lkup[Crude Breakdown],0))</f>
        <v>#REF!</v>
      </c>
      <c r="AI741">
        <f>MONTH(vp.tbl[[#This Row],[SDate]])</f>
        <v>2</v>
      </c>
      <c r="AJ741" s="5">
        <f>IFERROR(vp.tbl[[#This Row],[Sulf]]*vp.tbl[[#This Row],[Net Dens]],"")</f>
        <v>67391108.566320002</v>
      </c>
      <c r="AK741" s="5">
        <f>IFERROR(vp.tbl[[#This Row],[Dens]]*vp.tbl[[#This Row],[VolumeM3]],"")</f>
        <v>40113755.098999999</v>
      </c>
      <c r="AL741" s="5">
        <f>IFERROR(vp.tbl[[#This Row],[VP]]*vp.tbl[[#This Row],[VolumeM3]],"")</f>
        <v>4156101.1394999996</v>
      </c>
      <c r="AM741" s="4">
        <f>IFERROR((vp.tbl[[#This Row],[VP]]-INDEX(crudeBD.lkup.complete[Mean_VP],MATCH(vp.tbl[[#This Row],[Crude_Breakdown]],crudeBD.lkup.complete[Crude Breakdown],0)))^2,"")</f>
        <v>50.785649126102072</v>
      </c>
      <c r="AN741" s="4">
        <f>IFERROR((vp.tbl[[#This Row],[Dens]]-INDEX(crudeBD.lkup.complete[Mean_Dens],MATCH(vp.tbl[[#This Row],[Crude_Breakdown]],crudeBD.lkup.complete[Crude Breakdown],0)))^2,"")</f>
        <v>7.2459099048175215</v>
      </c>
      <c r="AO741" s="4">
        <f>IFERROR((vp.tbl[[#This Row],[Sulf]]-INDEX(crudeBD.lkup.complete[Mean_Sulf],MATCH(vp.tbl[[#This Row],[Crude_Breakdown]],crudeBD.lkup.complete[Crude Breakdown],0)))^2,"")</f>
        <v>5.0656567577740209E-2</v>
      </c>
      <c r="AP741">
        <f>IF(AND(vp.tbl[[#This Row],[SDate]]&gt;=DATE(YEAR(vp.tbl[[#This Row],[SDate]]),5,1),vp.tbl[[#This Row],[SDate]]&lt;=DATE(YEAR(vp.tbl[[#This Row],[SDate]]),9,15)),1,0)</f>
        <v>0</v>
      </c>
      <c r="AQ741" s="15">
        <f>IF(vp.tbl[[#This Row],[SDate]]&lt;DATE(2016,12,1),0,1)</f>
        <v>1</v>
      </c>
    </row>
    <row r="742" spans="1:43" x14ac:dyDescent="0.25">
      <c r="A742">
        <v>741</v>
      </c>
      <c r="B742" t="s">
        <v>53</v>
      </c>
      <c r="C742" t="s">
        <v>53</v>
      </c>
      <c r="D742" t="s">
        <v>54</v>
      </c>
      <c r="E742" t="s">
        <v>55</v>
      </c>
      <c r="F742" s="1">
        <v>42773</v>
      </c>
      <c r="G742" s="2">
        <v>99.6</v>
      </c>
      <c r="H742" s="2"/>
      <c r="I742" s="2">
        <v>1.68</v>
      </c>
      <c r="J742" s="2">
        <v>1.8</v>
      </c>
      <c r="K742" s="2">
        <v>-30</v>
      </c>
      <c r="L742" s="2">
        <v>833.6</v>
      </c>
      <c r="M742" s="2">
        <v>833.6</v>
      </c>
      <c r="N742" s="2">
        <f ca="1">INDEX(INDIRECT(_xlfn.CONCAT("weather.tbl[",N$1,"]")),MATCH(vp.tbl[[#This Row],[SDate]],weather.tbl[Date],0))</f>
        <v>-24.133333333333336</v>
      </c>
      <c r="O742" s="2">
        <f ca="1">INDEX(INDIRECT(_xlfn.CONCAT("weather.tbl[",O$1,"]")),MATCH(vp.tbl[[#This Row],[SDate]],weather.tbl[Date],0))</f>
        <v>-18.05952380952381</v>
      </c>
      <c r="P742" s="2">
        <f ca="1">INDEX(INDIRECT(_xlfn.CONCAT("weather.tbl[",P$1,"]")),MATCH(vp.tbl[[#This Row],[SDate]],weather.tbl[Date],0))</f>
        <v>-24.4</v>
      </c>
      <c r="Q742" s="2">
        <f ca="1">INDEX(INDIRECT(_xlfn.CONCAT("weather.tbl[",Q$1,"]")),MATCH(vp.tbl[[#This Row],[SDate]],weather.tbl[Date],0))</f>
        <v>-25.8</v>
      </c>
      <c r="R742" s="2">
        <f ca="1">INDEX(INDIRECT(_xlfn.CONCAT("weather.tbl[",R$1,"]")),MATCH(vp.tbl[[#This Row],[SDate]],weather.tbl[Date],0))</f>
        <v>-22.3</v>
      </c>
      <c r="S742" s="2">
        <f ca="1">INDEX(INDIRECT(_xlfn.CONCAT("weather.tbl[",S$1,"]")),MATCH(vp.tbl[[#This Row],[SDate]],weather.tbl[Date],0))</f>
        <v>-25.5</v>
      </c>
      <c r="T742" s="2">
        <f ca="1">INDEX(INDIRECT(_xlfn.CONCAT("weather.tbl[",T$1,"]")),MATCH(vp.tbl[[#This Row],[SDate]],weather.tbl[Date],0))</f>
        <v>-24</v>
      </c>
      <c r="U742" s="2">
        <f ca="1">INDEX(INDIRECT(_xlfn.CONCAT("weather.tbl[",U$1,"]")),MATCH(vp.tbl[[#This Row],[SDate]],weather.tbl[Date],0))</f>
        <v>-22.8</v>
      </c>
      <c r="V742" s="2">
        <v>47607.114999999998</v>
      </c>
      <c r="W742" t="s">
        <v>48</v>
      </c>
      <c r="X742">
        <f>IF(OR(vp.tbl[[#This Row],[Sulf]]="",vp.tbl[[#This Row],[Dens]]=""),1,0)</f>
        <v>0</v>
      </c>
      <c r="Y742">
        <f>IF(vp.tbl[[#This Row],[CrudeType]]="C5+",1,0)</f>
        <v>0</v>
      </c>
      <c r="Z742">
        <f>IF(AND(vp.tbl[[#This Row],[CrudeType]]="Crude",vp.tbl[[#This Row],[Dens]]&lt;=825,vp.tbl[[#This Row],[Sulf]]&gt;0.5,vp.tbl[[#This Row],[Unknown]]=0),1,0)</f>
        <v>0</v>
      </c>
      <c r="AA742">
        <f>IF(AND(vp.tbl[[#This Row],[CrudeType]]="Crude",vp.tbl[[#This Row],[Dens]]&lt;=825,vp.tbl[[#This Row],[Sulf]]&lt;=0.5,vp.tbl[[#This Row],[Unknown]]=0),1,0)</f>
        <v>0</v>
      </c>
      <c r="AB742">
        <f>IF(AND(vp.tbl[[#This Row],[CrudeType]]="Crude",vp.tbl[[#This Row],[Dens]]&gt;825,vp.tbl[[#This Row],[Dens]]&lt;=870,vp.tbl[[#This Row],[Sulf]]&gt;0.5,vp.tbl[[#This Row],[Unknown]]=0),1,0)</f>
        <v>1</v>
      </c>
      <c r="AC742">
        <f>IF(AND(vp.tbl[[#This Row],[CrudeType]]="Crude",vp.tbl[[#This Row],[Dens]]&gt;825,vp.tbl[[#This Row],[Dens]]&lt;=900,vp.tbl[[#This Row],[Sulf]]&lt;=0.5,vp.tbl[[#This Row],[Unknown]]=0),1,0)</f>
        <v>0</v>
      </c>
      <c r="AD742">
        <f>IF(AND(vp.tbl[[#This Row],[CrudeType]]="Crude",vp.tbl[[#This Row],[Dens]]&gt;870,vp.tbl[[#This Row],[Dens]]&lt;=900,vp.tbl[[#This Row],[Sulf]]&gt;0.5,vp.tbl[[#This Row],[Unknown]]=0),1,0)</f>
        <v>0</v>
      </c>
      <c r="AE742">
        <f>IF(AND(vp.tbl[[#This Row],[CrudeType]]="Crude",vp.tbl[[#This Row],[Dens]]&gt;900,vp.tbl[[#This Row],[Sulf]]&lt;=0.5,vp.tbl[[#This Row],[Unknown]]=0),1,0)</f>
        <v>0</v>
      </c>
      <c r="AF742">
        <f>IF(AND(vp.tbl[[#This Row],[CrudeType]]="Crude",vp.tbl[[#This Row],[Dens]]&gt;900,vp.tbl[[#This Row],[Sulf]]&lt;=0.5,vp.tbl[[#This Row],[Unknown]]=0),1,0)</f>
        <v>0</v>
      </c>
      <c r="AG742" t="str">
        <f>INDEX(vp.tbl[[#Headers],[Unknown]:[Heavy_SW]],MATCH(1,vp.tbl[[#This Row],[Unknown]:[Heavy_SW]],0))</f>
        <v>Medium_LSB</v>
      </c>
      <c r="AH742" t="e">
        <f>INDEX([1]!crudeBD.lkup[Number],MATCH(vp.tbl[[#This Row],[Crude_Breakdown]],[1]!crudeBD.lkup[Crude Breakdown],0))</f>
        <v>#REF!</v>
      </c>
      <c r="AI742">
        <f>MONTH(vp.tbl[[#This Row],[SDate]])</f>
        <v>2</v>
      </c>
      <c r="AJ742" s="5">
        <f>IFERROR(vp.tbl[[#This Row],[Sulf]]*vp.tbl[[#This Row],[Net Dens]],"")</f>
        <v>66671288.987520002</v>
      </c>
      <c r="AK742" s="5">
        <f>IFERROR(vp.tbl[[#This Row],[Dens]]*vp.tbl[[#This Row],[VolumeM3]],"")</f>
        <v>39685291.064000003</v>
      </c>
      <c r="AL742" s="5">
        <f>IFERROR(vp.tbl[[#This Row],[VP]]*vp.tbl[[#This Row],[VolumeM3]],"")</f>
        <v>4741668.6539999992</v>
      </c>
      <c r="AM742" s="4">
        <f>IFERROR((vp.tbl[[#This Row],[VP]]-INDEX(crudeBD.lkup.complete[Mean_VP],MATCH(vp.tbl[[#This Row],[Crude_Breakdown]],crudeBD.lkup.complete[Crude Breakdown],0)))^2,"")</f>
        <v>377.38521368306482</v>
      </c>
      <c r="AN742" s="4">
        <f>IFERROR((vp.tbl[[#This Row],[Dens]]-INDEX(crudeBD.lkup.complete[Mean_Dens],MATCH(vp.tbl[[#This Row],[Crude_Breakdown]],crudeBD.lkup.complete[Crude Breakdown],0)))^2,"")</f>
        <v>136.69872003138167</v>
      </c>
      <c r="AO742" s="4">
        <f>IFERROR((vp.tbl[[#This Row],[Sulf]]-INDEX(crudeBD.lkup.complete[Mean_Sulf],MATCH(vp.tbl[[#This Row],[Crude_Breakdown]],crudeBD.lkup.complete[Crude Breakdown],0)))^2,"")</f>
        <v>5.0656567577740209E-2</v>
      </c>
      <c r="AP742">
        <f>IF(AND(vp.tbl[[#This Row],[SDate]]&gt;=DATE(YEAR(vp.tbl[[#This Row],[SDate]]),5,1),vp.tbl[[#This Row],[SDate]]&lt;=DATE(YEAR(vp.tbl[[#This Row],[SDate]]),9,15)),1,0)</f>
        <v>0</v>
      </c>
      <c r="AQ742" s="15">
        <f>IF(vp.tbl[[#This Row],[SDate]]&lt;DATE(2016,12,1),0,1)</f>
        <v>1</v>
      </c>
    </row>
    <row r="743" spans="1:43" x14ac:dyDescent="0.25">
      <c r="A743">
        <v>742</v>
      </c>
      <c r="B743" t="s">
        <v>49</v>
      </c>
      <c r="C743" t="s">
        <v>49</v>
      </c>
      <c r="D743" t="s">
        <v>100</v>
      </c>
      <c r="F743" s="1">
        <v>42773</v>
      </c>
      <c r="G743" s="2">
        <v>88.1</v>
      </c>
      <c r="H743" s="2">
        <v>0.52900000000000003</v>
      </c>
      <c r="I743" s="2">
        <v>0.52900000000000003</v>
      </c>
      <c r="J743" s="2">
        <v>12</v>
      </c>
      <c r="K743" s="2">
        <v>-30</v>
      </c>
      <c r="L743" s="2">
        <v>814.6</v>
      </c>
      <c r="M743" s="2">
        <v>814.6</v>
      </c>
      <c r="N743" s="2">
        <f ca="1">INDEX(INDIRECT(_xlfn.CONCAT("weather.tbl[",N$1,"]")),MATCH(vp.tbl[[#This Row],[SDate]],weather.tbl[Date],0))</f>
        <v>-24.133333333333336</v>
      </c>
      <c r="O743" s="2">
        <f ca="1">INDEX(INDIRECT(_xlfn.CONCAT("weather.tbl[",O$1,"]")),MATCH(vp.tbl[[#This Row],[SDate]],weather.tbl[Date],0))</f>
        <v>-18.05952380952381</v>
      </c>
      <c r="P743" s="2">
        <f ca="1">INDEX(INDIRECT(_xlfn.CONCAT("weather.tbl[",P$1,"]")),MATCH(vp.tbl[[#This Row],[SDate]],weather.tbl[Date],0))</f>
        <v>-24.4</v>
      </c>
      <c r="Q743" s="2">
        <f ca="1">INDEX(INDIRECT(_xlfn.CONCAT("weather.tbl[",Q$1,"]")),MATCH(vp.tbl[[#This Row],[SDate]],weather.tbl[Date],0))</f>
        <v>-25.8</v>
      </c>
      <c r="R743" s="2">
        <f ca="1">INDEX(INDIRECT(_xlfn.CONCAT("weather.tbl[",R$1,"]")),MATCH(vp.tbl[[#This Row],[SDate]],weather.tbl[Date],0))</f>
        <v>-22.3</v>
      </c>
      <c r="S743" s="2">
        <f ca="1">INDEX(INDIRECT(_xlfn.CONCAT("weather.tbl[",S$1,"]")),MATCH(vp.tbl[[#This Row],[SDate]],weather.tbl[Date],0))</f>
        <v>-25.5</v>
      </c>
      <c r="T743" s="2">
        <f ca="1">INDEX(INDIRECT(_xlfn.CONCAT("weather.tbl[",T$1,"]")),MATCH(vp.tbl[[#This Row],[SDate]],weather.tbl[Date],0))</f>
        <v>-24</v>
      </c>
      <c r="U743" s="2">
        <f ca="1">INDEX(INDIRECT(_xlfn.CONCAT("weather.tbl[",U$1,"]")),MATCH(vp.tbl[[#This Row],[SDate]],weather.tbl[Date],0))</f>
        <v>-22.8</v>
      </c>
      <c r="V743" s="2">
        <v>11683.09</v>
      </c>
      <c r="W743" t="s">
        <v>48</v>
      </c>
      <c r="X743">
        <f>IF(OR(vp.tbl[[#This Row],[Sulf]]="",vp.tbl[[#This Row],[Dens]]=""),1,0)</f>
        <v>0</v>
      </c>
      <c r="Y743">
        <f>IF(vp.tbl[[#This Row],[CrudeType]]="C5+",1,0)</f>
        <v>0</v>
      </c>
      <c r="Z743">
        <f>IF(AND(vp.tbl[[#This Row],[CrudeType]]="Crude",vp.tbl[[#This Row],[Dens]]&lt;=825,vp.tbl[[#This Row],[Sulf]]&gt;0.5,vp.tbl[[#This Row],[Unknown]]=0),1,0)</f>
        <v>1</v>
      </c>
      <c r="AA743">
        <f>IF(AND(vp.tbl[[#This Row],[CrudeType]]="Crude",vp.tbl[[#This Row],[Dens]]&lt;=825,vp.tbl[[#This Row],[Sulf]]&lt;=0.5,vp.tbl[[#This Row],[Unknown]]=0),1,0)</f>
        <v>0</v>
      </c>
      <c r="AB743">
        <f>IF(AND(vp.tbl[[#This Row],[CrudeType]]="Crude",vp.tbl[[#This Row],[Dens]]&gt;825,vp.tbl[[#This Row],[Dens]]&lt;=870,vp.tbl[[#This Row],[Sulf]]&gt;0.5,vp.tbl[[#This Row],[Unknown]]=0),1,0)</f>
        <v>0</v>
      </c>
      <c r="AC743">
        <f>IF(AND(vp.tbl[[#This Row],[CrudeType]]="Crude",vp.tbl[[#This Row],[Dens]]&gt;825,vp.tbl[[#This Row],[Dens]]&lt;=900,vp.tbl[[#This Row],[Sulf]]&lt;=0.5,vp.tbl[[#This Row],[Unknown]]=0),1,0)</f>
        <v>0</v>
      </c>
      <c r="AD743">
        <f>IF(AND(vp.tbl[[#This Row],[CrudeType]]="Crude",vp.tbl[[#This Row],[Dens]]&gt;870,vp.tbl[[#This Row],[Dens]]&lt;=900,vp.tbl[[#This Row],[Sulf]]&gt;0.5,vp.tbl[[#This Row],[Unknown]]=0),1,0)</f>
        <v>0</v>
      </c>
      <c r="AE743">
        <f>IF(AND(vp.tbl[[#This Row],[CrudeType]]="Crude",vp.tbl[[#This Row],[Dens]]&gt;900,vp.tbl[[#This Row],[Sulf]]&lt;=0.5,vp.tbl[[#This Row],[Unknown]]=0),1,0)</f>
        <v>0</v>
      </c>
      <c r="AF743">
        <f>IF(AND(vp.tbl[[#This Row],[CrudeType]]="Crude",vp.tbl[[#This Row],[Dens]]&gt;900,vp.tbl[[#This Row],[Sulf]]&lt;=0.5,vp.tbl[[#This Row],[Unknown]]=0),1,0)</f>
        <v>0</v>
      </c>
      <c r="AG743" t="str">
        <f>INDEX(vp.tbl[[#Headers],[Unknown]:[Heavy_SW]],MATCH(1,vp.tbl[[#This Row],[Unknown]:[Heavy_SW]],0))</f>
        <v>Light_LSB</v>
      </c>
      <c r="AH743" t="e">
        <f>INDEX([1]!crudeBD.lkup[Number],MATCH(vp.tbl[[#This Row],[Crude_Breakdown]],[1]!crudeBD.lkup[Crude Breakdown],0))</f>
        <v>#REF!</v>
      </c>
      <c r="AI743">
        <f>MONTH(vp.tbl[[#This Row],[SDate]])</f>
        <v>2</v>
      </c>
      <c r="AJ743" s="5">
        <f>IFERROR(vp.tbl[[#This Row],[Sulf]]*vp.tbl[[#This Row],[Net Dens]],"")</f>
        <v>5034516.8653060002</v>
      </c>
      <c r="AK743" s="5">
        <f>IFERROR(vp.tbl[[#This Row],[Dens]]*vp.tbl[[#This Row],[VolumeM3]],"")</f>
        <v>9517045.1140000001</v>
      </c>
      <c r="AL743" s="5">
        <f>IFERROR(vp.tbl[[#This Row],[VP]]*vp.tbl[[#This Row],[VolumeM3]],"")</f>
        <v>1029280.2289999999</v>
      </c>
      <c r="AM743" s="4">
        <f>IFERROR((vp.tbl[[#This Row],[VP]]-INDEX(crudeBD.lkup.complete[Mean_VP],MATCH(vp.tbl[[#This Row],[Crude_Breakdown]],crudeBD.lkup.complete[Crude Breakdown],0)))^2,"")</f>
        <v>11.87619496227042</v>
      </c>
      <c r="AN743" s="4">
        <f>IFERROR((vp.tbl[[#This Row],[Dens]]-INDEX(crudeBD.lkup.complete[Mean_Dens],MATCH(vp.tbl[[#This Row],[Crude_Breakdown]],crudeBD.lkup.complete[Crude Breakdown],0)))^2,"")</f>
        <v>15.341085348540718</v>
      </c>
      <c r="AO743" s="4">
        <f>IFERROR((vp.tbl[[#This Row],[Sulf]]-INDEX(crudeBD.lkup.complete[Mean_Sulf],MATCH(vp.tbl[[#This Row],[Crude_Breakdown]],crudeBD.lkup.complete[Crude Breakdown],0)))^2,"")</f>
        <v>0.15521328151854702</v>
      </c>
      <c r="AP743">
        <f>IF(AND(vp.tbl[[#This Row],[SDate]]&gt;=DATE(YEAR(vp.tbl[[#This Row],[SDate]]),5,1),vp.tbl[[#This Row],[SDate]]&lt;=DATE(YEAR(vp.tbl[[#This Row],[SDate]]),9,15)),1,0)</f>
        <v>0</v>
      </c>
      <c r="AQ743" s="15">
        <f>IF(vp.tbl[[#This Row],[SDate]]&lt;DATE(2016,12,1),0,1)</f>
        <v>1</v>
      </c>
    </row>
    <row r="744" spans="1:43" x14ac:dyDescent="0.25">
      <c r="A744">
        <v>743</v>
      </c>
      <c r="B744" t="s">
        <v>49</v>
      </c>
      <c r="C744" t="s">
        <v>49</v>
      </c>
      <c r="D744" t="s">
        <v>80</v>
      </c>
      <c r="F744" s="1">
        <v>42773</v>
      </c>
      <c r="G744" s="2">
        <v>80.400000000000006</v>
      </c>
      <c r="H744" s="2">
        <v>0.55600000000000005</v>
      </c>
      <c r="I744" s="2">
        <v>0.55600000000000005</v>
      </c>
      <c r="J744" s="2">
        <v>13.7</v>
      </c>
      <c r="K744" s="2">
        <v>-30</v>
      </c>
      <c r="L744" s="2">
        <v>815.7</v>
      </c>
      <c r="M744" s="2">
        <v>815.7</v>
      </c>
      <c r="N744" s="2">
        <f ca="1">INDEX(INDIRECT(_xlfn.CONCAT("weather.tbl[",N$1,"]")),MATCH(vp.tbl[[#This Row],[SDate]],weather.tbl[Date],0))</f>
        <v>-24.133333333333336</v>
      </c>
      <c r="O744" s="2">
        <f ca="1">INDEX(INDIRECT(_xlfn.CONCAT("weather.tbl[",O$1,"]")),MATCH(vp.tbl[[#This Row],[SDate]],weather.tbl[Date],0))</f>
        <v>-18.05952380952381</v>
      </c>
      <c r="P744" s="2">
        <f ca="1">INDEX(INDIRECT(_xlfn.CONCAT("weather.tbl[",P$1,"]")),MATCH(vp.tbl[[#This Row],[SDate]],weather.tbl[Date],0))</f>
        <v>-24.4</v>
      </c>
      <c r="Q744" s="2">
        <f ca="1">INDEX(INDIRECT(_xlfn.CONCAT("weather.tbl[",Q$1,"]")),MATCH(vp.tbl[[#This Row],[SDate]],weather.tbl[Date],0))</f>
        <v>-25.8</v>
      </c>
      <c r="R744" s="2">
        <f ca="1">INDEX(INDIRECT(_xlfn.CONCAT("weather.tbl[",R$1,"]")),MATCH(vp.tbl[[#This Row],[SDate]],weather.tbl[Date],0))</f>
        <v>-22.3</v>
      </c>
      <c r="S744" s="2">
        <f ca="1">INDEX(INDIRECT(_xlfn.CONCAT("weather.tbl[",S$1,"]")),MATCH(vp.tbl[[#This Row],[SDate]],weather.tbl[Date],0))</f>
        <v>-25.5</v>
      </c>
      <c r="T744" s="2">
        <f ca="1">INDEX(INDIRECT(_xlfn.CONCAT("weather.tbl[",T$1,"]")),MATCH(vp.tbl[[#This Row],[SDate]],weather.tbl[Date],0))</f>
        <v>-24</v>
      </c>
      <c r="U744" s="2">
        <f ca="1">INDEX(INDIRECT(_xlfn.CONCAT("weather.tbl[",U$1,"]")),MATCH(vp.tbl[[#This Row],[SDate]],weather.tbl[Date],0))</f>
        <v>-22.8</v>
      </c>
      <c r="V744" s="2">
        <v>16928.633000000002</v>
      </c>
      <c r="W744" t="s">
        <v>48</v>
      </c>
      <c r="X744">
        <f>IF(OR(vp.tbl[[#This Row],[Sulf]]="",vp.tbl[[#This Row],[Dens]]=""),1,0)</f>
        <v>0</v>
      </c>
      <c r="Y744">
        <f>IF(vp.tbl[[#This Row],[CrudeType]]="C5+",1,0)</f>
        <v>0</v>
      </c>
      <c r="Z744">
        <f>IF(AND(vp.tbl[[#This Row],[CrudeType]]="Crude",vp.tbl[[#This Row],[Dens]]&lt;=825,vp.tbl[[#This Row],[Sulf]]&gt;0.5,vp.tbl[[#This Row],[Unknown]]=0),1,0)</f>
        <v>1</v>
      </c>
      <c r="AA744">
        <f>IF(AND(vp.tbl[[#This Row],[CrudeType]]="Crude",vp.tbl[[#This Row],[Dens]]&lt;=825,vp.tbl[[#This Row],[Sulf]]&lt;=0.5,vp.tbl[[#This Row],[Unknown]]=0),1,0)</f>
        <v>0</v>
      </c>
      <c r="AB744">
        <f>IF(AND(vp.tbl[[#This Row],[CrudeType]]="Crude",vp.tbl[[#This Row],[Dens]]&gt;825,vp.tbl[[#This Row],[Dens]]&lt;=870,vp.tbl[[#This Row],[Sulf]]&gt;0.5,vp.tbl[[#This Row],[Unknown]]=0),1,0)</f>
        <v>0</v>
      </c>
      <c r="AC744">
        <f>IF(AND(vp.tbl[[#This Row],[CrudeType]]="Crude",vp.tbl[[#This Row],[Dens]]&gt;825,vp.tbl[[#This Row],[Dens]]&lt;=900,vp.tbl[[#This Row],[Sulf]]&lt;=0.5,vp.tbl[[#This Row],[Unknown]]=0),1,0)</f>
        <v>0</v>
      </c>
      <c r="AD744">
        <f>IF(AND(vp.tbl[[#This Row],[CrudeType]]="Crude",vp.tbl[[#This Row],[Dens]]&gt;870,vp.tbl[[#This Row],[Dens]]&lt;=900,vp.tbl[[#This Row],[Sulf]]&gt;0.5,vp.tbl[[#This Row],[Unknown]]=0),1,0)</f>
        <v>0</v>
      </c>
      <c r="AE744">
        <f>IF(AND(vp.tbl[[#This Row],[CrudeType]]="Crude",vp.tbl[[#This Row],[Dens]]&gt;900,vp.tbl[[#This Row],[Sulf]]&lt;=0.5,vp.tbl[[#This Row],[Unknown]]=0),1,0)</f>
        <v>0</v>
      </c>
      <c r="AF744">
        <f>IF(AND(vp.tbl[[#This Row],[CrudeType]]="Crude",vp.tbl[[#This Row],[Dens]]&gt;900,vp.tbl[[#This Row],[Sulf]]&lt;=0.5,vp.tbl[[#This Row],[Unknown]]=0),1,0)</f>
        <v>0</v>
      </c>
      <c r="AG744" t="str">
        <f>INDEX(vp.tbl[[#Headers],[Unknown]:[Heavy_SW]],MATCH(1,vp.tbl[[#This Row],[Unknown]:[Heavy_SW]],0))</f>
        <v>Light_LSB</v>
      </c>
      <c r="AH744" t="e">
        <f>INDEX([1]!crudeBD.lkup[Number],MATCH(vp.tbl[[#This Row],[Crude_Breakdown]],[1]!crudeBD.lkup[Crude Breakdown],0))</f>
        <v>#REF!</v>
      </c>
      <c r="AI744">
        <f>MONTH(vp.tbl[[#This Row],[SDate]])</f>
        <v>2</v>
      </c>
      <c r="AJ744" s="5">
        <f>IFERROR(vp.tbl[[#This Row],[Sulf]]*vp.tbl[[#This Row],[Net Dens]],"")</f>
        <v>7677629.3815836022</v>
      </c>
      <c r="AK744" s="5">
        <f>IFERROR(vp.tbl[[#This Row],[Dens]]*vp.tbl[[#This Row],[VolumeM3]],"")</f>
        <v>13808685.938100003</v>
      </c>
      <c r="AL744" s="5">
        <f>IFERROR(vp.tbl[[#This Row],[VP]]*vp.tbl[[#This Row],[VolumeM3]],"")</f>
        <v>1361062.0932000002</v>
      </c>
      <c r="AM744" s="4">
        <f>IFERROR((vp.tbl[[#This Row],[VP]]-INDEX(crudeBD.lkup.complete[Mean_VP],MATCH(vp.tbl[[#This Row],[Crude_Breakdown]],crudeBD.lkup.complete[Crude Breakdown],0)))^2,"")</f>
        <v>124.23745269422949</v>
      </c>
      <c r="AN744" s="4">
        <f>IFERROR((vp.tbl[[#This Row],[Dens]]-INDEX(crudeBD.lkup.complete[Mean_Dens],MATCH(vp.tbl[[#This Row],[Crude_Breakdown]],crudeBD.lkup.complete[Crude Breakdown],0)))^2,"")</f>
        <v>7.934191877750953</v>
      </c>
      <c r="AO744" s="4">
        <f>IFERROR((vp.tbl[[#This Row],[Sulf]]-INDEX(crudeBD.lkup.complete[Mean_Sulf],MATCH(vp.tbl[[#This Row],[Crude_Breakdown]],crudeBD.lkup.complete[Crude Breakdown],0)))^2,"")</f>
        <v>0.13466783842576352</v>
      </c>
      <c r="AP744">
        <f>IF(AND(vp.tbl[[#This Row],[SDate]]&gt;=DATE(YEAR(vp.tbl[[#This Row],[SDate]]),5,1),vp.tbl[[#This Row],[SDate]]&lt;=DATE(YEAR(vp.tbl[[#This Row],[SDate]]),9,15)),1,0)</f>
        <v>0</v>
      </c>
      <c r="AQ744" s="15">
        <f>IF(vp.tbl[[#This Row],[SDate]]&lt;DATE(2016,12,1),0,1)</f>
        <v>1</v>
      </c>
    </row>
    <row r="745" spans="1:43" x14ac:dyDescent="0.25">
      <c r="A745">
        <v>744</v>
      </c>
      <c r="B745" t="s">
        <v>49</v>
      </c>
      <c r="C745" t="s">
        <v>49</v>
      </c>
      <c r="D745" t="s">
        <v>70</v>
      </c>
      <c r="F745" s="1">
        <v>42773</v>
      </c>
      <c r="G745" s="2">
        <v>83.7</v>
      </c>
      <c r="H745" s="2">
        <v>0.95699999999999996</v>
      </c>
      <c r="I745" s="2">
        <v>0.95699999999999996</v>
      </c>
      <c r="J745" s="2">
        <v>14</v>
      </c>
      <c r="K745" s="2">
        <v>-30</v>
      </c>
      <c r="L745" s="2">
        <v>825.8</v>
      </c>
      <c r="M745" s="2">
        <v>825.8</v>
      </c>
      <c r="N745" s="2">
        <f ca="1">INDEX(INDIRECT(_xlfn.CONCAT("weather.tbl[",N$1,"]")),MATCH(vp.tbl[[#This Row],[SDate]],weather.tbl[Date],0))</f>
        <v>-24.133333333333336</v>
      </c>
      <c r="O745" s="2">
        <f ca="1">INDEX(INDIRECT(_xlfn.CONCAT("weather.tbl[",O$1,"]")),MATCH(vp.tbl[[#This Row],[SDate]],weather.tbl[Date],0))</f>
        <v>-18.05952380952381</v>
      </c>
      <c r="P745" s="2">
        <f ca="1">INDEX(INDIRECT(_xlfn.CONCAT("weather.tbl[",P$1,"]")),MATCH(vp.tbl[[#This Row],[SDate]],weather.tbl[Date],0))</f>
        <v>-24.4</v>
      </c>
      <c r="Q745" s="2">
        <f ca="1">INDEX(INDIRECT(_xlfn.CONCAT("weather.tbl[",Q$1,"]")),MATCH(vp.tbl[[#This Row],[SDate]],weather.tbl[Date],0))</f>
        <v>-25.8</v>
      </c>
      <c r="R745" s="2">
        <f ca="1">INDEX(INDIRECT(_xlfn.CONCAT("weather.tbl[",R$1,"]")),MATCH(vp.tbl[[#This Row],[SDate]],weather.tbl[Date],0))</f>
        <v>-22.3</v>
      </c>
      <c r="S745" s="2">
        <f ca="1">INDEX(INDIRECT(_xlfn.CONCAT("weather.tbl[",S$1,"]")),MATCH(vp.tbl[[#This Row],[SDate]],weather.tbl[Date],0))</f>
        <v>-25.5</v>
      </c>
      <c r="T745" s="2">
        <f ca="1">INDEX(INDIRECT(_xlfn.CONCAT("weather.tbl[",T$1,"]")),MATCH(vp.tbl[[#This Row],[SDate]],weather.tbl[Date],0))</f>
        <v>-24</v>
      </c>
      <c r="U745" s="2">
        <f ca="1">INDEX(INDIRECT(_xlfn.CONCAT("weather.tbl[",U$1,"]")),MATCH(vp.tbl[[#This Row],[SDate]],weather.tbl[Date],0))</f>
        <v>-22.8</v>
      </c>
      <c r="V745" s="2">
        <v>2335.377</v>
      </c>
      <c r="W745" t="s">
        <v>48</v>
      </c>
      <c r="X745">
        <f>IF(OR(vp.tbl[[#This Row],[Sulf]]="",vp.tbl[[#This Row],[Dens]]=""),1,0)</f>
        <v>0</v>
      </c>
      <c r="Y745">
        <f>IF(vp.tbl[[#This Row],[CrudeType]]="C5+",1,0)</f>
        <v>0</v>
      </c>
      <c r="Z745">
        <f>IF(AND(vp.tbl[[#This Row],[CrudeType]]="Crude",vp.tbl[[#This Row],[Dens]]&lt;=825,vp.tbl[[#This Row],[Sulf]]&gt;0.5,vp.tbl[[#This Row],[Unknown]]=0),1,0)</f>
        <v>0</v>
      </c>
      <c r="AA745">
        <f>IF(AND(vp.tbl[[#This Row],[CrudeType]]="Crude",vp.tbl[[#This Row],[Dens]]&lt;=825,vp.tbl[[#This Row],[Sulf]]&lt;=0.5,vp.tbl[[#This Row],[Unknown]]=0),1,0)</f>
        <v>0</v>
      </c>
      <c r="AB745">
        <f>IF(AND(vp.tbl[[#This Row],[CrudeType]]="Crude",vp.tbl[[#This Row],[Dens]]&gt;825,vp.tbl[[#This Row],[Dens]]&lt;=870,vp.tbl[[#This Row],[Sulf]]&gt;0.5,vp.tbl[[#This Row],[Unknown]]=0),1,0)</f>
        <v>1</v>
      </c>
      <c r="AC745">
        <f>IF(AND(vp.tbl[[#This Row],[CrudeType]]="Crude",vp.tbl[[#This Row],[Dens]]&gt;825,vp.tbl[[#This Row],[Dens]]&lt;=900,vp.tbl[[#This Row],[Sulf]]&lt;=0.5,vp.tbl[[#This Row],[Unknown]]=0),1,0)</f>
        <v>0</v>
      </c>
      <c r="AD745">
        <f>IF(AND(vp.tbl[[#This Row],[CrudeType]]="Crude",vp.tbl[[#This Row],[Dens]]&gt;870,vp.tbl[[#This Row],[Dens]]&lt;=900,vp.tbl[[#This Row],[Sulf]]&gt;0.5,vp.tbl[[#This Row],[Unknown]]=0),1,0)</f>
        <v>0</v>
      </c>
      <c r="AE745">
        <f>IF(AND(vp.tbl[[#This Row],[CrudeType]]="Crude",vp.tbl[[#This Row],[Dens]]&gt;900,vp.tbl[[#This Row],[Sulf]]&lt;=0.5,vp.tbl[[#This Row],[Unknown]]=0),1,0)</f>
        <v>0</v>
      </c>
      <c r="AF745">
        <f>IF(AND(vp.tbl[[#This Row],[CrudeType]]="Crude",vp.tbl[[#This Row],[Dens]]&gt;900,vp.tbl[[#This Row],[Sulf]]&lt;=0.5,vp.tbl[[#This Row],[Unknown]]=0),1,0)</f>
        <v>0</v>
      </c>
      <c r="AG745" t="str">
        <f>INDEX(vp.tbl[[#Headers],[Unknown]:[Heavy_SW]],MATCH(1,vp.tbl[[#This Row],[Unknown]:[Heavy_SW]],0))</f>
        <v>Medium_LSB</v>
      </c>
      <c r="AH745" t="e">
        <f>INDEX([1]!crudeBD.lkup[Number],MATCH(vp.tbl[[#This Row],[Crude_Breakdown]],[1]!crudeBD.lkup[Crude Breakdown],0))</f>
        <v>#REF!</v>
      </c>
      <c r="AI745">
        <f>MONTH(vp.tbl[[#This Row],[SDate]])</f>
        <v>2</v>
      </c>
      <c r="AJ745" s="5">
        <f>IFERROR(vp.tbl[[#This Row],[Sulf]]*vp.tbl[[#This Row],[Net Dens]],"")</f>
        <v>1845626.4905561998</v>
      </c>
      <c r="AK745" s="5">
        <f>IFERROR(vp.tbl[[#This Row],[Dens]]*vp.tbl[[#This Row],[VolumeM3]],"")</f>
        <v>1928554.3265999998</v>
      </c>
      <c r="AL745" s="5">
        <f>IFERROR(vp.tbl[[#This Row],[VP]]*vp.tbl[[#This Row],[VolumeM3]],"")</f>
        <v>195471.05489999999</v>
      </c>
      <c r="AM745" s="4">
        <f>IFERROR((vp.tbl[[#This Row],[VP]]-INDEX(crudeBD.lkup.complete[Mean_VP],MATCH(vp.tbl[[#This Row],[Crude_Breakdown]],crudeBD.lkup.complete[Crude Breakdown],0)))^2,"")</f>
        <v>12.435532670405664</v>
      </c>
      <c r="AN745" s="4">
        <f>IFERROR((vp.tbl[[#This Row],[Dens]]-INDEX(crudeBD.lkup.complete[Mean_Dens],MATCH(vp.tbl[[#This Row],[Crude_Breakdown]],crudeBD.lkup.complete[Crude Breakdown],0)))^2,"")</f>
        <v>379.93115547440658</v>
      </c>
      <c r="AO745" s="4">
        <f>IFERROR((vp.tbl[[#This Row],[Sulf]]-INDEX(crudeBD.lkup.complete[Mean_Sulf],MATCH(vp.tbl[[#This Row],[Crude_Breakdown]],crudeBD.lkup.complete[Crude Breakdown],0)))^2,"")</f>
        <v>0.24793414623597027</v>
      </c>
      <c r="AP745">
        <f>IF(AND(vp.tbl[[#This Row],[SDate]]&gt;=DATE(YEAR(vp.tbl[[#This Row],[SDate]]),5,1),vp.tbl[[#This Row],[SDate]]&lt;=DATE(YEAR(vp.tbl[[#This Row],[SDate]]),9,15)),1,0)</f>
        <v>0</v>
      </c>
      <c r="AQ745" s="15">
        <f>IF(vp.tbl[[#This Row],[SDate]]&lt;DATE(2016,12,1),0,1)</f>
        <v>1</v>
      </c>
    </row>
    <row r="746" spans="1:43" x14ac:dyDescent="0.25">
      <c r="A746">
        <v>745</v>
      </c>
      <c r="B746" t="s">
        <v>51</v>
      </c>
      <c r="C746" t="s">
        <v>51</v>
      </c>
      <c r="D746" t="s">
        <v>66</v>
      </c>
      <c r="F746" s="1">
        <v>42773</v>
      </c>
      <c r="G746" s="2">
        <v>91.5</v>
      </c>
      <c r="H746" s="2"/>
      <c r="I746" s="2">
        <v>1.57</v>
      </c>
      <c r="J746" s="2">
        <v>-4.7</v>
      </c>
      <c r="K746" s="2">
        <v>-30</v>
      </c>
      <c r="L746" s="2">
        <v>824.7</v>
      </c>
      <c r="M746" s="2">
        <v>824.7</v>
      </c>
      <c r="N746" s="2">
        <f ca="1">INDEX(INDIRECT(_xlfn.CONCAT("weather.tbl[",N$1,"]")),MATCH(vp.tbl[[#This Row],[SDate]],weather.tbl[Date],0))</f>
        <v>-24.133333333333336</v>
      </c>
      <c r="O746" s="2">
        <f ca="1">INDEX(INDIRECT(_xlfn.CONCAT("weather.tbl[",O$1,"]")),MATCH(vp.tbl[[#This Row],[SDate]],weather.tbl[Date],0))</f>
        <v>-18.05952380952381</v>
      </c>
      <c r="P746" s="2">
        <f ca="1">INDEX(INDIRECT(_xlfn.CONCAT("weather.tbl[",P$1,"]")),MATCH(vp.tbl[[#This Row],[SDate]],weather.tbl[Date],0))</f>
        <v>-24.4</v>
      </c>
      <c r="Q746" s="2">
        <f ca="1">INDEX(INDIRECT(_xlfn.CONCAT("weather.tbl[",Q$1,"]")),MATCH(vp.tbl[[#This Row],[SDate]],weather.tbl[Date],0))</f>
        <v>-25.8</v>
      </c>
      <c r="R746" s="2">
        <f ca="1">INDEX(INDIRECT(_xlfn.CONCAT("weather.tbl[",R$1,"]")),MATCH(vp.tbl[[#This Row],[SDate]],weather.tbl[Date],0))</f>
        <v>-22.3</v>
      </c>
      <c r="S746" s="2">
        <f ca="1">INDEX(INDIRECT(_xlfn.CONCAT("weather.tbl[",S$1,"]")),MATCH(vp.tbl[[#This Row],[SDate]],weather.tbl[Date],0))</f>
        <v>-25.5</v>
      </c>
      <c r="T746" s="2">
        <f ca="1">INDEX(INDIRECT(_xlfn.CONCAT("weather.tbl[",T$1,"]")),MATCH(vp.tbl[[#This Row],[SDate]],weather.tbl[Date],0))</f>
        <v>-24</v>
      </c>
      <c r="U746" s="2">
        <f ca="1">INDEX(INDIRECT(_xlfn.CONCAT("weather.tbl[",U$1,"]")),MATCH(vp.tbl[[#This Row],[SDate]],weather.tbl[Date],0))</f>
        <v>-22.8</v>
      </c>
      <c r="V746" s="2">
        <v>3995.7719999999999</v>
      </c>
      <c r="W746" t="s">
        <v>48</v>
      </c>
      <c r="X746">
        <f>IF(OR(vp.tbl[[#This Row],[Sulf]]="",vp.tbl[[#This Row],[Dens]]=""),1,0)</f>
        <v>0</v>
      </c>
      <c r="Y746">
        <f>IF(vp.tbl[[#This Row],[CrudeType]]="C5+",1,0)</f>
        <v>0</v>
      </c>
      <c r="Z746">
        <f>IF(AND(vp.tbl[[#This Row],[CrudeType]]="Crude",vp.tbl[[#This Row],[Dens]]&lt;=825,vp.tbl[[#This Row],[Sulf]]&gt;0.5,vp.tbl[[#This Row],[Unknown]]=0),1,0)</f>
        <v>1</v>
      </c>
      <c r="AA746">
        <f>IF(AND(vp.tbl[[#This Row],[CrudeType]]="Crude",vp.tbl[[#This Row],[Dens]]&lt;=825,vp.tbl[[#This Row],[Sulf]]&lt;=0.5,vp.tbl[[#This Row],[Unknown]]=0),1,0)</f>
        <v>0</v>
      </c>
      <c r="AB746">
        <f>IF(AND(vp.tbl[[#This Row],[CrudeType]]="Crude",vp.tbl[[#This Row],[Dens]]&gt;825,vp.tbl[[#This Row],[Dens]]&lt;=870,vp.tbl[[#This Row],[Sulf]]&gt;0.5,vp.tbl[[#This Row],[Unknown]]=0),1,0)</f>
        <v>0</v>
      </c>
      <c r="AC746">
        <f>IF(AND(vp.tbl[[#This Row],[CrudeType]]="Crude",vp.tbl[[#This Row],[Dens]]&gt;825,vp.tbl[[#This Row],[Dens]]&lt;=900,vp.tbl[[#This Row],[Sulf]]&lt;=0.5,vp.tbl[[#This Row],[Unknown]]=0),1,0)</f>
        <v>0</v>
      </c>
      <c r="AD746">
        <f>IF(AND(vp.tbl[[#This Row],[CrudeType]]="Crude",vp.tbl[[#This Row],[Dens]]&gt;870,vp.tbl[[#This Row],[Dens]]&lt;=900,vp.tbl[[#This Row],[Sulf]]&gt;0.5,vp.tbl[[#This Row],[Unknown]]=0),1,0)</f>
        <v>0</v>
      </c>
      <c r="AE746">
        <f>IF(AND(vp.tbl[[#This Row],[CrudeType]]="Crude",vp.tbl[[#This Row],[Dens]]&gt;900,vp.tbl[[#This Row],[Sulf]]&lt;=0.5,vp.tbl[[#This Row],[Unknown]]=0),1,0)</f>
        <v>0</v>
      </c>
      <c r="AF746">
        <f>IF(AND(vp.tbl[[#This Row],[CrudeType]]="Crude",vp.tbl[[#This Row],[Dens]]&gt;900,vp.tbl[[#This Row],[Sulf]]&lt;=0.5,vp.tbl[[#This Row],[Unknown]]=0),1,0)</f>
        <v>0</v>
      </c>
      <c r="AG746" t="str">
        <f>INDEX(vp.tbl[[#Headers],[Unknown]:[Heavy_SW]],MATCH(1,vp.tbl[[#This Row],[Unknown]:[Heavy_SW]],0))</f>
        <v>Light_LSB</v>
      </c>
      <c r="AH746" t="e">
        <f>INDEX([1]!crudeBD.lkup[Number],MATCH(vp.tbl[[#This Row],[Crude_Breakdown]],[1]!crudeBD.lkup[Crude Breakdown],0))</f>
        <v>#REF!</v>
      </c>
      <c r="AI746">
        <f>MONTH(vp.tbl[[#This Row],[SDate]])</f>
        <v>2</v>
      </c>
      <c r="AJ746" s="5">
        <f>IFERROR(vp.tbl[[#This Row],[Sulf]]*vp.tbl[[#This Row],[Net Dens]],"")</f>
        <v>5173641.6743880007</v>
      </c>
      <c r="AK746" s="5">
        <f>IFERROR(vp.tbl[[#This Row],[Dens]]*vp.tbl[[#This Row],[VolumeM3]],"")</f>
        <v>3295313.1684000003</v>
      </c>
      <c r="AL746" s="5">
        <f>IFERROR(vp.tbl[[#This Row],[VP]]*vp.tbl[[#This Row],[VolumeM3]],"")</f>
        <v>365613.13799999998</v>
      </c>
      <c r="AM746" s="4">
        <f>IFERROR((vp.tbl[[#This Row],[VP]]-INDEX(crudeBD.lkup.complete[Mean_VP],MATCH(vp.tbl[[#This Row],[Crude_Breakdown]],crudeBD.lkup.complete[Crude Breakdown],0)))^2,"")</f>
        <v>2.1331066000666414E-3</v>
      </c>
      <c r="AN746" s="4">
        <f>IFERROR((vp.tbl[[#This Row],[Dens]]-INDEX(crudeBD.lkup.complete[Mean_Dens],MATCH(vp.tbl[[#This Row],[Crude_Breakdown]],crudeBD.lkup.complete[Crude Breakdown],0)))^2,"")</f>
        <v>38.232336207654335</v>
      </c>
      <c r="AO746" s="4">
        <f>IFERROR((vp.tbl[[#This Row],[Sulf]]-INDEX(crudeBD.lkup.complete[Mean_Sulf],MATCH(vp.tbl[[#This Row],[Crude_Breakdown]],crudeBD.lkup.complete[Crude Breakdown],0)))^2,"")</f>
        <v>0.41864630894122806</v>
      </c>
      <c r="AP746">
        <f>IF(AND(vp.tbl[[#This Row],[SDate]]&gt;=DATE(YEAR(vp.tbl[[#This Row],[SDate]]),5,1),vp.tbl[[#This Row],[SDate]]&lt;=DATE(YEAR(vp.tbl[[#This Row],[SDate]]),9,15)),1,0)</f>
        <v>0</v>
      </c>
      <c r="AQ746" s="15">
        <f>IF(vp.tbl[[#This Row],[SDate]]&lt;DATE(2016,12,1),0,1)</f>
        <v>1</v>
      </c>
    </row>
    <row r="747" spans="1:43" x14ac:dyDescent="0.25">
      <c r="A747">
        <v>746</v>
      </c>
      <c r="B747" t="s">
        <v>96</v>
      </c>
      <c r="C747" t="s">
        <v>96</v>
      </c>
      <c r="D747" t="s">
        <v>97</v>
      </c>
      <c r="F747" s="1">
        <v>42773</v>
      </c>
      <c r="G747" s="2">
        <v>80.2</v>
      </c>
      <c r="H747" s="2"/>
      <c r="I747" s="2">
        <v>0.73</v>
      </c>
      <c r="J747" s="2">
        <v>26.7</v>
      </c>
      <c r="K747" s="2">
        <v>-30</v>
      </c>
      <c r="L747" s="2">
        <v>828.9</v>
      </c>
      <c r="M747" s="2">
        <v>828.9</v>
      </c>
      <c r="N747" s="2">
        <f ca="1">INDEX(INDIRECT(_xlfn.CONCAT("weather.tbl[",N$1,"]")),MATCH(vp.tbl[[#This Row],[SDate]],weather.tbl[Date],0))</f>
        <v>-24.133333333333336</v>
      </c>
      <c r="O747" s="2">
        <f ca="1">INDEX(INDIRECT(_xlfn.CONCAT("weather.tbl[",O$1,"]")),MATCH(vp.tbl[[#This Row],[SDate]],weather.tbl[Date],0))</f>
        <v>-18.05952380952381</v>
      </c>
      <c r="P747" s="2">
        <f ca="1">INDEX(INDIRECT(_xlfn.CONCAT("weather.tbl[",P$1,"]")),MATCH(vp.tbl[[#This Row],[SDate]],weather.tbl[Date],0))</f>
        <v>-24.4</v>
      </c>
      <c r="Q747" s="2">
        <f ca="1">INDEX(INDIRECT(_xlfn.CONCAT("weather.tbl[",Q$1,"]")),MATCH(vp.tbl[[#This Row],[SDate]],weather.tbl[Date],0))</f>
        <v>-25.8</v>
      </c>
      <c r="R747" s="2">
        <f ca="1">INDEX(INDIRECT(_xlfn.CONCAT("weather.tbl[",R$1,"]")),MATCH(vp.tbl[[#This Row],[SDate]],weather.tbl[Date],0))</f>
        <v>-22.3</v>
      </c>
      <c r="S747" s="2">
        <f ca="1">INDEX(INDIRECT(_xlfn.CONCAT("weather.tbl[",S$1,"]")),MATCH(vp.tbl[[#This Row],[SDate]],weather.tbl[Date],0))</f>
        <v>-25.5</v>
      </c>
      <c r="T747" s="2">
        <f ca="1">INDEX(INDIRECT(_xlfn.CONCAT("weather.tbl[",T$1,"]")),MATCH(vp.tbl[[#This Row],[SDate]],weather.tbl[Date],0))</f>
        <v>-24</v>
      </c>
      <c r="U747" s="2">
        <f ca="1">INDEX(INDIRECT(_xlfn.CONCAT("weather.tbl[",U$1,"]")),MATCH(vp.tbl[[#This Row],[SDate]],weather.tbl[Date],0))</f>
        <v>-22.8</v>
      </c>
      <c r="V747" s="2">
        <v>7093.32</v>
      </c>
      <c r="W747" t="s">
        <v>48</v>
      </c>
      <c r="X747">
        <f>IF(OR(vp.tbl[[#This Row],[Sulf]]="",vp.tbl[[#This Row],[Dens]]=""),1,0)</f>
        <v>0</v>
      </c>
      <c r="Y747">
        <f>IF(vp.tbl[[#This Row],[CrudeType]]="C5+",1,0)</f>
        <v>0</v>
      </c>
      <c r="Z747">
        <f>IF(AND(vp.tbl[[#This Row],[CrudeType]]="Crude",vp.tbl[[#This Row],[Dens]]&lt;=825,vp.tbl[[#This Row],[Sulf]]&gt;0.5,vp.tbl[[#This Row],[Unknown]]=0),1,0)</f>
        <v>0</v>
      </c>
      <c r="AA747">
        <f>IF(AND(vp.tbl[[#This Row],[CrudeType]]="Crude",vp.tbl[[#This Row],[Dens]]&lt;=825,vp.tbl[[#This Row],[Sulf]]&lt;=0.5,vp.tbl[[#This Row],[Unknown]]=0),1,0)</f>
        <v>0</v>
      </c>
      <c r="AB747">
        <f>IF(AND(vp.tbl[[#This Row],[CrudeType]]="Crude",vp.tbl[[#This Row],[Dens]]&gt;825,vp.tbl[[#This Row],[Dens]]&lt;=870,vp.tbl[[#This Row],[Sulf]]&gt;0.5,vp.tbl[[#This Row],[Unknown]]=0),1,0)</f>
        <v>1</v>
      </c>
      <c r="AC747">
        <f>IF(AND(vp.tbl[[#This Row],[CrudeType]]="Crude",vp.tbl[[#This Row],[Dens]]&gt;825,vp.tbl[[#This Row],[Dens]]&lt;=900,vp.tbl[[#This Row],[Sulf]]&lt;=0.5,vp.tbl[[#This Row],[Unknown]]=0),1,0)</f>
        <v>0</v>
      </c>
      <c r="AD747">
        <f>IF(AND(vp.tbl[[#This Row],[CrudeType]]="Crude",vp.tbl[[#This Row],[Dens]]&gt;870,vp.tbl[[#This Row],[Dens]]&lt;=900,vp.tbl[[#This Row],[Sulf]]&gt;0.5,vp.tbl[[#This Row],[Unknown]]=0),1,0)</f>
        <v>0</v>
      </c>
      <c r="AE747">
        <f>IF(AND(vp.tbl[[#This Row],[CrudeType]]="Crude",vp.tbl[[#This Row],[Dens]]&gt;900,vp.tbl[[#This Row],[Sulf]]&lt;=0.5,vp.tbl[[#This Row],[Unknown]]=0),1,0)</f>
        <v>0</v>
      </c>
      <c r="AF747">
        <f>IF(AND(vp.tbl[[#This Row],[CrudeType]]="Crude",vp.tbl[[#This Row],[Dens]]&gt;900,vp.tbl[[#This Row],[Sulf]]&lt;=0.5,vp.tbl[[#This Row],[Unknown]]=0),1,0)</f>
        <v>0</v>
      </c>
      <c r="AG747" t="str">
        <f>INDEX(vp.tbl[[#Headers],[Unknown]:[Heavy_SW]],MATCH(1,vp.tbl[[#This Row],[Unknown]:[Heavy_SW]],0))</f>
        <v>Medium_LSB</v>
      </c>
      <c r="AH747" t="e">
        <f>INDEX([1]!crudeBD.lkup[Number],MATCH(vp.tbl[[#This Row],[Crude_Breakdown]],[1]!crudeBD.lkup[Crude Breakdown],0))</f>
        <v>#REF!</v>
      </c>
      <c r="AI747">
        <f>MONTH(vp.tbl[[#This Row],[SDate]])</f>
        <v>2</v>
      </c>
      <c r="AJ747" s="5">
        <f>IFERROR(vp.tbl[[#This Row],[Sulf]]*vp.tbl[[#This Row],[Net Dens]],"")</f>
        <v>4292146.6520400001</v>
      </c>
      <c r="AK747" s="5">
        <f>IFERROR(vp.tbl[[#This Row],[Dens]]*vp.tbl[[#This Row],[VolumeM3]],"")</f>
        <v>5879652.9479999999</v>
      </c>
      <c r="AL747" s="5">
        <f>IFERROR(vp.tbl[[#This Row],[VP]]*vp.tbl[[#This Row],[VolumeM3]],"")</f>
        <v>568884.26399999997</v>
      </c>
      <c r="AM747" s="4">
        <f>IFERROR((vp.tbl[[#This Row],[VP]]-INDEX(crudeBD.lkup.complete[Mean_VP],MATCH(vp.tbl[[#This Row],[Crude_Breakdown]],crudeBD.lkup.complete[Crude Breakdown],0)))^2,"")</f>
        <v>6.9722736741116749E-4</v>
      </c>
      <c r="AN747" s="4">
        <f>IFERROR((vp.tbl[[#This Row],[Dens]]-INDEX(crudeBD.lkup.complete[Mean_Dens],MATCH(vp.tbl[[#This Row],[Crude_Breakdown]],crudeBD.lkup.complete[Crude Breakdown],0)))^2,"")</f>
        <v>268.69185420858889</v>
      </c>
      <c r="AO747" s="4">
        <f>IFERROR((vp.tbl[[#This Row],[Sulf]]-INDEX(crudeBD.lkup.complete[Mean_Sulf],MATCH(vp.tbl[[#This Row],[Crude_Breakdown]],crudeBD.lkup.complete[Crude Breakdown],0)))^2,"")</f>
        <v>0.5255233030207811</v>
      </c>
      <c r="AP747">
        <f>IF(AND(vp.tbl[[#This Row],[SDate]]&gt;=DATE(YEAR(vp.tbl[[#This Row],[SDate]]),5,1),vp.tbl[[#This Row],[SDate]]&lt;=DATE(YEAR(vp.tbl[[#This Row],[SDate]]),9,15)),1,0)</f>
        <v>0</v>
      </c>
      <c r="AQ747" s="15">
        <f>IF(vp.tbl[[#This Row],[SDate]]&lt;DATE(2016,12,1),0,1)</f>
        <v>1</v>
      </c>
    </row>
    <row r="748" spans="1:43" x14ac:dyDescent="0.25">
      <c r="A748">
        <v>747</v>
      </c>
      <c r="B748" t="s">
        <v>62</v>
      </c>
      <c r="C748" t="s">
        <v>62</v>
      </c>
      <c r="D748" t="s">
        <v>63</v>
      </c>
      <c r="F748" s="1">
        <v>42773</v>
      </c>
      <c r="G748" s="2">
        <v>93</v>
      </c>
      <c r="H748" s="2"/>
      <c r="I748" s="2">
        <v>1.53</v>
      </c>
      <c r="J748" s="2">
        <v>12.6</v>
      </c>
      <c r="K748" s="2">
        <v>-30</v>
      </c>
      <c r="L748" s="2">
        <v>840.2</v>
      </c>
      <c r="M748" s="2">
        <v>840.2</v>
      </c>
      <c r="N748" s="2">
        <f ca="1">INDEX(INDIRECT(_xlfn.CONCAT("weather.tbl[",N$1,"]")),MATCH(vp.tbl[[#This Row],[SDate]],weather.tbl[Date],0))</f>
        <v>-24.133333333333336</v>
      </c>
      <c r="O748" s="2">
        <f ca="1">INDEX(INDIRECT(_xlfn.CONCAT("weather.tbl[",O$1,"]")),MATCH(vp.tbl[[#This Row],[SDate]],weather.tbl[Date],0))</f>
        <v>-18.05952380952381</v>
      </c>
      <c r="P748" s="2">
        <f ca="1">INDEX(INDIRECT(_xlfn.CONCAT("weather.tbl[",P$1,"]")),MATCH(vp.tbl[[#This Row],[SDate]],weather.tbl[Date],0))</f>
        <v>-24.4</v>
      </c>
      <c r="Q748" s="2">
        <f ca="1">INDEX(INDIRECT(_xlfn.CONCAT("weather.tbl[",Q$1,"]")),MATCH(vp.tbl[[#This Row],[SDate]],weather.tbl[Date],0))</f>
        <v>-25.8</v>
      </c>
      <c r="R748" s="2">
        <f ca="1">INDEX(INDIRECT(_xlfn.CONCAT("weather.tbl[",R$1,"]")),MATCH(vp.tbl[[#This Row],[SDate]],weather.tbl[Date],0))</f>
        <v>-22.3</v>
      </c>
      <c r="S748" s="2">
        <f ca="1">INDEX(INDIRECT(_xlfn.CONCAT("weather.tbl[",S$1,"]")),MATCH(vp.tbl[[#This Row],[SDate]],weather.tbl[Date],0))</f>
        <v>-25.5</v>
      </c>
      <c r="T748" s="2">
        <f ca="1">INDEX(INDIRECT(_xlfn.CONCAT("weather.tbl[",T$1,"]")),MATCH(vp.tbl[[#This Row],[SDate]],weather.tbl[Date],0))</f>
        <v>-24</v>
      </c>
      <c r="U748" s="2">
        <f ca="1">INDEX(INDIRECT(_xlfn.CONCAT("weather.tbl[",U$1,"]")),MATCH(vp.tbl[[#This Row],[SDate]],weather.tbl[Date],0))</f>
        <v>-22.8</v>
      </c>
      <c r="V748" s="2">
        <v>4978.7389999999996</v>
      </c>
      <c r="W748" t="s">
        <v>48</v>
      </c>
      <c r="X748">
        <f>IF(OR(vp.tbl[[#This Row],[Sulf]]="",vp.tbl[[#This Row],[Dens]]=""),1,0)</f>
        <v>0</v>
      </c>
      <c r="Y748">
        <f>IF(vp.tbl[[#This Row],[CrudeType]]="C5+",1,0)</f>
        <v>0</v>
      </c>
      <c r="Z748">
        <f>IF(AND(vp.tbl[[#This Row],[CrudeType]]="Crude",vp.tbl[[#This Row],[Dens]]&lt;=825,vp.tbl[[#This Row],[Sulf]]&gt;0.5,vp.tbl[[#This Row],[Unknown]]=0),1,0)</f>
        <v>0</v>
      </c>
      <c r="AA748">
        <f>IF(AND(vp.tbl[[#This Row],[CrudeType]]="Crude",vp.tbl[[#This Row],[Dens]]&lt;=825,vp.tbl[[#This Row],[Sulf]]&lt;=0.5,vp.tbl[[#This Row],[Unknown]]=0),1,0)</f>
        <v>0</v>
      </c>
      <c r="AB748">
        <f>IF(AND(vp.tbl[[#This Row],[CrudeType]]="Crude",vp.tbl[[#This Row],[Dens]]&gt;825,vp.tbl[[#This Row],[Dens]]&lt;=870,vp.tbl[[#This Row],[Sulf]]&gt;0.5,vp.tbl[[#This Row],[Unknown]]=0),1,0)</f>
        <v>1</v>
      </c>
      <c r="AC748">
        <f>IF(AND(vp.tbl[[#This Row],[CrudeType]]="Crude",vp.tbl[[#This Row],[Dens]]&gt;825,vp.tbl[[#This Row],[Dens]]&lt;=900,vp.tbl[[#This Row],[Sulf]]&lt;=0.5,vp.tbl[[#This Row],[Unknown]]=0),1,0)</f>
        <v>0</v>
      </c>
      <c r="AD748">
        <f>IF(AND(vp.tbl[[#This Row],[CrudeType]]="Crude",vp.tbl[[#This Row],[Dens]]&gt;870,vp.tbl[[#This Row],[Dens]]&lt;=900,vp.tbl[[#This Row],[Sulf]]&gt;0.5,vp.tbl[[#This Row],[Unknown]]=0),1,0)</f>
        <v>0</v>
      </c>
      <c r="AE748">
        <f>IF(AND(vp.tbl[[#This Row],[CrudeType]]="Crude",vp.tbl[[#This Row],[Dens]]&gt;900,vp.tbl[[#This Row],[Sulf]]&lt;=0.5,vp.tbl[[#This Row],[Unknown]]=0),1,0)</f>
        <v>0</v>
      </c>
      <c r="AF748">
        <f>IF(AND(vp.tbl[[#This Row],[CrudeType]]="Crude",vp.tbl[[#This Row],[Dens]]&gt;900,vp.tbl[[#This Row],[Sulf]]&lt;=0.5,vp.tbl[[#This Row],[Unknown]]=0),1,0)</f>
        <v>0</v>
      </c>
      <c r="AG748" t="str">
        <f>INDEX(vp.tbl[[#Headers],[Unknown]:[Heavy_SW]],MATCH(1,vp.tbl[[#This Row],[Unknown]:[Heavy_SW]],0))</f>
        <v>Medium_LSB</v>
      </c>
      <c r="AH748" t="e">
        <f>INDEX([1]!crudeBD.lkup[Number],MATCH(vp.tbl[[#This Row],[Crude_Breakdown]],[1]!crudeBD.lkup[Crude Breakdown],0))</f>
        <v>#REF!</v>
      </c>
      <c r="AI748">
        <f>MONTH(vp.tbl[[#This Row],[SDate]])</f>
        <v>2</v>
      </c>
      <c r="AJ748" s="5">
        <f>IFERROR(vp.tbl[[#This Row],[Sulf]]*vp.tbl[[#This Row],[Net Dens]],"")</f>
        <v>6400198.8569339998</v>
      </c>
      <c r="AK748" s="5">
        <f>IFERROR(vp.tbl[[#This Row],[Dens]]*vp.tbl[[#This Row],[VolumeM3]],"")</f>
        <v>4183136.5077999998</v>
      </c>
      <c r="AL748" s="5">
        <f>IFERROR(vp.tbl[[#This Row],[VP]]*vp.tbl[[#This Row],[VolumeM3]],"")</f>
        <v>463022.72699999996</v>
      </c>
      <c r="AM748" s="4">
        <f>IFERROR((vp.tbl[[#This Row],[VP]]-INDEX(crudeBD.lkup.complete[Mean_VP],MATCH(vp.tbl[[#This Row],[Crude_Breakdown]],crudeBD.lkup.complete[Crude Breakdown],0)))^2,"")</f>
        <v>164.51666684762151</v>
      </c>
      <c r="AN748" s="4">
        <f>IFERROR((vp.tbl[[#This Row],[Dens]]-INDEX(crudeBD.lkup.complete[Mean_Dens],MATCH(vp.tbl[[#This Row],[Crude_Breakdown]],crudeBD.lkup.complete[Crude Breakdown],0)))^2,"")</f>
        <v>25.926659271901062</v>
      </c>
      <c r="AO748" s="4">
        <f>IFERROR((vp.tbl[[#This Row],[Sulf]]-INDEX(crudeBD.lkup.complete[Mean_Sulf],MATCH(vp.tbl[[#This Row],[Crude_Breakdown]],crudeBD.lkup.complete[Crude Breakdown],0)))^2,"")</f>
        <v>5.6355258055887899E-3</v>
      </c>
      <c r="AP748">
        <f>IF(AND(vp.tbl[[#This Row],[SDate]]&gt;=DATE(YEAR(vp.tbl[[#This Row],[SDate]]),5,1),vp.tbl[[#This Row],[SDate]]&lt;=DATE(YEAR(vp.tbl[[#This Row],[SDate]]),9,15)),1,0)</f>
        <v>0</v>
      </c>
      <c r="AQ748" s="15">
        <f>IF(vp.tbl[[#This Row],[SDate]]&lt;DATE(2016,12,1),0,1)</f>
        <v>1</v>
      </c>
    </row>
    <row r="749" spans="1:43" x14ac:dyDescent="0.25">
      <c r="A749">
        <v>748</v>
      </c>
      <c r="B749" t="s">
        <v>51</v>
      </c>
      <c r="C749" t="s">
        <v>51</v>
      </c>
      <c r="D749" t="s">
        <v>95</v>
      </c>
      <c r="F749" s="1">
        <v>42773</v>
      </c>
      <c r="G749" s="2">
        <v>67.400000000000006</v>
      </c>
      <c r="H749" s="2"/>
      <c r="I749" s="2">
        <v>1.2</v>
      </c>
      <c r="J749" s="2">
        <v>33.799999999999997</v>
      </c>
      <c r="K749" s="2">
        <v>-30</v>
      </c>
      <c r="L749" s="2">
        <v>843.3</v>
      </c>
      <c r="M749" s="2">
        <v>843.3</v>
      </c>
      <c r="N749" s="2">
        <f ca="1">INDEX(INDIRECT(_xlfn.CONCAT("weather.tbl[",N$1,"]")),MATCH(vp.tbl[[#This Row],[SDate]],weather.tbl[Date],0))</f>
        <v>-24.133333333333336</v>
      </c>
      <c r="O749" s="2">
        <f ca="1">INDEX(INDIRECT(_xlfn.CONCAT("weather.tbl[",O$1,"]")),MATCH(vp.tbl[[#This Row],[SDate]],weather.tbl[Date],0))</f>
        <v>-18.05952380952381</v>
      </c>
      <c r="P749" s="2">
        <f ca="1">INDEX(INDIRECT(_xlfn.CONCAT("weather.tbl[",P$1,"]")),MATCH(vp.tbl[[#This Row],[SDate]],weather.tbl[Date],0))</f>
        <v>-24.4</v>
      </c>
      <c r="Q749" s="2">
        <f ca="1">INDEX(INDIRECT(_xlfn.CONCAT("weather.tbl[",Q$1,"]")),MATCH(vp.tbl[[#This Row],[SDate]],weather.tbl[Date],0))</f>
        <v>-25.8</v>
      </c>
      <c r="R749" s="2">
        <f ca="1">INDEX(INDIRECT(_xlfn.CONCAT("weather.tbl[",R$1,"]")),MATCH(vp.tbl[[#This Row],[SDate]],weather.tbl[Date],0))</f>
        <v>-22.3</v>
      </c>
      <c r="S749" s="2">
        <f ca="1">INDEX(INDIRECT(_xlfn.CONCAT("weather.tbl[",S$1,"]")),MATCH(vp.tbl[[#This Row],[SDate]],weather.tbl[Date],0))</f>
        <v>-25.5</v>
      </c>
      <c r="T749" s="2">
        <f ca="1">INDEX(INDIRECT(_xlfn.CONCAT("weather.tbl[",T$1,"]")),MATCH(vp.tbl[[#This Row],[SDate]],weather.tbl[Date],0))</f>
        <v>-24</v>
      </c>
      <c r="U749" s="2">
        <f ca="1">INDEX(INDIRECT(_xlfn.CONCAT("weather.tbl[",U$1,"]")),MATCH(vp.tbl[[#This Row],[SDate]],weather.tbl[Date],0))</f>
        <v>-22.8</v>
      </c>
      <c r="V749" s="2">
        <v>6151.1620000000003</v>
      </c>
      <c r="W749" t="s">
        <v>48</v>
      </c>
      <c r="X749">
        <f>IF(OR(vp.tbl[[#This Row],[Sulf]]="",vp.tbl[[#This Row],[Dens]]=""),1,0)</f>
        <v>0</v>
      </c>
      <c r="Y749">
        <f>IF(vp.tbl[[#This Row],[CrudeType]]="C5+",1,0)</f>
        <v>0</v>
      </c>
      <c r="Z749">
        <f>IF(AND(vp.tbl[[#This Row],[CrudeType]]="Crude",vp.tbl[[#This Row],[Dens]]&lt;=825,vp.tbl[[#This Row],[Sulf]]&gt;0.5,vp.tbl[[#This Row],[Unknown]]=0),1,0)</f>
        <v>0</v>
      </c>
      <c r="AA749">
        <f>IF(AND(vp.tbl[[#This Row],[CrudeType]]="Crude",vp.tbl[[#This Row],[Dens]]&lt;=825,vp.tbl[[#This Row],[Sulf]]&lt;=0.5,vp.tbl[[#This Row],[Unknown]]=0),1,0)</f>
        <v>0</v>
      </c>
      <c r="AB749">
        <f>IF(AND(vp.tbl[[#This Row],[CrudeType]]="Crude",vp.tbl[[#This Row],[Dens]]&gt;825,vp.tbl[[#This Row],[Dens]]&lt;=870,vp.tbl[[#This Row],[Sulf]]&gt;0.5,vp.tbl[[#This Row],[Unknown]]=0),1,0)</f>
        <v>1</v>
      </c>
      <c r="AC749">
        <f>IF(AND(vp.tbl[[#This Row],[CrudeType]]="Crude",vp.tbl[[#This Row],[Dens]]&gt;825,vp.tbl[[#This Row],[Dens]]&lt;=900,vp.tbl[[#This Row],[Sulf]]&lt;=0.5,vp.tbl[[#This Row],[Unknown]]=0),1,0)</f>
        <v>0</v>
      </c>
      <c r="AD749">
        <f>IF(AND(vp.tbl[[#This Row],[CrudeType]]="Crude",vp.tbl[[#This Row],[Dens]]&gt;870,vp.tbl[[#This Row],[Dens]]&lt;=900,vp.tbl[[#This Row],[Sulf]]&gt;0.5,vp.tbl[[#This Row],[Unknown]]=0),1,0)</f>
        <v>0</v>
      </c>
      <c r="AE749">
        <f>IF(AND(vp.tbl[[#This Row],[CrudeType]]="Crude",vp.tbl[[#This Row],[Dens]]&gt;900,vp.tbl[[#This Row],[Sulf]]&lt;=0.5,vp.tbl[[#This Row],[Unknown]]=0),1,0)</f>
        <v>0</v>
      </c>
      <c r="AF749">
        <f>IF(AND(vp.tbl[[#This Row],[CrudeType]]="Crude",vp.tbl[[#This Row],[Dens]]&gt;900,vp.tbl[[#This Row],[Sulf]]&lt;=0.5,vp.tbl[[#This Row],[Unknown]]=0),1,0)</f>
        <v>0</v>
      </c>
      <c r="AG749" t="str">
        <f>INDEX(vp.tbl[[#Headers],[Unknown]:[Heavy_SW]],MATCH(1,vp.tbl[[#This Row],[Unknown]:[Heavy_SW]],0))</f>
        <v>Medium_LSB</v>
      </c>
      <c r="AH749" t="e">
        <f>INDEX([1]!crudeBD.lkup[Number],MATCH(vp.tbl[[#This Row],[Crude_Breakdown]],[1]!crudeBD.lkup[Crude Breakdown],0))</f>
        <v>#REF!</v>
      </c>
      <c r="AI749">
        <f>MONTH(vp.tbl[[#This Row],[SDate]])</f>
        <v>2</v>
      </c>
      <c r="AJ749" s="5">
        <f>IFERROR(vp.tbl[[#This Row],[Sulf]]*vp.tbl[[#This Row],[Net Dens]],"")</f>
        <v>6224729.8975199992</v>
      </c>
      <c r="AK749" s="5">
        <f>IFERROR(vp.tbl[[#This Row],[Dens]]*vp.tbl[[#This Row],[VolumeM3]],"")</f>
        <v>5187274.9145999998</v>
      </c>
      <c r="AL749" s="5">
        <f>IFERROR(vp.tbl[[#This Row],[VP]]*vp.tbl[[#This Row],[VolumeM3]],"")</f>
        <v>414588.31880000007</v>
      </c>
      <c r="AM749" s="4">
        <f>IFERROR((vp.tbl[[#This Row],[VP]]-INDEX(crudeBD.lkup.complete[Mean_VP],MATCH(vp.tbl[[#This Row],[Crude_Breakdown]],crudeBD.lkup.complete[Crude Breakdown],0)))^2,"")</f>
        <v>163.16472760711315</v>
      </c>
      <c r="AN749" s="4">
        <f>IFERROR((vp.tbl[[#This Row],[Dens]]-INDEX(crudeBD.lkup.complete[Mean_Dens],MATCH(vp.tbl[[#This Row],[Crude_Breakdown]],crudeBD.lkup.complete[Crude Breakdown],0)))^2,"")</f>
        <v>3.9673580060850266</v>
      </c>
      <c r="AO749" s="4">
        <f>IFERROR((vp.tbl[[#This Row],[Sulf]]-INDEX(crudeBD.lkup.complete[Mean_Sulf],MATCH(vp.tbl[[#This Row],[Crude_Breakdown]],crudeBD.lkup.complete[Crude Breakdown],0)))^2,"")</f>
        <v>6.4989233906855612E-2</v>
      </c>
      <c r="AP749">
        <f>IF(AND(vp.tbl[[#This Row],[SDate]]&gt;=DATE(YEAR(vp.tbl[[#This Row],[SDate]]),5,1),vp.tbl[[#This Row],[SDate]]&lt;=DATE(YEAR(vp.tbl[[#This Row],[SDate]]),9,15)),1,0)</f>
        <v>0</v>
      </c>
      <c r="AQ749" s="15">
        <f>IF(vp.tbl[[#This Row],[SDate]]&lt;DATE(2016,12,1),0,1)</f>
        <v>1</v>
      </c>
    </row>
    <row r="750" spans="1:43" x14ac:dyDescent="0.25">
      <c r="A750">
        <v>749</v>
      </c>
      <c r="B750" t="s">
        <v>68</v>
      </c>
      <c r="C750" t="s">
        <v>68</v>
      </c>
      <c r="D750" t="s">
        <v>69</v>
      </c>
      <c r="F750" s="1">
        <v>42773</v>
      </c>
      <c r="G750" s="2">
        <v>82.3</v>
      </c>
      <c r="H750" s="2"/>
      <c r="I750" s="2">
        <v>1.74</v>
      </c>
      <c r="J750" s="2">
        <v>10.6</v>
      </c>
      <c r="K750" s="2">
        <v>-30</v>
      </c>
      <c r="L750" s="2">
        <v>862.2</v>
      </c>
      <c r="M750" s="2">
        <v>862.2</v>
      </c>
      <c r="N750" s="2">
        <f ca="1">INDEX(INDIRECT(_xlfn.CONCAT("weather.tbl[",N$1,"]")),MATCH(vp.tbl[[#This Row],[SDate]],weather.tbl[Date],0))</f>
        <v>-24.133333333333336</v>
      </c>
      <c r="O750" s="2">
        <f ca="1">INDEX(INDIRECT(_xlfn.CONCAT("weather.tbl[",O$1,"]")),MATCH(vp.tbl[[#This Row],[SDate]],weather.tbl[Date],0))</f>
        <v>-18.05952380952381</v>
      </c>
      <c r="P750" s="2">
        <f ca="1">INDEX(INDIRECT(_xlfn.CONCAT("weather.tbl[",P$1,"]")),MATCH(vp.tbl[[#This Row],[SDate]],weather.tbl[Date],0))</f>
        <v>-24.4</v>
      </c>
      <c r="Q750" s="2">
        <f ca="1">INDEX(INDIRECT(_xlfn.CONCAT("weather.tbl[",Q$1,"]")),MATCH(vp.tbl[[#This Row],[SDate]],weather.tbl[Date],0))</f>
        <v>-25.8</v>
      </c>
      <c r="R750" s="2">
        <f ca="1">INDEX(INDIRECT(_xlfn.CONCAT("weather.tbl[",R$1,"]")),MATCH(vp.tbl[[#This Row],[SDate]],weather.tbl[Date],0))</f>
        <v>-22.3</v>
      </c>
      <c r="S750" s="2">
        <f ca="1">INDEX(INDIRECT(_xlfn.CONCAT("weather.tbl[",S$1,"]")),MATCH(vp.tbl[[#This Row],[SDate]],weather.tbl[Date],0))</f>
        <v>-25.5</v>
      </c>
      <c r="T750" s="2">
        <f ca="1">INDEX(INDIRECT(_xlfn.CONCAT("weather.tbl[",T$1,"]")),MATCH(vp.tbl[[#This Row],[SDate]],weather.tbl[Date],0))</f>
        <v>-24</v>
      </c>
      <c r="U750" s="2">
        <f ca="1">INDEX(INDIRECT(_xlfn.CONCAT("weather.tbl[",U$1,"]")),MATCH(vp.tbl[[#This Row],[SDate]],weather.tbl[Date],0))</f>
        <v>-22.8</v>
      </c>
      <c r="V750" s="2">
        <v>1332.451</v>
      </c>
      <c r="W750" t="s">
        <v>48</v>
      </c>
      <c r="X750">
        <f>IF(OR(vp.tbl[[#This Row],[Sulf]]="",vp.tbl[[#This Row],[Dens]]=""),1,0)</f>
        <v>0</v>
      </c>
      <c r="Y750">
        <f>IF(vp.tbl[[#This Row],[CrudeType]]="C5+",1,0)</f>
        <v>0</v>
      </c>
      <c r="Z750">
        <f>IF(AND(vp.tbl[[#This Row],[CrudeType]]="Crude",vp.tbl[[#This Row],[Dens]]&lt;=825,vp.tbl[[#This Row],[Sulf]]&gt;0.5,vp.tbl[[#This Row],[Unknown]]=0),1,0)</f>
        <v>0</v>
      </c>
      <c r="AA750">
        <f>IF(AND(vp.tbl[[#This Row],[CrudeType]]="Crude",vp.tbl[[#This Row],[Dens]]&lt;=825,vp.tbl[[#This Row],[Sulf]]&lt;=0.5,vp.tbl[[#This Row],[Unknown]]=0),1,0)</f>
        <v>0</v>
      </c>
      <c r="AB750">
        <f>IF(AND(vp.tbl[[#This Row],[CrudeType]]="Crude",vp.tbl[[#This Row],[Dens]]&gt;825,vp.tbl[[#This Row],[Dens]]&lt;=870,vp.tbl[[#This Row],[Sulf]]&gt;0.5,vp.tbl[[#This Row],[Unknown]]=0),1,0)</f>
        <v>1</v>
      </c>
      <c r="AC750">
        <f>IF(AND(vp.tbl[[#This Row],[CrudeType]]="Crude",vp.tbl[[#This Row],[Dens]]&gt;825,vp.tbl[[#This Row],[Dens]]&lt;=900,vp.tbl[[#This Row],[Sulf]]&lt;=0.5,vp.tbl[[#This Row],[Unknown]]=0),1,0)</f>
        <v>0</v>
      </c>
      <c r="AD750">
        <f>IF(AND(vp.tbl[[#This Row],[CrudeType]]="Crude",vp.tbl[[#This Row],[Dens]]&gt;870,vp.tbl[[#This Row],[Dens]]&lt;=900,vp.tbl[[#This Row],[Sulf]]&gt;0.5,vp.tbl[[#This Row],[Unknown]]=0),1,0)</f>
        <v>0</v>
      </c>
      <c r="AE750">
        <f>IF(AND(vp.tbl[[#This Row],[CrudeType]]="Crude",vp.tbl[[#This Row],[Dens]]&gt;900,vp.tbl[[#This Row],[Sulf]]&lt;=0.5,vp.tbl[[#This Row],[Unknown]]=0),1,0)</f>
        <v>0</v>
      </c>
      <c r="AF750">
        <f>IF(AND(vp.tbl[[#This Row],[CrudeType]]="Crude",vp.tbl[[#This Row],[Dens]]&gt;900,vp.tbl[[#This Row],[Sulf]]&lt;=0.5,vp.tbl[[#This Row],[Unknown]]=0),1,0)</f>
        <v>0</v>
      </c>
      <c r="AG750" t="str">
        <f>INDEX(vp.tbl[[#Headers],[Unknown]:[Heavy_SW]],MATCH(1,vp.tbl[[#This Row],[Unknown]:[Heavy_SW]],0))</f>
        <v>Medium_LSB</v>
      </c>
      <c r="AH750" t="e">
        <f>INDEX([1]!crudeBD.lkup[Number],MATCH(vp.tbl[[#This Row],[Crude_Breakdown]],[1]!crudeBD.lkup[Crude Breakdown],0))</f>
        <v>#REF!</v>
      </c>
      <c r="AI750">
        <f>MONTH(vp.tbl[[#This Row],[SDate]])</f>
        <v>2</v>
      </c>
      <c r="AJ750" s="5">
        <f>IFERROR(vp.tbl[[#This Row],[Sulf]]*vp.tbl[[#This Row],[Net Dens]],"")</f>
        <v>1998980.298828</v>
      </c>
      <c r="AK750" s="5">
        <f>IFERROR(vp.tbl[[#This Row],[Dens]]*vp.tbl[[#This Row],[VolumeM3]],"")</f>
        <v>1148839.2522</v>
      </c>
      <c r="AL750" s="5">
        <f>IFERROR(vp.tbl[[#This Row],[VP]]*vp.tbl[[#This Row],[VolumeM3]],"")</f>
        <v>109660.7173</v>
      </c>
      <c r="AM750" s="4">
        <f>IFERROR((vp.tbl[[#This Row],[VP]]-INDEX(crudeBD.lkup.complete[Mean_VP],MATCH(vp.tbl[[#This Row],[Crude_Breakdown]],crudeBD.lkup.complete[Crude Breakdown],0)))^2,"")</f>
        <v>4.5215984931903384</v>
      </c>
      <c r="AN750" s="4">
        <f>IFERROR((vp.tbl[[#This Row],[Dens]]-INDEX(crudeBD.lkup.complete[Mean_Dens],MATCH(vp.tbl[[#This Row],[Crude_Breakdown]],crudeBD.lkup.complete[Crude Breakdown],0)))^2,"")</f>
        <v>285.88645674030084</v>
      </c>
      <c r="AO750" s="4">
        <f>IFERROR((vp.tbl[[#This Row],[Sulf]]-INDEX(crudeBD.lkup.complete[Mean_Sulf],MATCH(vp.tbl[[#This Row],[Crude_Breakdown]],crudeBD.lkup.complete[Crude Breakdown],0)))^2,"")</f>
        <v>8.1264984286600811E-2</v>
      </c>
      <c r="AP750">
        <f>IF(AND(vp.tbl[[#This Row],[SDate]]&gt;=DATE(YEAR(vp.tbl[[#This Row],[SDate]]),5,1),vp.tbl[[#This Row],[SDate]]&lt;=DATE(YEAR(vp.tbl[[#This Row],[SDate]]),9,15)),1,0)</f>
        <v>0</v>
      </c>
      <c r="AQ750" s="15">
        <f>IF(vp.tbl[[#This Row],[SDate]]&lt;DATE(2016,12,1),0,1)</f>
        <v>1</v>
      </c>
    </row>
    <row r="751" spans="1:43" x14ac:dyDescent="0.25">
      <c r="A751">
        <v>750</v>
      </c>
      <c r="B751" t="s">
        <v>60</v>
      </c>
      <c r="C751" t="s">
        <v>60</v>
      </c>
      <c r="D751" t="s">
        <v>61</v>
      </c>
      <c r="E751" t="s">
        <v>73</v>
      </c>
      <c r="F751" s="1">
        <v>42773</v>
      </c>
      <c r="G751" s="2">
        <v>75.400000000000006</v>
      </c>
      <c r="H751" s="2">
        <v>1.3759999999999999</v>
      </c>
      <c r="I751" s="2">
        <v>1.3759999999999999</v>
      </c>
      <c r="J751" s="2">
        <v>5.6</v>
      </c>
      <c r="K751" s="2">
        <v>-30</v>
      </c>
      <c r="L751" s="2">
        <v>855.7</v>
      </c>
      <c r="M751" s="2">
        <v>855.7</v>
      </c>
      <c r="N751" s="2">
        <f ca="1">INDEX(INDIRECT(_xlfn.CONCAT("weather.tbl[",N$1,"]")),MATCH(vp.tbl[[#This Row],[SDate]],weather.tbl[Date],0))</f>
        <v>-24.133333333333336</v>
      </c>
      <c r="O751" s="2">
        <f ca="1">INDEX(INDIRECT(_xlfn.CONCAT("weather.tbl[",O$1,"]")),MATCH(vp.tbl[[#This Row],[SDate]],weather.tbl[Date],0))</f>
        <v>-18.05952380952381</v>
      </c>
      <c r="P751" s="2">
        <f ca="1">INDEX(INDIRECT(_xlfn.CONCAT("weather.tbl[",P$1,"]")),MATCH(vp.tbl[[#This Row],[SDate]],weather.tbl[Date],0))</f>
        <v>-24.4</v>
      </c>
      <c r="Q751" s="2">
        <f ca="1">INDEX(INDIRECT(_xlfn.CONCAT("weather.tbl[",Q$1,"]")),MATCH(vp.tbl[[#This Row],[SDate]],weather.tbl[Date],0))</f>
        <v>-25.8</v>
      </c>
      <c r="R751" s="2">
        <f ca="1">INDEX(INDIRECT(_xlfn.CONCAT("weather.tbl[",R$1,"]")),MATCH(vp.tbl[[#This Row],[SDate]],weather.tbl[Date],0))</f>
        <v>-22.3</v>
      </c>
      <c r="S751" s="2">
        <f ca="1">INDEX(INDIRECT(_xlfn.CONCAT("weather.tbl[",S$1,"]")),MATCH(vp.tbl[[#This Row],[SDate]],weather.tbl[Date],0))</f>
        <v>-25.5</v>
      </c>
      <c r="T751" s="2">
        <f ca="1">INDEX(INDIRECT(_xlfn.CONCAT("weather.tbl[",T$1,"]")),MATCH(vp.tbl[[#This Row],[SDate]],weather.tbl[Date],0))</f>
        <v>-24</v>
      </c>
      <c r="U751" s="2">
        <f ca="1">INDEX(INDIRECT(_xlfn.CONCAT("weather.tbl[",U$1,"]")),MATCH(vp.tbl[[#This Row],[SDate]],weather.tbl[Date],0))</f>
        <v>-22.8</v>
      </c>
      <c r="V751" s="2">
        <v>96501.951000000001</v>
      </c>
      <c r="W751" t="s">
        <v>48</v>
      </c>
      <c r="X751">
        <f>IF(OR(vp.tbl[[#This Row],[Sulf]]="",vp.tbl[[#This Row],[Dens]]=""),1,0)</f>
        <v>0</v>
      </c>
      <c r="Y751">
        <f>IF(vp.tbl[[#This Row],[CrudeType]]="C5+",1,0)</f>
        <v>0</v>
      </c>
      <c r="Z751">
        <f>IF(AND(vp.tbl[[#This Row],[CrudeType]]="Crude",vp.tbl[[#This Row],[Dens]]&lt;=825,vp.tbl[[#This Row],[Sulf]]&gt;0.5,vp.tbl[[#This Row],[Unknown]]=0),1,0)</f>
        <v>0</v>
      </c>
      <c r="AA751">
        <f>IF(AND(vp.tbl[[#This Row],[CrudeType]]="Crude",vp.tbl[[#This Row],[Dens]]&lt;=825,vp.tbl[[#This Row],[Sulf]]&lt;=0.5,vp.tbl[[#This Row],[Unknown]]=0),1,0)</f>
        <v>0</v>
      </c>
      <c r="AB751">
        <f>IF(AND(vp.tbl[[#This Row],[CrudeType]]="Crude",vp.tbl[[#This Row],[Dens]]&gt;825,vp.tbl[[#This Row],[Dens]]&lt;=870,vp.tbl[[#This Row],[Sulf]]&gt;0.5,vp.tbl[[#This Row],[Unknown]]=0),1,0)</f>
        <v>1</v>
      </c>
      <c r="AC751">
        <f>IF(AND(vp.tbl[[#This Row],[CrudeType]]="Crude",vp.tbl[[#This Row],[Dens]]&gt;825,vp.tbl[[#This Row],[Dens]]&lt;=900,vp.tbl[[#This Row],[Sulf]]&lt;=0.5,vp.tbl[[#This Row],[Unknown]]=0),1,0)</f>
        <v>0</v>
      </c>
      <c r="AD751">
        <f>IF(AND(vp.tbl[[#This Row],[CrudeType]]="Crude",vp.tbl[[#This Row],[Dens]]&gt;870,vp.tbl[[#This Row],[Dens]]&lt;=900,vp.tbl[[#This Row],[Sulf]]&gt;0.5,vp.tbl[[#This Row],[Unknown]]=0),1,0)</f>
        <v>0</v>
      </c>
      <c r="AE751">
        <f>IF(AND(vp.tbl[[#This Row],[CrudeType]]="Crude",vp.tbl[[#This Row],[Dens]]&gt;900,vp.tbl[[#This Row],[Sulf]]&lt;=0.5,vp.tbl[[#This Row],[Unknown]]=0),1,0)</f>
        <v>0</v>
      </c>
      <c r="AF751">
        <f>IF(AND(vp.tbl[[#This Row],[CrudeType]]="Crude",vp.tbl[[#This Row],[Dens]]&gt;900,vp.tbl[[#This Row],[Sulf]]&lt;=0.5,vp.tbl[[#This Row],[Unknown]]=0),1,0)</f>
        <v>0</v>
      </c>
      <c r="AG751" t="str">
        <f>INDEX(vp.tbl[[#Headers],[Unknown]:[Heavy_SW]],MATCH(1,vp.tbl[[#This Row],[Unknown]:[Heavy_SW]],0))</f>
        <v>Medium_LSB</v>
      </c>
      <c r="AH751" t="e">
        <f>INDEX([1]!crudeBD.lkup[Number],MATCH(vp.tbl[[#This Row],[Crude_Breakdown]],[1]!crudeBD.lkup[Crude Breakdown],0))</f>
        <v>#REF!</v>
      </c>
      <c r="AI751">
        <f>MONTH(vp.tbl[[#This Row],[SDate]])</f>
        <v>2</v>
      </c>
      <c r="AJ751" s="5">
        <f>IFERROR(vp.tbl[[#This Row],[Sulf]]*vp.tbl[[#This Row],[Net Dens]],"")</f>
        <v>113625565.9916832</v>
      </c>
      <c r="AK751" s="5">
        <f>IFERROR(vp.tbl[[#This Row],[Dens]]*vp.tbl[[#This Row],[VolumeM3]],"")</f>
        <v>82576719.470700011</v>
      </c>
      <c r="AL751" s="5">
        <f>IFERROR(vp.tbl[[#This Row],[VP]]*vp.tbl[[#This Row],[VolumeM3]],"")</f>
        <v>7276247.1054000007</v>
      </c>
      <c r="AM751" s="4">
        <f>IFERROR((vp.tbl[[#This Row],[VP]]-INDEX(crudeBD.lkup.complete[Mean_VP],MATCH(vp.tbl[[#This Row],[Crude_Breakdown]],crudeBD.lkup.complete[Crude Breakdown],0)))^2,"")</f>
        <v>22.787208619772066</v>
      </c>
      <c r="AN751" s="4">
        <f>IFERROR((vp.tbl[[#This Row],[Dens]]-INDEX(crudeBD.lkup.complete[Mean_Dens],MATCH(vp.tbl[[#This Row],[Crude_Breakdown]],crudeBD.lkup.complete[Crude Breakdown],0)))^2,"")</f>
        <v>108.33015294281907</v>
      </c>
      <c r="AO751" s="4">
        <f>IFERROR((vp.tbl[[#This Row],[Sulf]]-INDEX(crudeBD.lkup.complete[Mean_Sulf],MATCH(vp.tbl[[#This Row],[Crude_Breakdown]],crudeBD.lkup.complete[Crude Breakdown],0)))^2,"")</f>
        <v>6.2299229195133098E-3</v>
      </c>
      <c r="AP751">
        <f>IF(AND(vp.tbl[[#This Row],[SDate]]&gt;=DATE(YEAR(vp.tbl[[#This Row],[SDate]]),5,1),vp.tbl[[#This Row],[SDate]]&lt;=DATE(YEAR(vp.tbl[[#This Row],[SDate]]),9,15)),1,0)</f>
        <v>0</v>
      </c>
      <c r="AQ751" s="15">
        <f>IF(vp.tbl[[#This Row],[SDate]]&lt;DATE(2016,12,1),0,1)</f>
        <v>1</v>
      </c>
    </row>
    <row r="752" spans="1:43" x14ac:dyDescent="0.25">
      <c r="A752">
        <v>751</v>
      </c>
      <c r="B752" t="s">
        <v>60</v>
      </c>
      <c r="C752" t="s">
        <v>60</v>
      </c>
      <c r="D752" t="s">
        <v>61</v>
      </c>
      <c r="E752" t="s">
        <v>55</v>
      </c>
      <c r="F752" s="1">
        <v>42773</v>
      </c>
      <c r="G752" s="2">
        <v>93.9</v>
      </c>
      <c r="H752" s="2">
        <v>1.256</v>
      </c>
      <c r="I752" s="2">
        <v>1.256</v>
      </c>
      <c r="J752" s="2">
        <v>4.5</v>
      </c>
      <c r="K752" s="2">
        <v>-30</v>
      </c>
      <c r="L752" s="2">
        <v>842.2</v>
      </c>
      <c r="M752" s="2">
        <v>842.2</v>
      </c>
      <c r="N752" s="2">
        <f ca="1">INDEX(INDIRECT(_xlfn.CONCAT("weather.tbl[",N$1,"]")),MATCH(vp.tbl[[#This Row],[SDate]],weather.tbl[Date],0))</f>
        <v>-24.133333333333336</v>
      </c>
      <c r="O752" s="2">
        <f ca="1">INDEX(INDIRECT(_xlfn.CONCAT("weather.tbl[",O$1,"]")),MATCH(vp.tbl[[#This Row],[SDate]],weather.tbl[Date],0))</f>
        <v>-18.05952380952381</v>
      </c>
      <c r="P752" s="2">
        <f ca="1">INDEX(INDIRECT(_xlfn.CONCAT("weather.tbl[",P$1,"]")),MATCH(vp.tbl[[#This Row],[SDate]],weather.tbl[Date],0))</f>
        <v>-24.4</v>
      </c>
      <c r="Q752" s="2">
        <f ca="1">INDEX(INDIRECT(_xlfn.CONCAT("weather.tbl[",Q$1,"]")),MATCH(vp.tbl[[#This Row],[SDate]],weather.tbl[Date],0))</f>
        <v>-25.8</v>
      </c>
      <c r="R752" s="2">
        <f ca="1">INDEX(INDIRECT(_xlfn.CONCAT("weather.tbl[",R$1,"]")),MATCH(vp.tbl[[#This Row],[SDate]],weather.tbl[Date],0))</f>
        <v>-22.3</v>
      </c>
      <c r="S752" s="2">
        <f ca="1">INDEX(INDIRECT(_xlfn.CONCAT("weather.tbl[",S$1,"]")),MATCH(vp.tbl[[#This Row],[SDate]],weather.tbl[Date],0))</f>
        <v>-25.5</v>
      </c>
      <c r="T752" s="2">
        <f ca="1">INDEX(INDIRECT(_xlfn.CONCAT("weather.tbl[",T$1,"]")),MATCH(vp.tbl[[#This Row],[SDate]],weather.tbl[Date],0))</f>
        <v>-24</v>
      </c>
      <c r="U752" s="2">
        <f ca="1">INDEX(INDIRECT(_xlfn.CONCAT("weather.tbl[",U$1,"]")),MATCH(vp.tbl[[#This Row],[SDate]],weather.tbl[Date],0))</f>
        <v>-22.8</v>
      </c>
      <c r="V752" s="2">
        <v>96501.951000000001</v>
      </c>
      <c r="W752" t="s">
        <v>48</v>
      </c>
      <c r="X752">
        <f>IF(OR(vp.tbl[[#This Row],[Sulf]]="",vp.tbl[[#This Row],[Dens]]=""),1,0)</f>
        <v>0</v>
      </c>
      <c r="Y752">
        <f>IF(vp.tbl[[#This Row],[CrudeType]]="C5+",1,0)</f>
        <v>0</v>
      </c>
      <c r="Z752">
        <f>IF(AND(vp.tbl[[#This Row],[CrudeType]]="Crude",vp.tbl[[#This Row],[Dens]]&lt;=825,vp.tbl[[#This Row],[Sulf]]&gt;0.5,vp.tbl[[#This Row],[Unknown]]=0),1,0)</f>
        <v>0</v>
      </c>
      <c r="AA752">
        <f>IF(AND(vp.tbl[[#This Row],[CrudeType]]="Crude",vp.tbl[[#This Row],[Dens]]&lt;=825,vp.tbl[[#This Row],[Sulf]]&lt;=0.5,vp.tbl[[#This Row],[Unknown]]=0),1,0)</f>
        <v>0</v>
      </c>
      <c r="AB752">
        <f>IF(AND(vp.tbl[[#This Row],[CrudeType]]="Crude",vp.tbl[[#This Row],[Dens]]&gt;825,vp.tbl[[#This Row],[Dens]]&lt;=870,vp.tbl[[#This Row],[Sulf]]&gt;0.5,vp.tbl[[#This Row],[Unknown]]=0),1,0)</f>
        <v>1</v>
      </c>
      <c r="AC752">
        <f>IF(AND(vp.tbl[[#This Row],[CrudeType]]="Crude",vp.tbl[[#This Row],[Dens]]&gt;825,vp.tbl[[#This Row],[Dens]]&lt;=900,vp.tbl[[#This Row],[Sulf]]&lt;=0.5,vp.tbl[[#This Row],[Unknown]]=0),1,0)</f>
        <v>0</v>
      </c>
      <c r="AD752">
        <f>IF(AND(vp.tbl[[#This Row],[CrudeType]]="Crude",vp.tbl[[#This Row],[Dens]]&gt;870,vp.tbl[[#This Row],[Dens]]&lt;=900,vp.tbl[[#This Row],[Sulf]]&gt;0.5,vp.tbl[[#This Row],[Unknown]]=0),1,0)</f>
        <v>0</v>
      </c>
      <c r="AE752">
        <f>IF(AND(vp.tbl[[#This Row],[CrudeType]]="Crude",vp.tbl[[#This Row],[Dens]]&gt;900,vp.tbl[[#This Row],[Sulf]]&lt;=0.5,vp.tbl[[#This Row],[Unknown]]=0),1,0)</f>
        <v>0</v>
      </c>
      <c r="AF752">
        <f>IF(AND(vp.tbl[[#This Row],[CrudeType]]="Crude",vp.tbl[[#This Row],[Dens]]&gt;900,vp.tbl[[#This Row],[Sulf]]&lt;=0.5,vp.tbl[[#This Row],[Unknown]]=0),1,0)</f>
        <v>0</v>
      </c>
      <c r="AG752" t="str">
        <f>INDEX(vp.tbl[[#Headers],[Unknown]:[Heavy_SW]],MATCH(1,vp.tbl[[#This Row],[Unknown]:[Heavy_SW]],0))</f>
        <v>Medium_LSB</v>
      </c>
      <c r="AH752" t="e">
        <f>INDEX([1]!crudeBD.lkup[Number],MATCH(vp.tbl[[#This Row],[Crude_Breakdown]],[1]!crudeBD.lkup[Crude Breakdown],0))</f>
        <v>#REF!</v>
      </c>
      <c r="AI752">
        <f>MONTH(vp.tbl[[#This Row],[SDate]])</f>
        <v>2</v>
      </c>
      <c r="AJ752" s="5">
        <f>IFERROR(vp.tbl[[#This Row],[Sulf]]*vp.tbl[[#This Row],[Net Dens]],"")</f>
        <v>102080072.5740432</v>
      </c>
      <c r="AK752" s="5">
        <f>IFERROR(vp.tbl[[#This Row],[Dens]]*vp.tbl[[#This Row],[VolumeM3]],"")</f>
        <v>81273943.132200003</v>
      </c>
      <c r="AL752" s="5">
        <f>IFERROR(vp.tbl[[#This Row],[VP]]*vp.tbl[[#This Row],[VolumeM3]],"")</f>
        <v>9061533.1989000011</v>
      </c>
      <c r="AM752" s="4">
        <f>IFERROR((vp.tbl[[#This Row],[VP]]-INDEX(crudeBD.lkup.complete[Mean_VP],MATCH(vp.tbl[[#This Row],[Crude_Breakdown]],crudeBD.lkup.complete[Crude Breakdown],0)))^2,"")</f>
        <v>188.4141959615458</v>
      </c>
      <c r="AN752" s="4">
        <f>IFERROR((vp.tbl[[#This Row],[Dens]]-INDEX(crudeBD.lkup.complete[Mean_Dens],MATCH(vp.tbl[[#This Row],[Crude_Breakdown]],crudeBD.lkup.complete[Crude Breakdown],0)))^2,"")</f>
        <v>9.5593681326646767</v>
      </c>
      <c r="AO752" s="4">
        <f>IFERROR((vp.tbl[[#This Row],[Sulf]]-INDEX(crudeBD.lkup.complete[Mean_Sulf],MATCH(vp.tbl[[#This Row],[Crude_Breakdown]],crudeBD.lkup.complete[Crude Breakdown],0)))^2,"")</f>
        <v>3.9573089501792127E-2</v>
      </c>
      <c r="AP752">
        <f>IF(AND(vp.tbl[[#This Row],[SDate]]&gt;=DATE(YEAR(vp.tbl[[#This Row],[SDate]]),5,1),vp.tbl[[#This Row],[SDate]]&lt;=DATE(YEAR(vp.tbl[[#This Row],[SDate]]),9,15)),1,0)</f>
        <v>0</v>
      </c>
      <c r="AQ752" s="15">
        <f>IF(vp.tbl[[#This Row],[SDate]]&lt;DATE(2016,12,1),0,1)</f>
        <v>1</v>
      </c>
    </row>
    <row r="753" spans="1:43" x14ac:dyDescent="0.25">
      <c r="A753">
        <v>752</v>
      </c>
      <c r="B753" t="s">
        <v>49</v>
      </c>
      <c r="C753" t="s">
        <v>49</v>
      </c>
      <c r="D753" t="s">
        <v>157</v>
      </c>
      <c r="F753" s="1">
        <v>42774</v>
      </c>
      <c r="G753" s="2">
        <v>91.2</v>
      </c>
      <c r="H753" s="2">
        <v>2.254</v>
      </c>
      <c r="I753" s="2">
        <v>2.254</v>
      </c>
      <c r="J753" s="2">
        <v>12.1</v>
      </c>
      <c r="K753" s="2">
        <v>-30</v>
      </c>
      <c r="L753" s="2">
        <v>868.2</v>
      </c>
      <c r="M753" s="2">
        <v>868.2</v>
      </c>
      <c r="N753" s="2">
        <f ca="1">INDEX(INDIRECT(_xlfn.CONCAT("weather.tbl[",N$1,"]")),MATCH(vp.tbl[[#This Row],[SDate]],weather.tbl[Date],0))</f>
        <v>-25.950000000000003</v>
      </c>
      <c r="O753" s="2">
        <f ca="1">INDEX(INDIRECT(_xlfn.CONCAT("weather.tbl[",O$1,"]")),MATCH(vp.tbl[[#This Row],[SDate]],weather.tbl[Date],0))</f>
        <v>-19.276190476190475</v>
      </c>
      <c r="P753" s="2">
        <f ca="1">INDEX(INDIRECT(_xlfn.CONCAT("weather.tbl[",P$1,"]")),MATCH(vp.tbl[[#This Row],[SDate]],weather.tbl[Date],0))</f>
        <v>-26.2</v>
      </c>
      <c r="Q753" s="2">
        <f ca="1">INDEX(INDIRECT(_xlfn.CONCAT("weather.tbl[",Q$1,"]")),MATCH(vp.tbl[[#This Row],[SDate]],weather.tbl[Date],0))</f>
        <v>-25.5</v>
      </c>
      <c r="R753" s="2">
        <f ca="1">INDEX(INDIRECT(_xlfn.CONCAT("weather.tbl[",R$1,"]")),MATCH(vp.tbl[[#This Row],[SDate]],weather.tbl[Date],0))</f>
        <v>-26.5</v>
      </c>
      <c r="S753" s="2">
        <f ca="1">INDEX(INDIRECT(_xlfn.CONCAT("weather.tbl[",S$1,"]")),MATCH(vp.tbl[[#This Row],[SDate]],weather.tbl[Date],0))</f>
        <v>-25.7</v>
      </c>
      <c r="T753" s="2">
        <f ca="1">INDEX(INDIRECT(_xlfn.CONCAT("weather.tbl[",T$1,"]")),MATCH(vp.tbl[[#This Row],[SDate]],weather.tbl[Date],0))</f>
        <v>-25.5</v>
      </c>
      <c r="U753" s="2">
        <f ca="1">INDEX(INDIRECT(_xlfn.CONCAT("weather.tbl[",U$1,"]")),MATCH(vp.tbl[[#This Row],[SDate]],weather.tbl[Date],0))</f>
        <v>-26.3</v>
      </c>
      <c r="V753" s="2">
        <v>1304.528</v>
      </c>
      <c r="W753" t="s">
        <v>48</v>
      </c>
      <c r="X753">
        <f>IF(OR(vp.tbl[[#This Row],[Sulf]]="",vp.tbl[[#This Row],[Dens]]=""),1,0)</f>
        <v>0</v>
      </c>
      <c r="Y753">
        <f>IF(vp.tbl[[#This Row],[CrudeType]]="C5+",1,0)</f>
        <v>0</v>
      </c>
      <c r="Z753">
        <f>IF(AND(vp.tbl[[#This Row],[CrudeType]]="Crude",vp.tbl[[#This Row],[Dens]]&lt;=825,vp.tbl[[#This Row],[Sulf]]&gt;0.5,vp.tbl[[#This Row],[Unknown]]=0),1,0)</f>
        <v>0</v>
      </c>
      <c r="AA753">
        <f>IF(AND(vp.tbl[[#This Row],[CrudeType]]="Crude",vp.tbl[[#This Row],[Dens]]&lt;=825,vp.tbl[[#This Row],[Sulf]]&lt;=0.5,vp.tbl[[#This Row],[Unknown]]=0),1,0)</f>
        <v>0</v>
      </c>
      <c r="AB753">
        <f>IF(AND(vp.tbl[[#This Row],[CrudeType]]="Crude",vp.tbl[[#This Row],[Dens]]&gt;825,vp.tbl[[#This Row],[Dens]]&lt;=870,vp.tbl[[#This Row],[Sulf]]&gt;0.5,vp.tbl[[#This Row],[Unknown]]=0),1,0)</f>
        <v>1</v>
      </c>
      <c r="AC753">
        <f>IF(AND(vp.tbl[[#This Row],[CrudeType]]="Crude",vp.tbl[[#This Row],[Dens]]&gt;825,vp.tbl[[#This Row],[Dens]]&lt;=900,vp.tbl[[#This Row],[Sulf]]&lt;=0.5,vp.tbl[[#This Row],[Unknown]]=0),1,0)</f>
        <v>0</v>
      </c>
      <c r="AD753">
        <f>IF(AND(vp.tbl[[#This Row],[CrudeType]]="Crude",vp.tbl[[#This Row],[Dens]]&gt;870,vp.tbl[[#This Row],[Dens]]&lt;=900,vp.tbl[[#This Row],[Sulf]]&gt;0.5,vp.tbl[[#This Row],[Unknown]]=0),1,0)</f>
        <v>0</v>
      </c>
      <c r="AE753">
        <f>IF(AND(vp.tbl[[#This Row],[CrudeType]]="Crude",vp.tbl[[#This Row],[Dens]]&gt;900,vp.tbl[[#This Row],[Sulf]]&lt;=0.5,vp.tbl[[#This Row],[Unknown]]=0),1,0)</f>
        <v>0</v>
      </c>
      <c r="AF753">
        <f>IF(AND(vp.tbl[[#This Row],[CrudeType]]="Crude",vp.tbl[[#This Row],[Dens]]&gt;900,vp.tbl[[#This Row],[Sulf]]&lt;=0.5,vp.tbl[[#This Row],[Unknown]]=0),1,0)</f>
        <v>0</v>
      </c>
      <c r="AG753" t="str">
        <f>INDEX(vp.tbl[[#Headers],[Unknown]:[Heavy_SW]],MATCH(1,vp.tbl[[#This Row],[Unknown]:[Heavy_SW]],0))</f>
        <v>Medium_LSB</v>
      </c>
      <c r="AH753" t="e">
        <f>INDEX([1]!crudeBD.lkup[Number],MATCH(vp.tbl[[#This Row],[Crude_Breakdown]],[1]!crudeBD.lkup[Crude Breakdown],0))</f>
        <v>#REF!</v>
      </c>
      <c r="AI753">
        <f>MONTH(vp.tbl[[#This Row],[SDate]])</f>
        <v>2</v>
      </c>
      <c r="AJ753" s="5">
        <f>IFERROR(vp.tbl[[#This Row],[Sulf]]*vp.tbl[[#This Row],[Net Dens]],"")</f>
        <v>2552860.5864384002</v>
      </c>
      <c r="AK753" s="5">
        <f>IFERROR(vp.tbl[[#This Row],[Dens]]*vp.tbl[[#This Row],[VolumeM3]],"")</f>
        <v>1132591.2096000002</v>
      </c>
      <c r="AL753" s="5">
        <f>IFERROR(vp.tbl[[#This Row],[VP]]*vp.tbl[[#This Row],[VolumeM3]],"")</f>
        <v>118972.95360000001</v>
      </c>
      <c r="AM753" s="4">
        <f>IFERROR((vp.tbl[[#This Row],[VP]]-INDEX(crudeBD.lkup.complete[Mean_VP],MATCH(vp.tbl[[#This Row],[Crude_Breakdown]],crudeBD.lkup.complete[Crude Breakdown],0)))^2,"")</f>
        <v>121.58160861977335</v>
      </c>
      <c r="AN753" s="4">
        <f>IFERROR((vp.tbl[[#This Row],[Dens]]-INDEX(crudeBD.lkup.complete[Mean_Dens],MATCH(vp.tbl[[#This Row],[Crude_Breakdown]],crudeBD.lkup.complete[Crude Breakdown],0)))^2,"")</f>
        <v>524.78458332259163</v>
      </c>
      <c r="AO753" s="4">
        <f>IFERROR((vp.tbl[[#This Row],[Sulf]]-INDEX(crudeBD.lkup.complete[Mean_Sulf],MATCH(vp.tbl[[#This Row],[Crude_Breakdown]],crudeBD.lkup.complete[Crude Breakdown],0)))^2,"")</f>
        <v>0.63851308742583979</v>
      </c>
      <c r="AP753">
        <f>IF(AND(vp.tbl[[#This Row],[SDate]]&gt;=DATE(YEAR(vp.tbl[[#This Row],[SDate]]),5,1),vp.tbl[[#This Row],[SDate]]&lt;=DATE(YEAR(vp.tbl[[#This Row],[SDate]]),9,15)),1,0)</f>
        <v>0</v>
      </c>
      <c r="AQ753" s="15">
        <f>IF(vp.tbl[[#This Row],[SDate]]&lt;DATE(2016,12,1),0,1)</f>
        <v>1</v>
      </c>
    </row>
    <row r="754" spans="1:43" x14ac:dyDescent="0.25">
      <c r="A754">
        <v>753</v>
      </c>
      <c r="B754" t="s">
        <v>49</v>
      </c>
      <c r="C754" t="s">
        <v>49</v>
      </c>
      <c r="D754" t="s">
        <v>50</v>
      </c>
      <c r="F754" s="1">
        <v>42774</v>
      </c>
      <c r="G754" s="2">
        <v>82.1</v>
      </c>
      <c r="H754" s="2">
        <v>2.6110000000000002</v>
      </c>
      <c r="I754" s="2">
        <v>2.6110000000000002</v>
      </c>
      <c r="J754" s="2">
        <v>10.7</v>
      </c>
      <c r="K754" s="2">
        <v>-30</v>
      </c>
      <c r="L754" s="2">
        <v>866.1</v>
      </c>
      <c r="M754" s="2">
        <v>866.1</v>
      </c>
      <c r="N754" s="2">
        <f ca="1">INDEX(INDIRECT(_xlfn.CONCAT("weather.tbl[",N$1,"]")),MATCH(vp.tbl[[#This Row],[SDate]],weather.tbl[Date],0))</f>
        <v>-25.950000000000003</v>
      </c>
      <c r="O754" s="2">
        <f ca="1">INDEX(INDIRECT(_xlfn.CONCAT("weather.tbl[",O$1,"]")),MATCH(vp.tbl[[#This Row],[SDate]],weather.tbl[Date],0))</f>
        <v>-19.276190476190475</v>
      </c>
      <c r="P754" s="2">
        <f ca="1">INDEX(INDIRECT(_xlfn.CONCAT("weather.tbl[",P$1,"]")),MATCH(vp.tbl[[#This Row],[SDate]],weather.tbl[Date],0))</f>
        <v>-26.2</v>
      </c>
      <c r="Q754" s="2">
        <f ca="1">INDEX(INDIRECT(_xlfn.CONCAT("weather.tbl[",Q$1,"]")),MATCH(vp.tbl[[#This Row],[SDate]],weather.tbl[Date],0))</f>
        <v>-25.5</v>
      </c>
      <c r="R754" s="2">
        <f ca="1">INDEX(INDIRECT(_xlfn.CONCAT("weather.tbl[",R$1,"]")),MATCH(vp.tbl[[#This Row],[SDate]],weather.tbl[Date],0))</f>
        <v>-26.5</v>
      </c>
      <c r="S754" s="2">
        <f ca="1">INDEX(INDIRECT(_xlfn.CONCAT("weather.tbl[",S$1,"]")),MATCH(vp.tbl[[#This Row],[SDate]],weather.tbl[Date],0))</f>
        <v>-25.7</v>
      </c>
      <c r="T754" s="2">
        <f ca="1">INDEX(INDIRECT(_xlfn.CONCAT("weather.tbl[",T$1,"]")),MATCH(vp.tbl[[#This Row],[SDate]],weather.tbl[Date],0))</f>
        <v>-25.5</v>
      </c>
      <c r="U754" s="2">
        <f ca="1">INDEX(INDIRECT(_xlfn.CONCAT("weather.tbl[",U$1,"]")),MATCH(vp.tbl[[#This Row],[SDate]],weather.tbl[Date],0))</f>
        <v>-26.3</v>
      </c>
      <c r="V754" s="2">
        <v>5073.817</v>
      </c>
      <c r="W754" t="s">
        <v>48</v>
      </c>
      <c r="X754">
        <f>IF(OR(vp.tbl[[#This Row],[Sulf]]="",vp.tbl[[#This Row],[Dens]]=""),1,0)</f>
        <v>0</v>
      </c>
      <c r="Y754">
        <f>IF(vp.tbl[[#This Row],[CrudeType]]="C5+",1,0)</f>
        <v>0</v>
      </c>
      <c r="Z754">
        <f>IF(AND(vp.tbl[[#This Row],[CrudeType]]="Crude",vp.tbl[[#This Row],[Dens]]&lt;=825,vp.tbl[[#This Row],[Sulf]]&gt;0.5,vp.tbl[[#This Row],[Unknown]]=0),1,0)</f>
        <v>0</v>
      </c>
      <c r="AA754">
        <f>IF(AND(vp.tbl[[#This Row],[CrudeType]]="Crude",vp.tbl[[#This Row],[Dens]]&lt;=825,vp.tbl[[#This Row],[Sulf]]&lt;=0.5,vp.tbl[[#This Row],[Unknown]]=0),1,0)</f>
        <v>0</v>
      </c>
      <c r="AB754">
        <f>IF(AND(vp.tbl[[#This Row],[CrudeType]]="Crude",vp.tbl[[#This Row],[Dens]]&gt;825,vp.tbl[[#This Row],[Dens]]&lt;=870,vp.tbl[[#This Row],[Sulf]]&gt;0.5,vp.tbl[[#This Row],[Unknown]]=0),1,0)</f>
        <v>1</v>
      </c>
      <c r="AC754">
        <f>IF(AND(vp.tbl[[#This Row],[CrudeType]]="Crude",vp.tbl[[#This Row],[Dens]]&gt;825,vp.tbl[[#This Row],[Dens]]&lt;=900,vp.tbl[[#This Row],[Sulf]]&lt;=0.5,vp.tbl[[#This Row],[Unknown]]=0),1,0)</f>
        <v>0</v>
      </c>
      <c r="AD754">
        <f>IF(AND(vp.tbl[[#This Row],[CrudeType]]="Crude",vp.tbl[[#This Row],[Dens]]&gt;870,vp.tbl[[#This Row],[Dens]]&lt;=900,vp.tbl[[#This Row],[Sulf]]&gt;0.5,vp.tbl[[#This Row],[Unknown]]=0),1,0)</f>
        <v>0</v>
      </c>
      <c r="AE754">
        <f>IF(AND(vp.tbl[[#This Row],[CrudeType]]="Crude",vp.tbl[[#This Row],[Dens]]&gt;900,vp.tbl[[#This Row],[Sulf]]&lt;=0.5,vp.tbl[[#This Row],[Unknown]]=0),1,0)</f>
        <v>0</v>
      </c>
      <c r="AF754">
        <f>IF(AND(vp.tbl[[#This Row],[CrudeType]]="Crude",vp.tbl[[#This Row],[Dens]]&gt;900,vp.tbl[[#This Row],[Sulf]]&lt;=0.5,vp.tbl[[#This Row],[Unknown]]=0),1,0)</f>
        <v>0</v>
      </c>
      <c r="AG754" t="str">
        <f>INDEX(vp.tbl[[#Headers],[Unknown]:[Heavy_SW]],MATCH(1,vp.tbl[[#This Row],[Unknown]:[Heavy_SW]],0))</f>
        <v>Medium_LSB</v>
      </c>
      <c r="AH754" t="e">
        <f>INDEX([1]!crudeBD.lkup[Number],MATCH(vp.tbl[[#This Row],[Crude_Breakdown]],[1]!crudeBD.lkup[Crude Breakdown],0))</f>
        <v>#REF!</v>
      </c>
      <c r="AI754">
        <f>MONTH(vp.tbl[[#This Row],[SDate]])</f>
        <v>2</v>
      </c>
      <c r="AJ754" s="5">
        <f>IFERROR(vp.tbl[[#This Row],[Sulf]]*vp.tbl[[#This Row],[Net Dens]],"")</f>
        <v>11473864.3115607</v>
      </c>
      <c r="AK754" s="5">
        <f>IFERROR(vp.tbl[[#This Row],[Dens]]*vp.tbl[[#This Row],[VolumeM3]],"")</f>
        <v>4394432.9036999997</v>
      </c>
      <c r="AL754" s="5">
        <f>IFERROR(vp.tbl[[#This Row],[VP]]*vp.tbl[[#This Row],[VolumeM3]],"")</f>
        <v>416560.37569999998</v>
      </c>
      <c r="AM754" s="4">
        <f>IFERROR((vp.tbl[[#This Row],[VP]]-INDEX(crudeBD.lkup.complete[Mean_VP],MATCH(vp.tbl[[#This Row],[Crude_Breakdown]],crudeBD.lkup.complete[Crude Breakdown],0)))^2,"")</f>
        <v>3.7110364678738583</v>
      </c>
      <c r="AN754" s="4">
        <f>IFERROR((vp.tbl[[#This Row],[Dens]]-INDEX(crudeBD.lkup.complete[Mean_Dens],MATCH(vp.tbl[[#This Row],[Crude_Breakdown]],crudeBD.lkup.complete[Crude Breakdown],0)))^2,"")</f>
        <v>432.98023901878889</v>
      </c>
      <c r="AO754" s="4">
        <f>IFERROR((vp.tbl[[#This Row],[Sulf]]-INDEX(crudeBD.lkup.complete[Mean_Sulf],MATCH(vp.tbl[[#This Row],[Crude_Breakdown]],crudeBD.lkup.complete[Crude Breakdown],0)))^2,"")</f>
        <v>1.3364981668435607</v>
      </c>
      <c r="AP754">
        <f>IF(AND(vp.tbl[[#This Row],[SDate]]&gt;=DATE(YEAR(vp.tbl[[#This Row],[SDate]]),5,1),vp.tbl[[#This Row],[SDate]]&lt;=DATE(YEAR(vp.tbl[[#This Row],[SDate]]),9,15)),1,0)</f>
        <v>0</v>
      </c>
      <c r="AQ754" s="15">
        <f>IF(vp.tbl[[#This Row],[SDate]]&lt;DATE(2016,12,1),0,1)</f>
        <v>1</v>
      </c>
    </row>
    <row r="755" spans="1:43" x14ac:dyDescent="0.25">
      <c r="A755">
        <v>754</v>
      </c>
      <c r="B755" t="s">
        <v>62</v>
      </c>
      <c r="C755" t="s">
        <v>62</v>
      </c>
      <c r="D755" t="s">
        <v>63</v>
      </c>
      <c r="F755" s="1">
        <v>42774</v>
      </c>
      <c r="G755" s="2">
        <v>110.9</v>
      </c>
      <c r="H755" s="2"/>
      <c r="I755" s="2">
        <v>1.53</v>
      </c>
      <c r="J755" s="2">
        <v>-2</v>
      </c>
      <c r="K755" s="2">
        <v>-29</v>
      </c>
      <c r="L755" s="2">
        <v>825.6</v>
      </c>
      <c r="M755" s="2">
        <v>825.6</v>
      </c>
      <c r="N755" s="2">
        <f ca="1">INDEX(INDIRECT(_xlfn.CONCAT("weather.tbl[",N$1,"]")),MATCH(vp.tbl[[#This Row],[SDate]],weather.tbl[Date],0))</f>
        <v>-25.950000000000003</v>
      </c>
      <c r="O755" s="2">
        <f ca="1">INDEX(INDIRECT(_xlfn.CONCAT("weather.tbl[",O$1,"]")),MATCH(vp.tbl[[#This Row],[SDate]],weather.tbl[Date],0))</f>
        <v>-19.276190476190475</v>
      </c>
      <c r="P755" s="2">
        <f ca="1">INDEX(INDIRECT(_xlfn.CONCAT("weather.tbl[",P$1,"]")),MATCH(vp.tbl[[#This Row],[SDate]],weather.tbl[Date],0))</f>
        <v>-26.2</v>
      </c>
      <c r="Q755" s="2">
        <f ca="1">INDEX(INDIRECT(_xlfn.CONCAT("weather.tbl[",Q$1,"]")),MATCH(vp.tbl[[#This Row],[SDate]],weather.tbl[Date],0))</f>
        <v>-25.5</v>
      </c>
      <c r="R755" s="2">
        <f ca="1">INDEX(INDIRECT(_xlfn.CONCAT("weather.tbl[",R$1,"]")),MATCH(vp.tbl[[#This Row],[SDate]],weather.tbl[Date],0))</f>
        <v>-26.5</v>
      </c>
      <c r="S755" s="2">
        <f ca="1">INDEX(INDIRECT(_xlfn.CONCAT("weather.tbl[",S$1,"]")),MATCH(vp.tbl[[#This Row],[SDate]],weather.tbl[Date],0))</f>
        <v>-25.7</v>
      </c>
      <c r="T755" s="2">
        <f ca="1">INDEX(INDIRECT(_xlfn.CONCAT("weather.tbl[",T$1,"]")),MATCH(vp.tbl[[#This Row],[SDate]],weather.tbl[Date],0))</f>
        <v>-25.5</v>
      </c>
      <c r="U755" s="2">
        <f ca="1">INDEX(INDIRECT(_xlfn.CONCAT("weather.tbl[",U$1,"]")),MATCH(vp.tbl[[#This Row],[SDate]],weather.tbl[Date],0))</f>
        <v>-26.3</v>
      </c>
      <c r="V755" s="2">
        <v>4978.7389999999996</v>
      </c>
      <c r="W755" t="s">
        <v>48</v>
      </c>
      <c r="X755">
        <f>IF(OR(vp.tbl[[#This Row],[Sulf]]="",vp.tbl[[#This Row],[Dens]]=""),1,0)</f>
        <v>0</v>
      </c>
      <c r="Y755">
        <f>IF(vp.tbl[[#This Row],[CrudeType]]="C5+",1,0)</f>
        <v>0</v>
      </c>
      <c r="Z755">
        <f>IF(AND(vp.tbl[[#This Row],[CrudeType]]="Crude",vp.tbl[[#This Row],[Dens]]&lt;=825,vp.tbl[[#This Row],[Sulf]]&gt;0.5,vp.tbl[[#This Row],[Unknown]]=0),1,0)</f>
        <v>0</v>
      </c>
      <c r="AA755">
        <f>IF(AND(vp.tbl[[#This Row],[CrudeType]]="Crude",vp.tbl[[#This Row],[Dens]]&lt;=825,vp.tbl[[#This Row],[Sulf]]&lt;=0.5,vp.tbl[[#This Row],[Unknown]]=0),1,0)</f>
        <v>0</v>
      </c>
      <c r="AB755">
        <f>IF(AND(vp.tbl[[#This Row],[CrudeType]]="Crude",vp.tbl[[#This Row],[Dens]]&gt;825,vp.tbl[[#This Row],[Dens]]&lt;=870,vp.tbl[[#This Row],[Sulf]]&gt;0.5,vp.tbl[[#This Row],[Unknown]]=0),1,0)</f>
        <v>1</v>
      </c>
      <c r="AC755">
        <f>IF(AND(vp.tbl[[#This Row],[CrudeType]]="Crude",vp.tbl[[#This Row],[Dens]]&gt;825,vp.tbl[[#This Row],[Dens]]&lt;=900,vp.tbl[[#This Row],[Sulf]]&lt;=0.5,vp.tbl[[#This Row],[Unknown]]=0),1,0)</f>
        <v>0</v>
      </c>
      <c r="AD755">
        <f>IF(AND(vp.tbl[[#This Row],[CrudeType]]="Crude",vp.tbl[[#This Row],[Dens]]&gt;870,vp.tbl[[#This Row],[Dens]]&lt;=900,vp.tbl[[#This Row],[Sulf]]&gt;0.5,vp.tbl[[#This Row],[Unknown]]=0),1,0)</f>
        <v>0</v>
      </c>
      <c r="AE755">
        <f>IF(AND(vp.tbl[[#This Row],[CrudeType]]="Crude",vp.tbl[[#This Row],[Dens]]&gt;900,vp.tbl[[#This Row],[Sulf]]&lt;=0.5,vp.tbl[[#This Row],[Unknown]]=0),1,0)</f>
        <v>0</v>
      </c>
      <c r="AF755">
        <f>IF(AND(vp.tbl[[#This Row],[CrudeType]]="Crude",vp.tbl[[#This Row],[Dens]]&gt;900,vp.tbl[[#This Row],[Sulf]]&lt;=0.5,vp.tbl[[#This Row],[Unknown]]=0),1,0)</f>
        <v>0</v>
      </c>
      <c r="AG755" t="str">
        <f>INDEX(vp.tbl[[#Headers],[Unknown]:[Heavy_SW]],MATCH(1,vp.tbl[[#This Row],[Unknown]:[Heavy_SW]],0))</f>
        <v>Medium_LSB</v>
      </c>
      <c r="AH755" t="e">
        <f>INDEX([1]!crudeBD.lkup[Number],MATCH(vp.tbl[[#This Row],[Crude_Breakdown]],[1]!crudeBD.lkup[Crude Breakdown],0))</f>
        <v>#REF!</v>
      </c>
      <c r="AI755">
        <f>MONTH(vp.tbl[[#This Row],[SDate]])</f>
        <v>2</v>
      </c>
      <c r="AJ755" s="5">
        <f>IFERROR(vp.tbl[[#This Row],[Sulf]]*vp.tbl[[#This Row],[Net Dens]],"")</f>
        <v>6288983.7851519994</v>
      </c>
      <c r="AK755" s="5">
        <f>IFERROR(vp.tbl[[#This Row],[Dens]]*vp.tbl[[#This Row],[VolumeM3]],"")</f>
        <v>4110446.9183999998</v>
      </c>
      <c r="AL755" s="5">
        <f>IFERROR(vp.tbl[[#This Row],[VP]]*vp.tbl[[#This Row],[VolumeM3]],"")</f>
        <v>552142.15509999997</v>
      </c>
      <c r="AM755" s="4">
        <f>IFERROR((vp.tbl[[#This Row],[VP]]-INDEX(crudeBD.lkup.complete[Mean_VP],MATCH(vp.tbl[[#This Row],[Crude_Breakdown]],crudeBD.lkup.complete[Crude Breakdown],0)))^2,"")</f>
        <v>944.11196811344598</v>
      </c>
      <c r="AN755" s="4">
        <f>IFERROR((vp.tbl[[#This Row],[Dens]]-INDEX(crudeBD.lkup.complete[Mean_Dens],MATCH(vp.tbl[[#This Row],[Crude_Breakdown]],crudeBD.lkup.complete[Crude Breakdown],0)))^2,"")</f>
        <v>387.76788458832755</v>
      </c>
      <c r="AO755" s="4">
        <f>IFERROR((vp.tbl[[#This Row],[Sulf]]-INDEX(crudeBD.lkup.complete[Mean_Sulf],MATCH(vp.tbl[[#This Row],[Crude_Breakdown]],crudeBD.lkup.complete[Crude Breakdown],0)))^2,"")</f>
        <v>5.6355258055887899E-3</v>
      </c>
      <c r="AP755">
        <f>IF(AND(vp.tbl[[#This Row],[SDate]]&gt;=DATE(YEAR(vp.tbl[[#This Row],[SDate]]),5,1),vp.tbl[[#This Row],[SDate]]&lt;=DATE(YEAR(vp.tbl[[#This Row],[SDate]]),9,15)),1,0)</f>
        <v>0</v>
      </c>
      <c r="AQ755" s="15">
        <f>IF(vp.tbl[[#This Row],[SDate]]&lt;DATE(2016,12,1),0,1)</f>
        <v>1</v>
      </c>
    </row>
    <row r="756" spans="1:43" x14ac:dyDescent="0.25">
      <c r="A756">
        <v>755</v>
      </c>
      <c r="B756" t="s">
        <v>56</v>
      </c>
      <c r="C756" t="s">
        <v>56</v>
      </c>
      <c r="D756" t="s">
        <v>57</v>
      </c>
      <c r="F756" s="1">
        <v>42774</v>
      </c>
      <c r="G756" s="2">
        <v>114</v>
      </c>
      <c r="H756" s="2"/>
      <c r="I756" s="2">
        <v>1.69</v>
      </c>
      <c r="J756" s="2">
        <v>-4.8</v>
      </c>
      <c r="K756" s="2">
        <v>-29</v>
      </c>
      <c r="L756" s="2">
        <v>839.4</v>
      </c>
      <c r="M756" s="2">
        <v>839.4</v>
      </c>
      <c r="N756" s="2">
        <f ca="1">INDEX(INDIRECT(_xlfn.CONCAT("weather.tbl[",N$1,"]")),MATCH(vp.tbl[[#This Row],[SDate]],weather.tbl[Date],0))</f>
        <v>-25.950000000000003</v>
      </c>
      <c r="O756" s="2">
        <f ca="1">INDEX(INDIRECT(_xlfn.CONCAT("weather.tbl[",O$1,"]")),MATCH(vp.tbl[[#This Row],[SDate]],weather.tbl[Date],0))</f>
        <v>-19.276190476190475</v>
      </c>
      <c r="P756" s="2">
        <f ca="1">INDEX(INDIRECT(_xlfn.CONCAT("weather.tbl[",P$1,"]")),MATCH(vp.tbl[[#This Row],[SDate]],weather.tbl[Date],0))</f>
        <v>-26.2</v>
      </c>
      <c r="Q756" s="2">
        <f ca="1">INDEX(INDIRECT(_xlfn.CONCAT("weather.tbl[",Q$1,"]")),MATCH(vp.tbl[[#This Row],[SDate]],weather.tbl[Date],0))</f>
        <v>-25.5</v>
      </c>
      <c r="R756" s="2">
        <f ca="1">INDEX(INDIRECT(_xlfn.CONCAT("weather.tbl[",R$1,"]")),MATCH(vp.tbl[[#This Row],[SDate]],weather.tbl[Date],0))</f>
        <v>-26.5</v>
      </c>
      <c r="S756" s="2">
        <f ca="1">INDEX(INDIRECT(_xlfn.CONCAT("weather.tbl[",S$1,"]")),MATCH(vp.tbl[[#This Row],[SDate]],weather.tbl[Date],0))</f>
        <v>-25.7</v>
      </c>
      <c r="T756" s="2">
        <f ca="1">INDEX(INDIRECT(_xlfn.CONCAT("weather.tbl[",T$1,"]")),MATCH(vp.tbl[[#This Row],[SDate]],weather.tbl[Date],0))</f>
        <v>-25.5</v>
      </c>
      <c r="U756" s="2">
        <f ca="1">INDEX(INDIRECT(_xlfn.CONCAT("weather.tbl[",U$1,"]")),MATCH(vp.tbl[[#This Row],[SDate]],weather.tbl[Date],0))</f>
        <v>-26.3</v>
      </c>
      <c r="V756" s="2">
        <v>2751.2289999999998</v>
      </c>
      <c r="W756" t="s">
        <v>48</v>
      </c>
      <c r="X756">
        <f>IF(OR(vp.tbl[[#This Row],[Sulf]]="",vp.tbl[[#This Row],[Dens]]=""),1,0)</f>
        <v>0</v>
      </c>
      <c r="Y756">
        <f>IF(vp.tbl[[#This Row],[CrudeType]]="C5+",1,0)</f>
        <v>0</v>
      </c>
      <c r="Z756">
        <f>IF(AND(vp.tbl[[#This Row],[CrudeType]]="Crude",vp.tbl[[#This Row],[Dens]]&lt;=825,vp.tbl[[#This Row],[Sulf]]&gt;0.5,vp.tbl[[#This Row],[Unknown]]=0),1,0)</f>
        <v>0</v>
      </c>
      <c r="AA756">
        <f>IF(AND(vp.tbl[[#This Row],[CrudeType]]="Crude",vp.tbl[[#This Row],[Dens]]&lt;=825,vp.tbl[[#This Row],[Sulf]]&lt;=0.5,vp.tbl[[#This Row],[Unknown]]=0),1,0)</f>
        <v>0</v>
      </c>
      <c r="AB756">
        <f>IF(AND(vp.tbl[[#This Row],[CrudeType]]="Crude",vp.tbl[[#This Row],[Dens]]&gt;825,vp.tbl[[#This Row],[Dens]]&lt;=870,vp.tbl[[#This Row],[Sulf]]&gt;0.5,vp.tbl[[#This Row],[Unknown]]=0),1,0)</f>
        <v>1</v>
      </c>
      <c r="AC756">
        <f>IF(AND(vp.tbl[[#This Row],[CrudeType]]="Crude",vp.tbl[[#This Row],[Dens]]&gt;825,vp.tbl[[#This Row],[Dens]]&lt;=900,vp.tbl[[#This Row],[Sulf]]&lt;=0.5,vp.tbl[[#This Row],[Unknown]]=0),1,0)</f>
        <v>0</v>
      </c>
      <c r="AD756">
        <f>IF(AND(vp.tbl[[#This Row],[CrudeType]]="Crude",vp.tbl[[#This Row],[Dens]]&gt;870,vp.tbl[[#This Row],[Dens]]&lt;=900,vp.tbl[[#This Row],[Sulf]]&gt;0.5,vp.tbl[[#This Row],[Unknown]]=0),1,0)</f>
        <v>0</v>
      </c>
      <c r="AE756">
        <f>IF(AND(vp.tbl[[#This Row],[CrudeType]]="Crude",vp.tbl[[#This Row],[Dens]]&gt;900,vp.tbl[[#This Row],[Sulf]]&lt;=0.5,vp.tbl[[#This Row],[Unknown]]=0),1,0)</f>
        <v>0</v>
      </c>
      <c r="AF756">
        <f>IF(AND(vp.tbl[[#This Row],[CrudeType]]="Crude",vp.tbl[[#This Row],[Dens]]&gt;900,vp.tbl[[#This Row],[Sulf]]&lt;=0.5,vp.tbl[[#This Row],[Unknown]]=0),1,0)</f>
        <v>0</v>
      </c>
      <c r="AG756" t="str">
        <f>INDEX(vp.tbl[[#Headers],[Unknown]:[Heavy_SW]],MATCH(1,vp.tbl[[#This Row],[Unknown]:[Heavy_SW]],0))</f>
        <v>Medium_LSB</v>
      </c>
      <c r="AH756" t="e">
        <f>INDEX([1]!crudeBD.lkup[Number],MATCH(vp.tbl[[#This Row],[Crude_Breakdown]],[1]!crudeBD.lkup[Crude Breakdown],0))</f>
        <v>#REF!</v>
      </c>
      <c r="AI756">
        <f>MONTH(vp.tbl[[#This Row],[SDate]])</f>
        <v>2</v>
      </c>
      <c r="AJ756" s="5">
        <f>IFERROR(vp.tbl[[#This Row],[Sulf]]*vp.tbl[[#This Row],[Net Dens]],"")</f>
        <v>3902854.9421939999</v>
      </c>
      <c r="AK756" s="5">
        <f>IFERROR(vp.tbl[[#This Row],[Dens]]*vp.tbl[[#This Row],[VolumeM3]],"")</f>
        <v>2309381.6225999999</v>
      </c>
      <c r="AL756" s="5">
        <f>IFERROR(vp.tbl[[#This Row],[VP]]*vp.tbl[[#This Row],[VolumeM3]],"")</f>
        <v>313640.10599999997</v>
      </c>
      <c r="AM756" s="4">
        <f>IFERROR((vp.tbl[[#This Row],[VP]]-INDEX(crudeBD.lkup.complete[Mean_VP],MATCH(vp.tbl[[#This Row],[Crude_Breakdown]],crudeBD.lkup.complete[Crude Breakdown],0)))^2,"")</f>
        <v>1144.2256795058508</v>
      </c>
      <c r="AN756" s="4">
        <f>IFERROR((vp.tbl[[#This Row],[Dens]]-INDEX(crudeBD.lkup.complete[Mean_Dens],MATCH(vp.tbl[[#This Row],[Crude_Breakdown]],crudeBD.lkup.complete[Crude Breakdown],0)))^2,"")</f>
        <v>34.713575727596421</v>
      </c>
      <c r="AO756" s="4">
        <f>IFERROR((vp.tbl[[#This Row],[Sulf]]-INDEX(crudeBD.lkup.complete[Mean_Sulf],MATCH(vp.tbl[[#This Row],[Crude_Breakdown]],crudeBD.lkup.complete[Crude Breakdown],0)))^2,"")</f>
        <v>5.5257970362550313E-2</v>
      </c>
      <c r="AP756">
        <f>IF(AND(vp.tbl[[#This Row],[SDate]]&gt;=DATE(YEAR(vp.tbl[[#This Row],[SDate]]),5,1),vp.tbl[[#This Row],[SDate]]&lt;=DATE(YEAR(vp.tbl[[#This Row],[SDate]]),9,15)),1,0)</f>
        <v>0</v>
      </c>
      <c r="AQ756" s="15">
        <f>IF(vp.tbl[[#This Row],[SDate]]&lt;DATE(2016,12,1),0,1)</f>
        <v>1</v>
      </c>
    </row>
    <row r="757" spans="1:43" x14ac:dyDescent="0.25">
      <c r="A757">
        <v>756</v>
      </c>
      <c r="B757" t="s">
        <v>51</v>
      </c>
      <c r="C757" t="s">
        <v>51</v>
      </c>
      <c r="D757" t="s">
        <v>52</v>
      </c>
      <c r="F757" s="1">
        <v>42774</v>
      </c>
      <c r="G757" s="2">
        <v>86.9</v>
      </c>
      <c r="H757" s="2"/>
      <c r="I757" s="2">
        <v>2.46</v>
      </c>
      <c r="J757" s="2">
        <v>23.6</v>
      </c>
      <c r="K757" s="2">
        <v>-30</v>
      </c>
      <c r="L757" s="2">
        <v>866.1</v>
      </c>
      <c r="M757" s="2">
        <v>866.1</v>
      </c>
      <c r="N757" s="2">
        <f ca="1">INDEX(INDIRECT(_xlfn.CONCAT("weather.tbl[",N$1,"]")),MATCH(vp.tbl[[#This Row],[SDate]],weather.tbl[Date],0))</f>
        <v>-25.950000000000003</v>
      </c>
      <c r="O757" s="2">
        <f ca="1">INDEX(INDIRECT(_xlfn.CONCAT("weather.tbl[",O$1,"]")),MATCH(vp.tbl[[#This Row],[SDate]],weather.tbl[Date],0))</f>
        <v>-19.276190476190475</v>
      </c>
      <c r="P757" s="2">
        <f ca="1">INDEX(INDIRECT(_xlfn.CONCAT("weather.tbl[",P$1,"]")),MATCH(vp.tbl[[#This Row],[SDate]],weather.tbl[Date],0))</f>
        <v>-26.2</v>
      </c>
      <c r="Q757" s="2">
        <f ca="1">INDEX(INDIRECT(_xlfn.CONCAT("weather.tbl[",Q$1,"]")),MATCH(vp.tbl[[#This Row],[SDate]],weather.tbl[Date],0))</f>
        <v>-25.5</v>
      </c>
      <c r="R757" s="2">
        <f ca="1">INDEX(INDIRECT(_xlfn.CONCAT("weather.tbl[",R$1,"]")),MATCH(vp.tbl[[#This Row],[SDate]],weather.tbl[Date],0))</f>
        <v>-26.5</v>
      </c>
      <c r="S757" s="2">
        <f ca="1">INDEX(INDIRECT(_xlfn.CONCAT("weather.tbl[",S$1,"]")),MATCH(vp.tbl[[#This Row],[SDate]],weather.tbl[Date],0))</f>
        <v>-25.7</v>
      </c>
      <c r="T757" s="2">
        <f ca="1">INDEX(INDIRECT(_xlfn.CONCAT("weather.tbl[",T$1,"]")),MATCH(vp.tbl[[#This Row],[SDate]],weather.tbl[Date],0))</f>
        <v>-25.5</v>
      </c>
      <c r="U757" s="2">
        <f ca="1">INDEX(INDIRECT(_xlfn.CONCAT("weather.tbl[",U$1,"]")),MATCH(vp.tbl[[#This Row],[SDate]],weather.tbl[Date],0))</f>
        <v>-26.3</v>
      </c>
      <c r="V757" s="2">
        <v>6655.18</v>
      </c>
      <c r="W757" t="s">
        <v>48</v>
      </c>
      <c r="X757">
        <f>IF(OR(vp.tbl[[#This Row],[Sulf]]="",vp.tbl[[#This Row],[Dens]]=""),1,0)</f>
        <v>0</v>
      </c>
      <c r="Y757">
        <f>IF(vp.tbl[[#This Row],[CrudeType]]="C5+",1,0)</f>
        <v>0</v>
      </c>
      <c r="Z757">
        <f>IF(AND(vp.tbl[[#This Row],[CrudeType]]="Crude",vp.tbl[[#This Row],[Dens]]&lt;=825,vp.tbl[[#This Row],[Sulf]]&gt;0.5,vp.tbl[[#This Row],[Unknown]]=0),1,0)</f>
        <v>0</v>
      </c>
      <c r="AA757">
        <f>IF(AND(vp.tbl[[#This Row],[CrudeType]]="Crude",vp.tbl[[#This Row],[Dens]]&lt;=825,vp.tbl[[#This Row],[Sulf]]&lt;=0.5,vp.tbl[[#This Row],[Unknown]]=0),1,0)</f>
        <v>0</v>
      </c>
      <c r="AB757">
        <f>IF(AND(vp.tbl[[#This Row],[CrudeType]]="Crude",vp.tbl[[#This Row],[Dens]]&gt;825,vp.tbl[[#This Row],[Dens]]&lt;=870,vp.tbl[[#This Row],[Sulf]]&gt;0.5,vp.tbl[[#This Row],[Unknown]]=0),1,0)</f>
        <v>1</v>
      </c>
      <c r="AC757">
        <f>IF(AND(vp.tbl[[#This Row],[CrudeType]]="Crude",vp.tbl[[#This Row],[Dens]]&gt;825,vp.tbl[[#This Row],[Dens]]&lt;=900,vp.tbl[[#This Row],[Sulf]]&lt;=0.5,vp.tbl[[#This Row],[Unknown]]=0),1,0)</f>
        <v>0</v>
      </c>
      <c r="AD757">
        <f>IF(AND(vp.tbl[[#This Row],[CrudeType]]="Crude",vp.tbl[[#This Row],[Dens]]&gt;870,vp.tbl[[#This Row],[Dens]]&lt;=900,vp.tbl[[#This Row],[Sulf]]&gt;0.5,vp.tbl[[#This Row],[Unknown]]=0),1,0)</f>
        <v>0</v>
      </c>
      <c r="AE757">
        <f>IF(AND(vp.tbl[[#This Row],[CrudeType]]="Crude",vp.tbl[[#This Row],[Dens]]&gt;900,vp.tbl[[#This Row],[Sulf]]&lt;=0.5,vp.tbl[[#This Row],[Unknown]]=0),1,0)</f>
        <v>0</v>
      </c>
      <c r="AF757">
        <f>IF(AND(vp.tbl[[#This Row],[CrudeType]]="Crude",vp.tbl[[#This Row],[Dens]]&gt;900,vp.tbl[[#This Row],[Sulf]]&lt;=0.5,vp.tbl[[#This Row],[Unknown]]=0),1,0)</f>
        <v>0</v>
      </c>
      <c r="AG757" t="str">
        <f>INDEX(vp.tbl[[#Headers],[Unknown]:[Heavy_SW]],MATCH(1,vp.tbl[[#This Row],[Unknown]:[Heavy_SW]],0))</f>
        <v>Medium_LSB</v>
      </c>
      <c r="AH757" t="e">
        <f>INDEX([1]!crudeBD.lkup[Number],MATCH(vp.tbl[[#This Row],[Crude_Breakdown]],[1]!crudeBD.lkup[Crude Breakdown],0))</f>
        <v>#REF!</v>
      </c>
      <c r="AI757">
        <f>MONTH(vp.tbl[[#This Row],[SDate]])</f>
        <v>2</v>
      </c>
      <c r="AJ757" s="5">
        <f>IFERROR(vp.tbl[[#This Row],[Sulf]]*vp.tbl[[#This Row],[Net Dens]],"")</f>
        <v>14179566.43908</v>
      </c>
      <c r="AK757" s="5">
        <f>IFERROR(vp.tbl[[#This Row],[Dens]]*vp.tbl[[#This Row],[VolumeM3]],"")</f>
        <v>5764051.398</v>
      </c>
      <c r="AL757" s="5">
        <f>IFERROR(vp.tbl[[#This Row],[VP]]*vp.tbl[[#This Row],[VolumeM3]],"")</f>
        <v>578335.14200000011</v>
      </c>
      <c r="AM757" s="4">
        <f>IFERROR((vp.tbl[[#This Row],[VP]]-INDEX(crudeBD.lkup.complete[Mean_VP],MATCH(vp.tbl[[#This Row],[Crude_Breakdown]],crudeBD.lkup.complete[Crude Breakdown],0)))^2,"")</f>
        <v>45.244525075469248</v>
      </c>
      <c r="AN757" s="4">
        <f>IFERROR((vp.tbl[[#This Row],[Dens]]-INDEX(crudeBD.lkup.complete[Mean_Dens],MATCH(vp.tbl[[#This Row],[Crude_Breakdown]],crudeBD.lkup.complete[Crude Breakdown],0)))^2,"")</f>
        <v>432.98023901878889</v>
      </c>
      <c r="AO757" s="4">
        <f>IFERROR((vp.tbl[[#This Row],[Sulf]]-INDEX(crudeBD.lkup.complete[Mean_Sulf],MATCH(vp.tbl[[#This Row],[Crude_Breakdown]],crudeBD.lkup.complete[Crude Breakdown],0)))^2,"")</f>
        <v>1.0101659847929276</v>
      </c>
      <c r="AP757">
        <f>IF(AND(vp.tbl[[#This Row],[SDate]]&gt;=DATE(YEAR(vp.tbl[[#This Row],[SDate]]),5,1),vp.tbl[[#This Row],[SDate]]&lt;=DATE(YEAR(vp.tbl[[#This Row],[SDate]]),9,15)),1,0)</f>
        <v>0</v>
      </c>
      <c r="AQ757" s="15">
        <f>IF(vp.tbl[[#This Row],[SDate]]&lt;DATE(2016,12,1),0,1)</f>
        <v>1</v>
      </c>
    </row>
    <row r="758" spans="1:43" x14ac:dyDescent="0.25">
      <c r="A758">
        <v>757</v>
      </c>
      <c r="B758" t="s">
        <v>46</v>
      </c>
      <c r="C758" t="s">
        <v>46</v>
      </c>
      <c r="D758" t="s">
        <v>47</v>
      </c>
      <c r="F758" s="1">
        <v>42774</v>
      </c>
      <c r="G758" s="2">
        <v>63.7</v>
      </c>
      <c r="H758" s="2"/>
      <c r="I758" s="2">
        <v>2.39</v>
      </c>
      <c r="J758" s="2">
        <v>25.4</v>
      </c>
      <c r="K758" s="2">
        <v>-30</v>
      </c>
      <c r="L758" s="2">
        <v>867.5</v>
      </c>
      <c r="M758" s="2">
        <v>867.5</v>
      </c>
      <c r="N758" s="2">
        <f ca="1">INDEX(INDIRECT(_xlfn.CONCAT("weather.tbl[",N$1,"]")),MATCH(vp.tbl[[#This Row],[SDate]],weather.tbl[Date],0))</f>
        <v>-25.950000000000003</v>
      </c>
      <c r="O758" s="2">
        <f ca="1">INDEX(INDIRECT(_xlfn.CONCAT("weather.tbl[",O$1,"]")),MATCH(vp.tbl[[#This Row],[SDate]],weather.tbl[Date],0))</f>
        <v>-19.276190476190475</v>
      </c>
      <c r="P758" s="2">
        <f ca="1">INDEX(INDIRECT(_xlfn.CONCAT("weather.tbl[",P$1,"]")),MATCH(vp.tbl[[#This Row],[SDate]],weather.tbl[Date],0))</f>
        <v>-26.2</v>
      </c>
      <c r="Q758" s="2">
        <f ca="1">INDEX(INDIRECT(_xlfn.CONCAT("weather.tbl[",Q$1,"]")),MATCH(vp.tbl[[#This Row],[SDate]],weather.tbl[Date],0))</f>
        <v>-25.5</v>
      </c>
      <c r="R758" s="2">
        <f ca="1">INDEX(INDIRECT(_xlfn.CONCAT("weather.tbl[",R$1,"]")),MATCH(vp.tbl[[#This Row],[SDate]],weather.tbl[Date],0))</f>
        <v>-26.5</v>
      </c>
      <c r="S758" s="2">
        <f ca="1">INDEX(INDIRECT(_xlfn.CONCAT("weather.tbl[",S$1,"]")),MATCH(vp.tbl[[#This Row],[SDate]],weather.tbl[Date],0))</f>
        <v>-25.7</v>
      </c>
      <c r="T758" s="2">
        <f ca="1">INDEX(INDIRECT(_xlfn.CONCAT("weather.tbl[",T$1,"]")),MATCH(vp.tbl[[#This Row],[SDate]],weather.tbl[Date],0))</f>
        <v>-25.5</v>
      </c>
      <c r="U758" s="2">
        <f ca="1">INDEX(INDIRECT(_xlfn.CONCAT("weather.tbl[",U$1,"]")),MATCH(vp.tbl[[#This Row],[SDate]],weather.tbl[Date],0))</f>
        <v>-26.3</v>
      </c>
      <c r="V758" s="2">
        <v>104905.11500000001</v>
      </c>
      <c r="W758" t="s">
        <v>48</v>
      </c>
      <c r="X758">
        <f>IF(OR(vp.tbl[[#This Row],[Sulf]]="",vp.tbl[[#This Row],[Dens]]=""),1,0)</f>
        <v>0</v>
      </c>
      <c r="Y758">
        <f>IF(vp.tbl[[#This Row],[CrudeType]]="C5+",1,0)</f>
        <v>0</v>
      </c>
      <c r="Z758">
        <f>IF(AND(vp.tbl[[#This Row],[CrudeType]]="Crude",vp.tbl[[#This Row],[Dens]]&lt;=825,vp.tbl[[#This Row],[Sulf]]&gt;0.5,vp.tbl[[#This Row],[Unknown]]=0),1,0)</f>
        <v>0</v>
      </c>
      <c r="AA758">
        <f>IF(AND(vp.tbl[[#This Row],[CrudeType]]="Crude",vp.tbl[[#This Row],[Dens]]&lt;=825,vp.tbl[[#This Row],[Sulf]]&lt;=0.5,vp.tbl[[#This Row],[Unknown]]=0),1,0)</f>
        <v>0</v>
      </c>
      <c r="AB758">
        <f>IF(AND(vp.tbl[[#This Row],[CrudeType]]="Crude",vp.tbl[[#This Row],[Dens]]&gt;825,vp.tbl[[#This Row],[Dens]]&lt;=870,vp.tbl[[#This Row],[Sulf]]&gt;0.5,vp.tbl[[#This Row],[Unknown]]=0),1,0)</f>
        <v>1</v>
      </c>
      <c r="AC758">
        <f>IF(AND(vp.tbl[[#This Row],[CrudeType]]="Crude",vp.tbl[[#This Row],[Dens]]&gt;825,vp.tbl[[#This Row],[Dens]]&lt;=900,vp.tbl[[#This Row],[Sulf]]&lt;=0.5,vp.tbl[[#This Row],[Unknown]]=0),1,0)</f>
        <v>0</v>
      </c>
      <c r="AD758">
        <f>IF(AND(vp.tbl[[#This Row],[CrudeType]]="Crude",vp.tbl[[#This Row],[Dens]]&gt;870,vp.tbl[[#This Row],[Dens]]&lt;=900,vp.tbl[[#This Row],[Sulf]]&gt;0.5,vp.tbl[[#This Row],[Unknown]]=0),1,0)</f>
        <v>0</v>
      </c>
      <c r="AE758">
        <f>IF(AND(vp.tbl[[#This Row],[CrudeType]]="Crude",vp.tbl[[#This Row],[Dens]]&gt;900,vp.tbl[[#This Row],[Sulf]]&lt;=0.5,vp.tbl[[#This Row],[Unknown]]=0),1,0)</f>
        <v>0</v>
      </c>
      <c r="AF758">
        <f>IF(AND(vp.tbl[[#This Row],[CrudeType]]="Crude",vp.tbl[[#This Row],[Dens]]&gt;900,vp.tbl[[#This Row],[Sulf]]&lt;=0.5,vp.tbl[[#This Row],[Unknown]]=0),1,0)</f>
        <v>0</v>
      </c>
      <c r="AG758" t="str">
        <f>INDEX(vp.tbl[[#Headers],[Unknown]:[Heavy_SW]],MATCH(1,vp.tbl[[#This Row],[Unknown]:[Heavy_SW]],0))</f>
        <v>Medium_LSB</v>
      </c>
      <c r="AH758" t="e">
        <f>INDEX([1]!crudeBD.lkup[Number],MATCH(vp.tbl[[#This Row],[Crude_Breakdown]],[1]!crudeBD.lkup[Crude Breakdown],0))</f>
        <v>#REF!</v>
      </c>
      <c r="AI758">
        <f>MONTH(vp.tbl[[#This Row],[SDate]])</f>
        <v>2</v>
      </c>
      <c r="AJ758" s="5">
        <f>IFERROR(vp.tbl[[#This Row],[Sulf]]*vp.tbl[[#This Row],[Net Dens]],"")</f>
        <v>217502397.55737501</v>
      </c>
      <c r="AK758" s="5">
        <f>IFERROR(vp.tbl[[#This Row],[Dens]]*vp.tbl[[#This Row],[VolumeM3]],"")</f>
        <v>91005187.262500003</v>
      </c>
      <c r="AL758" s="5">
        <f>IFERROR(vp.tbl[[#This Row],[VP]]*vp.tbl[[#This Row],[VolumeM3]],"")</f>
        <v>6682455.8255000003</v>
      </c>
      <c r="AM758" s="4">
        <f>IFERROR((vp.tbl[[#This Row],[VP]]-INDEX(crudeBD.lkup.complete[Mean_VP],MATCH(vp.tbl[[#This Row],[Crude_Breakdown]],crudeBD.lkup.complete[Crude Breakdown],0)))^2,"")</f>
        <v>271.37933013875852</v>
      </c>
      <c r="AN758" s="4">
        <f>IFERROR((vp.tbl[[#This Row],[Dens]]-INDEX(crudeBD.lkup.complete[Mean_Dens],MATCH(vp.tbl[[#This Row],[Crude_Breakdown]],crudeBD.lkup.complete[Crude Breakdown],0)))^2,"")</f>
        <v>493.20313522132238</v>
      </c>
      <c r="AO758" s="4">
        <f>IFERROR((vp.tbl[[#This Row],[Sulf]]-INDEX(crudeBD.lkup.complete[Mean_Sulf],MATCH(vp.tbl[[#This Row],[Crude_Breakdown]],crudeBD.lkup.complete[Crude Breakdown],0)))^2,"")</f>
        <v>0.8743561652992573</v>
      </c>
      <c r="AP758">
        <f>IF(AND(vp.tbl[[#This Row],[SDate]]&gt;=DATE(YEAR(vp.tbl[[#This Row],[SDate]]),5,1),vp.tbl[[#This Row],[SDate]]&lt;=DATE(YEAR(vp.tbl[[#This Row],[SDate]]),9,15)),1,0)</f>
        <v>0</v>
      </c>
      <c r="AQ758" s="15">
        <f>IF(vp.tbl[[#This Row],[SDate]]&lt;DATE(2016,12,1),0,1)</f>
        <v>1</v>
      </c>
    </row>
    <row r="759" spans="1:43" x14ac:dyDescent="0.25">
      <c r="A759">
        <v>758</v>
      </c>
      <c r="B759" t="s">
        <v>108</v>
      </c>
      <c r="C759" t="s">
        <v>108</v>
      </c>
      <c r="D759" t="s">
        <v>158</v>
      </c>
      <c r="F759" s="1">
        <v>42774</v>
      </c>
      <c r="G759" s="2">
        <v>87.5</v>
      </c>
      <c r="H759" s="2"/>
      <c r="I759" s="2">
        <v>2.09</v>
      </c>
      <c r="J759" s="2">
        <v>-16.7</v>
      </c>
      <c r="K759" s="2">
        <v>-30</v>
      </c>
      <c r="L759" s="2">
        <v>878.3</v>
      </c>
      <c r="M759" s="2">
        <v>878.3</v>
      </c>
      <c r="N759" s="2">
        <f ca="1">INDEX(INDIRECT(_xlfn.CONCAT("weather.tbl[",N$1,"]")),MATCH(vp.tbl[[#This Row],[SDate]],weather.tbl[Date],0))</f>
        <v>-25.950000000000003</v>
      </c>
      <c r="O759" s="2">
        <f ca="1">INDEX(INDIRECT(_xlfn.CONCAT("weather.tbl[",O$1,"]")),MATCH(vp.tbl[[#This Row],[SDate]],weather.tbl[Date],0))</f>
        <v>-19.276190476190475</v>
      </c>
      <c r="P759" s="2">
        <f ca="1">INDEX(INDIRECT(_xlfn.CONCAT("weather.tbl[",P$1,"]")),MATCH(vp.tbl[[#This Row],[SDate]],weather.tbl[Date],0))</f>
        <v>-26.2</v>
      </c>
      <c r="Q759" s="2">
        <f ca="1">INDEX(INDIRECT(_xlfn.CONCAT("weather.tbl[",Q$1,"]")),MATCH(vp.tbl[[#This Row],[SDate]],weather.tbl[Date],0))</f>
        <v>-25.5</v>
      </c>
      <c r="R759" s="2">
        <f ca="1">INDEX(INDIRECT(_xlfn.CONCAT("weather.tbl[",R$1,"]")),MATCH(vp.tbl[[#This Row],[SDate]],weather.tbl[Date],0))</f>
        <v>-26.5</v>
      </c>
      <c r="S759" s="2">
        <f ca="1">INDEX(INDIRECT(_xlfn.CONCAT("weather.tbl[",S$1,"]")),MATCH(vp.tbl[[#This Row],[SDate]],weather.tbl[Date],0))</f>
        <v>-25.7</v>
      </c>
      <c r="T759" s="2">
        <f ca="1">INDEX(INDIRECT(_xlfn.CONCAT("weather.tbl[",T$1,"]")),MATCH(vp.tbl[[#This Row],[SDate]],weather.tbl[Date],0))</f>
        <v>-25.5</v>
      </c>
      <c r="U759" s="2">
        <f ca="1">INDEX(INDIRECT(_xlfn.CONCAT("weather.tbl[",U$1,"]")),MATCH(vp.tbl[[#This Row],[SDate]],weather.tbl[Date],0))</f>
        <v>-26.3</v>
      </c>
      <c r="V759" s="2">
        <v>1412.5039999999999</v>
      </c>
      <c r="W759" t="s">
        <v>48</v>
      </c>
      <c r="X759">
        <f>IF(OR(vp.tbl[[#This Row],[Sulf]]="",vp.tbl[[#This Row],[Dens]]=""),1,0)</f>
        <v>0</v>
      </c>
      <c r="Y759">
        <f>IF(vp.tbl[[#This Row],[CrudeType]]="C5+",1,0)</f>
        <v>0</v>
      </c>
      <c r="Z759">
        <f>IF(AND(vp.tbl[[#This Row],[CrudeType]]="Crude",vp.tbl[[#This Row],[Dens]]&lt;=825,vp.tbl[[#This Row],[Sulf]]&gt;0.5,vp.tbl[[#This Row],[Unknown]]=0),1,0)</f>
        <v>0</v>
      </c>
      <c r="AA759">
        <f>IF(AND(vp.tbl[[#This Row],[CrudeType]]="Crude",vp.tbl[[#This Row],[Dens]]&lt;=825,vp.tbl[[#This Row],[Sulf]]&lt;=0.5,vp.tbl[[#This Row],[Unknown]]=0),1,0)</f>
        <v>0</v>
      </c>
      <c r="AB759">
        <f>IF(AND(vp.tbl[[#This Row],[CrudeType]]="Crude",vp.tbl[[#This Row],[Dens]]&gt;825,vp.tbl[[#This Row],[Dens]]&lt;=870,vp.tbl[[#This Row],[Sulf]]&gt;0.5,vp.tbl[[#This Row],[Unknown]]=0),1,0)</f>
        <v>0</v>
      </c>
      <c r="AC759">
        <f>IF(AND(vp.tbl[[#This Row],[CrudeType]]="Crude",vp.tbl[[#This Row],[Dens]]&gt;825,vp.tbl[[#This Row],[Dens]]&lt;=900,vp.tbl[[#This Row],[Sulf]]&lt;=0.5,vp.tbl[[#This Row],[Unknown]]=0),1,0)</f>
        <v>0</v>
      </c>
      <c r="AD759">
        <f>IF(AND(vp.tbl[[#This Row],[CrudeType]]="Crude",vp.tbl[[#This Row],[Dens]]&gt;870,vp.tbl[[#This Row],[Dens]]&lt;=900,vp.tbl[[#This Row],[Sulf]]&gt;0.5,vp.tbl[[#This Row],[Unknown]]=0),1,0)</f>
        <v>1</v>
      </c>
      <c r="AE759">
        <f>IF(AND(vp.tbl[[#This Row],[CrudeType]]="Crude",vp.tbl[[#This Row],[Dens]]&gt;900,vp.tbl[[#This Row],[Sulf]]&lt;=0.5,vp.tbl[[#This Row],[Unknown]]=0),1,0)</f>
        <v>0</v>
      </c>
      <c r="AF759">
        <f>IF(AND(vp.tbl[[#This Row],[CrudeType]]="Crude",vp.tbl[[#This Row],[Dens]]&gt;900,vp.tbl[[#This Row],[Sulf]]&lt;=0.5,vp.tbl[[#This Row],[Unknown]]=0),1,0)</f>
        <v>0</v>
      </c>
      <c r="AG759" t="str">
        <f>INDEX(vp.tbl[[#Headers],[Unknown]:[Heavy_SW]],MATCH(1,vp.tbl[[#This Row],[Unknown]:[Heavy_SW]],0))</f>
        <v>Midale</v>
      </c>
      <c r="AH759" t="e">
        <f>INDEX([1]!crudeBD.lkup[Number],MATCH(vp.tbl[[#This Row],[Crude_Breakdown]],[1]!crudeBD.lkup[Crude Breakdown],0))</f>
        <v>#REF!</v>
      </c>
      <c r="AI759">
        <f>MONTH(vp.tbl[[#This Row],[SDate]])</f>
        <v>2</v>
      </c>
      <c r="AJ759" s="5">
        <f>IFERROR(vp.tbl[[#This Row],[Sulf]]*vp.tbl[[#This Row],[Net Dens]],"")</f>
        <v>2592858.7300879997</v>
      </c>
      <c r="AK759" s="5">
        <f>IFERROR(vp.tbl[[#This Row],[Dens]]*vp.tbl[[#This Row],[VolumeM3]],"")</f>
        <v>1240602.2631999999</v>
      </c>
      <c r="AL759" s="5">
        <f>IFERROR(vp.tbl[[#This Row],[VP]]*vp.tbl[[#This Row],[VolumeM3]],"")</f>
        <v>123594.09999999999</v>
      </c>
      <c r="AM759" s="4">
        <f>IFERROR((vp.tbl[[#This Row],[VP]]-INDEX(crudeBD.lkup.complete[Mean_VP],MATCH(vp.tbl[[#This Row],[Crude_Breakdown]],crudeBD.lkup.complete[Crude Breakdown],0)))^2,"")</f>
        <v>371.01092325014025</v>
      </c>
      <c r="AN759" s="4">
        <f>IFERROR((vp.tbl[[#This Row],[Dens]]-INDEX(crudeBD.lkup.complete[Mean_Dens],MATCH(vp.tbl[[#This Row],[Crude_Breakdown]],crudeBD.lkup.complete[Crude Breakdown],0)))^2,"")</f>
        <v>0.55942203040008465</v>
      </c>
      <c r="AO759" s="4">
        <f>IFERROR((vp.tbl[[#This Row],[Sulf]]-INDEX(crudeBD.lkup.complete[Mean_Sulf],MATCH(vp.tbl[[#This Row],[Crude_Breakdown]],crudeBD.lkup.complete[Crude Breakdown],0)))^2,"")</f>
        <v>0.10584620473426462</v>
      </c>
      <c r="AP759">
        <f>IF(AND(vp.tbl[[#This Row],[SDate]]&gt;=DATE(YEAR(vp.tbl[[#This Row],[SDate]]),5,1),vp.tbl[[#This Row],[SDate]]&lt;=DATE(YEAR(vp.tbl[[#This Row],[SDate]]),9,15)),1,0)</f>
        <v>0</v>
      </c>
      <c r="AQ759" s="15">
        <f>IF(vp.tbl[[#This Row],[SDate]]&lt;DATE(2016,12,1),0,1)</f>
        <v>1</v>
      </c>
    </row>
    <row r="760" spans="1:43" x14ac:dyDescent="0.25">
      <c r="A760">
        <v>759</v>
      </c>
      <c r="B760" t="s">
        <v>108</v>
      </c>
      <c r="C760" t="s">
        <v>108</v>
      </c>
      <c r="D760" t="s">
        <v>159</v>
      </c>
      <c r="F760" s="1">
        <v>42774</v>
      </c>
      <c r="G760" s="2">
        <v>61.1</v>
      </c>
      <c r="H760" s="2"/>
      <c r="I760" s="2">
        <v>2.17</v>
      </c>
      <c r="J760" s="2">
        <v>11.6</v>
      </c>
      <c r="K760" s="2">
        <v>-30</v>
      </c>
      <c r="L760" s="2">
        <v>882.5</v>
      </c>
      <c r="M760" s="2">
        <v>882.5</v>
      </c>
      <c r="N760" s="2">
        <f ca="1">INDEX(INDIRECT(_xlfn.CONCAT("weather.tbl[",N$1,"]")),MATCH(vp.tbl[[#This Row],[SDate]],weather.tbl[Date],0))</f>
        <v>-25.950000000000003</v>
      </c>
      <c r="O760" s="2">
        <f ca="1">INDEX(INDIRECT(_xlfn.CONCAT("weather.tbl[",O$1,"]")),MATCH(vp.tbl[[#This Row],[SDate]],weather.tbl[Date],0))</f>
        <v>-19.276190476190475</v>
      </c>
      <c r="P760" s="2">
        <f ca="1">INDEX(INDIRECT(_xlfn.CONCAT("weather.tbl[",P$1,"]")),MATCH(vp.tbl[[#This Row],[SDate]],weather.tbl[Date],0))</f>
        <v>-26.2</v>
      </c>
      <c r="Q760" s="2">
        <f ca="1">INDEX(INDIRECT(_xlfn.CONCAT("weather.tbl[",Q$1,"]")),MATCH(vp.tbl[[#This Row],[SDate]],weather.tbl[Date],0))</f>
        <v>-25.5</v>
      </c>
      <c r="R760" s="2">
        <f ca="1">INDEX(INDIRECT(_xlfn.CONCAT("weather.tbl[",R$1,"]")),MATCH(vp.tbl[[#This Row],[SDate]],weather.tbl[Date],0))</f>
        <v>-26.5</v>
      </c>
      <c r="S760" s="2">
        <f ca="1">INDEX(INDIRECT(_xlfn.CONCAT("weather.tbl[",S$1,"]")),MATCH(vp.tbl[[#This Row],[SDate]],weather.tbl[Date],0))</f>
        <v>-25.7</v>
      </c>
      <c r="T760" s="2">
        <f ca="1">INDEX(INDIRECT(_xlfn.CONCAT("weather.tbl[",T$1,"]")),MATCH(vp.tbl[[#This Row],[SDate]],weather.tbl[Date],0))</f>
        <v>-25.5</v>
      </c>
      <c r="U760" s="2">
        <f ca="1">INDEX(INDIRECT(_xlfn.CONCAT("weather.tbl[",U$1,"]")),MATCH(vp.tbl[[#This Row],[SDate]],weather.tbl[Date],0))</f>
        <v>-26.3</v>
      </c>
      <c r="V760" s="2">
        <v>1351.4469999999999</v>
      </c>
      <c r="W760" t="s">
        <v>48</v>
      </c>
      <c r="X760">
        <f>IF(OR(vp.tbl[[#This Row],[Sulf]]="",vp.tbl[[#This Row],[Dens]]=""),1,0)</f>
        <v>0</v>
      </c>
      <c r="Y760">
        <f>IF(vp.tbl[[#This Row],[CrudeType]]="C5+",1,0)</f>
        <v>0</v>
      </c>
      <c r="Z760">
        <f>IF(AND(vp.tbl[[#This Row],[CrudeType]]="Crude",vp.tbl[[#This Row],[Dens]]&lt;=825,vp.tbl[[#This Row],[Sulf]]&gt;0.5,vp.tbl[[#This Row],[Unknown]]=0),1,0)</f>
        <v>0</v>
      </c>
      <c r="AA760">
        <f>IF(AND(vp.tbl[[#This Row],[CrudeType]]="Crude",vp.tbl[[#This Row],[Dens]]&lt;=825,vp.tbl[[#This Row],[Sulf]]&lt;=0.5,vp.tbl[[#This Row],[Unknown]]=0),1,0)</f>
        <v>0</v>
      </c>
      <c r="AB760">
        <f>IF(AND(vp.tbl[[#This Row],[CrudeType]]="Crude",vp.tbl[[#This Row],[Dens]]&gt;825,vp.tbl[[#This Row],[Dens]]&lt;=870,vp.tbl[[#This Row],[Sulf]]&gt;0.5,vp.tbl[[#This Row],[Unknown]]=0),1,0)</f>
        <v>0</v>
      </c>
      <c r="AC760">
        <f>IF(AND(vp.tbl[[#This Row],[CrudeType]]="Crude",vp.tbl[[#This Row],[Dens]]&gt;825,vp.tbl[[#This Row],[Dens]]&lt;=900,vp.tbl[[#This Row],[Sulf]]&lt;=0.5,vp.tbl[[#This Row],[Unknown]]=0),1,0)</f>
        <v>0</v>
      </c>
      <c r="AD760">
        <f>IF(AND(vp.tbl[[#This Row],[CrudeType]]="Crude",vp.tbl[[#This Row],[Dens]]&gt;870,vp.tbl[[#This Row],[Dens]]&lt;=900,vp.tbl[[#This Row],[Sulf]]&gt;0.5,vp.tbl[[#This Row],[Unknown]]=0),1,0)</f>
        <v>1</v>
      </c>
      <c r="AE760">
        <f>IF(AND(vp.tbl[[#This Row],[CrudeType]]="Crude",vp.tbl[[#This Row],[Dens]]&gt;900,vp.tbl[[#This Row],[Sulf]]&lt;=0.5,vp.tbl[[#This Row],[Unknown]]=0),1,0)</f>
        <v>0</v>
      </c>
      <c r="AF760">
        <f>IF(AND(vp.tbl[[#This Row],[CrudeType]]="Crude",vp.tbl[[#This Row],[Dens]]&gt;900,vp.tbl[[#This Row],[Sulf]]&lt;=0.5,vp.tbl[[#This Row],[Unknown]]=0),1,0)</f>
        <v>0</v>
      </c>
      <c r="AG760" t="str">
        <f>INDEX(vp.tbl[[#Headers],[Unknown]:[Heavy_SW]],MATCH(1,vp.tbl[[#This Row],[Unknown]:[Heavy_SW]],0))</f>
        <v>Midale</v>
      </c>
      <c r="AH760" t="e">
        <f>INDEX([1]!crudeBD.lkup[Number],MATCH(vp.tbl[[#This Row],[Crude_Breakdown]],[1]!crudeBD.lkup[Crude Breakdown],0))</f>
        <v>#REF!</v>
      </c>
      <c r="AI760">
        <f>MONTH(vp.tbl[[#This Row],[SDate]])</f>
        <v>2</v>
      </c>
      <c r="AJ760" s="5">
        <f>IFERROR(vp.tbl[[#This Row],[Sulf]]*vp.tbl[[#This Row],[Net Dens]],"")</f>
        <v>2588054.7911749994</v>
      </c>
      <c r="AK760" s="5">
        <f>IFERROR(vp.tbl[[#This Row],[Dens]]*vp.tbl[[#This Row],[VolumeM3]],"")</f>
        <v>1192651.9774999998</v>
      </c>
      <c r="AL760" s="5">
        <f>IFERROR(vp.tbl[[#This Row],[VP]]*vp.tbl[[#This Row],[VolumeM3]],"")</f>
        <v>82573.411699999997</v>
      </c>
      <c r="AM760" s="4">
        <f>IFERROR((vp.tbl[[#This Row],[VP]]-INDEX(crudeBD.lkup.complete[Mean_VP],MATCH(vp.tbl[[#This Row],[Crude_Breakdown]],crudeBD.lkup.complete[Crude Breakdown],0)))^2,"")</f>
        <v>50.956128729592962</v>
      </c>
      <c r="AN760" s="4">
        <f>IFERROR((vp.tbl[[#This Row],[Dens]]-INDEX(crudeBD.lkup.complete[Mean_Dens],MATCH(vp.tbl[[#This Row],[Crude_Breakdown]],crudeBD.lkup.complete[Crude Breakdown],0)))^2,"")</f>
        <v>24.482161756430092</v>
      </c>
      <c r="AO760" s="4">
        <f>IFERROR((vp.tbl[[#This Row],[Sulf]]-INDEX(crudeBD.lkup.complete[Mean_Sulf],MATCH(vp.tbl[[#This Row],[Crude_Breakdown]],crudeBD.lkup.complete[Crude Breakdown],0)))^2,"")</f>
        <v>6.0191782816456547E-2</v>
      </c>
      <c r="AP760">
        <f>IF(AND(vp.tbl[[#This Row],[SDate]]&gt;=DATE(YEAR(vp.tbl[[#This Row],[SDate]]),5,1),vp.tbl[[#This Row],[SDate]]&lt;=DATE(YEAR(vp.tbl[[#This Row],[SDate]]),9,15)),1,0)</f>
        <v>0</v>
      </c>
      <c r="AQ760" s="15">
        <f>IF(vp.tbl[[#This Row],[SDate]]&lt;DATE(2016,12,1),0,1)</f>
        <v>1</v>
      </c>
    </row>
    <row r="761" spans="1:43" x14ac:dyDescent="0.25">
      <c r="A761">
        <v>760</v>
      </c>
      <c r="B761" t="s">
        <v>56</v>
      </c>
      <c r="C761" t="s">
        <v>56</v>
      </c>
      <c r="D761" t="s">
        <v>57</v>
      </c>
      <c r="F761" s="1">
        <v>42775</v>
      </c>
      <c r="G761" s="2">
        <v>97.8</v>
      </c>
      <c r="H761" s="2"/>
      <c r="I761" s="2">
        <v>1.69</v>
      </c>
      <c r="J761" s="2">
        <v>-3.4</v>
      </c>
      <c r="K761" s="2">
        <v>-24</v>
      </c>
      <c r="L761" s="2">
        <v>846.3</v>
      </c>
      <c r="M761" s="2">
        <v>846.3</v>
      </c>
      <c r="N761" s="2">
        <f ca="1">INDEX(INDIRECT(_xlfn.CONCAT("weather.tbl[",N$1,"]")),MATCH(vp.tbl[[#This Row],[SDate]],weather.tbl[Date],0))</f>
        <v>-16.533333333333331</v>
      </c>
      <c r="O761" s="2">
        <f ca="1">INDEX(INDIRECT(_xlfn.CONCAT("weather.tbl[",O$1,"]")),MATCH(vp.tbl[[#This Row],[SDate]],weather.tbl[Date],0))</f>
        <v>-19.123809523809523</v>
      </c>
      <c r="P761" s="2">
        <f ca="1">INDEX(INDIRECT(_xlfn.CONCAT("weather.tbl[",P$1,"]")),MATCH(vp.tbl[[#This Row],[SDate]],weather.tbl[Date],0))</f>
        <v>-17.899999999999999</v>
      </c>
      <c r="Q761" s="2">
        <f ca="1">INDEX(INDIRECT(_xlfn.CONCAT("weather.tbl[",Q$1,"]")),MATCH(vp.tbl[[#This Row],[SDate]],weather.tbl[Date],0))</f>
        <v>-18.2</v>
      </c>
      <c r="R761" s="2">
        <f ca="1">INDEX(INDIRECT(_xlfn.CONCAT("weather.tbl[",R$1,"]")),MATCH(vp.tbl[[#This Row],[SDate]],weather.tbl[Date],0))</f>
        <v>-14</v>
      </c>
      <c r="S761" s="2">
        <f ca="1">INDEX(INDIRECT(_xlfn.CONCAT("weather.tbl[",S$1,"]")),MATCH(vp.tbl[[#This Row],[SDate]],weather.tbl[Date],0))</f>
        <v>-16.600000000000001</v>
      </c>
      <c r="T761" s="2">
        <f ca="1">INDEX(INDIRECT(_xlfn.CONCAT("weather.tbl[",T$1,"]")),MATCH(vp.tbl[[#This Row],[SDate]],weather.tbl[Date],0))</f>
        <v>-18.2</v>
      </c>
      <c r="U761" s="2">
        <f ca="1">INDEX(INDIRECT(_xlfn.CONCAT("weather.tbl[",U$1,"]")),MATCH(vp.tbl[[#This Row],[SDate]],weather.tbl[Date],0))</f>
        <v>-14.3</v>
      </c>
      <c r="V761" s="2">
        <v>2751.2289999999998</v>
      </c>
      <c r="W761" t="s">
        <v>48</v>
      </c>
      <c r="X761">
        <f>IF(OR(vp.tbl[[#This Row],[Sulf]]="",vp.tbl[[#This Row],[Dens]]=""),1,0)</f>
        <v>0</v>
      </c>
      <c r="Y761">
        <f>IF(vp.tbl[[#This Row],[CrudeType]]="C5+",1,0)</f>
        <v>0</v>
      </c>
      <c r="Z761">
        <f>IF(AND(vp.tbl[[#This Row],[CrudeType]]="Crude",vp.tbl[[#This Row],[Dens]]&lt;=825,vp.tbl[[#This Row],[Sulf]]&gt;0.5,vp.tbl[[#This Row],[Unknown]]=0),1,0)</f>
        <v>0</v>
      </c>
      <c r="AA761">
        <f>IF(AND(vp.tbl[[#This Row],[CrudeType]]="Crude",vp.tbl[[#This Row],[Dens]]&lt;=825,vp.tbl[[#This Row],[Sulf]]&lt;=0.5,vp.tbl[[#This Row],[Unknown]]=0),1,0)</f>
        <v>0</v>
      </c>
      <c r="AB761">
        <f>IF(AND(vp.tbl[[#This Row],[CrudeType]]="Crude",vp.tbl[[#This Row],[Dens]]&gt;825,vp.tbl[[#This Row],[Dens]]&lt;=870,vp.tbl[[#This Row],[Sulf]]&gt;0.5,vp.tbl[[#This Row],[Unknown]]=0),1,0)</f>
        <v>1</v>
      </c>
      <c r="AC761">
        <f>IF(AND(vp.tbl[[#This Row],[CrudeType]]="Crude",vp.tbl[[#This Row],[Dens]]&gt;825,vp.tbl[[#This Row],[Dens]]&lt;=900,vp.tbl[[#This Row],[Sulf]]&lt;=0.5,vp.tbl[[#This Row],[Unknown]]=0),1,0)</f>
        <v>0</v>
      </c>
      <c r="AD761">
        <f>IF(AND(vp.tbl[[#This Row],[CrudeType]]="Crude",vp.tbl[[#This Row],[Dens]]&gt;870,vp.tbl[[#This Row],[Dens]]&lt;=900,vp.tbl[[#This Row],[Sulf]]&gt;0.5,vp.tbl[[#This Row],[Unknown]]=0),1,0)</f>
        <v>0</v>
      </c>
      <c r="AE761">
        <f>IF(AND(vp.tbl[[#This Row],[CrudeType]]="Crude",vp.tbl[[#This Row],[Dens]]&gt;900,vp.tbl[[#This Row],[Sulf]]&lt;=0.5,vp.tbl[[#This Row],[Unknown]]=0),1,0)</f>
        <v>0</v>
      </c>
      <c r="AF761">
        <f>IF(AND(vp.tbl[[#This Row],[CrudeType]]="Crude",vp.tbl[[#This Row],[Dens]]&gt;900,vp.tbl[[#This Row],[Sulf]]&lt;=0.5,vp.tbl[[#This Row],[Unknown]]=0),1,0)</f>
        <v>0</v>
      </c>
      <c r="AG761" t="str">
        <f>INDEX(vp.tbl[[#Headers],[Unknown]:[Heavy_SW]],MATCH(1,vp.tbl[[#This Row],[Unknown]:[Heavy_SW]],0))</f>
        <v>Medium_LSB</v>
      </c>
      <c r="AH761" t="e">
        <f>INDEX([1]!crudeBD.lkup[Number],MATCH(vp.tbl[[#This Row],[Crude_Breakdown]],[1]!crudeBD.lkup[Crude Breakdown],0))</f>
        <v>#REF!</v>
      </c>
      <c r="AI761">
        <f>MONTH(vp.tbl[[#This Row],[SDate]])</f>
        <v>2</v>
      </c>
      <c r="AJ761" s="5">
        <f>IFERROR(vp.tbl[[#This Row],[Sulf]]*vp.tbl[[#This Row],[Net Dens]],"")</f>
        <v>3934937.0235629994</v>
      </c>
      <c r="AK761" s="5">
        <f>IFERROR(vp.tbl[[#This Row],[Dens]]*vp.tbl[[#This Row],[VolumeM3]],"")</f>
        <v>2328365.1026999997</v>
      </c>
      <c r="AL761" s="5">
        <f>IFERROR(vp.tbl[[#This Row],[VP]]*vp.tbl[[#This Row],[VolumeM3]],"")</f>
        <v>269070.19619999995</v>
      </c>
      <c r="AM761" s="4">
        <f>IFERROR((vp.tbl[[#This Row],[VP]]-INDEX(crudeBD.lkup.complete[Mean_VP],MATCH(vp.tbl[[#This Row],[Crude_Breakdown]],crudeBD.lkup.complete[Crude Breakdown],0)))^2,"")</f>
        <v>310.69015545521671</v>
      </c>
      <c r="AN761" s="4">
        <f>IFERROR((vp.tbl[[#This Row],[Dens]]-INDEX(crudeBD.lkup.complete[Mean_Dens],MATCH(vp.tbl[[#This Row],[Crude_Breakdown]],crudeBD.lkup.complete[Crude Breakdown],0)))^2,"")</f>
        <v>1.016421297229902</v>
      </c>
      <c r="AO761" s="4">
        <f>IFERROR((vp.tbl[[#This Row],[Sulf]]-INDEX(crudeBD.lkup.complete[Mean_Sulf],MATCH(vp.tbl[[#This Row],[Crude_Breakdown]],crudeBD.lkup.complete[Crude Breakdown],0)))^2,"")</f>
        <v>5.5257970362550313E-2</v>
      </c>
      <c r="AP761">
        <f>IF(AND(vp.tbl[[#This Row],[SDate]]&gt;=DATE(YEAR(vp.tbl[[#This Row],[SDate]]),5,1),vp.tbl[[#This Row],[SDate]]&lt;=DATE(YEAR(vp.tbl[[#This Row],[SDate]]),9,15)),1,0)</f>
        <v>0</v>
      </c>
      <c r="AQ761" s="15">
        <f>IF(vp.tbl[[#This Row],[SDate]]&lt;DATE(2016,12,1),0,1)</f>
        <v>1</v>
      </c>
    </row>
    <row r="762" spans="1:43" x14ac:dyDescent="0.25">
      <c r="A762">
        <v>761</v>
      </c>
      <c r="B762" t="s">
        <v>62</v>
      </c>
      <c r="C762" t="s">
        <v>62</v>
      </c>
      <c r="D762" t="s">
        <v>63</v>
      </c>
      <c r="F762" s="1">
        <v>42775</v>
      </c>
      <c r="G762" s="2">
        <v>101.3</v>
      </c>
      <c r="H762" s="2"/>
      <c r="I762" s="2">
        <v>1.53</v>
      </c>
      <c r="J762" s="2">
        <v>-1</v>
      </c>
      <c r="K762" s="2">
        <v>-26</v>
      </c>
      <c r="L762" s="2">
        <v>847.6</v>
      </c>
      <c r="M762" s="2">
        <v>847.6</v>
      </c>
      <c r="N762" s="2">
        <f ca="1">INDEX(INDIRECT(_xlfn.CONCAT("weather.tbl[",N$1,"]")),MATCH(vp.tbl[[#This Row],[SDate]],weather.tbl[Date],0))</f>
        <v>-16.533333333333331</v>
      </c>
      <c r="O762" s="2">
        <f ca="1">INDEX(INDIRECT(_xlfn.CONCAT("weather.tbl[",O$1,"]")),MATCH(vp.tbl[[#This Row],[SDate]],weather.tbl[Date],0))</f>
        <v>-19.123809523809523</v>
      </c>
      <c r="P762" s="2">
        <f ca="1">INDEX(INDIRECT(_xlfn.CONCAT("weather.tbl[",P$1,"]")),MATCH(vp.tbl[[#This Row],[SDate]],weather.tbl[Date],0))</f>
        <v>-17.899999999999999</v>
      </c>
      <c r="Q762" s="2">
        <f ca="1">INDEX(INDIRECT(_xlfn.CONCAT("weather.tbl[",Q$1,"]")),MATCH(vp.tbl[[#This Row],[SDate]],weather.tbl[Date],0))</f>
        <v>-18.2</v>
      </c>
      <c r="R762" s="2">
        <f ca="1">INDEX(INDIRECT(_xlfn.CONCAT("weather.tbl[",R$1,"]")),MATCH(vp.tbl[[#This Row],[SDate]],weather.tbl[Date],0))</f>
        <v>-14</v>
      </c>
      <c r="S762" s="2">
        <f ca="1">INDEX(INDIRECT(_xlfn.CONCAT("weather.tbl[",S$1,"]")),MATCH(vp.tbl[[#This Row],[SDate]],weather.tbl[Date],0))</f>
        <v>-16.600000000000001</v>
      </c>
      <c r="T762" s="2">
        <f ca="1">INDEX(INDIRECT(_xlfn.CONCAT("weather.tbl[",T$1,"]")),MATCH(vp.tbl[[#This Row],[SDate]],weather.tbl[Date],0))</f>
        <v>-18.2</v>
      </c>
      <c r="U762" s="2">
        <f ca="1">INDEX(INDIRECT(_xlfn.CONCAT("weather.tbl[",U$1,"]")),MATCH(vp.tbl[[#This Row],[SDate]],weather.tbl[Date],0))</f>
        <v>-14.3</v>
      </c>
      <c r="V762" s="2">
        <v>4978.7389999999996</v>
      </c>
      <c r="W762" t="s">
        <v>48</v>
      </c>
      <c r="X762">
        <f>IF(OR(vp.tbl[[#This Row],[Sulf]]="",vp.tbl[[#This Row],[Dens]]=""),1,0)</f>
        <v>0</v>
      </c>
      <c r="Y762">
        <f>IF(vp.tbl[[#This Row],[CrudeType]]="C5+",1,0)</f>
        <v>0</v>
      </c>
      <c r="Z762">
        <f>IF(AND(vp.tbl[[#This Row],[CrudeType]]="Crude",vp.tbl[[#This Row],[Dens]]&lt;=825,vp.tbl[[#This Row],[Sulf]]&gt;0.5,vp.tbl[[#This Row],[Unknown]]=0),1,0)</f>
        <v>0</v>
      </c>
      <c r="AA762">
        <f>IF(AND(vp.tbl[[#This Row],[CrudeType]]="Crude",vp.tbl[[#This Row],[Dens]]&lt;=825,vp.tbl[[#This Row],[Sulf]]&lt;=0.5,vp.tbl[[#This Row],[Unknown]]=0),1,0)</f>
        <v>0</v>
      </c>
      <c r="AB762">
        <f>IF(AND(vp.tbl[[#This Row],[CrudeType]]="Crude",vp.tbl[[#This Row],[Dens]]&gt;825,vp.tbl[[#This Row],[Dens]]&lt;=870,vp.tbl[[#This Row],[Sulf]]&gt;0.5,vp.tbl[[#This Row],[Unknown]]=0),1,0)</f>
        <v>1</v>
      </c>
      <c r="AC762">
        <f>IF(AND(vp.tbl[[#This Row],[CrudeType]]="Crude",vp.tbl[[#This Row],[Dens]]&gt;825,vp.tbl[[#This Row],[Dens]]&lt;=900,vp.tbl[[#This Row],[Sulf]]&lt;=0.5,vp.tbl[[#This Row],[Unknown]]=0),1,0)</f>
        <v>0</v>
      </c>
      <c r="AD762">
        <f>IF(AND(vp.tbl[[#This Row],[CrudeType]]="Crude",vp.tbl[[#This Row],[Dens]]&gt;870,vp.tbl[[#This Row],[Dens]]&lt;=900,vp.tbl[[#This Row],[Sulf]]&gt;0.5,vp.tbl[[#This Row],[Unknown]]=0),1,0)</f>
        <v>0</v>
      </c>
      <c r="AE762">
        <f>IF(AND(vp.tbl[[#This Row],[CrudeType]]="Crude",vp.tbl[[#This Row],[Dens]]&gt;900,vp.tbl[[#This Row],[Sulf]]&lt;=0.5,vp.tbl[[#This Row],[Unknown]]=0),1,0)</f>
        <v>0</v>
      </c>
      <c r="AF762">
        <f>IF(AND(vp.tbl[[#This Row],[CrudeType]]="Crude",vp.tbl[[#This Row],[Dens]]&gt;900,vp.tbl[[#This Row],[Sulf]]&lt;=0.5,vp.tbl[[#This Row],[Unknown]]=0),1,0)</f>
        <v>0</v>
      </c>
      <c r="AG762" t="str">
        <f>INDEX(vp.tbl[[#Headers],[Unknown]:[Heavy_SW]],MATCH(1,vp.tbl[[#This Row],[Unknown]:[Heavy_SW]],0))</f>
        <v>Medium_LSB</v>
      </c>
      <c r="AH762" t="e">
        <f>INDEX([1]!crudeBD.lkup[Number],MATCH(vp.tbl[[#This Row],[Crude_Breakdown]],[1]!crudeBD.lkup[Crude Breakdown],0))</f>
        <v>#REF!</v>
      </c>
      <c r="AI762">
        <f>MONTH(vp.tbl[[#This Row],[SDate]])</f>
        <v>2</v>
      </c>
      <c r="AJ762" s="5">
        <f>IFERROR(vp.tbl[[#This Row],[Sulf]]*vp.tbl[[#This Row],[Net Dens]],"")</f>
        <v>6456568.1398919988</v>
      </c>
      <c r="AK762" s="5">
        <f>IFERROR(vp.tbl[[#This Row],[Dens]]*vp.tbl[[#This Row],[VolumeM3]],"")</f>
        <v>4219979.1763999993</v>
      </c>
      <c r="AL762" s="5">
        <f>IFERROR(vp.tbl[[#This Row],[VP]]*vp.tbl[[#This Row],[VolumeM3]],"")</f>
        <v>504346.26069999993</v>
      </c>
      <c r="AM762" s="4">
        <f>IFERROR((vp.tbl[[#This Row],[VP]]-INDEX(crudeBD.lkup.complete[Mean_VP],MATCH(vp.tbl[[#This Row],[Crude_Breakdown]],crudeBD.lkup.complete[Crude Breakdown],0)))^2,"")</f>
        <v>446.3249908982549</v>
      </c>
      <c r="AN762" s="4">
        <f>IFERROR((vp.tbl[[#This Row],[Dens]]-INDEX(crudeBD.lkup.complete[Mean_Dens],MATCH(vp.tbl[[#This Row],[Crude_Breakdown]],crudeBD.lkup.complete[Crude Breakdown],0)))^2,"")</f>
        <v>5.3276820567263297</v>
      </c>
      <c r="AO762" s="4">
        <f>IFERROR((vp.tbl[[#This Row],[Sulf]]-INDEX(crudeBD.lkup.complete[Mean_Sulf],MATCH(vp.tbl[[#This Row],[Crude_Breakdown]],crudeBD.lkup.complete[Crude Breakdown],0)))^2,"")</f>
        <v>5.6355258055887899E-3</v>
      </c>
      <c r="AP762">
        <f>IF(AND(vp.tbl[[#This Row],[SDate]]&gt;=DATE(YEAR(vp.tbl[[#This Row],[SDate]]),5,1),vp.tbl[[#This Row],[SDate]]&lt;=DATE(YEAR(vp.tbl[[#This Row],[SDate]]),9,15)),1,0)</f>
        <v>0</v>
      </c>
      <c r="AQ762" s="15">
        <f>IF(vp.tbl[[#This Row],[SDate]]&lt;DATE(2016,12,1),0,1)</f>
        <v>1</v>
      </c>
    </row>
    <row r="763" spans="1:43" x14ac:dyDescent="0.25">
      <c r="A763">
        <v>762</v>
      </c>
      <c r="B763" t="s">
        <v>49</v>
      </c>
      <c r="C763" t="s">
        <v>49</v>
      </c>
      <c r="D763" t="s">
        <v>75</v>
      </c>
      <c r="F763" s="1">
        <v>42776</v>
      </c>
      <c r="G763" s="2">
        <v>99.6</v>
      </c>
      <c r="H763" s="2">
        <v>0.17</v>
      </c>
      <c r="I763" s="2">
        <v>0.17</v>
      </c>
      <c r="J763" s="2">
        <v>25.5</v>
      </c>
      <c r="K763" s="2">
        <v>-6</v>
      </c>
      <c r="L763" s="2">
        <v>818.2</v>
      </c>
      <c r="M763" s="2">
        <v>818.2</v>
      </c>
      <c r="N763" s="2">
        <f ca="1">INDEX(INDIRECT(_xlfn.CONCAT("weather.tbl[",N$1,"]")),MATCH(vp.tbl[[#This Row],[SDate]],weather.tbl[Date],0))</f>
        <v>-4.3500000000000005</v>
      </c>
      <c r="O763" s="2">
        <f ca="1">INDEX(INDIRECT(_xlfn.CONCAT("weather.tbl[",O$1,"]")),MATCH(vp.tbl[[#This Row],[SDate]],weather.tbl[Date],0))</f>
        <v>-17.464285714285715</v>
      </c>
      <c r="P763" s="2">
        <f ca="1">INDEX(INDIRECT(_xlfn.CONCAT("weather.tbl[",P$1,"]")),MATCH(vp.tbl[[#This Row],[SDate]],weather.tbl[Date],0))</f>
        <v>-1.4</v>
      </c>
      <c r="Q763" s="2">
        <f ca="1">INDEX(INDIRECT(_xlfn.CONCAT("weather.tbl[",Q$1,"]")),MATCH(vp.tbl[[#This Row],[SDate]],weather.tbl[Date],0))</f>
        <v>-1.5</v>
      </c>
      <c r="R763" s="2">
        <f ca="1">INDEX(INDIRECT(_xlfn.CONCAT("weather.tbl[",R$1,"]")),MATCH(vp.tbl[[#This Row],[SDate]],weather.tbl[Date],0))</f>
        <v>-6.5</v>
      </c>
      <c r="S763" s="2">
        <f ca="1">INDEX(INDIRECT(_xlfn.CONCAT("weather.tbl[",S$1,"]")),MATCH(vp.tbl[[#This Row],[SDate]],weather.tbl[Date],0))</f>
        <v>-2.1</v>
      </c>
      <c r="T763" s="2">
        <f ca="1">INDEX(INDIRECT(_xlfn.CONCAT("weather.tbl[",T$1,"]")),MATCH(vp.tbl[[#This Row],[SDate]],weather.tbl[Date],0))</f>
        <v>-5.6</v>
      </c>
      <c r="U763" s="2">
        <f ca="1">INDEX(INDIRECT(_xlfn.CONCAT("weather.tbl[",U$1,"]")),MATCH(vp.tbl[[#This Row],[SDate]],weather.tbl[Date],0))</f>
        <v>-9</v>
      </c>
      <c r="V763" s="2">
        <v>8347.0130000000008</v>
      </c>
      <c r="W763" t="s">
        <v>48</v>
      </c>
      <c r="X763">
        <f>IF(OR(vp.tbl[[#This Row],[Sulf]]="",vp.tbl[[#This Row],[Dens]]=""),1,0)</f>
        <v>0</v>
      </c>
      <c r="Y763">
        <f>IF(vp.tbl[[#This Row],[CrudeType]]="C5+",1,0)</f>
        <v>0</v>
      </c>
      <c r="Z763">
        <f>IF(AND(vp.tbl[[#This Row],[CrudeType]]="Crude",vp.tbl[[#This Row],[Dens]]&lt;=825,vp.tbl[[#This Row],[Sulf]]&gt;0.5,vp.tbl[[#This Row],[Unknown]]=0),1,0)</f>
        <v>0</v>
      </c>
      <c r="AA763">
        <f>IF(AND(vp.tbl[[#This Row],[CrudeType]]="Crude",vp.tbl[[#This Row],[Dens]]&lt;=825,vp.tbl[[#This Row],[Sulf]]&lt;=0.5,vp.tbl[[#This Row],[Unknown]]=0),1,0)</f>
        <v>1</v>
      </c>
      <c r="AB763">
        <f>IF(AND(vp.tbl[[#This Row],[CrudeType]]="Crude",vp.tbl[[#This Row],[Dens]]&gt;825,vp.tbl[[#This Row],[Dens]]&lt;=870,vp.tbl[[#This Row],[Sulf]]&gt;0.5,vp.tbl[[#This Row],[Unknown]]=0),1,0)</f>
        <v>0</v>
      </c>
      <c r="AC763">
        <f>IF(AND(vp.tbl[[#This Row],[CrudeType]]="Crude",vp.tbl[[#This Row],[Dens]]&gt;825,vp.tbl[[#This Row],[Dens]]&lt;=900,vp.tbl[[#This Row],[Sulf]]&lt;=0.5,vp.tbl[[#This Row],[Unknown]]=0),1,0)</f>
        <v>0</v>
      </c>
      <c r="AD763">
        <f>IF(AND(vp.tbl[[#This Row],[CrudeType]]="Crude",vp.tbl[[#This Row],[Dens]]&gt;870,vp.tbl[[#This Row],[Dens]]&lt;=900,vp.tbl[[#This Row],[Sulf]]&gt;0.5,vp.tbl[[#This Row],[Unknown]]=0),1,0)</f>
        <v>0</v>
      </c>
      <c r="AE763">
        <f>IF(AND(vp.tbl[[#This Row],[CrudeType]]="Crude",vp.tbl[[#This Row],[Dens]]&gt;900,vp.tbl[[#This Row],[Sulf]]&lt;=0.5,vp.tbl[[#This Row],[Unknown]]=0),1,0)</f>
        <v>0</v>
      </c>
      <c r="AF763">
        <f>IF(AND(vp.tbl[[#This Row],[CrudeType]]="Crude",vp.tbl[[#This Row],[Dens]]&gt;900,vp.tbl[[#This Row],[Sulf]]&lt;=0.5,vp.tbl[[#This Row],[Unknown]]=0),1,0)</f>
        <v>0</v>
      </c>
      <c r="AG763" t="str">
        <f>INDEX(vp.tbl[[#Headers],[Unknown]:[Heavy_SW]],MATCH(1,vp.tbl[[#This Row],[Unknown]:[Heavy_SW]],0))</f>
        <v>Light_SW</v>
      </c>
      <c r="AH763" t="e">
        <f>INDEX([1]!crudeBD.lkup[Number],MATCH(vp.tbl[[#This Row],[Crude_Breakdown]],[1]!crudeBD.lkup[Crude Breakdown],0))</f>
        <v>#REF!</v>
      </c>
      <c r="AI763">
        <f>MONTH(vp.tbl[[#This Row],[SDate]])</f>
        <v>2</v>
      </c>
      <c r="AJ763" s="5">
        <f>IFERROR(vp.tbl[[#This Row],[Sulf]]*vp.tbl[[#This Row],[Net Dens]],"")</f>
        <v>1161019.4262220003</v>
      </c>
      <c r="AK763" s="5">
        <f>IFERROR(vp.tbl[[#This Row],[Dens]]*vp.tbl[[#This Row],[VolumeM3]],"")</f>
        <v>6829526.0366000012</v>
      </c>
      <c r="AL763" s="5">
        <f>IFERROR(vp.tbl[[#This Row],[VP]]*vp.tbl[[#This Row],[VolumeM3]],"")</f>
        <v>831362.49479999999</v>
      </c>
      <c r="AM763" s="4">
        <f>IFERROR((vp.tbl[[#This Row],[VP]]-INDEX(crudeBD.lkup.complete[Mean_VP],MATCH(vp.tbl[[#This Row],[Crude_Breakdown]],crudeBD.lkup.complete[Crude Breakdown],0)))^2,"")</f>
        <v>49.698078495550845</v>
      </c>
      <c r="AN763" s="4">
        <f>IFERROR((vp.tbl[[#This Row],[Dens]]-INDEX(crudeBD.lkup.complete[Mean_Dens],MATCH(vp.tbl[[#This Row],[Crude_Breakdown]],crudeBD.lkup.complete[Crude Breakdown],0)))^2,"")</f>
        <v>97.782466704712078</v>
      </c>
      <c r="AO763" s="4">
        <f>IFERROR((vp.tbl[[#This Row],[Sulf]]-INDEX(crudeBD.lkup.complete[Mean_Sulf],MATCH(vp.tbl[[#This Row],[Crude_Breakdown]],crudeBD.lkup.complete[Crude Breakdown],0)))^2,"")</f>
        <v>4.3879776367322437E-3</v>
      </c>
      <c r="AP763">
        <f>IF(AND(vp.tbl[[#This Row],[SDate]]&gt;=DATE(YEAR(vp.tbl[[#This Row],[SDate]]),5,1),vp.tbl[[#This Row],[SDate]]&lt;=DATE(YEAR(vp.tbl[[#This Row],[SDate]]),9,15)),1,0)</f>
        <v>0</v>
      </c>
      <c r="AQ763" s="15">
        <f>IF(vp.tbl[[#This Row],[SDate]]&lt;DATE(2016,12,1),0,1)</f>
        <v>1</v>
      </c>
    </row>
    <row r="764" spans="1:43" x14ac:dyDescent="0.25">
      <c r="A764">
        <v>763</v>
      </c>
      <c r="B764" t="s">
        <v>49</v>
      </c>
      <c r="C764" t="s">
        <v>49</v>
      </c>
      <c r="D764" t="s">
        <v>67</v>
      </c>
      <c r="F764" s="1">
        <v>42776</v>
      </c>
      <c r="G764" s="2">
        <v>106.7</v>
      </c>
      <c r="H764" s="2">
        <v>0.56799999999999995</v>
      </c>
      <c r="I764" s="2">
        <v>0.56799999999999995</v>
      </c>
      <c r="J764" s="2">
        <v>1.9</v>
      </c>
      <c r="K764" s="2">
        <v>-25</v>
      </c>
      <c r="L764" s="2">
        <v>818.2</v>
      </c>
      <c r="M764" s="2">
        <v>818.2</v>
      </c>
      <c r="N764" s="2">
        <f ca="1">INDEX(INDIRECT(_xlfn.CONCAT("weather.tbl[",N$1,"]")),MATCH(vp.tbl[[#This Row],[SDate]],weather.tbl[Date],0))</f>
        <v>-4.3500000000000005</v>
      </c>
      <c r="O764" s="2">
        <f ca="1">INDEX(INDIRECT(_xlfn.CONCAT("weather.tbl[",O$1,"]")),MATCH(vp.tbl[[#This Row],[SDate]],weather.tbl[Date],0))</f>
        <v>-17.464285714285715</v>
      </c>
      <c r="P764" s="2">
        <f ca="1">INDEX(INDIRECT(_xlfn.CONCAT("weather.tbl[",P$1,"]")),MATCH(vp.tbl[[#This Row],[SDate]],weather.tbl[Date],0))</f>
        <v>-1.4</v>
      </c>
      <c r="Q764" s="2">
        <f ca="1">INDEX(INDIRECT(_xlfn.CONCAT("weather.tbl[",Q$1,"]")),MATCH(vp.tbl[[#This Row],[SDate]],weather.tbl[Date],0))</f>
        <v>-1.5</v>
      </c>
      <c r="R764" s="2">
        <f ca="1">INDEX(INDIRECT(_xlfn.CONCAT("weather.tbl[",R$1,"]")),MATCH(vp.tbl[[#This Row],[SDate]],weather.tbl[Date],0))</f>
        <v>-6.5</v>
      </c>
      <c r="S764" s="2">
        <f ca="1">INDEX(INDIRECT(_xlfn.CONCAT("weather.tbl[",S$1,"]")),MATCH(vp.tbl[[#This Row],[SDate]],weather.tbl[Date],0))</f>
        <v>-2.1</v>
      </c>
      <c r="T764" s="2">
        <f ca="1">INDEX(INDIRECT(_xlfn.CONCAT("weather.tbl[",T$1,"]")),MATCH(vp.tbl[[#This Row],[SDate]],weather.tbl[Date],0))</f>
        <v>-5.6</v>
      </c>
      <c r="U764" s="2">
        <f ca="1">INDEX(INDIRECT(_xlfn.CONCAT("weather.tbl[",U$1,"]")),MATCH(vp.tbl[[#This Row],[SDate]],weather.tbl[Date],0))</f>
        <v>-9</v>
      </c>
      <c r="V764" s="2">
        <v>124428.834</v>
      </c>
      <c r="W764" t="s">
        <v>48</v>
      </c>
      <c r="X764">
        <f>IF(OR(vp.tbl[[#This Row],[Sulf]]="",vp.tbl[[#This Row],[Dens]]=""),1,0)</f>
        <v>0</v>
      </c>
      <c r="Y764">
        <f>IF(vp.tbl[[#This Row],[CrudeType]]="C5+",1,0)</f>
        <v>0</v>
      </c>
      <c r="Z764">
        <f>IF(AND(vp.tbl[[#This Row],[CrudeType]]="Crude",vp.tbl[[#This Row],[Dens]]&lt;=825,vp.tbl[[#This Row],[Sulf]]&gt;0.5,vp.tbl[[#This Row],[Unknown]]=0),1,0)</f>
        <v>1</v>
      </c>
      <c r="AA764">
        <f>IF(AND(vp.tbl[[#This Row],[CrudeType]]="Crude",vp.tbl[[#This Row],[Dens]]&lt;=825,vp.tbl[[#This Row],[Sulf]]&lt;=0.5,vp.tbl[[#This Row],[Unknown]]=0),1,0)</f>
        <v>0</v>
      </c>
      <c r="AB764">
        <f>IF(AND(vp.tbl[[#This Row],[CrudeType]]="Crude",vp.tbl[[#This Row],[Dens]]&gt;825,vp.tbl[[#This Row],[Dens]]&lt;=870,vp.tbl[[#This Row],[Sulf]]&gt;0.5,vp.tbl[[#This Row],[Unknown]]=0),1,0)</f>
        <v>0</v>
      </c>
      <c r="AC764">
        <f>IF(AND(vp.tbl[[#This Row],[CrudeType]]="Crude",vp.tbl[[#This Row],[Dens]]&gt;825,vp.tbl[[#This Row],[Dens]]&lt;=900,vp.tbl[[#This Row],[Sulf]]&lt;=0.5,vp.tbl[[#This Row],[Unknown]]=0),1,0)</f>
        <v>0</v>
      </c>
      <c r="AD764">
        <f>IF(AND(vp.tbl[[#This Row],[CrudeType]]="Crude",vp.tbl[[#This Row],[Dens]]&gt;870,vp.tbl[[#This Row],[Dens]]&lt;=900,vp.tbl[[#This Row],[Sulf]]&gt;0.5,vp.tbl[[#This Row],[Unknown]]=0),1,0)</f>
        <v>0</v>
      </c>
      <c r="AE764">
        <f>IF(AND(vp.tbl[[#This Row],[CrudeType]]="Crude",vp.tbl[[#This Row],[Dens]]&gt;900,vp.tbl[[#This Row],[Sulf]]&lt;=0.5,vp.tbl[[#This Row],[Unknown]]=0),1,0)</f>
        <v>0</v>
      </c>
      <c r="AF764">
        <f>IF(AND(vp.tbl[[#This Row],[CrudeType]]="Crude",vp.tbl[[#This Row],[Dens]]&gt;900,vp.tbl[[#This Row],[Sulf]]&lt;=0.5,vp.tbl[[#This Row],[Unknown]]=0),1,0)</f>
        <v>0</v>
      </c>
      <c r="AG764" t="str">
        <f>INDEX(vp.tbl[[#Headers],[Unknown]:[Heavy_SW]],MATCH(1,vp.tbl[[#This Row],[Unknown]:[Heavy_SW]],0))</f>
        <v>Light_LSB</v>
      </c>
      <c r="AH764" t="e">
        <f>INDEX([1]!crudeBD.lkup[Number],MATCH(vp.tbl[[#This Row],[Crude_Breakdown]],[1]!crudeBD.lkup[Crude Breakdown],0))</f>
        <v>#REF!</v>
      </c>
      <c r="AI764">
        <f>MONTH(vp.tbl[[#This Row],[SDate]])</f>
        <v>2</v>
      </c>
      <c r="AJ764" s="5">
        <f>IFERROR(vp.tbl[[#This Row],[Sulf]]*vp.tbl[[#This Row],[Net Dens]],"")</f>
        <v>57826757.683958404</v>
      </c>
      <c r="AK764" s="5">
        <f>IFERROR(vp.tbl[[#This Row],[Dens]]*vp.tbl[[#This Row],[VolumeM3]],"")</f>
        <v>101807671.97880001</v>
      </c>
      <c r="AL764" s="5">
        <f>IFERROR(vp.tbl[[#This Row],[VP]]*vp.tbl[[#This Row],[VolumeM3]],"")</f>
        <v>13276556.5878</v>
      </c>
      <c r="AM764" s="4">
        <f>IFERROR((vp.tbl[[#This Row],[VP]]-INDEX(crudeBD.lkup.complete[Mean_VP],MATCH(vp.tbl[[#This Row],[Crude_Breakdown]],crudeBD.lkup.complete[Crude Breakdown],0)))^2,"")</f>
        <v>229.63809186948581</v>
      </c>
      <c r="AN764" s="4">
        <f>IFERROR((vp.tbl[[#This Row],[Dens]]-INDEX(crudeBD.lkup.complete[Mean_Dens],MATCH(vp.tbl[[#This Row],[Crude_Breakdown]],crudeBD.lkup.complete[Crude Breakdown],0)))^2,"")</f>
        <v>0.1003430805018919</v>
      </c>
      <c r="AO764" s="4">
        <f>IFERROR((vp.tbl[[#This Row],[Sulf]]-INDEX(crudeBD.lkup.complete[Mean_Sulf],MATCH(vp.tbl[[#This Row],[Crude_Breakdown]],crudeBD.lkup.complete[Crude Breakdown],0)))^2,"")</f>
        <v>0.1260045303845265</v>
      </c>
      <c r="AP764">
        <f>IF(AND(vp.tbl[[#This Row],[SDate]]&gt;=DATE(YEAR(vp.tbl[[#This Row],[SDate]]),5,1),vp.tbl[[#This Row],[SDate]]&lt;=DATE(YEAR(vp.tbl[[#This Row],[SDate]]),9,15)),1,0)</f>
        <v>0</v>
      </c>
      <c r="AQ764" s="15">
        <f>IF(vp.tbl[[#This Row],[SDate]]&lt;DATE(2016,12,1),0,1)</f>
        <v>1</v>
      </c>
    </row>
    <row r="765" spans="1:43" x14ac:dyDescent="0.25">
      <c r="A765">
        <v>764</v>
      </c>
      <c r="B765" t="s">
        <v>49</v>
      </c>
      <c r="C765" t="s">
        <v>49</v>
      </c>
      <c r="D765" t="s">
        <v>99</v>
      </c>
      <c r="F765" s="1">
        <v>42776</v>
      </c>
      <c r="G765" s="2">
        <v>92</v>
      </c>
      <c r="H765" s="2">
        <v>0.56999999999999995</v>
      </c>
      <c r="I765" s="2">
        <v>0.56999999999999995</v>
      </c>
      <c r="J765" s="2">
        <v>9.6</v>
      </c>
      <c r="K765" s="2">
        <v>-6</v>
      </c>
      <c r="L765" s="2">
        <v>822.7</v>
      </c>
      <c r="M765" s="2">
        <v>822.7</v>
      </c>
      <c r="N765" s="2">
        <f ca="1">INDEX(INDIRECT(_xlfn.CONCAT("weather.tbl[",N$1,"]")),MATCH(vp.tbl[[#This Row],[SDate]],weather.tbl[Date],0))</f>
        <v>-4.3500000000000005</v>
      </c>
      <c r="O765" s="2">
        <f ca="1">INDEX(INDIRECT(_xlfn.CONCAT("weather.tbl[",O$1,"]")),MATCH(vp.tbl[[#This Row],[SDate]],weather.tbl[Date],0))</f>
        <v>-17.464285714285715</v>
      </c>
      <c r="P765" s="2">
        <f ca="1">INDEX(INDIRECT(_xlfn.CONCAT("weather.tbl[",P$1,"]")),MATCH(vp.tbl[[#This Row],[SDate]],weather.tbl[Date],0))</f>
        <v>-1.4</v>
      </c>
      <c r="Q765" s="2">
        <f ca="1">INDEX(INDIRECT(_xlfn.CONCAT("weather.tbl[",Q$1,"]")),MATCH(vp.tbl[[#This Row],[SDate]],weather.tbl[Date],0))</f>
        <v>-1.5</v>
      </c>
      <c r="R765" s="2">
        <f ca="1">INDEX(INDIRECT(_xlfn.CONCAT("weather.tbl[",R$1,"]")),MATCH(vp.tbl[[#This Row],[SDate]],weather.tbl[Date],0))</f>
        <v>-6.5</v>
      </c>
      <c r="S765" s="2">
        <f ca="1">INDEX(INDIRECT(_xlfn.CONCAT("weather.tbl[",S$1,"]")),MATCH(vp.tbl[[#This Row],[SDate]],weather.tbl[Date],0))</f>
        <v>-2.1</v>
      </c>
      <c r="T765" s="2">
        <f ca="1">INDEX(INDIRECT(_xlfn.CONCAT("weather.tbl[",T$1,"]")),MATCH(vp.tbl[[#This Row],[SDate]],weather.tbl[Date],0))</f>
        <v>-5.6</v>
      </c>
      <c r="U765" s="2">
        <f ca="1">INDEX(INDIRECT(_xlfn.CONCAT("weather.tbl[",U$1,"]")),MATCH(vp.tbl[[#This Row],[SDate]],weather.tbl[Date],0))</f>
        <v>-9</v>
      </c>
      <c r="V765" s="2">
        <v>3171.6849999999999</v>
      </c>
      <c r="W765" t="s">
        <v>48</v>
      </c>
      <c r="X765">
        <f>IF(OR(vp.tbl[[#This Row],[Sulf]]="",vp.tbl[[#This Row],[Dens]]=""),1,0)</f>
        <v>0</v>
      </c>
      <c r="Y765">
        <f>IF(vp.tbl[[#This Row],[CrudeType]]="C5+",1,0)</f>
        <v>0</v>
      </c>
      <c r="Z765">
        <f>IF(AND(vp.tbl[[#This Row],[CrudeType]]="Crude",vp.tbl[[#This Row],[Dens]]&lt;=825,vp.tbl[[#This Row],[Sulf]]&gt;0.5,vp.tbl[[#This Row],[Unknown]]=0),1,0)</f>
        <v>1</v>
      </c>
      <c r="AA765">
        <f>IF(AND(vp.tbl[[#This Row],[CrudeType]]="Crude",vp.tbl[[#This Row],[Dens]]&lt;=825,vp.tbl[[#This Row],[Sulf]]&lt;=0.5,vp.tbl[[#This Row],[Unknown]]=0),1,0)</f>
        <v>0</v>
      </c>
      <c r="AB765">
        <f>IF(AND(vp.tbl[[#This Row],[CrudeType]]="Crude",vp.tbl[[#This Row],[Dens]]&gt;825,vp.tbl[[#This Row],[Dens]]&lt;=870,vp.tbl[[#This Row],[Sulf]]&gt;0.5,vp.tbl[[#This Row],[Unknown]]=0),1,0)</f>
        <v>0</v>
      </c>
      <c r="AC765">
        <f>IF(AND(vp.tbl[[#This Row],[CrudeType]]="Crude",vp.tbl[[#This Row],[Dens]]&gt;825,vp.tbl[[#This Row],[Dens]]&lt;=900,vp.tbl[[#This Row],[Sulf]]&lt;=0.5,vp.tbl[[#This Row],[Unknown]]=0),1,0)</f>
        <v>0</v>
      </c>
      <c r="AD765">
        <f>IF(AND(vp.tbl[[#This Row],[CrudeType]]="Crude",vp.tbl[[#This Row],[Dens]]&gt;870,vp.tbl[[#This Row],[Dens]]&lt;=900,vp.tbl[[#This Row],[Sulf]]&gt;0.5,vp.tbl[[#This Row],[Unknown]]=0),1,0)</f>
        <v>0</v>
      </c>
      <c r="AE765">
        <f>IF(AND(vp.tbl[[#This Row],[CrudeType]]="Crude",vp.tbl[[#This Row],[Dens]]&gt;900,vp.tbl[[#This Row],[Sulf]]&lt;=0.5,vp.tbl[[#This Row],[Unknown]]=0),1,0)</f>
        <v>0</v>
      </c>
      <c r="AF765">
        <f>IF(AND(vp.tbl[[#This Row],[CrudeType]]="Crude",vp.tbl[[#This Row],[Dens]]&gt;900,vp.tbl[[#This Row],[Sulf]]&lt;=0.5,vp.tbl[[#This Row],[Unknown]]=0),1,0)</f>
        <v>0</v>
      </c>
      <c r="AG765" t="str">
        <f>INDEX(vp.tbl[[#Headers],[Unknown]:[Heavy_SW]],MATCH(1,vp.tbl[[#This Row],[Unknown]:[Heavy_SW]],0))</f>
        <v>Light_LSB</v>
      </c>
      <c r="AH765" t="e">
        <f>INDEX([1]!crudeBD.lkup[Number],MATCH(vp.tbl[[#This Row],[Crude_Breakdown]],[1]!crudeBD.lkup[Crude Breakdown],0))</f>
        <v>#REF!</v>
      </c>
      <c r="AI765">
        <f>MONTH(vp.tbl[[#This Row],[SDate]])</f>
        <v>2</v>
      </c>
      <c r="AJ765" s="5">
        <f>IFERROR(vp.tbl[[#This Row],[Sulf]]*vp.tbl[[#This Row],[Net Dens]],"")</f>
        <v>1487326.7922149999</v>
      </c>
      <c r="AK765" s="5">
        <f>IFERROR(vp.tbl[[#This Row],[Dens]]*vp.tbl[[#This Row],[VolumeM3]],"")</f>
        <v>2609345.2494999999</v>
      </c>
      <c r="AL765" s="5">
        <f>IFERROR(vp.tbl[[#This Row],[VP]]*vp.tbl[[#This Row],[VolumeM3]],"")</f>
        <v>291795.02</v>
      </c>
      <c r="AM765" s="4">
        <f>IFERROR((vp.tbl[[#This Row],[VP]]-INDEX(crudeBD.lkup.complete[Mean_VP],MATCH(vp.tbl[[#This Row],[Crude_Breakdown]],crudeBD.lkup.complete[Crude Breakdown],0)))^2,"")</f>
        <v>0.20594753958972625</v>
      </c>
      <c r="AN765" s="4">
        <f>IFERROR((vp.tbl[[#This Row],[Dens]]-INDEX(crudeBD.lkup.complete[Mean_Dens],MATCH(vp.tbl[[#This Row],[Crude_Breakdown]],crudeBD.lkup.complete[Crude Breakdown],0)))^2,"")</f>
        <v>17.499415245453584</v>
      </c>
      <c r="AO765" s="4">
        <f>IFERROR((vp.tbl[[#This Row],[Sulf]]-INDEX(crudeBD.lkup.complete[Mean_Sulf],MATCH(vp.tbl[[#This Row],[Crude_Breakdown]],crudeBD.lkup.complete[Crude Breakdown],0)))^2,"")</f>
        <v>0.12458864571098698</v>
      </c>
      <c r="AP765">
        <f>IF(AND(vp.tbl[[#This Row],[SDate]]&gt;=DATE(YEAR(vp.tbl[[#This Row],[SDate]]),5,1),vp.tbl[[#This Row],[SDate]]&lt;=DATE(YEAR(vp.tbl[[#This Row],[SDate]]),9,15)),1,0)</f>
        <v>0</v>
      </c>
      <c r="AQ765" s="15">
        <f>IF(vp.tbl[[#This Row],[SDate]]&lt;DATE(2016,12,1),0,1)</f>
        <v>1</v>
      </c>
    </row>
    <row r="766" spans="1:43" x14ac:dyDescent="0.25">
      <c r="A766">
        <v>765</v>
      </c>
      <c r="B766" t="s">
        <v>49</v>
      </c>
      <c r="C766" t="s">
        <v>49</v>
      </c>
      <c r="D766" t="s">
        <v>89</v>
      </c>
      <c r="F766" s="1">
        <v>42776</v>
      </c>
      <c r="G766" s="2">
        <v>107.6</v>
      </c>
      <c r="H766" s="2">
        <v>0.65600000000000003</v>
      </c>
      <c r="I766" s="2">
        <v>0.65600000000000003</v>
      </c>
      <c r="J766" s="2">
        <v>4.3</v>
      </c>
      <c r="K766" s="2">
        <v>-6</v>
      </c>
      <c r="L766" s="2">
        <v>815.4</v>
      </c>
      <c r="M766" s="2">
        <v>815.4</v>
      </c>
      <c r="N766" s="2">
        <f ca="1">INDEX(INDIRECT(_xlfn.CONCAT("weather.tbl[",N$1,"]")),MATCH(vp.tbl[[#This Row],[SDate]],weather.tbl[Date],0))</f>
        <v>-4.3500000000000005</v>
      </c>
      <c r="O766" s="2">
        <f ca="1">INDEX(INDIRECT(_xlfn.CONCAT("weather.tbl[",O$1,"]")),MATCH(vp.tbl[[#This Row],[SDate]],weather.tbl[Date],0))</f>
        <v>-17.464285714285715</v>
      </c>
      <c r="P766" s="2">
        <f ca="1">INDEX(INDIRECT(_xlfn.CONCAT("weather.tbl[",P$1,"]")),MATCH(vp.tbl[[#This Row],[SDate]],weather.tbl[Date],0))</f>
        <v>-1.4</v>
      </c>
      <c r="Q766" s="2">
        <f ca="1">INDEX(INDIRECT(_xlfn.CONCAT("weather.tbl[",Q$1,"]")),MATCH(vp.tbl[[#This Row],[SDate]],weather.tbl[Date],0))</f>
        <v>-1.5</v>
      </c>
      <c r="R766" s="2">
        <f ca="1">INDEX(INDIRECT(_xlfn.CONCAT("weather.tbl[",R$1,"]")),MATCH(vp.tbl[[#This Row],[SDate]],weather.tbl[Date],0))</f>
        <v>-6.5</v>
      </c>
      <c r="S766" s="2">
        <f ca="1">INDEX(INDIRECT(_xlfn.CONCAT("weather.tbl[",S$1,"]")),MATCH(vp.tbl[[#This Row],[SDate]],weather.tbl[Date],0))</f>
        <v>-2.1</v>
      </c>
      <c r="T766" s="2">
        <f ca="1">INDEX(INDIRECT(_xlfn.CONCAT("weather.tbl[",T$1,"]")),MATCH(vp.tbl[[#This Row],[SDate]],weather.tbl[Date],0))</f>
        <v>-5.6</v>
      </c>
      <c r="U766" s="2">
        <f ca="1">INDEX(INDIRECT(_xlfn.CONCAT("weather.tbl[",U$1,"]")),MATCH(vp.tbl[[#This Row],[SDate]],weather.tbl[Date],0))</f>
        <v>-9</v>
      </c>
      <c r="V766" s="2">
        <v>5063.2240000000002</v>
      </c>
      <c r="W766" t="s">
        <v>48</v>
      </c>
      <c r="X766">
        <f>IF(OR(vp.tbl[[#This Row],[Sulf]]="",vp.tbl[[#This Row],[Dens]]=""),1,0)</f>
        <v>0</v>
      </c>
      <c r="Y766">
        <f>IF(vp.tbl[[#This Row],[CrudeType]]="C5+",1,0)</f>
        <v>0</v>
      </c>
      <c r="Z766">
        <f>IF(AND(vp.tbl[[#This Row],[CrudeType]]="Crude",vp.tbl[[#This Row],[Dens]]&lt;=825,vp.tbl[[#This Row],[Sulf]]&gt;0.5,vp.tbl[[#This Row],[Unknown]]=0),1,0)</f>
        <v>1</v>
      </c>
      <c r="AA766">
        <f>IF(AND(vp.tbl[[#This Row],[CrudeType]]="Crude",vp.tbl[[#This Row],[Dens]]&lt;=825,vp.tbl[[#This Row],[Sulf]]&lt;=0.5,vp.tbl[[#This Row],[Unknown]]=0),1,0)</f>
        <v>0</v>
      </c>
      <c r="AB766">
        <f>IF(AND(vp.tbl[[#This Row],[CrudeType]]="Crude",vp.tbl[[#This Row],[Dens]]&gt;825,vp.tbl[[#This Row],[Dens]]&lt;=870,vp.tbl[[#This Row],[Sulf]]&gt;0.5,vp.tbl[[#This Row],[Unknown]]=0),1,0)</f>
        <v>0</v>
      </c>
      <c r="AC766">
        <f>IF(AND(vp.tbl[[#This Row],[CrudeType]]="Crude",vp.tbl[[#This Row],[Dens]]&gt;825,vp.tbl[[#This Row],[Dens]]&lt;=900,vp.tbl[[#This Row],[Sulf]]&lt;=0.5,vp.tbl[[#This Row],[Unknown]]=0),1,0)</f>
        <v>0</v>
      </c>
      <c r="AD766">
        <f>IF(AND(vp.tbl[[#This Row],[CrudeType]]="Crude",vp.tbl[[#This Row],[Dens]]&gt;870,vp.tbl[[#This Row],[Dens]]&lt;=900,vp.tbl[[#This Row],[Sulf]]&gt;0.5,vp.tbl[[#This Row],[Unknown]]=0),1,0)</f>
        <v>0</v>
      </c>
      <c r="AE766">
        <f>IF(AND(vp.tbl[[#This Row],[CrudeType]]="Crude",vp.tbl[[#This Row],[Dens]]&gt;900,vp.tbl[[#This Row],[Sulf]]&lt;=0.5,vp.tbl[[#This Row],[Unknown]]=0),1,0)</f>
        <v>0</v>
      </c>
      <c r="AF766">
        <f>IF(AND(vp.tbl[[#This Row],[CrudeType]]="Crude",vp.tbl[[#This Row],[Dens]]&gt;900,vp.tbl[[#This Row],[Sulf]]&lt;=0.5,vp.tbl[[#This Row],[Unknown]]=0),1,0)</f>
        <v>0</v>
      </c>
      <c r="AG766" t="str">
        <f>INDEX(vp.tbl[[#Headers],[Unknown]:[Heavy_SW]],MATCH(1,vp.tbl[[#This Row],[Unknown]:[Heavy_SW]],0))</f>
        <v>Light_LSB</v>
      </c>
      <c r="AH766" t="e">
        <f>INDEX([1]!crudeBD.lkup[Number],MATCH(vp.tbl[[#This Row],[Crude_Breakdown]],[1]!crudeBD.lkup[Crude Breakdown],0))</f>
        <v>#REF!</v>
      </c>
      <c r="AI766">
        <f>MONTH(vp.tbl[[#This Row],[SDate]])</f>
        <v>2</v>
      </c>
      <c r="AJ766" s="5">
        <f>IFERROR(vp.tbl[[#This Row],[Sulf]]*vp.tbl[[#This Row],[Net Dens]],"")</f>
        <v>2708330.6693376</v>
      </c>
      <c r="AK766" s="5">
        <f>IFERROR(vp.tbl[[#This Row],[Dens]]*vp.tbl[[#This Row],[VolumeM3]],"")</f>
        <v>4128552.8495999998</v>
      </c>
      <c r="AL766" s="5">
        <f>IFERROR(vp.tbl[[#This Row],[VP]]*vp.tbl[[#This Row],[VolumeM3]],"")</f>
        <v>544802.90240000002</v>
      </c>
      <c r="AM766" s="4">
        <f>IFERROR((vp.tbl[[#This Row],[VP]]-INDEX(crudeBD.lkup.complete[Mean_VP],MATCH(vp.tbl[[#This Row],[Crude_Breakdown]],crudeBD.lkup.complete[Crude Breakdown],0)))^2,"")</f>
        <v>257.72495784886695</v>
      </c>
      <c r="AN766" s="4">
        <f>IFERROR((vp.tbl[[#This Row],[Dens]]-INDEX(crudeBD.lkup.complete[Mean_Dens],MATCH(vp.tbl[[#This Row],[Crude_Breakdown]],crudeBD.lkup.complete[Crude Breakdown],0)))^2,"")</f>
        <v>9.7142537334212662</v>
      </c>
      <c r="AO766" s="4">
        <f>IFERROR((vp.tbl[[#This Row],[Sulf]]-INDEX(crudeBD.lkup.complete[Mean_Sulf],MATCH(vp.tbl[[#This Row],[Crude_Breakdown]],crudeBD.lkup.complete[Crude Breakdown],0)))^2,"")</f>
        <v>7.1273604748787647E-2</v>
      </c>
      <c r="AP766">
        <f>IF(AND(vp.tbl[[#This Row],[SDate]]&gt;=DATE(YEAR(vp.tbl[[#This Row],[SDate]]),5,1),vp.tbl[[#This Row],[SDate]]&lt;=DATE(YEAR(vp.tbl[[#This Row],[SDate]]),9,15)),1,0)</f>
        <v>0</v>
      </c>
      <c r="AQ766" s="15">
        <f>IF(vp.tbl[[#This Row],[SDate]]&lt;DATE(2016,12,1),0,1)</f>
        <v>1</v>
      </c>
    </row>
    <row r="767" spans="1:43" x14ac:dyDescent="0.25">
      <c r="A767">
        <v>766</v>
      </c>
      <c r="B767" t="s">
        <v>49</v>
      </c>
      <c r="C767" t="s">
        <v>49</v>
      </c>
      <c r="D767" t="s">
        <v>67</v>
      </c>
      <c r="F767" s="1">
        <v>42776</v>
      </c>
      <c r="G767" s="2">
        <v>96.8</v>
      </c>
      <c r="H767" s="2">
        <v>0.83399999999999996</v>
      </c>
      <c r="I767" s="2">
        <v>0.83399999999999996</v>
      </c>
      <c r="J767" s="2">
        <v>4.9000000000000004</v>
      </c>
      <c r="K767" s="2">
        <v>-6</v>
      </c>
      <c r="L767" s="2">
        <v>826.9</v>
      </c>
      <c r="M767" s="2">
        <v>826.9</v>
      </c>
      <c r="N767" s="2">
        <f ca="1">INDEX(INDIRECT(_xlfn.CONCAT("weather.tbl[",N$1,"]")),MATCH(vp.tbl[[#This Row],[SDate]],weather.tbl[Date],0))</f>
        <v>-4.3500000000000005</v>
      </c>
      <c r="O767" s="2">
        <f ca="1">INDEX(INDIRECT(_xlfn.CONCAT("weather.tbl[",O$1,"]")),MATCH(vp.tbl[[#This Row],[SDate]],weather.tbl[Date],0))</f>
        <v>-17.464285714285715</v>
      </c>
      <c r="P767" s="2">
        <f ca="1">INDEX(INDIRECT(_xlfn.CONCAT("weather.tbl[",P$1,"]")),MATCH(vp.tbl[[#This Row],[SDate]],weather.tbl[Date],0))</f>
        <v>-1.4</v>
      </c>
      <c r="Q767" s="2">
        <f ca="1">INDEX(INDIRECT(_xlfn.CONCAT("weather.tbl[",Q$1,"]")),MATCH(vp.tbl[[#This Row],[SDate]],weather.tbl[Date],0))</f>
        <v>-1.5</v>
      </c>
      <c r="R767" s="2">
        <f ca="1">INDEX(INDIRECT(_xlfn.CONCAT("weather.tbl[",R$1,"]")),MATCH(vp.tbl[[#This Row],[SDate]],weather.tbl[Date],0))</f>
        <v>-6.5</v>
      </c>
      <c r="S767" s="2">
        <f ca="1">INDEX(INDIRECT(_xlfn.CONCAT("weather.tbl[",S$1,"]")),MATCH(vp.tbl[[#This Row],[SDate]],weather.tbl[Date],0))</f>
        <v>-2.1</v>
      </c>
      <c r="T767" s="2">
        <f ca="1">INDEX(INDIRECT(_xlfn.CONCAT("weather.tbl[",T$1,"]")),MATCH(vp.tbl[[#This Row],[SDate]],weather.tbl[Date],0))</f>
        <v>-5.6</v>
      </c>
      <c r="U767" s="2">
        <f ca="1">INDEX(INDIRECT(_xlfn.CONCAT("weather.tbl[",U$1,"]")),MATCH(vp.tbl[[#This Row],[SDate]],weather.tbl[Date],0))</f>
        <v>-9</v>
      </c>
      <c r="V767" s="2">
        <v>124428.834</v>
      </c>
      <c r="W767" t="s">
        <v>48</v>
      </c>
      <c r="X767">
        <f>IF(OR(vp.tbl[[#This Row],[Sulf]]="",vp.tbl[[#This Row],[Dens]]=""),1,0)</f>
        <v>0</v>
      </c>
      <c r="Y767">
        <f>IF(vp.tbl[[#This Row],[CrudeType]]="C5+",1,0)</f>
        <v>0</v>
      </c>
      <c r="Z767">
        <f>IF(AND(vp.tbl[[#This Row],[CrudeType]]="Crude",vp.tbl[[#This Row],[Dens]]&lt;=825,vp.tbl[[#This Row],[Sulf]]&gt;0.5,vp.tbl[[#This Row],[Unknown]]=0),1,0)</f>
        <v>0</v>
      </c>
      <c r="AA767">
        <f>IF(AND(vp.tbl[[#This Row],[CrudeType]]="Crude",vp.tbl[[#This Row],[Dens]]&lt;=825,vp.tbl[[#This Row],[Sulf]]&lt;=0.5,vp.tbl[[#This Row],[Unknown]]=0),1,0)</f>
        <v>0</v>
      </c>
      <c r="AB767">
        <f>IF(AND(vp.tbl[[#This Row],[CrudeType]]="Crude",vp.tbl[[#This Row],[Dens]]&gt;825,vp.tbl[[#This Row],[Dens]]&lt;=870,vp.tbl[[#This Row],[Sulf]]&gt;0.5,vp.tbl[[#This Row],[Unknown]]=0),1,0)</f>
        <v>1</v>
      </c>
      <c r="AC767">
        <f>IF(AND(vp.tbl[[#This Row],[CrudeType]]="Crude",vp.tbl[[#This Row],[Dens]]&gt;825,vp.tbl[[#This Row],[Dens]]&lt;=900,vp.tbl[[#This Row],[Sulf]]&lt;=0.5,vp.tbl[[#This Row],[Unknown]]=0),1,0)</f>
        <v>0</v>
      </c>
      <c r="AD767">
        <f>IF(AND(vp.tbl[[#This Row],[CrudeType]]="Crude",vp.tbl[[#This Row],[Dens]]&gt;870,vp.tbl[[#This Row],[Dens]]&lt;=900,vp.tbl[[#This Row],[Sulf]]&gt;0.5,vp.tbl[[#This Row],[Unknown]]=0),1,0)</f>
        <v>0</v>
      </c>
      <c r="AE767">
        <f>IF(AND(vp.tbl[[#This Row],[CrudeType]]="Crude",vp.tbl[[#This Row],[Dens]]&gt;900,vp.tbl[[#This Row],[Sulf]]&lt;=0.5,vp.tbl[[#This Row],[Unknown]]=0),1,0)</f>
        <v>0</v>
      </c>
      <c r="AF767">
        <f>IF(AND(vp.tbl[[#This Row],[CrudeType]]="Crude",vp.tbl[[#This Row],[Dens]]&gt;900,vp.tbl[[#This Row],[Sulf]]&lt;=0.5,vp.tbl[[#This Row],[Unknown]]=0),1,0)</f>
        <v>0</v>
      </c>
      <c r="AG767" t="str">
        <f>INDEX(vp.tbl[[#Headers],[Unknown]:[Heavy_SW]],MATCH(1,vp.tbl[[#This Row],[Unknown]:[Heavy_SW]],0))</f>
        <v>Medium_LSB</v>
      </c>
      <c r="AH767" t="e">
        <f>INDEX([1]!crudeBD.lkup[Number],MATCH(vp.tbl[[#This Row],[Crude_Breakdown]],[1]!crudeBD.lkup[Crude Breakdown],0))</f>
        <v>#REF!</v>
      </c>
      <c r="AI767">
        <f>MONTH(vp.tbl[[#This Row],[SDate]])</f>
        <v>2</v>
      </c>
      <c r="AJ767" s="5">
        <f>IFERROR(vp.tbl[[#This Row],[Sulf]]*vp.tbl[[#This Row],[Net Dens]],"")</f>
        <v>85810429.164056391</v>
      </c>
      <c r="AK767" s="5">
        <f>IFERROR(vp.tbl[[#This Row],[Dens]]*vp.tbl[[#This Row],[VolumeM3]],"")</f>
        <v>102890202.8346</v>
      </c>
      <c r="AL767" s="5">
        <f>IFERROR(vp.tbl[[#This Row],[VP]]*vp.tbl[[#This Row],[VolumeM3]],"")</f>
        <v>12044711.131200001</v>
      </c>
      <c r="AM767" s="4">
        <f>IFERROR((vp.tbl[[#This Row],[VP]]-INDEX(crudeBD.lkup.complete[Mean_VP],MATCH(vp.tbl[[#This Row],[Crude_Breakdown]],crudeBD.lkup.complete[Crude Breakdown],0)))^2,"")</f>
        <v>276.43734532863436</v>
      </c>
      <c r="AN767" s="4">
        <f>IFERROR((vp.tbl[[#This Row],[Dens]]-INDEX(crudeBD.lkup.complete[Mean_Dens],MATCH(vp.tbl[[#This Row],[Crude_Breakdown]],crudeBD.lkup.complete[Crude Breakdown],0)))^2,"")</f>
        <v>338.25914534782555</v>
      </c>
      <c r="AO767" s="4">
        <f>IFERROR((vp.tbl[[#This Row],[Sulf]]-INDEX(crudeBD.lkup.complete[Mean_Sulf],MATCH(vp.tbl[[#This Row],[Crude_Breakdown]],crudeBD.lkup.complete[Crude Breakdown],0)))^2,"")</f>
        <v>0.3855538919828061</v>
      </c>
      <c r="AP767">
        <f>IF(AND(vp.tbl[[#This Row],[SDate]]&gt;=DATE(YEAR(vp.tbl[[#This Row],[SDate]]),5,1),vp.tbl[[#This Row],[SDate]]&lt;=DATE(YEAR(vp.tbl[[#This Row],[SDate]]),9,15)),1,0)</f>
        <v>0</v>
      </c>
      <c r="AQ767" s="15">
        <f>IF(vp.tbl[[#This Row],[SDate]]&lt;DATE(2016,12,1),0,1)</f>
        <v>1</v>
      </c>
    </row>
    <row r="768" spans="1:43" x14ac:dyDescent="0.25">
      <c r="A768">
        <v>767</v>
      </c>
      <c r="B768" t="s">
        <v>49</v>
      </c>
      <c r="C768" t="s">
        <v>49</v>
      </c>
      <c r="D768" t="s">
        <v>90</v>
      </c>
      <c r="F768" s="1">
        <v>42776</v>
      </c>
      <c r="G768" s="2">
        <v>75.5</v>
      </c>
      <c r="H768" s="2">
        <v>1.2430000000000001</v>
      </c>
      <c r="I768" s="2">
        <v>1.2430000000000001</v>
      </c>
      <c r="J768" s="2">
        <v>30.5</v>
      </c>
      <c r="K768" s="2">
        <v>-6</v>
      </c>
      <c r="L768" s="2">
        <v>844</v>
      </c>
      <c r="M768" s="2">
        <v>844</v>
      </c>
      <c r="N768" s="2">
        <f ca="1">INDEX(INDIRECT(_xlfn.CONCAT("weather.tbl[",N$1,"]")),MATCH(vp.tbl[[#This Row],[SDate]],weather.tbl[Date],0))</f>
        <v>-4.3500000000000005</v>
      </c>
      <c r="O768" s="2">
        <f ca="1">INDEX(INDIRECT(_xlfn.CONCAT("weather.tbl[",O$1,"]")),MATCH(vp.tbl[[#This Row],[SDate]],weather.tbl[Date],0))</f>
        <v>-17.464285714285715</v>
      </c>
      <c r="P768" s="2">
        <f ca="1">INDEX(INDIRECT(_xlfn.CONCAT("weather.tbl[",P$1,"]")),MATCH(vp.tbl[[#This Row],[SDate]],weather.tbl[Date],0))</f>
        <v>-1.4</v>
      </c>
      <c r="Q768" s="2">
        <f ca="1">INDEX(INDIRECT(_xlfn.CONCAT("weather.tbl[",Q$1,"]")),MATCH(vp.tbl[[#This Row],[SDate]],weather.tbl[Date],0))</f>
        <v>-1.5</v>
      </c>
      <c r="R768" s="2">
        <f ca="1">INDEX(INDIRECT(_xlfn.CONCAT("weather.tbl[",R$1,"]")),MATCH(vp.tbl[[#This Row],[SDate]],weather.tbl[Date],0))</f>
        <v>-6.5</v>
      </c>
      <c r="S768" s="2">
        <f ca="1">INDEX(INDIRECT(_xlfn.CONCAT("weather.tbl[",S$1,"]")),MATCH(vp.tbl[[#This Row],[SDate]],weather.tbl[Date],0))</f>
        <v>-2.1</v>
      </c>
      <c r="T768" s="2">
        <f ca="1">INDEX(INDIRECT(_xlfn.CONCAT("weather.tbl[",T$1,"]")),MATCH(vp.tbl[[#This Row],[SDate]],weather.tbl[Date],0))</f>
        <v>-5.6</v>
      </c>
      <c r="U768" s="2">
        <f ca="1">INDEX(INDIRECT(_xlfn.CONCAT("weather.tbl[",U$1,"]")),MATCH(vp.tbl[[#This Row],[SDate]],weather.tbl[Date],0))</f>
        <v>-9</v>
      </c>
      <c r="V768" s="2">
        <v>4432.7370000000001</v>
      </c>
      <c r="W768" t="s">
        <v>48</v>
      </c>
      <c r="X768">
        <f>IF(OR(vp.tbl[[#This Row],[Sulf]]="",vp.tbl[[#This Row],[Dens]]=""),1,0)</f>
        <v>0</v>
      </c>
      <c r="Y768">
        <f>IF(vp.tbl[[#This Row],[CrudeType]]="C5+",1,0)</f>
        <v>0</v>
      </c>
      <c r="Z768">
        <f>IF(AND(vp.tbl[[#This Row],[CrudeType]]="Crude",vp.tbl[[#This Row],[Dens]]&lt;=825,vp.tbl[[#This Row],[Sulf]]&gt;0.5,vp.tbl[[#This Row],[Unknown]]=0),1,0)</f>
        <v>0</v>
      </c>
      <c r="AA768">
        <f>IF(AND(vp.tbl[[#This Row],[CrudeType]]="Crude",vp.tbl[[#This Row],[Dens]]&lt;=825,vp.tbl[[#This Row],[Sulf]]&lt;=0.5,vp.tbl[[#This Row],[Unknown]]=0),1,0)</f>
        <v>0</v>
      </c>
      <c r="AB768">
        <f>IF(AND(vp.tbl[[#This Row],[CrudeType]]="Crude",vp.tbl[[#This Row],[Dens]]&gt;825,vp.tbl[[#This Row],[Dens]]&lt;=870,vp.tbl[[#This Row],[Sulf]]&gt;0.5,vp.tbl[[#This Row],[Unknown]]=0),1,0)</f>
        <v>1</v>
      </c>
      <c r="AC768">
        <f>IF(AND(vp.tbl[[#This Row],[CrudeType]]="Crude",vp.tbl[[#This Row],[Dens]]&gt;825,vp.tbl[[#This Row],[Dens]]&lt;=900,vp.tbl[[#This Row],[Sulf]]&lt;=0.5,vp.tbl[[#This Row],[Unknown]]=0),1,0)</f>
        <v>0</v>
      </c>
      <c r="AD768">
        <f>IF(AND(vp.tbl[[#This Row],[CrudeType]]="Crude",vp.tbl[[#This Row],[Dens]]&gt;870,vp.tbl[[#This Row],[Dens]]&lt;=900,vp.tbl[[#This Row],[Sulf]]&gt;0.5,vp.tbl[[#This Row],[Unknown]]=0),1,0)</f>
        <v>0</v>
      </c>
      <c r="AE768">
        <f>IF(AND(vp.tbl[[#This Row],[CrudeType]]="Crude",vp.tbl[[#This Row],[Dens]]&gt;900,vp.tbl[[#This Row],[Sulf]]&lt;=0.5,vp.tbl[[#This Row],[Unknown]]=0),1,0)</f>
        <v>0</v>
      </c>
      <c r="AF768">
        <f>IF(AND(vp.tbl[[#This Row],[CrudeType]]="Crude",vp.tbl[[#This Row],[Dens]]&gt;900,vp.tbl[[#This Row],[Sulf]]&lt;=0.5,vp.tbl[[#This Row],[Unknown]]=0),1,0)</f>
        <v>0</v>
      </c>
      <c r="AG768" t="str">
        <f>INDEX(vp.tbl[[#Headers],[Unknown]:[Heavy_SW]],MATCH(1,vp.tbl[[#This Row],[Unknown]:[Heavy_SW]],0))</f>
        <v>Medium_LSB</v>
      </c>
      <c r="AH768" t="e">
        <f>INDEX([1]!crudeBD.lkup[Number],MATCH(vp.tbl[[#This Row],[Crude_Breakdown]],[1]!crudeBD.lkup[Crude Breakdown],0))</f>
        <v>#REF!</v>
      </c>
      <c r="AI768">
        <f>MONTH(vp.tbl[[#This Row],[SDate]])</f>
        <v>2</v>
      </c>
      <c r="AJ768" s="5">
        <f>IFERROR(vp.tbl[[#This Row],[Sulf]]*vp.tbl[[#This Row],[Net Dens]],"")</f>
        <v>4650348.9248040002</v>
      </c>
      <c r="AK768" s="5">
        <f>IFERROR(vp.tbl[[#This Row],[Dens]]*vp.tbl[[#This Row],[VolumeM3]],"")</f>
        <v>3741230.0279999999</v>
      </c>
      <c r="AL768" s="5">
        <f>IFERROR(vp.tbl[[#This Row],[VP]]*vp.tbl[[#This Row],[VolumeM3]],"")</f>
        <v>334671.64350000001</v>
      </c>
      <c r="AM768" s="4">
        <f>IFERROR((vp.tbl[[#This Row],[VP]]-INDEX(crudeBD.lkup.complete[Mean_VP],MATCH(vp.tbl[[#This Row],[Crude_Breakdown]],crudeBD.lkup.complete[Crude Breakdown],0)))^2,"")</f>
        <v>21.842489632430354</v>
      </c>
      <c r="AN768" s="4">
        <f>IFERROR((vp.tbl[[#This Row],[Dens]]-INDEX(crudeBD.lkup.complete[Mean_Dens],MATCH(vp.tbl[[#This Row],[Crude_Breakdown]],crudeBD.lkup.complete[Crude Breakdown],0)))^2,"")</f>
        <v>1.6688061073520466</v>
      </c>
      <c r="AO768" s="4">
        <f>IFERROR((vp.tbl[[#This Row],[Sulf]]-INDEX(crudeBD.lkup.complete[Mean_Sulf],MATCH(vp.tbl[[#This Row],[Crude_Breakdown]],crudeBD.lkup.complete[Crude Breakdown],0)))^2,"")</f>
        <v>4.4914265881538962E-2</v>
      </c>
      <c r="AP768">
        <f>IF(AND(vp.tbl[[#This Row],[SDate]]&gt;=DATE(YEAR(vp.tbl[[#This Row],[SDate]]),5,1),vp.tbl[[#This Row],[SDate]]&lt;=DATE(YEAR(vp.tbl[[#This Row],[SDate]]),9,15)),1,0)</f>
        <v>0</v>
      </c>
      <c r="AQ768" s="15">
        <f>IF(vp.tbl[[#This Row],[SDate]]&lt;DATE(2016,12,1),0,1)</f>
        <v>1</v>
      </c>
    </row>
    <row r="769" spans="1:43" x14ac:dyDescent="0.25">
      <c r="A769">
        <v>768</v>
      </c>
      <c r="B769" t="s">
        <v>49</v>
      </c>
      <c r="C769" t="s">
        <v>49</v>
      </c>
      <c r="D769" t="s">
        <v>160</v>
      </c>
      <c r="F769" s="1">
        <v>42776</v>
      </c>
      <c r="G769" s="2">
        <v>79.8</v>
      </c>
      <c r="H769" s="2">
        <v>2.0390000000000001</v>
      </c>
      <c r="I769" s="2">
        <v>2.0390000000000001</v>
      </c>
      <c r="J769" s="2">
        <v>22.7</v>
      </c>
      <c r="K769" s="2">
        <v>-6</v>
      </c>
      <c r="L769" s="2">
        <v>877.9</v>
      </c>
      <c r="M769" s="2">
        <v>877.9</v>
      </c>
      <c r="N769" s="2">
        <f ca="1">INDEX(INDIRECT(_xlfn.CONCAT("weather.tbl[",N$1,"]")),MATCH(vp.tbl[[#This Row],[SDate]],weather.tbl[Date],0))</f>
        <v>-4.3500000000000005</v>
      </c>
      <c r="O769" s="2">
        <f ca="1">INDEX(INDIRECT(_xlfn.CONCAT("weather.tbl[",O$1,"]")),MATCH(vp.tbl[[#This Row],[SDate]],weather.tbl[Date],0))</f>
        <v>-17.464285714285715</v>
      </c>
      <c r="P769" s="2">
        <f ca="1">INDEX(INDIRECT(_xlfn.CONCAT("weather.tbl[",P$1,"]")),MATCH(vp.tbl[[#This Row],[SDate]],weather.tbl[Date],0))</f>
        <v>-1.4</v>
      </c>
      <c r="Q769" s="2">
        <f ca="1">INDEX(INDIRECT(_xlfn.CONCAT("weather.tbl[",Q$1,"]")),MATCH(vp.tbl[[#This Row],[SDate]],weather.tbl[Date],0))</f>
        <v>-1.5</v>
      </c>
      <c r="R769" s="2">
        <f ca="1">INDEX(INDIRECT(_xlfn.CONCAT("weather.tbl[",R$1,"]")),MATCH(vp.tbl[[#This Row],[SDate]],weather.tbl[Date],0))</f>
        <v>-6.5</v>
      </c>
      <c r="S769" s="2">
        <f ca="1">INDEX(INDIRECT(_xlfn.CONCAT("weather.tbl[",S$1,"]")),MATCH(vp.tbl[[#This Row],[SDate]],weather.tbl[Date],0))</f>
        <v>-2.1</v>
      </c>
      <c r="T769" s="2">
        <f ca="1">INDEX(INDIRECT(_xlfn.CONCAT("weather.tbl[",T$1,"]")),MATCH(vp.tbl[[#This Row],[SDate]],weather.tbl[Date],0))</f>
        <v>-5.6</v>
      </c>
      <c r="U769" s="2">
        <f ca="1">INDEX(INDIRECT(_xlfn.CONCAT("weather.tbl[",U$1,"]")),MATCH(vp.tbl[[#This Row],[SDate]],weather.tbl[Date],0))</f>
        <v>-9</v>
      </c>
      <c r="V769" s="2">
        <v>885.899</v>
      </c>
      <c r="W769" t="s">
        <v>48</v>
      </c>
      <c r="X769">
        <f>IF(OR(vp.tbl[[#This Row],[Sulf]]="",vp.tbl[[#This Row],[Dens]]=""),1,0)</f>
        <v>0</v>
      </c>
      <c r="Y769">
        <f>IF(vp.tbl[[#This Row],[CrudeType]]="C5+",1,0)</f>
        <v>0</v>
      </c>
      <c r="Z769">
        <f>IF(AND(vp.tbl[[#This Row],[CrudeType]]="Crude",vp.tbl[[#This Row],[Dens]]&lt;=825,vp.tbl[[#This Row],[Sulf]]&gt;0.5,vp.tbl[[#This Row],[Unknown]]=0),1,0)</f>
        <v>0</v>
      </c>
      <c r="AA769">
        <f>IF(AND(vp.tbl[[#This Row],[CrudeType]]="Crude",vp.tbl[[#This Row],[Dens]]&lt;=825,vp.tbl[[#This Row],[Sulf]]&lt;=0.5,vp.tbl[[#This Row],[Unknown]]=0),1,0)</f>
        <v>0</v>
      </c>
      <c r="AB769">
        <f>IF(AND(vp.tbl[[#This Row],[CrudeType]]="Crude",vp.tbl[[#This Row],[Dens]]&gt;825,vp.tbl[[#This Row],[Dens]]&lt;=870,vp.tbl[[#This Row],[Sulf]]&gt;0.5,vp.tbl[[#This Row],[Unknown]]=0),1,0)</f>
        <v>0</v>
      </c>
      <c r="AC769">
        <f>IF(AND(vp.tbl[[#This Row],[CrudeType]]="Crude",vp.tbl[[#This Row],[Dens]]&gt;825,vp.tbl[[#This Row],[Dens]]&lt;=900,vp.tbl[[#This Row],[Sulf]]&lt;=0.5,vp.tbl[[#This Row],[Unknown]]=0),1,0)</f>
        <v>0</v>
      </c>
      <c r="AD769">
        <f>IF(AND(vp.tbl[[#This Row],[CrudeType]]="Crude",vp.tbl[[#This Row],[Dens]]&gt;870,vp.tbl[[#This Row],[Dens]]&lt;=900,vp.tbl[[#This Row],[Sulf]]&gt;0.5,vp.tbl[[#This Row],[Unknown]]=0),1,0)</f>
        <v>1</v>
      </c>
      <c r="AE769">
        <f>IF(AND(vp.tbl[[#This Row],[CrudeType]]="Crude",vp.tbl[[#This Row],[Dens]]&gt;900,vp.tbl[[#This Row],[Sulf]]&lt;=0.5,vp.tbl[[#This Row],[Unknown]]=0),1,0)</f>
        <v>0</v>
      </c>
      <c r="AF769">
        <f>IF(AND(vp.tbl[[#This Row],[CrudeType]]="Crude",vp.tbl[[#This Row],[Dens]]&gt;900,vp.tbl[[#This Row],[Sulf]]&lt;=0.5,vp.tbl[[#This Row],[Unknown]]=0),1,0)</f>
        <v>0</v>
      </c>
      <c r="AG769" t="str">
        <f>INDEX(vp.tbl[[#Headers],[Unknown]:[Heavy_SW]],MATCH(1,vp.tbl[[#This Row],[Unknown]:[Heavy_SW]],0))</f>
        <v>Midale</v>
      </c>
      <c r="AH769" t="e">
        <f>INDEX([1]!crudeBD.lkup[Number],MATCH(vp.tbl[[#This Row],[Crude_Breakdown]],[1]!crudeBD.lkup[Crude Breakdown],0))</f>
        <v>#REF!</v>
      </c>
      <c r="AI769">
        <f>MONTH(vp.tbl[[#This Row],[SDate]])</f>
        <v>2</v>
      </c>
      <c r="AJ769" s="5">
        <f>IFERROR(vp.tbl[[#This Row],[Sulf]]*vp.tbl[[#This Row],[Net Dens]],"")</f>
        <v>1585792.9627519001</v>
      </c>
      <c r="AK769" s="5">
        <f>IFERROR(vp.tbl[[#This Row],[Dens]]*vp.tbl[[#This Row],[VolumeM3]],"")</f>
        <v>777730.73210000002</v>
      </c>
      <c r="AL769" s="5">
        <f>IFERROR(vp.tbl[[#This Row],[VP]]*vp.tbl[[#This Row],[VolumeM3]],"")</f>
        <v>70694.7402</v>
      </c>
      <c r="AM769" s="4">
        <f>IFERROR((vp.tbl[[#This Row],[VP]]-INDEX(crudeBD.lkup.complete[Mean_VP],MATCH(vp.tbl[[#This Row],[Crude_Breakdown]],crudeBD.lkup.complete[Crude Breakdown],0)))^2,"")</f>
        <v>133.67160818164723</v>
      </c>
      <c r="AN769" s="4">
        <f>IFERROR((vp.tbl[[#This Row],[Dens]]-INDEX(crudeBD.lkup.complete[Mean_Dens],MATCH(vp.tbl[[#This Row],[Crude_Breakdown]],crudeBD.lkup.complete[Crude Breakdown],0)))^2,"")</f>
        <v>0.12106586601633297</v>
      </c>
      <c r="AO769" s="4">
        <f>IFERROR((vp.tbl[[#This Row],[Sulf]]-INDEX(crudeBD.lkup.complete[Mean_Sulf],MATCH(vp.tbl[[#This Row],[Crude_Breakdown]],crudeBD.lkup.complete[Crude Breakdown],0)))^2,"")</f>
        <v>0.14163189870686704</v>
      </c>
      <c r="AP769">
        <f>IF(AND(vp.tbl[[#This Row],[SDate]]&gt;=DATE(YEAR(vp.tbl[[#This Row],[SDate]]),5,1),vp.tbl[[#This Row],[SDate]]&lt;=DATE(YEAR(vp.tbl[[#This Row],[SDate]]),9,15)),1,0)</f>
        <v>0</v>
      </c>
      <c r="AQ769" s="15">
        <f>IF(vp.tbl[[#This Row],[SDate]]&lt;DATE(2016,12,1),0,1)</f>
        <v>1</v>
      </c>
    </row>
    <row r="770" spans="1:43" x14ac:dyDescent="0.25">
      <c r="A770">
        <v>769</v>
      </c>
      <c r="B770" t="s">
        <v>62</v>
      </c>
      <c r="C770" t="s">
        <v>62</v>
      </c>
      <c r="D770" t="s">
        <v>79</v>
      </c>
      <c r="F770" s="1">
        <v>42776</v>
      </c>
      <c r="G770" s="2">
        <v>98.7</v>
      </c>
      <c r="H770" s="2"/>
      <c r="I770" s="2">
        <v>0.33</v>
      </c>
      <c r="J770" s="2">
        <v>10</v>
      </c>
      <c r="K770" s="2">
        <v>-6</v>
      </c>
      <c r="L770" s="2">
        <v>804.8</v>
      </c>
      <c r="M770" s="2">
        <v>804.8</v>
      </c>
      <c r="N770" s="2">
        <f ca="1">INDEX(INDIRECT(_xlfn.CONCAT("weather.tbl[",N$1,"]")),MATCH(vp.tbl[[#This Row],[SDate]],weather.tbl[Date],0))</f>
        <v>-4.3500000000000005</v>
      </c>
      <c r="O770" s="2">
        <f ca="1">INDEX(INDIRECT(_xlfn.CONCAT("weather.tbl[",O$1,"]")),MATCH(vp.tbl[[#This Row],[SDate]],weather.tbl[Date],0))</f>
        <v>-17.464285714285715</v>
      </c>
      <c r="P770" s="2">
        <f ca="1">INDEX(INDIRECT(_xlfn.CONCAT("weather.tbl[",P$1,"]")),MATCH(vp.tbl[[#This Row],[SDate]],weather.tbl[Date],0))</f>
        <v>-1.4</v>
      </c>
      <c r="Q770" s="2">
        <f ca="1">INDEX(INDIRECT(_xlfn.CONCAT("weather.tbl[",Q$1,"]")),MATCH(vp.tbl[[#This Row],[SDate]],weather.tbl[Date],0))</f>
        <v>-1.5</v>
      </c>
      <c r="R770" s="2">
        <f ca="1">INDEX(INDIRECT(_xlfn.CONCAT("weather.tbl[",R$1,"]")),MATCH(vp.tbl[[#This Row],[SDate]],weather.tbl[Date],0))</f>
        <v>-6.5</v>
      </c>
      <c r="S770" s="2">
        <f ca="1">INDEX(INDIRECT(_xlfn.CONCAT("weather.tbl[",S$1,"]")),MATCH(vp.tbl[[#This Row],[SDate]],weather.tbl[Date],0))</f>
        <v>-2.1</v>
      </c>
      <c r="T770" s="2">
        <f ca="1">INDEX(INDIRECT(_xlfn.CONCAT("weather.tbl[",T$1,"]")),MATCH(vp.tbl[[#This Row],[SDate]],weather.tbl[Date],0))</f>
        <v>-5.6</v>
      </c>
      <c r="U770" s="2">
        <f ca="1">INDEX(INDIRECT(_xlfn.CONCAT("weather.tbl[",U$1,"]")),MATCH(vp.tbl[[#This Row],[SDate]],weather.tbl[Date],0))</f>
        <v>-9</v>
      </c>
      <c r="V770" s="2">
        <v>12819.813</v>
      </c>
      <c r="W770" t="s">
        <v>48</v>
      </c>
      <c r="X770">
        <f>IF(OR(vp.tbl[[#This Row],[Sulf]]="",vp.tbl[[#This Row],[Dens]]=""),1,0)</f>
        <v>0</v>
      </c>
      <c r="Y770">
        <f>IF(vp.tbl[[#This Row],[CrudeType]]="C5+",1,0)</f>
        <v>0</v>
      </c>
      <c r="Z770">
        <f>IF(AND(vp.tbl[[#This Row],[CrudeType]]="Crude",vp.tbl[[#This Row],[Dens]]&lt;=825,vp.tbl[[#This Row],[Sulf]]&gt;0.5,vp.tbl[[#This Row],[Unknown]]=0),1,0)</f>
        <v>0</v>
      </c>
      <c r="AA770">
        <f>IF(AND(vp.tbl[[#This Row],[CrudeType]]="Crude",vp.tbl[[#This Row],[Dens]]&lt;=825,vp.tbl[[#This Row],[Sulf]]&lt;=0.5,vp.tbl[[#This Row],[Unknown]]=0),1,0)</f>
        <v>1</v>
      </c>
      <c r="AB770">
        <f>IF(AND(vp.tbl[[#This Row],[CrudeType]]="Crude",vp.tbl[[#This Row],[Dens]]&gt;825,vp.tbl[[#This Row],[Dens]]&lt;=870,vp.tbl[[#This Row],[Sulf]]&gt;0.5,vp.tbl[[#This Row],[Unknown]]=0),1,0)</f>
        <v>0</v>
      </c>
      <c r="AC770">
        <f>IF(AND(vp.tbl[[#This Row],[CrudeType]]="Crude",vp.tbl[[#This Row],[Dens]]&gt;825,vp.tbl[[#This Row],[Dens]]&lt;=900,vp.tbl[[#This Row],[Sulf]]&lt;=0.5,vp.tbl[[#This Row],[Unknown]]=0),1,0)</f>
        <v>0</v>
      </c>
      <c r="AD770">
        <f>IF(AND(vp.tbl[[#This Row],[CrudeType]]="Crude",vp.tbl[[#This Row],[Dens]]&gt;870,vp.tbl[[#This Row],[Dens]]&lt;=900,vp.tbl[[#This Row],[Sulf]]&gt;0.5,vp.tbl[[#This Row],[Unknown]]=0),1,0)</f>
        <v>0</v>
      </c>
      <c r="AE770">
        <f>IF(AND(vp.tbl[[#This Row],[CrudeType]]="Crude",vp.tbl[[#This Row],[Dens]]&gt;900,vp.tbl[[#This Row],[Sulf]]&lt;=0.5,vp.tbl[[#This Row],[Unknown]]=0),1,0)</f>
        <v>0</v>
      </c>
      <c r="AF770">
        <f>IF(AND(vp.tbl[[#This Row],[CrudeType]]="Crude",vp.tbl[[#This Row],[Dens]]&gt;900,vp.tbl[[#This Row],[Sulf]]&lt;=0.5,vp.tbl[[#This Row],[Unknown]]=0),1,0)</f>
        <v>0</v>
      </c>
      <c r="AG770" t="str">
        <f>INDEX(vp.tbl[[#Headers],[Unknown]:[Heavy_SW]],MATCH(1,vp.tbl[[#This Row],[Unknown]:[Heavy_SW]],0))</f>
        <v>Light_SW</v>
      </c>
      <c r="AH770" t="e">
        <f>INDEX([1]!crudeBD.lkup[Number],MATCH(vp.tbl[[#This Row],[Crude_Breakdown]],[1]!crudeBD.lkup[Crude Breakdown],0))</f>
        <v>#REF!</v>
      </c>
      <c r="AI770">
        <f>MONTH(vp.tbl[[#This Row],[SDate]])</f>
        <v>2</v>
      </c>
      <c r="AJ770" s="5">
        <f>IFERROR(vp.tbl[[#This Row],[Sulf]]*vp.tbl[[#This Row],[Net Dens]],"")</f>
        <v>3404737.2157919998</v>
      </c>
      <c r="AK770" s="5">
        <f>IFERROR(vp.tbl[[#This Row],[Dens]]*vp.tbl[[#This Row],[VolumeM3]],"")</f>
        <v>10317385.5024</v>
      </c>
      <c r="AL770" s="5">
        <f>IFERROR(vp.tbl[[#This Row],[VP]]*vp.tbl[[#This Row],[VolumeM3]],"")</f>
        <v>1265315.5431000001</v>
      </c>
      <c r="AM770" s="4">
        <f>IFERROR((vp.tbl[[#This Row],[VP]]-INDEX(crudeBD.lkup.complete[Mean_VP],MATCH(vp.tbl[[#This Row],[Crude_Breakdown]],crudeBD.lkup.complete[Crude Breakdown],0)))^2,"")</f>
        <v>37.818642955481224</v>
      </c>
      <c r="AN770" s="4">
        <f>IFERROR((vp.tbl[[#This Row],[Dens]]-INDEX(crudeBD.lkup.complete[Mean_Dens],MATCH(vp.tbl[[#This Row],[Crude_Breakdown]],crudeBD.lkup.complete[Crude Breakdown],0)))^2,"")</f>
        <v>12.330620014810183</v>
      </c>
      <c r="AO770" s="4">
        <f>IFERROR((vp.tbl[[#This Row],[Sulf]]-INDEX(crudeBD.lkup.complete[Mean_Sulf],MATCH(vp.tbl[[#This Row],[Crude_Breakdown]],crudeBD.lkup.complete[Crude Breakdown],0)))^2,"")</f>
        <v>8.7905978457915313E-3</v>
      </c>
      <c r="AP770">
        <f>IF(AND(vp.tbl[[#This Row],[SDate]]&gt;=DATE(YEAR(vp.tbl[[#This Row],[SDate]]),5,1),vp.tbl[[#This Row],[SDate]]&lt;=DATE(YEAR(vp.tbl[[#This Row],[SDate]]),9,15)),1,0)</f>
        <v>0</v>
      </c>
      <c r="AQ770" s="15">
        <f>IF(vp.tbl[[#This Row],[SDate]]&lt;DATE(2016,12,1),0,1)</f>
        <v>1</v>
      </c>
    </row>
    <row r="771" spans="1:43" x14ac:dyDescent="0.25">
      <c r="A771">
        <v>770</v>
      </c>
      <c r="B771" t="s">
        <v>62</v>
      </c>
      <c r="C771" t="s">
        <v>62</v>
      </c>
      <c r="D771" t="s">
        <v>83</v>
      </c>
      <c r="F771" s="1">
        <v>42776</v>
      </c>
      <c r="G771" s="2">
        <v>89.5</v>
      </c>
      <c r="H771" s="2"/>
      <c r="I771" s="2">
        <v>0.19</v>
      </c>
      <c r="J771" s="2">
        <v>0</v>
      </c>
      <c r="K771" s="2">
        <v>-6</v>
      </c>
      <c r="L771" s="2">
        <v>809.5</v>
      </c>
      <c r="M771" s="2">
        <v>809.5</v>
      </c>
      <c r="N771" s="2">
        <f ca="1">INDEX(INDIRECT(_xlfn.CONCAT("weather.tbl[",N$1,"]")),MATCH(vp.tbl[[#This Row],[SDate]],weather.tbl[Date],0))</f>
        <v>-4.3500000000000005</v>
      </c>
      <c r="O771" s="2">
        <f ca="1">INDEX(INDIRECT(_xlfn.CONCAT("weather.tbl[",O$1,"]")),MATCH(vp.tbl[[#This Row],[SDate]],weather.tbl[Date],0))</f>
        <v>-17.464285714285715</v>
      </c>
      <c r="P771" s="2">
        <f ca="1">INDEX(INDIRECT(_xlfn.CONCAT("weather.tbl[",P$1,"]")),MATCH(vp.tbl[[#This Row],[SDate]],weather.tbl[Date],0))</f>
        <v>-1.4</v>
      </c>
      <c r="Q771" s="2">
        <f ca="1">INDEX(INDIRECT(_xlfn.CONCAT("weather.tbl[",Q$1,"]")),MATCH(vp.tbl[[#This Row],[SDate]],weather.tbl[Date],0))</f>
        <v>-1.5</v>
      </c>
      <c r="R771" s="2">
        <f ca="1">INDEX(INDIRECT(_xlfn.CONCAT("weather.tbl[",R$1,"]")),MATCH(vp.tbl[[#This Row],[SDate]],weather.tbl[Date],0))</f>
        <v>-6.5</v>
      </c>
      <c r="S771" s="2">
        <f ca="1">INDEX(INDIRECT(_xlfn.CONCAT("weather.tbl[",S$1,"]")),MATCH(vp.tbl[[#This Row],[SDate]],weather.tbl[Date],0))</f>
        <v>-2.1</v>
      </c>
      <c r="T771" s="2">
        <f ca="1">INDEX(INDIRECT(_xlfn.CONCAT("weather.tbl[",T$1,"]")),MATCH(vp.tbl[[#This Row],[SDate]],weather.tbl[Date],0))</f>
        <v>-5.6</v>
      </c>
      <c r="U771" s="2">
        <f ca="1">INDEX(INDIRECT(_xlfn.CONCAT("weather.tbl[",U$1,"]")),MATCH(vp.tbl[[#This Row],[SDate]],weather.tbl[Date],0))</f>
        <v>-9</v>
      </c>
      <c r="V771" s="2">
        <v>7967.6189999999997</v>
      </c>
      <c r="W771" t="s">
        <v>48</v>
      </c>
      <c r="X771">
        <f>IF(OR(vp.tbl[[#This Row],[Sulf]]="",vp.tbl[[#This Row],[Dens]]=""),1,0)</f>
        <v>0</v>
      </c>
      <c r="Y771">
        <f>IF(vp.tbl[[#This Row],[CrudeType]]="C5+",1,0)</f>
        <v>0</v>
      </c>
      <c r="Z771">
        <f>IF(AND(vp.tbl[[#This Row],[CrudeType]]="Crude",vp.tbl[[#This Row],[Dens]]&lt;=825,vp.tbl[[#This Row],[Sulf]]&gt;0.5,vp.tbl[[#This Row],[Unknown]]=0),1,0)</f>
        <v>0</v>
      </c>
      <c r="AA771">
        <f>IF(AND(vp.tbl[[#This Row],[CrudeType]]="Crude",vp.tbl[[#This Row],[Dens]]&lt;=825,vp.tbl[[#This Row],[Sulf]]&lt;=0.5,vp.tbl[[#This Row],[Unknown]]=0),1,0)</f>
        <v>1</v>
      </c>
      <c r="AB771">
        <f>IF(AND(vp.tbl[[#This Row],[CrudeType]]="Crude",vp.tbl[[#This Row],[Dens]]&gt;825,vp.tbl[[#This Row],[Dens]]&lt;=870,vp.tbl[[#This Row],[Sulf]]&gt;0.5,vp.tbl[[#This Row],[Unknown]]=0),1,0)</f>
        <v>0</v>
      </c>
      <c r="AC771">
        <f>IF(AND(vp.tbl[[#This Row],[CrudeType]]="Crude",vp.tbl[[#This Row],[Dens]]&gt;825,vp.tbl[[#This Row],[Dens]]&lt;=900,vp.tbl[[#This Row],[Sulf]]&lt;=0.5,vp.tbl[[#This Row],[Unknown]]=0),1,0)</f>
        <v>0</v>
      </c>
      <c r="AD771">
        <f>IF(AND(vp.tbl[[#This Row],[CrudeType]]="Crude",vp.tbl[[#This Row],[Dens]]&gt;870,vp.tbl[[#This Row],[Dens]]&lt;=900,vp.tbl[[#This Row],[Sulf]]&gt;0.5,vp.tbl[[#This Row],[Unknown]]=0),1,0)</f>
        <v>0</v>
      </c>
      <c r="AE771">
        <f>IF(AND(vp.tbl[[#This Row],[CrudeType]]="Crude",vp.tbl[[#This Row],[Dens]]&gt;900,vp.tbl[[#This Row],[Sulf]]&lt;=0.5,vp.tbl[[#This Row],[Unknown]]=0),1,0)</f>
        <v>0</v>
      </c>
      <c r="AF771">
        <f>IF(AND(vp.tbl[[#This Row],[CrudeType]]="Crude",vp.tbl[[#This Row],[Dens]]&gt;900,vp.tbl[[#This Row],[Sulf]]&lt;=0.5,vp.tbl[[#This Row],[Unknown]]=0),1,0)</f>
        <v>0</v>
      </c>
      <c r="AG771" t="str">
        <f>INDEX(vp.tbl[[#Headers],[Unknown]:[Heavy_SW]],MATCH(1,vp.tbl[[#This Row],[Unknown]:[Heavy_SW]],0))</f>
        <v>Light_SW</v>
      </c>
      <c r="AH771" t="e">
        <f>INDEX([1]!crudeBD.lkup[Number],MATCH(vp.tbl[[#This Row],[Crude_Breakdown]],[1]!crudeBD.lkup[Crude Breakdown],0))</f>
        <v>#REF!</v>
      </c>
      <c r="AI771">
        <f>MONTH(vp.tbl[[#This Row],[SDate]])</f>
        <v>2</v>
      </c>
      <c r="AJ771" s="5">
        <f>IFERROR(vp.tbl[[#This Row],[Sulf]]*vp.tbl[[#This Row],[Net Dens]],"")</f>
        <v>1225459.640295</v>
      </c>
      <c r="AK771" s="5">
        <f>IFERROR(vp.tbl[[#This Row],[Dens]]*vp.tbl[[#This Row],[VolumeM3]],"")</f>
        <v>6449787.5805000002</v>
      </c>
      <c r="AL771" s="5">
        <f>IFERROR(vp.tbl[[#This Row],[VP]]*vp.tbl[[#This Row],[VolumeM3]],"")</f>
        <v>713101.90049999999</v>
      </c>
      <c r="AM771" s="4">
        <f>IFERROR((vp.tbl[[#This Row],[VP]]-INDEX(crudeBD.lkup.complete[Mean_VP],MATCH(vp.tbl[[#This Row],[Crude_Breakdown]],crudeBD.lkup.complete[Crude Breakdown],0)))^2,"")</f>
        <v>9.3044129903238488</v>
      </c>
      <c r="AN771" s="4">
        <f>IFERROR((vp.tbl[[#This Row],[Dens]]-INDEX(crudeBD.lkup.complete[Mean_Dens],MATCH(vp.tbl[[#This Row],[Crude_Breakdown]],crudeBD.lkup.complete[Crude Breakdown],0)))^2,"")</f>
        <v>1.4125363911185367</v>
      </c>
      <c r="AO771" s="4">
        <f>IFERROR((vp.tbl[[#This Row],[Sulf]]-INDEX(crudeBD.lkup.complete[Mean_Sulf],MATCH(vp.tbl[[#This Row],[Crude_Breakdown]],crudeBD.lkup.complete[Crude Breakdown],0)))^2,"")</f>
        <v>2.1383051628646554E-3</v>
      </c>
      <c r="AP771">
        <f>IF(AND(vp.tbl[[#This Row],[SDate]]&gt;=DATE(YEAR(vp.tbl[[#This Row],[SDate]]),5,1),vp.tbl[[#This Row],[SDate]]&lt;=DATE(YEAR(vp.tbl[[#This Row],[SDate]]),9,15)),1,0)</f>
        <v>0</v>
      </c>
      <c r="AQ771" s="15">
        <f>IF(vp.tbl[[#This Row],[SDate]]&lt;DATE(2016,12,1),0,1)</f>
        <v>1</v>
      </c>
    </row>
    <row r="772" spans="1:43" x14ac:dyDescent="0.25">
      <c r="A772">
        <v>771</v>
      </c>
      <c r="B772" t="s">
        <v>62</v>
      </c>
      <c r="C772" t="s">
        <v>62</v>
      </c>
      <c r="D772" t="s">
        <v>87</v>
      </c>
      <c r="F772" s="1">
        <v>42776</v>
      </c>
      <c r="G772" s="2">
        <v>82.5</v>
      </c>
      <c r="H772" s="2"/>
      <c r="I772" s="2">
        <v>0.17</v>
      </c>
      <c r="J772" s="2">
        <v>24.7</v>
      </c>
      <c r="K772" s="2">
        <v>-6</v>
      </c>
      <c r="L772" s="2">
        <v>811.1</v>
      </c>
      <c r="M772" s="2">
        <v>811.1</v>
      </c>
      <c r="N772" s="2">
        <f ca="1">INDEX(INDIRECT(_xlfn.CONCAT("weather.tbl[",N$1,"]")),MATCH(vp.tbl[[#This Row],[SDate]],weather.tbl[Date],0))</f>
        <v>-4.3500000000000005</v>
      </c>
      <c r="O772" s="2">
        <f ca="1">INDEX(INDIRECT(_xlfn.CONCAT("weather.tbl[",O$1,"]")),MATCH(vp.tbl[[#This Row],[SDate]],weather.tbl[Date],0))</f>
        <v>-17.464285714285715</v>
      </c>
      <c r="P772" s="2">
        <f ca="1">INDEX(INDIRECT(_xlfn.CONCAT("weather.tbl[",P$1,"]")),MATCH(vp.tbl[[#This Row],[SDate]],weather.tbl[Date],0))</f>
        <v>-1.4</v>
      </c>
      <c r="Q772" s="2">
        <f ca="1">INDEX(INDIRECT(_xlfn.CONCAT("weather.tbl[",Q$1,"]")),MATCH(vp.tbl[[#This Row],[SDate]],weather.tbl[Date],0))</f>
        <v>-1.5</v>
      </c>
      <c r="R772" s="2">
        <f ca="1">INDEX(INDIRECT(_xlfn.CONCAT("weather.tbl[",R$1,"]")),MATCH(vp.tbl[[#This Row],[SDate]],weather.tbl[Date],0))</f>
        <v>-6.5</v>
      </c>
      <c r="S772" s="2">
        <f ca="1">INDEX(INDIRECT(_xlfn.CONCAT("weather.tbl[",S$1,"]")),MATCH(vp.tbl[[#This Row],[SDate]],weather.tbl[Date],0))</f>
        <v>-2.1</v>
      </c>
      <c r="T772" s="2">
        <f ca="1">INDEX(INDIRECT(_xlfn.CONCAT("weather.tbl[",T$1,"]")),MATCH(vp.tbl[[#This Row],[SDate]],weather.tbl[Date],0))</f>
        <v>-5.6</v>
      </c>
      <c r="U772" s="2">
        <f ca="1">INDEX(INDIRECT(_xlfn.CONCAT("weather.tbl[",U$1,"]")),MATCH(vp.tbl[[#This Row],[SDate]],weather.tbl[Date],0))</f>
        <v>-9</v>
      </c>
      <c r="V772" s="2">
        <v>7768.6840000000002</v>
      </c>
      <c r="W772" t="s">
        <v>48</v>
      </c>
      <c r="X772">
        <f>IF(OR(vp.tbl[[#This Row],[Sulf]]="",vp.tbl[[#This Row],[Dens]]=""),1,0)</f>
        <v>0</v>
      </c>
      <c r="Y772">
        <f>IF(vp.tbl[[#This Row],[CrudeType]]="C5+",1,0)</f>
        <v>0</v>
      </c>
      <c r="Z772">
        <f>IF(AND(vp.tbl[[#This Row],[CrudeType]]="Crude",vp.tbl[[#This Row],[Dens]]&lt;=825,vp.tbl[[#This Row],[Sulf]]&gt;0.5,vp.tbl[[#This Row],[Unknown]]=0),1,0)</f>
        <v>0</v>
      </c>
      <c r="AA772">
        <f>IF(AND(vp.tbl[[#This Row],[CrudeType]]="Crude",vp.tbl[[#This Row],[Dens]]&lt;=825,vp.tbl[[#This Row],[Sulf]]&lt;=0.5,vp.tbl[[#This Row],[Unknown]]=0),1,0)</f>
        <v>1</v>
      </c>
      <c r="AB772">
        <f>IF(AND(vp.tbl[[#This Row],[CrudeType]]="Crude",vp.tbl[[#This Row],[Dens]]&gt;825,vp.tbl[[#This Row],[Dens]]&lt;=870,vp.tbl[[#This Row],[Sulf]]&gt;0.5,vp.tbl[[#This Row],[Unknown]]=0),1,0)</f>
        <v>0</v>
      </c>
      <c r="AC772">
        <f>IF(AND(vp.tbl[[#This Row],[CrudeType]]="Crude",vp.tbl[[#This Row],[Dens]]&gt;825,vp.tbl[[#This Row],[Dens]]&lt;=900,vp.tbl[[#This Row],[Sulf]]&lt;=0.5,vp.tbl[[#This Row],[Unknown]]=0),1,0)</f>
        <v>0</v>
      </c>
      <c r="AD772">
        <f>IF(AND(vp.tbl[[#This Row],[CrudeType]]="Crude",vp.tbl[[#This Row],[Dens]]&gt;870,vp.tbl[[#This Row],[Dens]]&lt;=900,vp.tbl[[#This Row],[Sulf]]&gt;0.5,vp.tbl[[#This Row],[Unknown]]=0),1,0)</f>
        <v>0</v>
      </c>
      <c r="AE772">
        <f>IF(AND(vp.tbl[[#This Row],[CrudeType]]="Crude",vp.tbl[[#This Row],[Dens]]&gt;900,vp.tbl[[#This Row],[Sulf]]&lt;=0.5,vp.tbl[[#This Row],[Unknown]]=0),1,0)</f>
        <v>0</v>
      </c>
      <c r="AF772">
        <f>IF(AND(vp.tbl[[#This Row],[CrudeType]]="Crude",vp.tbl[[#This Row],[Dens]]&gt;900,vp.tbl[[#This Row],[Sulf]]&lt;=0.5,vp.tbl[[#This Row],[Unknown]]=0),1,0)</f>
        <v>0</v>
      </c>
      <c r="AG772" t="str">
        <f>INDEX(vp.tbl[[#Headers],[Unknown]:[Heavy_SW]],MATCH(1,vp.tbl[[#This Row],[Unknown]:[Heavy_SW]],0))</f>
        <v>Light_SW</v>
      </c>
      <c r="AH772" t="e">
        <f>INDEX([1]!crudeBD.lkup[Number],MATCH(vp.tbl[[#This Row],[Crude_Breakdown]],[1]!crudeBD.lkup[Crude Breakdown],0))</f>
        <v>#REF!</v>
      </c>
      <c r="AI772">
        <f>MONTH(vp.tbl[[#This Row],[SDate]])</f>
        <v>2</v>
      </c>
      <c r="AJ772" s="5">
        <f>IFERROR(vp.tbl[[#This Row],[Sulf]]*vp.tbl[[#This Row],[Net Dens]],"")</f>
        <v>1071200.5307080001</v>
      </c>
      <c r="AK772" s="5">
        <f>IFERROR(vp.tbl[[#This Row],[Dens]]*vp.tbl[[#This Row],[VolumeM3]],"")</f>
        <v>6301179.5924000004</v>
      </c>
      <c r="AL772" s="5">
        <f>IFERROR(vp.tbl[[#This Row],[VP]]*vp.tbl[[#This Row],[VolumeM3]],"")</f>
        <v>640916.43000000005</v>
      </c>
      <c r="AM772" s="4">
        <f>IFERROR((vp.tbl[[#This Row],[VP]]-INDEX(crudeBD.lkup.complete[Mean_VP],MATCH(vp.tbl[[#This Row],[Crude_Breakdown]],crudeBD.lkup.complete[Crude Breakdown],0)))^2,"")</f>
        <v>101.00880323422588</v>
      </c>
      <c r="AN772" s="4">
        <f>IFERROR((vp.tbl[[#This Row],[Dens]]-INDEX(crudeBD.lkup.complete[Mean_Dens],MATCH(vp.tbl[[#This Row],[Crude_Breakdown]],crudeBD.lkup.complete[Crude Breakdown],0)))^2,"")</f>
        <v>7.7757419660322542</v>
      </c>
      <c r="AO772" s="4">
        <f>IFERROR((vp.tbl[[#This Row],[Sulf]]-INDEX(crudeBD.lkup.complete[Mean_Sulf],MATCH(vp.tbl[[#This Row],[Crude_Breakdown]],crudeBD.lkup.complete[Crude Breakdown],0)))^2,"")</f>
        <v>4.3879776367322437E-3</v>
      </c>
      <c r="AP772">
        <f>IF(AND(vp.tbl[[#This Row],[SDate]]&gt;=DATE(YEAR(vp.tbl[[#This Row],[SDate]]),5,1),vp.tbl[[#This Row],[SDate]]&lt;=DATE(YEAR(vp.tbl[[#This Row],[SDate]]),9,15)),1,0)</f>
        <v>0</v>
      </c>
      <c r="AQ772" s="15">
        <f>IF(vp.tbl[[#This Row],[SDate]]&lt;DATE(2016,12,1),0,1)</f>
        <v>1</v>
      </c>
    </row>
    <row r="773" spans="1:43" x14ac:dyDescent="0.25">
      <c r="A773">
        <v>772</v>
      </c>
      <c r="B773" t="s">
        <v>62</v>
      </c>
      <c r="C773" t="s">
        <v>62</v>
      </c>
      <c r="D773" t="s">
        <v>63</v>
      </c>
      <c r="F773" s="1">
        <v>42776</v>
      </c>
      <c r="G773" s="2">
        <v>89.4</v>
      </c>
      <c r="H773" s="2"/>
      <c r="I773" s="2">
        <v>1.53</v>
      </c>
      <c r="J773" s="2">
        <v>8.1</v>
      </c>
      <c r="K773" s="2">
        <v>-6</v>
      </c>
      <c r="L773" s="2">
        <v>844.1</v>
      </c>
      <c r="M773" s="2">
        <v>844.1</v>
      </c>
      <c r="N773" s="2">
        <f ca="1">INDEX(INDIRECT(_xlfn.CONCAT("weather.tbl[",N$1,"]")),MATCH(vp.tbl[[#This Row],[SDate]],weather.tbl[Date],0))</f>
        <v>-4.3500000000000005</v>
      </c>
      <c r="O773" s="2">
        <f ca="1">INDEX(INDIRECT(_xlfn.CONCAT("weather.tbl[",O$1,"]")),MATCH(vp.tbl[[#This Row],[SDate]],weather.tbl[Date],0))</f>
        <v>-17.464285714285715</v>
      </c>
      <c r="P773" s="2">
        <f ca="1">INDEX(INDIRECT(_xlfn.CONCAT("weather.tbl[",P$1,"]")),MATCH(vp.tbl[[#This Row],[SDate]],weather.tbl[Date],0))</f>
        <v>-1.4</v>
      </c>
      <c r="Q773" s="2">
        <f ca="1">INDEX(INDIRECT(_xlfn.CONCAT("weather.tbl[",Q$1,"]")),MATCH(vp.tbl[[#This Row],[SDate]],weather.tbl[Date],0))</f>
        <v>-1.5</v>
      </c>
      <c r="R773" s="2">
        <f ca="1">INDEX(INDIRECT(_xlfn.CONCAT("weather.tbl[",R$1,"]")),MATCH(vp.tbl[[#This Row],[SDate]],weather.tbl[Date],0))</f>
        <v>-6.5</v>
      </c>
      <c r="S773" s="2">
        <f ca="1">INDEX(INDIRECT(_xlfn.CONCAT("weather.tbl[",S$1,"]")),MATCH(vp.tbl[[#This Row],[SDate]],weather.tbl[Date],0))</f>
        <v>-2.1</v>
      </c>
      <c r="T773" s="2">
        <f ca="1">INDEX(INDIRECT(_xlfn.CONCAT("weather.tbl[",T$1,"]")),MATCH(vp.tbl[[#This Row],[SDate]],weather.tbl[Date],0))</f>
        <v>-5.6</v>
      </c>
      <c r="U773" s="2">
        <f ca="1">INDEX(INDIRECT(_xlfn.CONCAT("weather.tbl[",U$1,"]")),MATCH(vp.tbl[[#This Row],[SDate]],weather.tbl[Date],0))</f>
        <v>-9</v>
      </c>
      <c r="V773" s="2">
        <v>4978.7389999999996</v>
      </c>
      <c r="W773" t="s">
        <v>48</v>
      </c>
      <c r="X773">
        <f>IF(OR(vp.tbl[[#This Row],[Sulf]]="",vp.tbl[[#This Row],[Dens]]=""),1,0)</f>
        <v>0</v>
      </c>
      <c r="Y773">
        <f>IF(vp.tbl[[#This Row],[CrudeType]]="C5+",1,0)</f>
        <v>0</v>
      </c>
      <c r="Z773">
        <f>IF(AND(vp.tbl[[#This Row],[CrudeType]]="Crude",vp.tbl[[#This Row],[Dens]]&lt;=825,vp.tbl[[#This Row],[Sulf]]&gt;0.5,vp.tbl[[#This Row],[Unknown]]=0),1,0)</f>
        <v>0</v>
      </c>
      <c r="AA773">
        <f>IF(AND(vp.tbl[[#This Row],[CrudeType]]="Crude",vp.tbl[[#This Row],[Dens]]&lt;=825,vp.tbl[[#This Row],[Sulf]]&lt;=0.5,vp.tbl[[#This Row],[Unknown]]=0),1,0)</f>
        <v>0</v>
      </c>
      <c r="AB773">
        <f>IF(AND(vp.tbl[[#This Row],[CrudeType]]="Crude",vp.tbl[[#This Row],[Dens]]&gt;825,vp.tbl[[#This Row],[Dens]]&lt;=870,vp.tbl[[#This Row],[Sulf]]&gt;0.5,vp.tbl[[#This Row],[Unknown]]=0),1,0)</f>
        <v>1</v>
      </c>
      <c r="AC773">
        <f>IF(AND(vp.tbl[[#This Row],[CrudeType]]="Crude",vp.tbl[[#This Row],[Dens]]&gt;825,vp.tbl[[#This Row],[Dens]]&lt;=900,vp.tbl[[#This Row],[Sulf]]&lt;=0.5,vp.tbl[[#This Row],[Unknown]]=0),1,0)</f>
        <v>0</v>
      </c>
      <c r="AD773">
        <f>IF(AND(vp.tbl[[#This Row],[CrudeType]]="Crude",vp.tbl[[#This Row],[Dens]]&gt;870,vp.tbl[[#This Row],[Dens]]&lt;=900,vp.tbl[[#This Row],[Sulf]]&gt;0.5,vp.tbl[[#This Row],[Unknown]]=0),1,0)</f>
        <v>0</v>
      </c>
      <c r="AE773">
        <f>IF(AND(vp.tbl[[#This Row],[CrudeType]]="Crude",vp.tbl[[#This Row],[Dens]]&gt;900,vp.tbl[[#This Row],[Sulf]]&lt;=0.5,vp.tbl[[#This Row],[Unknown]]=0),1,0)</f>
        <v>0</v>
      </c>
      <c r="AF773">
        <f>IF(AND(vp.tbl[[#This Row],[CrudeType]]="Crude",vp.tbl[[#This Row],[Dens]]&gt;900,vp.tbl[[#This Row],[Sulf]]&lt;=0.5,vp.tbl[[#This Row],[Unknown]]=0),1,0)</f>
        <v>0</v>
      </c>
      <c r="AG773" t="str">
        <f>INDEX(vp.tbl[[#Headers],[Unknown]:[Heavy_SW]],MATCH(1,vp.tbl[[#This Row],[Unknown]:[Heavy_SW]],0))</f>
        <v>Medium_LSB</v>
      </c>
      <c r="AH773" t="e">
        <f>INDEX([1]!crudeBD.lkup[Number],MATCH(vp.tbl[[#This Row],[Crude_Breakdown]],[1]!crudeBD.lkup[Crude Breakdown],0))</f>
        <v>#REF!</v>
      </c>
      <c r="AI773">
        <f>MONTH(vp.tbl[[#This Row],[SDate]])</f>
        <v>2</v>
      </c>
      <c r="AJ773" s="5">
        <f>IFERROR(vp.tbl[[#This Row],[Sulf]]*vp.tbl[[#This Row],[Net Dens]],"")</f>
        <v>6429906.9925469998</v>
      </c>
      <c r="AK773" s="5">
        <f>IFERROR(vp.tbl[[#This Row],[Dens]]*vp.tbl[[#This Row],[VolumeM3]],"")</f>
        <v>4202553.5899</v>
      </c>
      <c r="AL773" s="5">
        <f>IFERROR(vp.tbl[[#This Row],[VP]]*vp.tbl[[#This Row],[VolumeM3]],"")</f>
        <v>445099.26659999997</v>
      </c>
      <c r="AM773" s="4">
        <f>IFERROR((vp.tbl[[#This Row],[VP]]-INDEX(crudeBD.lkup.complete[Mean_VP],MATCH(vp.tbl[[#This Row],[Crude_Breakdown]],crudeBD.lkup.complete[Crude Breakdown],0)))^2,"")</f>
        <v>85.12655039192515</v>
      </c>
      <c r="AN773" s="4">
        <f>IFERROR((vp.tbl[[#This Row],[Dens]]-INDEX(crudeBD.lkup.complete[Mean_Dens],MATCH(vp.tbl[[#This Row],[Crude_Breakdown]],crudeBD.lkup.complete[Crude Breakdown],0)))^2,"")</f>
        <v>1.420441550390164</v>
      </c>
      <c r="AO773" s="4">
        <f>IFERROR((vp.tbl[[#This Row],[Sulf]]-INDEX(crudeBD.lkup.complete[Mean_Sulf],MATCH(vp.tbl[[#This Row],[Crude_Breakdown]],crudeBD.lkup.complete[Crude Breakdown],0)))^2,"")</f>
        <v>5.6355258055887899E-3</v>
      </c>
      <c r="AP773">
        <f>IF(AND(vp.tbl[[#This Row],[SDate]]&gt;=DATE(YEAR(vp.tbl[[#This Row],[SDate]]),5,1),vp.tbl[[#This Row],[SDate]]&lt;=DATE(YEAR(vp.tbl[[#This Row],[SDate]]),9,15)),1,0)</f>
        <v>0</v>
      </c>
      <c r="AQ773" s="15">
        <f>IF(vp.tbl[[#This Row],[SDate]]&lt;DATE(2016,12,1),0,1)</f>
        <v>1</v>
      </c>
    </row>
    <row r="774" spans="1:43" x14ac:dyDescent="0.25">
      <c r="A774">
        <v>773</v>
      </c>
      <c r="B774" t="s">
        <v>56</v>
      </c>
      <c r="C774" t="s">
        <v>56</v>
      </c>
      <c r="D774" t="s">
        <v>57</v>
      </c>
      <c r="F774" s="1">
        <v>42776</v>
      </c>
      <c r="G774" s="2">
        <v>89.3</v>
      </c>
      <c r="H774" s="2"/>
      <c r="I774" s="2">
        <v>1.69</v>
      </c>
      <c r="J774" s="2">
        <v>10.1</v>
      </c>
      <c r="K774" s="2">
        <v>-6</v>
      </c>
      <c r="L774" s="2">
        <v>844.6</v>
      </c>
      <c r="M774" s="2">
        <v>844.6</v>
      </c>
      <c r="N774" s="2">
        <f ca="1">INDEX(INDIRECT(_xlfn.CONCAT("weather.tbl[",N$1,"]")),MATCH(vp.tbl[[#This Row],[SDate]],weather.tbl[Date],0))</f>
        <v>-4.3500000000000005</v>
      </c>
      <c r="O774" s="2">
        <f ca="1">INDEX(INDIRECT(_xlfn.CONCAT("weather.tbl[",O$1,"]")),MATCH(vp.tbl[[#This Row],[SDate]],weather.tbl[Date],0))</f>
        <v>-17.464285714285715</v>
      </c>
      <c r="P774" s="2">
        <f ca="1">INDEX(INDIRECT(_xlfn.CONCAT("weather.tbl[",P$1,"]")),MATCH(vp.tbl[[#This Row],[SDate]],weather.tbl[Date],0))</f>
        <v>-1.4</v>
      </c>
      <c r="Q774" s="2">
        <f ca="1">INDEX(INDIRECT(_xlfn.CONCAT("weather.tbl[",Q$1,"]")),MATCH(vp.tbl[[#This Row],[SDate]],weather.tbl[Date],0))</f>
        <v>-1.5</v>
      </c>
      <c r="R774" s="2">
        <f ca="1">INDEX(INDIRECT(_xlfn.CONCAT("weather.tbl[",R$1,"]")),MATCH(vp.tbl[[#This Row],[SDate]],weather.tbl[Date],0))</f>
        <v>-6.5</v>
      </c>
      <c r="S774" s="2">
        <f ca="1">INDEX(INDIRECT(_xlfn.CONCAT("weather.tbl[",S$1,"]")),MATCH(vp.tbl[[#This Row],[SDate]],weather.tbl[Date],0))</f>
        <v>-2.1</v>
      </c>
      <c r="T774" s="2">
        <f ca="1">INDEX(INDIRECT(_xlfn.CONCAT("weather.tbl[",T$1,"]")),MATCH(vp.tbl[[#This Row],[SDate]],weather.tbl[Date],0))</f>
        <v>-5.6</v>
      </c>
      <c r="U774" s="2">
        <f ca="1">INDEX(INDIRECT(_xlfn.CONCAT("weather.tbl[",U$1,"]")),MATCH(vp.tbl[[#This Row],[SDate]],weather.tbl[Date],0))</f>
        <v>-9</v>
      </c>
      <c r="V774" s="2">
        <v>2751.2289999999998</v>
      </c>
      <c r="W774" t="s">
        <v>48</v>
      </c>
      <c r="X774">
        <f>IF(OR(vp.tbl[[#This Row],[Sulf]]="",vp.tbl[[#This Row],[Dens]]=""),1,0)</f>
        <v>0</v>
      </c>
      <c r="Y774">
        <f>IF(vp.tbl[[#This Row],[CrudeType]]="C5+",1,0)</f>
        <v>0</v>
      </c>
      <c r="Z774">
        <f>IF(AND(vp.tbl[[#This Row],[CrudeType]]="Crude",vp.tbl[[#This Row],[Dens]]&lt;=825,vp.tbl[[#This Row],[Sulf]]&gt;0.5,vp.tbl[[#This Row],[Unknown]]=0),1,0)</f>
        <v>0</v>
      </c>
      <c r="AA774">
        <f>IF(AND(vp.tbl[[#This Row],[CrudeType]]="Crude",vp.tbl[[#This Row],[Dens]]&lt;=825,vp.tbl[[#This Row],[Sulf]]&lt;=0.5,vp.tbl[[#This Row],[Unknown]]=0),1,0)</f>
        <v>0</v>
      </c>
      <c r="AB774">
        <f>IF(AND(vp.tbl[[#This Row],[CrudeType]]="Crude",vp.tbl[[#This Row],[Dens]]&gt;825,vp.tbl[[#This Row],[Dens]]&lt;=870,vp.tbl[[#This Row],[Sulf]]&gt;0.5,vp.tbl[[#This Row],[Unknown]]=0),1,0)</f>
        <v>1</v>
      </c>
      <c r="AC774">
        <f>IF(AND(vp.tbl[[#This Row],[CrudeType]]="Crude",vp.tbl[[#This Row],[Dens]]&gt;825,vp.tbl[[#This Row],[Dens]]&lt;=900,vp.tbl[[#This Row],[Sulf]]&lt;=0.5,vp.tbl[[#This Row],[Unknown]]=0),1,0)</f>
        <v>0</v>
      </c>
      <c r="AD774">
        <f>IF(AND(vp.tbl[[#This Row],[CrudeType]]="Crude",vp.tbl[[#This Row],[Dens]]&gt;870,vp.tbl[[#This Row],[Dens]]&lt;=900,vp.tbl[[#This Row],[Sulf]]&gt;0.5,vp.tbl[[#This Row],[Unknown]]=0),1,0)</f>
        <v>0</v>
      </c>
      <c r="AE774">
        <f>IF(AND(vp.tbl[[#This Row],[CrudeType]]="Crude",vp.tbl[[#This Row],[Dens]]&gt;900,vp.tbl[[#This Row],[Sulf]]&lt;=0.5,vp.tbl[[#This Row],[Unknown]]=0),1,0)</f>
        <v>0</v>
      </c>
      <c r="AF774">
        <f>IF(AND(vp.tbl[[#This Row],[CrudeType]]="Crude",vp.tbl[[#This Row],[Dens]]&gt;900,vp.tbl[[#This Row],[Sulf]]&lt;=0.5,vp.tbl[[#This Row],[Unknown]]=0),1,0)</f>
        <v>0</v>
      </c>
      <c r="AG774" t="str">
        <f>INDEX(vp.tbl[[#Headers],[Unknown]:[Heavy_SW]],MATCH(1,vp.tbl[[#This Row],[Unknown]:[Heavy_SW]],0))</f>
        <v>Medium_LSB</v>
      </c>
      <c r="AH774" t="e">
        <f>INDEX([1]!crudeBD.lkup[Number],MATCH(vp.tbl[[#This Row],[Crude_Breakdown]],[1]!crudeBD.lkup[Crude Breakdown],0))</f>
        <v>#REF!</v>
      </c>
      <c r="AI774">
        <f>MONTH(vp.tbl[[#This Row],[SDate]])</f>
        <v>2</v>
      </c>
      <c r="AJ774" s="5">
        <f>IFERROR(vp.tbl[[#This Row],[Sulf]]*vp.tbl[[#This Row],[Net Dens]],"")</f>
        <v>3927032.7426459999</v>
      </c>
      <c r="AK774" s="5">
        <f>IFERROR(vp.tbl[[#This Row],[Dens]]*vp.tbl[[#This Row],[VolumeM3]],"")</f>
        <v>2323688.0134000001</v>
      </c>
      <c r="AL774" s="5">
        <f>IFERROR(vp.tbl[[#This Row],[VP]]*vp.tbl[[#This Row],[VolumeM3]],"")</f>
        <v>245684.74969999999</v>
      </c>
      <c r="AM774" s="4">
        <f>IFERROR((vp.tbl[[#This Row],[VP]]-INDEX(crudeBD.lkup.complete[Mean_VP],MATCH(vp.tbl[[#This Row],[Crude_Breakdown]],crudeBD.lkup.complete[Crude Breakdown],0)))^2,"")</f>
        <v>83.291269379266765</v>
      </c>
      <c r="AN774" s="4">
        <f>IFERROR((vp.tbl[[#This Row],[Dens]]-INDEX(crudeBD.lkup.complete[Mean_Dens],MATCH(vp.tbl[[#This Row],[Crude_Breakdown]],crudeBD.lkup.complete[Crude Breakdown],0)))^2,"")</f>
        <v>0.47861876558104482</v>
      </c>
      <c r="AO774" s="4">
        <f>IFERROR((vp.tbl[[#This Row],[Sulf]]-INDEX(crudeBD.lkup.complete[Mean_Sulf],MATCH(vp.tbl[[#This Row],[Crude_Breakdown]],crudeBD.lkup.complete[Crude Breakdown],0)))^2,"")</f>
        <v>5.5257970362550313E-2</v>
      </c>
      <c r="AP774">
        <f>IF(AND(vp.tbl[[#This Row],[SDate]]&gt;=DATE(YEAR(vp.tbl[[#This Row],[SDate]]),5,1),vp.tbl[[#This Row],[SDate]]&lt;=DATE(YEAR(vp.tbl[[#This Row],[SDate]]),9,15)),1,0)</f>
        <v>0</v>
      </c>
      <c r="AQ774" s="15">
        <f>IF(vp.tbl[[#This Row],[SDate]]&lt;DATE(2016,12,1),0,1)</f>
        <v>1</v>
      </c>
    </row>
    <row r="775" spans="1:43" x14ac:dyDescent="0.25">
      <c r="A775">
        <v>774</v>
      </c>
      <c r="B775" t="s">
        <v>111</v>
      </c>
      <c r="C775" t="s">
        <v>111</v>
      </c>
      <c r="D775" t="s">
        <v>112</v>
      </c>
      <c r="F775" s="1">
        <v>42776</v>
      </c>
      <c r="G775" s="2">
        <v>71.900000000000006</v>
      </c>
      <c r="H775" s="2"/>
      <c r="I775" s="2">
        <v>1.87</v>
      </c>
      <c r="J775" s="2">
        <v>30.9</v>
      </c>
      <c r="K775" s="2">
        <v>-6</v>
      </c>
      <c r="L775" s="2">
        <v>858</v>
      </c>
      <c r="M775" s="2">
        <v>858</v>
      </c>
      <c r="N775" s="2">
        <f ca="1">INDEX(INDIRECT(_xlfn.CONCAT("weather.tbl[",N$1,"]")),MATCH(vp.tbl[[#This Row],[SDate]],weather.tbl[Date],0))</f>
        <v>-4.3500000000000005</v>
      </c>
      <c r="O775" s="2">
        <f ca="1">INDEX(INDIRECT(_xlfn.CONCAT("weather.tbl[",O$1,"]")),MATCH(vp.tbl[[#This Row],[SDate]],weather.tbl[Date],0))</f>
        <v>-17.464285714285715</v>
      </c>
      <c r="P775" s="2">
        <f ca="1">INDEX(INDIRECT(_xlfn.CONCAT("weather.tbl[",P$1,"]")),MATCH(vp.tbl[[#This Row],[SDate]],weather.tbl[Date],0))</f>
        <v>-1.4</v>
      </c>
      <c r="Q775" s="2">
        <f ca="1">INDEX(INDIRECT(_xlfn.CONCAT("weather.tbl[",Q$1,"]")),MATCH(vp.tbl[[#This Row],[SDate]],weather.tbl[Date],0))</f>
        <v>-1.5</v>
      </c>
      <c r="R775" s="2">
        <f ca="1">INDEX(INDIRECT(_xlfn.CONCAT("weather.tbl[",R$1,"]")),MATCH(vp.tbl[[#This Row],[SDate]],weather.tbl[Date],0))</f>
        <v>-6.5</v>
      </c>
      <c r="S775" s="2">
        <f ca="1">INDEX(INDIRECT(_xlfn.CONCAT("weather.tbl[",S$1,"]")),MATCH(vp.tbl[[#This Row],[SDate]],weather.tbl[Date],0))</f>
        <v>-2.1</v>
      </c>
      <c r="T775" s="2">
        <f ca="1">INDEX(INDIRECT(_xlfn.CONCAT("weather.tbl[",T$1,"]")),MATCH(vp.tbl[[#This Row],[SDate]],weather.tbl[Date],0))</f>
        <v>-5.6</v>
      </c>
      <c r="U775" s="2">
        <f ca="1">INDEX(INDIRECT(_xlfn.CONCAT("weather.tbl[",U$1,"]")),MATCH(vp.tbl[[#This Row],[SDate]],weather.tbl[Date],0))</f>
        <v>-9</v>
      </c>
      <c r="V775" s="2">
        <v>6942.3440000000001</v>
      </c>
      <c r="W775" t="s">
        <v>48</v>
      </c>
      <c r="X775">
        <f>IF(OR(vp.tbl[[#This Row],[Sulf]]="",vp.tbl[[#This Row],[Dens]]=""),1,0)</f>
        <v>0</v>
      </c>
      <c r="Y775">
        <f>IF(vp.tbl[[#This Row],[CrudeType]]="C5+",1,0)</f>
        <v>0</v>
      </c>
      <c r="Z775">
        <f>IF(AND(vp.tbl[[#This Row],[CrudeType]]="Crude",vp.tbl[[#This Row],[Dens]]&lt;=825,vp.tbl[[#This Row],[Sulf]]&gt;0.5,vp.tbl[[#This Row],[Unknown]]=0),1,0)</f>
        <v>0</v>
      </c>
      <c r="AA775">
        <f>IF(AND(vp.tbl[[#This Row],[CrudeType]]="Crude",vp.tbl[[#This Row],[Dens]]&lt;=825,vp.tbl[[#This Row],[Sulf]]&lt;=0.5,vp.tbl[[#This Row],[Unknown]]=0),1,0)</f>
        <v>0</v>
      </c>
      <c r="AB775">
        <f>IF(AND(vp.tbl[[#This Row],[CrudeType]]="Crude",vp.tbl[[#This Row],[Dens]]&gt;825,vp.tbl[[#This Row],[Dens]]&lt;=870,vp.tbl[[#This Row],[Sulf]]&gt;0.5,vp.tbl[[#This Row],[Unknown]]=0),1,0)</f>
        <v>1</v>
      </c>
      <c r="AC775">
        <f>IF(AND(vp.tbl[[#This Row],[CrudeType]]="Crude",vp.tbl[[#This Row],[Dens]]&gt;825,vp.tbl[[#This Row],[Dens]]&lt;=900,vp.tbl[[#This Row],[Sulf]]&lt;=0.5,vp.tbl[[#This Row],[Unknown]]=0),1,0)</f>
        <v>0</v>
      </c>
      <c r="AD775">
        <f>IF(AND(vp.tbl[[#This Row],[CrudeType]]="Crude",vp.tbl[[#This Row],[Dens]]&gt;870,vp.tbl[[#This Row],[Dens]]&lt;=900,vp.tbl[[#This Row],[Sulf]]&gt;0.5,vp.tbl[[#This Row],[Unknown]]=0),1,0)</f>
        <v>0</v>
      </c>
      <c r="AE775">
        <f>IF(AND(vp.tbl[[#This Row],[CrudeType]]="Crude",vp.tbl[[#This Row],[Dens]]&gt;900,vp.tbl[[#This Row],[Sulf]]&lt;=0.5,vp.tbl[[#This Row],[Unknown]]=0),1,0)</f>
        <v>0</v>
      </c>
      <c r="AF775">
        <f>IF(AND(vp.tbl[[#This Row],[CrudeType]]="Crude",vp.tbl[[#This Row],[Dens]]&gt;900,vp.tbl[[#This Row],[Sulf]]&lt;=0.5,vp.tbl[[#This Row],[Unknown]]=0),1,0)</f>
        <v>0</v>
      </c>
      <c r="AG775" t="str">
        <f>INDEX(vp.tbl[[#Headers],[Unknown]:[Heavy_SW]],MATCH(1,vp.tbl[[#This Row],[Unknown]:[Heavy_SW]],0))</f>
        <v>Medium_LSB</v>
      </c>
      <c r="AH775" t="e">
        <f>INDEX([1]!crudeBD.lkup[Number],MATCH(vp.tbl[[#This Row],[Crude_Breakdown]],[1]!crudeBD.lkup[Crude Breakdown],0))</f>
        <v>#REF!</v>
      </c>
      <c r="AI775">
        <f>MONTH(vp.tbl[[#This Row],[SDate]])</f>
        <v>2</v>
      </c>
      <c r="AJ775" s="5">
        <f>IFERROR(vp.tbl[[#This Row],[Sulf]]*vp.tbl[[#This Row],[Net Dens]],"")</f>
        <v>11138713.254240001</v>
      </c>
      <c r="AK775" s="5">
        <f>IFERROR(vp.tbl[[#This Row],[Dens]]*vp.tbl[[#This Row],[VolumeM3]],"")</f>
        <v>5956531.1519999998</v>
      </c>
      <c r="AL775" s="5">
        <f>IFERROR(vp.tbl[[#This Row],[VP]]*vp.tbl[[#This Row],[VolumeM3]],"")</f>
        <v>499154.53360000002</v>
      </c>
      <c r="AM775" s="4">
        <f>IFERROR((vp.tbl[[#This Row],[VP]]-INDEX(crudeBD.lkup.complete[Mean_VP],MATCH(vp.tbl[[#This Row],[Crude_Breakdown]],crudeBD.lkup.complete[Crude Breakdown],0)))^2,"")</f>
        <v>68.452373176733786</v>
      </c>
      <c r="AN775" s="4">
        <f>IFERROR((vp.tbl[[#This Row],[Dens]]-INDEX(crudeBD.lkup.complete[Mean_Dens],MATCH(vp.tbl[[#This Row],[Crude_Breakdown]],crudeBD.lkup.complete[Crude Breakdown],0)))^2,"")</f>
        <v>161.49776813269608</v>
      </c>
      <c r="AO775" s="4">
        <f>IFERROR((vp.tbl[[#This Row],[Sulf]]-INDEX(crudeBD.lkup.complete[Mean_Sulf],MATCH(vp.tbl[[#This Row],[Crude_Breakdown]],crudeBD.lkup.complete[Crude Breakdown],0)))^2,"")</f>
        <v>0.17228322048913217</v>
      </c>
      <c r="AP775">
        <f>IF(AND(vp.tbl[[#This Row],[SDate]]&gt;=DATE(YEAR(vp.tbl[[#This Row],[SDate]]),5,1),vp.tbl[[#This Row],[SDate]]&lt;=DATE(YEAR(vp.tbl[[#This Row],[SDate]]),9,15)),1,0)</f>
        <v>0</v>
      </c>
      <c r="AQ775" s="15">
        <f>IF(vp.tbl[[#This Row],[SDate]]&lt;DATE(2016,12,1),0,1)</f>
        <v>1</v>
      </c>
    </row>
    <row r="776" spans="1:43" x14ac:dyDescent="0.25">
      <c r="A776">
        <v>775</v>
      </c>
      <c r="B776" t="s">
        <v>49</v>
      </c>
      <c r="C776" t="s">
        <v>49</v>
      </c>
      <c r="D776" t="s">
        <v>78</v>
      </c>
      <c r="F776" s="1">
        <v>42777</v>
      </c>
      <c r="G776" s="2">
        <v>87.3</v>
      </c>
      <c r="H776" s="2">
        <v>0.40400000000000003</v>
      </c>
      <c r="I776" s="2">
        <v>0.40400000000000003</v>
      </c>
      <c r="J776" s="2"/>
      <c r="K776" s="2">
        <v>-2</v>
      </c>
      <c r="L776" s="2">
        <v>814.8</v>
      </c>
      <c r="M776" s="2">
        <v>814.8</v>
      </c>
      <c r="N776" s="2">
        <f ca="1">INDEX(INDIRECT(_xlfn.CONCAT("weather.tbl[",N$1,"]")),MATCH(vp.tbl[[#This Row],[SDate]],weather.tbl[Date],0))</f>
        <v>-5.2833333333333341</v>
      </c>
      <c r="O776" s="2">
        <f ca="1">INDEX(INDIRECT(_xlfn.CONCAT("weather.tbl[",O$1,"]")),MATCH(vp.tbl[[#This Row],[SDate]],weather.tbl[Date],0))</f>
        <v>-16.085714285714285</v>
      </c>
      <c r="P776" s="2">
        <f ca="1">INDEX(INDIRECT(_xlfn.CONCAT("weather.tbl[",P$1,"]")),MATCH(vp.tbl[[#This Row],[SDate]],weather.tbl[Date],0))</f>
        <v>-5.3</v>
      </c>
      <c r="Q776" s="2">
        <f ca="1">INDEX(INDIRECT(_xlfn.CONCAT("weather.tbl[",Q$1,"]")),MATCH(vp.tbl[[#This Row],[SDate]],weather.tbl[Date],0))</f>
        <v>-4.8</v>
      </c>
      <c r="R776" s="2">
        <f ca="1">INDEX(INDIRECT(_xlfn.CONCAT("weather.tbl[",R$1,"]")),MATCH(vp.tbl[[#This Row],[SDate]],weather.tbl[Date],0))</f>
        <v>-6</v>
      </c>
      <c r="S776" s="2">
        <f ca="1">INDEX(INDIRECT(_xlfn.CONCAT("weather.tbl[",S$1,"]")),MATCH(vp.tbl[[#This Row],[SDate]],weather.tbl[Date],0))</f>
        <v>-5.3</v>
      </c>
      <c r="T776" s="2">
        <f ca="1">INDEX(INDIRECT(_xlfn.CONCAT("weather.tbl[",T$1,"]")),MATCH(vp.tbl[[#This Row],[SDate]],weather.tbl[Date],0))</f>
        <v>-3.5</v>
      </c>
      <c r="U776" s="2">
        <f ca="1">INDEX(INDIRECT(_xlfn.CONCAT("weather.tbl[",U$1,"]")),MATCH(vp.tbl[[#This Row],[SDate]],weather.tbl[Date],0))</f>
        <v>-6.8</v>
      </c>
      <c r="V776" s="2">
        <v>17200.881000000001</v>
      </c>
      <c r="W776" t="s">
        <v>48</v>
      </c>
      <c r="X776">
        <f>IF(OR(vp.tbl[[#This Row],[Sulf]]="",vp.tbl[[#This Row],[Dens]]=""),1,0)</f>
        <v>0</v>
      </c>
      <c r="Y776">
        <f>IF(vp.tbl[[#This Row],[CrudeType]]="C5+",1,0)</f>
        <v>0</v>
      </c>
      <c r="Z776">
        <f>IF(AND(vp.tbl[[#This Row],[CrudeType]]="Crude",vp.tbl[[#This Row],[Dens]]&lt;=825,vp.tbl[[#This Row],[Sulf]]&gt;0.5,vp.tbl[[#This Row],[Unknown]]=0),1,0)</f>
        <v>0</v>
      </c>
      <c r="AA776">
        <f>IF(AND(vp.tbl[[#This Row],[CrudeType]]="Crude",vp.tbl[[#This Row],[Dens]]&lt;=825,vp.tbl[[#This Row],[Sulf]]&lt;=0.5,vp.tbl[[#This Row],[Unknown]]=0),1,0)</f>
        <v>1</v>
      </c>
      <c r="AB776">
        <f>IF(AND(vp.tbl[[#This Row],[CrudeType]]="Crude",vp.tbl[[#This Row],[Dens]]&gt;825,vp.tbl[[#This Row],[Dens]]&lt;=870,vp.tbl[[#This Row],[Sulf]]&gt;0.5,vp.tbl[[#This Row],[Unknown]]=0),1,0)</f>
        <v>0</v>
      </c>
      <c r="AC776">
        <f>IF(AND(vp.tbl[[#This Row],[CrudeType]]="Crude",vp.tbl[[#This Row],[Dens]]&gt;825,vp.tbl[[#This Row],[Dens]]&lt;=900,vp.tbl[[#This Row],[Sulf]]&lt;=0.5,vp.tbl[[#This Row],[Unknown]]=0),1,0)</f>
        <v>0</v>
      </c>
      <c r="AD776">
        <f>IF(AND(vp.tbl[[#This Row],[CrudeType]]="Crude",vp.tbl[[#This Row],[Dens]]&gt;870,vp.tbl[[#This Row],[Dens]]&lt;=900,vp.tbl[[#This Row],[Sulf]]&gt;0.5,vp.tbl[[#This Row],[Unknown]]=0),1,0)</f>
        <v>0</v>
      </c>
      <c r="AE776">
        <f>IF(AND(vp.tbl[[#This Row],[CrudeType]]="Crude",vp.tbl[[#This Row],[Dens]]&gt;900,vp.tbl[[#This Row],[Sulf]]&lt;=0.5,vp.tbl[[#This Row],[Unknown]]=0),1,0)</f>
        <v>0</v>
      </c>
      <c r="AF776">
        <f>IF(AND(vp.tbl[[#This Row],[CrudeType]]="Crude",vp.tbl[[#This Row],[Dens]]&gt;900,vp.tbl[[#This Row],[Sulf]]&lt;=0.5,vp.tbl[[#This Row],[Unknown]]=0),1,0)</f>
        <v>0</v>
      </c>
      <c r="AG776" t="str">
        <f>INDEX(vp.tbl[[#Headers],[Unknown]:[Heavy_SW]],MATCH(1,vp.tbl[[#This Row],[Unknown]:[Heavy_SW]],0))</f>
        <v>Light_SW</v>
      </c>
      <c r="AH776" t="e">
        <f>INDEX([1]!crudeBD.lkup[Number],MATCH(vp.tbl[[#This Row],[Crude_Breakdown]],[1]!crudeBD.lkup[Crude Breakdown],0))</f>
        <v>#REF!</v>
      </c>
      <c r="AI776">
        <f>MONTH(vp.tbl[[#This Row],[SDate]])</f>
        <v>2</v>
      </c>
      <c r="AJ776" s="5">
        <f>IFERROR(vp.tbl[[#This Row],[Sulf]]*vp.tbl[[#This Row],[Net Dens]],"")</f>
        <v>5662172.2468752004</v>
      </c>
      <c r="AK776" s="5">
        <f>IFERROR(vp.tbl[[#This Row],[Dens]]*vp.tbl[[#This Row],[VolumeM3]],"")</f>
        <v>14015277.8388</v>
      </c>
      <c r="AL776" s="5">
        <f>IFERROR(vp.tbl[[#This Row],[VP]]*vp.tbl[[#This Row],[VolumeM3]],"")</f>
        <v>1501636.9113</v>
      </c>
      <c r="AM776" s="4">
        <f>IFERROR((vp.tbl[[#This Row],[VP]]-INDEX(crudeBD.lkup.complete[Mean_VP],MATCH(vp.tbl[[#This Row],[Crude_Breakdown]],crudeBD.lkup.complete[Crude Breakdown],0)))^2,"")</f>
        <v>27.565792781264516</v>
      </c>
      <c r="AN776" s="4">
        <f>IFERROR((vp.tbl[[#This Row],[Dens]]-INDEX(crudeBD.lkup.complete[Mean_Dens],MATCH(vp.tbl[[#This Row],[Crude_Breakdown]],crudeBD.lkup.complete[Crude Breakdown],0)))^2,"")</f>
        <v>42.100654858019219</v>
      </c>
      <c r="AO776" s="4">
        <f>IFERROR((vp.tbl[[#This Row],[Sulf]]-INDEX(crudeBD.lkup.complete[Mean_Sulf],MATCH(vp.tbl[[#This Row],[Crude_Breakdown]],crudeBD.lkup.complete[Crude Breakdown],0)))^2,"")</f>
        <v>2.8142809692481455E-2</v>
      </c>
      <c r="AP776">
        <f>IF(AND(vp.tbl[[#This Row],[SDate]]&gt;=DATE(YEAR(vp.tbl[[#This Row],[SDate]]),5,1),vp.tbl[[#This Row],[SDate]]&lt;=DATE(YEAR(vp.tbl[[#This Row],[SDate]]),9,15)),1,0)</f>
        <v>0</v>
      </c>
      <c r="AQ776" s="15">
        <f>IF(vp.tbl[[#This Row],[SDate]]&lt;DATE(2016,12,1),0,1)</f>
        <v>1</v>
      </c>
    </row>
    <row r="777" spans="1:43" x14ac:dyDescent="0.25">
      <c r="A777">
        <v>776</v>
      </c>
      <c r="B777" t="s">
        <v>49</v>
      </c>
      <c r="C777" t="s">
        <v>49</v>
      </c>
      <c r="D777" t="s">
        <v>81</v>
      </c>
      <c r="F777" s="1">
        <v>42777</v>
      </c>
      <c r="G777" s="2">
        <v>90.5</v>
      </c>
      <c r="H777" s="2">
        <v>0.48299999999999998</v>
      </c>
      <c r="I777" s="2">
        <v>0.48299999999999998</v>
      </c>
      <c r="J777" s="2">
        <v>4.7</v>
      </c>
      <c r="K777" s="2">
        <v>-2</v>
      </c>
      <c r="L777" s="2">
        <v>809.1</v>
      </c>
      <c r="M777" s="2">
        <v>809.1</v>
      </c>
      <c r="N777" s="2">
        <f ca="1">INDEX(INDIRECT(_xlfn.CONCAT("weather.tbl[",N$1,"]")),MATCH(vp.tbl[[#This Row],[SDate]],weather.tbl[Date],0))</f>
        <v>-5.2833333333333341</v>
      </c>
      <c r="O777" s="2">
        <f ca="1">INDEX(INDIRECT(_xlfn.CONCAT("weather.tbl[",O$1,"]")),MATCH(vp.tbl[[#This Row],[SDate]],weather.tbl[Date],0))</f>
        <v>-16.085714285714285</v>
      </c>
      <c r="P777" s="2">
        <f ca="1">INDEX(INDIRECT(_xlfn.CONCAT("weather.tbl[",P$1,"]")),MATCH(vp.tbl[[#This Row],[SDate]],weather.tbl[Date],0))</f>
        <v>-5.3</v>
      </c>
      <c r="Q777" s="2">
        <f ca="1">INDEX(INDIRECT(_xlfn.CONCAT("weather.tbl[",Q$1,"]")),MATCH(vp.tbl[[#This Row],[SDate]],weather.tbl[Date],0))</f>
        <v>-4.8</v>
      </c>
      <c r="R777" s="2">
        <f ca="1">INDEX(INDIRECT(_xlfn.CONCAT("weather.tbl[",R$1,"]")),MATCH(vp.tbl[[#This Row],[SDate]],weather.tbl[Date],0))</f>
        <v>-6</v>
      </c>
      <c r="S777" s="2">
        <f ca="1">INDEX(INDIRECT(_xlfn.CONCAT("weather.tbl[",S$1,"]")),MATCH(vp.tbl[[#This Row],[SDate]],weather.tbl[Date],0))</f>
        <v>-5.3</v>
      </c>
      <c r="T777" s="2">
        <f ca="1">INDEX(INDIRECT(_xlfn.CONCAT("weather.tbl[",T$1,"]")),MATCH(vp.tbl[[#This Row],[SDate]],weather.tbl[Date],0))</f>
        <v>-3.5</v>
      </c>
      <c r="U777" s="2">
        <f ca="1">INDEX(INDIRECT(_xlfn.CONCAT("weather.tbl[",U$1,"]")),MATCH(vp.tbl[[#This Row],[SDate]],weather.tbl[Date],0))</f>
        <v>-6.8</v>
      </c>
      <c r="V777" s="2">
        <v>20596.550999999999</v>
      </c>
      <c r="W777" t="s">
        <v>48</v>
      </c>
      <c r="X777">
        <f>IF(OR(vp.tbl[[#This Row],[Sulf]]="",vp.tbl[[#This Row],[Dens]]=""),1,0)</f>
        <v>0</v>
      </c>
      <c r="Y777">
        <f>IF(vp.tbl[[#This Row],[CrudeType]]="C5+",1,0)</f>
        <v>0</v>
      </c>
      <c r="Z777">
        <f>IF(AND(vp.tbl[[#This Row],[CrudeType]]="Crude",vp.tbl[[#This Row],[Dens]]&lt;=825,vp.tbl[[#This Row],[Sulf]]&gt;0.5,vp.tbl[[#This Row],[Unknown]]=0),1,0)</f>
        <v>0</v>
      </c>
      <c r="AA777">
        <f>IF(AND(vp.tbl[[#This Row],[CrudeType]]="Crude",vp.tbl[[#This Row],[Dens]]&lt;=825,vp.tbl[[#This Row],[Sulf]]&lt;=0.5,vp.tbl[[#This Row],[Unknown]]=0),1,0)</f>
        <v>1</v>
      </c>
      <c r="AB777">
        <f>IF(AND(vp.tbl[[#This Row],[CrudeType]]="Crude",vp.tbl[[#This Row],[Dens]]&gt;825,vp.tbl[[#This Row],[Dens]]&lt;=870,vp.tbl[[#This Row],[Sulf]]&gt;0.5,vp.tbl[[#This Row],[Unknown]]=0),1,0)</f>
        <v>0</v>
      </c>
      <c r="AC777">
        <f>IF(AND(vp.tbl[[#This Row],[CrudeType]]="Crude",vp.tbl[[#This Row],[Dens]]&gt;825,vp.tbl[[#This Row],[Dens]]&lt;=900,vp.tbl[[#This Row],[Sulf]]&lt;=0.5,vp.tbl[[#This Row],[Unknown]]=0),1,0)</f>
        <v>0</v>
      </c>
      <c r="AD777">
        <f>IF(AND(vp.tbl[[#This Row],[CrudeType]]="Crude",vp.tbl[[#This Row],[Dens]]&gt;870,vp.tbl[[#This Row],[Dens]]&lt;=900,vp.tbl[[#This Row],[Sulf]]&gt;0.5,vp.tbl[[#This Row],[Unknown]]=0),1,0)</f>
        <v>0</v>
      </c>
      <c r="AE777">
        <f>IF(AND(vp.tbl[[#This Row],[CrudeType]]="Crude",vp.tbl[[#This Row],[Dens]]&gt;900,vp.tbl[[#This Row],[Sulf]]&lt;=0.5,vp.tbl[[#This Row],[Unknown]]=0),1,0)</f>
        <v>0</v>
      </c>
      <c r="AF777">
        <f>IF(AND(vp.tbl[[#This Row],[CrudeType]]="Crude",vp.tbl[[#This Row],[Dens]]&gt;900,vp.tbl[[#This Row],[Sulf]]&lt;=0.5,vp.tbl[[#This Row],[Unknown]]=0),1,0)</f>
        <v>0</v>
      </c>
      <c r="AG777" t="str">
        <f>INDEX(vp.tbl[[#Headers],[Unknown]:[Heavy_SW]],MATCH(1,vp.tbl[[#This Row],[Unknown]:[Heavy_SW]],0))</f>
        <v>Light_SW</v>
      </c>
      <c r="AH777" t="e">
        <f>INDEX([1]!crudeBD.lkup[Number],MATCH(vp.tbl[[#This Row],[Crude_Breakdown]],[1]!crudeBD.lkup[Crude Breakdown],0))</f>
        <v>#REF!</v>
      </c>
      <c r="AI777">
        <f>MONTH(vp.tbl[[#This Row],[SDate]])</f>
        <v>2</v>
      </c>
      <c r="AJ777" s="5">
        <f>IFERROR(vp.tbl[[#This Row],[Sulf]]*vp.tbl[[#This Row],[Net Dens]],"")</f>
        <v>8049035.3270103</v>
      </c>
      <c r="AK777" s="5">
        <f>IFERROR(vp.tbl[[#This Row],[Dens]]*vp.tbl[[#This Row],[VolumeM3]],"")</f>
        <v>16664669.414100001</v>
      </c>
      <c r="AL777" s="5">
        <f>IFERROR(vp.tbl[[#This Row],[VP]]*vp.tbl[[#This Row],[VolumeM3]],"")</f>
        <v>1863987.8654999998</v>
      </c>
      <c r="AM777" s="4">
        <f>IFERROR((vp.tbl[[#This Row],[VP]]-INDEX(crudeBD.lkup.complete[Mean_VP],MATCH(vp.tbl[[#This Row],[Crude_Breakdown]],crudeBD.lkup.complete[Crude Breakdown],0)))^2,"")</f>
        <v>4.2037858126235603</v>
      </c>
      <c r="AN777" s="4">
        <f>IFERROR((vp.tbl[[#This Row],[Dens]]-INDEX(crudeBD.lkup.complete[Mean_Dens],MATCH(vp.tbl[[#This Row],[Crude_Breakdown]],crudeBD.lkup.complete[Crude Breakdown],0)))^2,"")</f>
        <v>0.6217349973901749</v>
      </c>
      <c r="AO777" s="4">
        <f>IFERROR((vp.tbl[[#This Row],[Sulf]]-INDEX(crudeBD.lkup.complete[Mean_Sulf],MATCH(vp.tbl[[#This Row],[Crude_Breakdown]],crudeBD.lkup.complete[Crude Breakdown],0)))^2,"")</f>
        <v>6.0889603420704458E-2</v>
      </c>
      <c r="AP777">
        <f>IF(AND(vp.tbl[[#This Row],[SDate]]&gt;=DATE(YEAR(vp.tbl[[#This Row],[SDate]]),5,1),vp.tbl[[#This Row],[SDate]]&lt;=DATE(YEAR(vp.tbl[[#This Row],[SDate]]),9,15)),1,0)</f>
        <v>0</v>
      </c>
      <c r="AQ777" s="15">
        <f>IF(vp.tbl[[#This Row],[SDate]]&lt;DATE(2016,12,1),0,1)</f>
        <v>1</v>
      </c>
    </row>
    <row r="778" spans="1:43" x14ac:dyDescent="0.25">
      <c r="A778">
        <v>777</v>
      </c>
      <c r="B778" t="s">
        <v>49</v>
      </c>
      <c r="C778" t="s">
        <v>49</v>
      </c>
      <c r="D778" t="s">
        <v>92</v>
      </c>
      <c r="F778" s="1">
        <v>42777</v>
      </c>
      <c r="G778" s="2">
        <v>85.4</v>
      </c>
      <c r="H778" s="2">
        <v>0.55700000000000005</v>
      </c>
      <c r="I778" s="2">
        <v>0.55700000000000005</v>
      </c>
      <c r="J778" s="2">
        <v>20.3</v>
      </c>
      <c r="K778" s="2">
        <v>-2</v>
      </c>
      <c r="L778" s="2">
        <v>820.8</v>
      </c>
      <c r="M778" s="2">
        <v>820.8</v>
      </c>
      <c r="N778" s="2">
        <f ca="1">INDEX(INDIRECT(_xlfn.CONCAT("weather.tbl[",N$1,"]")),MATCH(vp.tbl[[#This Row],[SDate]],weather.tbl[Date],0))</f>
        <v>-5.2833333333333341</v>
      </c>
      <c r="O778" s="2">
        <f ca="1">INDEX(INDIRECT(_xlfn.CONCAT("weather.tbl[",O$1,"]")),MATCH(vp.tbl[[#This Row],[SDate]],weather.tbl[Date],0))</f>
        <v>-16.085714285714285</v>
      </c>
      <c r="P778" s="2">
        <f ca="1">INDEX(INDIRECT(_xlfn.CONCAT("weather.tbl[",P$1,"]")),MATCH(vp.tbl[[#This Row],[SDate]],weather.tbl[Date],0))</f>
        <v>-5.3</v>
      </c>
      <c r="Q778" s="2">
        <f ca="1">INDEX(INDIRECT(_xlfn.CONCAT("weather.tbl[",Q$1,"]")),MATCH(vp.tbl[[#This Row],[SDate]],weather.tbl[Date],0))</f>
        <v>-4.8</v>
      </c>
      <c r="R778" s="2">
        <f ca="1">INDEX(INDIRECT(_xlfn.CONCAT("weather.tbl[",R$1,"]")),MATCH(vp.tbl[[#This Row],[SDate]],weather.tbl[Date],0))</f>
        <v>-6</v>
      </c>
      <c r="S778" s="2">
        <f ca="1">INDEX(INDIRECT(_xlfn.CONCAT("weather.tbl[",S$1,"]")),MATCH(vp.tbl[[#This Row],[SDate]],weather.tbl[Date],0))</f>
        <v>-5.3</v>
      </c>
      <c r="T778" s="2">
        <f ca="1">INDEX(INDIRECT(_xlfn.CONCAT("weather.tbl[",T$1,"]")),MATCH(vp.tbl[[#This Row],[SDate]],weather.tbl[Date],0))</f>
        <v>-3.5</v>
      </c>
      <c r="U778" s="2">
        <f ca="1">INDEX(INDIRECT(_xlfn.CONCAT("weather.tbl[",U$1,"]")),MATCH(vp.tbl[[#This Row],[SDate]],weather.tbl[Date],0))</f>
        <v>-6.8</v>
      </c>
      <c r="V778" s="2">
        <v>20149.223999999998</v>
      </c>
      <c r="W778" t="s">
        <v>48</v>
      </c>
      <c r="X778">
        <f>IF(OR(vp.tbl[[#This Row],[Sulf]]="",vp.tbl[[#This Row],[Dens]]=""),1,0)</f>
        <v>0</v>
      </c>
      <c r="Y778">
        <f>IF(vp.tbl[[#This Row],[CrudeType]]="C5+",1,0)</f>
        <v>0</v>
      </c>
      <c r="Z778">
        <f>IF(AND(vp.tbl[[#This Row],[CrudeType]]="Crude",vp.tbl[[#This Row],[Dens]]&lt;=825,vp.tbl[[#This Row],[Sulf]]&gt;0.5,vp.tbl[[#This Row],[Unknown]]=0),1,0)</f>
        <v>1</v>
      </c>
      <c r="AA778">
        <f>IF(AND(vp.tbl[[#This Row],[CrudeType]]="Crude",vp.tbl[[#This Row],[Dens]]&lt;=825,vp.tbl[[#This Row],[Sulf]]&lt;=0.5,vp.tbl[[#This Row],[Unknown]]=0),1,0)</f>
        <v>0</v>
      </c>
      <c r="AB778">
        <f>IF(AND(vp.tbl[[#This Row],[CrudeType]]="Crude",vp.tbl[[#This Row],[Dens]]&gt;825,vp.tbl[[#This Row],[Dens]]&lt;=870,vp.tbl[[#This Row],[Sulf]]&gt;0.5,vp.tbl[[#This Row],[Unknown]]=0),1,0)</f>
        <v>0</v>
      </c>
      <c r="AC778">
        <f>IF(AND(vp.tbl[[#This Row],[CrudeType]]="Crude",vp.tbl[[#This Row],[Dens]]&gt;825,vp.tbl[[#This Row],[Dens]]&lt;=900,vp.tbl[[#This Row],[Sulf]]&lt;=0.5,vp.tbl[[#This Row],[Unknown]]=0),1,0)</f>
        <v>0</v>
      </c>
      <c r="AD778">
        <f>IF(AND(vp.tbl[[#This Row],[CrudeType]]="Crude",vp.tbl[[#This Row],[Dens]]&gt;870,vp.tbl[[#This Row],[Dens]]&lt;=900,vp.tbl[[#This Row],[Sulf]]&gt;0.5,vp.tbl[[#This Row],[Unknown]]=0),1,0)</f>
        <v>0</v>
      </c>
      <c r="AE778">
        <f>IF(AND(vp.tbl[[#This Row],[CrudeType]]="Crude",vp.tbl[[#This Row],[Dens]]&gt;900,vp.tbl[[#This Row],[Sulf]]&lt;=0.5,vp.tbl[[#This Row],[Unknown]]=0),1,0)</f>
        <v>0</v>
      </c>
      <c r="AF778">
        <f>IF(AND(vp.tbl[[#This Row],[CrudeType]]="Crude",vp.tbl[[#This Row],[Dens]]&gt;900,vp.tbl[[#This Row],[Sulf]]&lt;=0.5,vp.tbl[[#This Row],[Unknown]]=0),1,0)</f>
        <v>0</v>
      </c>
      <c r="AG778" t="str">
        <f>INDEX(vp.tbl[[#Headers],[Unknown]:[Heavy_SW]],MATCH(1,vp.tbl[[#This Row],[Unknown]:[Heavy_SW]],0))</f>
        <v>Light_LSB</v>
      </c>
      <c r="AH778" t="e">
        <f>INDEX([1]!crudeBD.lkup[Number],MATCH(vp.tbl[[#This Row],[Crude_Breakdown]],[1]!crudeBD.lkup[Crude Breakdown],0))</f>
        <v>#REF!</v>
      </c>
      <c r="AI778">
        <f>MONTH(vp.tbl[[#This Row],[SDate]])</f>
        <v>2</v>
      </c>
      <c r="AJ778" s="5">
        <f>IFERROR(vp.tbl[[#This Row],[Sulf]]*vp.tbl[[#This Row],[Net Dens]],"")</f>
        <v>9211935.0639743991</v>
      </c>
      <c r="AK778" s="5">
        <f>IFERROR(vp.tbl[[#This Row],[Dens]]*vp.tbl[[#This Row],[VolumeM3]],"")</f>
        <v>16538483.059199998</v>
      </c>
      <c r="AL778" s="5">
        <f>IFERROR(vp.tbl[[#This Row],[VP]]*vp.tbl[[#This Row],[VolumeM3]],"")</f>
        <v>1720743.7296</v>
      </c>
      <c r="AM778" s="4">
        <f>IFERROR((vp.tbl[[#This Row],[VP]]-INDEX(crudeBD.lkup.complete[Mean_VP],MATCH(vp.tbl[[#This Row],[Crude_Breakdown]],crudeBD.lkup.complete[Crude Breakdown],0)))^2,"")</f>
        <v>37.775597024126149</v>
      </c>
      <c r="AN778" s="4">
        <f>IFERROR((vp.tbl[[#This Row],[Dens]]-INDEX(crudeBD.lkup.complete[Mean_Dens],MATCH(vp.tbl[[#This Row],[Crude_Breakdown]],crudeBD.lkup.complete[Crude Breakdown],0)))^2,"")</f>
        <v>5.2131403313624531</v>
      </c>
      <c r="AO778" s="4">
        <f>IFERROR((vp.tbl[[#This Row],[Sulf]]-INDEX(crudeBD.lkup.complete[Mean_Sulf],MATCH(vp.tbl[[#This Row],[Crude_Breakdown]],crudeBD.lkup.complete[Crude Breakdown],0)))^2,"")</f>
        <v>0.13393489608899375</v>
      </c>
      <c r="AP778">
        <f>IF(AND(vp.tbl[[#This Row],[SDate]]&gt;=DATE(YEAR(vp.tbl[[#This Row],[SDate]]),5,1),vp.tbl[[#This Row],[SDate]]&lt;=DATE(YEAR(vp.tbl[[#This Row],[SDate]]),9,15)),1,0)</f>
        <v>0</v>
      </c>
      <c r="AQ778" s="15">
        <f>IF(vp.tbl[[#This Row],[SDate]]&lt;DATE(2016,12,1),0,1)</f>
        <v>1</v>
      </c>
    </row>
    <row r="779" spans="1:43" x14ac:dyDescent="0.25">
      <c r="A779">
        <v>778</v>
      </c>
      <c r="B779" t="s">
        <v>49</v>
      </c>
      <c r="C779" t="s">
        <v>49</v>
      </c>
      <c r="D779" t="s">
        <v>89</v>
      </c>
      <c r="F779" s="1">
        <v>42777</v>
      </c>
      <c r="G779" s="2">
        <v>101.5</v>
      </c>
      <c r="H779" s="2">
        <v>0.89100000000000001</v>
      </c>
      <c r="I779" s="2">
        <v>0.89100000000000001</v>
      </c>
      <c r="J779" s="2">
        <v>2.1</v>
      </c>
      <c r="K779" s="2">
        <v>-2</v>
      </c>
      <c r="L779" s="2">
        <v>818.4</v>
      </c>
      <c r="M779" s="2">
        <v>818.4</v>
      </c>
      <c r="N779" s="2">
        <f ca="1">INDEX(INDIRECT(_xlfn.CONCAT("weather.tbl[",N$1,"]")),MATCH(vp.tbl[[#This Row],[SDate]],weather.tbl[Date],0))</f>
        <v>-5.2833333333333341</v>
      </c>
      <c r="O779" s="2">
        <f ca="1">INDEX(INDIRECT(_xlfn.CONCAT("weather.tbl[",O$1,"]")),MATCH(vp.tbl[[#This Row],[SDate]],weather.tbl[Date],0))</f>
        <v>-16.085714285714285</v>
      </c>
      <c r="P779" s="2">
        <f ca="1">INDEX(INDIRECT(_xlfn.CONCAT("weather.tbl[",P$1,"]")),MATCH(vp.tbl[[#This Row],[SDate]],weather.tbl[Date],0))</f>
        <v>-5.3</v>
      </c>
      <c r="Q779" s="2">
        <f ca="1">INDEX(INDIRECT(_xlfn.CONCAT("weather.tbl[",Q$1,"]")),MATCH(vp.tbl[[#This Row],[SDate]],weather.tbl[Date],0))</f>
        <v>-4.8</v>
      </c>
      <c r="R779" s="2">
        <f ca="1">INDEX(INDIRECT(_xlfn.CONCAT("weather.tbl[",R$1,"]")),MATCH(vp.tbl[[#This Row],[SDate]],weather.tbl[Date],0))</f>
        <v>-6</v>
      </c>
      <c r="S779" s="2">
        <f ca="1">INDEX(INDIRECT(_xlfn.CONCAT("weather.tbl[",S$1,"]")),MATCH(vp.tbl[[#This Row],[SDate]],weather.tbl[Date],0))</f>
        <v>-5.3</v>
      </c>
      <c r="T779" s="2">
        <f ca="1">INDEX(INDIRECT(_xlfn.CONCAT("weather.tbl[",T$1,"]")),MATCH(vp.tbl[[#This Row],[SDate]],weather.tbl[Date],0))</f>
        <v>-3.5</v>
      </c>
      <c r="U779" s="2">
        <f ca="1">INDEX(INDIRECT(_xlfn.CONCAT("weather.tbl[",U$1,"]")),MATCH(vp.tbl[[#This Row],[SDate]],weather.tbl[Date],0))</f>
        <v>-6.8</v>
      </c>
      <c r="V779" s="2">
        <v>5063.2240000000002</v>
      </c>
      <c r="W779" t="s">
        <v>48</v>
      </c>
      <c r="X779">
        <f>IF(OR(vp.tbl[[#This Row],[Sulf]]="",vp.tbl[[#This Row],[Dens]]=""),1,0)</f>
        <v>0</v>
      </c>
      <c r="Y779">
        <f>IF(vp.tbl[[#This Row],[CrudeType]]="C5+",1,0)</f>
        <v>0</v>
      </c>
      <c r="Z779">
        <f>IF(AND(vp.tbl[[#This Row],[CrudeType]]="Crude",vp.tbl[[#This Row],[Dens]]&lt;=825,vp.tbl[[#This Row],[Sulf]]&gt;0.5,vp.tbl[[#This Row],[Unknown]]=0),1,0)</f>
        <v>1</v>
      </c>
      <c r="AA779">
        <f>IF(AND(vp.tbl[[#This Row],[CrudeType]]="Crude",vp.tbl[[#This Row],[Dens]]&lt;=825,vp.tbl[[#This Row],[Sulf]]&lt;=0.5,vp.tbl[[#This Row],[Unknown]]=0),1,0)</f>
        <v>0</v>
      </c>
      <c r="AB779">
        <f>IF(AND(vp.tbl[[#This Row],[CrudeType]]="Crude",vp.tbl[[#This Row],[Dens]]&gt;825,vp.tbl[[#This Row],[Dens]]&lt;=870,vp.tbl[[#This Row],[Sulf]]&gt;0.5,vp.tbl[[#This Row],[Unknown]]=0),1,0)</f>
        <v>0</v>
      </c>
      <c r="AC779">
        <f>IF(AND(vp.tbl[[#This Row],[CrudeType]]="Crude",vp.tbl[[#This Row],[Dens]]&gt;825,vp.tbl[[#This Row],[Dens]]&lt;=900,vp.tbl[[#This Row],[Sulf]]&lt;=0.5,vp.tbl[[#This Row],[Unknown]]=0),1,0)</f>
        <v>0</v>
      </c>
      <c r="AD779">
        <f>IF(AND(vp.tbl[[#This Row],[CrudeType]]="Crude",vp.tbl[[#This Row],[Dens]]&gt;870,vp.tbl[[#This Row],[Dens]]&lt;=900,vp.tbl[[#This Row],[Sulf]]&gt;0.5,vp.tbl[[#This Row],[Unknown]]=0),1,0)</f>
        <v>0</v>
      </c>
      <c r="AE779">
        <f>IF(AND(vp.tbl[[#This Row],[CrudeType]]="Crude",vp.tbl[[#This Row],[Dens]]&gt;900,vp.tbl[[#This Row],[Sulf]]&lt;=0.5,vp.tbl[[#This Row],[Unknown]]=0),1,0)</f>
        <v>0</v>
      </c>
      <c r="AF779">
        <f>IF(AND(vp.tbl[[#This Row],[CrudeType]]="Crude",vp.tbl[[#This Row],[Dens]]&gt;900,vp.tbl[[#This Row],[Sulf]]&lt;=0.5,vp.tbl[[#This Row],[Unknown]]=0),1,0)</f>
        <v>0</v>
      </c>
      <c r="AG779" t="str">
        <f>INDEX(vp.tbl[[#Headers],[Unknown]:[Heavy_SW]],MATCH(1,vp.tbl[[#This Row],[Unknown]:[Heavy_SW]],0))</f>
        <v>Light_LSB</v>
      </c>
      <c r="AH779" t="e">
        <f>INDEX([1]!crudeBD.lkup[Number],MATCH(vp.tbl[[#This Row],[Crude_Breakdown]],[1]!crudeBD.lkup[Crude Breakdown],0))</f>
        <v>#REF!</v>
      </c>
      <c r="AI779">
        <f>MONTH(vp.tbl[[#This Row],[SDate]])</f>
        <v>2</v>
      </c>
      <c r="AJ779" s="5">
        <f>IFERROR(vp.tbl[[#This Row],[Sulf]]*vp.tbl[[#This Row],[Net Dens]],"")</f>
        <v>3692074.5867456002</v>
      </c>
      <c r="AK779" s="5">
        <f>IFERROR(vp.tbl[[#This Row],[Dens]]*vp.tbl[[#This Row],[VolumeM3]],"")</f>
        <v>4143742.5216000001</v>
      </c>
      <c r="AL779" s="5">
        <f>IFERROR(vp.tbl[[#This Row],[VP]]*vp.tbl[[#This Row],[VolumeM3]],"")</f>
        <v>513917.23600000003</v>
      </c>
      <c r="AM779" s="4">
        <f>IFERROR((vp.tbl[[#This Row],[VP]]-INDEX(crudeBD.lkup.complete[Mean_VP],MATCH(vp.tbl[[#This Row],[Crude_Breakdown]],crudeBD.lkup.complete[Crude Breakdown],0)))^2,"")</f>
        <v>99.078421766393262</v>
      </c>
      <c r="AN779" s="4">
        <f>IFERROR((vp.tbl[[#This Row],[Dens]]-INDEX(crudeBD.lkup.complete[Mean_Dens],MATCH(vp.tbl[[#This Row],[Crude_Breakdown]],crudeBD.lkup.complete[Crude Breakdown],0)))^2,"")</f>
        <v>1.3635176721982943E-2</v>
      </c>
      <c r="AO779" s="4">
        <f>IFERROR((vp.tbl[[#This Row],[Sulf]]-INDEX(crudeBD.lkup.complete[Mean_Sulf],MATCH(vp.tbl[[#This Row],[Crude_Breakdown]],crudeBD.lkup.complete[Crude Breakdown],0)))^2,"")</f>
        <v>1.0221556078943157E-3</v>
      </c>
      <c r="AP779">
        <f>IF(AND(vp.tbl[[#This Row],[SDate]]&gt;=DATE(YEAR(vp.tbl[[#This Row],[SDate]]),5,1),vp.tbl[[#This Row],[SDate]]&lt;=DATE(YEAR(vp.tbl[[#This Row],[SDate]]),9,15)),1,0)</f>
        <v>0</v>
      </c>
      <c r="AQ779" s="15">
        <f>IF(vp.tbl[[#This Row],[SDate]]&lt;DATE(2016,12,1),0,1)</f>
        <v>1</v>
      </c>
    </row>
    <row r="780" spans="1:43" x14ac:dyDescent="0.25">
      <c r="A780">
        <v>779</v>
      </c>
      <c r="B780" t="s">
        <v>51</v>
      </c>
      <c r="C780" t="s">
        <v>51</v>
      </c>
      <c r="D780" t="s">
        <v>58</v>
      </c>
      <c r="F780" s="1">
        <v>42777</v>
      </c>
      <c r="G780" s="2">
        <v>102.1</v>
      </c>
      <c r="H780" s="2"/>
      <c r="I780" s="2">
        <v>1.44</v>
      </c>
      <c r="J780" s="2">
        <v>23.9</v>
      </c>
      <c r="K780" s="2">
        <v>-2</v>
      </c>
      <c r="L780" s="2">
        <v>811.6</v>
      </c>
      <c r="M780" s="2">
        <v>811.6</v>
      </c>
      <c r="N780" s="2">
        <f ca="1">INDEX(INDIRECT(_xlfn.CONCAT("weather.tbl[",N$1,"]")),MATCH(vp.tbl[[#This Row],[SDate]],weather.tbl[Date],0))</f>
        <v>-5.2833333333333341</v>
      </c>
      <c r="O780" s="2">
        <f ca="1">INDEX(INDIRECT(_xlfn.CONCAT("weather.tbl[",O$1,"]")),MATCH(vp.tbl[[#This Row],[SDate]],weather.tbl[Date],0))</f>
        <v>-16.085714285714285</v>
      </c>
      <c r="P780" s="2">
        <f ca="1">INDEX(INDIRECT(_xlfn.CONCAT("weather.tbl[",P$1,"]")),MATCH(vp.tbl[[#This Row],[SDate]],weather.tbl[Date],0))</f>
        <v>-5.3</v>
      </c>
      <c r="Q780" s="2">
        <f ca="1">INDEX(INDIRECT(_xlfn.CONCAT("weather.tbl[",Q$1,"]")),MATCH(vp.tbl[[#This Row],[SDate]],weather.tbl[Date],0))</f>
        <v>-4.8</v>
      </c>
      <c r="R780" s="2">
        <f ca="1">INDEX(INDIRECT(_xlfn.CONCAT("weather.tbl[",R$1,"]")),MATCH(vp.tbl[[#This Row],[SDate]],weather.tbl[Date],0))</f>
        <v>-6</v>
      </c>
      <c r="S780" s="2">
        <f ca="1">INDEX(INDIRECT(_xlfn.CONCAT("weather.tbl[",S$1,"]")),MATCH(vp.tbl[[#This Row],[SDate]],weather.tbl[Date],0))</f>
        <v>-5.3</v>
      </c>
      <c r="T780" s="2">
        <f ca="1">INDEX(INDIRECT(_xlfn.CONCAT("weather.tbl[",T$1,"]")),MATCH(vp.tbl[[#This Row],[SDate]],weather.tbl[Date],0))</f>
        <v>-3.5</v>
      </c>
      <c r="U780" s="2">
        <f ca="1">INDEX(INDIRECT(_xlfn.CONCAT("weather.tbl[",U$1,"]")),MATCH(vp.tbl[[#This Row],[SDate]],weather.tbl[Date],0))</f>
        <v>-6.8</v>
      </c>
      <c r="V780" s="2">
        <v>5483.6130000000003</v>
      </c>
      <c r="W780" t="s">
        <v>48</v>
      </c>
      <c r="X780">
        <f>IF(OR(vp.tbl[[#This Row],[Sulf]]="",vp.tbl[[#This Row],[Dens]]=""),1,0)</f>
        <v>0</v>
      </c>
      <c r="Y780">
        <f>IF(vp.tbl[[#This Row],[CrudeType]]="C5+",1,0)</f>
        <v>0</v>
      </c>
      <c r="Z780">
        <f>IF(AND(vp.tbl[[#This Row],[CrudeType]]="Crude",vp.tbl[[#This Row],[Dens]]&lt;=825,vp.tbl[[#This Row],[Sulf]]&gt;0.5,vp.tbl[[#This Row],[Unknown]]=0),1,0)</f>
        <v>1</v>
      </c>
      <c r="AA780">
        <f>IF(AND(vp.tbl[[#This Row],[CrudeType]]="Crude",vp.tbl[[#This Row],[Dens]]&lt;=825,vp.tbl[[#This Row],[Sulf]]&lt;=0.5,vp.tbl[[#This Row],[Unknown]]=0),1,0)</f>
        <v>0</v>
      </c>
      <c r="AB780">
        <f>IF(AND(vp.tbl[[#This Row],[CrudeType]]="Crude",vp.tbl[[#This Row],[Dens]]&gt;825,vp.tbl[[#This Row],[Dens]]&lt;=870,vp.tbl[[#This Row],[Sulf]]&gt;0.5,vp.tbl[[#This Row],[Unknown]]=0),1,0)</f>
        <v>0</v>
      </c>
      <c r="AC780">
        <f>IF(AND(vp.tbl[[#This Row],[CrudeType]]="Crude",vp.tbl[[#This Row],[Dens]]&gt;825,vp.tbl[[#This Row],[Dens]]&lt;=900,vp.tbl[[#This Row],[Sulf]]&lt;=0.5,vp.tbl[[#This Row],[Unknown]]=0),1,0)</f>
        <v>0</v>
      </c>
      <c r="AD780">
        <f>IF(AND(vp.tbl[[#This Row],[CrudeType]]="Crude",vp.tbl[[#This Row],[Dens]]&gt;870,vp.tbl[[#This Row],[Dens]]&lt;=900,vp.tbl[[#This Row],[Sulf]]&gt;0.5,vp.tbl[[#This Row],[Unknown]]=0),1,0)</f>
        <v>0</v>
      </c>
      <c r="AE780">
        <f>IF(AND(vp.tbl[[#This Row],[CrudeType]]="Crude",vp.tbl[[#This Row],[Dens]]&gt;900,vp.tbl[[#This Row],[Sulf]]&lt;=0.5,vp.tbl[[#This Row],[Unknown]]=0),1,0)</f>
        <v>0</v>
      </c>
      <c r="AF780">
        <f>IF(AND(vp.tbl[[#This Row],[CrudeType]]="Crude",vp.tbl[[#This Row],[Dens]]&gt;900,vp.tbl[[#This Row],[Sulf]]&lt;=0.5,vp.tbl[[#This Row],[Unknown]]=0),1,0)</f>
        <v>0</v>
      </c>
      <c r="AG780" t="str">
        <f>INDEX(vp.tbl[[#Headers],[Unknown]:[Heavy_SW]],MATCH(1,vp.tbl[[#This Row],[Unknown]:[Heavy_SW]],0))</f>
        <v>Light_LSB</v>
      </c>
      <c r="AH780" t="e">
        <f>INDEX([1]!crudeBD.lkup[Number],MATCH(vp.tbl[[#This Row],[Crude_Breakdown]],[1]!crudeBD.lkup[Crude Breakdown],0))</f>
        <v>#REF!</v>
      </c>
      <c r="AI780">
        <f>MONTH(vp.tbl[[#This Row],[SDate]])</f>
        <v>2</v>
      </c>
      <c r="AJ780" s="5">
        <f>IFERROR(vp.tbl[[#This Row],[Sulf]]*vp.tbl[[#This Row],[Net Dens]],"")</f>
        <v>6408720.4475520002</v>
      </c>
      <c r="AK780" s="5">
        <f>IFERROR(vp.tbl[[#This Row],[Dens]]*vp.tbl[[#This Row],[VolumeM3]],"")</f>
        <v>4450500.3108000001</v>
      </c>
      <c r="AL780" s="5">
        <f>IFERROR(vp.tbl[[#This Row],[VP]]*vp.tbl[[#This Row],[VolumeM3]],"")</f>
        <v>559876.88729999994</v>
      </c>
      <c r="AM780" s="4">
        <f>IFERROR((vp.tbl[[#This Row],[VP]]-INDEX(crudeBD.lkup.complete[Mean_VP],MATCH(vp.tbl[[#This Row],[Crude_Breakdown]],crudeBD.lkup.complete[Crude Breakdown],0)))^2,"")</f>
        <v>111.38299908598073</v>
      </c>
      <c r="AN780" s="4">
        <f>IFERROR((vp.tbl[[#This Row],[Dens]]-INDEX(crudeBD.lkup.complete[Mean_Dens],MATCH(vp.tbl[[#This Row],[Crude_Breakdown]],crudeBD.lkup.complete[Crude Breakdown],0)))^2,"")</f>
        <v>47.841703905239726</v>
      </c>
      <c r="AO780" s="4">
        <f>IFERROR((vp.tbl[[#This Row],[Sulf]]-INDEX(crudeBD.lkup.complete[Mean_Sulf],MATCH(vp.tbl[[#This Row],[Crude_Breakdown]],crudeBD.lkup.complete[Crude Breakdown],0)))^2,"")</f>
        <v>0.26731881272129659</v>
      </c>
      <c r="AP780">
        <f>IF(AND(vp.tbl[[#This Row],[SDate]]&gt;=DATE(YEAR(vp.tbl[[#This Row],[SDate]]),5,1),vp.tbl[[#This Row],[SDate]]&lt;=DATE(YEAR(vp.tbl[[#This Row],[SDate]]),9,15)),1,0)</f>
        <v>0</v>
      </c>
      <c r="AQ780" s="15">
        <f>IF(vp.tbl[[#This Row],[SDate]]&lt;DATE(2016,12,1),0,1)</f>
        <v>1</v>
      </c>
    </row>
    <row r="781" spans="1:43" x14ac:dyDescent="0.25">
      <c r="A781">
        <v>780</v>
      </c>
      <c r="B781" t="s">
        <v>51</v>
      </c>
      <c r="C781" t="s">
        <v>51</v>
      </c>
      <c r="D781" t="s">
        <v>72</v>
      </c>
      <c r="F781" s="1">
        <v>42777</v>
      </c>
      <c r="G781" s="2">
        <v>100</v>
      </c>
      <c r="H781" s="2"/>
      <c r="I781" s="2">
        <v>1.1299999999999999</v>
      </c>
      <c r="J781" s="2">
        <v>24.5</v>
      </c>
      <c r="K781" s="2">
        <v>-2</v>
      </c>
      <c r="L781" s="2">
        <v>829</v>
      </c>
      <c r="M781" s="2">
        <v>829</v>
      </c>
      <c r="N781" s="2">
        <f ca="1">INDEX(INDIRECT(_xlfn.CONCAT("weather.tbl[",N$1,"]")),MATCH(vp.tbl[[#This Row],[SDate]],weather.tbl[Date],0))</f>
        <v>-5.2833333333333341</v>
      </c>
      <c r="O781" s="2">
        <f ca="1">INDEX(INDIRECT(_xlfn.CONCAT("weather.tbl[",O$1,"]")),MATCH(vp.tbl[[#This Row],[SDate]],weather.tbl[Date],0))</f>
        <v>-16.085714285714285</v>
      </c>
      <c r="P781" s="2">
        <f ca="1">INDEX(INDIRECT(_xlfn.CONCAT("weather.tbl[",P$1,"]")),MATCH(vp.tbl[[#This Row],[SDate]],weather.tbl[Date],0))</f>
        <v>-5.3</v>
      </c>
      <c r="Q781" s="2">
        <f ca="1">INDEX(INDIRECT(_xlfn.CONCAT("weather.tbl[",Q$1,"]")),MATCH(vp.tbl[[#This Row],[SDate]],weather.tbl[Date],0))</f>
        <v>-4.8</v>
      </c>
      <c r="R781" s="2">
        <f ca="1">INDEX(INDIRECT(_xlfn.CONCAT("weather.tbl[",R$1,"]")),MATCH(vp.tbl[[#This Row],[SDate]],weather.tbl[Date],0))</f>
        <v>-6</v>
      </c>
      <c r="S781" s="2">
        <f ca="1">INDEX(INDIRECT(_xlfn.CONCAT("weather.tbl[",S$1,"]")),MATCH(vp.tbl[[#This Row],[SDate]],weather.tbl[Date],0))</f>
        <v>-5.3</v>
      </c>
      <c r="T781" s="2">
        <f ca="1">INDEX(INDIRECT(_xlfn.CONCAT("weather.tbl[",T$1,"]")),MATCH(vp.tbl[[#This Row],[SDate]],weather.tbl[Date],0))</f>
        <v>-3.5</v>
      </c>
      <c r="U781" s="2">
        <f ca="1">INDEX(INDIRECT(_xlfn.CONCAT("weather.tbl[",U$1,"]")),MATCH(vp.tbl[[#This Row],[SDate]],weather.tbl[Date],0))</f>
        <v>-6.8</v>
      </c>
      <c r="V781" s="2">
        <v>12541.532999999999</v>
      </c>
      <c r="W781" t="s">
        <v>48</v>
      </c>
      <c r="X781">
        <f>IF(OR(vp.tbl[[#This Row],[Sulf]]="",vp.tbl[[#This Row],[Dens]]=""),1,0)</f>
        <v>0</v>
      </c>
      <c r="Y781">
        <f>IF(vp.tbl[[#This Row],[CrudeType]]="C5+",1,0)</f>
        <v>0</v>
      </c>
      <c r="Z781">
        <f>IF(AND(vp.tbl[[#This Row],[CrudeType]]="Crude",vp.tbl[[#This Row],[Dens]]&lt;=825,vp.tbl[[#This Row],[Sulf]]&gt;0.5,vp.tbl[[#This Row],[Unknown]]=0),1,0)</f>
        <v>0</v>
      </c>
      <c r="AA781">
        <f>IF(AND(vp.tbl[[#This Row],[CrudeType]]="Crude",vp.tbl[[#This Row],[Dens]]&lt;=825,vp.tbl[[#This Row],[Sulf]]&lt;=0.5,vp.tbl[[#This Row],[Unknown]]=0),1,0)</f>
        <v>0</v>
      </c>
      <c r="AB781">
        <f>IF(AND(vp.tbl[[#This Row],[CrudeType]]="Crude",vp.tbl[[#This Row],[Dens]]&gt;825,vp.tbl[[#This Row],[Dens]]&lt;=870,vp.tbl[[#This Row],[Sulf]]&gt;0.5,vp.tbl[[#This Row],[Unknown]]=0),1,0)</f>
        <v>1</v>
      </c>
      <c r="AC781">
        <f>IF(AND(vp.tbl[[#This Row],[CrudeType]]="Crude",vp.tbl[[#This Row],[Dens]]&gt;825,vp.tbl[[#This Row],[Dens]]&lt;=900,vp.tbl[[#This Row],[Sulf]]&lt;=0.5,vp.tbl[[#This Row],[Unknown]]=0),1,0)</f>
        <v>0</v>
      </c>
      <c r="AD781">
        <f>IF(AND(vp.tbl[[#This Row],[CrudeType]]="Crude",vp.tbl[[#This Row],[Dens]]&gt;870,vp.tbl[[#This Row],[Dens]]&lt;=900,vp.tbl[[#This Row],[Sulf]]&gt;0.5,vp.tbl[[#This Row],[Unknown]]=0),1,0)</f>
        <v>0</v>
      </c>
      <c r="AE781">
        <f>IF(AND(vp.tbl[[#This Row],[CrudeType]]="Crude",vp.tbl[[#This Row],[Dens]]&gt;900,vp.tbl[[#This Row],[Sulf]]&lt;=0.5,vp.tbl[[#This Row],[Unknown]]=0),1,0)</f>
        <v>0</v>
      </c>
      <c r="AF781">
        <f>IF(AND(vp.tbl[[#This Row],[CrudeType]]="Crude",vp.tbl[[#This Row],[Dens]]&gt;900,vp.tbl[[#This Row],[Sulf]]&lt;=0.5,vp.tbl[[#This Row],[Unknown]]=0),1,0)</f>
        <v>0</v>
      </c>
      <c r="AG781" t="str">
        <f>INDEX(vp.tbl[[#Headers],[Unknown]:[Heavy_SW]],MATCH(1,vp.tbl[[#This Row],[Unknown]:[Heavy_SW]],0))</f>
        <v>Medium_LSB</v>
      </c>
      <c r="AH781" t="e">
        <f>INDEX([1]!crudeBD.lkup[Number],MATCH(vp.tbl[[#This Row],[Crude_Breakdown]],[1]!crudeBD.lkup[Crude Breakdown],0))</f>
        <v>#REF!</v>
      </c>
      <c r="AI781">
        <f>MONTH(vp.tbl[[#This Row],[SDate]])</f>
        <v>2</v>
      </c>
      <c r="AJ781" s="5">
        <f>IFERROR(vp.tbl[[#This Row],[Sulf]]*vp.tbl[[#This Row],[Net Dens]],"")</f>
        <v>11748531.868409997</v>
      </c>
      <c r="AK781" s="5">
        <f>IFERROR(vp.tbl[[#This Row],[Dens]]*vp.tbl[[#This Row],[VolumeM3]],"")</f>
        <v>10396930.856999999</v>
      </c>
      <c r="AL781" s="5">
        <f>IFERROR(vp.tbl[[#This Row],[VP]]*vp.tbl[[#This Row],[VolumeM3]],"")</f>
        <v>1254153.3</v>
      </c>
      <c r="AM781" s="4">
        <f>IFERROR((vp.tbl[[#This Row],[VP]]-INDEX(crudeBD.lkup.complete[Mean_VP],MATCH(vp.tbl[[#This Row],[Crude_Breakdown]],crudeBD.lkup.complete[Crude Breakdown],0)))^2,"")</f>
        <v>393.08633773369797</v>
      </c>
      <c r="AN781" s="4">
        <f>IFERROR((vp.tbl[[#This Row],[Dens]]-INDEX(crudeBD.lkup.complete[Mean_Dens],MATCH(vp.tbl[[#This Row],[Crude_Breakdown]],crudeBD.lkup.complete[Crude Breakdown],0)))^2,"")</f>
        <v>265.42348965162631</v>
      </c>
      <c r="AO781" s="4">
        <f>IFERROR((vp.tbl[[#This Row],[Sulf]]-INDEX(crudeBD.lkup.complete[Mean_Sulf],MATCH(vp.tbl[[#This Row],[Crude_Breakdown]],crudeBD.lkup.complete[Crude Breakdown],0)))^2,"")</f>
        <v>0.10557941441318498</v>
      </c>
      <c r="AP781">
        <f>IF(AND(vp.tbl[[#This Row],[SDate]]&gt;=DATE(YEAR(vp.tbl[[#This Row],[SDate]]),5,1),vp.tbl[[#This Row],[SDate]]&lt;=DATE(YEAR(vp.tbl[[#This Row],[SDate]]),9,15)),1,0)</f>
        <v>0</v>
      </c>
      <c r="AQ781" s="15">
        <f>IF(vp.tbl[[#This Row],[SDate]]&lt;DATE(2016,12,1),0,1)</f>
        <v>1</v>
      </c>
    </row>
    <row r="782" spans="1:43" x14ac:dyDescent="0.25">
      <c r="A782">
        <v>781</v>
      </c>
      <c r="B782" t="s">
        <v>56</v>
      </c>
      <c r="C782" t="s">
        <v>56</v>
      </c>
      <c r="D782" t="s">
        <v>57</v>
      </c>
      <c r="F782" s="1">
        <v>42777</v>
      </c>
      <c r="G782" s="2">
        <v>84.4</v>
      </c>
      <c r="H782" s="2"/>
      <c r="I782" s="2">
        <v>1.69</v>
      </c>
      <c r="J782" s="2">
        <v>12.8</v>
      </c>
      <c r="K782" s="2">
        <v>-2</v>
      </c>
      <c r="L782" s="2">
        <v>848.1</v>
      </c>
      <c r="M782" s="2">
        <v>848.1</v>
      </c>
      <c r="N782" s="2">
        <f ca="1">INDEX(INDIRECT(_xlfn.CONCAT("weather.tbl[",N$1,"]")),MATCH(vp.tbl[[#This Row],[SDate]],weather.tbl[Date],0))</f>
        <v>-5.2833333333333341</v>
      </c>
      <c r="O782" s="2">
        <f ca="1">INDEX(INDIRECT(_xlfn.CONCAT("weather.tbl[",O$1,"]")),MATCH(vp.tbl[[#This Row],[SDate]],weather.tbl[Date],0))</f>
        <v>-16.085714285714285</v>
      </c>
      <c r="P782" s="2">
        <f ca="1">INDEX(INDIRECT(_xlfn.CONCAT("weather.tbl[",P$1,"]")),MATCH(vp.tbl[[#This Row],[SDate]],weather.tbl[Date],0))</f>
        <v>-5.3</v>
      </c>
      <c r="Q782" s="2">
        <f ca="1">INDEX(INDIRECT(_xlfn.CONCAT("weather.tbl[",Q$1,"]")),MATCH(vp.tbl[[#This Row],[SDate]],weather.tbl[Date],0))</f>
        <v>-4.8</v>
      </c>
      <c r="R782" s="2">
        <f ca="1">INDEX(INDIRECT(_xlfn.CONCAT("weather.tbl[",R$1,"]")),MATCH(vp.tbl[[#This Row],[SDate]],weather.tbl[Date],0))</f>
        <v>-6</v>
      </c>
      <c r="S782" s="2">
        <f ca="1">INDEX(INDIRECT(_xlfn.CONCAT("weather.tbl[",S$1,"]")),MATCH(vp.tbl[[#This Row],[SDate]],weather.tbl[Date],0))</f>
        <v>-5.3</v>
      </c>
      <c r="T782" s="2">
        <f ca="1">INDEX(INDIRECT(_xlfn.CONCAT("weather.tbl[",T$1,"]")),MATCH(vp.tbl[[#This Row],[SDate]],weather.tbl[Date],0))</f>
        <v>-3.5</v>
      </c>
      <c r="U782" s="2">
        <f ca="1">INDEX(INDIRECT(_xlfn.CONCAT("weather.tbl[",U$1,"]")),MATCH(vp.tbl[[#This Row],[SDate]],weather.tbl[Date],0))</f>
        <v>-6.8</v>
      </c>
      <c r="V782" s="2">
        <v>2751.2289999999998</v>
      </c>
      <c r="W782" t="s">
        <v>48</v>
      </c>
      <c r="X782">
        <f>IF(OR(vp.tbl[[#This Row],[Sulf]]="",vp.tbl[[#This Row],[Dens]]=""),1,0)</f>
        <v>0</v>
      </c>
      <c r="Y782">
        <f>IF(vp.tbl[[#This Row],[CrudeType]]="C5+",1,0)</f>
        <v>0</v>
      </c>
      <c r="Z782">
        <f>IF(AND(vp.tbl[[#This Row],[CrudeType]]="Crude",vp.tbl[[#This Row],[Dens]]&lt;=825,vp.tbl[[#This Row],[Sulf]]&gt;0.5,vp.tbl[[#This Row],[Unknown]]=0),1,0)</f>
        <v>0</v>
      </c>
      <c r="AA782">
        <f>IF(AND(vp.tbl[[#This Row],[CrudeType]]="Crude",vp.tbl[[#This Row],[Dens]]&lt;=825,vp.tbl[[#This Row],[Sulf]]&lt;=0.5,vp.tbl[[#This Row],[Unknown]]=0),1,0)</f>
        <v>0</v>
      </c>
      <c r="AB782">
        <f>IF(AND(vp.tbl[[#This Row],[CrudeType]]="Crude",vp.tbl[[#This Row],[Dens]]&gt;825,vp.tbl[[#This Row],[Dens]]&lt;=870,vp.tbl[[#This Row],[Sulf]]&gt;0.5,vp.tbl[[#This Row],[Unknown]]=0),1,0)</f>
        <v>1</v>
      </c>
      <c r="AC782">
        <f>IF(AND(vp.tbl[[#This Row],[CrudeType]]="Crude",vp.tbl[[#This Row],[Dens]]&gt;825,vp.tbl[[#This Row],[Dens]]&lt;=900,vp.tbl[[#This Row],[Sulf]]&lt;=0.5,vp.tbl[[#This Row],[Unknown]]=0),1,0)</f>
        <v>0</v>
      </c>
      <c r="AD782">
        <f>IF(AND(vp.tbl[[#This Row],[CrudeType]]="Crude",vp.tbl[[#This Row],[Dens]]&gt;870,vp.tbl[[#This Row],[Dens]]&lt;=900,vp.tbl[[#This Row],[Sulf]]&gt;0.5,vp.tbl[[#This Row],[Unknown]]=0),1,0)</f>
        <v>0</v>
      </c>
      <c r="AE782">
        <f>IF(AND(vp.tbl[[#This Row],[CrudeType]]="Crude",vp.tbl[[#This Row],[Dens]]&gt;900,vp.tbl[[#This Row],[Sulf]]&lt;=0.5,vp.tbl[[#This Row],[Unknown]]=0),1,0)</f>
        <v>0</v>
      </c>
      <c r="AF782">
        <f>IF(AND(vp.tbl[[#This Row],[CrudeType]]="Crude",vp.tbl[[#This Row],[Dens]]&gt;900,vp.tbl[[#This Row],[Sulf]]&lt;=0.5,vp.tbl[[#This Row],[Unknown]]=0),1,0)</f>
        <v>0</v>
      </c>
      <c r="AG782" t="str">
        <f>INDEX(vp.tbl[[#Headers],[Unknown]:[Heavy_SW]],MATCH(1,vp.tbl[[#This Row],[Unknown]:[Heavy_SW]],0))</f>
        <v>Medium_LSB</v>
      </c>
      <c r="AH782" t="e">
        <f>INDEX([1]!crudeBD.lkup[Number],MATCH(vp.tbl[[#This Row],[Crude_Breakdown]],[1]!crudeBD.lkup[Crude Breakdown],0))</f>
        <v>#REF!</v>
      </c>
      <c r="AI782">
        <f>MONTH(vp.tbl[[#This Row],[SDate]])</f>
        <v>2</v>
      </c>
      <c r="AJ782" s="5">
        <f>IFERROR(vp.tbl[[#This Row],[Sulf]]*vp.tbl[[#This Row],[Net Dens]],"")</f>
        <v>3943306.2621809999</v>
      </c>
      <c r="AK782" s="5">
        <f>IFERROR(vp.tbl[[#This Row],[Dens]]*vp.tbl[[#This Row],[VolumeM3]],"")</f>
        <v>2333317.3149000001</v>
      </c>
      <c r="AL782" s="5">
        <f>IFERROR(vp.tbl[[#This Row],[VP]]*vp.tbl[[#This Row],[VolumeM3]],"")</f>
        <v>232203.72760000001</v>
      </c>
      <c r="AM782" s="4">
        <f>IFERROR((vp.tbl[[#This Row],[VP]]-INDEX(crudeBD.lkup.complete[Mean_VP],MATCH(vp.tbl[[#This Row],[Crude_Breakdown]],crudeBD.lkup.complete[Crude Breakdown],0)))^2,"")</f>
        <v>17.862499759013339</v>
      </c>
      <c r="AN782" s="4">
        <f>IFERROR((vp.tbl[[#This Row],[Dens]]-INDEX(crudeBD.lkup.complete[Mean_Dens],MATCH(vp.tbl[[#This Row],[Crude_Breakdown]],crudeBD.lkup.complete[Crude Breakdown],0)))^2,"")</f>
        <v>7.8858592719172105</v>
      </c>
      <c r="AO782" s="4">
        <f>IFERROR((vp.tbl[[#This Row],[Sulf]]-INDEX(crudeBD.lkup.complete[Mean_Sulf],MATCH(vp.tbl[[#This Row],[Crude_Breakdown]],crudeBD.lkup.complete[Crude Breakdown],0)))^2,"")</f>
        <v>5.5257970362550313E-2</v>
      </c>
      <c r="AP782">
        <f>IF(AND(vp.tbl[[#This Row],[SDate]]&gt;=DATE(YEAR(vp.tbl[[#This Row],[SDate]]),5,1),vp.tbl[[#This Row],[SDate]]&lt;=DATE(YEAR(vp.tbl[[#This Row],[SDate]]),9,15)),1,0)</f>
        <v>0</v>
      </c>
      <c r="AQ782" s="15">
        <f>IF(vp.tbl[[#This Row],[SDate]]&lt;DATE(2016,12,1),0,1)</f>
        <v>1</v>
      </c>
    </row>
    <row r="783" spans="1:43" x14ac:dyDescent="0.25">
      <c r="A783">
        <v>782</v>
      </c>
      <c r="B783" t="s">
        <v>56</v>
      </c>
      <c r="C783" t="s">
        <v>56</v>
      </c>
      <c r="D783" t="s">
        <v>94</v>
      </c>
      <c r="F783" s="1">
        <v>42777</v>
      </c>
      <c r="G783" s="2">
        <v>76.599999999999994</v>
      </c>
      <c r="H783" s="2"/>
      <c r="I783" s="2">
        <v>1.95</v>
      </c>
      <c r="J783" s="2">
        <v>16</v>
      </c>
      <c r="K783" s="2">
        <v>-2</v>
      </c>
      <c r="L783" s="2">
        <v>858.3</v>
      </c>
      <c r="M783" s="2">
        <v>858.3</v>
      </c>
      <c r="N783" s="2">
        <f ca="1">INDEX(INDIRECT(_xlfn.CONCAT("weather.tbl[",N$1,"]")),MATCH(vp.tbl[[#This Row],[SDate]],weather.tbl[Date],0))</f>
        <v>-5.2833333333333341</v>
      </c>
      <c r="O783" s="2">
        <f ca="1">INDEX(INDIRECT(_xlfn.CONCAT("weather.tbl[",O$1,"]")),MATCH(vp.tbl[[#This Row],[SDate]],weather.tbl[Date],0))</f>
        <v>-16.085714285714285</v>
      </c>
      <c r="P783" s="2">
        <f ca="1">INDEX(INDIRECT(_xlfn.CONCAT("weather.tbl[",P$1,"]")),MATCH(vp.tbl[[#This Row],[SDate]],weather.tbl[Date],0))</f>
        <v>-5.3</v>
      </c>
      <c r="Q783" s="2">
        <f ca="1">INDEX(INDIRECT(_xlfn.CONCAT("weather.tbl[",Q$1,"]")),MATCH(vp.tbl[[#This Row],[SDate]],weather.tbl[Date],0))</f>
        <v>-4.8</v>
      </c>
      <c r="R783" s="2">
        <f ca="1">INDEX(INDIRECT(_xlfn.CONCAT("weather.tbl[",R$1,"]")),MATCH(vp.tbl[[#This Row],[SDate]],weather.tbl[Date],0))</f>
        <v>-6</v>
      </c>
      <c r="S783" s="2">
        <f ca="1">INDEX(INDIRECT(_xlfn.CONCAT("weather.tbl[",S$1,"]")),MATCH(vp.tbl[[#This Row],[SDate]],weather.tbl[Date],0))</f>
        <v>-5.3</v>
      </c>
      <c r="T783" s="2">
        <f ca="1">INDEX(INDIRECT(_xlfn.CONCAT("weather.tbl[",T$1,"]")),MATCH(vp.tbl[[#This Row],[SDate]],weather.tbl[Date],0))</f>
        <v>-3.5</v>
      </c>
      <c r="U783" s="2">
        <f ca="1">INDEX(INDIRECT(_xlfn.CONCAT("weather.tbl[",U$1,"]")),MATCH(vp.tbl[[#This Row],[SDate]],weather.tbl[Date],0))</f>
        <v>-6.8</v>
      </c>
      <c r="V783" s="2">
        <v>3347.944</v>
      </c>
      <c r="W783" t="s">
        <v>48</v>
      </c>
      <c r="X783">
        <f>IF(OR(vp.tbl[[#This Row],[Sulf]]="",vp.tbl[[#This Row],[Dens]]=""),1,0)</f>
        <v>0</v>
      </c>
      <c r="Y783">
        <f>IF(vp.tbl[[#This Row],[CrudeType]]="C5+",1,0)</f>
        <v>0</v>
      </c>
      <c r="Z783">
        <f>IF(AND(vp.tbl[[#This Row],[CrudeType]]="Crude",vp.tbl[[#This Row],[Dens]]&lt;=825,vp.tbl[[#This Row],[Sulf]]&gt;0.5,vp.tbl[[#This Row],[Unknown]]=0),1,0)</f>
        <v>0</v>
      </c>
      <c r="AA783">
        <f>IF(AND(vp.tbl[[#This Row],[CrudeType]]="Crude",vp.tbl[[#This Row],[Dens]]&lt;=825,vp.tbl[[#This Row],[Sulf]]&lt;=0.5,vp.tbl[[#This Row],[Unknown]]=0),1,0)</f>
        <v>0</v>
      </c>
      <c r="AB783">
        <f>IF(AND(vp.tbl[[#This Row],[CrudeType]]="Crude",vp.tbl[[#This Row],[Dens]]&gt;825,vp.tbl[[#This Row],[Dens]]&lt;=870,vp.tbl[[#This Row],[Sulf]]&gt;0.5,vp.tbl[[#This Row],[Unknown]]=0),1,0)</f>
        <v>1</v>
      </c>
      <c r="AC783">
        <f>IF(AND(vp.tbl[[#This Row],[CrudeType]]="Crude",vp.tbl[[#This Row],[Dens]]&gt;825,vp.tbl[[#This Row],[Dens]]&lt;=900,vp.tbl[[#This Row],[Sulf]]&lt;=0.5,vp.tbl[[#This Row],[Unknown]]=0),1,0)</f>
        <v>0</v>
      </c>
      <c r="AD783">
        <f>IF(AND(vp.tbl[[#This Row],[CrudeType]]="Crude",vp.tbl[[#This Row],[Dens]]&gt;870,vp.tbl[[#This Row],[Dens]]&lt;=900,vp.tbl[[#This Row],[Sulf]]&gt;0.5,vp.tbl[[#This Row],[Unknown]]=0),1,0)</f>
        <v>0</v>
      </c>
      <c r="AE783">
        <f>IF(AND(vp.tbl[[#This Row],[CrudeType]]="Crude",vp.tbl[[#This Row],[Dens]]&gt;900,vp.tbl[[#This Row],[Sulf]]&lt;=0.5,vp.tbl[[#This Row],[Unknown]]=0),1,0)</f>
        <v>0</v>
      </c>
      <c r="AF783">
        <f>IF(AND(vp.tbl[[#This Row],[CrudeType]]="Crude",vp.tbl[[#This Row],[Dens]]&gt;900,vp.tbl[[#This Row],[Sulf]]&lt;=0.5,vp.tbl[[#This Row],[Unknown]]=0),1,0)</f>
        <v>0</v>
      </c>
      <c r="AG783" t="str">
        <f>INDEX(vp.tbl[[#Headers],[Unknown]:[Heavy_SW]],MATCH(1,vp.tbl[[#This Row],[Unknown]:[Heavy_SW]],0))</f>
        <v>Medium_LSB</v>
      </c>
      <c r="AH783" t="e">
        <f>INDEX([1]!crudeBD.lkup[Number],MATCH(vp.tbl[[#This Row],[Crude_Breakdown]],[1]!crudeBD.lkup[Crude Breakdown],0))</f>
        <v>#REF!</v>
      </c>
      <c r="AI783">
        <f>MONTH(vp.tbl[[#This Row],[SDate]])</f>
        <v>2</v>
      </c>
      <c r="AJ783" s="5">
        <f>IFERROR(vp.tbl[[#This Row],[Sulf]]*vp.tbl[[#This Row],[Net Dens]],"")</f>
        <v>5603403.6536399992</v>
      </c>
      <c r="AK783" s="5">
        <f>IFERROR(vp.tbl[[#This Row],[Dens]]*vp.tbl[[#This Row],[VolumeM3]],"")</f>
        <v>2873540.3351999996</v>
      </c>
      <c r="AL783" s="5">
        <f>IFERROR(vp.tbl[[#This Row],[VP]]*vp.tbl[[#This Row],[VolumeM3]],"")</f>
        <v>256452.51039999997</v>
      </c>
      <c r="AM783" s="4">
        <f>IFERROR((vp.tbl[[#This Row],[VP]]-INDEX(crudeBD.lkup.complete[Mean_VP],MATCH(vp.tbl[[#This Row],[Crude_Breakdown]],crudeBD.lkup.complete[Crude Breakdown],0)))^2,"")</f>
        <v>12.770580771670984</v>
      </c>
      <c r="AN783" s="4">
        <f>IFERROR((vp.tbl[[#This Row],[Dens]]-INDEX(crudeBD.lkup.complete[Mean_Dens],MATCH(vp.tbl[[#This Row],[Crude_Breakdown]],crudeBD.lkup.complete[Crude Breakdown],0)))^2,"")</f>
        <v>169.2126744618094</v>
      </c>
      <c r="AO783" s="4">
        <f>IFERROR((vp.tbl[[#This Row],[Sulf]]-INDEX(crudeBD.lkup.complete[Mean_Sulf],MATCH(vp.tbl[[#This Row],[Crude_Breakdown]],crudeBD.lkup.complete[Crude Breakdown],0)))^2,"")</f>
        <v>0.2450944427676128</v>
      </c>
      <c r="AP783">
        <f>IF(AND(vp.tbl[[#This Row],[SDate]]&gt;=DATE(YEAR(vp.tbl[[#This Row],[SDate]]),5,1),vp.tbl[[#This Row],[SDate]]&lt;=DATE(YEAR(vp.tbl[[#This Row],[SDate]]),9,15)),1,0)</f>
        <v>0</v>
      </c>
      <c r="AQ783" s="15">
        <f>IF(vp.tbl[[#This Row],[SDate]]&lt;DATE(2016,12,1),0,1)</f>
        <v>1</v>
      </c>
    </row>
    <row r="784" spans="1:43" x14ac:dyDescent="0.25">
      <c r="A784">
        <v>783</v>
      </c>
      <c r="B784" t="s">
        <v>51</v>
      </c>
      <c r="C784" t="s">
        <v>51</v>
      </c>
      <c r="D784" t="s">
        <v>71</v>
      </c>
      <c r="F784" s="1">
        <v>42778</v>
      </c>
      <c r="G784" s="2">
        <v>90.6</v>
      </c>
      <c r="H784" s="2"/>
      <c r="I784" s="2">
        <v>1.61</v>
      </c>
      <c r="J784" s="2">
        <v>8.6999999999999993</v>
      </c>
      <c r="K784" s="2">
        <v>-5</v>
      </c>
      <c r="L784" s="2">
        <v>824.4</v>
      </c>
      <c r="M784" s="2">
        <v>824.4</v>
      </c>
      <c r="N784" s="2">
        <f ca="1">INDEX(INDIRECT(_xlfn.CONCAT("weather.tbl[",N$1,"]")),MATCH(vp.tbl[[#This Row],[SDate]],weather.tbl[Date],0))</f>
        <v>-5.3499999999999988</v>
      </c>
      <c r="O784" s="2">
        <f ca="1">INDEX(INDIRECT(_xlfn.CONCAT("weather.tbl[",O$1,"]")),MATCH(vp.tbl[[#This Row],[SDate]],weather.tbl[Date],0))</f>
        <v>-14.069047619047618</v>
      </c>
      <c r="P784" s="2">
        <f ca="1">INDEX(INDIRECT(_xlfn.CONCAT("weather.tbl[",P$1,"]")),MATCH(vp.tbl[[#This Row],[SDate]],weather.tbl[Date],0))</f>
        <v>-5.3</v>
      </c>
      <c r="Q784" s="2">
        <f ca="1">INDEX(INDIRECT(_xlfn.CONCAT("weather.tbl[",Q$1,"]")),MATCH(vp.tbl[[#This Row],[SDate]],weather.tbl[Date],0))</f>
        <v>-4.0999999999999996</v>
      </c>
      <c r="R784" s="2">
        <f ca="1">INDEX(INDIRECT(_xlfn.CONCAT("weather.tbl[",R$1,"]")),MATCH(vp.tbl[[#This Row],[SDate]],weather.tbl[Date],0))</f>
        <v>-6.3</v>
      </c>
      <c r="S784" s="2">
        <f ca="1">INDEX(INDIRECT(_xlfn.CONCAT("weather.tbl[",S$1,"]")),MATCH(vp.tbl[[#This Row],[SDate]],weather.tbl[Date],0))</f>
        <v>-2.9</v>
      </c>
      <c r="T784" s="2">
        <f ca="1">INDEX(INDIRECT(_xlfn.CONCAT("weather.tbl[",T$1,"]")),MATCH(vp.tbl[[#This Row],[SDate]],weather.tbl[Date],0))</f>
        <v>-6</v>
      </c>
      <c r="U784" s="2">
        <f ca="1">INDEX(INDIRECT(_xlfn.CONCAT("weather.tbl[",U$1,"]")),MATCH(vp.tbl[[#This Row],[SDate]],weather.tbl[Date],0))</f>
        <v>-7.5</v>
      </c>
      <c r="V784" s="2">
        <v>7771.3980000000001</v>
      </c>
      <c r="W784" t="s">
        <v>48</v>
      </c>
      <c r="X784">
        <f>IF(OR(vp.tbl[[#This Row],[Sulf]]="",vp.tbl[[#This Row],[Dens]]=""),1,0)</f>
        <v>0</v>
      </c>
      <c r="Y784">
        <f>IF(vp.tbl[[#This Row],[CrudeType]]="C5+",1,0)</f>
        <v>0</v>
      </c>
      <c r="Z784">
        <f>IF(AND(vp.tbl[[#This Row],[CrudeType]]="Crude",vp.tbl[[#This Row],[Dens]]&lt;=825,vp.tbl[[#This Row],[Sulf]]&gt;0.5,vp.tbl[[#This Row],[Unknown]]=0),1,0)</f>
        <v>1</v>
      </c>
      <c r="AA784">
        <f>IF(AND(vp.tbl[[#This Row],[CrudeType]]="Crude",vp.tbl[[#This Row],[Dens]]&lt;=825,vp.tbl[[#This Row],[Sulf]]&lt;=0.5,vp.tbl[[#This Row],[Unknown]]=0),1,0)</f>
        <v>0</v>
      </c>
      <c r="AB784">
        <f>IF(AND(vp.tbl[[#This Row],[CrudeType]]="Crude",vp.tbl[[#This Row],[Dens]]&gt;825,vp.tbl[[#This Row],[Dens]]&lt;=870,vp.tbl[[#This Row],[Sulf]]&gt;0.5,vp.tbl[[#This Row],[Unknown]]=0),1,0)</f>
        <v>0</v>
      </c>
      <c r="AC784">
        <f>IF(AND(vp.tbl[[#This Row],[CrudeType]]="Crude",vp.tbl[[#This Row],[Dens]]&gt;825,vp.tbl[[#This Row],[Dens]]&lt;=900,vp.tbl[[#This Row],[Sulf]]&lt;=0.5,vp.tbl[[#This Row],[Unknown]]=0),1,0)</f>
        <v>0</v>
      </c>
      <c r="AD784">
        <f>IF(AND(vp.tbl[[#This Row],[CrudeType]]="Crude",vp.tbl[[#This Row],[Dens]]&gt;870,vp.tbl[[#This Row],[Dens]]&lt;=900,vp.tbl[[#This Row],[Sulf]]&gt;0.5,vp.tbl[[#This Row],[Unknown]]=0),1,0)</f>
        <v>0</v>
      </c>
      <c r="AE784">
        <f>IF(AND(vp.tbl[[#This Row],[CrudeType]]="Crude",vp.tbl[[#This Row],[Dens]]&gt;900,vp.tbl[[#This Row],[Sulf]]&lt;=0.5,vp.tbl[[#This Row],[Unknown]]=0),1,0)</f>
        <v>0</v>
      </c>
      <c r="AF784">
        <f>IF(AND(vp.tbl[[#This Row],[CrudeType]]="Crude",vp.tbl[[#This Row],[Dens]]&gt;900,vp.tbl[[#This Row],[Sulf]]&lt;=0.5,vp.tbl[[#This Row],[Unknown]]=0),1,0)</f>
        <v>0</v>
      </c>
      <c r="AG784" t="str">
        <f>INDEX(vp.tbl[[#Headers],[Unknown]:[Heavy_SW]],MATCH(1,vp.tbl[[#This Row],[Unknown]:[Heavy_SW]],0))</f>
        <v>Light_LSB</v>
      </c>
      <c r="AH784" t="e">
        <f>INDEX([1]!crudeBD.lkup[Number],MATCH(vp.tbl[[#This Row],[Crude_Breakdown]],[1]!crudeBD.lkup[Crude Breakdown],0))</f>
        <v>#REF!</v>
      </c>
      <c r="AI784">
        <f>MONTH(vp.tbl[[#This Row],[SDate]])</f>
        <v>2</v>
      </c>
      <c r="AJ784" s="5">
        <f>IFERROR(vp.tbl[[#This Row],[Sulf]]*vp.tbl[[#This Row],[Net Dens]],"")</f>
        <v>10314852.223032</v>
      </c>
      <c r="AK784" s="5">
        <f>IFERROR(vp.tbl[[#This Row],[Dens]]*vp.tbl[[#This Row],[VolumeM3]],"")</f>
        <v>6406740.5111999996</v>
      </c>
      <c r="AL784" s="5">
        <f>IFERROR(vp.tbl[[#This Row],[VP]]*vp.tbl[[#This Row],[VolumeM3]],"")</f>
        <v>704088.65879999998</v>
      </c>
      <c r="AM784" s="4">
        <f>IFERROR((vp.tbl[[#This Row],[VP]]-INDEX(crudeBD.lkup.complete[Mean_VP],MATCH(vp.tbl[[#This Row],[Crude_Breakdown]],crudeBD.lkup.complete[Crude Breakdown],0)))^2,"")</f>
        <v>0.89526712721869006</v>
      </c>
      <c r="AN784" s="4">
        <f>IFERROR((vp.tbl[[#This Row],[Dens]]-INDEX(crudeBD.lkup.complete[Mean_Dens],MATCH(vp.tbl[[#This Row],[Crude_Breakdown]],crudeBD.lkup.complete[Crude Breakdown],0)))^2,"")</f>
        <v>34.612398063323418</v>
      </c>
      <c r="AO784" s="4">
        <f>IFERROR((vp.tbl[[#This Row],[Sulf]]-INDEX(crudeBD.lkup.complete[Mean_Sulf],MATCH(vp.tbl[[#This Row],[Crude_Breakdown]],crudeBD.lkup.complete[Crude Breakdown],0)))^2,"")</f>
        <v>0.47200861547043776</v>
      </c>
      <c r="AP784">
        <f>IF(AND(vp.tbl[[#This Row],[SDate]]&gt;=DATE(YEAR(vp.tbl[[#This Row],[SDate]]),5,1),vp.tbl[[#This Row],[SDate]]&lt;=DATE(YEAR(vp.tbl[[#This Row],[SDate]]),9,15)),1,0)</f>
        <v>0</v>
      </c>
      <c r="AQ784" s="15">
        <f>IF(vp.tbl[[#This Row],[SDate]]&lt;DATE(2016,12,1),0,1)</f>
        <v>1</v>
      </c>
    </row>
    <row r="785" spans="1:43" x14ac:dyDescent="0.25">
      <c r="A785">
        <v>784</v>
      </c>
      <c r="B785" t="s">
        <v>51</v>
      </c>
      <c r="C785" t="s">
        <v>51</v>
      </c>
      <c r="D785" t="s">
        <v>126</v>
      </c>
      <c r="F785" s="1">
        <v>42778</v>
      </c>
      <c r="G785" s="2">
        <v>98</v>
      </c>
      <c r="H785" s="2"/>
      <c r="I785" s="2">
        <v>1.73</v>
      </c>
      <c r="J785" s="2">
        <v>19.100000000000001</v>
      </c>
      <c r="K785" s="2">
        <v>-5</v>
      </c>
      <c r="L785" s="2">
        <v>849.1</v>
      </c>
      <c r="M785" s="2">
        <v>849.1</v>
      </c>
      <c r="N785" s="2">
        <f ca="1">INDEX(INDIRECT(_xlfn.CONCAT("weather.tbl[",N$1,"]")),MATCH(vp.tbl[[#This Row],[SDate]],weather.tbl[Date],0))</f>
        <v>-5.3499999999999988</v>
      </c>
      <c r="O785" s="2">
        <f ca="1">INDEX(INDIRECT(_xlfn.CONCAT("weather.tbl[",O$1,"]")),MATCH(vp.tbl[[#This Row],[SDate]],weather.tbl[Date],0))</f>
        <v>-14.069047619047618</v>
      </c>
      <c r="P785" s="2">
        <f ca="1">INDEX(INDIRECT(_xlfn.CONCAT("weather.tbl[",P$1,"]")),MATCH(vp.tbl[[#This Row],[SDate]],weather.tbl[Date],0))</f>
        <v>-5.3</v>
      </c>
      <c r="Q785" s="2">
        <f ca="1">INDEX(INDIRECT(_xlfn.CONCAT("weather.tbl[",Q$1,"]")),MATCH(vp.tbl[[#This Row],[SDate]],weather.tbl[Date],0))</f>
        <v>-4.0999999999999996</v>
      </c>
      <c r="R785" s="2">
        <f ca="1">INDEX(INDIRECT(_xlfn.CONCAT("weather.tbl[",R$1,"]")),MATCH(vp.tbl[[#This Row],[SDate]],weather.tbl[Date],0))</f>
        <v>-6.3</v>
      </c>
      <c r="S785" s="2">
        <f ca="1">INDEX(INDIRECT(_xlfn.CONCAT("weather.tbl[",S$1,"]")),MATCH(vp.tbl[[#This Row],[SDate]],weather.tbl[Date],0))</f>
        <v>-2.9</v>
      </c>
      <c r="T785" s="2">
        <f ca="1">INDEX(INDIRECT(_xlfn.CONCAT("weather.tbl[",T$1,"]")),MATCH(vp.tbl[[#This Row],[SDate]],weather.tbl[Date],0))</f>
        <v>-6</v>
      </c>
      <c r="U785" s="2">
        <f ca="1">INDEX(INDIRECT(_xlfn.CONCAT("weather.tbl[",U$1,"]")),MATCH(vp.tbl[[#This Row],[SDate]],weather.tbl[Date],0))</f>
        <v>-7.5</v>
      </c>
      <c r="V785" s="2">
        <v>1058.9190000000001</v>
      </c>
      <c r="W785" t="s">
        <v>48</v>
      </c>
      <c r="X785">
        <f>IF(OR(vp.tbl[[#This Row],[Sulf]]="",vp.tbl[[#This Row],[Dens]]=""),1,0)</f>
        <v>0</v>
      </c>
      <c r="Y785">
        <f>IF(vp.tbl[[#This Row],[CrudeType]]="C5+",1,0)</f>
        <v>0</v>
      </c>
      <c r="Z785">
        <f>IF(AND(vp.tbl[[#This Row],[CrudeType]]="Crude",vp.tbl[[#This Row],[Dens]]&lt;=825,vp.tbl[[#This Row],[Sulf]]&gt;0.5,vp.tbl[[#This Row],[Unknown]]=0),1,0)</f>
        <v>0</v>
      </c>
      <c r="AA785">
        <f>IF(AND(vp.tbl[[#This Row],[CrudeType]]="Crude",vp.tbl[[#This Row],[Dens]]&lt;=825,vp.tbl[[#This Row],[Sulf]]&lt;=0.5,vp.tbl[[#This Row],[Unknown]]=0),1,0)</f>
        <v>0</v>
      </c>
      <c r="AB785">
        <f>IF(AND(vp.tbl[[#This Row],[CrudeType]]="Crude",vp.tbl[[#This Row],[Dens]]&gt;825,vp.tbl[[#This Row],[Dens]]&lt;=870,vp.tbl[[#This Row],[Sulf]]&gt;0.5,vp.tbl[[#This Row],[Unknown]]=0),1,0)</f>
        <v>1</v>
      </c>
      <c r="AC785">
        <f>IF(AND(vp.tbl[[#This Row],[CrudeType]]="Crude",vp.tbl[[#This Row],[Dens]]&gt;825,vp.tbl[[#This Row],[Dens]]&lt;=900,vp.tbl[[#This Row],[Sulf]]&lt;=0.5,vp.tbl[[#This Row],[Unknown]]=0),1,0)</f>
        <v>0</v>
      </c>
      <c r="AD785">
        <f>IF(AND(vp.tbl[[#This Row],[CrudeType]]="Crude",vp.tbl[[#This Row],[Dens]]&gt;870,vp.tbl[[#This Row],[Dens]]&lt;=900,vp.tbl[[#This Row],[Sulf]]&gt;0.5,vp.tbl[[#This Row],[Unknown]]=0),1,0)</f>
        <v>0</v>
      </c>
      <c r="AE785">
        <f>IF(AND(vp.tbl[[#This Row],[CrudeType]]="Crude",vp.tbl[[#This Row],[Dens]]&gt;900,vp.tbl[[#This Row],[Sulf]]&lt;=0.5,vp.tbl[[#This Row],[Unknown]]=0),1,0)</f>
        <v>0</v>
      </c>
      <c r="AF785">
        <f>IF(AND(vp.tbl[[#This Row],[CrudeType]]="Crude",vp.tbl[[#This Row],[Dens]]&gt;900,vp.tbl[[#This Row],[Sulf]]&lt;=0.5,vp.tbl[[#This Row],[Unknown]]=0),1,0)</f>
        <v>0</v>
      </c>
      <c r="AG785" t="str">
        <f>INDEX(vp.tbl[[#Headers],[Unknown]:[Heavy_SW]],MATCH(1,vp.tbl[[#This Row],[Unknown]:[Heavy_SW]],0))</f>
        <v>Medium_LSB</v>
      </c>
      <c r="AH785" t="e">
        <f>INDEX([1]!crudeBD.lkup[Number],MATCH(vp.tbl[[#This Row],[Crude_Breakdown]],[1]!crudeBD.lkup[Crude Breakdown],0))</f>
        <v>#REF!</v>
      </c>
      <c r="AI785">
        <f>MONTH(vp.tbl[[#This Row],[SDate]])</f>
        <v>2</v>
      </c>
      <c r="AJ785" s="5">
        <f>IFERROR(vp.tbl[[#This Row],[Sulf]]*vp.tbl[[#This Row],[Net Dens]],"")</f>
        <v>1555491.652617</v>
      </c>
      <c r="AK785" s="5">
        <f>IFERROR(vp.tbl[[#This Row],[Dens]]*vp.tbl[[#This Row],[VolumeM3]],"")</f>
        <v>899128.12290000007</v>
      </c>
      <c r="AL785" s="5">
        <f>IFERROR(vp.tbl[[#This Row],[VP]]*vp.tbl[[#This Row],[VolumeM3]],"")</f>
        <v>103774.06200000001</v>
      </c>
      <c r="AM785" s="4">
        <f>IFERROR((vp.tbl[[#This Row],[VP]]-INDEX(crudeBD.lkup.complete[Mean_VP],MATCH(vp.tbl[[#This Row],[Crude_Breakdown]],crudeBD.lkup.complete[Crude Breakdown],0)))^2,"")</f>
        <v>317.78071748053327</v>
      </c>
      <c r="AN785" s="4">
        <f>IFERROR((vp.tbl[[#This Row],[Dens]]-INDEX(crudeBD.lkup.complete[Mean_Dens],MATCH(vp.tbl[[#This Row],[Crude_Breakdown]],crudeBD.lkup.complete[Crude Breakdown],0)))^2,"")</f>
        <v>14.502213702298972</v>
      </c>
      <c r="AO785" s="4">
        <f>IFERROR((vp.tbl[[#This Row],[Sulf]]-INDEX(crudeBD.lkup.complete[Mean_Sulf],MATCH(vp.tbl[[#This Row],[Crude_Breakdown]],crudeBD.lkup.complete[Crude Breakdown],0)))^2,"")</f>
        <v>7.5663581501790714E-2</v>
      </c>
      <c r="AP785">
        <f>IF(AND(vp.tbl[[#This Row],[SDate]]&gt;=DATE(YEAR(vp.tbl[[#This Row],[SDate]]),5,1),vp.tbl[[#This Row],[SDate]]&lt;=DATE(YEAR(vp.tbl[[#This Row],[SDate]]),9,15)),1,0)</f>
        <v>0</v>
      </c>
      <c r="AQ785" s="15">
        <f>IF(vp.tbl[[#This Row],[SDate]]&lt;DATE(2016,12,1),0,1)</f>
        <v>1</v>
      </c>
    </row>
    <row r="786" spans="1:43" x14ac:dyDescent="0.25">
      <c r="A786">
        <v>785</v>
      </c>
      <c r="B786" t="s">
        <v>62</v>
      </c>
      <c r="C786" t="s">
        <v>62</v>
      </c>
      <c r="D786" t="s">
        <v>87</v>
      </c>
      <c r="F786" s="1">
        <v>42779</v>
      </c>
      <c r="G786" s="2">
        <v>84.8</v>
      </c>
      <c r="H786" s="2"/>
      <c r="I786" s="2">
        <v>0.17</v>
      </c>
      <c r="J786" s="2">
        <v>24.8</v>
      </c>
      <c r="K786" s="2">
        <v>0</v>
      </c>
      <c r="L786" s="2">
        <v>810.1</v>
      </c>
      <c r="M786" s="2">
        <v>810.1</v>
      </c>
      <c r="N786" s="2">
        <f ca="1">INDEX(INDIRECT(_xlfn.CONCAT("weather.tbl[",N$1,"]")),MATCH(vp.tbl[[#This Row],[SDate]],weather.tbl[Date],0))</f>
        <v>-2.3333333333333335</v>
      </c>
      <c r="O786" s="2">
        <f ca="1">INDEX(INDIRECT(_xlfn.CONCAT("weather.tbl[",O$1,"]")),MATCH(vp.tbl[[#This Row],[SDate]],weather.tbl[Date],0))</f>
        <v>-11.990476190476189</v>
      </c>
      <c r="P786" s="2">
        <f ca="1">INDEX(INDIRECT(_xlfn.CONCAT("weather.tbl[",P$1,"]")),MATCH(vp.tbl[[#This Row],[SDate]],weather.tbl[Date],0))</f>
        <v>-3.1</v>
      </c>
      <c r="Q786" s="2">
        <f ca="1">INDEX(INDIRECT(_xlfn.CONCAT("weather.tbl[",Q$1,"]")),MATCH(vp.tbl[[#This Row],[SDate]],weather.tbl[Date],0))</f>
        <v>-1.5</v>
      </c>
      <c r="R786" s="2">
        <f ca="1">INDEX(INDIRECT(_xlfn.CONCAT("weather.tbl[",R$1,"]")),MATCH(vp.tbl[[#This Row],[SDate]],weather.tbl[Date],0))</f>
        <v>-3</v>
      </c>
      <c r="S786" s="2">
        <f ca="1">INDEX(INDIRECT(_xlfn.CONCAT("weather.tbl[",S$1,"]")),MATCH(vp.tbl[[#This Row],[SDate]],weather.tbl[Date],0))</f>
        <v>-0.8</v>
      </c>
      <c r="T786" s="2">
        <f ca="1">INDEX(INDIRECT(_xlfn.CONCAT("weather.tbl[",T$1,"]")),MATCH(vp.tbl[[#This Row],[SDate]],weather.tbl[Date],0))</f>
        <v>-3.3</v>
      </c>
      <c r="U786" s="2">
        <f ca="1">INDEX(INDIRECT(_xlfn.CONCAT("weather.tbl[",U$1,"]")),MATCH(vp.tbl[[#This Row],[SDate]],weather.tbl[Date],0))</f>
        <v>-2.2999999999999998</v>
      </c>
      <c r="V786" s="2">
        <v>7768.6840000000002</v>
      </c>
      <c r="W786" t="s">
        <v>48</v>
      </c>
      <c r="X786">
        <f>IF(OR(vp.tbl[[#This Row],[Sulf]]="",vp.tbl[[#This Row],[Dens]]=""),1,0)</f>
        <v>0</v>
      </c>
      <c r="Y786">
        <f>IF(vp.tbl[[#This Row],[CrudeType]]="C5+",1,0)</f>
        <v>0</v>
      </c>
      <c r="Z786">
        <f>IF(AND(vp.tbl[[#This Row],[CrudeType]]="Crude",vp.tbl[[#This Row],[Dens]]&lt;=825,vp.tbl[[#This Row],[Sulf]]&gt;0.5,vp.tbl[[#This Row],[Unknown]]=0),1,0)</f>
        <v>0</v>
      </c>
      <c r="AA786">
        <f>IF(AND(vp.tbl[[#This Row],[CrudeType]]="Crude",vp.tbl[[#This Row],[Dens]]&lt;=825,vp.tbl[[#This Row],[Sulf]]&lt;=0.5,vp.tbl[[#This Row],[Unknown]]=0),1,0)</f>
        <v>1</v>
      </c>
      <c r="AB786">
        <f>IF(AND(vp.tbl[[#This Row],[CrudeType]]="Crude",vp.tbl[[#This Row],[Dens]]&gt;825,vp.tbl[[#This Row],[Dens]]&lt;=870,vp.tbl[[#This Row],[Sulf]]&gt;0.5,vp.tbl[[#This Row],[Unknown]]=0),1,0)</f>
        <v>0</v>
      </c>
      <c r="AC786">
        <f>IF(AND(vp.tbl[[#This Row],[CrudeType]]="Crude",vp.tbl[[#This Row],[Dens]]&gt;825,vp.tbl[[#This Row],[Dens]]&lt;=900,vp.tbl[[#This Row],[Sulf]]&lt;=0.5,vp.tbl[[#This Row],[Unknown]]=0),1,0)</f>
        <v>0</v>
      </c>
      <c r="AD786">
        <f>IF(AND(vp.tbl[[#This Row],[CrudeType]]="Crude",vp.tbl[[#This Row],[Dens]]&gt;870,vp.tbl[[#This Row],[Dens]]&lt;=900,vp.tbl[[#This Row],[Sulf]]&gt;0.5,vp.tbl[[#This Row],[Unknown]]=0),1,0)</f>
        <v>0</v>
      </c>
      <c r="AE786">
        <f>IF(AND(vp.tbl[[#This Row],[CrudeType]]="Crude",vp.tbl[[#This Row],[Dens]]&gt;900,vp.tbl[[#This Row],[Sulf]]&lt;=0.5,vp.tbl[[#This Row],[Unknown]]=0),1,0)</f>
        <v>0</v>
      </c>
      <c r="AF786">
        <f>IF(AND(vp.tbl[[#This Row],[CrudeType]]="Crude",vp.tbl[[#This Row],[Dens]]&gt;900,vp.tbl[[#This Row],[Sulf]]&lt;=0.5,vp.tbl[[#This Row],[Unknown]]=0),1,0)</f>
        <v>0</v>
      </c>
      <c r="AG786" t="str">
        <f>INDEX(vp.tbl[[#Headers],[Unknown]:[Heavy_SW]],MATCH(1,vp.tbl[[#This Row],[Unknown]:[Heavy_SW]],0))</f>
        <v>Light_SW</v>
      </c>
      <c r="AH786" t="e">
        <f>INDEX([1]!crudeBD.lkup[Number],MATCH(vp.tbl[[#This Row],[Crude_Breakdown]],[1]!crudeBD.lkup[Crude Breakdown],0))</f>
        <v>#REF!</v>
      </c>
      <c r="AI786">
        <f>MONTH(vp.tbl[[#This Row],[SDate]])</f>
        <v>2</v>
      </c>
      <c r="AJ786" s="5">
        <f>IFERROR(vp.tbl[[#This Row],[Sulf]]*vp.tbl[[#This Row],[Net Dens]],"")</f>
        <v>1069879.854428</v>
      </c>
      <c r="AK786" s="5">
        <f>IFERROR(vp.tbl[[#This Row],[Dens]]*vp.tbl[[#This Row],[VolumeM3]],"")</f>
        <v>6293410.9084000001</v>
      </c>
      <c r="AL786" s="5">
        <f>IFERROR(vp.tbl[[#This Row],[VP]]*vp.tbl[[#This Row],[VolumeM3]],"")</f>
        <v>658784.40319999994</v>
      </c>
      <c r="AM786" s="4">
        <f>IFERROR((vp.tbl[[#This Row],[VP]]-INDEX(crudeBD.lkup.complete[Mean_VP],MATCH(vp.tbl[[#This Row],[Crude_Breakdown]],crudeBD.lkup.complete[Crude Breakdown],0)))^2,"")</f>
        <v>60.06736072551525</v>
      </c>
      <c r="AN786" s="4">
        <f>IFERROR((vp.tbl[[#This Row],[Dens]]-INDEX(crudeBD.lkup.complete[Mean_Dens],MATCH(vp.tbl[[#This Row],[Crude_Breakdown]],crudeBD.lkup.complete[Crude Breakdown],0)))^2,"")</f>
        <v>3.1987384817112146</v>
      </c>
      <c r="AO786" s="4">
        <f>IFERROR((vp.tbl[[#This Row],[Sulf]]-INDEX(crudeBD.lkup.complete[Mean_Sulf],MATCH(vp.tbl[[#This Row],[Crude_Breakdown]],crudeBD.lkup.complete[Crude Breakdown],0)))^2,"")</f>
        <v>4.3879776367322437E-3</v>
      </c>
      <c r="AP786">
        <f>IF(AND(vp.tbl[[#This Row],[SDate]]&gt;=DATE(YEAR(vp.tbl[[#This Row],[SDate]]),5,1),vp.tbl[[#This Row],[SDate]]&lt;=DATE(YEAR(vp.tbl[[#This Row],[SDate]]),9,15)),1,0)</f>
        <v>0</v>
      </c>
      <c r="AQ786" s="15">
        <f>IF(vp.tbl[[#This Row],[SDate]]&lt;DATE(2016,12,1),0,1)</f>
        <v>1</v>
      </c>
    </row>
    <row r="787" spans="1:43" x14ac:dyDescent="0.25">
      <c r="A787">
        <v>786</v>
      </c>
      <c r="B787" t="s">
        <v>62</v>
      </c>
      <c r="C787" t="s">
        <v>62</v>
      </c>
      <c r="D787" t="s">
        <v>83</v>
      </c>
      <c r="F787" s="1">
        <v>42779</v>
      </c>
      <c r="G787" s="2">
        <v>85.4</v>
      </c>
      <c r="H787" s="2"/>
      <c r="I787" s="2">
        <v>0.19</v>
      </c>
      <c r="J787" s="2">
        <v>1.6</v>
      </c>
      <c r="K787" s="2">
        <v>0</v>
      </c>
      <c r="L787" s="2">
        <v>812.3</v>
      </c>
      <c r="M787" s="2">
        <v>812.3</v>
      </c>
      <c r="N787" s="2">
        <f ca="1">INDEX(INDIRECT(_xlfn.CONCAT("weather.tbl[",N$1,"]")),MATCH(vp.tbl[[#This Row],[SDate]],weather.tbl[Date],0))</f>
        <v>-2.3333333333333335</v>
      </c>
      <c r="O787" s="2">
        <f ca="1">INDEX(INDIRECT(_xlfn.CONCAT("weather.tbl[",O$1,"]")),MATCH(vp.tbl[[#This Row],[SDate]],weather.tbl[Date],0))</f>
        <v>-11.990476190476189</v>
      </c>
      <c r="P787" s="2">
        <f ca="1">INDEX(INDIRECT(_xlfn.CONCAT("weather.tbl[",P$1,"]")),MATCH(vp.tbl[[#This Row],[SDate]],weather.tbl[Date],0))</f>
        <v>-3.1</v>
      </c>
      <c r="Q787" s="2">
        <f ca="1">INDEX(INDIRECT(_xlfn.CONCAT("weather.tbl[",Q$1,"]")),MATCH(vp.tbl[[#This Row],[SDate]],weather.tbl[Date],0))</f>
        <v>-1.5</v>
      </c>
      <c r="R787" s="2">
        <f ca="1">INDEX(INDIRECT(_xlfn.CONCAT("weather.tbl[",R$1,"]")),MATCH(vp.tbl[[#This Row],[SDate]],weather.tbl[Date],0))</f>
        <v>-3</v>
      </c>
      <c r="S787" s="2">
        <f ca="1">INDEX(INDIRECT(_xlfn.CONCAT("weather.tbl[",S$1,"]")),MATCH(vp.tbl[[#This Row],[SDate]],weather.tbl[Date],0))</f>
        <v>-0.8</v>
      </c>
      <c r="T787" s="2">
        <f ca="1">INDEX(INDIRECT(_xlfn.CONCAT("weather.tbl[",T$1,"]")),MATCH(vp.tbl[[#This Row],[SDate]],weather.tbl[Date],0))</f>
        <v>-3.3</v>
      </c>
      <c r="U787" s="2">
        <f ca="1">INDEX(INDIRECT(_xlfn.CONCAT("weather.tbl[",U$1,"]")),MATCH(vp.tbl[[#This Row],[SDate]],weather.tbl[Date],0))</f>
        <v>-2.2999999999999998</v>
      </c>
      <c r="V787" s="2">
        <v>7967.6189999999997</v>
      </c>
      <c r="W787" t="s">
        <v>48</v>
      </c>
      <c r="X787">
        <f>IF(OR(vp.tbl[[#This Row],[Sulf]]="",vp.tbl[[#This Row],[Dens]]=""),1,0)</f>
        <v>0</v>
      </c>
      <c r="Y787">
        <f>IF(vp.tbl[[#This Row],[CrudeType]]="C5+",1,0)</f>
        <v>0</v>
      </c>
      <c r="Z787">
        <f>IF(AND(vp.tbl[[#This Row],[CrudeType]]="Crude",vp.tbl[[#This Row],[Dens]]&lt;=825,vp.tbl[[#This Row],[Sulf]]&gt;0.5,vp.tbl[[#This Row],[Unknown]]=0),1,0)</f>
        <v>0</v>
      </c>
      <c r="AA787">
        <f>IF(AND(vp.tbl[[#This Row],[CrudeType]]="Crude",vp.tbl[[#This Row],[Dens]]&lt;=825,vp.tbl[[#This Row],[Sulf]]&lt;=0.5,vp.tbl[[#This Row],[Unknown]]=0),1,0)</f>
        <v>1</v>
      </c>
      <c r="AB787">
        <f>IF(AND(vp.tbl[[#This Row],[CrudeType]]="Crude",vp.tbl[[#This Row],[Dens]]&gt;825,vp.tbl[[#This Row],[Dens]]&lt;=870,vp.tbl[[#This Row],[Sulf]]&gt;0.5,vp.tbl[[#This Row],[Unknown]]=0),1,0)</f>
        <v>0</v>
      </c>
      <c r="AC787">
        <f>IF(AND(vp.tbl[[#This Row],[CrudeType]]="Crude",vp.tbl[[#This Row],[Dens]]&gt;825,vp.tbl[[#This Row],[Dens]]&lt;=900,vp.tbl[[#This Row],[Sulf]]&lt;=0.5,vp.tbl[[#This Row],[Unknown]]=0),1,0)</f>
        <v>0</v>
      </c>
      <c r="AD787">
        <f>IF(AND(vp.tbl[[#This Row],[CrudeType]]="Crude",vp.tbl[[#This Row],[Dens]]&gt;870,vp.tbl[[#This Row],[Dens]]&lt;=900,vp.tbl[[#This Row],[Sulf]]&gt;0.5,vp.tbl[[#This Row],[Unknown]]=0),1,0)</f>
        <v>0</v>
      </c>
      <c r="AE787">
        <f>IF(AND(vp.tbl[[#This Row],[CrudeType]]="Crude",vp.tbl[[#This Row],[Dens]]&gt;900,vp.tbl[[#This Row],[Sulf]]&lt;=0.5,vp.tbl[[#This Row],[Unknown]]=0),1,0)</f>
        <v>0</v>
      </c>
      <c r="AF787">
        <f>IF(AND(vp.tbl[[#This Row],[CrudeType]]="Crude",vp.tbl[[#This Row],[Dens]]&gt;900,vp.tbl[[#This Row],[Sulf]]&lt;=0.5,vp.tbl[[#This Row],[Unknown]]=0),1,0)</f>
        <v>0</v>
      </c>
      <c r="AG787" t="str">
        <f>INDEX(vp.tbl[[#Headers],[Unknown]:[Heavy_SW]],MATCH(1,vp.tbl[[#This Row],[Unknown]:[Heavy_SW]],0))</f>
        <v>Light_SW</v>
      </c>
      <c r="AH787" t="e">
        <f>INDEX([1]!crudeBD.lkup[Number],MATCH(vp.tbl[[#This Row],[Crude_Breakdown]],[1]!crudeBD.lkup[Crude Breakdown],0))</f>
        <v>#REF!</v>
      </c>
      <c r="AI787">
        <f>MONTH(vp.tbl[[#This Row],[SDate]])</f>
        <v>2</v>
      </c>
      <c r="AJ787" s="5">
        <f>IFERROR(vp.tbl[[#This Row],[Sulf]]*vp.tbl[[#This Row],[Net Dens]],"")</f>
        <v>1229698.4136029999</v>
      </c>
      <c r="AK787" s="5">
        <f>IFERROR(vp.tbl[[#This Row],[Dens]]*vp.tbl[[#This Row],[VolumeM3]],"")</f>
        <v>6472096.9136999995</v>
      </c>
      <c r="AL787" s="5">
        <f>IFERROR(vp.tbl[[#This Row],[VP]]*vp.tbl[[#This Row],[VolumeM3]],"")</f>
        <v>680434.66260000004</v>
      </c>
      <c r="AM787" s="4">
        <f>IFERROR((vp.tbl[[#This Row],[VP]]-INDEX(crudeBD.lkup.complete[Mean_VP],MATCH(vp.tbl[[#This Row],[Crude_Breakdown]],crudeBD.lkup.complete[Crude Breakdown],0)))^2,"")</f>
        <v>51.126984418894956</v>
      </c>
      <c r="AN787" s="4">
        <f>IFERROR((vp.tbl[[#This Row],[Dens]]-INDEX(crudeBD.lkup.complete[Mean_Dens],MATCH(vp.tbl[[#This Row],[Crude_Breakdown]],crudeBD.lkup.complete[Crude Breakdown],0)))^2,"")</f>
        <v>15.908146147216957</v>
      </c>
      <c r="AO787" s="4">
        <f>IFERROR((vp.tbl[[#This Row],[Sulf]]-INDEX(crudeBD.lkup.complete[Mean_Sulf],MATCH(vp.tbl[[#This Row],[Crude_Breakdown]],crudeBD.lkup.complete[Crude Breakdown],0)))^2,"")</f>
        <v>2.1383051628646554E-3</v>
      </c>
      <c r="AP787">
        <f>IF(AND(vp.tbl[[#This Row],[SDate]]&gt;=DATE(YEAR(vp.tbl[[#This Row],[SDate]]),5,1),vp.tbl[[#This Row],[SDate]]&lt;=DATE(YEAR(vp.tbl[[#This Row],[SDate]]),9,15)),1,0)</f>
        <v>0</v>
      </c>
      <c r="AQ787" s="15">
        <f>IF(vp.tbl[[#This Row],[SDate]]&lt;DATE(2016,12,1),0,1)</f>
        <v>1</v>
      </c>
    </row>
    <row r="788" spans="1:43" x14ac:dyDescent="0.25">
      <c r="A788">
        <v>787</v>
      </c>
      <c r="B788" t="s">
        <v>53</v>
      </c>
      <c r="C788" t="s">
        <v>53</v>
      </c>
      <c r="D788" t="s">
        <v>54</v>
      </c>
      <c r="E788" t="s">
        <v>73</v>
      </c>
      <c r="F788" s="1">
        <v>42780</v>
      </c>
      <c r="G788" s="2">
        <v>50.8</v>
      </c>
      <c r="H788" s="2"/>
      <c r="I788" s="2">
        <v>1.68</v>
      </c>
      <c r="J788" s="2">
        <v>8.6</v>
      </c>
      <c r="K788" s="2">
        <v>3</v>
      </c>
      <c r="L788" s="2">
        <v>853.4</v>
      </c>
      <c r="M788" s="2">
        <v>853.4</v>
      </c>
      <c r="N788" s="2">
        <f ca="1">INDEX(INDIRECT(_xlfn.CONCAT("weather.tbl[",N$1,"]")),MATCH(vp.tbl[[#This Row],[SDate]],weather.tbl[Date],0))</f>
        <v>-3.8166666666666669</v>
      </c>
      <c r="O788" s="2">
        <f ca="1">INDEX(INDIRECT(_xlfn.CONCAT("weather.tbl[",O$1,"]")),MATCH(vp.tbl[[#This Row],[SDate]],weather.tbl[Date],0))</f>
        <v>-9.0880952380952387</v>
      </c>
      <c r="P788" s="2">
        <f ca="1">INDEX(INDIRECT(_xlfn.CONCAT("weather.tbl[",P$1,"]")),MATCH(vp.tbl[[#This Row],[SDate]],weather.tbl[Date],0))</f>
        <v>-4.4000000000000004</v>
      </c>
      <c r="Q788" s="2">
        <f ca="1">INDEX(INDIRECT(_xlfn.CONCAT("weather.tbl[",Q$1,"]")),MATCH(vp.tbl[[#This Row],[SDate]],weather.tbl[Date],0))</f>
        <v>-4.0999999999999996</v>
      </c>
      <c r="R788" s="2">
        <f ca="1">INDEX(INDIRECT(_xlfn.CONCAT("weather.tbl[",R$1,"]")),MATCH(vp.tbl[[#This Row],[SDate]],weather.tbl[Date],0))</f>
        <v>-4.8</v>
      </c>
      <c r="S788" s="2">
        <f ca="1">INDEX(INDIRECT(_xlfn.CONCAT("weather.tbl[",S$1,"]")),MATCH(vp.tbl[[#This Row],[SDate]],weather.tbl[Date],0))</f>
        <v>-2.2000000000000002</v>
      </c>
      <c r="T788" s="2">
        <f ca="1">INDEX(INDIRECT(_xlfn.CONCAT("weather.tbl[",T$1,"]")),MATCH(vp.tbl[[#This Row],[SDate]],weather.tbl[Date],0))</f>
        <v>-4.0999999999999996</v>
      </c>
      <c r="U788" s="2">
        <f ca="1">INDEX(INDIRECT(_xlfn.CONCAT("weather.tbl[",U$1,"]")),MATCH(vp.tbl[[#This Row],[SDate]],weather.tbl[Date],0))</f>
        <v>-3.3</v>
      </c>
      <c r="V788" s="2">
        <v>47607.114999999998</v>
      </c>
      <c r="W788" t="s">
        <v>48</v>
      </c>
      <c r="X788">
        <f>IF(OR(vp.tbl[[#This Row],[Sulf]]="",vp.tbl[[#This Row],[Dens]]=""),1,0)</f>
        <v>0</v>
      </c>
      <c r="Y788">
        <f>IF(vp.tbl[[#This Row],[CrudeType]]="C5+",1,0)</f>
        <v>0</v>
      </c>
      <c r="Z788">
        <f>IF(AND(vp.tbl[[#This Row],[CrudeType]]="Crude",vp.tbl[[#This Row],[Dens]]&lt;=825,vp.tbl[[#This Row],[Sulf]]&gt;0.5,vp.tbl[[#This Row],[Unknown]]=0),1,0)</f>
        <v>0</v>
      </c>
      <c r="AA788">
        <f>IF(AND(vp.tbl[[#This Row],[CrudeType]]="Crude",vp.tbl[[#This Row],[Dens]]&lt;=825,vp.tbl[[#This Row],[Sulf]]&lt;=0.5,vp.tbl[[#This Row],[Unknown]]=0),1,0)</f>
        <v>0</v>
      </c>
      <c r="AB788">
        <f>IF(AND(vp.tbl[[#This Row],[CrudeType]]="Crude",vp.tbl[[#This Row],[Dens]]&gt;825,vp.tbl[[#This Row],[Dens]]&lt;=870,vp.tbl[[#This Row],[Sulf]]&gt;0.5,vp.tbl[[#This Row],[Unknown]]=0),1,0)</f>
        <v>1</v>
      </c>
      <c r="AC788">
        <f>IF(AND(vp.tbl[[#This Row],[CrudeType]]="Crude",vp.tbl[[#This Row],[Dens]]&gt;825,vp.tbl[[#This Row],[Dens]]&lt;=900,vp.tbl[[#This Row],[Sulf]]&lt;=0.5,vp.tbl[[#This Row],[Unknown]]=0),1,0)</f>
        <v>0</v>
      </c>
      <c r="AD788">
        <f>IF(AND(vp.tbl[[#This Row],[CrudeType]]="Crude",vp.tbl[[#This Row],[Dens]]&gt;870,vp.tbl[[#This Row],[Dens]]&lt;=900,vp.tbl[[#This Row],[Sulf]]&gt;0.5,vp.tbl[[#This Row],[Unknown]]=0),1,0)</f>
        <v>0</v>
      </c>
      <c r="AE788">
        <f>IF(AND(vp.tbl[[#This Row],[CrudeType]]="Crude",vp.tbl[[#This Row],[Dens]]&gt;900,vp.tbl[[#This Row],[Sulf]]&lt;=0.5,vp.tbl[[#This Row],[Unknown]]=0),1,0)</f>
        <v>0</v>
      </c>
      <c r="AF788">
        <f>IF(AND(vp.tbl[[#This Row],[CrudeType]]="Crude",vp.tbl[[#This Row],[Dens]]&gt;900,vp.tbl[[#This Row],[Sulf]]&lt;=0.5,vp.tbl[[#This Row],[Unknown]]=0),1,0)</f>
        <v>0</v>
      </c>
      <c r="AG788" t="str">
        <f>INDEX(vp.tbl[[#Headers],[Unknown]:[Heavy_SW]],MATCH(1,vp.tbl[[#This Row],[Unknown]:[Heavy_SW]],0))</f>
        <v>Medium_LSB</v>
      </c>
      <c r="AH788" t="e">
        <f>INDEX([1]!crudeBD.lkup[Number],MATCH(vp.tbl[[#This Row],[Crude_Breakdown]],[1]!crudeBD.lkup[Crude Breakdown],0))</f>
        <v>#REF!</v>
      </c>
      <c r="AI788">
        <f>MONTH(vp.tbl[[#This Row],[SDate]])</f>
        <v>2</v>
      </c>
      <c r="AJ788" s="5">
        <f>IFERROR(vp.tbl[[#This Row],[Sulf]]*vp.tbl[[#This Row],[Net Dens]],"")</f>
        <v>68254892.06087999</v>
      </c>
      <c r="AK788" s="5">
        <f>IFERROR(vp.tbl[[#This Row],[Dens]]*vp.tbl[[#This Row],[VolumeM3]],"")</f>
        <v>40627911.941</v>
      </c>
      <c r="AL788" s="5">
        <f>IFERROR(vp.tbl[[#This Row],[VP]]*vp.tbl[[#This Row],[VolumeM3]],"")</f>
        <v>2418441.4419999998</v>
      </c>
      <c r="AM788" s="4">
        <f>IFERROR((vp.tbl[[#This Row],[VP]]-INDEX(crudeBD.lkup.complete[Mean_VP],MATCH(vp.tbl[[#This Row],[Crude_Breakdown]],crudeBD.lkup.complete[Crude Breakdown],0)))^2,"")</f>
        <v>862.80807950584642</v>
      </c>
      <c r="AN788" s="4">
        <f>IFERROR((vp.tbl[[#This Row],[Dens]]-INDEX(crudeBD.lkup.complete[Mean_Dens],MATCH(vp.tbl[[#This Row],[Crude_Breakdown]],crudeBD.lkup.complete[Crude Breakdown],0)))^2,"")</f>
        <v>65.742537752939811</v>
      </c>
      <c r="AO788" s="4">
        <f>IFERROR((vp.tbl[[#This Row],[Sulf]]-INDEX(crudeBD.lkup.complete[Mean_Sulf],MATCH(vp.tbl[[#This Row],[Crude_Breakdown]],crudeBD.lkup.complete[Crude Breakdown],0)))^2,"")</f>
        <v>5.0656567577740209E-2</v>
      </c>
      <c r="AP788">
        <f>IF(AND(vp.tbl[[#This Row],[SDate]]&gt;=DATE(YEAR(vp.tbl[[#This Row],[SDate]]),5,1),vp.tbl[[#This Row],[SDate]]&lt;=DATE(YEAR(vp.tbl[[#This Row],[SDate]]),9,15)),1,0)</f>
        <v>0</v>
      </c>
      <c r="AQ788" s="15">
        <f>IF(vp.tbl[[#This Row],[SDate]]&lt;DATE(2016,12,1),0,1)</f>
        <v>1</v>
      </c>
    </row>
    <row r="789" spans="1:43" x14ac:dyDescent="0.25">
      <c r="A789">
        <v>788</v>
      </c>
      <c r="B789" t="s">
        <v>53</v>
      </c>
      <c r="C789" t="s">
        <v>53</v>
      </c>
      <c r="D789" t="s">
        <v>54</v>
      </c>
      <c r="E789" t="s">
        <v>55</v>
      </c>
      <c r="F789" s="1">
        <v>42780</v>
      </c>
      <c r="G789" s="2">
        <v>98.1</v>
      </c>
      <c r="H789" s="2"/>
      <c r="I789" s="2">
        <v>1.68</v>
      </c>
      <c r="J789" s="2">
        <v>6</v>
      </c>
      <c r="K789" s="2">
        <v>3</v>
      </c>
      <c r="L789" s="2">
        <v>822.7</v>
      </c>
      <c r="M789" s="2">
        <v>822.7</v>
      </c>
      <c r="N789" s="2">
        <f ca="1">INDEX(INDIRECT(_xlfn.CONCAT("weather.tbl[",N$1,"]")),MATCH(vp.tbl[[#This Row],[SDate]],weather.tbl[Date],0))</f>
        <v>-3.8166666666666669</v>
      </c>
      <c r="O789" s="2">
        <f ca="1">INDEX(INDIRECT(_xlfn.CONCAT("weather.tbl[",O$1,"]")),MATCH(vp.tbl[[#This Row],[SDate]],weather.tbl[Date],0))</f>
        <v>-9.0880952380952387</v>
      </c>
      <c r="P789" s="2">
        <f ca="1">INDEX(INDIRECT(_xlfn.CONCAT("weather.tbl[",P$1,"]")),MATCH(vp.tbl[[#This Row],[SDate]],weather.tbl[Date],0))</f>
        <v>-4.4000000000000004</v>
      </c>
      <c r="Q789" s="2">
        <f ca="1">INDEX(INDIRECT(_xlfn.CONCAT("weather.tbl[",Q$1,"]")),MATCH(vp.tbl[[#This Row],[SDate]],weather.tbl[Date],0))</f>
        <v>-4.0999999999999996</v>
      </c>
      <c r="R789" s="2">
        <f ca="1">INDEX(INDIRECT(_xlfn.CONCAT("weather.tbl[",R$1,"]")),MATCH(vp.tbl[[#This Row],[SDate]],weather.tbl[Date],0))</f>
        <v>-4.8</v>
      </c>
      <c r="S789" s="2">
        <f ca="1">INDEX(INDIRECT(_xlfn.CONCAT("weather.tbl[",S$1,"]")),MATCH(vp.tbl[[#This Row],[SDate]],weather.tbl[Date],0))</f>
        <v>-2.2000000000000002</v>
      </c>
      <c r="T789" s="2">
        <f ca="1">INDEX(INDIRECT(_xlfn.CONCAT("weather.tbl[",T$1,"]")),MATCH(vp.tbl[[#This Row],[SDate]],weather.tbl[Date],0))</f>
        <v>-4.0999999999999996</v>
      </c>
      <c r="U789" s="2">
        <f ca="1">INDEX(INDIRECT(_xlfn.CONCAT("weather.tbl[",U$1,"]")),MATCH(vp.tbl[[#This Row],[SDate]],weather.tbl[Date],0))</f>
        <v>-3.3</v>
      </c>
      <c r="V789" s="2">
        <v>47607.114999999998</v>
      </c>
      <c r="W789" t="s">
        <v>48</v>
      </c>
      <c r="X789">
        <f>IF(OR(vp.tbl[[#This Row],[Sulf]]="",vp.tbl[[#This Row],[Dens]]=""),1,0)</f>
        <v>0</v>
      </c>
      <c r="Y789">
        <f>IF(vp.tbl[[#This Row],[CrudeType]]="C5+",1,0)</f>
        <v>0</v>
      </c>
      <c r="Z789">
        <f>IF(AND(vp.tbl[[#This Row],[CrudeType]]="Crude",vp.tbl[[#This Row],[Dens]]&lt;=825,vp.tbl[[#This Row],[Sulf]]&gt;0.5,vp.tbl[[#This Row],[Unknown]]=0),1,0)</f>
        <v>1</v>
      </c>
      <c r="AA789">
        <f>IF(AND(vp.tbl[[#This Row],[CrudeType]]="Crude",vp.tbl[[#This Row],[Dens]]&lt;=825,vp.tbl[[#This Row],[Sulf]]&lt;=0.5,vp.tbl[[#This Row],[Unknown]]=0),1,0)</f>
        <v>0</v>
      </c>
      <c r="AB789">
        <f>IF(AND(vp.tbl[[#This Row],[CrudeType]]="Crude",vp.tbl[[#This Row],[Dens]]&gt;825,vp.tbl[[#This Row],[Dens]]&lt;=870,vp.tbl[[#This Row],[Sulf]]&gt;0.5,vp.tbl[[#This Row],[Unknown]]=0),1,0)</f>
        <v>0</v>
      </c>
      <c r="AC789">
        <f>IF(AND(vp.tbl[[#This Row],[CrudeType]]="Crude",vp.tbl[[#This Row],[Dens]]&gt;825,vp.tbl[[#This Row],[Dens]]&lt;=900,vp.tbl[[#This Row],[Sulf]]&lt;=0.5,vp.tbl[[#This Row],[Unknown]]=0),1,0)</f>
        <v>0</v>
      </c>
      <c r="AD789">
        <f>IF(AND(vp.tbl[[#This Row],[CrudeType]]="Crude",vp.tbl[[#This Row],[Dens]]&gt;870,vp.tbl[[#This Row],[Dens]]&lt;=900,vp.tbl[[#This Row],[Sulf]]&gt;0.5,vp.tbl[[#This Row],[Unknown]]=0),1,0)</f>
        <v>0</v>
      </c>
      <c r="AE789">
        <f>IF(AND(vp.tbl[[#This Row],[CrudeType]]="Crude",vp.tbl[[#This Row],[Dens]]&gt;900,vp.tbl[[#This Row],[Sulf]]&lt;=0.5,vp.tbl[[#This Row],[Unknown]]=0),1,0)</f>
        <v>0</v>
      </c>
      <c r="AF789">
        <f>IF(AND(vp.tbl[[#This Row],[CrudeType]]="Crude",vp.tbl[[#This Row],[Dens]]&gt;900,vp.tbl[[#This Row],[Sulf]]&lt;=0.5,vp.tbl[[#This Row],[Unknown]]=0),1,0)</f>
        <v>0</v>
      </c>
      <c r="AG789" t="str">
        <f>INDEX(vp.tbl[[#Headers],[Unknown]:[Heavy_SW]],MATCH(1,vp.tbl[[#This Row],[Unknown]:[Heavy_SW]],0))</f>
        <v>Light_LSB</v>
      </c>
      <c r="AH789" t="e">
        <f>INDEX([1]!crudeBD.lkup[Number],MATCH(vp.tbl[[#This Row],[Crude_Breakdown]],[1]!crudeBD.lkup[Crude Breakdown],0))</f>
        <v>#REF!</v>
      </c>
      <c r="AI789">
        <f>MONTH(vp.tbl[[#This Row],[SDate]])</f>
        <v>2</v>
      </c>
      <c r="AJ789" s="5">
        <f>IFERROR(vp.tbl[[#This Row],[Sulf]]*vp.tbl[[#This Row],[Net Dens]],"")</f>
        <v>65799507.497639999</v>
      </c>
      <c r="AK789" s="5">
        <f>IFERROR(vp.tbl[[#This Row],[Dens]]*vp.tbl[[#This Row],[VolumeM3]],"")</f>
        <v>39166373.510499999</v>
      </c>
      <c r="AL789" s="5">
        <f>IFERROR(vp.tbl[[#This Row],[VP]]*vp.tbl[[#This Row],[VolumeM3]],"")</f>
        <v>4670257.9814999998</v>
      </c>
      <c r="AM789" s="4">
        <f>IFERROR((vp.tbl[[#This Row],[VP]]-INDEX(crudeBD.lkup.complete[Mean_VP],MATCH(vp.tbl[[#This Row],[Crude_Breakdown]],crudeBD.lkup.complete[Crude Breakdown],0)))^2,"")</f>
        <v>42.952483622063497</v>
      </c>
      <c r="AN789" s="4">
        <f>IFERROR((vp.tbl[[#This Row],[Dens]]-INDEX(crudeBD.lkup.complete[Mean_Dens],MATCH(vp.tbl[[#This Row],[Crude_Breakdown]],crudeBD.lkup.complete[Crude Breakdown],0)))^2,"")</f>
        <v>17.499415245453584</v>
      </c>
      <c r="AO789" s="4">
        <f>IFERROR((vp.tbl[[#This Row],[Sulf]]-INDEX(crudeBD.lkup.complete[Mean_Sulf],MATCH(vp.tbl[[#This Row],[Crude_Breakdown]],crudeBD.lkup.complete[Crude Breakdown],0)))^2,"")</f>
        <v>0.57309265189655445</v>
      </c>
      <c r="AP789">
        <f>IF(AND(vp.tbl[[#This Row],[SDate]]&gt;=DATE(YEAR(vp.tbl[[#This Row],[SDate]]),5,1),vp.tbl[[#This Row],[SDate]]&lt;=DATE(YEAR(vp.tbl[[#This Row],[SDate]]),9,15)),1,0)</f>
        <v>0</v>
      </c>
      <c r="AQ789" s="15">
        <f>IF(vp.tbl[[#This Row],[SDate]]&lt;DATE(2016,12,1),0,1)</f>
        <v>1</v>
      </c>
    </row>
    <row r="790" spans="1:43" x14ac:dyDescent="0.25">
      <c r="A790">
        <v>789</v>
      </c>
      <c r="B790" t="s">
        <v>49</v>
      </c>
      <c r="C790" t="s">
        <v>49</v>
      </c>
      <c r="D790" t="s">
        <v>75</v>
      </c>
      <c r="F790" s="1">
        <v>42780</v>
      </c>
      <c r="G790" s="2">
        <v>125.1</v>
      </c>
      <c r="H790" s="2">
        <v>0.16400000000000001</v>
      </c>
      <c r="I790" s="2">
        <v>0.16400000000000001</v>
      </c>
      <c r="J790" s="2">
        <v>10.4</v>
      </c>
      <c r="K790" s="2">
        <v>3</v>
      </c>
      <c r="L790" s="2">
        <v>796.5</v>
      </c>
      <c r="M790" s="2">
        <v>796.5</v>
      </c>
      <c r="N790" s="2">
        <f ca="1">INDEX(INDIRECT(_xlfn.CONCAT("weather.tbl[",N$1,"]")),MATCH(vp.tbl[[#This Row],[SDate]],weather.tbl[Date],0))</f>
        <v>-3.8166666666666669</v>
      </c>
      <c r="O790" s="2">
        <f ca="1">INDEX(INDIRECT(_xlfn.CONCAT("weather.tbl[",O$1,"]")),MATCH(vp.tbl[[#This Row],[SDate]],weather.tbl[Date],0))</f>
        <v>-9.0880952380952387</v>
      </c>
      <c r="P790" s="2">
        <f ca="1">INDEX(INDIRECT(_xlfn.CONCAT("weather.tbl[",P$1,"]")),MATCH(vp.tbl[[#This Row],[SDate]],weather.tbl[Date],0))</f>
        <v>-4.4000000000000004</v>
      </c>
      <c r="Q790" s="2">
        <f ca="1">INDEX(INDIRECT(_xlfn.CONCAT("weather.tbl[",Q$1,"]")),MATCH(vp.tbl[[#This Row],[SDate]],weather.tbl[Date],0))</f>
        <v>-4.0999999999999996</v>
      </c>
      <c r="R790" s="2">
        <f ca="1">INDEX(INDIRECT(_xlfn.CONCAT("weather.tbl[",R$1,"]")),MATCH(vp.tbl[[#This Row],[SDate]],weather.tbl[Date],0))</f>
        <v>-4.8</v>
      </c>
      <c r="S790" s="2">
        <f ca="1">INDEX(INDIRECT(_xlfn.CONCAT("weather.tbl[",S$1,"]")),MATCH(vp.tbl[[#This Row],[SDate]],weather.tbl[Date],0))</f>
        <v>-2.2000000000000002</v>
      </c>
      <c r="T790" s="2">
        <f ca="1">INDEX(INDIRECT(_xlfn.CONCAT("weather.tbl[",T$1,"]")),MATCH(vp.tbl[[#This Row],[SDate]],weather.tbl[Date],0))</f>
        <v>-4.0999999999999996</v>
      </c>
      <c r="U790" s="2">
        <f ca="1">INDEX(INDIRECT(_xlfn.CONCAT("weather.tbl[",U$1,"]")),MATCH(vp.tbl[[#This Row],[SDate]],weather.tbl[Date],0))</f>
        <v>-3.3</v>
      </c>
      <c r="V790" s="2">
        <v>8347.0130000000008</v>
      </c>
      <c r="W790" t="s">
        <v>48</v>
      </c>
      <c r="X790">
        <f>IF(OR(vp.tbl[[#This Row],[Sulf]]="",vp.tbl[[#This Row],[Dens]]=""),1,0)</f>
        <v>0</v>
      </c>
      <c r="Y790">
        <f>IF(vp.tbl[[#This Row],[CrudeType]]="C5+",1,0)</f>
        <v>0</v>
      </c>
      <c r="Z790">
        <f>IF(AND(vp.tbl[[#This Row],[CrudeType]]="Crude",vp.tbl[[#This Row],[Dens]]&lt;=825,vp.tbl[[#This Row],[Sulf]]&gt;0.5,vp.tbl[[#This Row],[Unknown]]=0),1,0)</f>
        <v>0</v>
      </c>
      <c r="AA790">
        <f>IF(AND(vp.tbl[[#This Row],[CrudeType]]="Crude",vp.tbl[[#This Row],[Dens]]&lt;=825,vp.tbl[[#This Row],[Sulf]]&lt;=0.5,vp.tbl[[#This Row],[Unknown]]=0),1,0)</f>
        <v>1</v>
      </c>
      <c r="AB790">
        <f>IF(AND(vp.tbl[[#This Row],[CrudeType]]="Crude",vp.tbl[[#This Row],[Dens]]&gt;825,vp.tbl[[#This Row],[Dens]]&lt;=870,vp.tbl[[#This Row],[Sulf]]&gt;0.5,vp.tbl[[#This Row],[Unknown]]=0),1,0)</f>
        <v>0</v>
      </c>
      <c r="AC790">
        <f>IF(AND(vp.tbl[[#This Row],[CrudeType]]="Crude",vp.tbl[[#This Row],[Dens]]&gt;825,vp.tbl[[#This Row],[Dens]]&lt;=900,vp.tbl[[#This Row],[Sulf]]&lt;=0.5,vp.tbl[[#This Row],[Unknown]]=0),1,0)</f>
        <v>0</v>
      </c>
      <c r="AD790">
        <f>IF(AND(vp.tbl[[#This Row],[CrudeType]]="Crude",vp.tbl[[#This Row],[Dens]]&gt;870,vp.tbl[[#This Row],[Dens]]&lt;=900,vp.tbl[[#This Row],[Sulf]]&gt;0.5,vp.tbl[[#This Row],[Unknown]]=0),1,0)</f>
        <v>0</v>
      </c>
      <c r="AE790">
        <f>IF(AND(vp.tbl[[#This Row],[CrudeType]]="Crude",vp.tbl[[#This Row],[Dens]]&gt;900,vp.tbl[[#This Row],[Sulf]]&lt;=0.5,vp.tbl[[#This Row],[Unknown]]=0),1,0)</f>
        <v>0</v>
      </c>
      <c r="AF790">
        <f>IF(AND(vp.tbl[[#This Row],[CrudeType]]="Crude",vp.tbl[[#This Row],[Dens]]&gt;900,vp.tbl[[#This Row],[Sulf]]&lt;=0.5,vp.tbl[[#This Row],[Unknown]]=0),1,0)</f>
        <v>0</v>
      </c>
      <c r="AG790" t="str">
        <f>INDEX(vp.tbl[[#Headers],[Unknown]:[Heavy_SW]],MATCH(1,vp.tbl[[#This Row],[Unknown]:[Heavy_SW]],0))</f>
        <v>Light_SW</v>
      </c>
      <c r="AH790" t="e">
        <f>INDEX([1]!crudeBD.lkup[Number],MATCH(vp.tbl[[#This Row],[Crude_Breakdown]],[1]!crudeBD.lkup[Crude Breakdown],0))</f>
        <v>#REF!</v>
      </c>
      <c r="AI790">
        <f>MONTH(vp.tbl[[#This Row],[SDate]])</f>
        <v>2</v>
      </c>
      <c r="AJ790" s="5">
        <f>IFERROR(vp.tbl[[#This Row],[Sulf]]*vp.tbl[[#This Row],[Net Dens]],"")</f>
        <v>1090336.920138</v>
      </c>
      <c r="AK790" s="5">
        <f>IFERROR(vp.tbl[[#This Row],[Dens]]*vp.tbl[[#This Row],[VolumeM3]],"")</f>
        <v>6648395.8545000004</v>
      </c>
      <c r="AL790" s="5">
        <f>IFERROR(vp.tbl[[#This Row],[VP]]*vp.tbl[[#This Row],[VolumeM3]],"")</f>
        <v>1044211.3263000001</v>
      </c>
      <c r="AM790" s="4">
        <f>IFERROR((vp.tbl[[#This Row],[VP]]-INDEX(crudeBD.lkup.complete[Mean_VP],MATCH(vp.tbl[[#This Row],[Crude_Breakdown]],crudeBD.lkup.complete[Crude Breakdown],0)))^2,"")</f>
        <v>1059.4820854641932</v>
      </c>
      <c r="AN790" s="4">
        <f>IFERROR((vp.tbl[[#This Row],[Dens]]-INDEX(crudeBD.lkup.complete[Mean_Dens],MATCH(vp.tbl[[#This Row],[Crude_Breakdown]],crudeBD.lkup.complete[Crude Breakdown],0)))^2,"")</f>
        <v>139.51149109494563</v>
      </c>
      <c r="AO790" s="4">
        <f>IFERROR((vp.tbl[[#This Row],[Sulf]]-INDEX(crudeBD.lkup.complete[Mean_Sulf],MATCH(vp.tbl[[#This Row],[Crude_Breakdown]],crudeBD.lkup.complete[Crude Breakdown],0)))^2,"")</f>
        <v>5.2188793788925216E-3</v>
      </c>
      <c r="AP790">
        <f>IF(AND(vp.tbl[[#This Row],[SDate]]&gt;=DATE(YEAR(vp.tbl[[#This Row],[SDate]]),5,1),vp.tbl[[#This Row],[SDate]]&lt;=DATE(YEAR(vp.tbl[[#This Row],[SDate]]),9,15)),1,0)</f>
        <v>0</v>
      </c>
      <c r="AQ790" s="15">
        <f>IF(vp.tbl[[#This Row],[SDate]]&lt;DATE(2016,12,1),0,1)</f>
        <v>1</v>
      </c>
    </row>
    <row r="791" spans="1:43" x14ac:dyDescent="0.25">
      <c r="A791">
        <v>790</v>
      </c>
      <c r="B791" t="s">
        <v>49</v>
      </c>
      <c r="C791" t="s">
        <v>49</v>
      </c>
      <c r="D791" t="s">
        <v>80</v>
      </c>
      <c r="F791" s="1">
        <v>42780</v>
      </c>
      <c r="G791" s="2">
        <v>82.8</v>
      </c>
      <c r="H791" s="2">
        <v>0.53300000000000003</v>
      </c>
      <c r="I791" s="2">
        <v>0.53300000000000003</v>
      </c>
      <c r="J791" s="2">
        <v>19.899999999999999</v>
      </c>
      <c r="K791" s="2">
        <v>3</v>
      </c>
      <c r="L791" s="2">
        <v>817</v>
      </c>
      <c r="M791" s="2">
        <v>817</v>
      </c>
      <c r="N791" s="2">
        <f ca="1">INDEX(INDIRECT(_xlfn.CONCAT("weather.tbl[",N$1,"]")),MATCH(vp.tbl[[#This Row],[SDate]],weather.tbl[Date],0))</f>
        <v>-3.8166666666666669</v>
      </c>
      <c r="O791" s="2">
        <f ca="1">INDEX(INDIRECT(_xlfn.CONCAT("weather.tbl[",O$1,"]")),MATCH(vp.tbl[[#This Row],[SDate]],weather.tbl[Date],0))</f>
        <v>-9.0880952380952387</v>
      </c>
      <c r="P791" s="2">
        <f ca="1">INDEX(INDIRECT(_xlfn.CONCAT("weather.tbl[",P$1,"]")),MATCH(vp.tbl[[#This Row],[SDate]],weather.tbl[Date],0))</f>
        <v>-4.4000000000000004</v>
      </c>
      <c r="Q791" s="2">
        <f ca="1">INDEX(INDIRECT(_xlfn.CONCAT("weather.tbl[",Q$1,"]")),MATCH(vp.tbl[[#This Row],[SDate]],weather.tbl[Date],0))</f>
        <v>-4.0999999999999996</v>
      </c>
      <c r="R791" s="2">
        <f ca="1">INDEX(INDIRECT(_xlfn.CONCAT("weather.tbl[",R$1,"]")),MATCH(vp.tbl[[#This Row],[SDate]],weather.tbl[Date],0))</f>
        <v>-4.8</v>
      </c>
      <c r="S791" s="2">
        <f ca="1">INDEX(INDIRECT(_xlfn.CONCAT("weather.tbl[",S$1,"]")),MATCH(vp.tbl[[#This Row],[SDate]],weather.tbl[Date],0))</f>
        <v>-2.2000000000000002</v>
      </c>
      <c r="T791" s="2">
        <f ca="1">INDEX(INDIRECT(_xlfn.CONCAT("weather.tbl[",T$1,"]")),MATCH(vp.tbl[[#This Row],[SDate]],weather.tbl[Date],0))</f>
        <v>-4.0999999999999996</v>
      </c>
      <c r="U791" s="2">
        <f ca="1">INDEX(INDIRECT(_xlfn.CONCAT("weather.tbl[",U$1,"]")),MATCH(vp.tbl[[#This Row],[SDate]],weather.tbl[Date],0))</f>
        <v>-3.3</v>
      </c>
      <c r="V791" s="2">
        <v>16928.633000000002</v>
      </c>
      <c r="W791" t="s">
        <v>48</v>
      </c>
      <c r="X791">
        <f>IF(OR(vp.tbl[[#This Row],[Sulf]]="",vp.tbl[[#This Row],[Dens]]=""),1,0)</f>
        <v>0</v>
      </c>
      <c r="Y791">
        <f>IF(vp.tbl[[#This Row],[CrudeType]]="C5+",1,0)</f>
        <v>0</v>
      </c>
      <c r="Z791">
        <f>IF(AND(vp.tbl[[#This Row],[CrudeType]]="Crude",vp.tbl[[#This Row],[Dens]]&lt;=825,vp.tbl[[#This Row],[Sulf]]&gt;0.5,vp.tbl[[#This Row],[Unknown]]=0),1,0)</f>
        <v>1</v>
      </c>
      <c r="AA791">
        <f>IF(AND(vp.tbl[[#This Row],[CrudeType]]="Crude",vp.tbl[[#This Row],[Dens]]&lt;=825,vp.tbl[[#This Row],[Sulf]]&lt;=0.5,vp.tbl[[#This Row],[Unknown]]=0),1,0)</f>
        <v>0</v>
      </c>
      <c r="AB791">
        <f>IF(AND(vp.tbl[[#This Row],[CrudeType]]="Crude",vp.tbl[[#This Row],[Dens]]&gt;825,vp.tbl[[#This Row],[Dens]]&lt;=870,vp.tbl[[#This Row],[Sulf]]&gt;0.5,vp.tbl[[#This Row],[Unknown]]=0),1,0)</f>
        <v>0</v>
      </c>
      <c r="AC791">
        <f>IF(AND(vp.tbl[[#This Row],[CrudeType]]="Crude",vp.tbl[[#This Row],[Dens]]&gt;825,vp.tbl[[#This Row],[Dens]]&lt;=900,vp.tbl[[#This Row],[Sulf]]&lt;=0.5,vp.tbl[[#This Row],[Unknown]]=0),1,0)</f>
        <v>0</v>
      </c>
      <c r="AD791">
        <f>IF(AND(vp.tbl[[#This Row],[CrudeType]]="Crude",vp.tbl[[#This Row],[Dens]]&gt;870,vp.tbl[[#This Row],[Dens]]&lt;=900,vp.tbl[[#This Row],[Sulf]]&gt;0.5,vp.tbl[[#This Row],[Unknown]]=0),1,0)</f>
        <v>0</v>
      </c>
      <c r="AE791">
        <f>IF(AND(vp.tbl[[#This Row],[CrudeType]]="Crude",vp.tbl[[#This Row],[Dens]]&gt;900,vp.tbl[[#This Row],[Sulf]]&lt;=0.5,vp.tbl[[#This Row],[Unknown]]=0),1,0)</f>
        <v>0</v>
      </c>
      <c r="AF791">
        <f>IF(AND(vp.tbl[[#This Row],[CrudeType]]="Crude",vp.tbl[[#This Row],[Dens]]&gt;900,vp.tbl[[#This Row],[Sulf]]&lt;=0.5,vp.tbl[[#This Row],[Unknown]]=0),1,0)</f>
        <v>0</v>
      </c>
      <c r="AG791" t="str">
        <f>INDEX(vp.tbl[[#Headers],[Unknown]:[Heavy_SW]],MATCH(1,vp.tbl[[#This Row],[Unknown]:[Heavy_SW]],0))</f>
        <v>Light_LSB</v>
      </c>
      <c r="AH791" t="e">
        <f>INDEX([1]!crudeBD.lkup[Number],MATCH(vp.tbl[[#This Row],[Crude_Breakdown]],[1]!crudeBD.lkup[Crude Breakdown],0))</f>
        <v>#REF!</v>
      </c>
      <c r="AI791">
        <f>MONTH(vp.tbl[[#This Row],[SDate]])</f>
        <v>2</v>
      </c>
      <c r="AJ791" s="5">
        <f>IFERROR(vp.tbl[[#This Row],[Sulf]]*vp.tbl[[#This Row],[Net Dens]],"")</f>
        <v>7371759.4548130017</v>
      </c>
      <c r="AK791" s="5">
        <f>IFERROR(vp.tbl[[#This Row],[Dens]]*vp.tbl[[#This Row],[VolumeM3]],"")</f>
        <v>13830693.161000002</v>
      </c>
      <c r="AL791" s="5">
        <f>IFERROR(vp.tbl[[#This Row],[VP]]*vp.tbl[[#This Row],[VolumeM3]],"")</f>
        <v>1401690.8124000002</v>
      </c>
      <c r="AM791" s="4">
        <f>IFERROR((vp.tbl[[#This Row],[VP]]-INDEX(crudeBD.lkup.complete[Mean_VP],MATCH(vp.tbl[[#This Row],[Crude_Breakdown]],crudeBD.lkup.complete[Crude Breakdown],0)))^2,"")</f>
        <v>76.495761972580041</v>
      </c>
      <c r="AN791" s="4">
        <f>IFERROR((vp.tbl[[#This Row],[Dens]]-INDEX(crudeBD.lkup.complete[Mean_Dens],MATCH(vp.tbl[[#This Row],[Crude_Breakdown]],crudeBD.lkup.complete[Crude Breakdown],0)))^2,"")</f>
        <v>2.3005905031815792</v>
      </c>
      <c r="AO791" s="4">
        <f>IFERROR((vp.tbl[[#This Row],[Sulf]]-INDEX(crudeBD.lkup.complete[Mean_Sulf],MATCH(vp.tbl[[#This Row],[Crude_Breakdown]],crudeBD.lkup.complete[Crude Breakdown],0)))^2,"")</f>
        <v>0.152077512171468</v>
      </c>
      <c r="AP791">
        <f>IF(AND(vp.tbl[[#This Row],[SDate]]&gt;=DATE(YEAR(vp.tbl[[#This Row],[SDate]]),5,1),vp.tbl[[#This Row],[SDate]]&lt;=DATE(YEAR(vp.tbl[[#This Row],[SDate]]),9,15)),1,0)</f>
        <v>0</v>
      </c>
      <c r="AQ791" s="15">
        <f>IF(vp.tbl[[#This Row],[SDate]]&lt;DATE(2016,12,1),0,1)</f>
        <v>1</v>
      </c>
    </row>
    <row r="792" spans="1:43" x14ac:dyDescent="0.25">
      <c r="A792">
        <v>791</v>
      </c>
      <c r="B792" t="s">
        <v>49</v>
      </c>
      <c r="C792" t="s">
        <v>49</v>
      </c>
      <c r="D792" t="s">
        <v>100</v>
      </c>
      <c r="F792" s="1">
        <v>42780</v>
      </c>
      <c r="G792" s="2">
        <v>85.4</v>
      </c>
      <c r="H792" s="2">
        <v>0.63700000000000001</v>
      </c>
      <c r="I792" s="2">
        <v>0.63700000000000001</v>
      </c>
      <c r="J792" s="2">
        <v>9.8000000000000007</v>
      </c>
      <c r="K792" s="2">
        <v>3</v>
      </c>
      <c r="L792" s="2">
        <v>818.7</v>
      </c>
      <c r="M792" s="2">
        <v>818.7</v>
      </c>
      <c r="N792" s="2">
        <f ca="1">INDEX(INDIRECT(_xlfn.CONCAT("weather.tbl[",N$1,"]")),MATCH(vp.tbl[[#This Row],[SDate]],weather.tbl[Date],0))</f>
        <v>-3.8166666666666669</v>
      </c>
      <c r="O792" s="2">
        <f ca="1">INDEX(INDIRECT(_xlfn.CONCAT("weather.tbl[",O$1,"]")),MATCH(vp.tbl[[#This Row],[SDate]],weather.tbl[Date],0))</f>
        <v>-9.0880952380952387</v>
      </c>
      <c r="P792" s="2">
        <f ca="1">INDEX(INDIRECT(_xlfn.CONCAT("weather.tbl[",P$1,"]")),MATCH(vp.tbl[[#This Row],[SDate]],weather.tbl[Date],0))</f>
        <v>-4.4000000000000004</v>
      </c>
      <c r="Q792" s="2">
        <f ca="1">INDEX(INDIRECT(_xlfn.CONCAT("weather.tbl[",Q$1,"]")),MATCH(vp.tbl[[#This Row],[SDate]],weather.tbl[Date],0))</f>
        <v>-4.0999999999999996</v>
      </c>
      <c r="R792" s="2">
        <f ca="1">INDEX(INDIRECT(_xlfn.CONCAT("weather.tbl[",R$1,"]")),MATCH(vp.tbl[[#This Row],[SDate]],weather.tbl[Date],0))</f>
        <v>-4.8</v>
      </c>
      <c r="S792" s="2">
        <f ca="1">INDEX(INDIRECT(_xlfn.CONCAT("weather.tbl[",S$1,"]")),MATCH(vp.tbl[[#This Row],[SDate]],weather.tbl[Date],0))</f>
        <v>-2.2000000000000002</v>
      </c>
      <c r="T792" s="2">
        <f ca="1">INDEX(INDIRECT(_xlfn.CONCAT("weather.tbl[",T$1,"]")),MATCH(vp.tbl[[#This Row],[SDate]],weather.tbl[Date],0))</f>
        <v>-4.0999999999999996</v>
      </c>
      <c r="U792" s="2">
        <f ca="1">INDEX(INDIRECT(_xlfn.CONCAT("weather.tbl[",U$1,"]")),MATCH(vp.tbl[[#This Row],[SDate]],weather.tbl[Date],0))</f>
        <v>-3.3</v>
      </c>
      <c r="V792" s="2">
        <v>11683.09</v>
      </c>
      <c r="W792" t="s">
        <v>48</v>
      </c>
      <c r="X792">
        <f>IF(OR(vp.tbl[[#This Row],[Sulf]]="",vp.tbl[[#This Row],[Dens]]=""),1,0)</f>
        <v>0</v>
      </c>
      <c r="Y792">
        <f>IF(vp.tbl[[#This Row],[CrudeType]]="C5+",1,0)</f>
        <v>0</v>
      </c>
      <c r="Z792">
        <f>IF(AND(vp.tbl[[#This Row],[CrudeType]]="Crude",vp.tbl[[#This Row],[Dens]]&lt;=825,vp.tbl[[#This Row],[Sulf]]&gt;0.5,vp.tbl[[#This Row],[Unknown]]=0),1,0)</f>
        <v>1</v>
      </c>
      <c r="AA792">
        <f>IF(AND(vp.tbl[[#This Row],[CrudeType]]="Crude",vp.tbl[[#This Row],[Dens]]&lt;=825,vp.tbl[[#This Row],[Sulf]]&lt;=0.5,vp.tbl[[#This Row],[Unknown]]=0),1,0)</f>
        <v>0</v>
      </c>
      <c r="AB792">
        <f>IF(AND(vp.tbl[[#This Row],[CrudeType]]="Crude",vp.tbl[[#This Row],[Dens]]&gt;825,vp.tbl[[#This Row],[Dens]]&lt;=870,vp.tbl[[#This Row],[Sulf]]&gt;0.5,vp.tbl[[#This Row],[Unknown]]=0),1,0)</f>
        <v>0</v>
      </c>
      <c r="AC792">
        <f>IF(AND(vp.tbl[[#This Row],[CrudeType]]="Crude",vp.tbl[[#This Row],[Dens]]&gt;825,vp.tbl[[#This Row],[Dens]]&lt;=900,vp.tbl[[#This Row],[Sulf]]&lt;=0.5,vp.tbl[[#This Row],[Unknown]]=0),1,0)</f>
        <v>0</v>
      </c>
      <c r="AD792">
        <f>IF(AND(vp.tbl[[#This Row],[CrudeType]]="Crude",vp.tbl[[#This Row],[Dens]]&gt;870,vp.tbl[[#This Row],[Dens]]&lt;=900,vp.tbl[[#This Row],[Sulf]]&gt;0.5,vp.tbl[[#This Row],[Unknown]]=0),1,0)</f>
        <v>0</v>
      </c>
      <c r="AE792">
        <f>IF(AND(vp.tbl[[#This Row],[CrudeType]]="Crude",vp.tbl[[#This Row],[Dens]]&gt;900,vp.tbl[[#This Row],[Sulf]]&lt;=0.5,vp.tbl[[#This Row],[Unknown]]=0),1,0)</f>
        <v>0</v>
      </c>
      <c r="AF792">
        <f>IF(AND(vp.tbl[[#This Row],[CrudeType]]="Crude",vp.tbl[[#This Row],[Dens]]&gt;900,vp.tbl[[#This Row],[Sulf]]&lt;=0.5,vp.tbl[[#This Row],[Unknown]]=0),1,0)</f>
        <v>0</v>
      </c>
      <c r="AG792" t="str">
        <f>INDEX(vp.tbl[[#Headers],[Unknown]:[Heavy_SW]],MATCH(1,vp.tbl[[#This Row],[Unknown]:[Heavy_SW]],0))</f>
        <v>Light_LSB</v>
      </c>
      <c r="AH792" t="e">
        <f>INDEX([1]!crudeBD.lkup[Number],MATCH(vp.tbl[[#This Row],[Crude_Breakdown]],[1]!crudeBD.lkup[Crude Breakdown],0))</f>
        <v>#REF!</v>
      </c>
      <c r="AI792">
        <f>MONTH(vp.tbl[[#This Row],[SDate]])</f>
        <v>2</v>
      </c>
      <c r="AJ792" s="5">
        <f>IFERROR(vp.tbl[[#This Row],[Sulf]]*vp.tbl[[#This Row],[Net Dens]],"")</f>
        <v>6092870.4637709996</v>
      </c>
      <c r="AK792" s="5">
        <f>IFERROR(vp.tbl[[#This Row],[Dens]]*vp.tbl[[#This Row],[VolumeM3]],"")</f>
        <v>9564945.7829999998</v>
      </c>
      <c r="AL792" s="5">
        <f>IFERROR(vp.tbl[[#This Row],[VP]]*vp.tbl[[#This Row],[VolumeM3]],"")</f>
        <v>997735.88600000006</v>
      </c>
      <c r="AM792" s="4">
        <f>IFERROR((vp.tbl[[#This Row],[VP]]-INDEX(crudeBD.lkup.complete[Mean_VP],MATCH(vp.tbl[[#This Row],[Crude_Breakdown]],crudeBD.lkup.complete[Crude Breakdown],0)))^2,"")</f>
        <v>37.775597024126149</v>
      </c>
      <c r="AN792" s="4">
        <f>IFERROR((vp.tbl[[#This Row],[Dens]]-INDEX(crudeBD.lkup.complete[Mean_Dens],MATCH(vp.tbl[[#This Row],[Crude_Breakdown]],crudeBD.lkup.complete[Crude Breakdown],0)))^2,"")</f>
        <v>3.3573321052079677E-2</v>
      </c>
      <c r="AO792" s="4">
        <f>IFERROR((vp.tbl[[#This Row],[Sulf]]-INDEX(crudeBD.lkup.complete[Mean_Sulf],MATCH(vp.tbl[[#This Row],[Crude_Breakdown]],crudeBD.lkup.complete[Crude Breakdown],0)))^2,"")</f>
        <v>8.1779509147413082E-2</v>
      </c>
      <c r="AP792">
        <f>IF(AND(vp.tbl[[#This Row],[SDate]]&gt;=DATE(YEAR(vp.tbl[[#This Row],[SDate]]),5,1),vp.tbl[[#This Row],[SDate]]&lt;=DATE(YEAR(vp.tbl[[#This Row],[SDate]]),9,15)),1,0)</f>
        <v>0</v>
      </c>
      <c r="AQ792" s="15">
        <f>IF(vp.tbl[[#This Row],[SDate]]&lt;DATE(2016,12,1),0,1)</f>
        <v>1</v>
      </c>
    </row>
    <row r="793" spans="1:43" x14ac:dyDescent="0.25">
      <c r="A793">
        <v>792</v>
      </c>
      <c r="B793" t="s">
        <v>49</v>
      </c>
      <c r="C793" t="s">
        <v>49</v>
      </c>
      <c r="D793" t="s">
        <v>89</v>
      </c>
      <c r="F793" s="1">
        <v>42780</v>
      </c>
      <c r="G793" s="2">
        <v>97.9</v>
      </c>
      <c r="H793" s="2">
        <v>0.78400000000000003</v>
      </c>
      <c r="I793" s="2">
        <v>0.78400000000000003</v>
      </c>
      <c r="J793" s="2">
        <v>4.5</v>
      </c>
      <c r="K793" s="2">
        <v>3</v>
      </c>
      <c r="L793" s="2">
        <v>820.4</v>
      </c>
      <c r="M793" s="2">
        <v>820.4</v>
      </c>
      <c r="N793" s="2">
        <f ca="1">INDEX(INDIRECT(_xlfn.CONCAT("weather.tbl[",N$1,"]")),MATCH(vp.tbl[[#This Row],[SDate]],weather.tbl[Date],0))</f>
        <v>-3.8166666666666669</v>
      </c>
      <c r="O793" s="2">
        <f ca="1">INDEX(INDIRECT(_xlfn.CONCAT("weather.tbl[",O$1,"]")),MATCH(vp.tbl[[#This Row],[SDate]],weather.tbl[Date],0))</f>
        <v>-9.0880952380952387</v>
      </c>
      <c r="P793" s="2">
        <f ca="1">INDEX(INDIRECT(_xlfn.CONCAT("weather.tbl[",P$1,"]")),MATCH(vp.tbl[[#This Row],[SDate]],weather.tbl[Date],0))</f>
        <v>-4.4000000000000004</v>
      </c>
      <c r="Q793" s="2">
        <f ca="1">INDEX(INDIRECT(_xlfn.CONCAT("weather.tbl[",Q$1,"]")),MATCH(vp.tbl[[#This Row],[SDate]],weather.tbl[Date],0))</f>
        <v>-4.0999999999999996</v>
      </c>
      <c r="R793" s="2">
        <f ca="1">INDEX(INDIRECT(_xlfn.CONCAT("weather.tbl[",R$1,"]")),MATCH(vp.tbl[[#This Row],[SDate]],weather.tbl[Date],0))</f>
        <v>-4.8</v>
      </c>
      <c r="S793" s="2">
        <f ca="1">INDEX(INDIRECT(_xlfn.CONCAT("weather.tbl[",S$1,"]")),MATCH(vp.tbl[[#This Row],[SDate]],weather.tbl[Date],0))</f>
        <v>-2.2000000000000002</v>
      </c>
      <c r="T793" s="2">
        <f ca="1">INDEX(INDIRECT(_xlfn.CONCAT("weather.tbl[",T$1,"]")),MATCH(vp.tbl[[#This Row],[SDate]],weather.tbl[Date],0))</f>
        <v>-4.0999999999999996</v>
      </c>
      <c r="U793" s="2">
        <f ca="1">INDEX(INDIRECT(_xlfn.CONCAT("weather.tbl[",U$1,"]")),MATCH(vp.tbl[[#This Row],[SDate]],weather.tbl[Date],0))</f>
        <v>-3.3</v>
      </c>
      <c r="V793" s="2">
        <v>5063.2240000000002</v>
      </c>
      <c r="W793" t="s">
        <v>48</v>
      </c>
      <c r="X793">
        <f>IF(OR(vp.tbl[[#This Row],[Sulf]]="",vp.tbl[[#This Row],[Dens]]=""),1,0)</f>
        <v>0</v>
      </c>
      <c r="Y793">
        <f>IF(vp.tbl[[#This Row],[CrudeType]]="C5+",1,0)</f>
        <v>0</v>
      </c>
      <c r="Z793">
        <f>IF(AND(vp.tbl[[#This Row],[CrudeType]]="Crude",vp.tbl[[#This Row],[Dens]]&lt;=825,vp.tbl[[#This Row],[Sulf]]&gt;0.5,vp.tbl[[#This Row],[Unknown]]=0),1,0)</f>
        <v>1</v>
      </c>
      <c r="AA793">
        <f>IF(AND(vp.tbl[[#This Row],[CrudeType]]="Crude",vp.tbl[[#This Row],[Dens]]&lt;=825,vp.tbl[[#This Row],[Sulf]]&lt;=0.5,vp.tbl[[#This Row],[Unknown]]=0),1,0)</f>
        <v>0</v>
      </c>
      <c r="AB793">
        <f>IF(AND(vp.tbl[[#This Row],[CrudeType]]="Crude",vp.tbl[[#This Row],[Dens]]&gt;825,vp.tbl[[#This Row],[Dens]]&lt;=870,vp.tbl[[#This Row],[Sulf]]&gt;0.5,vp.tbl[[#This Row],[Unknown]]=0),1,0)</f>
        <v>0</v>
      </c>
      <c r="AC793">
        <f>IF(AND(vp.tbl[[#This Row],[CrudeType]]="Crude",vp.tbl[[#This Row],[Dens]]&gt;825,vp.tbl[[#This Row],[Dens]]&lt;=900,vp.tbl[[#This Row],[Sulf]]&lt;=0.5,vp.tbl[[#This Row],[Unknown]]=0),1,0)</f>
        <v>0</v>
      </c>
      <c r="AD793">
        <f>IF(AND(vp.tbl[[#This Row],[CrudeType]]="Crude",vp.tbl[[#This Row],[Dens]]&gt;870,vp.tbl[[#This Row],[Dens]]&lt;=900,vp.tbl[[#This Row],[Sulf]]&gt;0.5,vp.tbl[[#This Row],[Unknown]]=0),1,0)</f>
        <v>0</v>
      </c>
      <c r="AE793">
        <f>IF(AND(vp.tbl[[#This Row],[CrudeType]]="Crude",vp.tbl[[#This Row],[Dens]]&gt;900,vp.tbl[[#This Row],[Sulf]]&lt;=0.5,vp.tbl[[#This Row],[Unknown]]=0),1,0)</f>
        <v>0</v>
      </c>
      <c r="AF793">
        <f>IF(AND(vp.tbl[[#This Row],[CrudeType]]="Crude",vp.tbl[[#This Row],[Dens]]&gt;900,vp.tbl[[#This Row],[Sulf]]&lt;=0.5,vp.tbl[[#This Row],[Unknown]]=0),1,0)</f>
        <v>0</v>
      </c>
      <c r="AG793" t="str">
        <f>INDEX(vp.tbl[[#Headers],[Unknown]:[Heavy_SW]],MATCH(1,vp.tbl[[#This Row],[Unknown]:[Heavy_SW]],0))</f>
        <v>Light_LSB</v>
      </c>
      <c r="AH793" t="e">
        <f>INDEX([1]!crudeBD.lkup[Number],MATCH(vp.tbl[[#This Row],[Crude_Breakdown]],[1]!crudeBD.lkup[Crude Breakdown],0))</f>
        <v>#REF!</v>
      </c>
      <c r="AI793">
        <f>MONTH(vp.tbl[[#This Row],[SDate]])</f>
        <v>2</v>
      </c>
      <c r="AJ793" s="5">
        <f>IFERROR(vp.tbl[[#This Row],[Sulf]]*vp.tbl[[#This Row],[Net Dens]],"")</f>
        <v>3256633.2721664002</v>
      </c>
      <c r="AK793" s="5">
        <f>IFERROR(vp.tbl[[#This Row],[Dens]]*vp.tbl[[#This Row],[VolumeM3]],"")</f>
        <v>4153868.9696</v>
      </c>
      <c r="AL793" s="5">
        <f>IFERROR(vp.tbl[[#This Row],[VP]]*vp.tbl[[#This Row],[VolumeM3]],"")</f>
        <v>495689.62960000004</v>
      </c>
      <c r="AM793" s="4">
        <f>IFERROR((vp.tbl[[#This Row],[VP]]-INDEX(crudeBD.lkup.complete[Mean_VP],MATCH(vp.tbl[[#This Row],[Crude_Breakdown]],crudeBD.lkup.complete[Crude Breakdown],0)))^2,"")</f>
        <v>40.370957848867782</v>
      </c>
      <c r="AN793" s="4">
        <f>IFERROR((vp.tbl[[#This Row],[Dens]]-INDEX(crudeBD.lkup.complete[Mean_Dens],MATCH(vp.tbl[[#This Row],[Crude_Breakdown]],crudeBD.lkup.complete[Crude Breakdown],0)))^2,"")</f>
        <v>3.5465561389224614</v>
      </c>
      <c r="AO793" s="4">
        <f>IFERROR((vp.tbl[[#This Row],[Sulf]]-INDEX(crudeBD.lkup.complete[Mean_Sulf],MATCH(vp.tbl[[#This Row],[Crude_Breakdown]],crudeBD.lkup.complete[Crude Breakdown],0)))^2,"")</f>
        <v>1.9312985642258515E-2</v>
      </c>
      <c r="AP793">
        <f>IF(AND(vp.tbl[[#This Row],[SDate]]&gt;=DATE(YEAR(vp.tbl[[#This Row],[SDate]]),5,1),vp.tbl[[#This Row],[SDate]]&lt;=DATE(YEAR(vp.tbl[[#This Row],[SDate]]),9,15)),1,0)</f>
        <v>0</v>
      </c>
      <c r="AQ793" s="15">
        <f>IF(vp.tbl[[#This Row],[SDate]]&lt;DATE(2016,12,1),0,1)</f>
        <v>1</v>
      </c>
    </row>
    <row r="794" spans="1:43" x14ac:dyDescent="0.25">
      <c r="A794">
        <v>793</v>
      </c>
      <c r="B794" t="s">
        <v>49</v>
      </c>
      <c r="C794" t="s">
        <v>49</v>
      </c>
      <c r="D794" t="s">
        <v>67</v>
      </c>
      <c r="F794" s="1">
        <v>42780</v>
      </c>
      <c r="G794" s="2">
        <v>96.5</v>
      </c>
      <c r="H794" s="2">
        <v>0.86499999999999999</v>
      </c>
      <c r="I794" s="2">
        <v>0.86499999999999999</v>
      </c>
      <c r="J794" s="2">
        <v>7.4</v>
      </c>
      <c r="K794" s="2">
        <v>3</v>
      </c>
      <c r="L794" s="2">
        <v>830.7</v>
      </c>
      <c r="M794" s="2">
        <v>830.7</v>
      </c>
      <c r="N794" s="2">
        <f ca="1">INDEX(INDIRECT(_xlfn.CONCAT("weather.tbl[",N$1,"]")),MATCH(vp.tbl[[#This Row],[SDate]],weather.tbl[Date],0))</f>
        <v>-3.8166666666666669</v>
      </c>
      <c r="O794" s="2">
        <f ca="1">INDEX(INDIRECT(_xlfn.CONCAT("weather.tbl[",O$1,"]")),MATCH(vp.tbl[[#This Row],[SDate]],weather.tbl[Date],0))</f>
        <v>-9.0880952380952387</v>
      </c>
      <c r="P794" s="2">
        <f ca="1">INDEX(INDIRECT(_xlfn.CONCAT("weather.tbl[",P$1,"]")),MATCH(vp.tbl[[#This Row],[SDate]],weather.tbl[Date],0))</f>
        <v>-4.4000000000000004</v>
      </c>
      <c r="Q794" s="2">
        <f ca="1">INDEX(INDIRECT(_xlfn.CONCAT("weather.tbl[",Q$1,"]")),MATCH(vp.tbl[[#This Row],[SDate]],weather.tbl[Date],0))</f>
        <v>-4.0999999999999996</v>
      </c>
      <c r="R794" s="2">
        <f ca="1">INDEX(INDIRECT(_xlfn.CONCAT("weather.tbl[",R$1,"]")),MATCH(vp.tbl[[#This Row],[SDate]],weather.tbl[Date],0))</f>
        <v>-4.8</v>
      </c>
      <c r="S794" s="2">
        <f ca="1">INDEX(INDIRECT(_xlfn.CONCAT("weather.tbl[",S$1,"]")),MATCH(vp.tbl[[#This Row],[SDate]],weather.tbl[Date],0))</f>
        <v>-2.2000000000000002</v>
      </c>
      <c r="T794" s="2">
        <f ca="1">INDEX(INDIRECT(_xlfn.CONCAT("weather.tbl[",T$1,"]")),MATCH(vp.tbl[[#This Row],[SDate]],weather.tbl[Date],0))</f>
        <v>-4.0999999999999996</v>
      </c>
      <c r="U794" s="2">
        <f ca="1">INDEX(INDIRECT(_xlfn.CONCAT("weather.tbl[",U$1,"]")),MATCH(vp.tbl[[#This Row],[SDate]],weather.tbl[Date],0))</f>
        <v>-3.3</v>
      </c>
      <c r="V794" s="2">
        <v>124428.834</v>
      </c>
      <c r="W794" t="s">
        <v>48</v>
      </c>
      <c r="X794">
        <f>IF(OR(vp.tbl[[#This Row],[Sulf]]="",vp.tbl[[#This Row],[Dens]]=""),1,0)</f>
        <v>0</v>
      </c>
      <c r="Y794">
        <f>IF(vp.tbl[[#This Row],[CrudeType]]="C5+",1,0)</f>
        <v>0</v>
      </c>
      <c r="Z794">
        <f>IF(AND(vp.tbl[[#This Row],[CrudeType]]="Crude",vp.tbl[[#This Row],[Dens]]&lt;=825,vp.tbl[[#This Row],[Sulf]]&gt;0.5,vp.tbl[[#This Row],[Unknown]]=0),1,0)</f>
        <v>0</v>
      </c>
      <c r="AA794">
        <f>IF(AND(vp.tbl[[#This Row],[CrudeType]]="Crude",vp.tbl[[#This Row],[Dens]]&lt;=825,vp.tbl[[#This Row],[Sulf]]&lt;=0.5,vp.tbl[[#This Row],[Unknown]]=0),1,0)</f>
        <v>0</v>
      </c>
      <c r="AB794">
        <f>IF(AND(vp.tbl[[#This Row],[CrudeType]]="Crude",vp.tbl[[#This Row],[Dens]]&gt;825,vp.tbl[[#This Row],[Dens]]&lt;=870,vp.tbl[[#This Row],[Sulf]]&gt;0.5,vp.tbl[[#This Row],[Unknown]]=0),1,0)</f>
        <v>1</v>
      </c>
      <c r="AC794">
        <f>IF(AND(vp.tbl[[#This Row],[CrudeType]]="Crude",vp.tbl[[#This Row],[Dens]]&gt;825,vp.tbl[[#This Row],[Dens]]&lt;=900,vp.tbl[[#This Row],[Sulf]]&lt;=0.5,vp.tbl[[#This Row],[Unknown]]=0),1,0)</f>
        <v>0</v>
      </c>
      <c r="AD794">
        <f>IF(AND(vp.tbl[[#This Row],[CrudeType]]="Crude",vp.tbl[[#This Row],[Dens]]&gt;870,vp.tbl[[#This Row],[Dens]]&lt;=900,vp.tbl[[#This Row],[Sulf]]&gt;0.5,vp.tbl[[#This Row],[Unknown]]=0),1,0)</f>
        <v>0</v>
      </c>
      <c r="AE794">
        <f>IF(AND(vp.tbl[[#This Row],[CrudeType]]="Crude",vp.tbl[[#This Row],[Dens]]&gt;900,vp.tbl[[#This Row],[Sulf]]&lt;=0.5,vp.tbl[[#This Row],[Unknown]]=0),1,0)</f>
        <v>0</v>
      </c>
      <c r="AF794">
        <f>IF(AND(vp.tbl[[#This Row],[CrudeType]]="Crude",vp.tbl[[#This Row],[Dens]]&gt;900,vp.tbl[[#This Row],[Sulf]]&lt;=0.5,vp.tbl[[#This Row],[Unknown]]=0),1,0)</f>
        <v>0</v>
      </c>
      <c r="AG794" t="str">
        <f>INDEX(vp.tbl[[#Headers],[Unknown]:[Heavy_SW]],MATCH(1,vp.tbl[[#This Row],[Unknown]:[Heavy_SW]],0))</f>
        <v>Medium_LSB</v>
      </c>
      <c r="AH794" t="e">
        <f>INDEX([1]!crudeBD.lkup[Number],MATCH(vp.tbl[[#This Row],[Crude_Breakdown]],[1]!crudeBD.lkup[Crude Breakdown],0))</f>
        <v>#REF!</v>
      </c>
      <c r="AI794">
        <f>MONTH(vp.tbl[[#This Row],[SDate]])</f>
        <v>2</v>
      </c>
      <c r="AJ794" s="5">
        <f>IFERROR(vp.tbl[[#This Row],[Sulf]]*vp.tbl[[#This Row],[Net Dens]],"")</f>
        <v>89409023.02928701</v>
      </c>
      <c r="AK794" s="5">
        <f>IFERROR(vp.tbl[[#This Row],[Dens]]*vp.tbl[[#This Row],[VolumeM3]],"")</f>
        <v>103363032.40380001</v>
      </c>
      <c r="AL794" s="5">
        <f>IFERROR(vp.tbl[[#This Row],[VP]]*vp.tbl[[#This Row],[VolumeM3]],"")</f>
        <v>12007382.481000001</v>
      </c>
      <c r="AM794" s="4">
        <f>IFERROR((vp.tbl[[#This Row],[VP]]-INDEX(crudeBD.lkup.complete[Mean_VP],MATCH(vp.tbl[[#This Row],[Crude_Breakdown]],crudeBD.lkup.complete[Crude Breakdown],0)))^2,"")</f>
        <v>266.55150229065976</v>
      </c>
      <c r="AN794" s="4">
        <f>IFERROR((vp.tbl[[#This Row],[Dens]]-INDEX(crudeBD.lkup.complete[Mean_Dens],MATCH(vp.tbl[[#This Row],[Crude_Breakdown]],crudeBD.lkup.complete[Crude Breakdown],0)))^2,"")</f>
        <v>212.92129218327389</v>
      </c>
      <c r="AO794" s="4">
        <f>IFERROR((vp.tbl[[#This Row],[Sulf]]-INDEX(crudeBD.lkup.complete[Mean_Sulf],MATCH(vp.tbl[[#This Row],[Crude_Breakdown]],crudeBD.lkup.complete[Crude Breakdown],0)))^2,"")</f>
        <v>0.34801724061571737</v>
      </c>
      <c r="AP794">
        <f>IF(AND(vp.tbl[[#This Row],[SDate]]&gt;=DATE(YEAR(vp.tbl[[#This Row],[SDate]]),5,1),vp.tbl[[#This Row],[SDate]]&lt;=DATE(YEAR(vp.tbl[[#This Row],[SDate]]),9,15)),1,0)</f>
        <v>0</v>
      </c>
      <c r="AQ794" s="15">
        <f>IF(vp.tbl[[#This Row],[SDate]]&lt;DATE(2016,12,1),0,1)</f>
        <v>1</v>
      </c>
    </row>
    <row r="795" spans="1:43" x14ac:dyDescent="0.25">
      <c r="A795">
        <v>794</v>
      </c>
      <c r="B795" t="s">
        <v>49</v>
      </c>
      <c r="C795" t="s">
        <v>49</v>
      </c>
      <c r="D795" t="s">
        <v>90</v>
      </c>
      <c r="F795" s="1">
        <v>42780</v>
      </c>
      <c r="G795" s="2">
        <v>79.400000000000006</v>
      </c>
      <c r="H795" s="2">
        <v>1.2270000000000001</v>
      </c>
      <c r="I795" s="2">
        <v>1.2270000000000001</v>
      </c>
      <c r="J795" s="2">
        <v>29</v>
      </c>
      <c r="K795" s="2">
        <v>3</v>
      </c>
      <c r="L795" s="2">
        <v>842.6</v>
      </c>
      <c r="M795" s="2">
        <v>842.6</v>
      </c>
      <c r="N795" s="2">
        <f ca="1">INDEX(INDIRECT(_xlfn.CONCAT("weather.tbl[",N$1,"]")),MATCH(vp.tbl[[#This Row],[SDate]],weather.tbl[Date],0))</f>
        <v>-3.8166666666666669</v>
      </c>
      <c r="O795" s="2">
        <f ca="1">INDEX(INDIRECT(_xlfn.CONCAT("weather.tbl[",O$1,"]")),MATCH(vp.tbl[[#This Row],[SDate]],weather.tbl[Date],0))</f>
        <v>-9.0880952380952387</v>
      </c>
      <c r="P795" s="2">
        <f ca="1">INDEX(INDIRECT(_xlfn.CONCAT("weather.tbl[",P$1,"]")),MATCH(vp.tbl[[#This Row],[SDate]],weather.tbl[Date],0))</f>
        <v>-4.4000000000000004</v>
      </c>
      <c r="Q795" s="2">
        <f ca="1">INDEX(INDIRECT(_xlfn.CONCAT("weather.tbl[",Q$1,"]")),MATCH(vp.tbl[[#This Row],[SDate]],weather.tbl[Date],0))</f>
        <v>-4.0999999999999996</v>
      </c>
      <c r="R795" s="2">
        <f ca="1">INDEX(INDIRECT(_xlfn.CONCAT("weather.tbl[",R$1,"]")),MATCH(vp.tbl[[#This Row],[SDate]],weather.tbl[Date],0))</f>
        <v>-4.8</v>
      </c>
      <c r="S795" s="2">
        <f ca="1">INDEX(INDIRECT(_xlfn.CONCAT("weather.tbl[",S$1,"]")),MATCH(vp.tbl[[#This Row],[SDate]],weather.tbl[Date],0))</f>
        <v>-2.2000000000000002</v>
      </c>
      <c r="T795" s="2">
        <f ca="1">INDEX(INDIRECT(_xlfn.CONCAT("weather.tbl[",T$1,"]")),MATCH(vp.tbl[[#This Row],[SDate]],weather.tbl[Date],0))</f>
        <v>-4.0999999999999996</v>
      </c>
      <c r="U795" s="2">
        <f ca="1">INDEX(INDIRECT(_xlfn.CONCAT("weather.tbl[",U$1,"]")),MATCH(vp.tbl[[#This Row],[SDate]],weather.tbl[Date],0))</f>
        <v>-3.3</v>
      </c>
      <c r="V795" s="2">
        <v>4432.7370000000001</v>
      </c>
      <c r="W795" t="s">
        <v>48</v>
      </c>
      <c r="X795">
        <f>IF(OR(vp.tbl[[#This Row],[Sulf]]="",vp.tbl[[#This Row],[Dens]]=""),1,0)</f>
        <v>0</v>
      </c>
      <c r="Y795">
        <f>IF(vp.tbl[[#This Row],[CrudeType]]="C5+",1,0)</f>
        <v>0</v>
      </c>
      <c r="Z795">
        <f>IF(AND(vp.tbl[[#This Row],[CrudeType]]="Crude",vp.tbl[[#This Row],[Dens]]&lt;=825,vp.tbl[[#This Row],[Sulf]]&gt;0.5,vp.tbl[[#This Row],[Unknown]]=0),1,0)</f>
        <v>0</v>
      </c>
      <c r="AA795">
        <f>IF(AND(vp.tbl[[#This Row],[CrudeType]]="Crude",vp.tbl[[#This Row],[Dens]]&lt;=825,vp.tbl[[#This Row],[Sulf]]&lt;=0.5,vp.tbl[[#This Row],[Unknown]]=0),1,0)</f>
        <v>0</v>
      </c>
      <c r="AB795">
        <f>IF(AND(vp.tbl[[#This Row],[CrudeType]]="Crude",vp.tbl[[#This Row],[Dens]]&gt;825,vp.tbl[[#This Row],[Dens]]&lt;=870,vp.tbl[[#This Row],[Sulf]]&gt;0.5,vp.tbl[[#This Row],[Unknown]]=0),1,0)</f>
        <v>1</v>
      </c>
      <c r="AC795">
        <f>IF(AND(vp.tbl[[#This Row],[CrudeType]]="Crude",vp.tbl[[#This Row],[Dens]]&gt;825,vp.tbl[[#This Row],[Dens]]&lt;=900,vp.tbl[[#This Row],[Sulf]]&lt;=0.5,vp.tbl[[#This Row],[Unknown]]=0),1,0)</f>
        <v>0</v>
      </c>
      <c r="AD795">
        <f>IF(AND(vp.tbl[[#This Row],[CrudeType]]="Crude",vp.tbl[[#This Row],[Dens]]&gt;870,vp.tbl[[#This Row],[Dens]]&lt;=900,vp.tbl[[#This Row],[Sulf]]&gt;0.5,vp.tbl[[#This Row],[Unknown]]=0),1,0)</f>
        <v>0</v>
      </c>
      <c r="AE795">
        <f>IF(AND(vp.tbl[[#This Row],[CrudeType]]="Crude",vp.tbl[[#This Row],[Dens]]&gt;900,vp.tbl[[#This Row],[Sulf]]&lt;=0.5,vp.tbl[[#This Row],[Unknown]]=0),1,0)</f>
        <v>0</v>
      </c>
      <c r="AF795">
        <f>IF(AND(vp.tbl[[#This Row],[CrudeType]]="Crude",vp.tbl[[#This Row],[Dens]]&gt;900,vp.tbl[[#This Row],[Sulf]]&lt;=0.5,vp.tbl[[#This Row],[Unknown]]=0),1,0)</f>
        <v>0</v>
      </c>
      <c r="AG795" t="str">
        <f>INDEX(vp.tbl[[#Headers],[Unknown]:[Heavy_SW]],MATCH(1,vp.tbl[[#This Row],[Unknown]:[Heavy_SW]],0))</f>
        <v>Medium_LSB</v>
      </c>
      <c r="AH795" t="e">
        <f>INDEX([1]!crudeBD.lkup[Number],MATCH(vp.tbl[[#This Row],[Crude_Breakdown]],[1]!crudeBD.lkup[Crude Breakdown],0))</f>
        <v>#REF!</v>
      </c>
      <c r="AI795">
        <f>MONTH(vp.tbl[[#This Row],[SDate]])</f>
        <v>2</v>
      </c>
      <c r="AJ795" s="5">
        <f>IFERROR(vp.tbl[[#This Row],[Sulf]]*vp.tbl[[#This Row],[Net Dens]],"")</f>
        <v>4582874.6887374008</v>
      </c>
      <c r="AK795" s="5">
        <f>IFERROR(vp.tbl[[#This Row],[Dens]]*vp.tbl[[#This Row],[VolumeM3]],"")</f>
        <v>3735024.1962000001</v>
      </c>
      <c r="AL795" s="5">
        <f>IFERROR(vp.tbl[[#This Row],[VP]]*vp.tbl[[#This Row],[VolumeM3]],"")</f>
        <v>351959.31780000002</v>
      </c>
      <c r="AM795" s="4">
        <f>IFERROR((vp.tbl[[#This Row],[VP]]-INDEX(crudeBD.lkup.complete[Mean_VP],MATCH(vp.tbl[[#This Row],[Crude_Breakdown]],crudeBD.lkup.complete[Crude Breakdown],0)))^2,"")</f>
        <v>0.59844912610152046</v>
      </c>
      <c r="AN795" s="4">
        <f>IFERROR((vp.tbl[[#This Row],[Dens]]-INDEX(crudeBD.lkup.complete[Mean_Dens],MATCH(vp.tbl[[#This Row],[Crude_Breakdown]],crudeBD.lkup.complete[Crude Breakdown],0)))^2,"")</f>
        <v>7.2459099048175215</v>
      </c>
      <c r="AO795" s="4">
        <f>IFERROR((vp.tbl[[#This Row],[Sulf]]-INDEX(crudeBD.lkup.complete[Mean_Sulf],MATCH(vp.tbl[[#This Row],[Crude_Breakdown]],crudeBD.lkup.complete[Crude Breakdown],0)))^2,"")</f>
        <v>5.1952021425842806E-2</v>
      </c>
      <c r="AP795">
        <f>IF(AND(vp.tbl[[#This Row],[SDate]]&gt;=DATE(YEAR(vp.tbl[[#This Row],[SDate]]),5,1),vp.tbl[[#This Row],[SDate]]&lt;=DATE(YEAR(vp.tbl[[#This Row],[SDate]]),9,15)),1,0)</f>
        <v>0</v>
      </c>
      <c r="AQ795" s="15">
        <f>IF(vp.tbl[[#This Row],[SDate]]&lt;DATE(2016,12,1),0,1)</f>
        <v>1</v>
      </c>
    </row>
    <row r="796" spans="1:43" x14ac:dyDescent="0.25">
      <c r="A796">
        <v>795</v>
      </c>
      <c r="B796" t="s">
        <v>62</v>
      </c>
      <c r="C796" t="s">
        <v>62</v>
      </c>
      <c r="D796" t="s">
        <v>79</v>
      </c>
      <c r="F796" s="1">
        <v>42780</v>
      </c>
      <c r="G796" s="2">
        <v>90.1</v>
      </c>
      <c r="H796" s="2"/>
      <c r="I796" s="2">
        <v>0.33</v>
      </c>
      <c r="J796" s="2">
        <v>23</v>
      </c>
      <c r="K796" s="2">
        <v>3</v>
      </c>
      <c r="L796" s="2">
        <v>810.5</v>
      </c>
      <c r="M796" s="2">
        <v>810.5</v>
      </c>
      <c r="N796" s="2">
        <f ca="1">INDEX(INDIRECT(_xlfn.CONCAT("weather.tbl[",N$1,"]")),MATCH(vp.tbl[[#This Row],[SDate]],weather.tbl[Date],0))</f>
        <v>-3.8166666666666669</v>
      </c>
      <c r="O796" s="2">
        <f ca="1">INDEX(INDIRECT(_xlfn.CONCAT("weather.tbl[",O$1,"]")),MATCH(vp.tbl[[#This Row],[SDate]],weather.tbl[Date],0))</f>
        <v>-9.0880952380952387</v>
      </c>
      <c r="P796" s="2">
        <f ca="1">INDEX(INDIRECT(_xlfn.CONCAT("weather.tbl[",P$1,"]")),MATCH(vp.tbl[[#This Row],[SDate]],weather.tbl[Date],0))</f>
        <v>-4.4000000000000004</v>
      </c>
      <c r="Q796" s="2">
        <f ca="1">INDEX(INDIRECT(_xlfn.CONCAT("weather.tbl[",Q$1,"]")),MATCH(vp.tbl[[#This Row],[SDate]],weather.tbl[Date],0))</f>
        <v>-4.0999999999999996</v>
      </c>
      <c r="R796" s="2">
        <f ca="1">INDEX(INDIRECT(_xlfn.CONCAT("weather.tbl[",R$1,"]")),MATCH(vp.tbl[[#This Row],[SDate]],weather.tbl[Date],0))</f>
        <v>-4.8</v>
      </c>
      <c r="S796" s="2">
        <f ca="1">INDEX(INDIRECT(_xlfn.CONCAT("weather.tbl[",S$1,"]")),MATCH(vp.tbl[[#This Row],[SDate]],weather.tbl[Date],0))</f>
        <v>-2.2000000000000002</v>
      </c>
      <c r="T796" s="2">
        <f ca="1">INDEX(INDIRECT(_xlfn.CONCAT("weather.tbl[",T$1,"]")),MATCH(vp.tbl[[#This Row],[SDate]],weather.tbl[Date],0))</f>
        <v>-4.0999999999999996</v>
      </c>
      <c r="U796" s="2">
        <f ca="1">INDEX(INDIRECT(_xlfn.CONCAT("weather.tbl[",U$1,"]")),MATCH(vp.tbl[[#This Row],[SDate]],weather.tbl[Date],0))</f>
        <v>-3.3</v>
      </c>
      <c r="V796" s="2">
        <v>12819.813</v>
      </c>
      <c r="W796" t="s">
        <v>48</v>
      </c>
      <c r="X796">
        <f>IF(OR(vp.tbl[[#This Row],[Sulf]]="",vp.tbl[[#This Row],[Dens]]=""),1,0)</f>
        <v>0</v>
      </c>
      <c r="Y796">
        <f>IF(vp.tbl[[#This Row],[CrudeType]]="C5+",1,0)</f>
        <v>0</v>
      </c>
      <c r="Z796">
        <f>IF(AND(vp.tbl[[#This Row],[CrudeType]]="Crude",vp.tbl[[#This Row],[Dens]]&lt;=825,vp.tbl[[#This Row],[Sulf]]&gt;0.5,vp.tbl[[#This Row],[Unknown]]=0),1,0)</f>
        <v>0</v>
      </c>
      <c r="AA796">
        <f>IF(AND(vp.tbl[[#This Row],[CrudeType]]="Crude",vp.tbl[[#This Row],[Dens]]&lt;=825,vp.tbl[[#This Row],[Sulf]]&lt;=0.5,vp.tbl[[#This Row],[Unknown]]=0),1,0)</f>
        <v>1</v>
      </c>
      <c r="AB796">
        <f>IF(AND(vp.tbl[[#This Row],[CrudeType]]="Crude",vp.tbl[[#This Row],[Dens]]&gt;825,vp.tbl[[#This Row],[Dens]]&lt;=870,vp.tbl[[#This Row],[Sulf]]&gt;0.5,vp.tbl[[#This Row],[Unknown]]=0),1,0)</f>
        <v>0</v>
      </c>
      <c r="AC796">
        <f>IF(AND(vp.tbl[[#This Row],[CrudeType]]="Crude",vp.tbl[[#This Row],[Dens]]&gt;825,vp.tbl[[#This Row],[Dens]]&lt;=900,vp.tbl[[#This Row],[Sulf]]&lt;=0.5,vp.tbl[[#This Row],[Unknown]]=0),1,0)</f>
        <v>0</v>
      </c>
      <c r="AD796">
        <f>IF(AND(vp.tbl[[#This Row],[CrudeType]]="Crude",vp.tbl[[#This Row],[Dens]]&gt;870,vp.tbl[[#This Row],[Dens]]&lt;=900,vp.tbl[[#This Row],[Sulf]]&gt;0.5,vp.tbl[[#This Row],[Unknown]]=0),1,0)</f>
        <v>0</v>
      </c>
      <c r="AE796">
        <f>IF(AND(vp.tbl[[#This Row],[CrudeType]]="Crude",vp.tbl[[#This Row],[Dens]]&gt;900,vp.tbl[[#This Row],[Sulf]]&lt;=0.5,vp.tbl[[#This Row],[Unknown]]=0),1,0)</f>
        <v>0</v>
      </c>
      <c r="AF796">
        <f>IF(AND(vp.tbl[[#This Row],[CrudeType]]="Crude",vp.tbl[[#This Row],[Dens]]&gt;900,vp.tbl[[#This Row],[Sulf]]&lt;=0.5,vp.tbl[[#This Row],[Unknown]]=0),1,0)</f>
        <v>0</v>
      </c>
      <c r="AG796" t="str">
        <f>INDEX(vp.tbl[[#Headers],[Unknown]:[Heavy_SW]],MATCH(1,vp.tbl[[#This Row],[Unknown]:[Heavy_SW]],0))</f>
        <v>Light_SW</v>
      </c>
      <c r="AH796" t="e">
        <f>INDEX([1]!crudeBD.lkup[Number],MATCH(vp.tbl[[#This Row],[Crude_Breakdown]],[1]!crudeBD.lkup[Crude Breakdown],0))</f>
        <v>#REF!</v>
      </c>
      <c r="AI796">
        <f>MONTH(vp.tbl[[#This Row],[SDate]])</f>
        <v>2</v>
      </c>
      <c r="AJ796" s="5">
        <f>IFERROR(vp.tbl[[#This Row],[Sulf]]*vp.tbl[[#This Row],[Net Dens]],"")</f>
        <v>3428851.2840450001</v>
      </c>
      <c r="AK796" s="5">
        <f>IFERROR(vp.tbl[[#This Row],[Dens]]*vp.tbl[[#This Row],[VolumeM3]],"")</f>
        <v>10390458.4365</v>
      </c>
      <c r="AL796" s="5">
        <f>IFERROR(vp.tbl[[#This Row],[VP]]*vp.tbl[[#This Row],[VolumeM3]],"")</f>
        <v>1155065.1513</v>
      </c>
      <c r="AM796" s="4">
        <f>IFERROR((vp.tbl[[#This Row],[VP]]-INDEX(crudeBD.lkup.complete[Mean_VP],MATCH(vp.tbl[[#This Row],[Crude_Breakdown]],crudeBD.lkup.complete[Crude Breakdown],0)))^2,"")</f>
        <v>6.0040366837037036</v>
      </c>
      <c r="AN796" s="4">
        <f>IFERROR((vp.tbl[[#This Row],[Dens]]-INDEX(crudeBD.lkup.complete[Mean_Dens],MATCH(vp.tbl[[#This Row],[Crude_Breakdown]],crudeBD.lkup.complete[Crude Breakdown],0)))^2,"")</f>
        <v>4.7895398754395311</v>
      </c>
      <c r="AO796" s="4">
        <f>IFERROR((vp.tbl[[#This Row],[Sulf]]-INDEX(crudeBD.lkup.complete[Mean_Sulf],MATCH(vp.tbl[[#This Row],[Crude_Breakdown]],crudeBD.lkup.complete[Crude Breakdown],0)))^2,"")</f>
        <v>8.7905978457915313E-3</v>
      </c>
      <c r="AP796">
        <f>IF(AND(vp.tbl[[#This Row],[SDate]]&gt;=DATE(YEAR(vp.tbl[[#This Row],[SDate]]),5,1),vp.tbl[[#This Row],[SDate]]&lt;=DATE(YEAR(vp.tbl[[#This Row],[SDate]]),9,15)),1,0)</f>
        <v>0</v>
      </c>
      <c r="AQ796" s="15">
        <f>IF(vp.tbl[[#This Row],[SDate]]&lt;DATE(2016,12,1),0,1)</f>
        <v>1</v>
      </c>
    </row>
    <row r="797" spans="1:43" x14ac:dyDescent="0.25">
      <c r="A797">
        <v>796</v>
      </c>
      <c r="B797" t="s">
        <v>62</v>
      </c>
      <c r="C797" t="s">
        <v>62</v>
      </c>
      <c r="D797" t="s">
        <v>93</v>
      </c>
      <c r="F797" s="1">
        <v>42780</v>
      </c>
      <c r="G797" s="2">
        <v>107.2</v>
      </c>
      <c r="H797" s="2"/>
      <c r="I797" s="2">
        <v>0.52</v>
      </c>
      <c r="J797" s="2">
        <v>5.5</v>
      </c>
      <c r="K797" s="2">
        <v>3</v>
      </c>
      <c r="L797" s="2">
        <v>835</v>
      </c>
      <c r="M797" s="2">
        <v>835</v>
      </c>
      <c r="N797" s="2">
        <f ca="1">INDEX(INDIRECT(_xlfn.CONCAT("weather.tbl[",N$1,"]")),MATCH(vp.tbl[[#This Row],[SDate]],weather.tbl[Date],0))</f>
        <v>-3.8166666666666669</v>
      </c>
      <c r="O797" s="2">
        <f ca="1">INDEX(INDIRECT(_xlfn.CONCAT("weather.tbl[",O$1,"]")),MATCH(vp.tbl[[#This Row],[SDate]],weather.tbl[Date],0))</f>
        <v>-9.0880952380952387</v>
      </c>
      <c r="P797" s="2">
        <f ca="1">INDEX(INDIRECT(_xlfn.CONCAT("weather.tbl[",P$1,"]")),MATCH(vp.tbl[[#This Row],[SDate]],weather.tbl[Date],0))</f>
        <v>-4.4000000000000004</v>
      </c>
      <c r="Q797" s="2">
        <f ca="1">INDEX(INDIRECT(_xlfn.CONCAT("weather.tbl[",Q$1,"]")),MATCH(vp.tbl[[#This Row],[SDate]],weather.tbl[Date],0))</f>
        <v>-4.0999999999999996</v>
      </c>
      <c r="R797" s="2">
        <f ca="1">INDEX(INDIRECT(_xlfn.CONCAT("weather.tbl[",R$1,"]")),MATCH(vp.tbl[[#This Row],[SDate]],weather.tbl[Date],0))</f>
        <v>-4.8</v>
      </c>
      <c r="S797" s="2">
        <f ca="1">INDEX(INDIRECT(_xlfn.CONCAT("weather.tbl[",S$1,"]")),MATCH(vp.tbl[[#This Row],[SDate]],weather.tbl[Date],0))</f>
        <v>-2.2000000000000002</v>
      </c>
      <c r="T797" s="2">
        <f ca="1">INDEX(INDIRECT(_xlfn.CONCAT("weather.tbl[",T$1,"]")),MATCH(vp.tbl[[#This Row],[SDate]],weather.tbl[Date],0))</f>
        <v>-4.0999999999999996</v>
      </c>
      <c r="U797" s="2">
        <f ca="1">INDEX(INDIRECT(_xlfn.CONCAT("weather.tbl[",U$1,"]")),MATCH(vp.tbl[[#This Row],[SDate]],weather.tbl[Date],0))</f>
        <v>-3.3</v>
      </c>
      <c r="V797" s="2">
        <v>593.99300000000005</v>
      </c>
      <c r="W797" t="s">
        <v>48</v>
      </c>
      <c r="X797">
        <f>IF(OR(vp.tbl[[#This Row],[Sulf]]="",vp.tbl[[#This Row],[Dens]]=""),1,0)</f>
        <v>0</v>
      </c>
      <c r="Y797">
        <f>IF(vp.tbl[[#This Row],[CrudeType]]="C5+",1,0)</f>
        <v>0</v>
      </c>
      <c r="Z797">
        <f>IF(AND(vp.tbl[[#This Row],[CrudeType]]="Crude",vp.tbl[[#This Row],[Dens]]&lt;=825,vp.tbl[[#This Row],[Sulf]]&gt;0.5,vp.tbl[[#This Row],[Unknown]]=0),1,0)</f>
        <v>0</v>
      </c>
      <c r="AA797">
        <f>IF(AND(vp.tbl[[#This Row],[CrudeType]]="Crude",vp.tbl[[#This Row],[Dens]]&lt;=825,vp.tbl[[#This Row],[Sulf]]&lt;=0.5,vp.tbl[[#This Row],[Unknown]]=0),1,0)</f>
        <v>0</v>
      </c>
      <c r="AB797">
        <f>IF(AND(vp.tbl[[#This Row],[CrudeType]]="Crude",vp.tbl[[#This Row],[Dens]]&gt;825,vp.tbl[[#This Row],[Dens]]&lt;=870,vp.tbl[[#This Row],[Sulf]]&gt;0.5,vp.tbl[[#This Row],[Unknown]]=0),1,0)</f>
        <v>1</v>
      </c>
      <c r="AC797">
        <f>IF(AND(vp.tbl[[#This Row],[CrudeType]]="Crude",vp.tbl[[#This Row],[Dens]]&gt;825,vp.tbl[[#This Row],[Dens]]&lt;=900,vp.tbl[[#This Row],[Sulf]]&lt;=0.5,vp.tbl[[#This Row],[Unknown]]=0),1,0)</f>
        <v>0</v>
      </c>
      <c r="AD797">
        <f>IF(AND(vp.tbl[[#This Row],[CrudeType]]="Crude",vp.tbl[[#This Row],[Dens]]&gt;870,vp.tbl[[#This Row],[Dens]]&lt;=900,vp.tbl[[#This Row],[Sulf]]&gt;0.5,vp.tbl[[#This Row],[Unknown]]=0),1,0)</f>
        <v>0</v>
      </c>
      <c r="AE797">
        <f>IF(AND(vp.tbl[[#This Row],[CrudeType]]="Crude",vp.tbl[[#This Row],[Dens]]&gt;900,vp.tbl[[#This Row],[Sulf]]&lt;=0.5,vp.tbl[[#This Row],[Unknown]]=0),1,0)</f>
        <v>0</v>
      </c>
      <c r="AF797">
        <f>IF(AND(vp.tbl[[#This Row],[CrudeType]]="Crude",vp.tbl[[#This Row],[Dens]]&gt;900,vp.tbl[[#This Row],[Sulf]]&lt;=0.5,vp.tbl[[#This Row],[Unknown]]=0),1,0)</f>
        <v>0</v>
      </c>
      <c r="AG797" t="str">
        <f>INDEX(vp.tbl[[#Headers],[Unknown]:[Heavy_SW]],MATCH(1,vp.tbl[[#This Row],[Unknown]:[Heavy_SW]],0))</f>
        <v>Medium_LSB</v>
      </c>
      <c r="AH797" t="e">
        <f>INDEX([1]!crudeBD.lkup[Number],MATCH(vp.tbl[[#This Row],[Crude_Breakdown]],[1]!crudeBD.lkup[Crude Breakdown],0))</f>
        <v>#REF!</v>
      </c>
      <c r="AI797">
        <f>MONTH(vp.tbl[[#This Row],[SDate]])</f>
        <v>2</v>
      </c>
      <c r="AJ797" s="5">
        <f>IFERROR(vp.tbl[[#This Row],[Sulf]]*vp.tbl[[#This Row],[Net Dens]],"")</f>
        <v>257911.76060000004</v>
      </c>
      <c r="AK797" s="5">
        <f>IFERROR(vp.tbl[[#This Row],[Dens]]*vp.tbl[[#This Row],[VolumeM3]],"")</f>
        <v>495984.15500000003</v>
      </c>
      <c r="AL797" s="5">
        <f>IFERROR(vp.tbl[[#This Row],[VP]]*vp.tbl[[#This Row],[VolumeM3]],"")</f>
        <v>63676.049600000006</v>
      </c>
      <c r="AM797" s="4">
        <f>IFERROR((vp.tbl[[#This Row],[VP]]-INDEX(crudeBD.lkup.complete[Mean_VP],MATCH(vp.tbl[[#This Row],[Crude_Breakdown]],crudeBD.lkup.complete[Crude Breakdown],0)))^2,"")</f>
        <v>730.42657064509103</v>
      </c>
      <c r="AN797" s="4">
        <f>IFERROR((vp.tbl[[#This Row],[Dens]]-INDEX(crudeBD.lkup.complete[Mean_Dens],MATCH(vp.tbl[[#This Row],[Crude_Breakdown]],crudeBD.lkup.complete[Crude Breakdown],0)))^2,"")</f>
        <v>105.92161623391659</v>
      </c>
      <c r="AO797" s="4">
        <f>IFERROR((vp.tbl[[#This Row],[Sulf]]-INDEX(crudeBD.lkup.complete[Mean_Sulf],MATCH(vp.tbl[[#This Row],[Crude_Breakdown]],crudeBD.lkup.complete[Crude Breakdown],0)))^2,"")</f>
        <v>0.87409384453976902</v>
      </c>
      <c r="AP797">
        <f>IF(AND(vp.tbl[[#This Row],[SDate]]&gt;=DATE(YEAR(vp.tbl[[#This Row],[SDate]]),5,1),vp.tbl[[#This Row],[SDate]]&lt;=DATE(YEAR(vp.tbl[[#This Row],[SDate]]),9,15)),1,0)</f>
        <v>0</v>
      </c>
      <c r="AQ797" s="15">
        <f>IF(vp.tbl[[#This Row],[SDate]]&lt;DATE(2016,12,1),0,1)</f>
        <v>1</v>
      </c>
    </row>
    <row r="798" spans="1:43" x14ac:dyDescent="0.25">
      <c r="A798">
        <v>797</v>
      </c>
      <c r="B798" t="s">
        <v>60</v>
      </c>
      <c r="C798" t="s">
        <v>60</v>
      </c>
      <c r="D798" t="s">
        <v>61</v>
      </c>
      <c r="E798" t="s">
        <v>73</v>
      </c>
      <c r="F798" s="1">
        <v>42780</v>
      </c>
      <c r="G798" s="2">
        <v>74</v>
      </c>
      <c r="H798" s="2">
        <v>1.2769999999999999</v>
      </c>
      <c r="I798" s="2">
        <v>1.2769999999999999</v>
      </c>
      <c r="J798" s="2">
        <v>5.2</v>
      </c>
      <c r="K798" s="2">
        <v>3</v>
      </c>
      <c r="L798" s="2">
        <v>841</v>
      </c>
      <c r="M798" s="2">
        <v>841</v>
      </c>
      <c r="N798" s="2">
        <f ca="1">INDEX(INDIRECT(_xlfn.CONCAT("weather.tbl[",N$1,"]")),MATCH(vp.tbl[[#This Row],[SDate]],weather.tbl[Date],0))</f>
        <v>-3.8166666666666669</v>
      </c>
      <c r="O798" s="2">
        <f ca="1">INDEX(INDIRECT(_xlfn.CONCAT("weather.tbl[",O$1,"]")),MATCH(vp.tbl[[#This Row],[SDate]],weather.tbl[Date],0))</f>
        <v>-9.0880952380952387</v>
      </c>
      <c r="P798" s="2">
        <f ca="1">INDEX(INDIRECT(_xlfn.CONCAT("weather.tbl[",P$1,"]")),MATCH(vp.tbl[[#This Row],[SDate]],weather.tbl[Date],0))</f>
        <v>-4.4000000000000004</v>
      </c>
      <c r="Q798" s="2">
        <f ca="1">INDEX(INDIRECT(_xlfn.CONCAT("weather.tbl[",Q$1,"]")),MATCH(vp.tbl[[#This Row],[SDate]],weather.tbl[Date],0))</f>
        <v>-4.0999999999999996</v>
      </c>
      <c r="R798" s="2">
        <f ca="1">INDEX(INDIRECT(_xlfn.CONCAT("weather.tbl[",R$1,"]")),MATCH(vp.tbl[[#This Row],[SDate]],weather.tbl[Date],0))</f>
        <v>-4.8</v>
      </c>
      <c r="S798" s="2">
        <f ca="1">INDEX(INDIRECT(_xlfn.CONCAT("weather.tbl[",S$1,"]")),MATCH(vp.tbl[[#This Row],[SDate]],weather.tbl[Date],0))</f>
        <v>-2.2000000000000002</v>
      </c>
      <c r="T798" s="2">
        <f ca="1">INDEX(INDIRECT(_xlfn.CONCAT("weather.tbl[",T$1,"]")),MATCH(vp.tbl[[#This Row],[SDate]],weather.tbl[Date],0))</f>
        <v>-4.0999999999999996</v>
      </c>
      <c r="U798" s="2">
        <f ca="1">INDEX(INDIRECT(_xlfn.CONCAT("weather.tbl[",U$1,"]")),MATCH(vp.tbl[[#This Row],[SDate]],weather.tbl[Date],0))</f>
        <v>-3.3</v>
      </c>
      <c r="V798" s="2">
        <v>96501.951000000001</v>
      </c>
      <c r="W798" t="s">
        <v>48</v>
      </c>
      <c r="X798">
        <f>IF(OR(vp.tbl[[#This Row],[Sulf]]="",vp.tbl[[#This Row],[Dens]]=""),1,0)</f>
        <v>0</v>
      </c>
      <c r="Y798">
        <f>IF(vp.tbl[[#This Row],[CrudeType]]="C5+",1,0)</f>
        <v>0</v>
      </c>
      <c r="Z798">
        <f>IF(AND(vp.tbl[[#This Row],[CrudeType]]="Crude",vp.tbl[[#This Row],[Dens]]&lt;=825,vp.tbl[[#This Row],[Sulf]]&gt;0.5,vp.tbl[[#This Row],[Unknown]]=0),1,0)</f>
        <v>0</v>
      </c>
      <c r="AA798">
        <f>IF(AND(vp.tbl[[#This Row],[CrudeType]]="Crude",vp.tbl[[#This Row],[Dens]]&lt;=825,vp.tbl[[#This Row],[Sulf]]&lt;=0.5,vp.tbl[[#This Row],[Unknown]]=0),1,0)</f>
        <v>0</v>
      </c>
      <c r="AB798">
        <f>IF(AND(vp.tbl[[#This Row],[CrudeType]]="Crude",vp.tbl[[#This Row],[Dens]]&gt;825,vp.tbl[[#This Row],[Dens]]&lt;=870,vp.tbl[[#This Row],[Sulf]]&gt;0.5,vp.tbl[[#This Row],[Unknown]]=0),1,0)</f>
        <v>1</v>
      </c>
      <c r="AC798">
        <f>IF(AND(vp.tbl[[#This Row],[CrudeType]]="Crude",vp.tbl[[#This Row],[Dens]]&gt;825,vp.tbl[[#This Row],[Dens]]&lt;=900,vp.tbl[[#This Row],[Sulf]]&lt;=0.5,vp.tbl[[#This Row],[Unknown]]=0),1,0)</f>
        <v>0</v>
      </c>
      <c r="AD798">
        <f>IF(AND(vp.tbl[[#This Row],[CrudeType]]="Crude",vp.tbl[[#This Row],[Dens]]&gt;870,vp.tbl[[#This Row],[Dens]]&lt;=900,vp.tbl[[#This Row],[Sulf]]&gt;0.5,vp.tbl[[#This Row],[Unknown]]=0),1,0)</f>
        <v>0</v>
      </c>
      <c r="AE798">
        <f>IF(AND(vp.tbl[[#This Row],[CrudeType]]="Crude",vp.tbl[[#This Row],[Dens]]&gt;900,vp.tbl[[#This Row],[Sulf]]&lt;=0.5,vp.tbl[[#This Row],[Unknown]]=0),1,0)</f>
        <v>0</v>
      </c>
      <c r="AF798">
        <f>IF(AND(vp.tbl[[#This Row],[CrudeType]]="Crude",vp.tbl[[#This Row],[Dens]]&gt;900,vp.tbl[[#This Row],[Sulf]]&lt;=0.5,vp.tbl[[#This Row],[Unknown]]=0),1,0)</f>
        <v>0</v>
      </c>
      <c r="AG798" t="str">
        <f>INDEX(vp.tbl[[#Headers],[Unknown]:[Heavy_SW]],MATCH(1,vp.tbl[[#This Row],[Unknown]:[Heavy_SW]],0))</f>
        <v>Medium_LSB</v>
      </c>
      <c r="AH798" t="e">
        <f>INDEX([1]!crudeBD.lkup[Number],MATCH(vp.tbl[[#This Row],[Crude_Breakdown]],[1]!crudeBD.lkup[Crude Breakdown],0))</f>
        <v>#REF!</v>
      </c>
      <c r="AI798">
        <f>MONTH(vp.tbl[[#This Row],[SDate]])</f>
        <v>2</v>
      </c>
      <c r="AJ798" s="5">
        <f>IFERROR(vp.tbl[[#This Row],[Sulf]]*vp.tbl[[#This Row],[Net Dens]],"")</f>
        <v>103638945.79010698</v>
      </c>
      <c r="AK798" s="5">
        <f>IFERROR(vp.tbl[[#This Row],[Dens]]*vp.tbl[[#This Row],[VolumeM3]],"")</f>
        <v>81158140.790999994</v>
      </c>
      <c r="AL798" s="5">
        <f>IFERROR(vp.tbl[[#This Row],[VP]]*vp.tbl[[#This Row],[VolumeM3]],"")</f>
        <v>7141144.3739999998</v>
      </c>
      <c r="AM798" s="4">
        <f>IFERROR((vp.tbl[[#This Row],[VP]]-INDEX(crudeBD.lkup.complete[Mean_VP],MATCH(vp.tbl[[#This Row],[Crude_Breakdown]],crudeBD.lkup.complete[Crude Breakdown],0)))^2,"")</f>
        <v>38.113274442556829</v>
      </c>
      <c r="AN798" s="4">
        <f>IFERROR((vp.tbl[[#This Row],[Dens]]-INDEX(crudeBD.lkup.complete[Mean_Dens],MATCH(vp.tbl[[#This Row],[Crude_Breakdown]],crudeBD.lkup.complete[Crude Breakdown],0)))^2,"")</f>
        <v>18.419742816206899</v>
      </c>
      <c r="AO798" s="4">
        <f>IFERROR((vp.tbl[[#This Row],[Sulf]]-INDEX(crudeBD.lkup.complete[Mean_Sulf],MATCH(vp.tbl[[#This Row],[Crude_Breakdown]],crudeBD.lkup.complete[Crude Breakdown],0)))^2,"")</f>
        <v>3.1659035349893366E-2</v>
      </c>
      <c r="AP798">
        <f>IF(AND(vp.tbl[[#This Row],[SDate]]&gt;=DATE(YEAR(vp.tbl[[#This Row],[SDate]]),5,1),vp.tbl[[#This Row],[SDate]]&lt;=DATE(YEAR(vp.tbl[[#This Row],[SDate]]),9,15)),1,0)</f>
        <v>0</v>
      </c>
      <c r="AQ798" s="15">
        <f>IF(vp.tbl[[#This Row],[SDate]]&lt;DATE(2016,12,1),0,1)</f>
        <v>1</v>
      </c>
    </row>
    <row r="799" spans="1:43" x14ac:dyDescent="0.25">
      <c r="A799">
        <v>798</v>
      </c>
      <c r="B799" t="s">
        <v>60</v>
      </c>
      <c r="C799" t="s">
        <v>60</v>
      </c>
      <c r="D799" t="s">
        <v>61</v>
      </c>
      <c r="E799" t="s">
        <v>55</v>
      </c>
      <c r="F799" s="1">
        <v>42780</v>
      </c>
      <c r="G799" s="2">
        <v>97.2</v>
      </c>
      <c r="H799" s="2">
        <v>1.133</v>
      </c>
      <c r="I799" s="2">
        <v>1.133</v>
      </c>
      <c r="J799" s="2">
        <v>8.1999999999999993</v>
      </c>
      <c r="K799" s="2">
        <v>3</v>
      </c>
      <c r="L799" s="2">
        <v>847.2</v>
      </c>
      <c r="M799" s="2">
        <v>847.2</v>
      </c>
      <c r="N799" s="2">
        <f ca="1">INDEX(INDIRECT(_xlfn.CONCAT("weather.tbl[",N$1,"]")),MATCH(vp.tbl[[#This Row],[SDate]],weather.tbl[Date],0))</f>
        <v>-3.8166666666666669</v>
      </c>
      <c r="O799" s="2">
        <f ca="1">INDEX(INDIRECT(_xlfn.CONCAT("weather.tbl[",O$1,"]")),MATCH(vp.tbl[[#This Row],[SDate]],weather.tbl[Date],0))</f>
        <v>-9.0880952380952387</v>
      </c>
      <c r="P799" s="2">
        <f ca="1">INDEX(INDIRECT(_xlfn.CONCAT("weather.tbl[",P$1,"]")),MATCH(vp.tbl[[#This Row],[SDate]],weather.tbl[Date],0))</f>
        <v>-4.4000000000000004</v>
      </c>
      <c r="Q799" s="2">
        <f ca="1">INDEX(INDIRECT(_xlfn.CONCAT("weather.tbl[",Q$1,"]")),MATCH(vp.tbl[[#This Row],[SDate]],weather.tbl[Date],0))</f>
        <v>-4.0999999999999996</v>
      </c>
      <c r="R799" s="2">
        <f ca="1">INDEX(INDIRECT(_xlfn.CONCAT("weather.tbl[",R$1,"]")),MATCH(vp.tbl[[#This Row],[SDate]],weather.tbl[Date],0))</f>
        <v>-4.8</v>
      </c>
      <c r="S799" s="2">
        <f ca="1">INDEX(INDIRECT(_xlfn.CONCAT("weather.tbl[",S$1,"]")),MATCH(vp.tbl[[#This Row],[SDate]],weather.tbl[Date],0))</f>
        <v>-2.2000000000000002</v>
      </c>
      <c r="T799" s="2">
        <f ca="1">INDEX(INDIRECT(_xlfn.CONCAT("weather.tbl[",T$1,"]")),MATCH(vp.tbl[[#This Row],[SDate]],weather.tbl[Date],0))</f>
        <v>-4.0999999999999996</v>
      </c>
      <c r="U799" s="2">
        <f ca="1">INDEX(INDIRECT(_xlfn.CONCAT("weather.tbl[",U$1,"]")),MATCH(vp.tbl[[#This Row],[SDate]],weather.tbl[Date],0))</f>
        <v>-3.3</v>
      </c>
      <c r="V799" s="2">
        <v>96501.951000000001</v>
      </c>
      <c r="W799" t="s">
        <v>48</v>
      </c>
      <c r="X799">
        <f>IF(OR(vp.tbl[[#This Row],[Sulf]]="",vp.tbl[[#This Row],[Dens]]=""),1,0)</f>
        <v>0</v>
      </c>
      <c r="Y799">
        <f>IF(vp.tbl[[#This Row],[CrudeType]]="C5+",1,0)</f>
        <v>0</v>
      </c>
      <c r="Z799">
        <f>IF(AND(vp.tbl[[#This Row],[CrudeType]]="Crude",vp.tbl[[#This Row],[Dens]]&lt;=825,vp.tbl[[#This Row],[Sulf]]&gt;0.5,vp.tbl[[#This Row],[Unknown]]=0),1,0)</f>
        <v>0</v>
      </c>
      <c r="AA799">
        <f>IF(AND(vp.tbl[[#This Row],[CrudeType]]="Crude",vp.tbl[[#This Row],[Dens]]&lt;=825,vp.tbl[[#This Row],[Sulf]]&lt;=0.5,vp.tbl[[#This Row],[Unknown]]=0),1,0)</f>
        <v>0</v>
      </c>
      <c r="AB799">
        <f>IF(AND(vp.tbl[[#This Row],[CrudeType]]="Crude",vp.tbl[[#This Row],[Dens]]&gt;825,vp.tbl[[#This Row],[Dens]]&lt;=870,vp.tbl[[#This Row],[Sulf]]&gt;0.5,vp.tbl[[#This Row],[Unknown]]=0),1,0)</f>
        <v>1</v>
      </c>
      <c r="AC799">
        <f>IF(AND(vp.tbl[[#This Row],[CrudeType]]="Crude",vp.tbl[[#This Row],[Dens]]&gt;825,vp.tbl[[#This Row],[Dens]]&lt;=900,vp.tbl[[#This Row],[Sulf]]&lt;=0.5,vp.tbl[[#This Row],[Unknown]]=0),1,0)</f>
        <v>0</v>
      </c>
      <c r="AD799">
        <f>IF(AND(vp.tbl[[#This Row],[CrudeType]]="Crude",vp.tbl[[#This Row],[Dens]]&gt;870,vp.tbl[[#This Row],[Dens]]&lt;=900,vp.tbl[[#This Row],[Sulf]]&gt;0.5,vp.tbl[[#This Row],[Unknown]]=0),1,0)</f>
        <v>0</v>
      </c>
      <c r="AE799">
        <f>IF(AND(vp.tbl[[#This Row],[CrudeType]]="Crude",vp.tbl[[#This Row],[Dens]]&gt;900,vp.tbl[[#This Row],[Sulf]]&lt;=0.5,vp.tbl[[#This Row],[Unknown]]=0),1,0)</f>
        <v>0</v>
      </c>
      <c r="AF799">
        <f>IF(AND(vp.tbl[[#This Row],[CrudeType]]="Crude",vp.tbl[[#This Row],[Dens]]&gt;900,vp.tbl[[#This Row],[Sulf]]&lt;=0.5,vp.tbl[[#This Row],[Unknown]]=0),1,0)</f>
        <v>0</v>
      </c>
      <c r="AG799" t="str">
        <f>INDEX(vp.tbl[[#Headers],[Unknown]:[Heavy_SW]],MATCH(1,vp.tbl[[#This Row],[Unknown]:[Heavy_SW]],0))</f>
        <v>Medium_LSB</v>
      </c>
      <c r="AH799" t="e">
        <f>INDEX([1]!crudeBD.lkup[Number],MATCH(vp.tbl[[#This Row],[Crude_Breakdown]],[1]!crudeBD.lkup[Crude Breakdown],0))</f>
        <v>#REF!</v>
      </c>
      <c r="AI799">
        <f>MONTH(vp.tbl[[#This Row],[SDate]])</f>
        <v>2</v>
      </c>
      <c r="AJ799" s="5">
        <f>IFERROR(vp.tbl[[#This Row],[Sulf]]*vp.tbl[[#This Row],[Net Dens]],"")</f>
        <v>92630061.121197596</v>
      </c>
      <c r="AK799" s="5">
        <f>IFERROR(vp.tbl[[#This Row],[Dens]]*vp.tbl[[#This Row],[VolumeM3]],"")</f>
        <v>81756452.887199998</v>
      </c>
      <c r="AL799" s="5">
        <f>IFERROR(vp.tbl[[#This Row],[VP]]*vp.tbl[[#This Row],[VolumeM3]],"")</f>
        <v>9379989.6371999998</v>
      </c>
      <c r="AM799" s="4">
        <f>IFERROR((vp.tbl[[#This Row],[VP]]-INDEX(crudeBD.lkup.complete[Mean_VP],MATCH(vp.tbl[[#This Row],[Crude_Breakdown]],crudeBD.lkup.complete[Crude Breakdown],0)))^2,"")</f>
        <v>289.89846937926751</v>
      </c>
      <c r="AN799" s="4">
        <f>IFERROR((vp.tbl[[#This Row],[Dens]]-INDEX(crudeBD.lkup.complete[Mean_Dens],MATCH(vp.tbl[[#This Row],[Crude_Breakdown]],crudeBD.lkup.complete[Crude Breakdown],0)))^2,"")</f>
        <v>3.6411402845737117</v>
      </c>
      <c r="AO799" s="4">
        <f>IFERROR((vp.tbl[[#This Row],[Sulf]]-INDEX(crudeBD.lkup.complete[Mean_Sulf],MATCH(vp.tbl[[#This Row],[Crude_Breakdown]],crudeBD.lkup.complete[Crude Breakdown],0)))^2,"")</f>
        <v>0.10363883524862794</v>
      </c>
      <c r="AP799">
        <f>IF(AND(vp.tbl[[#This Row],[SDate]]&gt;=DATE(YEAR(vp.tbl[[#This Row],[SDate]]),5,1),vp.tbl[[#This Row],[SDate]]&lt;=DATE(YEAR(vp.tbl[[#This Row],[SDate]]),9,15)),1,0)</f>
        <v>0</v>
      </c>
      <c r="AQ799" s="15">
        <f>IF(vp.tbl[[#This Row],[SDate]]&lt;DATE(2016,12,1),0,1)</f>
        <v>1</v>
      </c>
    </row>
    <row r="800" spans="1:43" x14ac:dyDescent="0.25">
      <c r="A800">
        <v>799</v>
      </c>
      <c r="B800" t="s">
        <v>49</v>
      </c>
      <c r="C800" t="s">
        <v>49</v>
      </c>
      <c r="D800" t="s">
        <v>67</v>
      </c>
      <c r="F800" s="1">
        <v>42782</v>
      </c>
      <c r="G800" s="2">
        <v>96.5</v>
      </c>
      <c r="H800" s="2">
        <v>0.68100000000000005</v>
      </c>
      <c r="I800" s="2">
        <v>0.68100000000000005</v>
      </c>
      <c r="J800" s="2">
        <v>8.6999999999999993</v>
      </c>
      <c r="K800" s="2">
        <v>5</v>
      </c>
      <c r="L800" s="2">
        <v>823.5</v>
      </c>
      <c r="M800" s="2">
        <v>823.5</v>
      </c>
      <c r="N800" s="2">
        <f ca="1">INDEX(INDIRECT(_xlfn.CONCAT("weather.tbl[",N$1,"]")),MATCH(vp.tbl[[#This Row],[SDate]],weather.tbl[Date],0))</f>
        <v>2.8166666666666664</v>
      </c>
      <c r="O800" s="2">
        <f ca="1">INDEX(INDIRECT(_xlfn.CONCAT("weather.tbl[",O$1,"]")),MATCH(vp.tbl[[#This Row],[SDate]],weather.tbl[Date],0))</f>
        <v>-2.8642857142857143</v>
      </c>
      <c r="P800" s="2">
        <f ca="1">INDEX(INDIRECT(_xlfn.CONCAT("weather.tbl[",P$1,"]")),MATCH(vp.tbl[[#This Row],[SDate]],weather.tbl[Date],0))</f>
        <v>2.4</v>
      </c>
      <c r="Q800" s="2">
        <f ca="1">INDEX(INDIRECT(_xlfn.CONCAT("weather.tbl[",Q$1,"]")),MATCH(vp.tbl[[#This Row],[SDate]],weather.tbl[Date],0))</f>
        <v>3.2</v>
      </c>
      <c r="R800" s="2">
        <f ca="1">INDEX(INDIRECT(_xlfn.CONCAT("weather.tbl[",R$1,"]")),MATCH(vp.tbl[[#This Row],[SDate]],weather.tbl[Date],0))</f>
        <v>2.5</v>
      </c>
      <c r="S800" s="2">
        <f ca="1">INDEX(INDIRECT(_xlfn.CONCAT("weather.tbl[",S$1,"]")),MATCH(vp.tbl[[#This Row],[SDate]],weather.tbl[Date],0))</f>
        <v>4.9000000000000004</v>
      </c>
      <c r="T800" s="2">
        <f ca="1">INDEX(INDIRECT(_xlfn.CONCAT("weather.tbl[",T$1,"]")),MATCH(vp.tbl[[#This Row],[SDate]],weather.tbl[Date],0))</f>
        <v>0.4</v>
      </c>
      <c r="U800" s="2">
        <f ca="1">INDEX(INDIRECT(_xlfn.CONCAT("weather.tbl[",U$1,"]")),MATCH(vp.tbl[[#This Row],[SDate]],weather.tbl[Date],0))</f>
        <v>3.5</v>
      </c>
      <c r="V800" s="2">
        <v>124428.834</v>
      </c>
      <c r="W800" t="s">
        <v>48</v>
      </c>
      <c r="X800">
        <f>IF(OR(vp.tbl[[#This Row],[Sulf]]="",vp.tbl[[#This Row],[Dens]]=""),1,0)</f>
        <v>0</v>
      </c>
      <c r="Y800">
        <f>IF(vp.tbl[[#This Row],[CrudeType]]="C5+",1,0)</f>
        <v>0</v>
      </c>
      <c r="Z800">
        <f>IF(AND(vp.tbl[[#This Row],[CrudeType]]="Crude",vp.tbl[[#This Row],[Dens]]&lt;=825,vp.tbl[[#This Row],[Sulf]]&gt;0.5,vp.tbl[[#This Row],[Unknown]]=0),1,0)</f>
        <v>1</v>
      </c>
      <c r="AA800">
        <f>IF(AND(vp.tbl[[#This Row],[CrudeType]]="Crude",vp.tbl[[#This Row],[Dens]]&lt;=825,vp.tbl[[#This Row],[Sulf]]&lt;=0.5,vp.tbl[[#This Row],[Unknown]]=0),1,0)</f>
        <v>0</v>
      </c>
      <c r="AB800">
        <f>IF(AND(vp.tbl[[#This Row],[CrudeType]]="Crude",vp.tbl[[#This Row],[Dens]]&gt;825,vp.tbl[[#This Row],[Dens]]&lt;=870,vp.tbl[[#This Row],[Sulf]]&gt;0.5,vp.tbl[[#This Row],[Unknown]]=0),1,0)</f>
        <v>0</v>
      </c>
      <c r="AC800">
        <f>IF(AND(vp.tbl[[#This Row],[CrudeType]]="Crude",vp.tbl[[#This Row],[Dens]]&gt;825,vp.tbl[[#This Row],[Dens]]&lt;=900,vp.tbl[[#This Row],[Sulf]]&lt;=0.5,vp.tbl[[#This Row],[Unknown]]=0),1,0)</f>
        <v>0</v>
      </c>
      <c r="AD800">
        <f>IF(AND(vp.tbl[[#This Row],[CrudeType]]="Crude",vp.tbl[[#This Row],[Dens]]&gt;870,vp.tbl[[#This Row],[Dens]]&lt;=900,vp.tbl[[#This Row],[Sulf]]&gt;0.5,vp.tbl[[#This Row],[Unknown]]=0),1,0)</f>
        <v>0</v>
      </c>
      <c r="AE800">
        <f>IF(AND(vp.tbl[[#This Row],[CrudeType]]="Crude",vp.tbl[[#This Row],[Dens]]&gt;900,vp.tbl[[#This Row],[Sulf]]&lt;=0.5,vp.tbl[[#This Row],[Unknown]]=0),1,0)</f>
        <v>0</v>
      </c>
      <c r="AF800">
        <f>IF(AND(vp.tbl[[#This Row],[CrudeType]]="Crude",vp.tbl[[#This Row],[Dens]]&gt;900,vp.tbl[[#This Row],[Sulf]]&lt;=0.5,vp.tbl[[#This Row],[Unknown]]=0),1,0)</f>
        <v>0</v>
      </c>
      <c r="AG800" t="str">
        <f>INDEX(vp.tbl[[#Headers],[Unknown]:[Heavy_SW]],MATCH(1,vp.tbl[[#This Row],[Unknown]:[Heavy_SW]],0))</f>
        <v>Light_LSB</v>
      </c>
      <c r="AH800" t="e">
        <f>INDEX([1]!crudeBD.lkup[Number],MATCH(vp.tbl[[#This Row],[Crude_Breakdown]],[1]!crudeBD.lkup[Crude Breakdown],0))</f>
        <v>#REF!</v>
      </c>
      <c r="AI800">
        <f>MONTH(vp.tbl[[#This Row],[SDate]])</f>
        <v>2</v>
      </c>
      <c r="AJ800" s="5">
        <f>IFERROR(vp.tbl[[#This Row],[Sulf]]*vp.tbl[[#This Row],[Net Dens]],"")</f>
        <v>69780125.608118996</v>
      </c>
      <c r="AK800" s="5">
        <f>IFERROR(vp.tbl[[#This Row],[Dens]]*vp.tbl[[#This Row],[VolumeM3]],"")</f>
        <v>102467144.79899999</v>
      </c>
      <c r="AL800" s="5">
        <f>IFERROR(vp.tbl[[#This Row],[VP]]*vp.tbl[[#This Row],[VolumeM3]],"")</f>
        <v>12007382.481000001</v>
      </c>
      <c r="AM800" s="4">
        <f>IFERROR((vp.tbl[[#This Row],[VP]]-INDEX(crudeBD.lkup.complete[Mean_VP],MATCH(vp.tbl[[#This Row],[Crude_Breakdown]],crudeBD.lkup.complete[Crude Breakdown],0)))^2,"")</f>
        <v>24.540277436496662</v>
      </c>
      <c r="AN800" s="4">
        <f>IFERROR((vp.tbl[[#This Row],[Dens]]-INDEX(crudeBD.lkup.complete[Mean_Dens],MATCH(vp.tbl[[#This Row],[Crude_Breakdown]],crudeBD.lkup.complete[Crude Breakdown],0)))^2,"")</f>
        <v>24.832583630333428</v>
      </c>
      <c r="AO800" s="4">
        <f>IFERROR((vp.tbl[[#This Row],[Sulf]]-INDEX(crudeBD.lkup.complete[Mean_Sulf],MATCH(vp.tbl[[#This Row],[Crude_Breakdown]],crudeBD.lkup.complete[Crude Breakdown],0)))^2,"")</f>
        <v>5.8550046329543672E-2</v>
      </c>
      <c r="AP800">
        <f>IF(AND(vp.tbl[[#This Row],[SDate]]&gt;=DATE(YEAR(vp.tbl[[#This Row],[SDate]]),5,1),vp.tbl[[#This Row],[SDate]]&lt;=DATE(YEAR(vp.tbl[[#This Row],[SDate]]),9,15)),1,0)</f>
        <v>0</v>
      </c>
      <c r="AQ800" s="15">
        <f>IF(vp.tbl[[#This Row],[SDate]]&lt;DATE(2016,12,1),0,1)</f>
        <v>1</v>
      </c>
    </row>
    <row r="801" spans="1:43" x14ac:dyDescent="0.25">
      <c r="A801">
        <v>800</v>
      </c>
      <c r="B801" t="s">
        <v>49</v>
      </c>
      <c r="C801" t="s">
        <v>49</v>
      </c>
      <c r="D801" t="s">
        <v>89</v>
      </c>
      <c r="F801" s="1">
        <v>42782</v>
      </c>
      <c r="G801" s="2">
        <v>107</v>
      </c>
      <c r="H801" s="2">
        <v>0.85399999999999998</v>
      </c>
      <c r="I801" s="2">
        <v>0.85399999999999998</v>
      </c>
      <c r="J801" s="2">
        <v>7.4</v>
      </c>
      <c r="K801" s="2">
        <v>5</v>
      </c>
      <c r="L801" s="2">
        <v>821.4</v>
      </c>
      <c r="M801" s="2">
        <v>821.4</v>
      </c>
      <c r="N801" s="2">
        <f ca="1">INDEX(INDIRECT(_xlfn.CONCAT("weather.tbl[",N$1,"]")),MATCH(vp.tbl[[#This Row],[SDate]],weather.tbl[Date],0))</f>
        <v>2.8166666666666664</v>
      </c>
      <c r="O801" s="2">
        <f ca="1">INDEX(INDIRECT(_xlfn.CONCAT("weather.tbl[",O$1,"]")),MATCH(vp.tbl[[#This Row],[SDate]],weather.tbl[Date],0))</f>
        <v>-2.8642857142857143</v>
      </c>
      <c r="P801" s="2">
        <f ca="1">INDEX(INDIRECT(_xlfn.CONCAT("weather.tbl[",P$1,"]")),MATCH(vp.tbl[[#This Row],[SDate]],weather.tbl[Date],0))</f>
        <v>2.4</v>
      </c>
      <c r="Q801" s="2">
        <f ca="1">INDEX(INDIRECT(_xlfn.CONCAT("weather.tbl[",Q$1,"]")),MATCH(vp.tbl[[#This Row],[SDate]],weather.tbl[Date],0))</f>
        <v>3.2</v>
      </c>
      <c r="R801" s="2">
        <f ca="1">INDEX(INDIRECT(_xlfn.CONCAT("weather.tbl[",R$1,"]")),MATCH(vp.tbl[[#This Row],[SDate]],weather.tbl[Date],0))</f>
        <v>2.5</v>
      </c>
      <c r="S801" s="2">
        <f ca="1">INDEX(INDIRECT(_xlfn.CONCAT("weather.tbl[",S$1,"]")),MATCH(vp.tbl[[#This Row],[SDate]],weather.tbl[Date],0))</f>
        <v>4.9000000000000004</v>
      </c>
      <c r="T801" s="2">
        <f ca="1">INDEX(INDIRECT(_xlfn.CONCAT("weather.tbl[",T$1,"]")),MATCH(vp.tbl[[#This Row],[SDate]],weather.tbl[Date],0))</f>
        <v>0.4</v>
      </c>
      <c r="U801" s="2">
        <f ca="1">INDEX(INDIRECT(_xlfn.CONCAT("weather.tbl[",U$1,"]")),MATCH(vp.tbl[[#This Row],[SDate]],weather.tbl[Date],0))</f>
        <v>3.5</v>
      </c>
      <c r="V801" s="2">
        <v>5063.2240000000002</v>
      </c>
      <c r="W801" t="s">
        <v>48</v>
      </c>
      <c r="X801">
        <f>IF(OR(vp.tbl[[#This Row],[Sulf]]="",vp.tbl[[#This Row],[Dens]]=""),1,0)</f>
        <v>0</v>
      </c>
      <c r="Y801">
        <f>IF(vp.tbl[[#This Row],[CrudeType]]="C5+",1,0)</f>
        <v>0</v>
      </c>
      <c r="Z801">
        <f>IF(AND(vp.tbl[[#This Row],[CrudeType]]="Crude",vp.tbl[[#This Row],[Dens]]&lt;=825,vp.tbl[[#This Row],[Sulf]]&gt;0.5,vp.tbl[[#This Row],[Unknown]]=0),1,0)</f>
        <v>1</v>
      </c>
      <c r="AA801">
        <f>IF(AND(vp.tbl[[#This Row],[CrudeType]]="Crude",vp.tbl[[#This Row],[Dens]]&lt;=825,vp.tbl[[#This Row],[Sulf]]&lt;=0.5,vp.tbl[[#This Row],[Unknown]]=0),1,0)</f>
        <v>0</v>
      </c>
      <c r="AB801">
        <f>IF(AND(vp.tbl[[#This Row],[CrudeType]]="Crude",vp.tbl[[#This Row],[Dens]]&gt;825,vp.tbl[[#This Row],[Dens]]&lt;=870,vp.tbl[[#This Row],[Sulf]]&gt;0.5,vp.tbl[[#This Row],[Unknown]]=0),1,0)</f>
        <v>0</v>
      </c>
      <c r="AC801">
        <f>IF(AND(vp.tbl[[#This Row],[CrudeType]]="Crude",vp.tbl[[#This Row],[Dens]]&gt;825,vp.tbl[[#This Row],[Dens]]&lt;=900,vp.tbl[[#This Row],[Sulf]]&lt;=0.5,vp.tbl[[#This Row],[Unknown]]=0),1,0)</f>
        <v>0</v>
      </c>
      <c r="AD801">
        <f>IF(AND(vp.tbl[[#This Row],[CrudeType]]="Crude",vp.tbl[[#This Row],[Dens]]&gt;870,vp.tbl[[#This Row],[Dens]]&lt;=900,vp.tbl[[#This Row],[Sulf]]&gt;0.5,vp.tbl[[#This Row],[Unknown]]=0),1,0)</f>
        <v>0</v>
      </c>
      <c r="AE801">
        <f>IF(AND(vp.tbl[[#This Row],[CrudeType]]="Crude",vp.tbl[[#This Row],[Dens]]&gt;900,vp.tbl[[#This Row],[Sulf]]&lt;=0.5,vp.tbl[[#This Row],[Unknown]]=0),1,0)</f>
        <v>0</v>
      </c>
      <c r="AF801">
        <f>IF(AND(vp.tbl[[#This Row],[CrudeType]]="Crude",vp.tbl[[#This Row],[Dens]]&gt;900,vp.tbl[[#This Row],[Sulf]]&lt;=0.5,vp.tbl[[#This Row],[Unknown]]=0),1,0)</f>
        <v>0</v>
      </c>
      <c r="AG801" t="str">
        <f>INDEX(vp.tbl[[#Headers],[Unknown]:[Heavy_SW]],MATCH(1,vp.tbl[[#This Row],[Unknown]:[Heavy_SW]],0))</f>
        <v>Light_LSB</v>
      </c>
      <c r="AH801" t="e">
        <f>INDEX([1]!crudeBD.lkup[Number],MATCH(vp.tbl[[#This Row],[Crude_Breakdown]],[1]!crudeBD.lkup[Crude Breakdown],0))</f>
        <v>#REF!</v>
      </c>
      <c r="AI801">
        <f>MONTH(vp.tbl[[#This Row],[SDate]])</f>
        <v>2</v>
      </c>
      <c r="AJ801" s="5">
        <f>IFERROR(vp.tbl[[#This Row],[Sulf]]*vp.tbl[[#This Row],[Net Dens]],"")</f>
        <v>3551728.0933343996</v>
      </c>
      <c r="AK801" s="5">
        <f>IFERROR(vp.tbl[[#This Row],[Dens]]*vp.tbl[[#This Row],[VolumeM3]],"")</f>
        <v>4158932.1935999999</v>
      </c>
      <c r="AL801" s="5">
        <f>IFERROR(vp.tbl[[#This Row],[VP]]*vp.tbl[[#This Row],[VolumeM3]],"")</f>
        <v>541764.96799999999</v>
      </c>
      <c r="AM801" s="4">
        <f>IFERROR((vp.tbl[[#This Row],[VP]]-INDEX(crudeBD.lkup.complete[Mean_VP],MATCH(vp.tbl[[#This Row],[Crude_Breakdown]],crudeBD.lkup.complete[Crude Breakdown],0)))^2,"")</f>
        <v>238.8203805292795</v>
      </c>
      <c r="AN801" s="4">
        <f>IFERROR((vp.tbl[[#This Row],[Dens]]-INDEX(crudeBD.lkup.complete[Mean_Dens],MATCH(vp.tbl[[#This Row],[Crude_Breakdown]],crudeBD.lkup.complete[Crude Breakdown],0)))^2,"")</f>
        <v>8.3130166200227009</v>
      </c>
      <c r="AO801" s="4">
        <f>IFERROR((vp.tbl[[#This Row],[Sulf]]-INDEX(crudeBD.lkup.complete[Mean_Sulf],MATCH(vp.tbl[[#This Row],[Crude_Breakdown]],crudeBD.lkup.complete[Crude Breakdown],0)))^2,"")</f>
        <v>4.7570220683753996E-3</v>
      </c>
      <c r="AP801">
        <f>IF(AND(vp.tbl[[#This Row],[SDate]]&gt;=DATE(YEAR(vp.tbl[[#This Row],[SDate]]),5,1),vp.tbl[[#This Row],[SDate]]&lt;=DATE(YEAR(vp.tbl[[#This Row],[SDate]]),9,15)),1,0)</f>
        <v>0</v>
      </c>
      <c r="AQ801" s="15">
        <f>IF(vp.tbl[[#This Row],[SDate]]&lt;DATE(2016,12,1),0,1)</f>
        <v>1</v>
      </c>
    </row>
    <row r="802" spans="1:43" x14ac:dyDescent="0.25">
      <c r="A802">
        <v>801</v>
      </c>
      <c r="B802" t="s">
        <v>49</v>
      </c>
      <c r="C802" t="s">
        <v>49</v>
      </c>
      <c r="D802" t="s">
        <v>70</v>
      </c>
      <c r="F802" s="1">
        <v>42782</v>
      </c>
      <c r="G802" s="2">
        <v>88.2</v>
      </c>
      <c r="H802" s="2">
        <v>0.873</v>
      </c>
      <c r="I802" s="2">
        <v>0.873</v>
      </c>
      <c r="J802" s="2">
        <v>18</v>
      </c>
      <c r="K802" s="2">
        <v>5</v>
      </c>
      <c r="L802" s="2">
        <v>820.1</v>
      </c>
      <c r="M802" s="2">
        <v>820.1</v>
      </c>
      <c r="N802" s="2">
        <f ca="1">INDEX(INDIRECT(_xlfn.CONCAT("weather.tbl[",N$1,"]")),MATCH(vp.tbl[[#This Row],[SDate]],weather.tbl[Date],0))</f>
        <v>2.8166666666666664</v>
      </c>
      <c r="O802" s="2">
        <f ca="1">INDEX(INDIRECT(_xlfn.CONCAT("weather.tbl[",O$1,"]")),MATCH(vp.tbl[[#This Row],[SDate]],weather.tbl[Date],0))</f>
        <v>-2.8642857142857143</v>
      </c>
      <c r="P802" s="2">
        <f ca="1">INDEX(INDIRECT(_xlfn.CONCAT("weather.tbl[",P$1,"]")),MATCH(vp.tbl[[#This Row],[SDate]],weather.tbl[Date],0))</f>
        <v>2.4</v>
      </c>
      <c r="Q802" s="2">
        <f ca="1">INDEX(INDIRECT(_xlfn.CONCAT("weather.tbl[",Q$1,"]")),MATCH(vp.tbl[[#This Row],[SDate]],weather.tbl[Date],0))</f>
        <v>3.2</v>
      </c>
      <c r="R802" s="2">
        <f ca="1">INDEX(INDIRECT(_xlfn.CONCAT("weather.tbl[",R$1,"]")),MATCH(vp.tbl[[#This Row],[SDate]],weather.tbl[Date],0))</f>
        <v>2.5</v>
      </c>
      <c r="S802" s="2">
        <f ca="1">INDEX(INDIRECT(_xlfn.CONCAT("weather.tbl[",S$1,"]")),MATCH(vp.tbl[[#This Row],[SDate]],weather.tbl[Date],0))</f>
        <v>4.9000000000000004</v>
      </c>
      <c r="T802" s="2">
        <f ca="1">INDEX(INDIRECT(_xlfn.CONCAT("weather.tbl[",T$1,"]")),MATCH(vp.tbl[[#This Row],[SDate]],weather.tbl[Date],0))</f>
        <v>0.4</v>
      </c>
      <c r="U802" s="2">
        <f ca="1">INDEX(INDIRECT(_xlfn.CONCAT("weather.tbl[",U$1,"]")),MATCH(vp.tbl[[#This Row],[SDate]],weather.tbl[Date],0))</f>
        <v>3.5</v>
      </c>
      <c r="V802" s="2">
        <v>2335.377</v>
      </c>
      <c r="W802" t="s">
        <v>48</v>
      </c>
      <c r="X802">
        <f>IF(OR(vp.tbl[[#This Row],[Sulf]]="",vp.tbl[[#This Row],[Dens]]=""),1,0)</f>
        <v>0</v>
      </c>
      <c r="Y802">
        <f>IF(vp.tbl[[#This Row],[CrudeType]]="C5+",1,0)</f>
        <v>0</v>
      </c>
      <c r="Z802">
        <f>IF(AND(vp.tbl[[#This Row],[CrudeType]]="Crude",vp.tbl[[#This Row],[Dens]]&lt;=825,vp.tbl[[#This Row],[Sulf]]&gt;0.5,vp.tbl[[#This Row],[Unknown]]=0),1,0)</f>
        <v>1</v>
      </c>
      <c r="AA802">
        <f>IF(AND(vp.tbl[[#This Row],[CrudeType]]="Crude",vp.tbl[[#This Row],[Dens]]&lt;=825,vp.tbl[[#This Row],[Sulf]]&lt;=0.5,vp.tbl[[#This Row],[Unknown]]=0),1,0)</f>
        <v>0</v>
      </c>
      <c r="AB802">
        <f>IF(AND(vp.tbl[[#This Row],[CrudeType]]="Crude",vp.tbl[[#This Row],[Dens]]&gt;825,vp.tbl[[#This Row],[Dens]]&lt;=870,vp.tbl[[#This Row],[Sulf]]&gt;0.5,vp.tbl[[#This Row],[Unknown]]=0),1,0)</f>
        <v>0</v>
      </c>
      <c r="AC802">
        <f>IF(AND(vp.tbl[[#This Row],[CrudeType]]="Crude",vp.tbl[[#This Row],[Dens]]&gt;825,vp.tbl[[#This Row],[Dens]]&lt;=900,vp.tbl[[#This Row],[Sulf]]&lt;=0.5,vp.tbl[[#This Row],[Unknown]]=0),1,0)</f>
        <v>0</v>
      </c>
      <c r="AD802">
        <f>IF(AND(vp.tbl[[#This Row],[CrudeType]]="Crude",vp.tbl[[#This Row],[Dens]]&gt;870,vp.tbl[[#This Row],[Dens]]&lt;=900,vp.tbl[[#This Row],[Sulf]]&gt;0.5,vp.tbl[[#This Row],[Unknown]]=0),1,0)</f>
        <v>0</v>
      </c>
      <c r="AE802">
        <f>IF(AND(vp.tbl[[#This Row],[CrudeType]]="Crude",vp.tbl[[#This Row],[Dens]]&gt;900,vp.tbl[[#This Row],[Sulf]]&lt;=0.5,vp.tbl[[#This Row],[Unknown]]=0),1,0)</f>
        <v>0</v>
      </c>
      <c r="AF802">
        <f>IF(AND(vp.tbl[[#This Row],[CrudeType]]="Crude",vp.tbl[[#This Row],[Dens]]&gt;900,vp.tbl[[#This Row],[Sulf]]&lt;=0.5,vp.tbl[[#This Row],[Unknown]]=0),1,0)</f>
        <v>0</v>
      </c>
      <c r="AG802" t="str">
        <f>INDEX(vp.tbl[[#Headers],[Unknown]:[Heavy_SW]],MATCH(1,vp.tbl[[#This Row],[Unknown]:[Heavy_SW]],0))</f>
        <v>Light_LSB</v>
      </c>
      <c r="AH802" t="e">
        <f>INDEX([1]!crudeBD.lkup[Number],MATCH(vp.tbl[[#This Row],[Crude_Breakdown]],[1]!crudeBD.lkup[Crude Breakdown],0))</f>
        <v>#REF!</v>
      </c>
      <c r="AI802">
        <f>MONTH(vp.tbl[[#This Row],[SDate]])</f>
        <v>2</v>
      </c>
      <c r="AJ802" s="5">
        <f>IFERROR(vp.tbl[[#This Row],[Sulf]]*vp.tbl[[#This Row],[Net Dens]],"")</f>
        <v>1672006.8576321001</v>
      </c>
      <c r="AK802" s="5">
        <f>IFERROR(vp.tbl[[#This Row],[Dens]]*vp.tbl[[#This Row],[VolumeM3]],"")</f>
        <v>1915242.6777000001</v>
      </c>
      <c r="AL802" s="5">
        <f>IFERROR(vp.tbl[[#This Row],[VP]]*vp.tbl[[#This Row],[VolumeM3]],"")</f>
        <v>205980.25140000001</v>
      </c>
      <c r="AM802" s="4">
        <f>IFERROR((vp.tbl[[#This Row],[VP]]-INDEX(crudeBD.lkup.complete[Mean_VP],MATCH(vp.tbl[[#This Row],[Crude_Breakdown]],crudeBD.lkup.complete[Crude Breakdown],0)))^2,"")</f>
        <v>11.196957848868294</v>
      </c>
      <c r="AN802" s="4">
        <f>IFERROR((vp.tbl[[#This Row],[Dens]]-INDEX(crudeBD.lkup.complete[Mean_Dens],MATCH(vp.tbl[[#This Row],[Crude_Breakdown]],crudeBD.lkup.complete[Crude Breakdown],0)))^2,"")</f>
        <v>2.5066179945925335</v>
      </c>
      <c r="AO802" s="4">
        <f>IFERROR((vp.tbl[[#This Row],[Sulf]]-INDEX(crudeBD.lkup.complete[Mean_Sulf],MATCH(vp.tbl[[#This Row],[Crude_Breakdown]],crudeBD.lkup.complete[Crude Breakdown],0)))^2,"")</f>
        <v>2.4971176697499778E-3</v>
      </c>
      <c r="AP802">
        <f>IF(AND(vp.tbl[[#This Row],[SDate]]&gt;=DATE(YEAR(vp.tbl[[#This Row],[SDate]]),5,1),vp.tbl[[#This Row],[SDate]]&lt;=DATE(YEAR(vp.tbl[[#This Row],[SDate]]),9,15)),1,0)</f>
        <v>0</v>
      </c>
      <c r="AQ802" s="15">
        <f>IF(vp.tbl[[#This Row],[SDate]]&lt;DATE(2016,12,1),0,1)</f>
        <v>1</v>
      </c>
    </row>
    <row r="803" spans="1:43" x14ac:dyDescent="0.25">
      <c r="A803">
        <v>802</v>
      </c>
      <c r="B803" t="s">
        <v>51</v>
      </c>
      <c r="C803" t="s">
        <v>51</v>
      </c>
      <c r="D803" t="s">
        <v>66</v>
      </c>
      <c r="F803" s="1">
        <v>42782</v>
      </c>
      <c r="G803" s="2">
        <v>76.099999999999994</v>
      </c>
      <c r="H803" s="2"/>
      <c r="I803" s="2">
        <v>1.57</v>
      </c>
      <c r="J803" s="2">
        <v>5.5</v>
      </c>
      <c r="K803" s="2">
        <v>5</v>
      </c>
      <c r="L803" s="2">
        <v>823.4</v>
      </c>
      <c r="M803" s="2">
        <v>823.4</v>
      </c>
      <c r="N803" s="2">
        <f ca="1">INDEX(INDIRECT(_xlfn.CONCAT("weather.tbl[",N$1,"]")),MATCH(vp.tbl[[#This Row],[SDate]],weather.tbl[Date],0))</f>
        <v>2.8166666666666664</v>
      </c>
      <c r="O803" s="2">
        <f ca="1">INDEX(INDIRECT(_xlfn.CONCAT("weather.tbl[",O$1,"]")),MATCH(vp.tbl[[#This Row],[SDate]],weather.tbl[Date],0))</f>
        <v>-2.8642857142857143</v>
      </c>
      <c r="P803" s="2">
        <f ca="1">INDEX(INDIRECT(_xlfn.CONCAT("weather.tbl[",P$1,"]")),MATCH(vp.tbl[[#This Row],[SDate]],weather.tbl[Date],0))</f>
        <v>2.4</v>
      </c>
      <c r="Q803" s="2">
        <f ca="1">INDEX(INDIRECT(_xlfn.CONCAT("weather.tbl[",Q$1,"]")),MATCH(vp.tbl[[#This Row],[SDate]],weather.tbl[Date],0))</f>
        <v>3.2</v>
      </c>
      <c r="R803" s="2">
        <f ca="1">INDEX(INDIRECT(_xlfn.CONCAT("weather.tbl[",R$1,"]")),MATCH(vp.tbl[[#This Row],[SDate]],weather.tbl[Date],0))</f>
        <v>2.5</v>
      </c>
      <c r="S803" s="2">
        <f ca="1">INDEX(INDIRECT(_xlfn.CONCAT("weather.tbl[",S$1,"]")),MATCH(vp.tbl[[#This Row],[SDate]],weather.tbl[Date],0))</f>
        <v>4.9000000000000004</v>
      </c>
      <c r="T803" s="2">
        <f ca="1">INDEX(INDIRECT(_xlfn.CONCAT("weather.tbl[",T$1,"]")),MATCH(vp.tbl[[#This Row],[SDate]],weather.tbl[Date],0))</f>
        <v>0.4</v>
      </c>
      <c r="U803" s="2">
        <f ca="1">INDEX(INDIRECT(_xlfn.CONCAT("weather.tbl[",U$1,"]")),MATCH(vp.tbl[[#This Row],[SDate]],weather.tbl[Date],0))</f>
        <v>3.5</v>
      </c>
      <c r="V803" s="2">
        <v>3995.7719999999999</v>
      </c>
      <c r="W803" t="s">
        <v>48</v>
      </c>
      <c r="X803">
        <f>IF(OR(vp.tbl[[#This Row],[Sulf]]="",vp.tbl[[#This Row],[Dens]]=""),1,0)</f>
        <v>0</v>
      </c>
      <c r="Y803">
        <f>IF(vp.tbl[[#This Row],[CrudeType]]="C5+",1,0)</f>
        <v>0</v>
      </c>
      <c r="Z803">
        <f>IF(AND(vp.tbl[[#This Row],[CrudeType]]="Crude",vp.tbl[[#This Row],[Dens]]&lt;=825,vp.tbl[[#This Row],[Sulf]]&gt;0.5,vp.tbl[[#This Row],[Unknown]]=0),1,0)</f>
        <v>1</v>
      </c>
      <c r="AA803">
        <f>IF(AND(vp.tbl[[#This Row],[CrudeType]]="Crude",vp.tbl[[#This Row],[Dens]]&lt;=825,vp.tbl[[#This Row],[Sulf]]&lt;=0.5,vp.tbl[[#This Row],[Unknown]]=0),1,0)</f>
        <v>0</v>
      </c>
      <c r="AB803">
        <f>IF(AND(vp.tbl[[#This Row],[CrudeType]]="Crude",vp.tbl[[#This Row],[Dens]]&gt;825,vp.tbl[[#This Row],[Dens]]&lt;=870,vp.tbl[[#This Row],[Sulf]]&gt;0.5,vp.tbl[[#This Row],[Unknown]]=0),1,0)</f>
        <v>0</v>
      </c>
      <c r="AC803">
        <f>IF(AND(vp.tbl[[#This Row],[CrudeType]]="Crude",vp.tbl[[#This Row],[Dens]]&gt;825,vp.tbl[[#This Row],[Dens]]&lt;=900,vp.tbl[[#This Row],[Sulf]]&lt;=0.5,vp.tbl[[#This Row],[Unknown]]=0),1,0)</f>
        <v>0</v>
      </c>
      <c r="AD803">
        <f>IF(AND(vp.tbl[[#This Row],[CrudeType]]="Crude",vp.tbl[[#This Row],[Dens]]&gt;870,vp.tbl[[#This Row],[Dens]]&lt;=900,vp.tbl[[#This Row],[Sulf]]&gt;0.5,vp.tbl[[#This Row],[Unknown]]=0),1,0)</f>
        <v>0</v>
      </c>
      <c r="AE803">
        <f>IF(AND(vp.tbl[[#This Row],[CrudeType]]="Crude",vp.tbl[[#This Row],[Dens]]&gt;900,vp.tbl[[#This Row],[Sulf]]&lt;=0.5,vp.tbl[[#This Row],[Unknown]]=0),1,0)</f>
        <v>0</v>
      </c>
      <c r="AF803">
        <f>IF(AND(vp.tbl[[#This Row],[CrudeType]]="Crude",vp.tbl[[#This Row],[Dens]]&gt;900,vp.tbl[[#This Row],[Sulf]]&lt;=0.5,vp.tbl[[#This Row],[Unknown]]=0),1,0)</f>
        <v>0</v>
      </c>
      <c r="AG803" t="str">
        <f>INDEX(vp.tbl[[#Headers],[Unknown]:[Heavy_SW]],MATCH(1,vp.tbl[[#This Row],[Unknown]:[Heavy_SW]],0))</f>
        <v>Light_LSB</v>
      </c>
      <c r="AH803" t="e">
        <f>INDEX([1]!crudeBD.lkup[Number],MATCH(vp.tbl[[#This Row],[Crude_Breakdown]],[1]!crudeBD.lkup[Crude Breakdown],0))</f>
        <v>#REF!</v>
      </c>
      <c r="AI803">
        <f>MONTH(vp.tbl[[#This Row],[SDate]])</f>
        <v>2</v>
      </c>
      <c r="AJ803" s="5">
        <f>IFERROR(vp.tbl[[#This Row],[Sulf]]*vp.tbl[[#This Row],[Net Dens]],"")</f>
        <v>5165486.3037360003</v>
      </c>
      <c r="AK803" s="5">
        <f>IFERROR(vp.tbl[[#This Row],[Dens]]*vp.tbl[[#This Row],[VolumeM3]],"")</f>
        <v>3290118.6647999999</v>
      </c>
      <c r="AL803" s="5">
        <f>IFERROR(vp.tbl[[#This Row],[VP]]*vp.tbl[[#This Row],[VolumeM3]],"")</f>
        <v>304078.24919999996</v>
      </c>
      <c r="AM803" s="4">
        <f>IFERROR((vp.tbl[[#This Row],[VP]]-INDEX(crudeBD.lkup.complete[Mean_VP],MATCH(vp.tbl[[#This Row],[Crude_Breakdown]],crudeBD.lkup.complete[Crude Breakdown],0)))^2,"")</f>
        <v>238.58464857051874</v>
      </c>
      <c r="AN803" s="4">
        <f>IFERROR((vp.tbl[[#This Row],[Dens]]-INDEX(crudeBD.lkup.complete[Mean_Dens],MATCH(vp.tbl[[#This Row],[Crude_Breakdown]],crudeBD.lkup.complete[Crude Breakdown],0)))^2,"")</f>
        <v>23.845937582223179</v>
      </c>
      <c r="AO803" s="4">
        <f>IFERROR((vp.tbl[[#This Row],[Sulf]]-INDEX(crudeBD.lkup.complete[Mean_Sulf],MATCH(vp.tbl[[#This Row],[Crude_Breakdown]],crudeBD.lkup.complete[Crude Breakdown],0)))^2,"")</f>
        <v>0.41864630894122806</v>
      </c>
      <c r="AP803">
        <f>IF(AND(vp.tbl[[#This Row],[SDate]]&gt;=DATE(YEAR(vp.tbl[[#This Row],[SDate]]),5,1),vp.tbl[[#This Row],[SDate]]&lt;=DATE(YEAR(vp.tbl[[#This Row],[SDate]]),9,15)),1,0)</f>
        <v>0</v>
      </c>
      <c r="AQ803" s="15">
        <f>IF(vp.tbl[[#This Row],[SDate]]&lt;DATE(2016,12,1),0,1)</f>
        <v>1</v>
      </c>
    </row>
    <row r="804" spans="1:43" x14ac:dyDescent="0.25">
      <c r="A804">
        <v>803</v>
      </c>
      <c r="B804" t="s">
        <v>51</v>
      </c>
      <c r="C804" t="s">
        <v>51</v>
      </c>
      <c r="D804" t="s">
        <v>71</v>
      </c>
      <c r="F804" s="1">
        <v>42782</v>
      </c>
      <c r="G804" s="2">
        <v>86.3</v>
      </c>
      <c r="H804" s="2"/>
      <c r="I804" s="2">
        <v>1.61</v>
      </c>
      <c r="J804" s="2">
        <v>8.6999999999999993</v>
      </c>
      <c r="K804" s="2">
        <v>5</v>
      </c>
      <c r="L804" s="2">
        <v>823.5</v>
      </c>
      <c r="M804" s="2">
        <v>823.5</v>
      </c>
      <c r="N804" s="2">
        <f ca="1">INDEX(INDIRECT(_xlfn.CONCAT("weather.tbl[",N$1,"]")),MATCH(vp.tbl[[#This Row],[SDate]],weather.tbl[Date],0))</f>
        <v>2.8166666666666664</v>
      </c>
      <c r="O804" s="2">
        <f ca="1">INDEX(INDIRECT(_xlfn.CONCAT("weather.tbl[",O$1,"]")),MATCH(vp.tbl[[#This Row],[SDate]],weather.tbl[Date],0))</f>
        <v>-2.8642857142857143</v>
      </c>
      <c r="P804" s="2">
        <f ca="1">INDEX(INDIRECT(_xlfn.CONCAT("weather.tbl[",P$1,"]")),MATCH(vp.tbl[[#This Row],[SDate]],weather.tbl[Date],0))</f>
        <v>2.4</v>
      </c>
      <c r="Q804" s="2">
        <f ca="1">INDEX(INDIRECT(_xlfn.CONCAT("weather.tbl[",Q$1,"]")),MATCH(vp.tbl[[#This Row],[SDate]],weather.tbl[Date],0))</f>
        <v>3.2</v>
      </c>
      <c r="R804" s="2">
        <f ca="1">INDEX(INDIRECT(_xlfn.CONCAT("weather.tbl[",R$1,"]")),MATCH(vp.tbl[[#This Row],[SDate]],weather.tbl[Date],0))</f>
        <v>2.5</v>
      </c>
      <c r="S804" s="2">
        <f ca="1">INDEX(INDIRECT(_xlfn.CONCAT("weather.tbl[",S$1,"]")),MATCH(vp.tbl[[#This Row],[SDate]],weather.tbl[Date],0))</f>
        <v>4.9000000000000004</v>
      </c>
      <c r="T804" s="2">
        <f ca="1">INDEX(INDIRECT(_xlfn.CONCAT("weather.tbl[",T$1,"]")),MATCH(vp.tbl[[#This Row],[SDate]],weather.tbl[Date],0))</f>
        <v>0.4</v>
      </c>
      <c r="U804" s="2">
        <f ca="1">INDEX(INDIRECT(_xlfn.CONCAT("weather.tbl[",U$1,"]")),MATCH(vp.tbl[[#This Row],[SDate]],weather.tbl[Date],0))</f>
        <v>3.5</v>
      </c>
      <c r="V804" s="2">
        <v>7771.3980000000001</v>
      </c>
      <c r="W804" t="s">
        <v>48</v>
      </c>
      <c r="X804">
        <f>IF(OR(vp.tbl[[#This Row],[Sulf]]="",vp.tbl[[#This Row],[Dens]]=""),1,0)</f>
        <v>0</v>
      </c>
      <c r="Y804">
        <f>IF(vp.tbl[[#This Row],[CrudeType]]="C5+",1,0)</f>
        <v>0</v>
      </c>
      <c r="Z804">
        <f>IF(AND(vp.tbl[[#This Row],[CrudeType]]="Crude",vp.tbl[[#This Row],[Dens]]&lt;=825,vp.tbl[[#This Row],[Sulf]]&gt;0.5,vp.tbl[[#This Row],[Unknown]]=0),1,0)</f>
        <v>1</v>
      </c>
      <c r="AA804">
        <f>IF(AND(vp.tbl[[#This Row],[CrudeType]]="Crude",vp.tbl[[#This Row],[Dens]]&lt;=825,vp.tbl[[#This Row],[Sulf]]&lt;=0.5,vp.tbl[[#This Row],[Unknown]]=0),1,0)</f>
        <v>0</v>
      </c>
      <c r="AB804">
        <f>IF(AND(vp.tbl[[#This Row],[CrudeType]]="Crude",vp.tbl[[#This Row],[Dens]]&gt;825,vp.tbl[[#This Row],[Dens]]&lt;=870,vp.tbl[[#This Row],[Sulf]]&gt;0.5,vp.tbl[[#This Row],[Unknown]]=0),1,0)</f>
        <v>0</v>
      </c>
      <c r="AC804">
        <f>IF(AND(vp.tbl[[#This Row],[CrudeType]]="Crude",vp.tbl[[#This Row],[Dens]]&gt;825,vp.tbl[[#This Row],[Dens]]&lt;=900,vp.tbl[[#This Row],[Sulf]]&lt;=0.5,vp.tbl[[#This Row],[Unknown]]=0),1,0)</f>
        <v>0</v>
      </c>
      <c r="AD804">
        <f>IF(AND(vp.tbl[[#This Row],[CrudeType]]="Crude",vp.tbl[[#This Row],[Dens]]&gt;870,vp.tbl[[#This Row],[Dens]]&lt;=900,vp.tbl[[#This Row],[Sulf]]&gt;0.5,vp.tbl[[#This Row],[Unknown]]=0),1,0)</f>
        <v>0</v>
      </c>
      <c r="AE804">
        <f>IF(AND(vp.tbl[[#This Row],[CrudeType]]="Crude",vp.tbl[[#This Row],[Dens]]&gt;900,vp.tbl[[#This Row],[Sulf]]&lt;=0.5,vp.tbl[[#This Row],[Unknown]]=0),1,0)</f>
        <v>0</v>
      </c>
      <c r="AF804">
        <f>IF(AND(vp.tbl[[#This Row],[CrudeType]]="Crude",vp.tbl[[#This Row],[Dens]]&gt;900,vp.tbl[[#This Row],[Sulf]]&lt;=0.5,vp.tbl[[#This Row],[Unknown]]=0),1,0)</f>
        <v>0</v>
      </c>
      <c r="AG804" t="str">
        <f>INDEX(vp.tbl[[#Headers],[Unknown]:[Heavy_SW]],MATCH(1,vp.tbl[[#This Row],[Unknown]:[Heavy_SW]],0))</f>
        <v>Light_LSB</v>
      </c>
      <c r="AH804" t="e">
        <f>INDEX([1]!crudeBD.lkup[Number],MATCH(vp.tbl[[#This Row],[Crude_Breakdown]],[1]!crudeBD.lkup[Crude Breakdown],0))</f>
        <v>#REF!</v>
      </c>
      <c r="AI804">
        <f>MONTH(vp.tbl[[#This Row],[SDate]])</f>
        <v>2</v>
      </c>
      <c r="AJ804" s="5">
        <f>IFERROR(vp.tbl[[#This Row],[Sulf]]*vp.tbl[[#This Row],[Net Dens]],"")</f>
        <v>10303591.467330001</v>
      </c>
      <c r="AK804" s="5">
        <f>IFERROR(vp.tbl[[#This Row],[Dens]]*vp.tbl[[#This Row],[VolumeM3]],"")</f>
        <v>6399746.2530000005</v>
      </c>
      <c r="AL804" s="5">
        <f>IFERROR(vp.tbl[[#This Row],[VP]]*vp.tbl[[#This Row],[VolumeM3]],"")</f>
        <v>670671.64740000002</v>
      </c>
      <c r="AM804" s="4">
        <f>IFERROR((vp.tbl[[#This Row],[VP]]-INDEX(crudeBD.lkup.complete[Mean_VP],MATCH(vp.tbl[[#This Row],[Crude_Breakdown]],crudeBD.lkup.complete[Crude Breakdown],0)))^2,"")</f>
        <v>27.522463003507635</v>
      </c>
      <c r="AN804" s="4">
        <f>IFERROR((vp.tbl[[#This Row],[Dens]]-INDEX(crudeBD.lkup.complete[Mean_Dens],MATCH(vp.tbl[[#This Row],[Crude_Breakdown]],crudeBD.lkup.complete[Crude Breakdown],0)))^2,"")</f>
        <v>24.832583630333428</v>
      </c>
      <c r="AO804" s="4">
        <f>IFERROR((vp.tbl[[#This Row],[Sulf]]-INDEX(crudeBD.lkup.complete[Mean_Sulf],MATCH(vp.tbl[[#This Row],[Crude_Breakdown]],crudeBD.lkup.complete[Crude Breakdown],0)))^2,"")</f>
        <v>0.47200861547043776</v>
      </c>
      <c r="AP804">
        <f>IF(AND(vp.tbl[[#This Row],[SDate]]&gt;=DATE(YEAR(vp.tbl[[#This Row],[SDate]]),5,1),vp.tbl[[#This Row],[SDate]]&lt;=DATE(YEAR(vp.tbl[[#This Row],[SDate]]),9,15)),1,0)</f>
        <v>0</v>
      </c>
      <c r="AQ804" s="15">
        <f>IF(vp.tbl[[#This Row],[SDate]]&lt;DATE(2016,12,1),0,1)</f>
        <v>1</v>
      </c>
    </row>
    <row r="805" spans="1:43" x14ac:dyDescent="0.25">
      <c r="A805">
        <v>804</v>
      </c>
      <c r="B805" t="s">
        <v>96</v>
      </c>
      <c r="C805" t="s">
        <v>96</v>
      </c>
      <c r="D805" t="s">
        <v>97</v>
      </c>
      <c r="F805" s="1">
        <v>42782</v>
      </c>
      <c r="G805" s="2">
        <v>74.3</v>
      </c>
      <c r="H805" s="2"/>
      <c r="I805" s="2">
        <v>0.73</v>
      </c>
      <c r="J805" s="2">
        <v>27.7</v>
      </c>
      <c r="K805" s="2">
        <v>5</v>
      </c>
      <c r="L805" s="2">
        <v>827.9</v>
      </c>
      <c r="M805" s="2">
        <v>827.9</v>
      </c>
      <c r="N805" s="2">
        <f ca="1">INDEX(INDIRECT(_xlfn.CONCAT("weather.tbl[",N$1,"]")),MATCH(vp.tbl[[#This Row],[SDate]],weather.tbl[Date],0))</f>
        <v>2.8166666666666664</v>
      </c>
      <c r="O805" s="2">
        <f ca="1">INDEX(INDIRECT(_xlfn.CONCAT("weather.tbl[",O$1,"]")),MATCH(vp.tbl[[#This Row],[SDate]],weather.tbl[Date],0))</f>
        <v>-2.8642857142857143</v>
      </c>
      <c r="P805" s="2">
        <f ca="1">INDEX(INDIRECT(_xlfn.CONCAT("weather.tbl[",P$1,"]")),MATCH(vp.tbl[[#This Row],[SDate]],weather.tbl[Date],0))</f>
        <v>2.4</v>
      </c>
      <c r="Q805" s="2">
        <f ca="1">INDEX(INDIRECT(_xlfn.CONCAT("weather.tbl[",Q$1,"]")),MATCH(vp.tbl[[#This Row],[SDate]],weather.tbl[Date],0))</f>
        <v>3.2</v>
      </c>
      <c r="R805" s="2">
        <f ca="1">INDEX(INDIRECT(_xlfn.CONCAT("weather.tbl[",R$1,"]")),MATCH(vp.tbl[[#This Row],[SDate]],weather.tbl[Date],0))</f>
        <v>2.5</v>
      </c>
      <c r="S805" s="2">
        <f ca="1">INDEX(INDIRECT(_xlfn.CONCAT("weather.tbl[",S$1,"]")),MATCH(vp.tbl[[#This Row],[SDate]],weather.tbl[Date],0))</f>
        <v>4.9000000000000004</v>
      </c>
      <c r="T805" s="2">
        <f ca="1">INDEX(INDIRECT(_xlfn.CONCAT("weather.tbl[",T$1,"]")),MATCH(vp.tbl[[#This Row],[SDate]],weather.tbl[Date],0))</f>
        <v>0.4</v>
      </c>
      <c r="U805" s="2">
        <f ca="1">INDEX(INDIRECT(_xlfn.CONCAT("weather.tbl[",U$1,"]")),MATCH(vp.tbl[[#This Row],[SDate]],weather.tbl[Date],0))</f>
        <v>3.5</v>
      </c>
      <c r="V805" s="2">
        <v>7093.32</v>
      </c>
      <c r="W805" t="s">
        <v>48</v>
      </c>
      <c r="X805">
        <f>IF(OR(vp.tbl[[#This Row],[Sulf]]="",vp.tbl[[#This Row],[Dens]]=""),1,0)</f>
        <v>0</v>
      </c>
      <c r="Y805">
        <f>IF(vp.tbl[[#This Row],[CrudeType]]="C5+",1,0)</f>
        <v>0</v>
      </c>
      <c r="Z805">
        <f>IF(AND(vp.tbl[[#This Row],[CrudeType]]="Crude",vp.tbl[[#This Row],[Dens]]&lt;=825,vp.tbl[[#This Row],[Sulf]]&gt;0.5,vp.tbl[[#This Row],[Unknown]]=0),1,0)</f>
        <v>0</v>
      </c>
      <c r="AA805">
        <f>IF(AND(vp.tbl[[#This Row],[CrudeType]]="Crude",vp.tbl[[#This Row],[Dens]]&lt;=825,vp.tbl[[#This Row],[Sulf]]&lt;=0.5,vp.tbl[[#This Row],[Unknown]]=0),1,0)</f>
        <v>0</v>
      </c>
      <c r="AB805">
        <f>IF(AND(vp.tbl[[#This Row],[CrudeType]]="Crude",vp.tbl[[#This Row],[Dens]]&gt;825,vp.tbl[[#This Row],[Dens]]&lt;=870,vp.tbl[[#This Row],[Sulf]]&gt;0.5,vp.tbl[[#This Row],[Unknown]]=0),1,0)</f>
        <v>1</v>
      </c>
      <c r="AC805">
        <f>IF(AND(vp.tbl[[#This Row],[CrudeType]]="Crude",vp.tbl[[#This Row],[Dens]]&gt;825,vp.tbl[[#This Row],[Dens]]&lt;=900,vp.tbl[[#This Row],[Sulf]]&lt;=0.5,vp.tbl[[#This Row],[Unknown]]=0),1,0)</f>
        <v>0</v>
      </c>
      <c r="AD805">
        <f>IF(AND(vp.tbl[[#This Row],[CrudeType]]="Crude",vp.tbl[[#This Row],[Dens]]&gt;870,vp.tbl[[#This Row],[Dens]]&lt;=900,vp.tbl[[#This Row],[Sulf]]&gt;0.5,vp.tbl[[#This Row],[Unknown]]=0),1,0)</f>
        <v>0</v>
      </c>
      <c r="AE805">
        <f>IF(AND(vp.tbl[[#This Row],[CrudeType]]="Crude",vp.tbl[[#This Row],[Dens]]&gt;900,vp.tbl[[#This Row],[Sulf]]&lt;=0.5,vp.tbl[[#This Row],[Unknown]]=0),1,0)</f>
        <v>0</v>
      </c>
      <c r="AF805">
        <f>IF(AND(vp.tbl[[#This Row],[CrudeType]]="Crude",vp.tbl[[#This Row],[Dens]]&gt;900,vp.tbl[[#This Row],[Sulf]]&lt;=0.5,vp.tbl[[#This Row],[Unknown]]=0),1,0)</f>
        <v>0</v>
      </c>
      <c r="AG805" t="str">
        <f>INDEX(vp.tbl[[#Headers],[Unknown]:[Heavy_SW]],MATCH(1,vp.tbl[[#This Row],[Unknown]:[Heavy_SW]],0))</f>
        <v>Medium_LSB</v>
      </c>
      <c r="AH805" t="e">
        <f>INDEX([1]!crudeBD.lkup[Number],MATCH(vp.tbl[[#This Row],[Crude_Breakdown]],[1]!crudeBD.lkup[Crude Breakdown],0))</f>
        <v>#REF!</v>
      </c>
      <c r="AI805">
        <f>MONTH(vp.tbl[[#This Row],[SDate]])</f>
        <v>2</v>
      </c>
      <c r="AJ805" s="5">
        <f>IFERROR(vp.tbl[[#This Row],[Sulf]]*vp.tbl[[#This Row],[Net Dens]],"")</f>
        <v>4286968.5284399996</v>
      </c>
      <c r="AK805" s="5">
        <f>IFERROR(vp.tbl[[#This Row],[Dens]]*vp.tbl[[#This Row],[VolumeM3]],"")</f>
        <v>5872559.6279999996</v>
      </c>
      <c r="AL805" s="5">
        <f>IFERROR(vp.tbl[[#This Row],[VP]]*vp.tbl[[#This Row],[VolumeM3]],"")</f>
        <v>527033.67599999998</v>
      </c>
      <c r="AM805" s="4">
        <f>IFERROR((vp.tbl[[#This Row],[VP]]-INDEX(crudeBD.lkup.complete[Mean_VP],MATCH(vp.tbl[[#This Row],[Crude_Breakdown]],crudeBD.lkup.complete[Crude Breakdown],0)))^2,"")</f>
        <v>34.499117480531567</v>
      </c>
      <c r="AN805" s="4">
        <f>IFERROR((vp.tbl[[#This Row],[Dens]]-INDEX(crudeBD.lkup.complete[Mean_Dens],MATCH(vp.tbl[[#This Row],[Crude_Breakdown]],crudeBD.lkup.complete[Crude Breakdown],0)))^2,"")</f>
        <v>302.47549977820722</v>
      </c>
      <c r="AO805" s="4">
        <f>IFERROR((vp.tbl[[#This Row],[Sulf]]-INDEX(crudeBD.lkup.complete[Mean_Sulf],MATCH(vp.tbl[[#This Row],[Crude_Breakdown]],crudeBD.lkup.complete[Crude Breakdown],0)))^2,"")</f>
        <v>0.5255233030207811</v>
      </c>
      <c r="AP805">
        <f>IF(AND(vp.tbl[[#This Row],[SDate]]&gt;=DATE(YEAR(vp.tbl[[#This Row],[SDate]]),5,1),vp.tbl[[#This Row],[SDate]]&lt;=DATE(YEAR(vp.tbl[[#This Row],[SDate]]),9,15)),1,0)</f>
        <v>0</v>
      </c>
      <c r="AQ805" s="15">
        <f>IF(vp.tbl[[#This Row],[SDate]]&lt;DATE(2016,12,1),0,1)</f>
        <v>1</v>
      </c>
    </row>
    <row r="806" spans="1:43" x14ac:dyDescent="0.25">
      <c r="A806">
        <v>805</v>
      </c>
      <c r="B806" t="s">
        <v>108</v>
      </c>
      <c r="C806" t="s">
        <v>108</v>
      </c>
      <c r="D806" t="s">
        <v>109</v>
      </c>
      <c r="F806" s="1">
        <v>42782</v>
      </c>
      <c r="G806" s="2">
        <v>85.5</v>
      </c>
      <c r="H806" s="2"/>
      <c r="I806" s="2">
        <v>0.77</v>
      </c>
      <c r="J806" s="2">
        <v>25.9</v>
      </c>
      <c r="K806" s="2">
        <v>5</v>
      </c>
      <c r="L806" s="2">
        <v>834.6</v>
      </c>
      <c r="M806" s="2">
        <v>834.6</v>
      </c>
      <c r="N806" s="2">
        <f ca="1">INDEX(INDIRECT(_xlfn.CONCAT("weather.tbl[",N$1,"]")),MATCH(vp.tbl[[#This Row],[SDate]],weather.tbl[Date],0))</f>
        <v>2.8166666666666664</v>
      </c>
      <c r="O806" s="2">
        <f ca="1">INDEX(INDIRECT(_xlfn.CONCAT("weather.tbl[",O$1,"]")),MATCH(vp.tbl[[#This Row],[SDate]],weather.tbl[Date],0))</f>
        <v>-2.8642857142857143</v>
      </c>
      <c r="P806" s="2">
        <f ca="1">INDEX(INDIRECT(_xlfn.CONCAT("weather.tbl[",P$1,"]")),MATCH(vp.tbl[[#This Row],[SDate]],weather.tbl[Date],0))</f>
        <v>2.4</v>
      </c>
      <c r="Q806" s="2">
        <f ca="1">INDEX(INDIRECT(_xlfn.CONCAT("weather.tbl[",Q$1,"]")),MATCH(vp.tbl[[#This Row],[SDate]],weather.tbl[Date],0))</f>
        <v>3.2</v>
      </c>
      <c r="R806" s="2">
        <f ca="1">INDEX(INDIRECT(_xlfn.CONCAT("weather.tbl[",R$1,"]")),MATCH(vp.tbl[[#This Row],[SDate]],weather.tbl[Date],0))</f>
        <v>2.5</v>
      </c>
      <c r="S806" s="2">
        <f ca="1">INDEX(INDIRECT(_xlfn.CONCAT("weather.tbl[",S$1,"]")),MATCH(vp.tbl[[#This Row],[SDate]],weather.tbl[Date],0))</f>
        <v>4.9000000000000004</v>
      </c>
      <c r="T806" s="2">
        <f ca="1">INDEX(INDIRECT(_xlfn.CONCAT("weather.tbl[",T$1,"]")),MATCH(vp.tbl[[#This Row],[SDate]],weather.tbl[Date],0))</f>
        <v>0.4</v>
      </c>
      <c r="U806" s="2">
        <f ca="1">INDEX(INDIRECT(_xlfn.CONCAT("weather.tbl[",U$1,"]")),MATCH(vp.tbl[[#This Row],[SDate]],weather.tbl[Date],0))</f>
        <v>3.5</v>
      </c>
      <c r="V806" s="2">
        <v>8446.2999999999993</v>
      </c>
      <c r="W806" t="s">
        <v>48</v>
      </c>
      <c r="X806">
        <f>IF(OR(vp.tbl[[#This Row],[Sulf]]="",vp.tbl[[#This Row],[Dens]]=""),1,0)</f>
        <v>0</v>
      </c>
      <c r="Y806">
        <f>IF(vp.tbl[[#This Row],[CrudeType]]="C5+",1,0)</f>
        <v>0</v>
      </c>
      <c r="Z806">
        <f>IF(AND(vp.tbl[[#This Row],[CrudeType]]="Crude",vp.tbl[[#This Row],[Dens]]&lt;=825,vp.tbl[[#This Row],[Sulf]]&gt;0.5,vp.tbl[[#This Row],[Unknown]]=0),1,0)</f>
        <v>0</v>
      </c>
      <c r="AA806">
        <f>IF(AND(vp.tbl[[#This Row],[CrudeType]]="Crude",vp.tbl[[#This Row],[Dens]]&lt;=825,vp.tbl[[#This Row],[Sulf]]&lt;=0.5,vp.tbl[[#This Row],[Unknown]]=0),1,0)</f>
        <v>0</v>
      </c>
      <c r="AB806">
        <f>IF(AND(vp.tbl[[#This Row],[CrudeType]]="Crude",vp.tbl[[#This Row],[Dens]]&gt;825,vp.tbl[[#This Row],[Dens]]&lt;=870,vp.tbl[[#This Row],[Sulf]]&gt;0.5,vp.tbl[[#This Row],[Unknown]]=0),1,0)</f>
        <v>1</v>
      </c>
      <c r="AC806">
        <f>IF(AND(vp.tbl[[#This Row],[CrudeType]]="Crude",vp.tbl[[#This Row],[Dens]]&gt;825,vp.tbl[[#This Row],[Dens]]&lt;=900,vp.tbl[[#This Row],[Sulf]]&lt;=0.5,vp.tbl[[#This Row],[Unknown]]=0),1,0)</f>
        <v>0</v>
      </c>
      <c r="AD806">
        <f>IF(AND(vp.tbl[[#This Row],[CrudeType]]="Crude",vp.tbl[[#This Row],[Dens]]&gt;870,vp.tbl[[#This Row],[Dens]]&lt;=900,vp.tbl[[#This Row],[Sulf]]&gt;0.5,vp.tbl[[#This Row],[Unknown]]=0),1,0)</f>
        <v>0</v>
      </c>
      <c r="AE806">
        <f>IF(AND(vp.tbl[[#This Row],[CrudeType]]="Crude",vp.tbl[[#This Row],[Dens]]&gt;900,vp.tbl[[#This Row],[Sulf]]&lt;=0.5,vp.tbl[[#This Row],[Unknown]]=0),1,0)</f>
        <v>0</v>
      </c>
      <c r="AF806">
        <f>IF(AND(vp.tbl[[#This Row],[CrudeType]]="Crude",vp.tbl[[#This Row],[Dens]]&gt;900,vp.tbl[[#This Row],[Sulf]]&lt;=0.5,vp.tbl[[#This Row],[Unknown]]=0),1,0)</f>
        <v>0</v>
      </c>
      <c r="AG806" t="str">
        <f>INDEX(vp.tbl[[#Headers],[Unknown]:[Heavy_SW]],MATCH(1,vp.tbl[[#This Row],[Unknown]:[Heavy_SW]],0))</f>
        <v>Medium_LSB</v>
      </c>
      <c r="AH806" t="e">
        <f>INDEX([1]!crudeBD.lkup[Number],MATCH(vp.tbl[[#This Row],[Crude_Breakdown]],[1]!crudeBD.lkup[Crude Breakdown],0))</f>
        <v>#REF!</v>
      </c>
      <c r="AI806">
        <f>MONTH(vp.tbl[[#This Row],[SDate]])</f>
        <v>2</v>
      </c>
      <c r="AJ806" s="5">
        <f>IFERROR(vp.tbl[[#This Row],[Sulf]]*vp.tbl[[#This Row],[Net Dens]],"")</f>
        <v>5427947.1245999997</v>
      </c>
      <c r="AK806" s="5">
        <f>IFERROR(vp.tbl[[#This Row],[Dens]]*vp.tbl[[#This Row],[VolumeM3]],"")</f>
        <v>7049281.9799999995</v>
      </c>
      <c r="AL806" s="5">
        <f>IFERROR(vp.tbl[[#This Row],[VP]]*vp.tbl[[#This Row],[VolumeM3]],"")</f>
        <v>722158.64999999991</v>
      </c>
      <c r="AM806" s="4">
        <f>IFERROR((vp.tbl[[#This Row],[VP]]-INDEX(crudeBD.lkup.complete[Mean_VP],MATCH(vp.tbl[[#This Row],[Crude_Breakdown]],crudeBD.lkup.complete[Crude Breakdown],0)))^2,"")</f>
        <v>28.370590898253877</v>
      </c>
      <c r="AN806" s="4">
        <f>IFERROR((vp.tbl[[#This Row],[Dens]]-INDEX(crudeBD.lkup.complete[Mean_Dens],MATCH(vp.tbl[[#This Row],[Crude_Breakdown]],crudeBD.lkup.complete[Crude Breakdown],0)))^2,"")</f>
        <v>114.31507446176343</v>
      </c>
      <c r="AO806" s="4">
        <f>IFERROR((vp.tbl[[#This Row],[Sulf]]-INDEX(crudeBD.lkup.complete[Mean_Sulf],MATCH(vp.tbl[[#This Row],[Crude_Breakdown]],crudeBD.lkup.complete[Crude Breakdown],0)))^2,"")</f>
        <v>0.46912891416002139</v>
      </c>
      <c r="AP806">
        <f>IF(AND(vp.tbl[[#This Row],[SDate]]&gt;=DATE(YEAR(vp.tbl[[#This Row],[SDate]]),5,1),vp.tbl[[#This Row],[SDate]]&lt;=DATE(YEAR(vp.tbl[[#This Row],[SDate]]),9,15)),1,0)</f>
        <v>0</v>
      </c>
      <c r="AQ806" s="15">
        <f>IF(vp.tbl[[#This Row],[SDate]]&lt;DATE(2016,12,1),0,1)</f>
        <v>1</v>
      </c>
    </row>
    <row r="807" spans="1:43" x14ac:dyDescent="0.25">
      <c r="A807">
        <v>806</v>
      </c>
      <c r="B807" t="s">
        <v>62</v>
      </c>
      <c r="C807" t="s">
        <v>62</v>
      </c>
      <c r="D807" t="s">
        <v>93</v>
      </c>
      <c r="F807" s="1">
        <v>42782</v>
      </c>
      <c r="G807" s="2">
        <v>108.1</v>
      </c>
      <c r="H807" s="2"/>
      <c r="I807" s="2">
        <v>0.52</v>
      </c>
      <c r="J807" s="2">
        <v>8.4</v>
      </c>
      <c r="K807" s="2">
        <v>5</v>
      </c>
      <c r="L807" s="2">
        <v>836</v>
      </c>
      <c r="M807" s="2">
        <v>836</v>
      </c>
      <c r="N807" s="2">
        <f ca="1">INDEX(INDIRECT(_xlfn.CONCAT("weather.tbl[",N$1,"]")),MATCH(vp.tbl[[#This Row],[SDate]],weather.tbl[Date],0))</f>
        <v>2.8166666666666664</v>
      </c>
      <c r="O807" s="2">
        <f ca="1">INDEX(INDIRECT(_xlfn.CONCAT("weather.tbl[",O$1,"]")),MATCH(vp.tbl[[#This Row],[SDate]],weather.tbl[Date],0))</f>
        <v>-2.8642857142857143</v>
      </c>
      <c r="P807" s="2">
        <f ca="1">INDEX(INDIRECT(_xlfn.CONCAT("weather.tbl[",P$1,"]")),MATCH(vp.tbl[[#This Row],[SDate]],weather.tbl[Date],0))</f>
        <v>2.4</v>
      </c>
      <c r="Q807" s="2">
        <f ca="1">INDEX(INDIRECT(_xlfn.CONCAT("weather.tbl[",Q$1,"]")),MATCH(vp.tbl[[#This Row],[SDate]],weather.tbl[Date],0))</f>
        <v>3.2</v>
      </c>
      <c r="R807" s="2">
        <f ca="1">INDEX(INDIRECT(_xlfn.CONCAT("weather.tbl[",R$1,"]")),MATCH(vp.tbl[[#This Row],[SDate]],weather.tbl[Date],0))</f>
        <v>2.5</v>
      </c>
      <c r="S807" s="2">
        <f ca="1">INDEX(INDIRECT(_xlfn.CONCAT("weather.tbl[",S$1,"]")),MATCH(vp.tbl[[#This Row],[SDate]],weather.tbl[Date],0))</f>
        <v>4.9000000000000004</v>
      </c>
      <c r="T807" s="2">
        <f ca="1">INDEX(INDIRECT(_xlfn.CONCAT("weather.tbl[",T$1,"]")),MATCH(vp.tbl[[#This Row],[SDate]],weather.tbl[Date],0))</f>
        <v>0.4</v>
      </c>
      <c r="U807" s="2">
        <f ca="1">INDEX(INDIRECT(_xlfn.CONCAT("weather.tbl[",U$1,"]")),MATCH(vp.tbl[[#This Row],[SDate]],weather.tbl[Date],0))</f>
        <v>3.5</v>
      </c>
      <c r="V807" s="2">
        <v>593.99300000000005</v>
      </c>
      <c r="W807" t="s">
        <v>48</v>
      </c>
      <c r="X807">
        <f>IF(OR(vp.tbl[[#This Row],[Sulf]]="",vp.tbl[[#This Row],[Dens]]=""),1,0)</f>
        <v>0</v>
      </c>
      <c r="Y807">
        <f>IF(vp.tbl[[#This Row],[CrudeType]]="C5+",1,0)</f>
        <v>0</v>
      </c>
      <c r="Z807">
        <f>IF(AND(vp.tbl[[#This Row],[CrudeType]]="Crude",vp.tbl[[#This Row],[Dens]]&lt;=825,vp.tbl[[#This Row],[Sulf]]&gt;0.5,vp.tbl[[#This Row],[Unknown]]=0),1,0)</f>
        <v>0</v>
      </c>
      <c r="AA807">
        <f>IF(AND(vp.tbl[[#This Row],[CrudeType]]="Crude",vp.tbl[[#This Row],[Dens]]&lt;=825,vp.tbl[[#This Row],[Sulf]]&lt;=0.5,vp.tbl[[#This Row],[Unknown]]=0),1,0)</f>
        <v>0</v>
      </c>
      <c r="AB807">
        <f>IF(AND(vp.tbl[[#This Row],[CrudeType]]="Crude",vp.tbl[[#This Row],[Dens]]&gt;825,vp.tbl[[#This Row],[Dens]]&lt;=870,vp.tbl[[#This Row],[Sulf]]&gt;0.5,vp.tbl[[#This Row],[Unknown]]=0),1,0)</f>
        <v>1</v>
      </c>
      <c r="AC807">
        <f>IF(AND(vp.tbl[[#This Row],[CrudeType]]="Crude",vp.tbl[[#This Row],[Dens]]&gt;825,vp.tbl[[#This Row],[Dens]]&lt;=900,vp.tbl[[#This Row],[Sulf]]&lt;=0.5,vp.tbl[[#This Row],[Unknown]]=0),1,0)</f>
        <v>0</v>
      </c>
      <c r="AD807">
        <f>IF(AND(vp.tbl[[#This Row],[CrudeType]]="Crude",vp.tbl[[#This Row],[Dens]]&gt;870,vp.tbl[[#This Row],[Dens]]&lt;=900,vp.tbl[[#This Row],[Sulf]]&gt;0.5,vp.tbl[[#This Row],[Unknown]]=0),1,0)</f>
        <v>0</v>
      </c>
      <c r="AE807">
        <f>IF(AND(vp.tbl[[#This Row],[CrudeType]]="Crude",vp.tbl[[#This Row],[Dens]]&gt;900,vp.tbl[[#This Row],[Sulf]]&lt;=0.5,vp.tbl[[#This Row],[Unknown]]=0),1,0)</f>
        <v>0</v>
      </c>
      <c r="AF807">
        <f>IF(AND(vp.tbl[[#This Row],[CrudeType]]="Crude",vp.tbl[[#This Row],[Dens]]&gt;900,vp.tbl[[#This Row],[Sulf]]&lt;=0.5,vp.tbl[[#This Row],[Unknown]]=0),1,0)</f>
        <v>0</v>
      </c>
      <c r="AG807" t="str">
        <f>INDEX(vp.tbl[[#Headers],[Unknown]:[Heavy_SW]],MATCH(1,vp.tbl[[#This Row],[Unknown]:[Heavy_SW]],0))</f>
        <v>Medium_LSB</v>
      </c>
      <c r="AH807" t="e">
        <f>INDEX([1]!crudeBD.lkup[Number],MATCH(vp.tbl[[#This Row],[Crude_Breakdown]],[1]!crudeBD.lkup[Crude Breakdown],0))</f>
        <v>#REF!</v>
      </c>
      <c r="AI807">
        <f>MONTH(vp.tbl[[#This Row],[SDate]])</f>
        <v>2</v>
      </c>
      <c r="AJ807" s="5">
        <f>IFERROR(vp.tbl[[#This Row],[Sulf]]*vp.tbl[[#This Row],[Net Dens]],"")</f>
        <v>258220.63696000003</v>
      </c>
      <c r="AK807" s="5">
        <f>IFERROR(vp.tbl[[#This Row],[Dens]]*vp.tbl[[#This Row],[VolumeM3]],"")</f>
        <v>496578.14800000004</v>
      </c>
      <c r="AL807" s="5">
        <f>IFERROR(vp.tbl[[#This Row],[VP]]*vp.tbl[[#This Row],[VolumeM3]],"")</f>
        <v>64210.643300000003</v>
      </c>
      <c r="AM807" s="4">
        <f>IFERROR((vp.tbl[[#This Row],[VP]]-INDEX(crudeBD.lkup.complete[Mean_VP],MATCH(vp.tbl[[#This Row],[Crude_Breakdown]],crudeBD.lkup.complete[Crude Breakdown],0)))^2,"")</f>
        <v>779.8840997590147</v>
      </c>
      <c r="AN807" s="4">
        <f>IFERROR((vp.tbl[[#This Row],[Dens]]-INDEX(crudeBD.lkup.complete[Mean_Dens],MATCH(vp.tbl[[#This Row],[Crude_Breakdown]],crudeBD.lkup.complete[Crude Breakdown],0)))^2,"")</f>
        <v>86.337970664298311</v>
      </c>
      <c r="AO807" s="4">
        <f>IFERROR((vp.tbl[[#This Row],[Sulf]]-INDEX(crudeBD.lkup.complete[Mean_Sulf],MATCH(vp.tbl[[#This Row],[Crude_Breakdown]],crudeBD.lkup.complete[Crude Breakdown],0)))^2,"")</f>
        <v>0.87409384453976902</v>
      </c>
      <c r="AP807">
        <f>IF(AND(vp.tbl[[#This Row],[SDate]]&gt;=DATE(YEAR(vp.tbl[[#This Row],[SDate]]),5,1),vp.tbl[[#This Row],[SDate]]&lt;=DATE(YEAR(vp.tbl[[#This Row],[SDate]]),9,15)),1,0)</f>
        <v>0</v>
      </c>
      <c r="AQ807" s="15">
        <f>IF(vp.tbl[[#This Row],[SDate]]&lt;DATE(2016,12,1),0,1)</f>
        <v>1</v>
      </c>
    </row>
    <row r="808" spans="1:43" x14ac:dyDescent="0.25">
      <c r="A808">
        <v>807</v>
      </c>
      <c r="B808" t="s">
        <v>161</v>
      </c>
      <c r="C808" t="s">
        <v>161</v>
      </c>
      <c r="D808" t="s">
        <v>162</v>
      </c>
      <c r="F808" s="1">
        <v>42782</v>
      </c>
      <c r="G808" s="2">
        <v>77.2</v>
      </c>
      <c r="H808" s="2"/>
      <c r="I808" s="2">
        <v>1.1100000000000001</v>
      </c>
      <c r="J808" s="2">
        <v>28.5</v>
      </c>
      <c r="K808" s="2">
        <v>5</v>
      </c>
      <c r="L808" s="2">
        <v>839.6</v>
      </c>
      <c r="M808" s="2">
        <v>839.6</v>
      </c>
      <c r="N808" s="2">
        <f ca="1">INDEX(INDIRECT(_xlfn.CONCAT("weather.tbl[",N$1,"]")),MATCH(vp.tbl[[#This Row],[SDate]],weather.tbl[Date],0))</f>
        <v>2.8166666666666664</v>
      </c>
      <c r="O808" s="2">
        <f ca="1">INDEX(INDIRECT(_xlfn.CONCAT("weather.tbl[",O$1,"]")),MATCH(vp.tbl[[#This Row],[SDate]],weather.tbl[Date],0))</f>
        <v>-2.8642857142857143</v>
      </c>
      <c r="P808" s="2">
        <f ca="1">INDEX(INDIRECT(_xlfn.CONCAT("weather.tbl[",P$1,"]")),MATCH(vp.tbl[[#This Row],[SDate]],weather.tbl[Date],0))</f>
        <v>2.4</v>
      </c>
      <c r="Q808" s="2">
        <f ca="1">INDEX(INDIRECT(_xlfn.CONCAT("weather.tbl[",Q$1,"]")),MATCH(vp.tbl[[#This Row],[SDate]],weather.tbl[Date],0))</f>
        <v>3.2</v>
      </c>
      <c r="R808" s="2">
        <f ca="1">INDEX(INDIRECT(_xlfn.CONCAT("weather.tbl[",R$1,"]")),MATCH(vp.tbl[[#This Row],[SDate]],weather.tbl[Date],0))</f>
        <v>2.5</v>
      </c>
      <c r="S808" s="2">
        <f ca="1">INDEX(INDIRECT(_xlfn.CONCAT("weather.tbl[",S$1,"]")),MATCH(vp.tbl[[#This Row],[SDate]],weather.tbl[Date],0))</f>
        <v>4.9000000000000004</v>
      </c>
      <c r="T808" s="2">
        <f ca="1">INDEX(INDIRECT(_xlfn.CONCAT("weather.tbl[",T$1,"]")),MATCH(vp.tbl[[#This Row],[SDate]],weather.tbl[Date],0))</f>
        <v>0.4</v>
      </c>
      <c r="U808" s="2">
        <f ca="1">INDEX(INDIRECT(_xlfn.CONCAT("weather.tbl[",U$1,"]")),MATCH(vp.tbl[[#This Row],[SDate]],weather.tbl[Date],0))</f>
        <v>3.5</v>
      </c>
      <c r="V808" s="2">
        <v>3199.3029999999999</v>
      </c>
      <c r="W808" t="s">
        <v>48</v>
      </c>
      <c r="X808">
        <f>IF(OR(vp.tbl[[#This Row],[Sulf]]="",vp.tbl[[#This Row],[Dens]]=""),1,0)</f>
        <v>0</v>
      </c>
      <c r="Y808">
        <f>IF(vp.tbl[[#This Row],[CrudeType]]="C5+",1,0)</f>
        <v>0</v>
      </c>
      <c r="Z808">
        <f>IF(AND(vp.tbl[[#This Row],[CrudeType]]="Crude",vp.tbl[[#This Row],[Dens]]&lt;=825,vp.tbl[[#This Row],[Sulf]]&gt;0.5,vp.tbl[[#This Row],[Unknown]]=0),1,0)</f>
        <v>0</v>
      </c>
      <c r="AA808">
        <f>IF(AND(vp.tbl[[#This Row],[CrudeType]]="Crude",vp.tbl[[#This Row],[Dens]]&lt;=825,vp.tbl[[#This Row],[Sulf]]&lt;=0.5,vp.tbl[[#This Row],[Unknown]]=0),1,0)</f>
        <v>0</v>
      </c>
      <c r="AB808">
        <f>IF(AND(vp.tbl[[#This Row],[CrudeType]]="Crude",vp.tbl[[#This Row],[Dens]]&gt;825,vp.tbl[[#This Row],[Dens]]&lt;=870,vp.tbl[[#This Row],[Sulf]]&gt;0.5,vp.tbl[[#This Row],[Unknown]]=0),1,0)</f>
        <v>1</v>
      </c>
      <c r="AC808">
        <f>IF(AND(vp.tbl[[#This Row],[CrudeType]]="Crude",vp.tbl[[#This Row],[Dens]]&gt;825,vp.tbl[[#This Row],[Dens]]&lt;=900,vp.tbl[[#This Row],[Sulf]]&lt;=0.5,vp.tbl[[#This Row],[Unknown]]=0),1,0)</f>
        <v>0</v>
      </c>
      <c r="AD808">
        <f>IF(AND(vp.tbl[[#This Row],[CrudeType]]="Crude",vp.tbl[[#This Row],[Dens]]&gt;870,vp.tbl[[#This Row],[Dens]]&lt;=900,vp.tbl[[#This Row],[Sulf]]&gt;0.5,vp.tbl[[#This Row],[Unknown]]=0),1,0)</f>
        <v>0</v>
      </c>
      <c r="AE808">
        <f>IF(AND(vp.tbl[[#This Row],[CrudeType]]="Crude",vp.tbl[[#This Row],[Dens]]&gt;900,vp.tbl[[#This Row],[Sulf]]&lt;=0.5,vp.tbl[[#This Row],[Unknown]]=0),1,0)</f>
        <v>0</v>
      </c>
      <c r="AF808">
        <f>IF(AND(vp.tbl[[#This Row],[CrudeType]]="Crude",vp.tbl[[#This Row],[Dens]]&gt;900,vp.tbl[[#This Row],[Sulf]]&lt;=0.5,vp.tbl[[#This Row],[Unknown]]=0),1,0)</f>
        <v>0</v>
      </c>
      <c r="AG808" t="str">
        <f>INDEX(vp.tbl[[#Headers],[Unknown]:[Heavy_SW]],MATCH(1,vp.tbl[[#This Row],[Unknown]:[Heavy_SW]],0))</f>
        <v>Medium_LSB</v>
      </c>
      <c r="AH808" t="e">
        <f>INDEX([1]!crudeBD.lkup[Number],MATCH(vp.tbl[[#This Row],[Crude_Breakdown]],[1]!crudeBD.lkup[Crude Breakdown],0))</f>
        <v>#REF!</v>
      </c>
      <c r="AI808">
        <f>MONTH(vp.tbl[[#This Row],[SDate]])</f>
        <v>2</v>
      </c>
      <c r="AJ808" s="5">
        <f>IFERROR(vp.tbl[[#This Row],[Sulf]]*vp.tbl[[#This Row],[Net Dens]],"")</f>
        <v>2981609.6266680001</v>
      </c>
      <c r="AK808" s="5">
        <f>IFERROR(vp.tbl[[#This Row],[Dens]]*vp.tbl[[#This Row],[VolumeM3]],"")</f>
        <v>2686134.7988</v>
      </c>
      <c r="AL808" s="5">
        <f>IFERROR(vp.tbl[[#This Row],[VP]]*vp.tbl[[#This Row],[VolumeM3]],"")</f>
        <v>246986.19159999999</v>
      </c>
      <c r="AM808" s="4">
        <f>IFERROR((vp.tbl[[#This Row],[VP]]-INDEX(crudeBD.lkup.complete[Mean_VP],MATCH(vp.tbl[[#This Row],[Crude_Breakdown]],crudeBD.lkup.complete[Crude Breakdown],0)))^2,"")</f>
        <v>8.842266847620337</v>
      </c>
      <c r="AN808" s="4">
        <f>IFERROR((vp.tbl[[#This Row],[Dens]]-INDEX(crudeBD.lkup.complete[Mean_Dens],MATCH(vp.tbl[[#This Row],[Crude_Breakdown]],crudeBD.lkup.complete[Crude Breakdown],0)))^2,"")</f>
        <v>32.396846613672238</v>
      </c>
      <c r="AO808" s="4">
        <f>IFERROR((vp.tbl[[#This Row],[Sulf]]-INDEX(crudeBD.lkup.complete[Mean_Sulf],MATCH(vp.tbl[[#This Row],[Crude_Breakdown]],crudeBD.lkup.complete[Crude Breakdown],0)))^2,"")</f>
        <v>0.11897660884356465</v>
      </c>
      <c r="AP808">
        <f>IF(AND(vp.tbl[[#This Row],[SDate]]&gt;=DATE(YEAR(vp.tbl[[#This Row],[SDate]]),5,1),vp.tbl[[#This Row],[SDate]]&lt;=DATE(YEAR(vp.tbl[[#This Row],[SDate]]),9,15)),1,0)</f>
        <v>0</v>
      </c>
      <c r="AQ808" s="15">
        <f>IF(vp.tbl[[#This Row],[SDate]]&lt;DATE(2016,12,1),0,1)</f>
        <v>1</v>
      </c>
    </row>
    <row r="809" spans="1:43" x14ac:dyDescent="0.25">
      <c r="A809">
        <v>808</v>
      </c>
      <c r="B809" t="s">
        <v>62</v>
      </c>
      <c r="C809" t="s">
        <v>62</v>
      </c>
      <c r="D809" t="s">
        <v>63</v>
      </c>
      <c r="F809" s="1">
        <v>42782</v>
      </c>
      <c r="G809" s="2">
        <v>98.5</v>
      </c>
      <c r="H809" s="2"/>
      <c r="I809" s="2">
        <v>1.53</v>
      </c>
      <c r="J809" s="2">
        <v>21.1</v>
      </c>
      <c r="K809" s="2">
        <v>5</v>
      </c>
      <c r="L809" s="2">
        <v>841.1</v>
      </c>
      <c r="M809" s="2">
        <v>841.1</v>
      </c>
      <c r="N809" s="2">
        <f ca="1">INDEX(INDIRECT(_xlfn.CONCAT("weather.tbl[",N$1,"]")),MATCH(vp.tbl[[#This Row],[SDate]],weather.tbl[Date],0))</f>
        <v>2.8166666666666664</v>
      </c>
      <c r="O809" s="2">
        <f ca="1">INDEX(INDIRECT(_xlfn.CONCAT("weather.tbl[",O$1,"]")),MATCH(vp.tbl[[#This Row],[SDate]],weather.tbl[Date],0))</f>
        <v>-2.8642857142857143</v>
      </c>
      <c r="P809" s="2">
        <f ca="1">INDEX(INDIRECT(_xlfn.CONCAT("weather.tbl[",P$1,"]")),MATCH(vp.tbl[[#This Row],[SDate]],weather.tbl[Date],0))</f>
        <v>2.4</v>
      </c>
      <c r="Q809" s="2">
        <f ca="1">INDEX(INDIRECT(_xlfn.CONCAT("weather.tbl[",Q$1,"]")),MATCH(vp.tbl[[#This Row],[SDate]],weather.tbl[Date],0))</f>
        <v>3.2</v>
      </c>
      <c r="R809" s="2">
        <f ca="1">INDEX(INDIRECT(_xlfn.CONCAT("weather.tbl[",R$1,"]")),MATCH(vp.tbl[[#This Row],[SDate]],weather.tbl[Date],0))</f>
        <v>2.5</v>
      </c>
      <c r="S809" s="2">
        <f ca="1">INDEX(INDIRECT(_xlfn.CONCAT("weather.tbl[",S$1,"]")),MATCH(vp.tbl[[#This Row],[SDate]],weather.tbl[Date],0))</f>
        <v>4.9000000000000004</v>
      </c>
      <c r="T809" s="2">
        <f ca="1">INDEX(INDIRECT(_xlfn.CONCAT("weather.tbl[",T$1,"]")),MATCH(vp.tbl[[#This Row],[SDate]],weather.tbl[Date],0))</f>
        <v>0.4</v>
      </c>
      <c r="U809" s="2">
        <f ca="1">INDEX(INDIRECT(_xlfn.CONCAT("weather.tbl[",U$1,"]")),MATCH(vp.tbl[[#This Row],[SDate]],weather.tbl[Date],0))</f>
        <v>3.5</v>
      </c>
      <c r="V809" s="2">
        <v>4978.7389999999996</v>
      </c>
      <c r="W809" t="s">
        <v>48</v>
      </c>
      <c r="X809">
        <f>IF(OR(vp.tbl[[#This Row],[Sulf]]="",vp.tbl[[#This Row],[Dens]]=""),1,0)</f>
        <v>0</v>
      </c>
      <c r="Y809">
        <f>IF(vp.tbl[[#This Row],[CrudeType]]="C5+",1,0)</f>
        <v>0</v>
      </c>
      <c r="Z809">
        <f>IF(AND(vp.tbl[[#This Row],[CrudeType]]="Crude",vp.tbl[[#This Row],[Dens]]&lt;=825,vp.tbl[[#This Row],[Sulf]]&gt;0.5,vp.tbl[[#This Row],[Unknown]]=0),1,0)</f>
        <v>0</v>
      </c>
      <c r="AA809">
        <f>IF(AND(vp.tbl[[#This Row],[CrudeType]]="Crude",vp.tbl[[#This Row],[Dens]]&lt;=825,vp.tbl[[#This Row],[Sulf]]&lt;=0.5,vp.tbl[[#This Row],[Unknown]]=0),1,0)</f>
        <v>0</v>
      </c>
      <c r="AB809">
        <f>IF(AND(vp.tbl[[#This Row],[CrudeType]]="Crude",vp.tbl[[#This Row],[Dens]]&gt;825,vp.tbl[[#This Row],[Dens]]&lt;=870,vp.tbl[[#This Row],[Sulf]]&gt;0.5,vp.tbl[[#This Row],[Unknown]]=0),1,0)</f>
        <v>1</v>
      </c>
      <c r="AC809">
        <f>IF(AND(vp.tbl[[#This Row],[CrudeType]]="Crude",vp.tbl[[#This Row],[Dens]]&gt;825,vp.tbl[[#This Row],[Dens]]&lt;=900,vp.tbl[[#This Row],[Sulf]]&lt;=0.5,vp.tbl[[#This Row],[Unknown]]=0),1,0)</f>
        <v>0</v>
      </c>
      <c r="AD809">
        <f>IF(AND(vp.tbl[[#This Row],[CrudeType]]="Crude",vp.tbl[[#This Row],[Dens]]&gt;870,vp.tbl[[#This Row],[Dens]]&lt;=900,vp.tbl[[#This Row],[Sulf]]&gt;0.5,vp.tbl[[#This Row],[Unknown]]=0),1,0)</f>
        <v>0</v>
      </c>
      <c r="AE809">
        <f>IF(AND(vp.tbl[[#This Row],[CrudeType]]="Crude",vp.tbl[[#This Row],[Dens]]&gt;900,vp.tbl[[#This Row],[Sulf]]&lt;=0.5,vp.tbl[[#This Row],[Unknown]]=0),1,0)</f>
        <v>0</v>
      </c>
      <c r="AF809">
        <f>IF(AND(vp.tbl[[#This Row],[CrudeType]]="Crude",vp.tbl[[#This Row],[Dens]]&gt;900,vp.tbl[[#This Row],[Sulf]]&lt;=0.5,vp.tbl[[#This Row],[Unknown]]=0),1,0)</f>
        <v>0</v>
      </c>
      <c r="AG809" t="str">
        <f>INDEX(vp.tbl[[#Headers],[Unknown]:[Heavy_SW]],MATCH(1,vp.tbl[[#This Row],[Unknown]:[Heavy_SW]],0))</f>
        <v>Medium_LSB</v>
      </c>
      <c r="AH809" t="e">
        <f>INDEX([1]!crudeBD.lkup[Number],MATCH(vp.tbl[[#This Row],[Crude_Breakdown]],[1]!crudeBD.lkup[Crude Breakdown],0))</f>
        <v>#REF!</v>
      </c>
      <c r="AI809">
        <f>MONTH(vp.tbl[[#This Row],[SDate]])</f>
        <v>2</v>
      </c>
      <c r="AJ809" s="5">
        <f>IFERROR(vp.tbl[[#This Row],[Sulf]]*vp.tbl[[#This Row],[Net Dens]],"")</f>
        <v>6407054.5805369997</v>
      </c>
      <c r="AK809" s="5">
        <f>IFERROR(vp.tbl[[#This Row],[Dens]]*vp.tbl[[#This Row],[VolumeM3]],"")</f>
        <v>4187617.3728999998</v>
      </c>
      <c r="AL809" s="5">
        <f>IFERROR(vp.tbl[[#This Row],[VP]]*vp.tbl[[#This Row],[VolumeM3]],"")</f>
        <v>490405.79149999993</v>
      </c>
      <c r="AM809" s="4">
        <f>IFERROR((vp.tbl[[#This Row],[VP]]-INDEX(crudeBD.lkup.complete[Mean_VP],MATCH(vp.tbl[[#This Row],[Crude_Breakdown]],crudeBD.lkup.complete[Crude Breakdown],0)))^2,"")</f>
        <v>335.85712254382446</v>
      </c>
      <c r="AN809" s="4">
        <f>IFERROR((vp.tbl[[#This Row],[Dens]]-INDEX(crudeBD.lkup.complete[Mean_Dens],MATCH(vp.tbl[[#This Row],[Crude_Breakdown]],crudeBD.lkup.complete[Crude Breakdown],0)))^2,"")</f>
        <v>17.571378259244881</v>
      </c>
      <c r="AO809" s="4">
        <f>IFERROR((vp.tbl[[#This Row],[Sulf]]-INDEX(crudeBD.lkup.complete[Mean_Sulf],MATCH(vp.tbl[[#This Row],[Crude_Breakdown]],crudeBD.lkup.complete[Crude Breakdown],0)))^2,"")</f>
        <v>5.6355258055887899E-3</v>
      </c>
      <c r="AP809">
        <f>IF(AND(vp.tbl[[#This Row],[SDate]]&gt;=DATE(YEAR(vp.tbl[[#This Row],[SDate]]),5,1),vp.tbl[[#This Row],[SDate]]&lt;=DATE(YEAR(vp.tbl[[#This Row],[SDate]]),9,15)),1,0)</f>
        <v>0</v>
      </c>
      <c r="AQ809" s="15">
        <f>IF(vp.tbl[[#This Row],[SDate]]&lt;DATE(2016,12,1),0,1)</f>
        <v>1</v>
      </c>
    </row>
    <row r="810" spans="1:43" x14ac:dyDescent="0.25">
      <c r="A810">
        <v>809</v>
      </c>
      <c r="B810" t="s">
        <v>56</v>
      </c>
      <c r="C810" t="s">
        <v>56</v>
      </c>
      <c r="D810" t="s">
        <v>57</v>
      </c>
      <c r="F810" s="1">
        <v>42782</v>
      </c>
      <c r="G810" s="2">
        <v>81.5</v>
      </c>
      <c r="H810" s="2"/>
      <c r="I810" s="2">
        <v>1.69</v>
      </c>
      <c r="J810" s="2">
        <v>17.7</v>
      </c>
      <c r="K810" s="2">
        <v>5</v>
      </c>
      <c r="L810" s="2">
        <v>847</v>
      </c>
      <c r="M810" s="2">
        <v>847</v>
      </c>
      <c r="N810" s="2">
        <f ca="1">INDEX(INDIRECT(_xlfn.CONCAT("weather.tbl[",N$1,"]")),MATCH(vp.tbl[[#This Row],[SDate]],weather.tbl[Date],0))</f>
        <v>2.8166666666666664</v>
      </c>
      <c r="O810" s="2">
        <f ca="1">INDEX(INDIRECT(_xlfn.CONCAT("weather.tbl[",O$1,"]")),MATCH(vp.tbl[[#This Row],[SDate]],weather.tbl[Date],0))</f>
        <v>-2.8642857142857143</v>
      </c>
      <c r="P810" s="2">
        <f ca="1">INDEX(INDIRECT(_xlfn.CONCAT("weather.tbl[",P$1,"]")),MATCH(vp.tbl[[#This Row],[SDate]],weather.tbl[Date],0))</f>
        <v>2.4</v>
      </c>
      <c r="Q810" s="2">
        <f ca="1">INDEX(INDIRECT(_xlfn.CONCAT("weather.tbl[",Q$1,"]")),MATCH(vp.tbl[[#This Row],[SDate]],weather.tbl[Date],0))</f>
        <v>3.2</v>
      </c>
      <c r="R810" s="2">
        <f ca="1">INDEX(INDIRECT(_xlfn.CONCAT("weather.tbl[",R$1,"]")),MATCH(vp.tbl[[#This Row],[SDate]],weather.tbl[Date],0))</f>
        <v>2.5</v>
      </c>
      <c r="S810" s="2">
        <f ca="1">INDEX(INDIRECT(_xlfn.CONCAT("weather.tbl[",S$1,"]")),MATCH(vp.tbl[[#This Row],[SDate]],weather.tbl[Date],0))</f>
        <v>4.9000000000000004</v>
      </c>
      <c r="T810" s="2">
        <f ca="1">INDEX(INDIRECT(_xlfn.CONCAT("weather.tbl[",T$1,"]")),MATCH(vp.tbl[[#This Row],[SDate]],weather.tbl[Date],0))</f>
        <v>0.4</v>
      </c>
      <c r="U810" s="2">
        <f ca="1">INDEX(INDIRECT(_xlfn.CONCAT("weather.tbl[",U$1,"]")),MATCH(vp.tbl[[#This Row],[SDate]],weather.tbl[Date],0))</f>
        <v>3.5</v>
      </c>
      <c r="V810" s="2">
        <v>2751.2289999999998</v>
      </c>
      <c r="W810" t="s">
        <v>48</v>
      </c>
      <c r="X810">
        <f>IF(OR(vp.tbl[[#This Row],[Sulf]]="",vp.tbl[[#This Row],[Dens]]=""),1,0)</f>
        <v>0</v>
      </c>
      <c r="Y810">
        <f>IF(vp.tbl[[#This Row],[CrudeType]]="C5+",1,0)</f>
        <v>0</v>
      </c>
      <c r="Z810">
        <f>IF(AND(vp.tbl[[#This Row],[CrudeType]]="Crude",vp.tbl[[#This Row],[Dens]]&lt;=825,vp.tbl[[#This Row],[Sulf]]&gt;0.5,vp.tbl[[#This Row],[Unknown]]=0),1,0)</f>
        <v>0</v>
      </c>
      <c r="AA810">
        <f>IF(AND(vp.tbl[[#This Row],[CrudeType]]="Crude",vp.tbl[[#This Row],[Dens]]&lt;=825,vp.tbl[[#This Row],[Sulf]]&lt;=0.5,vp.tbl[[#This Row],[Unknown]]=0),1,0)</f>
        <v>0</v>
      </c>
      <c r="AB810">
        <f>IF(AND(vp.tbl[[#This Row],[CrudeType]]="Crude",vp.tbl[[#This Row],[Dens]]&gt;825,vp.tbl[[#This Row],[Dens]]&lt;=870,vp.tbl[[#This Row],[Sulf]]&gt;0.5,vp.tbl[[#This Row],[Unknown]]=0),1,0)</f>
        <v>1</v>
      </c>
      <c r="AC810">
        <f>IF(AND(vp.tbl[[#This Row],[CrudeType]]="Crude",vp.tbl[[#This Row],[Dens]]&gt;825,vp.tbl[[#This Row],[Dens]]&lt;=900,vp.tbl[[#This Row],[Sulf]]&lt;=0.5,vp.tbl[[#This Row],[Unknown]]=0),1,0)</f>
        <v>0</v>
      </c>
      <c r="AD810">
        <f>IF(AND(vp.tbl[[#This Row],[CrudeType]]="Crude",vp.tbl[[#This Row],[Dens]]&gt;870,vp.tbl[[#This Row],[Dens]]&lt;=900,vp.tbl[[#This Row],[Sulf]]&gt;0.5,vp.tbl[[#This Row],[Unknown]]=0),1,0)</f>
        <v>0</v>
      </c>
      <c r="AE810">
        <f>IF(AND(vp.tbl[[#This Row],[CrudeType]]="Crude",vp.tbl[[#This Row],[Dens]]&gt;900,vp.tbl[[#This Row],[Sulf]]&lt;=0.5,vp.tbl[[#This Row],[Unknown]]=0),1,0)</f>
        <v>0</v>
      </c>
      <c r="AF810">
        <f>IF(AND(vp.tbl[[#This Row],[CrudeType]]="Crude",vp.tbl[[#This Row],[Dens]]&gt;900,vp.tbl[[#This Row],[Sulf]]&lt;=0.5,vp.tbl[[#This Row],[Unknown]]=0),1,0)</f>
        <v>0</v>
      </c>
      <c r="AG810" t="str">
        <f>INDEX(vp.tbl[[#Headers],[Unknown]:[Heavy_SW]],MATCH(1,vp.tbl[[#This Row],[Unknown]:[Heavy_SW]],0))</f>
        <v>Medium_LSB</v>
      </c>
      <c r="AH810" t="e">
        <f>INDEX([1]!crudeBD.lkup[Number],MATCH(vp.tbl[[#This Row],[Crude_Breakdown]],[1]!crudeBD.lkup[Crude Breakdown],0))</f>
        <v>#REF!</v>
      </c>
      <c r="AI810">
        <f>MONTH(vp.tbl[[#This Row],[SDate]])</f>
        <v>2</v>
      </c>
      <c r="AJ810" s="5">
        <f>IFERROR(vp.tbl[[#This Row],[Sulf]]*vp.tbl[[#This Row],[Net Dens]],"")</f>
        <v>3938191.7274699998</v>
      </c>
      <c r="AK810" s="5">
        <f>IFERROR(vp.tbl[[#This Row],[Dens]]*vp.tbl[[#This Row],[VolumeM3]],"")</f>
        <v>2330290.963</v>
      </c>
      <c r="AL810" s="5">
        <f>IFERROR(vp.tbl[[#This Row],[VP]]*vp.tbl[[#This Row],[VolumeM3]],"")</f>
        <v>224225.1635</v>
      </c>
      <c r="AM810" s="4">
        <f>IFERROR((vp.tbl[[#This Row],[VP]]-INDEX(crudeBD.lkup.complete[Mean_VP],MATCH(vp.tbl[[#This Row],[Crude_Breakdown]],crudeBD.lkup.complete[Crude Breakdown],0)))^2,"")</f>
        <v>1.7593503919244691</v>
      </c>
      <c r="AN810" s="4">
        <f>IFERROR((vp.tbl[[#This Row],[Dens]]-INDEX(crudeBD.lkup.complete[Mean_Dens],MATCH(vp.tbl[[#This Row],[Crude_Breakdown]],crudeBD.lkup.complete[Crude Breakdown],0)))^2,"")</f>
        <v>2.9178693984971948</v>
      </c>
      <c r="AO810" s="4">
        <f>IFERROR((vp.tbl[[#This Row],[Sulf]]-INDEX(crudeBD.lkup.complete[Mean_Sulf],MATCH(vp.tbl[[#This Row],[Crude_Breakdown]],crudeBD.lkup.complete[Crude Breakdown],0)))^2,"")</f>
        <v>5.5257970362550313E-2</v>
      </c>
      <c r="AP810">
        <f>IF(AND(vp.tbl[[#This Row],[SDate]]&gt;=DATE(YEAR(vp.tbl[[#This Row],[SDate]]),5,1),vp.tbl[[#This Row],[SDate]]&lt;=DATE(YEAR(vp.tbl[[#This Row],[SDate]]),9,15)),1,0)</f>
        <v>0</v>
      </c>
      <c r="AQ810" s="15">
        <f>IF(vp.tbl[[#This Row],[SDate]]&lt;DATE(2016,12,1),0,1)</f>
        <v>1</v>
      </c>
    </row>
    <row r="811" spans="1:43" x14ac:dyDescent="0.25">
      <c r="A811">
        <v>810</v>
      </c>
      <c r="B811" t="s">
        <v>68</v>
      </c>
      <c r="C811" t="s">
        <v>68</v>
      </c>
      <c r="D811" t="s">
        <v>98</v>
      </c>
      <c r="F811" s="1">
        <v>42782</v>
      </c>
      <c r="G811" s="2">
        <v>56.6</v>
      </c>
      <c r="H811" s="2"/>
      <c r="I811" s="2">
        <v>1.33</v>
      </c>
      <c r="J811" s="2">
        <v>31.8</v>
      </c>
      <c r="K811" s="2">
        <v>5</v>
      </c>
      <c r="L811" s="2">
        <v>853.6</v>
      </c>
      <c r="M811" s="2">
        <v>853.6</v>
      </c>
      <c r="N811" s="2">
        <f ca="1">INDEX(INDIRECT(_xlfn.CONCAT("weather.tbl[",N$1,"]")),MATCH(vp.tbl[[#This Row],[SDate]],weather.tbl[Date],0))</f>
        <v>2.8166666666666664</v>
      </c>
      <c r="O811" s="2">
        <f ca="1">INDEX(INDIRECT(_xlfn.CONCAT("weather.tbl[",O$1,"]")),MATCH(vp.tbl[[#This Row],[SDate]],weather.tbl[Date],0))</f>
        <v>-2.8642857142857143</v>
      </c>
      <c r="P811" s="2">
        <f ca="1">INDEX(INDIRECT(_xlfn.CONCAT("weather.tbl[",P$1,"]")),MATCH(vp.tbl[[#This Row],[SDate]],weather.tbl[Date],0))</f>
        <v>2.4</v>
      </c>
      <c r="Q811" s="2">
        <f ca="1">INDEX(INDIRECT(_xlfn.CONCAT("weather.tbl[",Q$1,"]")),MATCH(vp.tbl[[#This Row],[SDate]],weather.tbl[Date],0))</f>
        <v>3.2</v>
      </c>
      <c r="R811" s="2">
        <f ca="1">INDEX(INDIRECT(_xlfn.CONCAT("weather.tbl[",R$1,"]")),MATCH(vp.tbl[[#This Row],[SDate]],weather.tbl[Date],0))</f>
        <v>2.5</v>
      </c>
      <c r="S811" s="2">
        <f ca="1">INDEX(INDIRECT(_xlfn.CONCAT("weather.tbl[",S$1,"]")),MATCH(vp.tbl[[#This Row],[SDate]],weather.tbl[Date],0))</f>
        <v>4.9000000000000004</v>
      </c>
      <c r="T811" s="2">
        <f ca="1">INDEX(INDIRECT(_xlfn.CONCAT("weather.tbl[",T$1,"]")),MATCH(vp.tbl[[#This Row],[SDate]],weather.tbl[Date],0))</f>
        <v>0.4</v>
      </c>
      <c r="U811" s="2">
        <f ca="1">INDEX(INDIRECT(_xlfn.CONCAT("weather.tbl[",U$1,"]")),MATCH(vp.tbl[[#This Row],[SDate]],weather.tbl[Date],0))</f>
        <v>3.5</v>
      </c>
      <c r="V811" s="2">
        <v>4577.7129999999997</v>
      </c>
      <c r="W811" t="s">
        <v>48</v>
      </c>
      <c r="X811">
        <f>IF(OR(vp.tbl[[#This Row],[Sulf]]="",vp.tbl[[#This Row],[Dens]]=""),1,0)</f>
        <v>0</v>
      </c>
      <c r="Y811">
        <f>IF(vp.tbl[[#This Row],[CrudeType]]="C5+",1,0)</f>
        <v>0</v>
      </c>
      <c r="Z811">
        <f>IF(AND(vp.tbl[[#This Row],[CrudeType]]="Crude",vp.tbl[[#This Row],[Dens]]&lt;=825,vp.tbl[[#This Row],[Sulf]]&gt;0.5,vp.tbl[[#This Row],[Unknown]]=0),1,0)</f>
        <v>0</v>
      </c>
      <c r="AA811">
        <f>IF(AND(vp.tbl[[#This Row],[CrudeType]]="Crude",vp.tbl[[#This Row],[Dens]]&lt;=825,vp.tbl[[#This Row],[Sulf]]&lt;=0.5,vp.tbl[[#This Row],[Unknown]]=0),1,0)</f>
        <v>0</v>
      </c>
      <c r="AB811">
        <f>IF(AND(vp.tbl[[#This Row],[CrudeType]]="Crude",vp.tbl[[#This Row],[Dens]]&gt;825,vp.tbl[[#This Row],[Dens]]&lt;=870,vp.tbl[[#This Row],[Sulf]]&gt;0.5,vp.tbl[[#This Row],[Unknown]]=0),1,0)</f>
        <v>1</v>
      </c>
      <c r="AC811">
        <f>IF(AND(vp.tbl[[#This Row],[CrudeType]]="Crude",vp.tbl[[#This Row],[Dens]]&gt;825,vp.tbl[[#This Row],[Dens]]&lt;=900,vp.tbl[[#This Row],[Sulf]]&lt;=0.5,vp.tbl[[#This Row],[Unknown]]=0),1,0)</f>
        <v>0</v>
      </c>
      <c r="AD811">
        <f>IF(AND(vp.tbl[[#This Row],[CrudeType]]="Crude",vp.tbl[[#This Row],[Dens]]&gt;870,vp.tbl[[#This Row],[Dens]]&lt;=900,vp.tbl[[#This Row],[Sulf]]&gt;0.5,vp.tbl[[#This Row],[Unknown]]=0),1,0)</f>
        <v>0</v>
      </c>
      <c r="AE811">
        <f>IF(AND(vp.tbl[[#This Row],[CrudeType]]="Crude",vp.tbl[[#This Row],[Dens]]&gt;900,vp.tbl[[#This Row],[Sulf]]&lt;=0.5,vp.tbl[[#This Row],[Unknown]]=0),1,0)</f>
        <v>0</v>
      </c>
      <c r="AF811">
        <f>IF(AND(vp.tbl[[#This Row],[CrudeType]]="Crude",vp.tbl[[#This Row],[Dens]]&gt;900,vp.tbl[[#This Row],[Sulf]]&lt;=0.5,vp.tbl[[#This Row],[Unknown]]=0),1,0)</f>
        <v>0</v>
      </c>
      <c r="AG811" t="str">
        <f>INDEX(vp.tbl[[#Headers],[Unknown]:[Heavy_SW]],MATCH(1,vp.tbl[[#This Row],[Unknown]:[Heavy_SW]],0))</f>
        <v>Medium_LSB</v>
      </c>
      <c r="AH811" t="e">
        <f>INDEX([1]!crudeBD.lkup[Number],MATCH(vp.tbl[[#This Row],[Crude_Breakdown]],[1]!crudeBD.lkup[Crude Breakdown],0))</f>
        <v>#REF!</v>
      </c>
      <c r="AI811">
        <f>MONTH(vp.tbl[[#This Row],[SDate]])</f>
        <v>2</v>
      </c>
      <c r="AJ811" s="5">
        <f>IFERROR(vp.tbl[[#This Row],[Sulf]]*vp.tbl[[#This Row],[Net Dens]],"")</f>
        <v>5197022.6363439998</v>
      </c>
      <c r="AK811" s="5">
        <f>IFERROR(vp.tbl[[#This Row],[Dens]]*vp.tbl[[#This Row],[VolumeM3]],"")</f>
        <v>3907535.8167999997</v>
      </c>
      <c r="AL811" s="5">
        <f>IFERROR(vp.tbl[[#This Row],[VP]]*vp.tbl[[#This Row],[VolumeM3]],"")</f>
        <v>259098.5558</v>
      </c>
      <c r="AM811" s="4">
        <f>IFERROR((vp.tbl[[#This Row],[VP]]-INDEX(crudeBD.lkup.complete[Mean_VP],MATCH(vp.tbl[[#This Row],[Crude_Breakdown]],crudeBD.lkup.complete[Crude Breakdown],0)))^2,"")</f>
        <v>555.71437824002385</v>
      </c>
      <c r="AN811" s="4">
        <f>IFERROR((vp.tbl[[#This Row],[Dens]]-INDEX(crudeBD.lkup.complete[Mean_Dens],MATCH(vp.tbl[[#This Row],[Crude_Breakdown]],crudeBD.lkup.complete[Crude Breakdown],0)))^2,"")</f>
        <v>69.025808639016901</v>
      </c>
      <c r="AO811" s="4">
        <f>IFERROR((vp.tbl[[#This Row],[Sulf]]-INDEX(crudeBD.lkup.complete[Mean_Sulf],MATCH(vp.tbl[[#This Row],[Crude_Breakdown]],crudeBD.lkup.complete[Crude Breakdown],0)))^2,"")</f>
        <v>1.5607470109386829E-2</v>
      </c>
      <c r="AP811">
        <f>IF(AND(vp.tbl[[#This Row],[SDate]]&gt;=DATE(YEAR(vp.tbl[[#This Row],[SDate]]),5,1),vp.tbl[[#This Row],[SDate]]&lt;=DATE(YEAR(vp.tbl[[#This Row],[SDate]]),9,15)),1,0)</f>
        <v>0</v>
      </c>
      <c r="AQ811" s="15">
        <f>IF(vp.tbl[[#This Row],[SDate]]&lt;DATE(2016,12,1),0,1)</f>
        <v>1</v>
      </c>
    </row>
    <row r="812" spans="1:43" x14ac:dyDescent="0.25">
      <c r="A812">
        <v>811</v>
      </c>
      <c r="B812" t="s">
        <v>68</v>
      </c>
      <c r="C812" t="s">
        <v>68</v>
      </c>
      <c r="D812" t="s">
        <v>69</v>
      </c>
      <c r="F812" s="1">
        <v>42782</v>
      </c>
      <c r="G812" s="2">
        <v>75</v>
      </c>
      <c r="H812" s="2"/>
      <c r="I812" s="2">
        <v>1.74</v>
      </c>
      <c r="J812" s="2">
        <v>16.3</v>
      </c>
      <c r="K812" s="2">
        <v>5</v>
      </c>
      <c r="L812" s="2">
        <v>861.4</v>
      </c>
      <c r="M812" s="2">
        <v>861.4</v>
      </c>
      <c r="N812" s="2">
        <f ca="1">INDEX(INDIRECT(_xlfn.CONCAT("weather.tbl[",N$1,"]")),MATCH(vp.tbl[[#This Row],[SDate]],weather.tbl[Date],0))</f>
        <v>2.8166666666666664</v>
      </c>
      <c r="O812" s="2">
        <f ca="1">INDEX(INDIRECT(_xlfn.CONCAT("weather.tbl[",O$1,"]")),MATCH(vp.tbl[[#This Row],[SDate]],weather.tbl[Date],0))</f>
        <v>-2.8642857142857143</v>
      </c>
      <c r="P812" s="2">
        <f ca="1">INDEX(INDIRECT(_xlfn.CONCAT("weather.tbl[",P$1,"]")),MATCH(vp.tbl[[#This Row],[SDate]],weather.tbl[Date],0))</f>
        <v>2.4</v>
      </c>
      <c r="Q812" s="2">
        <f ca="1">INDEX(INDIRECT(_xlfn.CONCAT("weather.tbl[",Q$1,"]")),MATCH(vp.tbl[[#This Row],[SDate]],weather.tbl[Date],0))</f>
        <v>3.2</v>
      </c>
      <c r="R812" s="2">
        <f ca="1">INDEX(INDIRECT(_xlfn.CONCAT("weather.tbl[",R$1,"]")),MATCH(vp.tbl[[#This Row],[SDate]],weather.tbl[Date],0))</f>
        <v>2.5</v>
      </c>
      <c r="S812" s="2">
        <f ca="1">INDEX(INDIRECT(_xlfn.CONCAT("weather.tbl[",S$1,"]")),MATCH(vp.tbl[[#This Row],[SDate]],weather.tbl[Date],0))</f>
        <v>4.9000000000000004</v>
      </c>
      <c r="T812" s="2">
        <f ca="1">INDEX(INDIRECT(_xlfn.CONCAT("weather.tbl[",T$1,"]")),MATCH(vp.tbl[[#This Row],[SDate]],weather.tbl[Date],0))</f>
        <v>0.4</v>
      </c>
      <c r="U812" s="2">
        <f ca="1">INDEX(INDIRECT(_xlfn.CONCAT("weather.tbl[",U$1,"]")),MATCH(vp.tbl[[#This Row],[SDate]],weather.tbl[Date],0))</f>
        <v>3.5</v>
      </c>
      <c r="V812" s="2">
        <v>1332.451</v>
      </c>
      <c r="W812" t="s">
        <v>48</v>
      </c>
      <c r="X812">
        <f>IF(OR(vp.tbl[[#This Row],[Sulf]]="",vp.tbl[[#This Row],[Dens]]=""),1,0)</f>
        <v>0</v>
      </c>
      <c r="Y812">
        <f>IF(vp.tbl[[#This Row],[CrudeType]]="C5+",1,0)</f>
        <v>0</v>
      </c>
      <c r="Z812">
        <f>IF(AND(vp.tbl[[#This Row],[CrudeType]]="Crude",vp.tbl[[#This Row],[Dens]]&lt;=825,vp.tbl[[#This Row],[Sulf]]&gt;0.5,vp.tbl[[#This Row],[Unknown]]=0),1,0)</f>
        <v>0</v>
      </c>
      <c r="AA812">
        <f>IF(AND(vp.tbl[[#This Row],[CrudeType]]="Crude",vp.tbl[[#This Row],[Dens]]&lt;=825,vp.tbl[[#This Row],[Sulf]]&lt;=0.5,vp.tbl[[#This Row],[Unknown]]=0),1,0)</f>
        <v>0</v>
      </c>
      <c r="AB812">
        <f>IF(AND(vp.tbl[[#This Row],[CrudeType]]="Crude",vp.tbl[[#This Row],[Dens]]&gt;825,vp.tbl[[#This Row],[Dens]]&lt;=870,vp.tbl[[#This Row],[Sulf]]&gt;0.5,vp.tbl[[#This Row],[Unknown]]=0),1,0)</f>
        <v>1</v>
      </c>
      <c r="AC812">
        <f>IF(AND(vp.tbl[[#This Row],[CrudeType]]="Crude",vp.tbl[[#This Row],[Dens]]&gt;825,vp.tbl[[#This Row],[Dens]]&lt;=900,vp.tbl[[#This Row],[Sulf]]&lt;=0.5,vp.tbl[[#This Row],[Unknown]]=0),1,0)</f>
        <v>0</v>
      </c>
      <c r="AD812">
        <f>IF(AND(vp.tbl[[#This Row],[CrudeType]]="Crude",vp.tbl[[#This Row],[Dens]]&gt;870,vp.tbl[[#This Row],[Dens]]&lt;=900,vp.tbl[[#This Row],[Sulf]]&gt;0.5,vp.tbl[[#This Row],[Unknown]]=0),1,0)</f>
        <v>0</v>
      </c>
      <c r="AE812">
        <f>IF(AND(vp.tbl[[#This Row],[CrudeType]]="Crude",vp.tbl[[#This Row],[Dens]]&gt;900,vp.tbl[[#This Row],[Sulf]]&lt;=0.5,vp.tbl[[#This Row],[Unknown]]=0),1,0)</f>
        <v>0</v>
      </c>
      <c r="AF812">
        <f>IF(AND(vp.tbl[[#This Row],[CrudeType]]="Crude",vp.tbl[[#This Row],[Dens]]&gt;900,vp.tbl[[#This Row],[Sulf]]&lt;=0.5,vp.tbl[[#This Row],[Unknown]]=0),1,0)</f>
        <v>0</v>
      </c>
      <c r="AG812" t="str">
        <f>INDEX(vp.tbl[[#Headers],[Unknown]:[Heavy_SW]],MATCH(1,vp.tbl[[#This Row],[Unknown]:[Heavy_SW]],0))</f>
        <v>Medium_LSB</v>
      </c>
      <c r="AH812" t="e">
        <f>INDEX([1]!crudeBD.lkup[Number],MATCH(vp.tbl[[#This Row],[Crude_Breakdown]],[1]!crudeBD.lkup[Crude Breakdown],0))</f>
        <v>#REF!</v>
      </c>
      <c r="AI812">
        <f>MONTH(vp.tbl[[#This Row],[SDate]])</f>
        <v>2</v>
      </c>
      <c r="AJ812" s="5">
        <f>IFERROR(vp.tbl[[#This Row],[Sulf]]*vp.tbl[[#This Row],[Net Dens]],"")</f>
        <v>1997125.527036</v>
      </c>
      <c r="AK812" s="5">
        <f>IFERROR(vp.tbl[[#This Row],[Dens]]*vp.tbl[[#This Row],[VolumeM3]],"")</f>
        <v>1147773.2914</v>
      </c>
      <c r="AL812" s="5">
        <f>IFERROR(vp.tbl[[#This Row],[VP]]*vp.tbl[[#This Row],[VolumeM3]],"")</f>
        <v>99933.824999999997</v>
      </c>
      <c r="AM812" s="4">
        <f>IFERROR((vp.tbl[[#This Row],[VP]]-INDEX(crudeBD.lkup.complete[Mean_VP],MATCH(vp.tbl[[#This Row],[Crude_Breakdown]],crudeBD.lkup.complete[Crude Breakdown],0)))^2,"")</f>
        <v>26.766084569139178</v>
      </c>
      <c r="AN812" s="4">
        <f>IFERROR((vp.tbl[[#This Row],[Dens]]-INDEX(crudeBD.lkup.complete[Mean_Dens],MATCH(vp.tbl[[#This Row],[Crude_Breakdown]],crudeBD.lkup.complete[Crude Breakdown],0)))^2,"")</f>
        <v>259.47337319599319</v>
      </c>
      <c r="AO812" s="4">
        <f>IFERROR((vp.tbl[[#This Row],[Sulf]]-INDEX(crudeBD.lkup.complete[Mean_Sulf],MATCH(vp.tbl[[#This Row],[Crude_Breakdown]],crudeBD.lkup.complete[Crude Breakdown],0)))^2,"")</f>
        <v>8.1264984286600811E-2</v>
      </c>
      <c r="AP812">
        <f>IF(AND(vp.tbl[[#This Row],[SDate]]&gt;=DATE(YEAR(vp.tbl[[#This Row],[SDate]]),5,1),vp.tbl[[#This Row],[SDate]]&lt;=DATE(YEAR(vp.tbl[[#This Row],[SDate]]),9,15)),1,0)</f>
        <v>0</v>
      </c>
      <c r="AQ812" s="15">
        <f>IF(vp.tbl[[#This Row],[SDate]]&lt;DATE(2016,12,1),0,1)</f>
        <v>1</v>
      </c>
    </row>
    <row r="813" spans="1:43" x14ac:dyDescent="0.25">
      <c r="A813">
        <v>812</v>
      </c>
      <c r="B813" t="s">
        <v>60</v>
      </c>
      <c r="C813" t="s">
        <v>60</v>
      </c>
      <c r="D813" t="s">
        <v>61</v>
      </c>
      <c r="E813" t="s">
        <v>73</v>
      </c>
      <c r="F813" s="1">
        <v>42782</v>
      </c>
      <c r="G813" s="2">
        <v>73.900000000000006</v>
      </c>
      <c r="H813" s="2">
        <v>1.089</v>
      </c>
      <c r="I813" s="2">
        <v>1.089</v>
      </c>
      <c r="J813" s="2">
        <v>7.5</v>
      </c>
      <c r="K813" s="2">
        <v>5</v>
      </c>
      <c r="L813" s="2">
        <v>840.3</v>
      </c>
      <c r="M813" s="2">
        <v>840.3</v>
      </c>
      <c r="N813" s="2">
        <f ca="1">INDEX(INDIRECT(_xlfn.CONCAT("weather.tbl[",N$1,"]")),MATCH(vp.tbl[[#This Row],[SDate]],weather.tbl[Date],0))</f>
        <v>2.8166666666666664</v>
      </c>
      <c r="O813" s="2">
        <f ca="1">INDEX(INDIRECT(_xlfn.CONCAT("weather.tbl[",O$1,"]")),MATCH(vp.tbl[[#This Row],[SDate]],weather.tbl[Date],0))</f>
        <v>-2.8642857142857143</v>
      </c>
      <c r="P813" s="2">
        <f ca="1">INDEX(INDIRECT(_xlfn.CONCAT("weather.tbl[",P$1,"]")),MATCH(vp.tbl[[#This Row],[SDate]],weather.tbl[Date],0))</f>
        <v>2.4</v>
      </c>
      <c r="Q813" s="2">
        <f ca="1">INDEX(INDIRECT(_xlfn.CONCAT("weather.tbl[",Q$1,"]")),MATCH(vp.tbl[[#This Row],[SDate]],weather.tbl[Date],0))</f>
        <v>3.2</v>
      </c>
      <c r="R813" s="2">
        <f ca="1">INDEX(INDIRECT(_xlfn.CONCAT("weather.tbl[",R$1,"]")),MATCH(vp.tbl[[#This Row],[SDate]],weather.tbl[Date],0))</f>
        <v>2.5</v>
      </c>
      <c r="S813" s="2">
        <f ca="1">INDEX(INDIRECT(_xlfn.CONCAT("weather.tbl[",S$1,"]")),MATCH(vp.tbl[[#This Row],[SDate]],weather.tbl[Date],0))</f>
        <v>4.9000000000000004</v>
      </c>
      <c r="T813" s="2">
        <f ca="1">INDEX(INDIRECT(_xlfn.CONCAT("weather.tbl[",T$1,"]")),MATCH(vp.tbl[[#This Row],[SDate]],weather.tbl[Date],0))</f>
        <v>0.4</v>
      </c>
      <c r="U813" s="2">
        <f ca="1">INDEX(INDIRECT(_xlfn.CONCAT("weather.tbl[",U$1,"]")),MATCH(vp.tbl[[#This Row],[SDate]],weather.tbl[Date],0))</f>
        <v>3.5</v>
      </c>
      <c r="V813" s="2">
        <v>96501.951000000001</v>
      </c>
      <c r="W813" t="s">
        <v>48</v>
      </c>
      <c r="X813">
        <f>IF(OR(vp.tbl[[#This Row],[Sulf]]="",vp.tbl[[#This Row],[Dens]]=""),1,0)</f>
        <v>0</v>
      </c>
      <c r="Y813">
        <f>IF(vp.tbl[[#This Row],[CrudeType]]="C5+",1,0)</f>
        <v>0</v>
      </c>
      <c r="Z813">
        <f>IF(AND(vp.tbl[[#This Row],[CrudeType]]="Crude",vp.tbl[[#This Row],[Dens]]&lt;=825,vp.tbl[[#This Row],[Sulf]]&gt;0.5,vp.tbl[[#This Row],[Unknown]]=0),1,0)</f>
        <v>0</v>
      </c>
      <c r="AA813">
        <f>IF(AND(vp.tbl[[#This Row],[CrudeType]]="Crude",vp.tbl[[#This Row],[Dens]]&lt;=825,vp.tbl[[#This Row],[Sulf]]&lt;=0.5,vp.tbl[[#This Row],[Unknown]]=0),1,0)</f>
        <v>0</v>
      </c>
      <c r="AB813">
        <f>IF(AND(vp.tbl[[#This Row],[CrudeType]]="Crude",vp.tbl[[#This Row],[Dens]]&gt;825,vp.tbl[[#This Row],[Dens]]&lt;=870,vp.tbl[[#This Row],[Sulf]]&gt;0.5,vp.tbl[[#This Row],[Unknown]]=0),1,0)</f>
        <v>1</v>
      </c>
      <c r="AC813">
        <f>IF(AND(vp.tbl[[#This Row],[CrudeType]]="Crude",vp.tbl[[#This Row],[Dens]]&gt;825,vp.tbl[[#This Row],[Dens]]&lt;=900,vp.tbl[[#This Row],[Sulf]]&lt;=0.5,vp.tbl[[#This Row],[Unknown]]=0),1,0)</f>
        <v>0</v>
      </c>
      <c r="AD813">
        <f>IF(AND(vp.tbl[[#This Row],[CrudeType]]="Crude",vp.tbl[[#This Row],[Dens]]&gt;870,vp.tbl[[#This Row],[Dens]]&lt;=900,vp.tbl[[#This Row],[Sulf]]&gt;0.5,vp.tbl[[#This Row],[Unknown]]=0),1,0)</f>
        <v>0</v>
      </c>
      <c r="AE813">
        <f>IF(AND(vp.tbl[[#This Row],[CrudeType]]="Crude",vp.tbl[[#This Row],[Dens]]&gt;900,vp.tbl[[#This Row],[Sulf]]&lt;=0.5,vp.tbl[[#This Row],[Unknown]]=0),1,0)</f>
        <v>0</v>
      </c>
      <c r="AF813">
        <f>IF(AND(vp.tbl[[#This Row],[CrudeType]]="Crude",vp.tbl[[#This Row],[Dens]]&gt;900,vp.tbl[[#This Row],[Sulf]]&lt;=0.5,vp.tbl[[#This Row],[Unknown]]=0),1,0)</f>
        <v>0</v>
      </c>
      <c r="AG813" t="str">
        <f>INDEX(vp.tbl[[#Headers],[Unknown]:[Heavy_SW]],MATCH(1,vp.tbl[[#This Row],[Unknown]:[Heavy_SW]],0))</f>
        <v>Medium_LSB</v>
      </c>
      <c r="AH813" t="e">
        <f>INDEX([1]!crudeBD.lkup[Number],MATCH(vp.tbl[[#This Row],[Crude_Breakdown]],[1]!crudeBD.lkup[Crude Breakdown],0))</f>
        <v>#REF!</v>
      </c>
      <c r="AI813">
        <f>MONTH(vp.tbl[[#This Row],[SDate]])</f>
        <v>2</v>
      </c>
      <c r="AJ813" s="5">
        <f>IFERROR(vp.tbl[[#This Row],[Sulf]]*vp.tbl[[#This Row],[Net Dens]],"")</f>
        <v>88307651.884151697</v>
      </c>
      <c r="AK813" s="5">
        <f>IFERROR(vp.tbl[[#This Row],[Dens]]*vp.tbl[[#This Row],[VolumeM3]],"")</f>
        <v>81090589.425300002</v>
      </c>
      <c r="AL813" s="5">
        <f>IFERROR(vp.tbl[[#This Row],[VP]]*vp.tbl[[#This Row],[VolumeM3]],"")</f>
        <v>7131494.1789000006</v>
      </c>
      <c r="AM813" s="4">
        <f>IFERROR((vp.tbl[[#This Row],[VP]]-INDEX(crudeBD.lkup.complete[Mean_VP],MATCH(vp.tbl[[#This Row],[Crude_Breakdown]],crudeBD.lkup.complete[Crude Breakdown],0)))^2,"")</f>
        <v>39.357993429898521</v>
      </c>
      <c r="AN813" s="4">
        <f>IFERROR((vp.tbl[[#This Row],[Dens]]-INDEX(crudeBD.lkup.complete[Mean_Dens],MATCH(vp.tbl[[#This Row],[Crude_Breakdown]],crudeBD.lkup.complete[Crude Breakdown],0)))^2,"")</f>
        <v>24.918294714940149</v>
      </c>
      <c r="AO813" s="4">
        <f>IFERROR((vp.tbl[[#This Row],[Sulf]]-INDEX(crudeBD.lkup.complete[Mean_Sulf],MATCH(vp.tbl[[#This Row],[Crude_Breakdown]],crudeBD.lkup.complete[Crude Breakdown],0)))^2,"")</f>
        <v>0.13390466299546352</v>
      </c>
      <c r="AP813">
        <f>IF(AND(vp.tbl[[#This Row],[SDate]]&gt;=DATE(YEAR(vp.tbl[[#This Row],[SDate]]),5,1),vp.tbl[[#This Row],[SDate]]&lt;=DATE(YEAR(vp.tbl[[#This Row],[SDate]]),9,15)),1,0)</f>
        <v>0</v>
      </c>
      <c r="AQ813" s="15">
        <f>IF(vp.tbl[[#This Row],[SDate]]&lt;DATE(2016,12,1),0,1)</f>
        <v>1</v>
      </c>
    </row>
    <row r="814" spans="1:43" x14ac:dyDescent="0.25">
      <c r="A814">
        <v>813</v>
      </c>
      <c r="B814" t="s">
        <v>60</v>
      </c>
      <c r="C814" t="s">
        <v>60</v>
      </c>
      <c r="D814" t="s">
        <v>61</v>
      </c>
      <c r="E814" t="s">
        <v>55</v>
      </c>
      <c r="F814" s="1">
        <v>42782</v>
      </c>
      <c r="G814" s="2">
        <v>96.1</v>
      </c>
      <c r="H814" s="2">
        <v>1.179</v>
      </c>
      <c r="I814" s="2">
        <v>1.179</v>
      </c>
      <c r="J814" s="2">
        <v>6.2</v>
      </c>
      <c r="K814" s="2">
        <v>5</v>
      </c>
      <c r="L814" s="2">
        <v>837</v>
      </c>
      <c r="M814" s="2">
        <v>837</v>
      </c>
      <c r="N814" s="2">
        <f ca="1">INDEX(INDIRECT(_xlfn.CONCAT("weather.tbl[",N$1,"]")),MATCH(vp.tbl[[#This Row],[SDate]],weather.tbl[Date],0))</f>
        <v>2.8166666666666664</v>
      </c>
      <c r="O814" s="2">
        <f ca="1">INDEX(INDIRECT(_xlfn.CONCAT("weather.tbl[",O$1,"]")),MATCH(vp.tbl[[#This Row],[SDate]],weather.tbl[Date],0))</f>
        <v>-2.8642857142857143</v>
      </c>
      <c r="P814" s="2">
        <f ca="1">INDEX(INDIRECT(_xlfn.CONCAT("weather.tbl[",P$1,"]")),MATCH(vp.tbl[[#This Row],[SDate]],weather.tbl[Date],0))</f>
        <v>2.4</v>
      </c>
      <c r="Q814" s="2">
        <f ca="1">INDEX(INDIRECT(_xlfn.CONCAT("weather.tbl[",Q$1,"]")),MATCH(vp.tbl[[#This Row],[SDate]],weather.tbl[Date],0))</f>
        <v>3.2</v>
      </c>
      <c r="R814" s="2">
        <f ca="1">INDEX(INDIRECT(_xlfn.CONCAT("weather.tbl[",R$1,"]")),MATCH(vp.tbl[[#This Row],[SDate]],weather.tbl[Date],0))</f>
        <v>2.5</v>
      </c>
      <c r="S814" s="2">
        <f ca="1">INDEX(INDIRECT(_xlfn.CONCAT("weather.tbl[",S$1,"]")),MATCH(vp.tbl[[#This Row],[SDate]],weather.tbl[Date],0))</f>
        <v>4.9000000000000004</v>
      </c>
      <c r="T814" s="2">
        <f ca="1">INDEX(INDIRECT(_xlfn.CONCAT("weather.tbl[",T$1,"]")),MATCH(vp.tbl[[#This Row],[SDate]],weather.tbl[Date],0))</f>
        <v>0.4</v>
      </c>
      <c r="U814" s="2">
        <f ca="1">INDEX(INDIRECT(_xlfn.CONCAT("weather.tbl[",U$1,"]")),MATCH(vp.tbl[[#This Row],[SDate]],weather.tbl[Date],0))</f>
        <v>3.5</v>
      </c>
      <c r="V814" s="2">
        <v>96501.951000000001</v>
      </c>
      <c r="W814" t="s">
        <v>48</v>
      </c>
      <c r="X814">
        <f>IF(OR(vp.tbl[[#This Row],[Sulf]]="",vp.tbl[[#This Row],[Dens]]=""),1,0)</f>
        <v>0</v>
      </c>
      <c r="Y814">
        <f>IF(vp.tbl[[#This Row],[CrudeType]]="C5+",1,0)</f>
        <v>0</v>
      </c>
      <c r="Z814">
        <f>IF(AND(vp.tbl[[#This Row],[CrudeType]]="Crude",vp.tbl[[#This Row],[Dens]]&lt;=825,vp.tbl[[#This Row],[Sulf]]&gt;0.5,vp.tbl[[#This Row],[Unknown]]=0),1,0)</f>
        <v>0</v>
      </c>
      <c r="AA814">
        <f>IF(AND(vp.tbl[[#This Row],[CrudeType]]="Crude",vp.tbl[[#This Row],[Dens]]&lt;=825,vp.tbl[[#This Row],[Sulf]]&lt;=0.5,vp.tbl[[#This Row],[Unknown]]=0),1,0)</f>
        <v>0</v>
      </c>
      <c r="AB814">
        <f>IF(AND(vp.tbl[[#This Row],[CrudeType]]="Crude",vp.tbl[[#This Row],[Dens]]&gt;825,vp.tbl[[#This Row],[Dens]]&lt;=870,vp.tbl[[#This Row],[Sulf]]&gt;0.5,vp.tbl[[#This Row],[Unknown]]=0),1,0)</f>
        <v>1</v>
      </c>
      <c r="AC814">
        <f>IF(AND(vp.tbl[[#This Row],[CrudeType]]="Crude",vp.tbl[[#This Row],[Dens]]&gt;825,vp.tbl[[#This Row],[Dens]]&lt;=900,vp.tbl[[#This Row],[Sulf]]&lt;=0.5,vp.tbl[[#This Row],[Unknown]]=0),1,0)</f>
        <v>0</v>
      </c>
      <c r="AD814">
        <f>IF(AND(vp.tbl[[#This Row],[CrudeType]]="Crude",vp.tbl[[#This Row],[Dens]]&gt;870,vp.tbl[[#This Row],[Dens]]&lt;=900,vp.tbl[[#This Row],[Sulf]]&gt;0.5,vp.tbl[[#This Row],[Unknown]]=0),1,0)</f>
        <v>0</v>
      </c>
      <c r="AE814">
        <f>IF(AND(vp.tbl[[#This Row],[CrudeType]]="Crude",vp.tbl[[#This Row],[Dens]]&gt;900,vp.tbl[[#This Row],[Sulf]]&lt;=0.5,vp.tbl[[#This Row],[Unknown]]=0),1,0)</f>
        <v>0</v>
      </c>
      <c r="AF814">
        <f>IF(AND(vp.tbl[[#This Row],[CrudeType]]="Crude",vp.tbl[[#This Row],[Dens]]&gt;900,vp.tbl[[#This Row],[Sulf]]&lt;=0.5,vp.tbl[[#This Row],[Unknown]]=0),1,0)</f>
        <v>0</v>
      </c>
      <c r="AG814" t="str">
        <f>INDEX(vp.tbl[[#Headers],[Unknown]:[Heavy_SW]],MATCH(1,vp.tbl[[#This Row],[Unknown]:[Heavy_SW]],0))</f>
        <v>Medium_LSB</v>
      </c>
      <c r="AH814" t="e">
        <f>INDEX([1]!crudeBD.lkup[Number],MATCH(vp.tbl[[#This Row],[Crude_Breakdown]],[1]!crudeBD.lkup[Crude Breakdown],0))</f>
        <v>#REF!</v>
      </c>
      <c r="AI814">
        <f>MONTH(vp.tbl[[#This Row],[SDate]])</f>
        <v>2</v>
      </c>
      <c r="AJ814" s="5">
        <f>IFERROR(vp.tbl[[#This Row],[Sulf]]*vp.tbl[[#This Row],[Net Dens]],"")</f>
        <v>95230344.791673005</v>
      </c>
      <c r="AK814" s="5">
        <f>IFERROR(vp.tbl[[#This Row],[Dens]]*vp.tbl[[#This Row],[VolumeM3]],"")</f>
        <v>80772132.987000003</v>
      </c>
      <c r="AL814" s="5">
        <f>IFERROR(vp.tbl[[#This Row],[VP]]*vp.tbl[[#This Row],[VolumeM3]],"")</f>
        <v>9273837.4911000002</v>
      </c>
      <c r="AM814" s="4">
        <f>IFERROR((vp.tbl[[#This Row],[VP]]-INDEX(crudeBD.lkup.complete[Mean_VP],MATCH(vp.tbl[[#This Row],[Crude_Breakdown]],crudeBD.lkup.complete[Crude Breakdown],0)))^2,"")</f>
        <v>253.65037824002664</v>
      </c>
      <c r="AN814" s="4">
        <f>IFERROR((vp.tbl[[#This Row],[Dens]]-INDEX(crudeBD.lkup.complete[Mean_Dens],MATCH(vp.tbl[[#This Row],[Crude_Breakdown]],crudeBD.lkup.complete[Crude Breakdown],0)))^2,"")</f>
        <v>68.754325094680027</v>
      </c>
      <c r="AO814" s="4">
        <f>IFERROR((vp.tbl[[#This Row],[Sulf]]-INDEX(crudeBD.lkup.complete[Mean_Sulf],MATCH(vp.tbl[[#This Row],[Crude_Breakdown]],crudeBD.lkup.complete[Crude Breakdown],0)))^2,"")</f>
        <v>7.613728805875436E-2</v>
      </c>
      <c r="AP814">
        <f>IF(AND(vp.tbl[[#This Row],[SDate]]&gt;=DATE(YEAR(vp.tbl[[#This Row],[SDate]]),5,1),vp.tbl[[#This Row],[SDate]]&lt;=DATE(YEAR(vp.tbl[[#This Row],[SDate]]),9,15)),1,0)</f>
        <v>0</v>
      </c>
      <c r="AQ814" s="15">
        <f>IF(vp.tbl[[#This Row],[SDate]]&lt;DATE(2016,12,1),0,1)</f>
        <v>1</v>
      </c>
    </row>
    <row r="815" spans="1:43" x14ac:dyDescent="0.25">
      <c r="A815">
        <v>814</v>
      </c>
      <c r="B815" t="s">
        <v>49</v>
      </c>
      <c r="C815" t="s">
        <v>49</v>
      </c>
      <c r="D815" t="s">
        <v>163</v>
      </c>
      <c r="F815" s="1">
        <v>42784</v>
      </c>
      <c r="G815" s="2">
        <v>55.7</v>
      </c>
      <c r="H815" s="2">
        <v>0.41599999999999998</v>
      </c>
      <c r="I815" s="2">
        <v>0.41599999999999998</v>
      </c>
      <c r="J815" s="2">
        <v>21.2</v>
      </c>
      <c r="K815" s="2">
        <v>2</v>
      </c>
      <c r="L815" s="2">
        <v>818.9</v>
      </c>
      <c r="M815" s="2">
        <v>818.9</v>
      </c>
      <c r="N815" s="2">
        <f ca="1">INDEX(INDIRECT(_xlfn.CONCAT("weather.tbl[",N$1,"]")),MATCH(vp.tbl[[#This Row],[SDate]],weather.tbl[Date],0))</f>
        <v>-0.54999999999999993</v>
      </c>
      <c r="O815" s="2">
        <f ca="1">INDEX(INDIRECT(_xlfn.CONCAT("weather.tbl[",O$1,"]")),MATCH(vp.tbl[[#This Row],[SDate]],weather.tbl[Date],0))</f>
        <v>-1.0261904761904761</v>
      </c>
      <c r="P815" s="2">
        <f ca="1">INDEX(INDIRECT(_xlfn.CONCAT("weather.tbl[",P$1,"]")),MATCH(vp.tbl[[#This Row],[SDate]],weather.tbl[Date],0))</f>
        <v>-1.9</v>
      </c>
      <c r="Q815" s="2">
        <f ca="1">INDEX(INDIRECT(_xlfn.CONCAT("weather.tbl[",Q$1,"]")),MATCH(vp.tbl[[#This Row],[SDate]],weather.tbl[Date],0))</f>
        <v>-1.6</v>
      </c>
      <c r="R815" s="2">
        <f ca="1">INDEX(INDIRECT(_xlfn.CONCAT("weather.tbl[",R$1,"]")),MATCH(vp.tbl[[#This Row],[SDate]],weather.tbl[Date],0))</f>
        <v>-1</v>
      </c>
      <c r="S815" s="2">
        <f ca="1">INDEX(INDIRECT(_xlfn.CONCAT("weather.tbl[",S$1,"]")),MATCH(vp.tbl[[#This Row],[SDate]],weather.tbl[Date],0))</f>
        <v>-0.6</v>
      </c>
      <c r="T815" s="2">
        <f ca="1">INDEX(INDIRECT(_xlfn.CONCAT("weather.tbl[",T$1,"]")),MATCH(vp.tbl[[#This Row],[SDate]],weather.tbl[Date],0))</f>
        <v>-0.2</v>
      </c>
      <c r="U815" s="2">
        <f ca="1">INDEX(INDIRECT(_xlfn.CONCAT("weather.tbl[",U$1,"]")),MATCH(vp.tbl[[#This Row],[SDate]],weather.tbl[Date],0))</f>
        <v>2</v>
      </c>
      <c r="V815" s="2">
        <v>2535.1390000000001</v>
      </c>
      <c r="W815" t="s">
        <v>48</v>
      </c>
      <c r="X815">
        <f>IF(OR(vp.tbl[[#This Row],[Sulf]]="",vp.tbl[[#This Row],[Dens]]=""),1,0)</f>
        <v>0</v>
      </c>
      <c r="Y815">
        <f>IF(vp.tbl[[#This Row],[CrudeType]]="C5+",1,0)</f>
        <v>0</v>
      </c>
      <c r="Z815">
        <f>IF(AND(vp.tbl[[#This Row],[CrudeType]]="Crude",vp.tbl[[#This Row],[Dens]]&lt;=825,vp.tbl[[#This Row],[Sulf]]&gt;0.5,vp.tbl[[#This Row],[Unknown]]=0),1,0)</f>
        <v>0</v>
      </c>
      <c r="AA815">
        <f>IF(AND(vp.tbl[[#This Row],[CrudeType]]="Crude",vp.tbl[[#This Row],[Dens]]&lt;=825,vp.tbl[[#This Row],[Sulf]]&lt;=0.5,vp.tbl[[#This Row],[Unknown]]=0),1,0)</f>
        <v>1</v>
      </c>
      <c r="AB815">
        <f>IF(AND(vp.tbl[[#This Row],[CrudeType]]="Crude",vp.tbl[[#This Row],[Dens]]&gt;825,vp.tbl[[#This Row],[Dens]]&lt;=870,vp.tbl[[#This Row],[Sulf]]&gt;0.5,vp.tbl[[#This Row],[Unknown]]=0),1,0)</f>
        <v>0</v>
      </c>
      <c r="AC815">
        <f>IF(AND(vp.tbl[[#This Row],[CrudeType]]="Crude",vp.tbl[[#This Row],[Dens]]&gt;825,vp.tbl[[#This Row],[Dens]]&lt;=900,vp.tbl[[#This Row],[Sulf]]&lt;=0.5,vp.tbl[[#This Row],[Unknown]]=0),1,0)</f>
        <v>0</v>
      </c>
      <c r="AD815">
        <f>IF(AND(vp.tbl[[#This Row],[CrudeType]]="Crude",vp.tbl[[#This Row],[Dens]]&gt;870,vp.tbl[[#This Row],[Dens]]&lt;=900,vp.tbl[[#This Row],[Sulf]]&gt;0.5,vp.tbl[[#This Row],[Unknown]]=0),1,0)</f>
        <v>0</v>
      </c>
      <c r="AE815">
        <f>IF(AND(vp.tbl[[#This Row],[CrudeType]]="Crude",vp.tbl[[#This Row],[Dens]]&gt;900,vp.tbl[[#This Row],[Sulf]]&lt;=0.5,vp.tbl[[#This Row],[Unknown]]=0),1,0)</f>
        <v>0</v>
      </c>
      <c r="AF815">
        <f>IF(AND(vp.tbl[[#This Row],[CrudeType]]="Crude",vp.tbl[[#This Row],[Dens]]&gt;900,vp.tbl[[#This Row],[Sulf]]&lt;=0.5,vp.tbl[[#This Row],[Unknown]]=0),1,0)</f>
        <v>0</v>
      </c>
      <c r="AG815" t="str">
        <f>INDEX(vp.tbl[[#Headers],[Unknown]:[Heavy_SW]],MATCH(1,vp.tbl[[#This Row],[Unknown]:[Heavy_SW]],0))</f>
        <v>Light_SW</v>
      </c>
      <c r="AH815" t="e">
        <f>INDEX([1]!crudeBD.lkup[Number],MATCH(vp.tbl[[#This Row],[Crude_Breakdown]],[1]!crudeBD.lkup[Crude Breakdown],0))</f>
        <v>#REF!</v>
      </c>
      <c r="AI815">
        <f>MONTH(vp.tbl[[#This Row],[SDate]])</f>
        <v>2</v>
      </c>
      <c r="AJ815" s="5">
        <f>IFERROR(vp.tbl[[#This Row],[Sulf]]*vp.tbl[[#This Row],[Net Dens]],"")</f>
        <v>863626.53607360006</v>
      </c>
      <c r="AK815" s="5">
        <f>IFERROR(vp.tbl[[#This Row],[Dens]]*vp.tbl[[#This Row],[VolumeM3]],"")</f>
        <v>2076025.3271000001</v>
      </c>
      <c r="AL815" s="5">
        <f>IFERROR(vp.tbl[[#This Row],[VP]]*vp.tbl[[#This Row],[VolumeM3]],"")</f>
        <v>141207.24230000001</v>
      </c>
      <c r="AM815" s="4">
        <f>IFERROR((vp.tbl[[#This Row],[VP]]-INDEX(crudeBD.lkup.complete[Mean_VP],MATCH(vp.tbl[[#This Row],[Crude_Breakdown]],crudeBD.lkup.complete[Crude Breakdown],0)))^2,"")</f>
        <v>1357.9456115965934</v>
      </c>
      <c r="AN815" s="4">
        <f>IFERROR((vp.tbl[[#This Row],[Dens]]-INDEX(crudeBD.lkup.complete[Mean_Dens],MATCH(vp.tbl[[#This Row],[Crude_Breakdown]],crudeBD.lkup.complete[Crude Breakdown],0)))^2,"")</f>
        <v>112.1163691437354</v>
      </c>
      <c r="AO815" s="4">
        <f>IFERROR((vp.tbl[[#This Row],[Sulf]]-INDEX(crudeBD.lkup.complete[Mean_Sulf],MATCH(vp.tbl[[#This Row],[Crude_Breakdown]],crudeBD.lkup.complete[Crude Breakdown],0)))^2,"")</f>
        <v>3.2313006208160883E-2</v>
      </c>
      <c r="AP815">
        <f>IF(AND(vp.tbl[[#This Row],[SDate]]&gt;=DATE(YEAR(vp.tbl[[#This Row],[SDate]]),5,1),vp.tbl[[#This Row],[SDate]]&lt;=DATE(YEAR(vp.tbl[[#This Row],[SDate]]),9,15)),1,0)</f>
        <v>0</v>
      </c>
      <c r="AQ815" s="15">
        <f>IF(vp.tbl[[#This Row],[SDate]]&lt;DATE(2016,12,1),0,1)</f>
        <v>1</v>
      </c>
    </row>
    <row r="816" spans="1:43" x14ac:dyDescent="0.25">
      <c r="A816">
        <v>815</v>
      </c>
      <c r="B816" t="s">
        <v>49</v>
      </c>
      <c r="C816" t="s">
        <v>49</v>
      </c>
      <c r="D816" t="s">
        <v>78</v>
      </c>
      <c r="F816" s="1">
        <v>42784</v>
      </c>
      <c r="G816" s="2">
        <v>76.599999999999994</v>
      </c>
      <c r="H816" s="2">
        <v>0.45700000000000002</v>
      </c>
      <c r="I816" s="2">
        <v>0.45700000000000002</v>
      </c>
      <c r="J816" s="2">
        <v>20.2</v>
      </c>
      <c r="K816" s="2">
        <v>2</v>
      </c>
      <c r="L816" s="2">
        <v>815.3</v>
      </c>
      <c r="M816" s="2">
        <v>815.3</v>
      </c>
      <c r="N816" s="2">
        <f ca="1">INDEX(INDIRECT(_xlfn.CONCAT("weather.tbl[",N$1,"]")),MATCH(vp.tbl[[#This Row],[SDate]],weather.tbl[Date],0))</f>
        <v>-0.54999999999999993</v>
      </c>
      <c r="O816" s="2">
        <f ca="1">INDEX(INDIRECT(_xlfn.CONCAT("weather.tbl[",O$1,"]")),MATCH(vp.tbl[[#This Row],[SDate]],weather.tbl[Date],0))</f>
        <v>-1.0261904761904761</v>
      </c>
      <c r="P816" s="2">
        <f ca="1">INDEX(INDIRECT(_xlfn.CONCAT("weather.tbl[",P$1,"]")),MATCH(vp.tbl[[#This Row],[SDate]],weather.tbl[Date],0))</f>
        <v>-1.9</v>
      </c>
      <c r="Q816" s="2">
        <f ca="1">INDEX(INDIRECT(_xlfn.CONCAT("weather.tbl[",Q$1,"]")),MATCH(vp.tbl[[#This Row],[SDate]],weather.tbl[Date],0))</f>
        <v>-1.6</v>
      </c>
      <c r="R816" s="2">
        <f ca="1">INDEX(INDIRECT(_xlfn.CONCAT("weather.tbl[",R$1,"]")),MATCH(vp.tbl[[#This Row],[SDate]],weather.tbl[Date],0))</f>
        <v>-1</v>
      </c>
      <c r="S816" s="2">
        <f ca="1">INDEX(INDIRECT(_xlfn.CONCAT("weather.tbl[",S$1,"]")),MATCH(vp.tbl[[#This Row],[SDate]],weather.tbl[Date],0))</f>
        <v>-0.6</v>
      </c>
      <c r="T816" s="2">
        <f ca="1">INDEX(INDIRECT(_xlfn.CONCAT("weather.tbl[",T$1,"]")),MATCH(vp.tbl[[#This Row],[SDate]],weather.tbl[Date],0))</f>
        <v>-0.2</v>
      </c>
      <c r="U816" s="2">
        <f ca="1">INDEX(INDIRECT(_xlfn.CONCAT("weather.tbl[",U$1,"]")),MATCH(vp.tbl[[#This Row],[SDate]],weather.tbl[Date],0))</f>
        <v>2</v>
      </c>
      <c r="V816" s="2">
        <v>17200.881000000001</v>
      </c>
      <c r="W816" t="s">
        <v>48</v>
      </c>
      <c r="X816">
        <f>IF(OR(vp.tbl[[#This Row],[Sulf]]="",vp.tbl[[#This Row],[Dens]]=""),1,0)</f>
        <v>0</v>
      </c>
      <c r="Y816">
        <f>IF(vp.tbl[[#This Row],[CrudeType]]="C5+",1,0)</f>
        <v>0</v>
      </c>
      <c r="Z816">
        <f>IF(AND(vp.tbl[[#This Row],[CrudeType]]="Crude",vp.tbl[[#This Row],[Dens]]&lt;=825,vp.tbl[[#This Row],[Sulf]]&gt;0.5,vp.tbl[[#This Row],[Unknown]]=0),1,0)</f>
        <v>0</v>
      </c>
      <c r="AA816">
        <f>IF(AND(vp.tbl[[#This Row],[CrudeType]]="Crude",vp.tbl[[#This Row],[Dens]]&lt;=825,vp.tbl[[#This Row],[Sulf]]&lt;=0.5,vp.tbl[[#This Row],[Unknown]]=0),1,0)</f>
        <v>1</v>
      </c>
      <c r="AB816">
        <f>IF(AND(vp.tbl[[#This Row],[CrudeType]]="Crude",vp.tbl[[#This Row],[Dens]]&gt;825,vp.tbl[[#This Row],[Dens]]&lt;=870,vp.tbl[[#This Row],[Sulf]]&gt;0.5,vp.tbl[[#This Row],[Unknown]]=0),1,0)</f>
        <v>0</v>
      </c>
      <c r="AC816">
        <f>IF(AND(vp.tbl[[#This Row],[CrudeType]]="Crude",vp.tbl[[#This Row],[Dens]]&gt;825,vp.tbl[[#This Row],[Dens]]&lt;=900,vp.tbl[[#This Row],[Sulf]]&lt;=0.5,vp.tbl[[#This Row],[Unknown]]=0),1,0)</f>
        <v>0</v>
      </c>
      <c r="AD816">
        <f>IF(AND(vp.tbl[[#This Row],[CrudeType]]="Crude",vp.tbl[[#This Row],[Dens]]&gt;870,vp.tbl[[#This Row],[Dens]]&lt;=900,vp.tbl[[#This Row],[Sulf]]&gt;0.5,vp.tbl[[#This Row],[Unknown]]=0),1,0)</f>
        <v>0</v>
      </c>
      <c r="AE816">
        <f>IF(AND(vp.tbl[[#This Row],[CrudeType]]="Crude",vp.tbl[[#This Row],[Dens]]&gt;900,vp.tbl[[#This Row],[Sulf]]&lt;=0.5,vp.tbl[[#This Row],[Unknown]]=0),1,0)</f>
        <v>0</v>
      </c>
      <c r="AF816">
        <f>IF(AND(vp.tbl[[#This Row],[CrudeType]]="Crude",vp.tbl[[#This Row],[Dens]]&gt;900,vp.tbl[[#This Row],[Sulf]]&lt;=0.5,vp.tbl[[#This Row],[Unknown]]=0),1,0)</f>
        <v>0</v>
      </c>
      <c r="AG816" t="str">
        <f>INDEX(vp.tbl[[#Headers],[Unknown]:[Heavy_SW]],MATCH(1,vp.tbl[[#This Row],[Unknown]:[Heavy_SW]],0))</f>
        <v>Light_SW</v>
      </c>
      <c r="AH816" t="e">
        <f>INDEX([1]!crudeBD.lkup[Number],MATCH(vp.tbl[[#This Row],[Crude_Breakdown]],[1]!crudeBD.lkup[Crude Breakdown],0))</f>
        <v>#REF!</v>
      </c>
      <c r="AI816">
        <f>MONTH(vp.tbl[[#This Row],[SDate]])</f>
        <v>2</v>
      </c>
      <c r="AJ816" s="5">
        <f>IFERROR(vp.tbl[[#This Row],[Sulf]]*vp.tbl[[#This Row],[Net Dens]],"")</f>
        <v>6408912.3736401005</v>
      </c>
      <c r="AK816" s="5">
        <f>IFERROR(vp.tbl[[#This Row],[Dens]]*vp.tbl[[#This Row],[VolumeM3]],"")</f>
        <v>14023878.279300001</v>
      </c>
      <c r="AL816" s="5">
        <f>IFERROR(vp.tbl[[#This Row],[VP]]*vp.tbl[[#This Row],[VolumeM3]],"")</f>
        <v>1317587.4846000001</v>
      </c>
      <c r="AM816" s="4">
        <f>IFERROR((vp.tbl[[#This Row],[VP]]-INDEX(crudeBD.lkup.complete[Mean_VP],MATCH(vp.tbl[[#This Row],[Crude_Breakdown]],crudeBD.lkup.complete[Crude Breakdown],0)))^2,"")</f>
        <v>254.41250358265776</v>
      </c>
      <c r="AN816" s="4">
        <f>IFERROR((vp.tbl[[#This Row],[Dens]]-INDEX(crudeBD.lkup.complete[Mean_Dens],MATCH(vp.tbl[[#This Row],[Crude_Breakdown]],crudeBD.lkup.complete[Crude Breakdown],0)))^2,"")</f>
        <v>48.83915660017967</v>
      </c>
      <c r="AO816" s="4">
        <f>IFERROR((vp.tbl[[#This Row],[Sulf]]-INDEX(crudeBD.lkup.complete[Mean_Sulf],MATCH(vp.tbl[[#This Row],[Crude_Breakdown]],crudeBD.lkup.complete[Crude Breakdown],0)))^2,"")</f>
        <v>4.8734177636732344E-2</v>
      </c>
      <c r="AP816">
        <f>IF(AND(vp.tbl[[#This Row],[SDate]]&gt;=DATE(YEAR(vp.tbl[[#This Row],[SDate]]),5,1),vp.tbl[[#This Row],[SDate]]&lt;=DATE(YEAR(vp.tbl[[#This Row],[SDate]]),9,15)),1,0)</f>
        <v>0</v>
      </c>
      <c r="AQ816" s="15">
        <f>IF(vp.tbl[[#This Row],[SDate]]&lt;DATE(2016,12,1),0,1)</f>
        <v>1</v>
      </c>
    </row>
    <row r="817" spans="1:43" x14ac:dyDescent="0.25">
      <c r="A817">
        <v>816</v>
      </c>
      <c r="B817" t="s">
        <v>49</v>
      </c>
      <c r="C817" t="s">
        <v>49</v>
      </c>
      <c r="D817" t="s">
        <v>81</v>
      </c>
      <c r="F817" s="1">
        <v>42784</v>
      </c>
      <c r="G817" s="2">
        <v>89.3</v>
      </c>
      <c r="H817" s="2">
        <v>0.5</v>
      </c>
      <c r="I817" s="2">
        <v>0.5</v>
      </c>
      <c r="J817" s="2">
        <v>4.5</v>
      </c>
      <c r="K817" s="2">
        <v>1</v>
      </c>
      <c r="L817" s="2">
        <v>805.7</v>
      </c>
      <c r="M817" s="2">
        <v>805.7</v>
      </c>
      <c r="N817" s="2">
        <f ca="1">INDEX(INDIRECT(_xlfn.CONCAT("weather.tbl[",N$1,"]")),MATCH(vp.tbl[[#This Row],[SDate]],weather.tbl[Date],0))</f>
        <v>-0.54999999999999993</v>
      </c>
      <c r="O817" s="2">
        <f ca="1">INDEX(INDIRECT(_xlfn.CONCAT("weather.tbl[",O$1,"]")),MATCH(vp.tbl[[#This Row],[SDate]],weather.tbl[Date],0))</f>
        <v>-1.0261904761904761</v>
      </c>
      <c r="P817" s="2">
        <f ca="1">INDEX(INDIRECT(_xlfn.CONCAT("weather.tbl[",P$1,"]")),MATCH(vp.tbl[[#This Row],[SDate]],weather.tbl[Date],0))</f>
        <v>-1.9</v>
      </c>
      <c r="Q817" s="2">
        <f ca="1">INDEX(INDIRECT(_xlfn.CONCAT("weather.tbl[",Q$1,"]")),MATCH(vp.tbl[[#This Row],[SDate]],weather.tbl[Date],0))</f>
        <v>-1.6</v>
      </c>
      <c r="R817" s="2">
        <f ca="1">INDEX(INDIRECT(_xlfn.CONCAT("weather.tbl[",R$1,"]")),MATCH(vp.tbl[[#This Row],[SDate]],weather.tbl[Date],0))</f>
        <v>-1</v>
      </c>
      <c r="S817" s="2">
        <f ca="1">INDEX(INDIRECT(_xlfn.CONCAT("weather.tbl[",S$1,"]")),MATCH(vp.tbl[[#This Row],[SDate]],weather.tbl[Date],0))</f>
        <v>-0.6</v>
      </c>
      <c r="T817" s="2">
        <f ca="1">INDEX(INDIRECT(_xlfn.CONCAT("weather.tbl[",T$1,"]")),MATCH(vp.tbl[[#This Row],[SDate]],weather.tbl[Date],0))</f>
        <v>-0.2</v>
      </c>
      <c r="U817" s="2">
        <f ca="1">INDEX(INDIRECT(_xlfn.CONCAT("weather.tbl[",U$1,"]")),MATCH(vp.tbl[[#This Row],[SDate]],weather.tbl[Date],0))</f>
        <v>2</v>
      </c>
      <c r="V817" s="2">
        <v>20596.550999999999</v>
      </c>
      <c r="W817" t="s">
        <v>48</v>
      </c>
      <c r="X817">
        <f>IF(OR(vp.tbl[[#This Row],[Sulf]]="",vp.tbl[[#This Row],[Dens]]=""),1,0)</f>
        <v>0</v>
      </c>
      <c r="Y817">
        <f>IF(vp.tbl[[#This Row],[CrudeType]]="C5+",1,0)</f>
        <v>0</v>
      </c>
      <c r="Z817">
        <f>IF(AND(vp.tbl[[#This Row],[CrudeType]]="Crude",vp.tbl[[#This Row],[Dens]]&lt;=825,vp.tbl[[#This Row],[Sulf]]&gt;0.5,vp.tbl[[#This Row],[Unknown]]=0),1,0)</f>
        <v>0</v>
      </c>
      <c r="AA817">
        <f>IF(AND(vp.tbl[[#This Row],[CrudeType]]="Crude",vp.tbl[[#This Row],[Dens]]&lt;=825,vp.tbl[[#This Row],[Sulf]]&lt;=0.5,vp.tbl[[#This Row],[Unknown]]=0),1,0)</f>
        <v>1</v>
      </c>
      <c r="AB817">
        <f>IF(AND(vp.tbl[[#This Row],[CrudeType]]="Crude",vp.tbl[[#This Row],[Dens]]&gt;825,vp.tbl[[#This Row],[Dens]]&lt;=870,vp.tbl[[#This Row],[Sulf]]&gt;0.5,vp.tbl[[#This Row],[Unknown]]=0),1,0)</f>
        <v>0</v>
      </c>
      <c r="AC817">
        <f>IF(AND(vp.tbl[[#This Row],[CrudeType]]="Crude",vp.tbl[[#This Row],[Dens]]&gt;825,vp.tbl[[#This Row],[Dens]]&lt;=900,vp.tbl[[#This Row],[Sulf]]&lt;=0.5,vp.tbl[[#This Row],[Unknown]]=0),1,0)</f>
        <v>0</v>
      </c>
      <c r="AD817">
        <f>IF(AND(vp.tbl[[#This Row],[CrudeType]]="Crude",vp.tbl[[#This Row],[Dens]]&gt;870,vp.tbl[[#This Row],[Dens]]&lt;=900,vp.tbl[[#This Row],[Sulf]]&gt;0.5,vp.tbl[[#This Row],[Unknown]]=0),1,0)</f>
        <v>0</v>
      </c>
      <c r="AE817">
        <f>IF(AND(vp.tbl[[#This Row],[CrudeType]]="Crude",vp.tbl[[#This Row],[Dens]]&gt;900,vp.tbl[[#This Row],[Sulf]]&lt;=0.5,vp.tbl[[#This Row],[Unknown]]=0),1,0)</f>
        <v>0</v>
      </c>
      <c r="AF817">
        <f>IF(AND(vp.tbl[[#This Row],[CrudeType]]="Crude",vp.tbl[[#This Row],[Dens]]&gt;900,vp.tbl[[#This Row],[Sulf]]&lt;=0.5,vp.tbl[[#This Row],[Unknown]]=0),1,0)</f>
        <v>0</v>
      </c>
      <c r="AG817" t="str">
        <f>INDEX(vp.tbl[[#Headers],[Unknown]:[Heavy_SW]],MATCH(1,vp.tbl[[#This Row],[Unknown]:[Heavy_SW]],0))</f>
        <v>Light_SW</v>
      </c>
      <c r="AH817" t="e">
        <f>INDEX([1]!crudeBD.lkup[Number],MATCH(vp.tbl[[#This Row],[Crude_Breakdown]],[1]!crudeBD.lkup[Crude Breakdown],0))</f>
        <v>#REF!</v>
      </c>
      <c r="AI817">
        <f>MONTH(vp.tbl[[#This Row],[SDate]])</f>
        <v>2</v>
      </c>
      <c r="AJ817" s="5">
        <f>IFERROR(vp.tbl[[#This Row],[Sulf]]*vp.tbl[[#This Row],[Net Dens]],"")</f>
        <v>8297320.5703500006</v>
      </c>
      <c r="AK817" s="5">
        <f>IFERROR(vp.tbl[[#This Row],[Dens]]*vp.tbl[[#This Row],[VolumeM3]],"")</f>
        <v>16594641.140700001</v>
      </c>
      <c r="AL817" s="5">
        <f>IFERROR(vp.tbl[[#This Row],[VP]]*vp.tbl[[#This Row],[VolumeM3]],"")</f>
        <v>1839272.0042999999</v>
      </c>
      <c r="AM817" s="4">
        <f>IFERROR((vp.tbl[[#This Row],[VP]]-INDEX(crudeBD.lkup.complete[Mean_VP],MATCH(vp.tbl[[#This Row],[Crude_Breakdown]],crudeBD.lkup.complete[Crude Breakdown],0)))^2,"")</f>
        <v>10.564538425863926</v>
      </c>
      <c r="AN817" s="4">
        <f>IFERROR((vp.tbl[[#This Row],[Dens]]-INDEX(crudeBD.lkup.complete[Mean_Dens],MATCH(vp.tbl[[#This Row],[Crude_Breakdown]],crudeBD.lkup.complete[Crude Breakdown],0)))^2,"")</f>
        <v>6.8199231506985214</v>
      </c>
      <c r="AO817" s="4">
        <f>IFERROR((vp.tbl[[#This Row],[Sulf]]-INDEX(crudeBD.lkup.complete[Mean_Sulf],MATCH(vp.tbl[[#This Row],[Crude_Breakdown]],crudeBD.lkup.complete[Crude Breakdown],0)))^2,"")</f>
        <v>6.956838181791701E-2</v>
      </c>
      <c r="AP817">
        <f>IF(AND(vp.tbl[[#This Row],[SDate]]&gt;=DATE(YEAR(vp.tbl[[#This Row],[SDate]]),5,1),vp.tbl[[#This Row],[SDate]]&lt;=DATE(YEAR(vp.tbl[[#This Row],[SDate]]),9,15)),1,0)</f>
        <v>0</v>
      </c>
      <c r="AQ817" s="15">
        <f>IF(vp.tbl[[#This Row],[SDate]]&lt;DATE(2016,12,1),0,1)</f>
        <v>1</v>
      </c>
    </row>
    <row r="818" spans="1:43" x14ac:dyDescent="0.25">
      <c r="A818">
        <v>817</v>
      </c>
      <c r="B818" t="s">
        <v>49</v>
      </c>
      <c r="C818" t="s">
        <v>49</v>
      </c>
      <c r="D818" t="s">
        <v>92</v>
      </c>
      <c r="F818" s="1">
        <v>42784</v>
      </c>
      <c r="G818" s="2">
        <v>85.3</v>
      </c>
      <c r="H818" s="2">
        <v>0.67500000000000004</v>
      </c>
      <c r="I818" s="2">
        <v>0.67500000000000004</v>
      </c>
      <c r="J818" s="2">
        <v>23.5</v>
      </c>
      <c r="K818" s="2">
        <v>2</v>
      </c>
      <c r="L818" s="2">
        <v>821.7</v>
      </c>
      <c r="M818" s="2">
        <v>821.7</v>
      </c>
      <c r="N818" s="2">
        <f ca="1">INDEX(INDIRECT(_xlfn.CONCAT("weather.tbl[",N$1,"]")),MATCH(vp.tbl[[#This Row],[SDate]],weather.tbl[Date],0))</f>
        <v>-0.54999999999999993</v>
      </c>
      <c r="O818" s="2">
        <f ca="1">INDEX(INDIRECT(_xlfn.CONCAT("weather.tbl[",O$1,"]")),MATCH(vp.tbl[[#This Row],[SDate]],weather.tbl[Date],0))</f>
        <v>-1.0261904761904761</v>
      </c>
      <c r="P818" s="2">
        <f ca="1">INDEX(INDIRECT(_xlfn.CONCAT("weather.tbl[",P$1,"]")),MATCH(vp.tbl[[#This Row],[SDate]],weather.tbl[Date],0))</f>
        <v>-1.9</v>
      </c>
      <c r="Q818" s="2">
        <f ca="1">INDEX(INDIRECT(_xlfn.CONCAT("weather.tbl[",Q$1,"]")),MATCH(vp.tbl[[#This Row],[SDate]],weather.tbl[Date],0))</f>
        <v>-1.6</v>
      </c>
      <c r="R818" s="2">
        <f ca="1">INDEX(INDIRECT(_xlfn.CONCAT("weather.tbl[",R$1,"]")),MATCH(vp.tbl[[#This Row],[SDate]],weather.tbl[Date],0))</f>
        <v>-1</v>
      </c>
      <c r="S818" s="2">
        <f ca="1">INDEX(INDIRECT(_xlfn.CONCAT("weather.tbl[",S$1,"]")),MATCH(vp.tbl[[#This Row],[SDate]],weather.tbl[Date],0))</f>
        <v>-0.6</v>
      </c>
      <c r="T818" s="2">
        <f ca="1">INDEX(INDIRECT(_xlfn.CONCAT("weather.tbl[",T$1,"]")),MATCH(vp.tbl[[#This Row],[SDate]],weather.tbl[Date],0))</f>
        <v>-0.2</v>
      </c>
      <c r="U818" s="2">
        <f ca="1">INDEX(INDIRECT(_xlfn.CONCAT("weather.tbl[",U$1,"]")),MATCH(vp.tbl[[#This Row],[SDate]],weather.tbl[Date],0))</f>
        <v>2</v>
      </c>
      <c r="V818" s="2">
        <v>20149.223999999998</v>
      </c>
      <c r="W818" t="s">
        <v>48</v>
      </c>
      <c r="X818">
        <f>IF(OR(vp.tbl[[#This Row],[Sulf]]="",vp.tbl[[#This Row],[Dens]]=""),1,0)</f>
        <v>0</v>
      </c>
      <c r="Y818">
        <f>IF(vp.tbl[[#This Row],[CrudeType]]="C5+",1,0)</f>
        <v>0</v>
      </c>
      <c r="Z818">
        <f>IF(AND(vp.tbl[[#This Row],[CrudeType]]="Crude",vp.tbl[[#This Row],[Dens]]&lt;=825,vp.tbl[[#This Row],[Sulf]]&gt;0.5,vp.tbl[[#This Row],[Unknown]]=0),1,0)</f>
        <v>1</v>
      </c>
      <c r="AA818">
        <f>IF(AND(vp.tbl[[#This Row],[CrudeType]]="Crude",vp.tbl[[#This Row],[Dens]]&lt;=825,vp.tbl[[#This Row],[Sulf]]&lt;=0.5,vp.tbl[[#This Row],[Unknown]]=0),1,0)</f>
        <v>0</v>
      </c>
      <c r="AB818">
        <f>IF(AND(vp.tbl[[#This Row],[CrudeType]]="Crude",vp.tbl[[#This Row],[Dens]]&gt;825,vp.tbl[[#This Row],[Dens]]&lt;=870,vp.tbl[[#This Row],[Sulf]]&gt;0.5,vp.tbl[[#This Row],[Unknown]]=0),1,0)</f>
        <v>0</v>
      </c>
      <c r="AC818">
        <f>IF(AND(vp.tbl[[#This Row],[CrudeType]]="Crude",vp.tbl[[#This Row],[Dens]]&gt;825,vp.tbl[[#This Row],[Dens]]&lt;=900,vp.tbl[[#This Row],[Sulf]]&lt;=0.5,vp.tbl[[#This Row],[Unknown]]=0),1,0)</f>
        <v>0</v>
      </c>
      <c r="AD818">
        <f>IF(AND(vp.tbl[[#This Row],[CrudeType]]="Crude",vp.tbl[[#This Row],[Dens]]&gt;870,vp.tbl[[#This Row],[Dens]]&lt;=900,vp.tbl[[#This Row],[Sulf]]&gt;0.5,vp.tbl[[#This Row],[Unknown]]=0),1,0)</f>
        <v>0</v>
      </c>
      <c r="AE818">
        <f>IF(AND(vp.tbl[[#This Row],[CrudeType]]="Crude",vp.tbl[[#This Row],[Dens]]&gt;900,vp.tbl[[#This Row],[Sulf]]&lt;=0.5,vp.tbl[[#This Row],[Unknown]]=0),1,0)</f>
        <v>0</v>
      </c>
      <c r="AF818">
        <f>IF(AND(vp.tbl[[#This Row],[CrudeType]]="Crude",vp.tbl[[#This Row],[Dens]]&gt;900,vp.tbl[[#This Row],[Sulf]]&lt;=0.5,vp.tbl[[#This Row],[Unknown]]=0),1,0)</f>
        <v>0</v>
      </c>
      <c r="AG818" t="str">
        <f>INDEX(vp.tbl[[#Headers],[Unknown]:[Heavy_SW]],MATCH(1,vp.tbl[[#This Row],[Unknown]:[Heavy_SW]],0))</f>
        <v>Light_LSB</v>
      </c>
      <c r="AH818" t="e">
        <f>INDEX([1]!crudeBD.lkup[Number],MATCH(vp.tbl[[#This Row],[Crude_Breakdown]],[1]!crudeBD.lkup[Crude Breakdown],0))</f>
        <v>#REF!</v>
      </c>
      <c r="AI818">
        <f>MONTH(vp.tbl[[#This Row],[SDate]])</f>
        <v>2</v>
      </c>
      <c r="AJ818" s="5">
        <f>IFERROR(vp.tbl[[#This Row],[Sulf]]*vp.tbl[[#This Row],[Net Dens]],"")</f>
        <v>11175716.71854</v>
      </c>
      <c r="AK818" s="5">
        <f>IFERROR(vp.tbl[[#This Row],[Dens]]*vp.tbl[[#This Row],[VolumeM3]],"")</f>
        <v>16556617.3608</v>
      </c>
      <c r="AL818" s="5">
        <f>IFERROR(vp.tbl[[#This Row],[VP]]*vp.tbl[[#This Row],[VolumeM3]],"")</f>
        <v>1718728.8071999997</v>
      </c>
      <c r="AM818" s="4">
        <f>IFERROR((vp.tbl[[#This Row],[VP]]-INDEX(crudeBD.lkup.complete[Mean_VP],MATCH(vp.tbl[[#This Row],[Crude_Breakdown]],crudeBD.lkup.complete[Crude Breakdown],0)))^2,"")</f>
        <v>39.014834137528325</v>
      </c>
      <c r="AN818" s="4">
        <f>IFERROR((vp.tbl[[#This Row],[Dens]]-INDEX(crudeBD.lkup.complete[Mean_Dens],MATCH(vp.tbl[[#This Row],[Crude_Breakdown]],crudeBD.lkup.complete[Crude Breakdown],0)))^2,"")</f>
        <v>10.132954764353206</v>
      </c>
      <c r="AO818" s="4">
        <f>IFERROR((vp.tbl[[#This Row],[Sulf]]-INDEX(crudeBD.lkup.complete[Mean_Sulf],MATCH(vp.tbl[[#This Row],[Crude_Breakdown]],crudeBD.lkup.complete[Crude Breakdown],0)))^2,"")</f>
        <v>6.1489700350162227E-2</v>
      </c>
      <c r="AP818">
        <f>IF(AND(vp.tbl[[#This Row],[SDate]]&gt;=DATE(YEAR(vp.tbl[[#This Row],[SDate]]),5,1),vp.tbl[[#This Row],[SDate]]&lt;=DATE(YEAR(vp.tbl[[#This Row],[SDate]]),9,15)),1,0)</f>
        <v>0</v>
      </c>
      <c r="AQ818" s="15">
        <f>IF(vp.tbl[[#This Row],[SDate]]&lt;DATE(2016,12,1),0,1)</f>
        <v>1</v>
      </c>
    </row>
    <row r="819" spans="1:43" x14ac:dyDescent="0.25">
      <c r="A819">
        <v>818</v>
      </c>
      <c r="B819" t="s">
        <v>49</v>
      </c>
      <c r="C819" t="s">
        <v>49</v>
      </c>
      <c r="D819" t="s">
        <v>164</v>
      </c>
      <c r="F819" s="1">
        <v>42784</v>
      </c>
      <c r="G819" s="2">
        <v>75.5</v>
      </c>
      <c r="H819" s="2">
        <v>2.0569999999999999</v>
      </c>
      <c r="I819" s="2">
        <v>2.0569999999999999</v>
      </c>
      <c r="J819" s="2">
        <v>18.8</v>
      </c>
      <c r="K819" s="2">
        <v>1</v>
      </c>
      <c r="L819" s="2">
        <v>858.2</v>
      </c>
      <c r="M819" s="2">
        <v>858.2</v>
      </c>
      <c r="N819" s="2">
        <f ca="1">INDEX(INDIRECT(_xlfn.CONCAT("weather.tbl[",N$1,"]")),MATCH(vp.tbl[[#This Row],[SDate]],weather.tbl[Date],0))</f>
        <v>-0.54999999999999993</v>
      </c>
      <c r="O819" s="2">
        <f ca="1">INDEX(INDIRECT(_xlfn.CONCAT("weather.tbl[",O$1,"]")),MATCH(vp.tbl[[#This Row],[SDate]],weather.tbl[Date],0))</f>
        <v>-1.0261904761904761</v>
      </c>
      <c r="P819" s="2">
        <f ca="1">INDEX(INDIRECT(_xlfn.CONCAT("weather.tbl[",P$1,"]")),MATCH(vp.tbl[[#This Row],[SDate]],weather.tbl[Date],0))</f>
        <v>-1.9</v>
      </c>
      <c r="Q819" s="2">
        <f ca="1">INDEX(INDIRECT(_xlfn.CONCAT("weather.tbl[",Q$1,"]")),MATCH(vp.tbl[[#This Row],[SDate]],weather.tbl[Date],0))</f>
        <v>-1.6</v>
      </c>
      <c r="R819" s="2">
        <f ca="1">INDEX(INDIRECT(_xlfn.CONCAT("weather.tbl[",R$1,"]")),MATCH(vp.tbl[[#This Row],[SDate]],weather.tbl[Date],0))</f>
        <v>-1</v>
      </c>
      <c r="S819" s="2">
        <f ca="1">INDEX(INDIRECT(_xlfn.CONCAT("weather.tbl[",S$1,"]")),MATCH(vp.tbl[[#This Row],[SDate]],weather.tbl[Date],0))</f>
        <v>-0.6</v>
      </c>
      <c r="T819" s="2">
        <f ca="1">INDEX(INDIRECT(_xlfn.CONCAT("weather.tbl[",T$1,"]")),MATCH(vp.tbl[[#This Row],[SDate]],weather.tbl[Date],0))</f>
        <v>-0.2</v>
      </c>
      <c r="U819" s="2">
        <f ca="1">INDEX(INDIRECT(_xlfn.CONCAT("weather.tbl[",U$1,"]")),MATCH(vp.tbl[[#This Row],[SDate]],weather.tbl[Date],0))</f>
        <v>2</v>
      </c>
      <c r="V819" s="2">
        <v>618.17100000000005</v>
      </c>
      <c r="W819" t="s">
        <v>48</v>
      </c>
      <c r="X819">
        <f>IF(OR(vp.tbl[[#This Row],[Sulf]]="",vp.tbl[[#This Row],[Dens]]=""),1,0)</f>
        <v>0</v>
      </c>
      <c r="Y819">
        <f>IF(vp.tbl[[#This Row],[CrudeType]]="C5+",1,0)</f>
        <v>0</v>
      </c>
      <c r="Z819">
        <f>IF(AND(vp.tbl[[#This Row],[CrudeType]]="Crude",vp.tbl[[#This Row],[Dens]]&lt;=825,vp.tbl[[#This Row],[Sulf]]&gt;0.5,vp.tbl[[#This Row],[Unknown]]=0),1,0)</f>
        <v>0</v>
      </c>
      <c r="AA819">
        <f>IF(AND(vp.tbl[[#This Row],[CrudeType]]="Crude",vp.tbl[[#This Row],[Dens]]&lt;=825,vp.tbl[[#This Row],[Sulf]]&lt;=0.5,vp.tbl[[#This Row],[Unknown]]=0),1,0)</f>
        <v>0</v>
      </c>
      <c r="AB819">
        <f>IF(AND(vp.tbl[[#This Row],[CrudeType]]="Crude",vp.tbl[[#This Row],[Dens]]&gt;825,vp.tbl[[#This Row],[Dens]]&lt;=870,vp.tbl[[#This Row],[Sulf]]&gt;0.5,vp.tbl[[#This Row],[Unknown]]=0),1,0)</f>
        <v>1</v>
      </c>
      <c r="AC819">
        <f>IF(AND(vp.tbl[[#This Row],[CrudeType]]="Crude",vp.tbl[[#This Row],[Dens]]&gt;825,vp.tbl[[#This Row],[Dens]]&lt;=900,vp.tbl[[#This Row],[Sulf]]&lt;=0.5,vp.tbl[[#This Row],[Unknown]]=0),1,0)</f>
        <v>0</v>
      </c>
      <c r="AD819">
        <f>IF(AND(vp.tbl[[#This Row],[CrudeType]]="Crude",vp.tbl[[#This Row],[Dens]]&gt;870,vp.tbl[[#This Row],[Dens]]&lt;=900,vp.tbl[[#This Row],[Sulf]]&gt;0.5,vp.tbl[[#This Row],[Unknown]]=0),1,0)</f>
        <v>0</v>
      </c>
      <c r="AE819">
        <f>IF(AND(vp.tbl[[#This Row],[CrudeType]]="Crude",vp.tbl[[#This Row],[Dens]]&gt;900,vp.tbl[[#This Row],[Sulf]]&lt;=0.5,vp.tbl[[#This Row],[Unknown]]=0),1,0)</f>
        <v>0</v>
      </c>
      <c r="AF819">
        <f>IF(AND(vp.tbl[[#This Row],[CrudeType]]="Crude",vp.tbl[[#This Row],[Dens]]&gt;900,vp.tbl[[#This Row],[Sulf]]&lt;=0.5,vp.tbl[[#This Row],[Unknown]]=0),1,0)</f>
        <v>0</v>
      </c>
      <c r="AG819" t="str">
        <f>INDEX(vp.tbl[[#Headers],[Unknown]:[Heavy_SW]],MATCH(1,vp.tbl[[#This Row],[Unknown]:[Heavy_SW]],0))</f>
        <v>Medium_LSB</v>
      </c>
      <c r="AH819" t="e">
        <f>INDEX([1]!crudeBD.lkup[Number],MATCH(vp.tbl[[#This Row],[Crude_Breakdown]],[1]!crudeBD.lkup[Crude Breakdown],0))</f>
        <v>#REF!</v>
      </c>
      <c r="AI819">
        <f>MONTH(vp.tbl[[#This Row],[SDate]])</f>
        <v>2</v>
      </c>
      <c r="AJ819" s="5">
        <f>IFERROR(vp.tbl[[#This Row],[Sulf]]*vp.tbl[[#This Row],[Net Dens]],"")</f>
        <v>1091268.0224754002</v>
      </c>
      <c r="AK819" s="5">
        <f>IFERROR(vp.tbl[[#This Row],[Dens]]*vp.tbl[[#This Row],[VolumeM3]],"")</f>
        <v>530514.35220000008</v>
      </c>
      <c r="AL819" s="5">
        <f>IFERROR(vp.tbl[[#This Row],[VP]]*vp.tbl[[#This Row],[VolumeM3]],"")</f>
        <v>46671.910500000005</v>
      </c>
      <c r="AM819" s="4">
        <f>IFERROR((vp.tbl[[#This Row],[VP]]-INDEX(crudeBD.lkup.complete[Mean_VP],MATCH(vp.tbl[[#This Row],[Crude_Breakdown]],crudeBD.lkup.complete[Crude Breakdown],0)))^2,"")</f>
        <v>21.842489632430354</v>
      </c>
      <c r="AN819" s="4">
        <f>IFERROR((vp.tbl[[#This Row],[Dens]]-INDEX(crudeBD.lkup.complete[Mean_Dens],MATCH(vp.tbl[[#This Row],[Crude_Breakdown]],crudeBD.lkup.complete[Crude Breakdown],0)))^2,"")</f>
        <v>166.62103901877359</v>
      </c>
      <c r="AO819" s="4">
        <f>IFERROR((vp.tbl[[#This Row],[Sulf]]-INDEX(crudeBD.lkup.complete[Mean_Sulf],MATCH(vp.tbl[[#This Row],[Crude_Breakdown]],crudeBD.lkup.complete[Crude Breakdown],0)))^2,"")</f>
        <v>0.36248845256508083</v>
      </c>
      <c r="AP819">
        <f>IF(AND(vp.tbl[[#This Row],[SDate]]&gt;=DATE(YEAR(vp.tbl[[#This Row],[SDate]]),5,1),vp.tbl[[#This Row],[SDate]]&lt;=DATE(YEAR(vp.tbl[[#This Row],[SDate]]),9,15)),1,0)</f>
        <v>0</v>
      </c>
      <c r="AQ819" s="15">
        <f>IF(vp.tbl[[#This Row],[SDate]]&lt;DATE(2016,12,1),0,1)</f>
        <v>1</v>
      </c>
    </row>
    <row r="820" spans="1:43" x14ac:dyDescent="0.25">
      <c r="A820">
        <v>819</v>
      </c>
      <c r="B820" t="s">
        <v>49</v>
      </c>
      <c r="C820" t="s">
        <v>49</v>
      </c>
      <c r="D820" t="s">
        <v>165</v>
      </c>
      <c r="F820" s="1">
        <v>42784</v>
      </c>
      <c r="G820" s="2">
        <v>65.900000000000006</v>
      </c>
      <c r="H820" s="2">
        <v>2.5619999999999998</v>
      </c>
      <c r="I820" s="2">
        <v>2.5619999999999998</v>
      </c>
      <c r="J820" s="2">
        <v>13.5</v>
      </c>
      <c r="K820" s="2">
        <v>1</v>
      </c>
      <c r="L820" s="2">
        <v>877.5</v>
      </c>
      <c r="M820" s="2">
        <v>877.5</v>
      </c>
      <c r="N820" s="2">
        <f ca="1">INDEX(INDIRECT(_xlfn.CONCAT("weather.tbl[",N$1,"]")),MATCH(vp.tbl[[#This Row],[SDate]],weather.tbl[Date],0))</f>
        <v>-0.54999999999999993</v>
      </c>
      <c r="O820" s="2">
        <f ca="1">INDEX(INDIRECT(_xlfn.CONCAT("weather.tbl[",O$1,"]")),MATCH(vp.tbl[[#This Row],[SDate]],weather.tbl[Date],0))</f>
        <v>-1.0261904761904761</v>
      </c>
      <c r="P820" s="2">
        <f ca="1">INDEX(INDIRECT(_xlfn.CONCAT("weather.tbl[",P$1,"]")),MATCH(vp.tbl[[#This Row],[SDate]],weather.tbl[Date],0))</f>
        <v>-1.9</v>
      </c>
      <c r="Q820" s="2">
        <f ca="1">INDEX(INDIRECT(_xlfn.CONCAT("weather.tbl[",Q$1,"]")),MATCH(vp.tbl[[#This Row],[SDate]],weather.tbl[Date],0))</f>
        <v>-1.6</v>
      </c>
      <c r="R820" s="2">
        <f ca="1">INDEX(INDIRECT(_xlfn.CONCAT("weather.tbl[",R$1,"]")),MATCH(vp.tbl[[#This Row],[SDate]],weather.tbl[Date],0))</f>
        <v>-1</v>
      </c>
      <c r="S820" s="2">
        <f ca="1">INDEX(INDIRECT(_xlfn.CONCAT("weather.tbl[",S$1,"]")),MATCH(vp.tbl[[#This Row],[SDate]],weather.tbl[Date],0))</f>
        <v>-0.6</v>
      </c>
      <c r="T820" s="2">
        <f ca="1">INDEX(INDIRECT(_xlfn.CONCAT("weather.tbl[",T$1,"]")),MATCH(vp.tbl[[#This Row],[SDate]],weather.tbl[Date],0))</f>
        <v>-0.2</v>
      </c>
      <c r="U820" s="2">
        <f ca="1">INDEX(INDIRECT(_xlfn.CONCAT("weather.tbl[",U$1,"]")),MATCH(vp.tbl[[#This Row],[SDate]],weather.tbl[Date],0))</f>
        <v>2</v>
      </c>
      <c r="V820" s="2">
        <v>303.27100000000002</v>
      </c>
      <c r="W820" t="s">
        <v>48</v>
      </c>
      <c r="X820">
        <f>IF(OR(vp.tbl[[#This Row],[Sulf]]="",vp.tbl[[#This Row],[Dens]]=""),1,0)</f>
        <v>0</v>
      </c>
      <c r="Y820">
        <f>IF(vp.tbl[[#This Row],[CrudeType]]="C5+",1,0)</f>
        <v>0</v>
      </c>
      <c r="Z820">
        <f>IF(AND(vp.tbl[[#This Row],[CrudeType]]="Crude",vp.tbl[[#This Row],[Dens]]&lt;=825,vp.tbl[[#This Row],[Sulf]]&gt;0.5,vp.tbl[[#This Row],[Unknown]]=0),1,0)</f>
        <v>0</v>
      </c>
      <c r="AA820">
        <f>IF(AND(vp.tbl[[#This Row],[CrudeType]]="Crude",vp.tbl[[#This Row],[Dens]]&lt;=825,vp.tbl[[#This Row],[Sulf]]&lt;=0.5,vp.tbl[[#This Row],[Unknown]]=0),1,0)</f>
        <v>0</v>
      </c>
      <c r="AB820">
        <f>IF(AND(vp.tbl[[#This Row],[CrudeType]]="Crude",vp.tbl[[#This Row],[Dens]]&gt;825,vp.tbl[[#This Row],[Dens]]&lt;=870,vp.tbl[[#This Row],[Sulf]]&gt;0.5,vp.tbl[[#This Row],[Unknown]]=0),1,0)</f>
        <v>0</v>
      </c>
      <c r="AC820">
        <f>IF(AND(vp.tbl[[#This Row],[CrudeType]]="Crude",vp.tbl[[#This Row],[Dens]]&gt;825,vp.tbl[[#This Row],[Dens]]&lt;=900,vp.tbl[[#This Row],[Sulf]]&lt;=0.5,vp.tbl[[#This Row],[Unknown]]=0),1,0)</f>
        <v>0</v>
      </c>
      <c r="AD820">
        <f>IF(AND(vp.tbl[[#This Row],[CrudeType]]="Crude",vp.tbl[[#This Row],[Dens]]&gt;870,vp.tbl[[#This Row],[Dens]]&lt;=900,vp.tbl[[#This Row],[Sulf]]&gt;0.5,vp.tbl[[#This Row],[Unknown]]=0),1,0)</f>
        <v>1</v>
      </c>
      <c r="AE820">
        <f>IF(AND(vp.tbl[[#This Row],[CrudeType]]="Crude",vp.tbl[[#This Row],[Dens]]&gt;900,vp.tbl[[#This Row],[Sulf]]&lt;=0.5,vp.tbl[[#This Row],[Unknown]]=0),1,0)</f>
        <v>0</v>
      </c>
      <c r="AF820">
        <f>IF(AND(vp.tbl[[#This Row],[CrudeType]]="Crude",vp.tbl[[#This Row],[Dens]]&gt;900,vp.tbl[[#This Row],[Sulf]]&lt;=0.5,vp.tbl[[#This Row],[Unknown]]=0),1,0)</f>
        <v>0</v>
      </c>
      <c r="AG820" t="str">
        <f>INDEX(vp.tbl[[#Headers],[Unknown]:[Heavy_SW]],MATCH(1,vp.tbl[[#This Row],[Unknown]:[Heavy_SW]],0))</f>
        <v>Midale</v>
      </c>
      <c r="AH820" t="e">
        <f>INDEX([1]!crudeBD.lkup[Number],MATCH(vp.tbl[[#This Row],[Crude_Breakdown]],[1]!crudeBD.lkup[Crude Breakdown],0))</f>
        <v>#REF!</v>
      </c>
      <c r="AI820">
        <f>MONTH(vp.tbl[[#This Row],[SDate]])</f>
        <v>2</v>
      </c>
      <c r="AJ820" s="5">
        <f>IFERROR(vp.tbl[[#This Row],[Sulf]]*vp.tbl[[#This Row],[Net Dens]],"")</f>
        <v>681800.21500499989</v>
      </c>
      <c r="AK820" s="5">
        <f>IFERROR(vp.tbl[[#This Row],[Dens]]*vp.tbl[[#This Row],[VolumeM3]],"")</f>
        <v>266120.30249999999</v>
      </c>
      <c r="AL820" s="5">
        <f>IFERROR(vp.tbl[[#This Row],[VP]]*vp.tbl[[#This Row],[VolumeM3]],"")</f>
        <v>19985.558900000004</v>
      </c>
      <c r="AM820" s="4">
        <f>IFERROR((vp.tbl[[#This Row],[VP]]-INDEX(crudeBD.lkup.complete[Mean_VP],MATCH(vp.tbl[[#This Row],[Crude_Breakdown]],crudeBD.lkup.complete[Crude Breakdown],0)))^2,"")</f>
        <v>5.4679095515106368</v>
      </c>
      <c r="AN820" s="4">
        <f>IFERROR((vp.tbl[[#This Row],[Dens]]-INDEX(crudeBD.lkup.complete[Mean_Dens],MATCH(vp.tbl[[#This Row],[Crude_Breakdown]],crudeBD.lkup.complete[Crude Breakdown],0)))^2,"")</f>
        <v>2.7097016325449493E-3</v>
      </c>
      <c r="AO820" s="4">
        <f>IFERROR((vp.tbl[[#This Row],[Sulf]]-INDEX(crudeBD.lkup.complete[Mean_Sulf],MATCH(vp.tbl[[#This Row],[Crude_Breakdown]],crudeBD.lkup.complete[Crude Breakdown],0)))^2,"")</f>
        <v>2.1509115419197165E-2</v>
      </c>
      <c r="AP820">
        <f>IF(AND(vp.tbl[[#This Row],[SDate]]&gt;=DATE(YEAR(vp.tbl[[#This Row],[SDate]]),5,1),vp.tbl[[#This Row],[SDate]]&lt;=DATE(YEAR(vp.tbl[[#This Row],[SDate]]),9,15)),1,0)</f>
        <v>0</v>
      </c>
      <c r="AQ820" s="15">
        <f>IF(vp.tbl[[#This Row],[SDate]]&lt;DATE(2016,12,1),0,1)</f>
        <v>1</v>
      </c>
    </row>
    <row r="821" spans="1:43" x14ac:dyDescent="0.25">
      <c r="A821">
        <v>820</v>
      </c>
      <c r="B821" t="s">
        <v>51</v>
      </c>
      <c r="C821" t="s">
        <v>51</v>
      </c>
      <c r="D821" t="s">
        <v>58</v>
      </c>
      <c r="F821" s="1">
        <v>42784</v>
      </c>
      <c r="G821" s="2">
        <v>94.9</v>
      </c>
      <c r="H821" s="2"/>
      <c r="I821" s="2">
        <v>1.44</v>
      </c>
      <c r="J821" s="2">
        <v>28.2</v>
      </c>
      <c r="K821" s="2">
        <v>2</v>
      </c>
      <c r="L821" s="2">
        <v>824.6</v>
      </c>
      <c r="M821" s="2">
        <v>824.6</v>
      </c>
      <c r="N821" s="2">
        <f ca="1">INDEX(INDIRECT(_xlfn.CONCAT("weather.tbl[",N$1,"]")),MATCH(vp.tbl[[#This Row],[SDate]],weather.tbl[Date],0))</f>
        <v>-0.54999999999999993</v>
      </c>
      <c r="O821" s="2">
        <f ca="1">INDEX(INDIRECT(_xlfn.CONCAT("weather.tbl[",O$1,"]")),MATCH(vp.tbl[[#This Row],[SDate]],weather.tbl[Date],0))</f>
        <v>-1.0261904761904761</v>
      </c>
      <c r="P821" s="2">
        <f ca="1">INDEX(INDIRECT(_xlfn.CONCAT("weather.tbl[",P$1,"]")),MATCH(vp.tbl[[#This Row],[SDate]],weather.tbl[Date],0))</f>
        <v>-1.9</v>
      </c>
      <c r="Q821" s="2">
        <f ca="1">INDEX(INDIRECT(_xlfn.CONCAT("weather.tbl[",Q$1,"]")),MATCH(vp.tbl[[#This Row],[SDate]],weather.tbl[Date],0))</f>
        <v>-1.6</v>
      </c>
      <c r="R821" s="2">
        <f ca="1">INDEX(INDIRECT(_xlfn.CONCAT("weather.tbl[",R$1,"]")),MATCH(vp.tbl[[#This Row],[SDate]],weather.tbl[Date],0))</f>
        <v>-1</v>
      </c>
      <c r="S821" s="2">
        <f ca="1">INDEX(INDIRECT(_xlfn.CONCAT("weather.tbl[",S$1,"]")),MATCH(vp.tbl[[#This Row],[SDate]],weather.tbl[Date],0))</f>
        <v>-0.6</v>
      </c>
      <c r="T821" s="2">
        <f ca="1">INDEX(INDIRECT(_xlfn.CONCAT("weather.tbl[",T$1,"]")),MATCH(vp.tbl[[#This Row],[SDate]],weather.tbl[Date],0))</f>
        <v>-0.2</v>
      </c>
      <c r="U821" s="2">
        <f ca="1">INDEX(INDIRECT(_xlfn.CONCAT("weather.tbl[",U$1,"]")),MATCH(vp.tbl[[#This Row],[SDate]],weather.tbl[Date],0))</f>
        <v>2</v>
      </c>
      <c r="V821" s="2">
        <v>5483.6130000000003</v>
      </c>
      <c r="W821" t="s">
        <v>48</v>
      </c>
      <c r="X821">
        <f>IF(OR(vp.tbl[[#This Row],[Sulf]]="",vp.tbl[[#This Row],[Dens]]=""),1,0)</f>
        <v>0</v>
      </c>
      <c r="Y821">
        <f>IF(vp.tbl[[#This Row],[CrudeType]]="C5+",1,0)</f>
        <v>0</v>
      </c>
      <c r="Z821">
        <f>IF(AND(vp.tbl[[#This Row],[CrudeType]]="Crude",vp.tbl[[#This Row],[Dens]]&lt;=825,vp.tbl[[#This Row],[Sulf]]&gt;0.5,vp.tbl[[#This Row],[Unknown]]=0),1,0)</f>
        <v>1</v>
      </c>
      <c r="AA821">
        <f>IF(AND(vp.tbl[[#This Row],[CrudeType]]="Crude",vp.tbl[[#This Row],[Dens]]&lt;=825,vp.tbl[[#This Row],[Sulf]]&lt;=0.5,vp.tbl[[#This Row],[Unknown]]=0),1,0)</f>
        <v>0</v>
      </c>
      <c r="AB821">
        <f>IF(AND(vp.tbl[[#This Row],[CrudeType]]="Crude",vp.tbl[[#This Row],[Dens]]&gt;825,vp.tbl[[#This Row],[Dens]]&lt;=870,vp.tbl[[#This Row],[Sulf]]&gt;0.5,vp.tbl[[#This Row],[Unknown]]=0),1,0)</f>
        <v>0</v>
      </c>
      <c r="AC821">
        <f>IF(AND(vp.tbl[[#This Row],[CrudeType]]="Crude",vp.tbl[[#This Row],[Dens]]&gt;825,vp.tbl[[#This Row],[Dens]]&lt;=900,vp.tbl[[#This Row],[Sulf]]&lt;=0.5,vp.tbl[[#This Row],[Unknown]]=0),1,0)</f>
        <v>0</v>
      </c>
      <c r="AD821">
        <f>IF(AND(vp.tbl[[#This Row],[CrudeType]]="Crude",vp.tbl[[#This Row],[Dens]]&gt;870,vp.tbl[[#This Row],[Dens]]&lt;=900,vp.tbl[[#This Row],[Sulf]]&gt;0.5,vp.tbl[[#This Row],[Unknown]]=0),1,0)</f>
        <v>0</v>
      </c>
      <c r="AE821">
        <f>IF(AND(vp.tbl[[#This Row],[CrudeType]]="Crude",vp.tbl[[#This Row],[Dens]]&gt;900,vp.tbl[[#This Row],[Sulf]]&lt;=0.5,vp.tbl[[#This Row],[Unknown]]=0),1,0)</f>
        <v>0</v>
      </c>
      <c r="AF821">
        <f>IF(AND(vp.tbl[[#This Row],[CrudeType]]="Crude",vp.tbl[[#This Row],[Dens]]&gt;900,vp.tbl[[#This Row],[Sulf]]&lt;=0.5,vp.tbl[[#This Row],[Unknown]]=0),1,0)</f>
        <v>0</v>
      </c>
      <c r="AG821" t="str">
        <f>INDEX(vp.tbl[[#Headers],[Unknown]:[Heavy_SW]],MATCH(1,vp.tbl[[#This Row],[Unknown]:[Heavy_SW]],0))</f>
        <v>Light_LSB</v>
      </c>
      <c r="AH821" t="e">
        <f>INDEX([1]!crudeBD.lkup[Number],MATCH(vp.tbl[[#This Row],[Crude_Breakdown]],[1]!crudeBD.lkup[Crude Breakdown],0))</f>
        <v>#REF!</v>
      </c>
      <c r="AI821">
        <f>MONTH(vp.tbl[[#This Row],[SDate]])</f>
        <v>2</v>
      </c>
      <c r="AJ821" s="5">
        <f>IFERROR(vp.tbl[[#This Row],[Sulf]]*vp.tbl[[#This Row],[Net Dens]],"")</f>
        <v>6511373.6829120005</v>
      </c>
      <c r="AK821" s="5">
        <f>IFERROR(vp.tbl[[#This Row],[Dens]]*vp.tbl[[#This Row],[VolumeM3]],"")</f>
        <v>4521787.2798000006</v>
      </c>
      <c r="AL821" s="5">
        <f>IFERROR(vp.tbl[[#This Row],[VP]]*vp.tbl[[#This Row],[VolumeM3]],"")</f>
        <v>520394.87370000005</v>
      </c>
      <c r="AM821" s="4">
        <f>IFERROR((vp.tbl[[#This Row],[VP]]-INDEX(crudeBD.lkup.complete[Mean_VP],MATCH(vp.tbl[[#This Row],[Crude_Breakdown]],crudeBD.lkup.complete[Crude Breakdown],0)))^2,"")</f>
        <v>11.24807125092979</v>
      </c>
      <c r="AN821" s="4">
        <f>IFERROR((vp.tbl[[#This Row],[Dens]]-INDEX(crudeBD.lkup.complete[Mean_Dens],MATCH(vp.tbl[[#This Row],[Crude_Breakdown]],crudeBD.lkup.complete[Crude Breakdown],0)))^2,"")</f>
        <v>37.005690159544017</v>
      </c>
      <c r="AO821" s="4">
        <f>IFERROR((vp.tbl[[#This Row],[Sulf]]-INDEX(crudeBD.lkup.complete[Mean_Sulf],MATCH(vp.tbl[[#This Row],[Crude_Breakdown]],crudeBD.lkup.complete[Crude Breakdown],0)))^2,"")</f>
        <v>0.26731881272129659</v>
      </c>
      <c r="AP821">
        <f>IF(AND(vp.tbl[[#This Row],[SDate]]&gt;=DATE(YEAR(vp.tbl[[#This Row],[SDate]]),5,1),vp.tbl[[#This Row],[SDate]]&lt;=DATE(YEAR(vp.tbl[[#This Row],[SDate]]),9,15)),1,0)</f>
        <v>0</v>
      </c>
      <c r="AQ821" s="15">
        <f>IF(vp.tbl[[#This Row],[SDate]]&lt;DATE(2016,12,1),0,1)</f>
        <v>1</v>
      </c>
    </row>
    <row r="822" spans="1:43" x14ac:dyDescent="0.25">
      <c r="A822">
        <v>821</v>
      </c>
      <c r="B822" t="s">
        <v>62</v>
      </c>
      <c r="C822" t="s">
        <v>62</v>
      </c>
      <c r="D822" t="s">
        <v>63</v>
      </c>
      <c r="F822" s="1">
        <v>42784</v>
      </c>
      <c r="G822" s="2">
        <v>98.1</v>
      </c>
      <c r="H822" s="2"/>
      <c r="I822" s="2">
        <v>1.53</v>
      </c>
      <c r="J822" s="2">
        <v>17.5</v>
      </c>
      <c r="K822" s="2">
        <v>1</v>
      </c>
      <c r="L822" s="2">
        <v>828.6</v>
      </c>
      <c r="M822" s="2">
        <v>828.6</v>
      </c>
      <c r="N822" s="2">
        <f ca="1">INDEX(INDIRECT(_xlfn.CONCAT("weather.tbl[",N$1,"]")),MATCH(vp.tbl[[#This Row],[SDate]],weather.tbl[Date],0))</f>
        <v>-0.54999999999999993</v>
      </c>
      <c r="O822" s="2">
        <f ca="1">INDEX(INDIRECT(_xlfn.CONCAT("weather.tbl[",O$1,"]")),MATCH(vp.tbl[[#This Row],[SDate]],weather.tbl[Date],0))</f>
        <v>-1.0261904761904761</v>
      </c>
      <c r="P822" s="2">
        <f ca="1">INDEX(INDIRECT(_xlfn.CONCAT("weather.tbl[",P$1,"]")),MATCH(vp.tbl[[#This Row],[SDate]],weather.tbl[Date],0))</f>
        <v>-1.9</v>
      </c>
      <c r="Q822" s="2">
        <f ca="1">INDEX(INDIRECT(_xlfn.CONCAT("weather.tbl[",Q$1,"]")),MATCH(vp.tbl[[#This Row],[SDate]],weather.tbl[Date],0))</f>
        <v>-1.6</v>
      </c>
      <c r="R822" s="2">
        <f ca="1">INDEX(INDIRECT(_xlfn.CONCAT("weather.tbl[",R$1,"]")),MATCH(vp.tbl[[#This Row],[SDate]],weather.tbl[Date],0))</f>
        <v>-1</v>
      </c>
      <c r="S822" s="2">
        <f ca="1">INDEX(INDIRECT(_xlfn.CONCAT("weather.tbl[",S$1,"]")),MATCH(vp.tbl[[#This Row],[SDate]],weather.tbl[Date],0))</f>
        <v>-0.6</v>
      </c>
      <c r="T822" s="2">
        <f ca="1">INDEX(INDIRECT(_xlfn.CONCAT("weather.tbl[",T$1,"]")),MATCH(vp.tbl[[#This Row],[SDate]],weather.tbl[Date],0))</f>
        <v>-0.2</v>
      </c>
      <c r="U822" s="2">
        <f ca="1">INDEX(INDIRECT(_xlfn.CONCAT("weather.tbl[",U$1,"]")),MATCH(vp.tbl[[#This Row],[SDate]],weather.tbl[Date],0))</f>
        <v>2</v>
      </c>
      <c r="V822" s="2">
        <v>4978.7389999999996</v>
      </c>
      <c r="W822" t="s">
        <v>48</v>
      </c>
      <c r="X822">
        <f>IF(OR(vp.tbl[[#This Row],[Sulf]]="",vp.tbl[[#This Row],[Dens]]=""),1,0)</f>
        <v>0</v>
      </c>
      <c r="Y822">
        <f>IF(vp.tbl[[#This Row],[CrudeType]]="C5+",1,0)</f>
        <v>0</v>
      </c>
      <c r="Z822">
        <f>IF(AND(vp.tbl[[#This Row],[CrudeType]]="Crude",vp.tbl[[#This Row],[Dens]]&lt;=825,vp.tbl[[#This Row],[Sulf]]&gt;0.5,vp.tbl[[#This Row],[Unknown]]=0),1,0)</f>
        <v>0</v>
      </c>
      <c r="AA822">
        <f>IF(AND(vp.tbl[[#This Row],[CrudeType]]="Crude",vp.tbl[[#This Row],[Dens]]&lt;=825,vp.tbl[[#This Row],[Sulf]]&lt;=0.5,vp.tbl[[#This Row],[Unknown]]=0),1,0)</f>
        <v>0</v>
      </c>
      <c r="AB822">
        <f>IF(AND(vp.tbl[[#This Row],[CrudeType]]="Crude",vp.tbl[[#This Row],[Dens]]&gt;825,vp.tbl[[#This Row],[Dens]]&lt;=870,vp.tbl[[#This Row],[Sulf]]&gt;0.5,vp.tbl[[#This Row],[Unknown]]=0),1,0)</f>
        <v>1</v>
      </c>
      <c r="AC822">
        <f>IF(AND(vp.tbl[[#This Row],[CrudeType]]="Crude",vp.tbl[[#This Row],[Dens]]&gt;825,vp.tbl[[#This Row],[Dens]]&lt;=900,vp.tbl[[#This Row],[Sulf]]&lt;=0.5,vp.tbl[[#This Row],[Unknown]]=0),1,0)</f>
        <v>0</v>
      </c>
      <c r="AD822">
        <f>IF(AND(vp.tbl[[#This Row],[CrudeType]]="Crude",vp.tbl[[#This Row],[Dens]]&gt;870,vp.tbl[[#This Row],[Dens]]&lt;=900,vp.tbl[[#This Row],[Sulf]]&gt;0.5,vp.tbl[[#This Row],[Unknown]]=0),1,0)</f>
        <v>0</v>
      </c>
      <c r="AE822">
        <f>IF(AND(vp.tbl[[#This Row],[CrudeType]]="Crude",vp.tbl[[#This Row],[Dens]]&gt;900,vp.tbl[[#This Row],[Sulf]]&lt;=0.5,vp.tbl[[#This Row],[Unknown]]=0),1,0)</f>
        <v>0</v>
      </c>
      <c r="AF822">
        <f>IF(AND(vp.tbl[[#This Row],[CrudeType]]="Crude",vp.tbl[[#This Row],[Dens]]&gt;900,vp.tbl[[#This Row],[Sulf]]&lt;=0.5,vp.tbl[[#This Row],[Unknown]]=0),1,0)</f>
        <v>0</v>
      </c>
      <c r="AG822" t="str">
        <f>INDEX(vp.tbl[[#Headers],[Unknown]:[Heavy_SW]],MATCH(1,vp.tbl[[#This Row],[Unknown]:[Heavy_SW]],0))</f>
        <v>Medium_LSB</v>
      </c>
      <c r="AH822" t="e">
        <f>INDEX([1]!crudeBD.lkup[Number],MATCH(vp.tbl[[#This Row],[Crude_Breakdown]],[1]!crudeBD.lkup[Crude Breakdown],0))</f>
        <v>#REF!</v>
      </c>
      <c r="AI822">
        <f>MONTH(vp.tbl[[#This Row],[SDate]])</f>
        <v>2</v>
      </c>
      <c r="AJ822" s="5">
        <f>IFERROR(vp.tbl[[#This Row],[Sulf]]*vp.tbl[[#This Row],[Net Dens]],"")</f>
        <v>6311836.1971619995</v>
      </c>
      <c r="AK822" s="5">
        <f>IFERROR(vp.tbl[[#This Row],[Dens]]*vp.tbl[[#This Row],[VolumeM3]],"")</f>
        <v>4125383.1353999996</v>
      </c>
      <c r="AL822" s="5">
        <f>IFERROR(vp.tbl[[#This Row],[VP]]*vp.tbl[[#This Row],[VolumeM3]],"")</f>
        <v>488414.29589999991</v>
      </c>
      <c r="AM822" s="4">
        <f>IFERROR((vp.tbl[[#This Row],[VP]]-INDEX(crudeBD.lkup.complete[Mean_VP],MATCH(vp.tbl[[#This Row],[Crude_Breakdown]],crudeBD.lkup.complete[Crude Breakdown],0)))^2,"")</f>
        <v>321.35599849319129</v>
      </c>
      <c r="AN822" s="4">
        <f>IFERROR((vp.tbl[[#This Row],[Dens]]-INDEX(crudeBD.lkup.complete[Mean_Dens],MATCH(vp.tbl[[#This Row],[Crude_Breakdown]],crudeBD.lkup.complete[Crude Breakdown],0)))^2,"")</f>
        <v>278.61694787947283</v>
      </c>
      <c r="AO822" s="4">
        <f>IFERROR((vp.tbl[[#This Row],[Sulf]]-INDEX(crudeBD.lkup.complete[Mean_Sulf],MATCH(vp.tbl[[#This Row],[Crude_Breakdown]],crudeBD.lkup.complete[Crude Breakdown],0)))^2,"")</f>
        <v>5.6355258055887899E-3</v>
      </c>
      <c r="AP822">
        <f>IF(AND(vp.tbl[[#This Row],[SDate]]&gt;=DATE(YEAR(vp.tbl[[#This Row],[SDate]]),5,1),vp.tbl[[#This Row],[SDate]]&lt;=DATE(YEAR(vp.tbl[[#This Row],[SDate]]),9,15)),1,0)</f>
        <v>0</v>
      </c>
      <c r="AQ822" s="15">
        <f>IF(vp.tbl[[#This Row],[SDate]]&lt;DATE(2016,12,1),0,1)</f>
        <v>1</v>
      </c>
    </row>
    <row r="823" spans="1:43" x14ac:dyDescent="0.25">
      <c r="A823">
        <v>822</v>
      </c>
      <c r="B823" t="s">
        <v>51</v>
      </c>
      <c r="C823" t="s">
        <v>51</v>
      </c>
      <c r="D823" t="s">
        <v>72</v>
      </c>
      <c r="F823" s="1">
        <v>42784</v>
      </c>
      <c r="G823" s="2">
        <v>96.2</v>
      </c>
      <c r="H823" s="2"/>
      <c r="I823" s="2">
        <v>1.1299999999999999</v>
      </c>
      <c r="J823" s="2">
        <v>27.2</v>
      </c>
      <c r="K823" s="2">
        <v>1</v>
      </c>
      <c r="L823" s="2">
        <v>830.6</v>
      </c>
      <c r="M823" s="2">
        <v>830.6</v>
      </c>
      <c r="N823" s="2">
        <f ca="1">INDEX(INDIRECT(_xlfn.CONCAT("weather.tbl[",N$1,"]")),MATCH(vp.tbl[[#This Row],[SDate]],weather.tbl[Date],0))</f>
        <v>-0.54999999999999993</v>
      </c>
      <c r="O823" s="2">
        <f ca="1">INDEX(INDIRECT(_xlfn.CONCAT("weather.tbl[",O$1,"]")),MATCH(vp.tbl[[#This Row],[SDate]],weather.tbl[Date],0))</f>
        <v>-1.0261904761904761</v>
      </c>
      <c r="P823" s="2">
        <f ca="1">INDEX(INDIRECT(_xlfn.CONCAT("weather.tbl[",P$1,"]")),MATCH(vp.tbl[[#This Row],[SDate]],weather.tbl[Date],0))</f>
        <v>-1.9</v>
      </c>
      <c r="Q823" s="2">
        <f ca="1">INDEX(INDIRECT(_xlfn.CONCAT("weather.tbl[",Q$1,"]")),MATCH(vp.tbl[[#This Row],[SDate]],weather.tbl[Date],0))</f>
        <v>-1.6</v>
      </c>
      <c r="R823" s="2">
        <f ca="1">INDEX(INDIRECT(_xlfn.CONCAT("weather.tbl[",R$1,"]")),MATCH(vp.tbl[[#This Row],[SDate]],weather.tbl[Date],0))</f>
        <v>-1</v>
      </c>
      <c r="S823" s="2">
        <f ca="1">INDEX(INDIRECT(_xlfn.CONCAT("weather.tbl[",S$1,"]")),MATCH(vp.tbl[[#This Row],[SDate]],weather.tbl[Date],0))</f>
        <v>-0.6</v>
      </c>
      <c r="T823" s="2">
        <f ca="1">INDEX(INDIRECT(_xlfn.CONCAT("weather.tbl[",T$1,"]")),MATCH(vp.tbl[[#This Row],[SDate]],weather.tbl[Date],0))</f>
        <v>-0.2</v>
      </c>
      <c r="U823" s="2">
        <f ca="1">INDEX(INDIRECT(_xlfn.CONCAT("weather.tbl[",U$1,"]")),MATCH(vp.tbl[[#This Row],[SDate]],weather.tbl[Date],0))</f>
        <v>2</v>
      </c>
      <c r="V823" s="2">
        <v>12541.532999999999</v>
      </c>
      <c r="W823" t="s">
        <v>48</v>
      </c>
      <c r="X823">
        <f>IF(OR(vp.tbl[[#This Row],[Sulf]]="",vp.tbl[[#This Row],[Dens]]=""),1,0)</f>
        <v>0</v>
      </c>
      <c r="Y823">
        <f>IF(vp.tbl[[#This Row],[CrudeType]]="C5+",1,0)</f>
        <v>0</v>
      </c>
      <c r="Z823">
        <f>IF(AND(vp.tbl[[#This Row],[CrudeType]]="Crude",vp.tbl[[#This Row],[Dens]]&lt;=825,vp.tbl[[#This Row],[Sulf]]&gt;0.5,vp.tbl[[#This Row],[Unknown]]=0),1,0)</f>
        <v>0</v>
      </c>
      <c r="AA823">
        <f>IF(AND(vp.tbl[[#This Row],[CrudeType]]="Crude",vp.tbl[[#This Row],[Dens]]&lt;=825,vp.tbl[[#This Row],[Sulf]]&lt;=0.5,vp.tbl[[#This Row],[Unknown]]=0),1,0)</f>
        <v>0</v>
      </c>
      <c r="AB823">
        <f>IF(AND(vp.tbl[[#This Row],[CrudeType]]="Crude",vp.tbl[[#This Row],[Dens]]&gt;825,vp.tbl[[#This Row],[Dens]]&lt;=870,vp.tbl[[#This Row],[Sulf]]&gt;0.5,vp.tbl[[#This Row],[Unknown]]=0),1,0)</f>
        <v>1</v>
      </c>
      <c r="AC823">
        <f>IF(AND(vp.tbl[[#This Row],[CrudeType]]="Crude",vp.tbl[[#This Row],[Dens]]&gt;825,vp.tbl[[#This Row],[Dens]]&lt;=900,vp.tbl[[#This Row],[Sulf]]&lt;=0.5,vp.tbl[[#This Row],[Unknown]]=0),1,0)</f>
        <v>0</v>
      </c>
      <c r="AD823">
        <f>IF(AND(vp.tbl[[#This Row],[CrudeType]]="Crude",vp.tbl[[#This Row],[Dens]]&gt;870,vp.tbl[[#This Row],[Dens]]&lt;=900,vp.tbl[[#This Row],[Sulf]]&gt;0.5,vp.tbl[[#This Row],[Unknown]]=0),1,0)</f>
        <v>0</v>
      </c>
      <c r="AE823">
        <f>IF(AND(vp.tbl[[#This Row],[CrudeType]]="Crude",vp.tbl[[#This Row],[Dens]]&gt;900,vp.tbl[[#This Row],[Sulf]]&lt;=0.5,vp.tbl[[#This Row],[Unknown]]=0),1,0)</f>
        <v>0</v>
      </c>
      <c r="AF823">
        <f>IF(AND(vp.tbl[[#This Row],[CrudeType]]="Crude",vp.tbl[[#This Row],[Dens]]&gt;900,vp.tbl[[#This Row],[Sulf]]&lt;=0.5,vp.tbl[[#This Row],[Unknown]]=0),1,0)</f>
        <v>0</v>
      </c>
      <c r="AG823" t="str">
        <f>INDEX(vp.tbl[[#Headers],[Unknown]:[Heavy_SW]],MATCH(1,vp.tbl[[#This Row],[Unknown]:[Heavy_SW]],0))</f>
        <v>Medium_LSB</v>
      </c>
      <c r="AH823" t="e">
        <f>INDEX([1]!crudeBD.lkup[Number],MATCH(vp.tbl[[#This Row],[Crude_Breakdown]],[1]!crudeBD.lkup[Crude Breakdown],0))</f>
        <v>#REF!</v>
      </c>
      <c r="AI823">
        <f>MONTH(vp.tbl[[#This Row],[SDate]])</f>
        <v>2</v>
      </c>
      <c r="AJ823" s="5">
        <f>IFERROR(vp.tbl[[#This Row],[Sulf]]*vp.tbl[[#This Row],[Net Dens]],"")</f>
        <v>11771206.960073998</v>
      </c>
      <c r="AK823" s="5">
        <f>IFERROR(vp.tbl[[#This Row],[Dens]]*vp.tbl[[#This Row],[VolumeM3]],"")</f>
        <v>10416997.309799999</v>
      </c>
      <c r="AL823" s="5">
        <f>IFERROR(vp.tbl[[#This Row],[VP]]*vp.tbl[[#This Row],[VolumeM3]],"")</f>
        <v>1206495.4746000001</v>
      </c>
      <c r="AM823" s="4">
        <f>IFERROR((vp.tbl[[#This Row],[VP]]-INDEX(crudeBD.lkup.complete[Mean_VP],MATCH(vp.tbl[[#This Row],[Crude_Breakdown]],crudeBD.lkup.complete[Crude Breakdown],0)))^2,"")</f>
        <v>256.84565925268515</v>
      </c>
      <c r="AN823" s="4">
        <f>IFERROR((vp.tbl[[#This Row],[Dens]]-INDEX(crudeBD.lkup.complete[Mean_Dens],MATCH(vp.tbl[[#This Row],[Crude_Breakdown]],crudeBD.lkup.complete[Crude Breakdown],0)))^2,"")</f>
        <v>215.84965674023638</v>
      </c>
      <c r="AO823" s="4">
        <f>IFERROR((vp.tbl[[#This Row],[Sulf]]-INDEX(crudeBD.lkup.complete[Mean_Sulf],MATCH(vp.tbl[[#This Row],[Crude_Breakdown]],crudeBD.lkup.complete[Crude Breakdown],0)))^2,"")</f>
        <v>0.10557941441318498</v>
      </c>
      <c r="AP823">
        <f>IF(AND(vp.tbl[[#This Row],[SDate]]&gt;=DATE(YEAR(vp.tbl[[#This Row],[SDate]]),5,1),vp.tbl[[#This Row],[SDate]]&lt;=DATE(YEAR(vp.tbl[[#This Row],[SDate]]),9,15)),1,0)</f>
        <v>0</v>
      </c>
      <c r="AQ823" s="15">
        <f>IF(vp.tbl[[#This Row],[SDate]]&lt;DATE(2016,12,1),0,1)</f>
        <v>1</v>
      </c>
    </row>
    <row r="824" spans="1:43" x14ac:dyDescent="0.25">
      <c r="A824">
        <v>823</v>
      </c>
      <c r="B824" t="s">
        <v>51</v>
      </c>
      <c r="C824" t="s">
        <v>51</v>
      </c>
      <c r="D824" t="s">
        <v>126</v>
      </c>
      <c r="F824" s="1">
        <v>42784</v>
      </c>
      <c r="G824" s="2">
        <v>99.2</v>
      </c>
      <c r="H824" s="2"/>
      <c r="I824" s="2">
        <v>1.73</v>
      </c>
      <c r="J824" s="2">
        <v>11.7</v>
      </c>
      <c r="K824" s="2">
        <v>-16</v>
      </c>
      <c r="L824" s="2">
        <v>846.6</v>
      </c>
      <c r="M824" s="2">
        <v>846.6</v>
      </c>
      <c r="N824" s="2">
        <f ca="1">INDEX(INDIRECT(_xlfn.CONCAT("weather.tbl[",N$1,"]")),MATCH(vp.tbl[[#This Row],[SDate]],weather.tbl[Date],0))</f>
        <v>-0.54999999999999993</v>
      </c>
      <c r="O824" s="2">
        <f ca="1">INDEX(INDIRECT(_xlfn.CONCAT("weather.tbl[",O$1,"]")),MATCH(vp.tbl[[#This Row],[SDate]],weather.tbl[Date],0))</f>
        <v>-1.0261904761904761</v>
      </c>
      <c r="P824" s="2">
        <f ca="1">INDEX(INDIRECT(_xlfn.CONCAT("weather.tbl[",P$1,"]")),MATCH(vp.tbl[[#This Row],[SDate]],weather.tbl[Date],0))</f>
        <v>-1.9</v>
      </c>
      <c r="Q824" s="2">
        <f ca="1">INDEX(INDIRECT(_xlfn.CONCAT("weather.tbl[",Q$1,"]")),MATCH(vp.tbl[[#This Row],[SDate]],weather.tbl[Date],0))</f>
        <v>-1.6</v>
      </c>
      <c r="R824" s="2">
        <f ca="1">INDEX(INDIRECT(_xlfn.CONCAT("weather.tbl[",R$1,"]")),MATCH(vp.tbl[[#This Row],[SDate]],weather.tbl[Date],0))</f>
        <v>-1</v>
      </c>
      <c r="S824" s="2">
        <f ca="1">INDEX(INDIRECT(_xlfn.CONCAT("weather.tbl[",S$1,"]")),MATCH(vp.tbl[[#This Row],[SDate]],weather.tbl[Date],0))</f>
        <v>-0.6</v>
      </c>
      <c r="T824" s="2">
        <f ca="1">INDEX(INDIRECT(_xlfn.CONCAT("weather.tbl[",T$1,"]")),MATCH(vp.tbl[[#This Row],[SDate]],weather.tbl[Date],0))</f>
        <v>-0.2</v>
      </c>
      <c r="U824" s="2">
        <f ca="1">INDEX(INDIRECT(_xlfn.CONCAT("weather.tbl[",U$1,"]")),MATCH(vp.tbl[[#This Row],[SDate]],weather.tbl[Date],0))</f>
        <v>2</v>
      </c>
      <c r="V824" s="2">
        <v>1058.9190000000001</v>
      </c>
      <c r="W824" t="s">
        <v>48</v>
      </c>
      <c r="X824">
        <f>IF(OR(vp.tbl[[#This Row],[Sulf]]="",vp.tbl[[#This Row],[Dens]]=""),1,0)</f>
        <v>0</v>
      </c>
      <c r="Y824">
        <f>IF(vp.tbl[[#This Row],[CrudeType]]="C5+",1,0)</f>
        <v>0</v>
      </c>
      <c r="Z824">
        <f>IF(AND(vp.tbl[[#This Row],[CrudeType]]="Crude",vp.tbl[[#This Row],[Dens]]&lt;=825,vp.tbl[[#This Row],[Sulf]]&gt;0.5,vp.tbl[[#This Row],[Unknown]]=0),1,0)</f>
        <v>0</v>
      </c>
      <c r="AA824">
        <f>IF(AND(vp.tbl[[#This Row],[CrudeType]]="Crude",vp.tbl[[#This Row],[Dens]]&lt;=825,vp.tbl[[#This Row],[Sulf]]&lt;=0.5,vp.tbl[[#This Row],[Unknown]]=0),1,0)</f>
        <v>0</v>
      </c>
      <c r="AB824">
        <f>IF(AND(vp.tbl[[#This Row],[CrudeType]]="Crude",vp.tbl[[#This Row],[Dens]]&gt;825,vp.tbl[[#This Row],[Dens]]&lt;=870,vp.tbl[[#This Row],[Sulf]]&gt;0.5,vp.tbl[[#This Row],[Unknown]]=0),1,0)</f>
        <v>1</v>
      </c>
      <c r="AC824">
        <f>IF(AND(vp.tbl[[#This Row],[CrudeType]]="Crude",vp.tbl[[#This Row],[Dens]]&gt;825,vp.tbl[[#This Row],[Dens]]&lt;=900,vp.tbl[[#This Row],[Sulf]]&lt;=0.5,vp.tbl[[#This Row],[Unknown]]=0),1,0)</f>
        <v>0</v>
      </c>
      <c r="AD824">
        <f>IF(AND(vp.tbl[[#This Row],[CrudeType]]="Crude",vp.tbl[[#This Row],[Dens]]&gt;870,vp.tbl[[#This Row],[Dens]]&lt;=900,vp.tbl[[#This Row],[Sulf]]&gt;0.5,vp.tbl[[#This Row],[Unknown]]=0),1,0)</f>
        <v>0</v>
      </c>
      <c r="AE824">
        <f>IF(AND(vp.tbl[[#This Row],[CrudeType]]="Crude",vp.tbl[[#This Row],[Dens]]&gt;900,vp.tbl[[#This Row],[Sulf]]&lt;=0.5,vp.tbl[[#This Row],[Unknown]]=0),1,0)</f>
        <v>0</v>
      </c>
      <c r="AF824">
        <f>IF(AND(vp.tbl[[#This Row],[CrudeType]]="Crude",vp.tbl[[#This Row],[Dens]]&gt;900,vp.tbl[[#This Row],[Sulf]]&lt;=0.5,vp.tbl[[#This Row],[Unknown]]=0),1,0)</f>
        <v>0</v>
      </c>
      <c r="AG824" t="str">
        <f>INDEX(vp.tbl[[#Headers],[Unknown]:[Heavy_SW]],MATCH(1,vp.tbl[[#This Row],[Unknown]:[Heavy_SW]],0))</f>
        <v>Medium_LSB</v>
      </c>
      <c r="AH824" t="e">
        <f>INDEX([1]!crudeBD.lkup[Number],MATCH(vp.tbl[[#This Row],[Crude_Breakdown]],[1]!crudeBD.lkup[Crude Breakdown],0))</f>
        <v>#REF!</v>
      </c>
      <c r="AI824">
        <f>MONTH(vp.tbl[[#This Row],[SDate]])</f>
        <v>2</v>
      </c>
      <c r="AJ824" s="5">
        <f>IFERROR(vp.tbl[[#This Row],[Sulf]]*vp.tbl[[#This Row],[Net Dens]],"")</f>
        <v>1550911.8279420002</v>
      </c>
      <c r="AK824" s="5">
        <f>IFERROR(vp.tbl[[#This Row],[Dens]]*vp.tbl[[#This Row],[VolumeM3]],"")</f>
        <v>896480.82540000009</v>
      </c>
      <c r="AL824" s="5">
        <f>IFERROR(vp.tbl[[#This Row],[VP]]*vp.tbl[[#This Row],[VolumeM3]],"")</f>
        <v>105044.76480000002</v>
      </c>
      <c r="AM824" s="4">
        <f>IFERROR((vp.tbl[[#This Row],[VP]]-INDEX(crudeBD.lkup.complete[Mean_VP],MATCH(vp.tbl[[#This Row],[Crude_Breakdown]],crudeBD.lkup.complete[Crude Breakdown],0)))^2,"")</f>
        <v>362.00408963243223</v>
      </c>
      <c r="AN824" s="4">
        <f>IFERROR((vp.tbl[[#This Row],[Dens]]-INDEX(crudeBD.lkup.complete[Mean_Dens],MATCH(vp.tbl[[#This Row],[Crude_Breakdown]],crudeBD.lkup.complete[Crude Breakdown],0)))^2,"")</f>
        <v>1.711327626344568</v>
      </c>
      <c r="AO824" s="4">
        <f>IFERROR((vp.tbl[[#This Row],[Sulf]]-INDEX(crudeBD.lkup.complete[Mean_Sulf],MATCH(vp.tbl[[#This Row],[Crude_Breakdown]],crudeBD.lkup.complete[Crude Breakdown],0)))^2,"")</f>
        <v>7.5663581501790714E-2</v>
      </c>
      <c r="AP824">
        <f>IF(AND(vp.tbl[[#This Row],[SDate]]&gt;=DATE(YEAR(vp.tbl[[#This Row],[SDate]]),5,1),vp.tbl[[#This Row],[SDate]]&lt;=DATE(YEAR(vp.tbl[[#This Row],[SDate]]),9,15)),1,0)</f>
        <v>0</v>
      </c>
      <c r="AQ824" s="15">
        <f>IF(vp.tbl[[#This Row],[SDate]]&lt;DATE(2016,12,1),0,1)</f>
        <v>1</v>
      </c>
    </row>
    <row r="825" spans="1:43" x14ac:dyDescent="0.25">
      <c r="A825">
        <v>824</v>
      </c>
      <c r="B825" t="s">
        <v>56</v>
      </c>
      <c r="C825" t="s">
        <v>56</v>
      </c>
      <c r="D825" t="s">
        <v>94</v>
      </c>
      <c r="F825" s="1">
        <v>42784</v>
      </c>
      <c r="G825" s="2">
        <v>74.900000000000006</v>
      </c>
      <c r="H825" s="2"/>
      <c r="I825" s="2">
        <v>1.95</v>
      </c>
      <c r="J825" s="2">
        <v>22.4</v>
      </c>
      <c r="K825" s="2">
        <v>2</v>
      </c>
      <c r="L825" s="2">
        <v>858.4</v>
      </c>
      <c r="M825" s="2">
        <v>858.4</v>
      </c>
      <c r="N825" s="2">
        <f ca="1">INDEX(INDIRECT(_xlfn.CONCAT("weather.tbl[",N$1,"]")),MATCH(vp.tbl[[#This Row],[SDate]],weather.tbl[Date],0))</f>
        <v>-0.54999999999999993</v>
      </c>
      <c r="O825" s="2">
        <f ca="1">INDEX(INDIRECT(_xlfn.CONCAT("weather.tbl[",O$1,"]")),MATCH(vp.tbl[[#This Row],[SDate]],weather.tbl[Date],0))</f>
        <v>-1.0261904761904761</v>
      </c>
      <c r="P825" s="2">
        <f ca="1">INDEX(INDIRECT(_xlfn.CONCAT("weather.tbl[",P$1,"]")),MATCH(vp.tbl[[#This Row],[SDate]],weather.tbl[Date],0))</f>
        <v>-1.9</v>
      </c>
      <c r="Q825" s="2">
        <f ca="1">INDEX(INDIRECT(_xlfn.CONCAT("weather.tbl[",Q$1,"]")),MATCH(vp.tbl[[#This Row],[SDate]],weather.tbl[Date],0))</f>
        <v>-1.6</v>
      </c>
      <c r="R825" s="2">
        <f ca="1">INDEX(INDIRECT(_xlfn.CONCAT("weather.tbl[",R$1,"]")),MATCH(vp.tbl[[#This Row],[SDate]],weather.tbl[Date],0))</f>
        <v>-1</v>
      </c>
      <c r="S825" s="2">
        <f ca="1">INDEX(INDIRECT(_xlfn.CONCAT("weather.tbl[",S$1,"]")),MATCH(vp.tbl[[#This Row],[SDate]],weather.tbl[Date],0))</f>
        <v>-0.6</v>
      </c>
      <c r="T825" s="2">
        <f ca="1">INDEX(INDIRECT(_xlfn.CONCAT("weather.tbl[",T$1,"]")),MATCH(vp.tbl[[#This Row],[SDate]],weather.tbl[Date],0))</f>
        <v>-0.2</v>
      </c>
      <c r="U825" s="2">
        <f ca="1">INDEX(INDIRECT(_xlfn.CONCAT("weather.tbl[",U$1,"]")),MATCH(vp.tbl[[#This Row],[SDate]],weather.tbl[Date],0))</f>
        <v>2</v>
      </c>
      <c r="V825" s="2">
        <v>3347.944</v>
      </c>
      <c r="W825" t="s">
        <v>48</v>
      </c>
      <c r="X825">
        <f>IF(OR(vp.tbl[[#This Row],[Sulf]]="",vp.tbl[[#This Row],[Dens]]=""),1,0)</f>
        <v>0</v>
      </c>
      <c r="Y825">
        <f>IF(vp.tbl[[#This Row],[CrudeType]]="C5+",1,0)</f>
        <v>0</v>
      </c>
      <c r="Z825">
        <f>IF(AND(vp.tbl[[#This Row],[CrudeType]]="Crude",vp.tbl[[#This Row],[Dens]]&lt;=825,vp.tbl[[#This Row],[Sulf]]&gt;0.5,vp.tbl[[#This Row],[Unknown]]=0),1,0)</f>
        <v>0</v>
      </c>
      <c r="AA825">
        <f>IF(AND(vp.tbl[[#This Row],[CrudeType]]="Crude",vp.tbl[[#This Row],[Dens]]&lt;=825,vp.tbl[[#This Row],[Sulf]]&lt;=0.5,vp.tbl[[#This Row],[Unknown]]=0),1,0)</f>
        <v>0</v>
      </c>
      <c r="AB825">
        <f>IF(AND(vp.tbl[[#This Row],[CrudeType]]="Crude",vp.tbl[[#This Row],[Dens]]&gt;825,vp.tbl[[#This Row],[Dens]]&lt;=870,vp.tbl[[#This Row],[Sulf]]&gt;0.5,vp.tbl[[#This Row],[Unknown]]=0),1,0)</f>
        <v>1</v>
      </c>
      <c r="AC825">
        <f>IF(AND(vp.tbl[[#This Row],[CrudeType]]="Crude",vp.tbl[[#This Row],[Dens]]&gt;825,vp.tbl[[#This Row],[Dens]]&lt;=900,vp.tbl[[#This Row],[Sulf]]&lt;=0.5,vp.tbl[[#This Row],[Unknown]]=0),1,0)</f>
        <v>0</v>
      </c>
      <c r="AD825">
        <f>IF(AND(vp.tbl[[#This Row],[CrudeType]]="Crude",vp.tbl[[#This Row],[Dens]]&gt;870,vp.tbl[[#This Row],[Dens]]&lt;=900,vp.tbl[[#This Row],[Sulf]]&gt;0.5,vp.tbl[[#This Row],[Unknown]]=0),1,0)</f>
        <v>0</v>
      </c>
      <c r="AE825">
        <f>IF(AND(vp.tbl[[#This Row],[CrudeType]]="Crude",vp.tbl[[#This Row],[Dens]]&gt;900,vp.tbl[[#This Row],[Sulf]]&lt;=0.5,vp.tbl[[#This Row],[Unknown]]=0),1,0)</f>
        <v>0</v>
      </c>
      <c r="AF825">
        <f>IF(AND(vp.tbl[[#This Row],[CrudeType]]="Crude",vp.tbl[[#This Row],[Dens]]&gt;900,vp.tbl[[#This Row],[Sulf]]&lt;=0.5,vp.tbl[[#This Row],[Unknown]]=0),1,0)</f>
        <v>0</v>
      </c>
      <c r="AG825" t="str">
        <f>INDEX(vp.tbl[[#Headers],[Unknown]:[Heavy_SW]],MATCH(1,vp.tbl[[#This Row],[Unknown]:[Heavy_SW]],0))</f>
        <v>Medium_LSB</v>
      </c>
      <c r="AH825" t="e">
        <f>INDEX([1]!crudeBD.lkup[Number],MATCH(vp.tbl[[#This Row],[Crude_Breakdown]],[1]!crudeBD.lkup[Crude Breakdown],0))</f>
        <v>#REF!</v>
      </c>
      <c r="AI825">
        <f>MONTH(vp.tbl[[#This Row],[SDate]])</f>
        <v>2</v>
      </c>
      <c r="AJ825" s="5">
        <f>IFERROR(vp.tbl[[#This Row],[Sulf]]*vp.tbl[[#This Row],[Net Dens]],"")</f>
        <v>5604056.5027200002</v>
      </c>
      <c r="AK825" s="5">
        <f>IFERROR(vp.tbl[[#This Row],[Dens]]*vp.tbl[[#This Row],[VolumeM3]],"")</f>
        <v>2873875.1296000001</v>
      </c>
      <c r="AL825" s="5">
        <f>IFERROR(vp.tbl[[#This Row],[VP]]*vp.tbl[[#This Row],[VolumeM3]],"")</f>
        <v>250761.0056</v>
      </c>
      <c r="AM825" s="4">
        <f>IFERROR((vp.tbl[[#This Row],[VP]]-INDEX(crudeBD.lkup.complete[Mean_VP],MATCH(vp.tbl[[#This Row],[Crude_Breakdown]],crudeBD.lkup.complete[Crude Breakdown],0)))^2,"")</f>
        <v>27.810803556480884</v>
      </c>
      <c r="AN825" s="4">
        <f>IFERROR((vp.tbl[[#This Row],[Dens]]-INDEX(crudeBD.lkup.complete[Mean_Dens],MATCH(vp.tbl[[#This Row],[Crude_Breakdown]],crudeBD.lkup.complete[Crude Breakdown],0)))^2,"")</f>
        <v>171.82430990484815</v>
      </c>
      <c r="AO825" s="4">
        <f>IFERROR((vp.tbl[[#This Row],[Sulf]]-INDEX(crudeBD.lkup.complete[Mean_Sulf],MATCH(vp.tbl[[#This Row],[Crude_Breakdown]],crudeBD.lkup.complete[Crude Breakdown],0)))^2,"")</f>
        <v>0.2450944427676128</v>
      </c>
      <c r="AP825">
        <f>IF(AND(vp.tbl[[#This Row],[SDate]]&gt;=DATE(YEAR(vp.tbl[[#This Row],[SDate]]),5,1),vp.tbl[[#This Row],[SDate]]&lt;=DATE(YEAR(vp.tbl[[#This Row],[SDate]]),9,15)),1,0)</f>
        <v>0</v>
      </c>
      <c r="AQ825" s="15">
        <f>IF(vp.tbl[[#This Row],[SDate]]&lt;DATE(2016,12,1),0,1)</f>
        <v>1</v>
      </c>
    </row>
    <row r="826" spans="1:43" x14ac:dyDescent="0.25">
      <c r="A826">
        <v>825</v>
      </c>
      <c r="B826" t="s">
        <v>60</v>
      </c>
      <c r="C826" t="s">
        <v>60</v>
      </c>
      <c r="D826" t="s">
        <v>61</v>
      </c>
      <c r="E826" t="s">
        <v>73</v>
      </c>
      <c r="F826" s="1">
        <v>42784</v>
      </c>
      <c r="G826" s="2">
        <v>80.599999999999994</v>
      </c>
      <c r="H826" s="2">
        <v>1.083</v>
      </c>
      <c r="I826" s="2">
        <v>1.083</v>
      </c>
      <c r="J826" s="2">
        <v>4.5</v>
      </c>
      <c r="K826" s="2">
        <v>-1</v>
      </c>
      <c r="L826" s="2">
        <v>846.7</v>
      </c>
      <c r="M826" s="2">
        <v>846.7</v>
      </c>
      <c r="N826" s="2">
        <f ca="1">INDEX(INDIRECT(_xlfn.CONCAT("weather.tbl[",N$1,"]")),MATCH(vp.tbl[[#This Row],[SDate]],weather.tbl[Date],0))</f>
        <v>-0.54999999999999993</v>
      </c>
      <c r="O826" s="2">
        <f ca="1">INDEX(INDIRECT(_xlfn.CONCAT("weather.tbl[",O$1,"]")),MATCH(vp.tbl[[#This Row],[SDate]],weather.tbl[Date],0))</f>
        <v>-1.0261904761904761</v>
      </c>
      <c r="P826" s="2">
        <f ca="1">INDEX(INDIRECT(_xlfn.CONCAT("weather.tbl[",P$1,"]")),MATCH(vp.tbl[[#This Row],[SDate]],weather.tbl[Date],0))</f>
        <v>-1.9</v>
      </c>
      <c r="Q826" s="2">
        <f ca="1">INDEX(INDIRECT(_xlfn.CONCAT("weather.tbl[",Q$1,"]")),MATCH(vp.tbl[[#This Row],[SDate]],weather.tbl[Date],0))</f>
        <v>-1.6</v>
      </c>
      <c r="R826" s="2">
        <f ca="1">INDEX(INDIRECT(_xlfn.CONCAT("weather.tbl[",R$1,"]")),MATCH(vp.tbl[[#This Row],[SDate]],weather.tbl[Date],0))</f>
        <v>-1</v>
      </c>
      <c r="S826" s="2">
        <f ca="1">INDEX(INDIRECT(_xlfn.CONCAT("weather.tbl[",S$1,"]")),MATCH(vp.tbl[[#This Row],[SDate]],weather.tbl[Date],0))</f>
        <v>-0.6</v>
      </c>
      <c r="T826" s="2">
        <f ca="1">INDEX(INDIRECT(_xlfn.CONCAT("weather.tbl[",T$1,"]")),MATCH(vp.tbl[[#This Row],[SDate]],weather.tbl[Date],0))</f>
        <v>-0.2</v>
      </c>
      <c r="U826" s="2">
        <f ca="1">INDEX(INDIRECT(_xlfn.CONCAT("weather.tbl[",U$1,"]")),MATCH(vp.tbl[[#This Row],[SDate]],weather.tbl[Date],0))</f>
        <v>2</v>
      </c>
      <c r="V826" s="2">
        <v>96501.951000000001</v>
      </c>
      <c r="W826" t="s">
        <v>48</v>
      </c>
      <c r="X826">
        <f>IF(OR(vp.tbl[[#This Row],[Sulf]]="",vp.tbl[[#This Row],[Dens]]=""),1,0)</f>
        <v>0</v>
      </c>
      <c r="Y826">
        <f>IF(vp.tbl[[#This Row],[CrudeType]]="C5+",1,0)</f>
        <v>0</v>
      </c>
      <c r="Z826">
        <f>IF(AND(vp.tbl[[#This Row],[CrudeType]]="Crude",vp.tbl[[#This Row],[Dens]]&lt;=825,vp.tbl[[#This Row],[Sulf]]&gt;0.5,vp.tbl[[#This Row],[Unknown]]=0),1,0)</f>
        <v>0</v>
      </c>
      <c r="AA826">
        <f>IF(AND(vp.tbl[[#This Row],[CrudeType]]="Crude",vp.tbl[[#This Row],[Dens]]&lt;=825,vp.tbl[[#This Row],[Sulf]]&lt;=0.5,vp.tbl[[#This Row],[Unknown]]=0),1,0)</f>
        <v>0</v>
      </c>
      <c r="AB826">
        <f>IF(AND(vp.tbl[[#This Row],[CrudeType]]="Crude",vp.tbl[[#This Row],[Dens]]&gt;825,vp.tbl[[#This Row],[Dens]]&lt;=870,vp.tbl[[#This Row],[Sulf]]&gt;0.5,vp.tbl[[#This Row],[Unknown]]=0),1,0)</f>
        <v>1</v>
      </c>
      <c r="AC826">
        <f>IF(AND(vp.tbl[[#This Row],[CrudeType]]="Crude",vp.tbl[[#This Row],[Dens]]&gt;825,vp.tbl[[#This Row],[Dens]]&lt;=900,vp.tbl[[#This Row],[Sulf]]&lt;=0.5,vp.tbl[[#This Row],[Unknown]]=0),1,0)</f>
        <v>0</v>
      </c>
      <c r="AD826">
        <f>IF(AND(vp.tbl[[#This Row],[CrudeType]]="Crude",vp.tbl[[#This Row],[Dens]]&gt;870,vp.tbl[[#This Row],[Dens]]&lt;=900,vp.tbl[[#This Row],[Sulf]]&gt;0.5,vp.tbl[[#This Row],[Unknown]]=0),1,0)</f>
        <v>0</v>
      </c>
      <c r="AE826">
        <f>IF(AND(vp.tbl[[#This Row],[CrudeType]]="Crude",vp.tbl[[#This Row],[Dens]]&gt;900,vp.tbl[[#This Row],[Sulf]]&lt;=0.5,vp.tbl[[#This Row],[Unknown]]=0),1,0)</f>
        <v>0</v>
      </c>
      <c r="AF826">
        <f>IF(AND(vp.tbl[[#This Row],[CrudeType]]="Crude",vp.tbl[[#This Row],[Dens]]&gt;900,vp.tbl[[#This Row],[Sulf]]&lt;=0.5,vp.tbl[[#This Row],[Unknown]]=0),1,0)</f>
        <v>0</v>
      </c>
      <c r="AG826" t="str">
        <f>INDEX(vp.tbl[[#Headers],[Unknown]:[Heavy_SW]],MATCH(1,vp.tbl[[#This Row],[Unknown]:[Heavy_SW]],0))</f>
        <v>Medium_LSB</v>
      </c>
      <c r="AH826" t="e">
        <f>INDEX([1]!crudeBD.lkup[Number],MATCH(vp.tbl[[#This Row],[Crude_Breakdown]],[1]!crudeBD.lkup[Crude Breakdown],0))</f>
        <v>#REF!</v>
      </c>
      <c r="AI826">
        <f>MONTH(vp.tbl[[#This Row],[SDate]])</f>
        <v>2</v>
      </c>
      <c r="AJ826" s="5">
        <f>IFERROR(vp.tbl[[#This Row],[Sulf]]*vp.tbl[[#This Row],[Net Dens]],"")</f>
        <v>88489982.670371115</v>
      </c>
      <c r="AK826" s="5">
        <f>IFERROR(vp.tbl[[#This Row],[Dens]]*vp.tbl[[#This Row],[VolumeM3]],"")</f>
        <v>81708201.91170001</v>
      </c>
      <c r="AL826" s="5">
        <f>IFERROR(vp.tbl[[#This Row],[VP]]*vp.tbl[[#This Row],[VolumeM3]],"")</f>
        <v>7778057.2505999999</v>
      </c>
      <c r="AM826" s="4">
        <f>IFERROR((vp.tbl[[#This Row],[VP]]-INDEX(crudeBD.lkup.complete[Mean_VP],MATCH(vp.tbl[[#This Row],[Crude_Breakdown]],crudeBD.lkup.complete[Crude Breakdown],0)))^2,"")</f>
        <v>0.18182127800034709</v>
      </c>
      <c r="AN826" s="4">
        <f>IFERROR((vp.tbl[[#This Row],[Dens]]-INDEX(crudeBD.lkup.complete[Mean_Dens],MATCH(vp.tbl[[#This Row],[Crude_Breakdown]],crudeBD.lkup.complete[Crude Breakdown],0)))^2,"")</f>
        <v>1.9829630693828082</v>
      </c>
      <c r="AO826" s="4">
        <f>IFERROR((vp.tbl[[#This Row],[Sulf]]-INDEX(crudeBD.lkup.complete[Mean_Sulf],MATCH(vp.tbl[[#This Row],[Crude_Breakdown]],crudeBD.lkup.complete[Crude Breakdown],0)))^2,"")</f>
        <v>0.13833182132457747</v>
      </c>
      <c r="AP826">
        <f>IF(AND(vp.tbl[[#This Row],[SDate]]&gt;=DATE(YEAR(vp.tbl[[#This Row],[SDate]]),5,1),vp.tbl[[#This Row],[SDate]]&lt;=DATE(YEAR(vp.tbl[[#This Row],[SDate]]),9,15)),1,0)</f>
        <v>0</v>
      </c>
      <c r="AQ826" s="15">
        <f>IF(vp.tbl[[#This Row],[SDate]]&lt;DATE(2016,12,1),0,1)</f>
        <v>1</v>
      </c>
    </row>
    <row r="827" spans="1:43" x14ac:dyDescent="0.25">
      <c r="A827">
        <v>826</v>
      </c>
      <c r="B827" t="s">
        <v>60</v>
      </c>
      <c r="C827" t="s">
        <v>60</v>
      </c>
      <c r="D827" t="s">
        <v>61</v>
      </c>
      <c r="E827" t="s">
        <v>55</v>
      </c>
      <c r="F827" s="1">
        <v>42784</v>
      </c>
      <c r="G827" s="2">
        <v>99.5</v>
      </c>
      <c r="H827" s="2">
        <v>1.0549999999999999</v>
      </c>
      <c r="I827" s="2">
        <v>1.0549999999999999</v>
      </c>
      <c r="J827" s="2">
        <v>7.9</v>
      </c>
      <c r="K827" s="2">
        <v>-1</v>
      </c>
      <c r="L827" s="2">
        <v>833</v>
      </c>
      <c r="M827" s="2">
        <v>833</v>
      </c>
      <c r="N827" s="2">
        <f ca="1">INDEX(INDIRECT(_xlfn.CONCAT("weather.tbl[",N$1,"]")),MATCH(vp.tbl[[#This Row],[SDate]],weather.tbl[Date],0))</f>
        <v>-0.54999999999999993</v>
      </c>
      <c r="O827" s="2">
        <f ca="1">INDEX(INDIRECT(_xlfn.CONCAT("weather.tbl[",O$1,"]")),MATCH(vp.tbl[[#This Row],[SDate]],weather.tbl[Date],0))</f>
        <v>-1.0261904761904761</v>
      </c>
      <c r="P827" s="2">
        <f ca="1">INDEX(INDIRECT(_xlfn.CONCAT("weather.tbl[",P$1,"]")),MATCH(vp.tbl[[#This Row],[SDate]],weather.tbl[Date],0))</f>
        <v>-1.9</v>
      </c>
      <c r="Q827" s="2">
        <f ca="1">INDEX(INDIRECT(_xlfn.CONCAT("weather.tbl[",Q$1,"]")),MATCH(vp.tbl[[#This Row],[SDate]],weather.tbl[Date],0))</f>
        <v>-1.6</v>
      </c>
      <c r="R827" s="2">
        <f ca="1">INDEX(INDIRECT(_xlfn.CONCAT("weather.tbl[",R$1,"]")),MATCH(vp.tbl[[#This Row],[SDate]],weather.tbl[Date],0))</f>
        <v>-1</v>
      </c>
      <c r="S827" s="2">
        <f ca="1">INDEX(INDIRECT(_xlfn.CONCAT("weather.tbl[",S$1,"]")),MATCH(vp.tbl[[#This Row],[SDate]],weather.tbl[Date],0))</f>
        <v>-0.6</v>
      </c>
      <c r="T827" s="2">
        <f ca="1">INDEX(INDIRECT(_xlfn.CONCAT("weather.tbl[",T$1,"]")),MATCH(vp.tbl[[#This Row],[SDate]],weather.tbl[Date],0))</f>
        <v>-0.2</v>
      </c>
      <c r="U827" s="2">
        <f ca="1">INDEX(INDIRECT(_xlfn.CONCAT("weather.tbl[",U$1,"]")),MATCH(vp.tbl[[#This Row],[SDate]],weather.tbl[Date],0))</f>
        <v>2</v>
      </c>
      <c r="V827" s="2">
        <v>96501.951000000001</v>
      </c>
      <c r="W827" t="s">
        <v>48</v>
      </c>
      <c r="X827">
        <f>IF(OR(vp.tbl[[#This Row],[Sulf]]="",vp.tbl[[#This Row],[Dens]]=""),1,0)</f>
        <v>0</v>
      </c>
      <c r="Y827">
        <f>IF(vp.tbl[[#This Row],[CrudeType]]="C5+",1,0)</f>
        <v>0</v>
      </c>
      <c r="Z827">
        <f>IF(AND(vp.tbl[[#This Row],[CrudeType]]="Crude",vp.tbl[[#This Row],[Dens]]&lt;=825,vp.tbl[[#This Row],[Sulf]]&gt;0.5,vp.tbl[[#This Row],[Unknown]]=0),1,0)</f>
        <v>0</v>
      </c>
      <c r="AA827">
        <f>IF(AND(vp.tbl[[#This Row],[CrudeType]]="Crude",vp.tbl[[#This Row],[Dens]]&lt;=825,vp.tbl[[#This Row],[Sulf]]&lt;=0.5,vp.tbl[[#This Row],[Unknown]]=0),1,0)</f>
        <v>0</v>
      </c>
      <c r="AB827">
        <f>IF(AND(vp.tbl[[#This Row],[CrudeType]]="Crude",vp.tbl[[#This Row],[Dens]]&gt;825,vp.tbl[[#This Row],[Dens]]&lt;=870,vp.tbl[[#This Row],[Sulf]]&gt;0.5,vp.tbl[[#This Row],[Unknown]]=0),1,0)</f>
        <v>1</v>
      </c>
      <c r="AC827">
        <f>IF(AND(vp.tbl[[#This Row],[CrudeType]]="Crude",vp.tbl[[#This Row],[Dens]]&gt;825,vp.tbl[[#This Row],[Dens]]&lt;=900,vp.tbl[[#This Row],[Sulf]]&lt;=0.5,vp.tbl[[#This Row],[Unknown]]=0),1,0)</f>
        <v>0</v>
      </c>
      <c r="AD827">
        <f>IF(AND(vp.tbl[[#This Row],[CrudeType]]="Crude",vp.tbl[[#This Row],[Dens]]&gt;870,vp.tbl[[#This Row],[Dens]]&lt;=900,vp.tbl[[#This Row],[Sulf]]&gt;0.5,vp.tbl[[#This Row],[Unknown]]=0),1,0)</f>
        <v>0</v>
      </c>
      <c r="AE827">
        <f>IF(AND(vp.tbl[[#This Row],[CrudeType]]="Crude",vp.tbl[[#This Row],[Dens]]&gt;900,vp.tbl[[#This Row],[Sulf]]&lt;=0.5,vp.tbl[[#This Row],[Unknown]]=0),1,0)</f>
        <v>0</v>
      </c>
      <c r="AF827">
        <f>IF(AND(vp.tbl[[#This Row],[CrudeType]]="Crude",vp.tbl[[#This Row],[Dens]]&gt;900,vp.tbl[[#This Row],[Sulf]]&lt;=0.5,vp.tbl[[#This Row],[Unknown]]=0),1,0)</f>
        <v>0</v>
      </c>
      <c r="AG827" t="str">
        <f>INDEX(vp.tbl[[#Headers],[Unknown]:[Heavy_SW]],MATCH(1,vp.tbl[[#This Row],[Unknown]:[Heavy_SW]],0))</f>
        <v>Medium_LSB</v>
      </c>
      <c r="AH827" t="e">
        <f>INDEX([1]!crudeBD.lkup[Number],MATCH(vp.tbl[[#This Row],[Crude_Breakdown]],[1]!crudeBD.lkup[Crude Breakdown],0))</f>
        <v>#REF!</v>
      </c>
      <c r="AI827">
        <f>MONTH(vp.tbl[[#This Row],[SDate]])</f>
        <v>2</v>
      </c>
      <c r="AJ827" s="5">
        <f>IFERROR(vp.tbl[[#This Row],[Sulf]]*vp.tbl[[#This Row],[Net Dens]],"")</f>
        <v>84807362.068064988</v>
      </c>
      <c r="AK827" s="5">
        <f>IFERROR(vp.tbl[[#This Row],[Dens]]*vp.tbl[[#This Row],[VolumeM3]],"")</f>
        <v>80386125.182999998</v>
      </c>
      <c r="AL827" s="5">
        <f>IFERROR(vp.tbl[[#This Row],[VP]]*vp.tbl[[#This Row],[VolumeM3]],"")</f>
        <v>9601944.1245000008</v>
      </c>
      <c r="AM827" s="4">
        <f>IFERROR((vp.tbl[[#This Row],[VP]]-INDEX(crudeBD.lkup.complete[Mean_VP],MATCH(vp.tbl[[#This Row],[Crude_Breakdown]],crudeBD.lkup.complete[Crude Breakdown],0)))^2,"")</f>
        <v>373.50993267040678</v>
      </c>
      <c r="AN827" s="4">
        <f>IFERROR((vp.tbl[[#This Row],[Dens]]-INDEX(crudeBD.lkup.complete[Mean_Dens],MATCH(vp.tbl[[#This Row],[Crude_Breakdown]],crudeBD.lkup.complete[Crude Breakdown],0)))^2,"")</f>
        <v>151.08890737315318</v>
      </c>
      <c r="AO827" s="4">
        <f>IFERROR((vp.tbl[[#This Row],[Sulf]]-INDEX(crudeBD.lkup.complete[Mean_Sulf],MATCH(vp.tbl[[#This Row],[Crude_Breakdown]],crudeBD.lkup.complete[Crude Breakdown],0)))^2,"")</f>
        <v>0.15994389352710922</v>
      </c>
      <c r="AP827">
        <f>IF(AND(vp.tbl[[#This Row],[SDate]]&gt;=DATE(YEAR(vp.tbl[[#This Row],[SDate]]),5,1),vp.tbl[[#This Row],[SDate]]&lt;=DATE(YEAR(vp.tbl[[#This Row],[SDate]]),9,15)),1,0)</f>
        <v>0</v>
      </c>
      <c r="AQ827" s="15">
        <f>IF(vp.tbl[[#This Row],[SDate]]&lt;DATE(2016,12,1),0,1)</f>
        <v>1</v>
      </c>
    </row>
    <row r="828" spans="1:43" x14ac:dyDescent="0.25">
      <c r="A828">
        <v>827</v>
      </c>
      <c r="B828" t="s">
        <v>49</v>
      </c>
      <c r="C828" t="s">
        <v>49</v>
      </c>
      <c r="D828" t="s">
        <v>50</v>
      </c>
      <c r="F828" s="1">
        <v>42785</v>
      </c>
      <c r="G828" s="2">
        <v>69.900000000000006</v>
      </c>
      <c r="H828" s="2">
        <v>2.7109999999999999</v>
      </c>
      <c r="I828" s="2">
        <v>2.7109999999999999</v>
      </c>
      <c r="J828" s="2">
        <v>17.600000000000001</v>
      </c>
      <c r="K828" s="2">
        <v>1</v>
      </c>
      <c r="L828" s="2">
        <v>868.6</v>
      </c>
      <c r="M828" s="2">
        <v>868.6</v>
      </c>
      <c r="N828" s="2">
        <f ca="1">INDEX(INDIRECT(_xlfn.CONCAT("weather.tbl[",N$1,"]")),MATCH(vp.tbl[[#This Row],[SDate]],weather.tbl[Date],0))</f>
        <v>-0.19999999999999998</v>
      </c>
      <c r="O828" s="2">
        <f ca="1">INDEX(INDIRECT(_xlfn.CONCAT("weather.tbl[",O$1,"]")),MATCH(vp.tbl[[#This Row],[SDate]],weather.tbl[Date],0))</f>
        <v>-0.29047619047619061</v>
      </c>
      <c r="P828" s="2">
        <f ca="1">INDEX(INDIRECT(_xlfn.CONCAT("weather.tbl[",P$1,"]")),MATCH(vp.tbl[[#This Row],[SDate]],weather.tbl[Date],0))</f>
        <v>-0.1</v>
      </c>
      <c r="Q828" s="2">
        <f ca="1">INDEX(INDIRECT(_xlfn.CONCAT("weather.tbl[",Q$1,"]")),MATCH(vp.tbl[[#This Row],[SDate]],weather.tbl[Date],0))</f>
        <v>-0.1</v>
      </c>
      <c r="R828" s="2">
        <f ca="1">INDEX(INDIRECT(_xlfn.CONCAT("weather.tbl[",R$1,"]")),MATCH(vp.tbl[[#This Row],[SDate]],weather.tbl[Date],0))</f>
        <v>-0.8</v>
      </c>
      <c r="S828" s="2">
        <f ca="1">INDEX(INDIRECT(_xlfn.CONCAT("weather.tbl[",S$1,"]")),MATCH(vp.tbl[[#This Row],[SDate]],weather.tbl[Date],0))</f>
        <v>-0.4</v>
      </c>
      <c r="T828" s="2">
        <f ca="1">INDEX(INDIRECT(_xlfn.CONCAT("weather.tbl[",T$1,"]")),MATCH(vp.tbl[[#This Row],[SDate]],weather.tbl[Date],0))</f>
        <v>0.2</v>
      </c>
      <c r="U828" s="2">
        <f ca="1">INDEX(INDIRECT(_xlfn.CONCAT("weather.tbl[",U$1,"]")),MATCH(vp.tbl[[#This Row],[SDate]],weather.tbl[Date],0))</f>
        <v>0</v>
      </c>
      <c r="V828" s="2">
        <v>5073.817</v>
      </c>
      <c r="W828" t="s">
        <v>48</v>
      </c>
      <c r="X828">
        <f>IF(OR(vp.tbl[[#This Row],[Sulf]]="",vp.tbl[[#This Row],[Dens]]=""),1,0)</f>
        <v>0</v>
      </c>
      <c r="Y828">
        <f>IF(vp.tbl[[#This Row],[CrudeType]]="C5+",1,0)</f>
        <v>0</v>
      </c>
      <c r="Z828">
        <f>IF(AND(vp.tbl[[#This Row],[CrudeType]]="Crude",vp.tbl[[#This Row],[Dens]]&lt;=825,vp.tbl[[#This Row],[Sulf]]&gt;0.5,vp.tbl[[#This Row],[Unknown]]=0),1,0)</f>
        <v>0</v>
      </c>
      <c r="AA828">
        <f>IF(AND(vp.tbl[[#This Row],[CrudeType]]="Crude",vp.tbl[[#This Row],[Dens]]&lt;=825,vp.tbl[[#This Row],[Sulf]]&lt;=0.5,vp.tbl[[#This Row],[Unknown]]=0),1,0)</f>
        <v>0</v>
      </c>
      <c r="AB828">
        <f>IF(AND(vp.tbl[[#This Row],[CrudeType]]="Crude",vp.tbl[[#This Row],[Dens]]&gt;825,vp.tbl[[#This Row],[Dens]]&lt;=870,vp.tbl[[#This Row],[Sulf]]&gt;0.5,vp.tbl[[#This Row],[Unknown]]=0),1,0)</f>
        <v>1</v>
      </c>
      <c r="AC828">
        <f>IF(AND(vp.tbl[[#This Row],[CrudeType]]="Crude",vp.tbl[[#This Row],[Dens]]&gt;825,vp.tbl[[#This Row],[Dens]]&lt;=900,vp.tbl[[#This Row],[Sulf]]&lt;=0.5,vp.tbl[[#This Row],[Unknown]]=0),1,0)</f>
        <v>0</v>
      </c>
      <c r="AD828">
        <f>IF(AND(vp.tbl[[#This Row],[CrudeType]]="Crude",vp.tbl[[#This Row],[Dens]]&gt;870,vp.tbl[[#This Row],[Dens]]&lt;=900,vp.tbl[[#This Row],[Sulf]]&gt;0.5,vp.tbl[[#This Row],[Unknown]]=0),1,0)</f>
        <v>0</v>
      </c>
      <c r="AE828">
        <f>IF(AND(vp.tbl[[#This Row],[CrudeType]]="Crude",vp.tbl[[#This Row],[Dens]]&gt;900,vp.tbl[[#This Row],[Sulf]]&lt;=0.5,vp.tbl[[#This Row],[Unknown]]=0),1,0)</f>
        <v>0</v>
      </c>
      <c r="AF828">
        <f>IF(AND(vp.tbl[[#This Row],[CrudeType]]="Crude",vp.tbl[[#This Row],[Dens]]&gt;900,vp.tbl[[#This Row],[Sulf]]&lt;=0.5,vp.tbl[[#This Row],[Unknown]]=0),1,0)</f>
        <v>0</v>
      </c>
      <c r="AG828" t="str">
        <f>INDEX(vp.tbl[[#Headers],[Unknown]:[Heavy_SW]],MATCH(1,vp.tbl[[#This Row],[Unknown]:[Heavy_SW]],0))</f>
        <v>Medium_LSB</v>
      </c>
      <c r="AH828" t="e">
        <f>INDEX([1]!crudeBD.lkup[Number],MATCH(vp.tbl[[#This Row],[Crude_Breakdown]],[1]!crudeBD.lkup[Crude Breakdown],0))</f>
        <v>#REF!</v>
      </c>
      <c r="AI828">
        <f>MONTH(vp.tbl[[#This Row],[SDate]])</f>
        <v>2</v>
      </c>
      <c r="AJ828" s="5">
        <f>IFERROR(vp.tbl[[#This Row],[Sulf]]*vp.tbl[[#This Row],[Net Dens]],"")</f>
        <v>11947695.3966482</v>
      </c>
      <c r="AK828" s="5">
        <f>IFERROR(vp.tbl[[#This Row],[Dens]]*vp.tbl[[#This Row],[VolumeM3]],"")</f>
        <v>4407117.4462000001</v>
      </c>
      <c r="AL828" s="5">
        <f>IFERROR(vp.tbl[[#This Row],[VP]]*vp.tbl[[#This Row],[VolumeM3]],"")</f>
        <v>354659.80830000003</v>
      </c>
      <c r="AM828" s="4">
        <f>IFERROR((vp.tbl[[#This Row],[VP]]-INDEX(crudeBD.lkup.complete[Mean_VP],MATCH(vp.tbl[[#This Row],[Crude_Breakdown]],crudeBD.lkup.complete[Crude Breakdown],0)))^2,"")</f>
        <v>105.54675292356906</v>
      </c>
      <c r="AN828" s="4">
        <f>IFERROR((vp.tbl[[#This Row],[Dens]]-INDEX(crudeBD.lkup.complete[Mean_Dens],MATCH(vp.tbl[[#This Row],[Crude_Breakdown]],crudeBD.lkup.complete[Crude Breakdown],0)))^2,"")</f>
        <v>543.2711250947433</v>
      </c>
      <c r="AO828" s="4">
        <f>IFERROR((vp.tbl[[#This Row],[Sulf]]-INDEX(crudeBD.lkup.complete[Mean_Sulf],MATCH(vp.tbl[[#This Row],[Crude_Breakdown]],crudeBD.lkup.complete[Crude Breakdown],0)))^2,"")</f>
        <v>1.5777121946916608</v>
      </c>
      <c r="AP828">
        <f>IF(AND(vp.tbl[[#This Row],[SDate]]&gt;=DATE(YEAR(vp.tbl[[#This Row],[SDate]]),5,1),vp.tbl[[#This Row],[SDate]]&lt;=DATE(YEAR(vp.tbl[[#This Row],[SDate]]),9,15)),1,0)</f>
        <v>0</v>
      </c>
      <c r="AQ828" s="15">
        <f>IF(vp.tbl[[#This Row],[SDate]]&lt;DATE(2016,12,1),0,1)</f>
        <v>1</v>
      </c>
    </row>
    <row r="829" spans="1:43" x14ac:dyDescent="0.25">
      <c r="A829">
        <v>828</v>
      </c>
      <c r="B829" t="s">
        <v>56</v>
      </c>
      <c r="C829" t="s">
        <v>56</v>
      </c>
      <c r="D829" t="s">
        <v>57</v>
      </c>
      <c r="F829" s="1">
        <v>42785</v>
      </c>
      <c r="G829" s="2">
        <v>83.2</v>
      </c>
      <c r="H829" s="2"/>
      <c r="I829" s="2">
        <v>1.69</v>
      </c>
      <c r="J829" s="2">
        <v>17.600000000000001</v>
      </c>
      <c r="K829" s="2">
        <v>1</v>
      </c>
      <c r="L829" s="2">
        <v>844.3</v>
      </c>
      <c r="M829" s="2">
        <v>844.3</v>
      </c>
      <c r="N829" s="2">
        <f ca="1">INDEX(INDIRECT(_xlfn.CONCAT("weather.tbl[",N$1,"]")),MATCH(vp.tbl[[#This Row],[SDate]],weather.tbl[Date],0))</f>
        <v>-0.19999999999999998</v>
      </c>
      <c r="O829" s="2">
        <f ca="1">INDEX(INDIRECT(_xlfn.CONCAT("weather.tbl[",O$1,"]")),MATCH(vp.tbl[[#This Row],[SDate]],weather.tbl[Date],0))</f>
        <v>-0.29047619047619061</v>
      </c>
      <c r="P829" s="2">
        <f ca="1">INDEX(INDIRECT(_xlfn.CONCAT("weather.tbl[",P$1,"]")),MATCH(vp.tbl[[#This Row],[SDate]],weather.tbl[Date],0))</f>
        <v>-0.1</v>
      </c>
      <c r="Q829" s="2">
        <f ca="1">INDEX(INDIRECT(_xlfn.CONCAT("weather.tbl[",Q$1,"]")),MATCH(vp.tbl[[#This Row],[SDate]],weather.tbl[Date],0))</f>
        <v>-0.1</v>
      </c>
      <c r="R829" s="2">
        <f ca="1">INDEX(INDIRECT(_xlfn.CONCAT("weather.tbl[",R$1,"]")),MATCH(vp.tbl[[#This Row],[SDate]],weather.tbl[Date],0))</f>
        <v>-0.8</v>
      </c>
      <c r="S829" s="2">
        <f ca="1">INDEX(INDIRECT(_xlfn.CONCAT("weather.tbl[",S$1,"]")),MATCH(vp.tbl[[#This Row],[SDate]],weather.tbl[Date],0))</f>
        <v>-0.4</v>
      </c>
      <c r="T829" s="2">
        <f ca="1">INDEX(INDIRECT(_xlfn.CONCAT("weather.tbl[",T$1,"]")),MATCH(vp.tbl[[#This Row],[SDate]],weather.tbl[Date],0))</f>
        <v>0.2</v>
      </c>
      <c r="U829" s="2">
        <f ca="1">INDEX(INDIRECT(_xlfn.CONCAT("weather.tbl[",U$1,"]")),MATCH(vp.tbl[[#This Row],[SDate]],weather.tbl[Date],0))</f>
        <v>0</v>
      </c>
      <c r="V829" s="2">
        <v>2751.2289999999998</v>
      </c>
      <c r="W829" t="s">
        <v>48</v>
      </c>
      <c r="X829">
        <f>IF(OR(vp.tbl[[#This Row],[Sulf]]="",vp.tbl[[#This Row],[Dens]]=""),1,0)</f>
        <v>0</v>
      </c>
      <c r="Y829">
        <f>IF(vp.tbl[[#This Row],[CrudeType]]="C5+",1,0)</f>
        <v>0</v>
      </c>
      <c r="Z829">
        <f>IF(AND(vp.tbl[[#This Row],[CrudeType]]="Crude",vp.tbl[[#This Row],[Dens]]&lt;=825,vp.tbl[[#This Row],[Sulf]]&gt;0.5,vp.tbl[[#This Row],[Unknown]]=0),1,0)</f>
        <v>0</v>
      </c>
      <c r="AA829">
        <f>IF(AND(vp.tbl[[#This Row],[CrudeType]]="Crude",vp.tbl[[#This Row],[Dens]]&lt;=825,vp.tbl[[#This Row],[Sulf]]&lt;=0.5,vp.tbl[[#This Row],[Unknown]]=0),1,0)</f>
        <v>0</v>
      </c>
      <c r="AB829">
        <f>IF(AND(vp.tbl[[#This Row],[CrudeType]]="Crude",vp.tbl[[#This Row],[Dens]]&gt;825,vp.tbl[[#This Row],[Dens]]&lt;=870,vp.tbl[[#This Row],[Sulf]]&gt;0.5,vp.tbl[[#This Row],[Unknown]]=0),1,0)</f>
        <v>1</v>
      </c>
      <c r="AC829">
        <f>IF(AND(vp.tbl[[#This Row],[CrudeType]]="Crude",vp.tbl[[#This Row],[Dens]]&gt;825,vp.tbl[[#This Row],[Dens]]&lt;=900,vp.tbl[[#This Row],[Sulf]]&lt;=0.5,vp.tbl[[#This Row],[Unknown]]=0),1,0)</f>
        <v>0</v>
      </c>
      <c r="AD829">
        <f>IF(AND(vp.tbl[[#This Row],[CrudeType]]="Crude",vp.tbl[[#This Row],[Dens]]&gt;870,vp.tbl[[#This Row],[Dens]]&lt;=900,vp.tbl[[#This Row],[Sulf]]&gt;0.5,vp.tbl[[#This Row],[Unknown]]=0),1,0)</f>
        <v>0</v>
      </c>
      <c r="AE829">
        <f>IF(AND(vp.tbl[[#This Row],[CrudeType]]="Crude",vp.tbl[[#This Row],[Dens]]&gt;900,vp.tbl[[#This Row],[Sulf]]&lt;=0.5,vp.tbl[[#This Row],[Unknown]]=0),1,0)</f>
        <v>0</v>
      </c>
      <c r="AF829">
        <f>IF(AND(vp.tbl[[#This Row],[CrudeType]]="Crude",vp.tbl[[#This Row],[Dens]]&gt;900,vp.tbl[[#This Row],[Sulf]]&lt;=0.5,vp.tbl[[#This Row],[Unknown]]=0),1,0)</f>
        <v>0</v>
      </c>
      <c r="AG829" t="str">
        <f>INDEX(vp.tbl[[#Headers],[Unknown]:[Heavy_SW]],MATCH(1,vp.tbl[[#This Row],[Unknown]:[Heavy_SW]],0))</f>
        <v>Medium_LSB</v>
      </c>
      <c r="AH829" t="e">
        <f>INDEX([1]!crudeBD.lkup[Number],MATCH(vp.tbl[[#This Row],[Crude_Breakdown]],[1]!crudeBD.lkup[Crude Breakdown],0))</f>
        <v>#REF!</v>
      </c>
      <c r="AI829">
        <f>MONTH(vp.tbl[[#This Row],[SDate]])</f>
        <v>2</v>
      </c>
      <c r="AJ829" s="5">
        <f>IFERROR(vp.tbl[[#This Row],[Sulf]]*vp.tbl[[#This Row],[Net Dens]],"")</f>
        <v>3925637.8695429992</v>
      </c>
      <c r="AK829" s="5">
        <f>IFERROR(vp.tbl[[#This Row],[Dens]]*vp.tbl[[#This Row],[VolumeM3]],"")</f>
        <v>2322862.6446999996</v>
      </c>
      <c r="AL829" s="5">
        <f>IFERROR(vp.tbl[[#This Row],[VP]]*vp.tbl[[#This Row],[VolumeM3]],"")</f>
        <v>228902.25279999999</v>
      </c>
      <c r="AM829" s="4">
        <f>IFERROR((vp.tbl[[#This Row],[VP]]-INDEX(crudeBD.lkup.complete[Mean_VP],MATCH(vp.tbl[[#This Row],[Crude_Breakdown]],crudeBD.lkup.complete[Crude Breakdown],0)))^2,"")</f>
        <v>9.1591276071144847</v>
      </c>
      <c r="AN829" s="4">
        <f>IFERROR((vp.tbl[[#This Row],[Dens]]-INDEX(crudeBD.lkup.complete[Mean_Dens],MATCH(vp.tbl[[#This Row],[Crude_Breakdown]],crudeBD.lkup.complete[Crude Breakdown],0)))^2,"")</f>
        <v>0.98371243646665163</v>
      </c>
      <c r="AO829" s="4">
        <f>IFERROR((vp.tbl[[#This Row],[Sulf]]-INDEX(crudeBD.lkup.complete[Mean_Sulf],MATCH(vp.tbl[[#This Row],[Crude_Breakdown]],crudeBD.lkup.complete[Crude Breakdown],0)))^2,"")</f>
        <v>5.5257970362550313E-2</v>
      </c>
      <c r="AP829">
        <f>IF(AND(vp.tbl[[#This Row],[SDate]]&gt;=DATE(YEAR(vp.tbl[[#This Row],[SDate]]),5,1),vp.tbl[[#This Row],[SDate]]&lt;=DATE(YEAR(vp.tbl[[#This Row],[SDate]]),9,15)),1,0)</f>
        <v>0</v>
      </c>
      <c r="AQ829" s="15">
        <f>IF(vp.tbl[[#This Row],[SDate]]&lt;DATE(2016,12,1),0,1)</f>
        <v>1</v>
      </c>
    </row>
    <row r="830" spans="1:43" x14ac:dyDescent="0.25">
      <c r="A830">
        <v>829</v>
      </c>
      <c r="B830" t="s">
        <v>51</v>
      </c>
      <c r="C830" t="s">
        <v>51</v>
      </c>
      <c r="D830" t="s">
        <v>126</v>
      </c>
      <c r="F830" s="1">
        <v>42785</v>
      </c>
      <c r="G830" s="2">
        <v>89.5</v>
      </c>
      <c r="H830" s="2"/>
      <c r="I830" s="2">
        <v>1.73</v>
      </c>
      <c r="J830" s="2">
        <v>21</v>
      </c>
      <c r="K830" s="2">
        <v>2</v>
      </c>
      <c r="L830" s="2">
        <v>849.3</v>
      </c>
      <c r="M830" s="2">
        <v>849.3</v>
      </c>
      <c r="N830" s="2">
        <f ca="1">INDEX(INDIRECT(_xlfn.CONCAT("weather.tbl[",N$1,"]")),MATCH(vp.tbl[[#This Row],[SDate]],weather.tbl[Date],0))</f>
        <v>-0.19999999999999998</v>
      </c>
      <c r="O830" s="2">
        <f ca="1">INDEX(INDIRECT(_xlfn.CONCAT("weather.tbl[",O$1,"]")),MATCH(vp.tbl[[#This Row],[SDate]],weather.tbl[Date],0))</f>
        <v>-0.29047619047619061</v>
      </c>
      <c r="P830" s="2">
        <f ca="1">INDEX(INDIRECT(_xlfn.CONCAT("weather.tbl[",P$1,"]")),MATCH(vp.tbl[[#This Row],[SDate]],weather.tbl[Date],0))</f>
        <v>-0.1</v>
      </c>
      <c r="Q830" s="2">
        <f ca="1">INDEX(INDIRECT(_xlfn.CONCAT("weather.tbl[",Q$1,"]")),MATCH(vp.tbl[[#This Row],[SDate]],weather.tbl[Date],0))</f>
        <v>-0.1</v>
      </c>
      <c r="R830" s="2">
        <f ca="1">INDEX(INDIRECT(_xlfn.CONCAT("weather.tbl[",R$1,"]")),MATCH(vp.tbl[[#This Row],[SDate]],weather.tbl[Date],0))</f>
        <v>-0.8</v>
      </c>
      <c r="S830" s="2">
        <f ca="1">INDEX(INDIRECT(_xlfn.CONCAT("weather.tbl[",S$1,"]")),MATCH(vp.tbl[[#This Row],[SDate]],weather.tbl[Date],0))</f>
        <v>-0.4</v>
      </c>
      <c r="T830" s="2">
        <f ca="1">INDEX(INDIRECT(_xlfn.CONCAT("weather.tbl[",T$1,"]")),MATCH(vp.tbl[[#This Row],[SDate]],weather.tbl[Date],0))</f>
        <v>0.2</v>
      </c>
      <c r="U830" s="2">
        <f ca="1">INDEX(INDIRECT(_xlfn.CONCAT("weather.tbl[",U$1,"]")),MATCH(vp.tbl[[#This Row],[SDate]],weather.tbl[Date],0))</f>
        <v>0</v>
      </c>
      <c r="V830" s="2">
        <v>1058.9190000000001</v>
      </c>
      <c r="W830" t="s">
        <v>48</v>
      </c>
      <c r="X830">
        <f>IF(OR(vp.tbl[[#This Row],[Sulf]]="",vp.tbl[[#This Row],[Dens]]=""),1,0)</f>
        <v>0</v>
      </c>
      <c r="Y830">
        <f>IF(vp.tbl[[#This Row],[CrudeType]]="C5+",1,0)</f>
        <v>0</v>
      </c>
      <c r="Z830">
        <f>IF(AND(vp.tbl[[#This Row],[CrudeType]]="Crude",vp.tbl[[#This Row],[Dens]]&lt;=825,vp.tbl[[#This Row],[Sulf]]&gt;0.5,vp.tbl[[#This Row],[Unknown]]=0),1,0)</f>
        <v>0</v>
      </c>
      <c r="AA830">
        <f>IF(AND(vp.tbl[[#This Row],[CrudeType]]="Crude",vp.tbl[[#This Row],[Dens]]&lt;=825,vp.tbl[[#This Row],[Sulf]]&lt;=0.5,vp.tbl[[#This Row],[Unknown]]=0),1,0)</f>
        <v>0</v>
      </c>
      <c r="AB830">
        <f>IF(AND(vp.tbl[[#This Row],[CrudeType]]="Crude",vp.tbl[[#This Row],[Dens]]&gt;825,vp.tbl[[#This Row],[Dens]]&lt;=870,vp.tbl[[#This Row],[Sulf]]&gt;0.5,vp.tbl[[#This Row],[Unknown]]=0),1,0)</f>
        <v>1</v>
      </c>
      <c r="AC830">
        <f>IF(AND(vp.tbl[[#This Row],[CrudeType]]="Crude",vp.tbl[[#This Row],[Dens]]&gt;825,vp.tbl[[#This Row],[Dens]]&lt;=900,vp.tbl[[#This Row],[Sulf]]&lt;=0.5,vp.tbl[[#This Row],[Unknown]]=0),1,0)</f>
        <v>0</v>
      </c>
      <c r="AD830">
        <f>IF(AND(vp.tbl[[#This Row],[CrudeType]]="Crude",vp.tbl[[#This Row],[Dens]]&gt;870,vp.tbl[[#This Row],[Dens]]&lt;=900,vp.tbl[[#This Row],[Sulf]]&gt;0.5,vp.tbl[[#This Row],[Unknown]]=0),1,0)</f>
        <v>0</v>
      </c>
      <c r="AE830">
        <f>IF(AND(vp.tbl[[#This Row],[CrudeType]]="Crude",vp.tbl[[#This Row],[Dens]]&gt;900,vp.tbl[[#This Row],[Sulf]]&lt;=0.5,vp.tbl[[#This Row],[Unknown]]=0),1,0)</f>
        <v>0</v>
      </c>
      <c r="AF830">
        <f>IF(AND(vp.tbl[[#This Row],[CrudeType]]="Crude",vp.tbl[[#This Row],[Dens]]&gt;900,vp.tbl[[#This Row],[Sulf]]&lt;=0.5,vp.tbl[[#This Row],[Unknown]]=0),1,0)</f>
        <v>0</v>
      </c>
      <c r="AG830" t="str">
        <f>INDEX(vp.tbl[[#Headers],[Unknown]:[Heavy_SW]],MATCH(1,vp.tbl[[#This Row],[Unknown]:[Heavy_SW]],0))</f>
        <v>Medium_LSB</v>
      </c>
      <c r="AH830" t="e">
        <f>INDEX([1]!crudeBD.lkup[Number],MATCH(vp.tbl[[#This Row],[Crude_Breakdown]],[1]!crudeBD.lkup[Crude Breakdown],0))</f>
        <v>#REF!</v>
      </c>
      <c r="AI830">
        <f>MONTH(vp.tbl[[#This Row],[SDate]])</f>
        <v>2</v>
      </c>
      <c r="AJ830" s="5">
        <f>IFERROR(vp.tbl[[#This Row],[Sulf]]*vp.tbl[[#This Row],[Net Dens]],"")</f>
        <v>1555858.038591</v>
      </c>
      <c r="AK830" s="5">
        <f>IFERROR(vp.tbl[[#This Row],[Dens]]*vp.tbl[[#This Row],[VolumeM3]],"")</f>
        <v>899339.90670000005</v>
      </c>
      <c r="AL830" s="5">
        <f>IFERROR(vp.tbl[[#This Row],[VP]]*vp.tbl[[#This Row],[VolumeM3]],"")</f>
        <v>94773.250500000009</v>
      </c>
      <c r="AM830" s="4">
        <f>IFERROR((vp.tbl[[#This Row],[VP]]-INDEX(crudeBD.lkup.complete[Mean_VP],MATCH(vp.tbl[[#This Row],[Crude_Breakdown]],crudeBD.lkup.complete[Crude Breakdown],0)))^2,"")</f>
        <v>86.981831404583289</v>
      </c>
      <c r="AN830" s="4">
        <f>IFERROR((vp.tbl[[#This Row],[Dens]]-INDEX(crudeBD.lkup.complete[Mean_Dens],MATCH(vp.tbl[[#This Row],[Crude_Breakdown]],crudeBD.lkup.complete[Crude Breakdown],0)))^2,"")</f>
        <v>16.065484588374776</v>
      </c>
      <c r="AO830" s="4">
        <f>IFERROR((vp.tbl[[#This Row],[Sulf]]-INDEX(crudeBD.lkup.complete[Mean_Sulf],MATCH(vp.tbl[[#This Row],[Crude_Breakdown]],crudeBD.lkup.complete[Crude Breakdown],0)))^2,"")</f>
        <v>7.5663581501790714E-2</v>
      </c>
      <c r="AP830">
        <f>IF(AND(vp.tbl[[#This Row],[SDate]]&gt;=DATE(YEAR(vp.tbl[[#This Row],[SDate]]),5,1),vp.tbl[[#This Row],[SDate]]&lt;=DATE(YEAR(vp.tbl[[#This Row],[SDate]]),9,15)),1,0)</f>
        <v>0</v>
      </c>
      <c r="AQ830" s="15">
        <f>IF(vp.tbl[[#This Row],[SDate]]&lt;DATE(2016,12,1),0,1)</f>
        <v>1</v>
      </c>
    </row>
    <row r="831" spans="1:43" x14ac:dyDescent="0.25">
      <c r="A831">
        <v>830</v>
      </c>
      <c r="B831" t="s">
        <v>132</v>
      </c>
      <c r="C831" t="s">
        <v>132</v>
      </c>
      <c r="D831" t="s">
        <v>133</v>
      </c>
      <c r="F831" s="1">
        <v>42785</v>
      </c>
      <c r="G831" s="2">
        <v>91.1</v>
      </c>
      <c r="H831" s="2"/>
      <c r="I831" s="2">
        <v>2.0099999999999998</v>
      </c>
      <c r="J831" s="2">
        <v>23.1</v>
      </c>
      <c r="K831" s="2">
        <v>2</v>
      </c>
      <c r="L831" s="2">
        <v>857.2</v>
      </c>
      <c r="M831" s="2">
        <v>857.2</v>
      </c>
      <c r="N831" s="2">
        <f ca="1">INDEX(INDIRECT(_xlfn.CONCAT("weather.tbl[",N$1,"]")),MATCH(vp.tbl[[#This Row],[SDate]],weather.tbl[Date],0))</f>
        <v>-0.19999999999999998</v>
      </c>
      <c r="O831" s="2">
        <f ca="1">INDEX(INDIRECT(_xlfn.CONCAT("weather.tbl[",O$1,"]")),MATCH(vp.tbl[[#This Row],[SDate]],weather.tbl[Date],0))</f>
        <v>-0.29047619047619061</v>
      </c>
      <c r="P831" s="2">
        <f ca="1">INDEX(INDIRECT(_xlfn.CONCAT("weather.tbl[",P$1,"]")),MATCH(vp.tbl[[#This Row],[SDate]],weather.tbl[Date],0))</f>
        <v>-0.1</v>
      </c>
      <c r="Q831" s="2">
        <f ca="1">INDEX(INDIRECT(_xlfn.CONCAT("weather.tbl[",Q$1,"]")),MATCH(vp.tbl[[#This Row],[SDate]],weather.tbl[Date],0))</f>
        <v>-0.1</v>
      </c>
      <c r="R831" s="2">
        <f ca="1">INDEX(INDIRECT(_xlfn.CONCAT("weather.tbl[",R$1,"]")),MATCH(vp.tbl[[#This Row],[SDate]],weather.tbl[Date],0))</f>
        <v>-0.8</v>
      </c>
      <c r="S831" s="2">
        <f ca="1">INDEX(INDIRECT(_xlfn.CONCAT("weather.tbl[",S$1,"]")),MATCH(vp.tbl[[#This Row],[SDate]],weather.tbl[Date],0))</f>
        <v>-0.4</v>
      </c>
      <c r="T831" s="2">
        <f ca="1">INDEX(INDIRECT(_xlfn.CONCAT("weather.tbl[",T$1,"]")),MATCH(vp.tbl[[#This Row],[SDate]],weather.tbl[Date],0))</f>
        <v>0.2</v>
      </c>
      <c r="U831" s="2">
        <f ca="1">INDEX(INDIRECT(_xlfn.CONCAT("weather.tbl[",U$1,"]")),MATCH(vp.tbl[[#This Row],[SDate]],weather.tbl[Date],0))</f>
        <v>0</v>
      </c>
      <c r="V831" s="2">
        <v>2599.2350000000001</v>
      </c>
      <c r="W831" t="s">
        <v>48</v>
      </c>
      <c r="X831">
        <f>IF(OR(vp.tbl[[#This Row],[Sulf]]="",vp.tbl[[#This Row],[Dens]]=""),1,0)</f>
        <v>0</v>
      </c>
      <c r="Y831">
        <f>IF(vp.tbl[[#This Row],[CrudeType]]="C5+",1,0)</f>
        <v>0</v>
      </c>
      <c r="Z831">
        <f>IF(AND(vp.tbl[[#This Row],[CrudeType]]="Crude",vp.tbl[[#This Row],[Dens]]&lt;=825,vp.tbl[[#This Row],[Sulf]]&gt;0.5,vp.tbl[[#This Row],[Unknown]]=0),1,0)</f>
        <v>0</v>
      </c>
      <c r="AA831">
        <f>IF(AND(vp.tbl[[#This Row],[CrudeType]]="Crude",vp.tbl[[#This Row],[Dens]]&lt;=825,vp.tbl[[#This Row],[Sulf]]&lt;=0.5,vp.tbl[[#This Row],[Unknown]]=0),1,0)</f>
        <v>0</v>
      </c>
      <c r="AB831">
        <f>IF(AND(vp.tbl[[#This Row],[CrudeType]]="Crude",vp.tbl[[#This Row],[Dens]]&gt;825,vp.tbl[[#This Row],[Dens]]&lt;=870,vp.tbl[[#This Row],[Sulf]]&gt;0.5,vp.tbl[[#This Row],[Unknown]]=0),1,0)</f>
        <v>1</v>
      </c>
      <c r="AC831">
        <f>IF(AND(vp.tbl[[#This Row],[CrudeType]]="Crude",vp.tbl[[#This Row],[Dens]]&gt;825,vp.tbl[[#This Row],[Dens]]&lt;=900,vp.tbl[[#This Row],[Sulf]]&lt;=0.5,vp.tbl[[#This Row],[Unknown]]=0),1,0)</f>
        <v>0</v>
      </c>
      <c r="AD831">
        <f>IF(AND(vp.tbl[[#This Row],[CrudeType]]="Crude",vp.tbl[[#This Row],[Dens]]&gt;870,vp.tbl[[#This Row],[Dens]]&lt;=900,vp.tbl[[#This Row],[Sulf]]&gt;0.5,vp.tbl[[#This Row],[Unknown]]=0),1,0)</f>
        <v>0</v>
      </c>
      <c r="AE831">
        <f>IF(AND(vp.tbl[[#This Row],[CrudeType]]="Crude",vp.tbl[[#This Row],[Dens]]&gt;900,vp.tbl[[#This Row],[Sulf]]&lt;=0.5,vp.tbl[[#This Row],[Unknown]]=0),1,0)</f>
        <v>0</v>
      </c>
      <c r="AF831">
        <f>IF(AND(vp.tbl[[#This Row],[CrudeType]]="Crude",vp.tbl[[#This Row],[Dens]]&gt;900,vp.tbl[[#This Row],[Sulf]]&lt;=0.5,vp.tbl[[#This Row],[Unknown]]=0),1,0)</f>
        <v>0</v>
      </c>
      <c r="AG831" t="str">
        <f>INDEX(vp.tbl[[#Headers],[Unknown]:[Heavy_SW]],MATCH(1,vp.tbl[[#This Row],[Unknown]:[Heavy_SW]],0))</f>
        <v>Medium_LSB</v>
      </c>
      <c r="AH831" t="e">
        <f>INDEX([1]!crudeBD.lkup[Number],MATCH(vp.tbl[[#This Row],[Crude_Breakdown]],[1]!crudeBD.lkup[Crude Breakdown],0))</f>
        <v>#REF!</v>
      </c>
      <c r="AI831">
        <f>MONTH(vp.tbl[[#This Row],[SDate]])</f>
        <v>2</v>
      </c>
      <c r="AJ831" s="5">
        <f>IFERROR(vp.tbl[[#This Row],[Sulf]]*vp.tbl[[#This Row],[Net Dens]],"")</f>
        <v>4478409.1264199996</v>
      </c>
      <c r="AK831" s="5">
        <f>IFERROR(vp.tbl[[#This Row],[Dens]]*vp.tbl[[#This Row],[VolumeM3]],"")</f>
        <v>2228064.2420000001</v>
      </c>
      <c r="AL831" s="5">
        <f>IFERROR(vp.tbl[[#This Row],[VP]]*vp.tbl[[#This Row],[VolumeM3]],"")</f>
        <v>236790.30849999998</v>
      </c>
      <c r="AM831" s="4">
        <f>IFERROR((vp.tbl[[#This Row],[VP]]-INDEX(crudeBD.lkup.complete[Mean_VP],MATCH(vp.tbl[[#This Row],[Crude_Breakdown]],crudeBD.lkup.complete[Crude Breakdown],0)))^2,"")</f>
        <v>119.38632760711492</v>
      </c>
      <c r="AN831" s="4">
        <f>IFERROR((vp.tbl[[#This Row],[Dens]]-INDEX(crudeBD.lkup.complete[Mean_Dens],MATCH(vp.tbl[[#This Row],[Crude_Breakdown]],crudeBD.lkup.complete[Crude Breakdown],0)))^2,"")</f>
        <v>141.80468458839178</v>
      </c>
      <c r="AO831" s="4">
        <f>IFERROR((vp.tbl[[#This Row],[Sulf]]-INDEX(crudeBD.lkup.complete[Mean_Sulf],MATCH(vp.tbl[[#This Row],[Crude_Breakdown]],crudeBD.lkup.complete[Crude Breakdown],0)))^2,"")</f>
        <v>0.3081028594764732</v>
      </c>
      <c r="AP831">
        <f>IF(AND(vp.tbl[[#This Row],[SDate]]&gt;=DATE(YEAR(vp.tbl[[#This Row],[SDate]]),5,1),vp.tbl[[#This Row],[SDate]]&lt;=DATE(YEAR(vp.tbl[[#This Row],[SDate]]),9,15)),1,0)</f>
        <v>0</v>
      </c>
      <c r="AQ831" s="15">
        <f>IF(vp.tbl[[#This Row],[SDate]]&lt;DATE(2016,12,1),0,1)</f>
        <v>1</v>
      </c>
    </row>
    <row r="832" spans="1:43" x14ac:dyDescent="0.25">
      <c r="A832">
        <v>831</v>
      </c>
      <c r="B832" t="s">
        <v>51</v>
      </c>
      <c r="C832" t="s">
        <v>51</v>
      </c>
      <c r="D832" t="s">
        <v>52</v>
      </c>
      <c r="F832" s="1">
        <v>42785</v>
      </c>
      <c r="G832" s="2">
        <v>76.400000000000006</v>
      </c>
      <c r="H832" s="2"/>
      <c r="I832" s="2">
        <v>2.46</v>
      </c>
      <c r="J832" s="2">
        <v>29.1</v>
      </c>
      <c r="K832" s="2">
        <v>1</v>
      </c>
      <c r="L832" s="2">
        <v>861.7</v>
      </c>
      <c r="M832" s="2">
        <v>861.7</v>
      </c>
      <c r="N832" s="2">
        <f ca="1">INDEX(INDIRECT(_xlfn.CONCAT("weather.tbl[",N$1,"]")),MATCH(vp.tbl[[#This Row],[SDate]],weather.tbl[Date],0))</f>
        <v>-0.19999999999999998</v>
      </c>
      <c r="O832" s="2">
        <f ca="1">INDEX(INDIRECT(_xlfn.CONCAT("weather.tbl[",O$1,"]")),MATCH(vp.tbl[[#This Row],[SDate]],weather.tbl[Date],0))</f>
        <v>-0.29047619047619061</v>
      </c>
      <c r="P832" s="2">
        <f ca="1">INDEX(INDIRECT(_xlfn.CONCAT("weather.tbl[",P$1,"]")),MATCH(vp.tbl[[#This Row],[SDate]],weather.tbl[Date],0))</f>
        <v>-0.1</v>
      </c>
      <c r="Q832" s="2">
        <f ca="1">INDEX(INDIRECT(_xlfn.CONCAT("weather.tbl[",Q$1,"]")),MATCH(vp.tbl[[#This Row],[SDate]],weather.tbl[Date],0))</f>
        <v>-0.1</v>
      </c>
      <c r="R832" s="2">
        <f ca="1">INDEX(INDIRECT(_xlfn.CONCAT("weather.tbl[",R$1,"]")),MATCH(vp.tbl[[#This Row],[SDate]],weather.tbl[Date],0))</f>
        <v>-0.8</v>
      </c>
      <c r="S832" s="2">
        <f ca="1">INDEX(INDIRECT(_xlfn.CONCAT("weather.tbl[",S$1,"]")),MATCH(vp.tbl[[#This Row],[SDate]],weather.tbl[Date],0))</f>
        <v>-0.4</v>
      </c>
      <c r="T832" s="2">
        <f ca="1">INDEX(INDIRECT(_xlfn.CONCAT("weather.tbl[",T$1,"]")),MATCH(vp.tbl[[#This Row],[SDate]],weather.tbl[Date],0))</f>
        <v>0.2</v>
      </c>
      <c r="U832" s="2">
        <f ca="1">INDEX(INDIRECT(_xlfn.CONCAT("weather.tbl[",U$1,"]")),MATCH(vp.tbl[[#This Row],[SDate]],weather.tbl[Date],0))</f>
        <v>0</v>
      </c>
      <c r="V832" s="2">
        <v>6655.18</v>
      </c>
      <c r="W832" t="s">
        <v>48</v>
      </c>
      <c r="X832">
        <f>IF(OR(vp.tbl[[#This Row],[Sulf]]="",vp.tbl[[#This Row],[Dens]]=""),1,0)</f>
        <v>0</v>
      </c>
      <c r="Y832">
        <f>IF(vp.tbl[[#This Row],[CrudeType]]="C5+",1,0)</f>
        <v>0</v>
      </c>
      <c r="Z832">
        <f>IF(AND(vp.tbl[[#This Row],[CrudeType]]="Crude",vp.tbl[[#This Row],[Dens]]&lt;=825,vp.tbl[[#This Row],[Sulf]]&gt;0.5,vp.tbl[[#This Row],[Unknown]]=0),1,0)</f>
        <v>0</v>
      </c>
      <c r="AA832">
        <f>IF(AND(vp.tbl[[#This Row],[CrudeType]]="Crude",vp.tbl[[#This Row],[Dens]]&lt;=825,vp.tbl[[#This Row],[Sulf]]&lt;=0.5,vp.tbl[[#This Row],[Unknown]]=0),1,0)</f>
        <v>0</v>
      </c>
      <c r="AB832">
        <f>IF(AND(vp.tbl[[#This Row],[CrudeType]]="Crude",vp.tbl[[#This Row],[Dens]]&gt;825,vp.tbl[[#This Row],[Dens]]&lt;=870,vp.tbl[[#This Row],[Sulf]]&gt;0.5,vp.tbl[[#This Row],[Unknown]]=0),1,0)</f>
        <v>1</v>
      </c>
      <c r="AC832">
        <f>IF(AND(vp.tbl[[#This Row],[CrudeType]]="Crude",vp.tbl[[#This Row],[Dens]]&gt;825,vp.tbl[[#This Row],[Dens]]&lt;=900,vp.tbl[[#This Row],[Sulf]]&lt;=0.5,vp.tbl[[#This Row],[Unknown]]=0),1,0)</f>
        <v>0</v>
      </c>
      <c r="AD832">
        <f>IF(AND(vp.tbl[[#This Row],[CrudeType]]="Crude",vp.tbl[[#This Row],[Dens]]&gt;870,vp.tbl[[#This Row],[Dens]]&lt;=900,vp.tbl[[#This Row],[Sulf]]&gt;0.5,vp.tbl[[#This Row],[Unknown]]=0),1,0)</f>
        <v>0</v>
      </c>
      <c r="AE832">
        <f>IF(AND(vp.tbl[[#This Row],[CrudeType]]="Crude",vp.tbl[[#This Row],[Dens]]&gt;900,vp.tbl[[#This Row],[Sulf]]&lt;=0.5,vp.tbl[[#This Row],[Unknown]]=0),1,0)</f>
        <v>0</v>
      </c>
      <c r="AF832">
        <f>IF(AND(vp.tbl[[#This Row],[CrudeType]]="Crude",vp.tbl[[#This Row],[Dens]]&gt;900,vp.tbl[[#This Row],[Sulf]]&lt;=0.5,vp.tbl[[#This Row],[Unknown]]=0),1,0)</f>
        <v>0</v>
      </c>
      <c r="AG832" t="str">
        <f>INDEX(vp.tbl[[#Headers],[Unknown]:[Heavy_SW]],MATCH(1,vp.tbl[[#This Row],[Unknown]:[Heavy_SW]],0))</f>
        <v>Medium_LSB</v>
      </c>
      <c r="AH832" t="e">
        <f>INDEX([1]!crudeBD.lkup[Number],MATCH(vp.tbl[[#This Row],[Crude_Breakdown]],[1]!crudeBD.lkup[Crude Breakdown],0))</f>
        <v>#REF!</v>
      </c>
      <c r="AI832">
        <f>MONTH(vp.tbl[[#This Row],[SDate]])</f>
        <v>2</v>
      </c>
      <c r="AJ832" s="5">
        <f>IFERROR(vp.tbl[[#This Row],[Sulf]]*vp.tbl[[#This Row],[Net Dens]],"")</f>
        <v>14107530.770760002</v>
      </c>
      <c r="AK832" s="5">
        <f>IFERROR(vp.tbl[[#This Row],[Dens]]*vp.tbl[[#This Row],[VolumeM3]],"")</f>
        <v>5734768.6060000006</v>
      </c>
      <c r="AL832" s="5">
        <f>IFERROR(vp.tbl[[#This Row],[VP]]*vp.tbl[[#This Row],[VolumeM3]],"")</f>
        <v>508455.75200000004</v>
      </c>
      <c r="AM832" s="4">
        <f>IFERROR((vp.tbl[[#This Row],[VP]]-INDEX(crudeBD.lkup.complete[Mean_VP],MATCH(vp.tbl[[#This Row],[Crude_Breakdown]],crudeBD.lkup.complete[Crude Breakdown],0)))^2,"")</f>
        <v>14.24001874635443</v>
      </c>
      <c r="AN832" s="4">
        <f>IFERROR((vp.tbl[[#This Row],[Dens]]-INDEX(crudeBD.lkup.complete[Mean_Dens],MATCH(vp.tbl[[#This Row],[Crude_Breakdown]],crudeBD.lkup.complete[Crude Breakdown],0)))^2,"")</f>
        <v>269.22827952510994</v>
      </c>
      <c r="AO832" s="4">
        <f>IFERROR((vp.tbl[[#This Row],[Sulf]]-INDEX(crudeBD.lkup.complete[Mean_Sulf],MATCH(vp.tbl[[#This Row],[Crude_Breakdown]],crudeBD.lkup.complete[Crude Breakdown],0)))^2,"")</f>
        <v>1.0101659847929276</v>
      </c>
      <c r="AP832">
        <f>IF(AND(vp.tbl[[#This Row],[SDate]]&gt;=DATE(YEAR(vp.tbl[[#This Row],[SDate]]),5,1),vp.tbl[[#This Row],[SDate]]&lt;=DATE(YEAR(vp.tbl[[#This Row],[SDate]]),9,15)),1,0)</f>
        <v>0</v>
      </c>
      <c r="AQ832" s="15">
        <f>IF(vp.tbl[[#This Row],[SDate]]&lt;DATE(2016,12,1),0,1)</f>
        <v>1</v>
      </c>
    </row>
    <row r="833" spans="1:43" x14ac:dyDescent="0.25">
      <c r="A833">
        <v>832</v>
      </c>
      <c r="B833" t="s">
        <v>46</v>
      </c>
      <c r="C833" t="s">
        <v>46</v>
      </c>
      <c r="D833" t="s">
        <v>47</v>
      </c>
      <c r="F833" s="1">
        <v>42785</v>
      </c>
      <c r="G833" s="2">
        <v>59.9</v>
      </c>
      <c r="H833" s="2"/>
      <c r="I833" s="2">
        <v>2.39</v>
      </c>
      <c r="J833" s="2">
        <v>28.5</v>
      </c>
      <c r="K833" s="2">
        <v>2</v>
      </c>
      <c r="L833" s="2">
        <v>867.3</v>
      </c>
      <c r="M833" s="2">
        <v>867.3</v>
      </c>
      <c r="N833" s="2">
        <f ca="1">INDEX(INDIRECT(_xlfn.CONCAT("weather.tbl[",N$1,"]")),MATCH(vp.tbl[[#This Row],[SDate]],weather.tbl[Date],0))</f>
        <v>-0.19999999999999998</v>
      </c>
      <c r="O833" s="2">
        <f ca="1">INDEX(INDIRECT(_xlfn.CONCAT("weather.tbl[",O$1,"]")),MATCH(vp.tbl[[#This Row],[SDate]],weather.tbl[Date],0))</f>
        <v>-0.29047619047619061</v>
      </c>
      <c r="P833" s="2">
        <f ca="1">INDEX(INDIRECT(_xlfn.CONCAT("weather.tbl[",P$1,"]")),MATCH(vp.tbl[[#This Row],[SDate]],weather.tbl[Date],0))</f>
        <v>-0.1</v>
      </c>
      <c r="Q833" s="2">
        <f ca="1">INDEX(INDIRECT(_xlfn.CONCAT("weather.tbl[",Q$1,"]")),MATCH(vp.tbl[[#This Row],[SDate]],weather.tbl[Date],0))</f>
        <v>-0.1</v>
      </c>
      <c r="R833" s="2">
        <f ca="1">INDEX(INDIRECT(_xlfn.CONCAT("weather.tbl[",R$1,"]")),MATCH(vp.tbl[[#This Row],[SDate]],weather.tbl[Date],0))</f>
        <v>-0.8</v>
      </c>
      <c r="S833" s="2">
        <f ca="1">INDEX(INDIRECT(_xlfn.CONCAT("weather.tbl[",S$1,"]")),MATCH(vp.tbl[[#This Row],[SDate]],weather.tbl[Date],0))</f>
        <v>-0.4</v>
      </c>
      <c r="T833" s="2">
        <f ca="1">INDEX(INDIRECT(_xlfn.CONCAT("weather.tbl[",T$1,"]")),MATCH(vp.tbl[[#This Row],[SDate]],weather.tbl[Date],0))</f>
        <v>0.2</v>
      </c>
      <c r="U833" s="2">
        <f ca="1">INDEX(INDIRECT(_xlfn.CONCAT("weather.tbl[",U$1,"]")),MATCH(vp.tbl[[#This Row],[SDate]],weather.tbl[Date],0))</f>
        <v>0</v>
      </c>
      <c r="V833" s="2">
        <v>104905.11500000001</v>
      </c>
      <c r="W833" t="s">
        <v>48</v>
      </c>
      <c r="X833">
        <f>IF(OR(vp.tbl[[#This Row],[Sulf]]="",vp.tbl[[#This Row],[Dens]]=""),1,0)</f>
        <v>0</v>
      </c>
      <c r="Y833">
        <f>IF(vp.tbl[[#This Row],[CrudeType]]="C5+",1,0)</f>
        <v>0</v>
      </c>
      <c r="Z833">
        <f>IF(AND(vp.tbl[[#This Row],[CrudeType]]="Crude",vp.tbl[[#This Row],[Dens]]&lt;=825,vp.tbl[[#This Row],[Sulf]]&gt;0.5,vp.tbl[[#This Row],[Unknown]]=0),1,0)</f>
        <v>0</v>
      </c>
      <c r="AA833">
        <f>IF(AND(vp.tbl[[#This Row],[CrudeType]]="Crude",vp.tbl[[#This Row],[Dens]]&lt;=825,vp.tbl[[#This Row],[Sulf]]&lt;=0.5,vp.tbl[[#This Row],[Unknown]]=0),1,0)</f>
        <v>0</v>
      </c>
      <c r="AB833">
        <f>IF(AND(vp.tbl[[#This Row],[CrudeType]]="Crude",vp.tbl[[#This Row],[Dens]]&gt;825,vp.tbl[[#This Row],[Dens]]&lt;=870,vp.tbl[[#This Row],[Sulf]]&gt;0.5,vp.tbl[[#This Row],[Unknown]]=0),1,0)</f>
        <v>1</v>
      </c>
      <c r="AC833">
        <f>IF(AND(vp.tbl[[#This Row],[CrudeType]]="Crude",vp.tbl[[#This Row],[Dens]]&gt;825,vp.tbl[[#This Row],[Dens]]&lt;=900,vp.tbl[[#This Row],[Sulf]]&lt;=0.5,vp.tbl[[#This Row],[Unknown]]=0),1,0)</f>
        <v>0</v>
      </c>
      <c r="AD833">
        <f>IF(AND(vp.tbl[[#This Row],[CrudeType]]="Crude",vp.tbl[[#This Row],[Dens]]&gt;870,vp.tbl[[#This Row],[Dens]]&lt;=900,vp.tbl[[#This Row],[Sulf]]&gt;0.5,vp.tbl[[#This Row],[Unknown]]=0),1,0)</f>
        <v>0</v>
      </c>
      <c r="AE833">
        <f>IF(AND(vp.tbl[[#This Row],[CrudeType]]="Crude",vp.tbl[[#This Row],[Dens]]&gt;900,vp.tbl[[#This Row],[Sulf]]&lt;=0.5,vp.tbl[[#This Row],[Unknown]]=0),1,0)</f>
        <v>0</v>
      </c>
      <c r="AF833">
        <f>IF(AND(vp.tbl[[#This Row],[CrudeType]]="Crude",vp.tbl[[#This Row],[Dens]]&gt;900,vp.tbl[[#This Row],[Sulf]]&lt;=0.5,vp.tbl[[#This Row],[Unknown]]=0),1,0)</f>
        <v>0</v>
      </c>
      <c r="AG833" t="str">
        <f>INDEX(vp.tbl[[#Headers],[Unknown]:[Heavy_SW]],MATCH(1,vp.tbl[[#This Row],[Unknown]:[Heavy_SW]],0))</f>
        <v>Medium_LSB</v>
      </c>
      <c r="AH833" t="e">
        <f>INDEX([1]!crudeBD.lkup[Number],MATCH(vp.tbl[[#This Row],[Crude_Breakdown]],[1]!crudeBD.lkup[Crude Breakdown],0))</f>
        <v>#REF!</v>
      </c>
      <c r="AI833">
        <f>MONTH(vp.tbl[[#This Row],[SDate]])</f>
        <v>2</v>
      </c>
      <c r="AJ833" s="5">
        <f>IFERROR(vp.tbl[[#This Row],[Sulf]]*vp.tbl[[#This Row],[Net Dens]],"")</f>
        <v>217452252.91240501</v>
      </c>
      <c r="AK833" s="5">
        <f>IFERROR(vp.tbl[[#This Row],[Dens]]*vp.tbl[[#This Row],[VolumeM3]],"")</f>
        <v>90984206.239500001</v>
      </c>
      <c r="AL833" s="5">
        <f>IFERROR(vp.tbl[[#This Row],[VP]]*vp.tbl[[#This Row],[VolumeM3]],"")</f>
        <v>6283816.3885000004</v>
      </c>
      <c r="AM833" s="4">
        <f>IFERROR((vp.tbl[[#This Row],[VP]]-INDEX(crudeBD.lkup.complete[Mean_VP],MATCH(vp.tbl[[#This Row],[Crude_Breakdown]],crudeBD.lkup.complete[Crude Breakdown],0)))^2,"")</f>
        <v>411.01865165774569</v>
      </c>
      <c r="AN833" s="4">
        <f>IFERROR((vp.tbl[[#This Row],[Dens]]-INDEX(crudeBD.lkup.complete[Mean_Dens],MATCH(vp.tbl[[#This Row],[Crude_Breakdown]],crudeBD.lkup.complete[Crude Breakdown],0)))^2,"")</f>
        <v>484.35986433524403</v>
      </c>
      <c r="AO833" s="4">
        <f>IFERROR((vp.tbl[[#This Row],[Sulf]]-INDEX(crudeBD.lkup.complete[Mean_Sulf],MATCH(vp.tbl[[#This Row],[Crude_Breakdown]],crudeBD.lkup.complete[Crude Breakdown],0)))^2,"")</f>
        <v>0.8743561652992573</v>
      </c>
      <c r="AP833">
        <f>IF(AND(vp.tbl[[#This Row],[SDate]]&gt;=DATE(YEAR(vp.tbl[[#This Row],[SDate]]),5,1),vp.tbl[[#This Row],[SDate]]&lt;=DATE(YEAR(vp.tbl[[#This Row],[SDate]]),9,15)),1,0)</f>
        <v>0</v>
      </c>
      <c r="AQ833" s="15">
        <f>IF(vp.tbl[[#This Row],[SDate]]&lt;DATE(2016,12,1),0,1)</f>
        <v>1</v>
      </c>
    </row>
    <row r="834" spans="1:43" x14ac:dyDescent="0.25">
      <c r="A834">
        <v>833</v>
      </c>
      <c r="B834" t="s">
        <v>127</v>
      </c>
      <c r="C834" t="s">
        <v>127</v>
      </c>
      <c r="D834" t="s">
        <v>166</v>
      </c>
      <c r="F834" s="1">
        <v>42785</v>
      </c>
      <c r="G834" s="2">
        <v>51.1</v>
      </c>
      <c r="H834" s="2"/>
      <c r="I834" s="2">
        <v>1.83</v>
      </c>
      <c r="J834" s="2"/>
      <c r="K834" s="2">
        <v>1</v>
      </c>
      <c r="L834" s="2">
        <v>876.3</v>
      </c>
      <c r="M834" s="2">
        <v>876.3</v>
      </c>
      <c r="N834" s="2">
        <f ca="1">INDEX(INDIRECT(_xlfn.CONCAT("weather.tbl[",N$1,"]")),MATCH(vp.tbl[[#This Row],[SDate]],weather.tbl[Date],0))</f>
        <v>-0.19999999999999998</v>
      </c>
      <c r="O834" s="2">
        <f ca="1">INDEX(INDIRECT(_xlfn.CONCAT("weather.tbl[",O$1,"]")),MATCH(vp.tbl[[#This Row],[SDate]],weather.tbl[Date],0))</f>
        <v>-0.29047619047619061</v>
      </c>
      <c r="P834" s="2">
        <f ca="1">INDEX(INDIRECT(_xlfn.CONCAT("weather.tbl[",P$1,"]")),MATCH(vp.tbl[[#This Row],[SDate]],weather.tbl[Date],0))</f>
        <v>-0.1</v>
      </c>
      <c r="Q834" s="2">
        <f ca="1">INDEX(INDIRECT(_xlfn.CONCAT("weather.tbl[",Q$1,"]")),MATCH(vp.tbl[[#This Row],[SDate]],weather.tbl[Date],0))</f>
        <v>-0.1</v>
      </c>
      <c r="R834" s="2">
        <f ca="1">INDEX(INDIRECT(_xlfn.CONCAT("weather.tbl[",R$1,"]")),MATCH(vp.tbl[[#This Row],[SDate]],weather.tbl[Date],0))</f>
        <v>-0.8</v>
      </c>
      <c r="S834" s="2">
        <f ca="1">INDEX(INDIRECT(_xlfn.CONCAT("weather.tbl[",S$1,"]")),MATCH(vp.tbl[[#This Row],[SDate]],weather.tbl[Date],0))</f>
        <v>-0.4</v>
      </c>
      <c r="T834" s="2">
        <f ca="1">INDEX(INDIRECT(_xlfn.CONCAT("weather.tbl[",T$1,"]")),MATCH(vp.tbl[[#This Row],[SDate]],weather.tbl[Date],0))</f>
        <v>0.2</v>
      </c>
      <c r="U834" s="2">
        <f ca="1">INDEX(INDIRECT(_xlfn.CONCAT("weather.tbl[",U$1,"]")),MATCH(vp.tbl[[#This Row],[SDate]],weather.tbl[Date],0))</f>
        <v>0</v>
      </c>
      <c r="V834" s="2">
        <v>429.35199999999998</v>
      </c>
      <c r="W834" t="s">
        <v>48</v>
      </c>
      <c r="X834">
        <f>IF(OR(vp.tbl[[#This Row],[Sulf]]="",vp.tbl[[#This Row],[Dens]]=""),1,0)</f>
        <v>0</v>
      </c>
      <c r="Y834">
        <f>IF(vp.tbl[[#This Row],[CrudeType]]="C5+",1,0)</f>
        <v>0</v>
      </c>
      <c r="Z834">
        <f>IF(AND(vp.tbl[[#This Row],[CrudeType]]="Crude",vp.tbl[[#This Row],[Dens]]&lt;=825,vp.tbl[[#This Row],[Sulf]]&gt;0.5,vp.tbl[[#This Row],[Unknown]]=0),1,0)</f>
        <v>0</v>
      </c>
      <c r="AA834">
        <f>IF(AND(vp.tbl[[#This Row],[CrudeType]]="Crude",vp.tbl[[#This Row],[Dens]]&lt;=825,vp.tbl[[#This Row],[Sulf]]&lt;=0.5,vp.tbl[[#This Row],[Unknown]]=0),1,0)</f>
        <v>0</v>
      </c>
      <c r="AB834">
        <f>IF(AND(vp.tbl[[#This Row],[CrudeType]]="Crude",vp.tbl[[#This Row],[Dens]]&gt;825,vp.tbl[[#This Row],[Dens]]&lt;=870,vp.tbl[[#This Row],[Sulf]]&gt;0.5,vp.tbl[[#This Row],[Unknown]]=0),1,0)</f>
        <v>0</v>
      </c>
      <c r="AC834">
        <f>IF(AND(vp.tbl[[#This Row],[CrudeType]]="Crude",vp.tbl[[#This Row],[Dens]]&gt;825,vp.tbl[[#This Row],[Dens]]&lt;=900,vp.tbl[[#This Row],[Sulf]]&lt;=0.5,vp.tbl[[#This Row],[Unknown]]=0),1,0)</f>
        <v>0</v>
      </c>
      <c r="AD834">
        <f>IF(AND(vp.tbl[[#This Row],[CrudeType]]="Crude",vp.tbl[[#This Row],[Dens]]&gt;870,vp.tbl[[#This Row],[Dens]]&lt;=900,vp.tbl[[#This Row],[Sulf]]&gt;0.5,vp.tbl[[#This Row],[Unknown]]=0),1,0)</f>
        <v>1</v>
      </c>
      <c r="AE834">
        <f>IF(AND(vp.tbl[[#This Row],[CrudeType]]="Crude",vp.tbl[[#This Row],[Dens]]&gt;900,vp.tbl[[#This Row],[Sulf]]&lt;=0.5,vp.tbl[[#This Row],[Unknown]]=0),1,0)</f>
        <v>0</v>
      </c>
      <c r="AF834">
        <f>IF(AND(vp.tbl[[#This Row],[CrudeType]]="Crude",vp.tbl[[#This Row],[Dens]]&gt;900,vp.tbl[[#This Row],[Sulf]]&lt;=0.5,vp.tbl[[#This Row],[Unknown]]=0),1,0)</f>
        <v>0</v>
      </c>
      <c r="AG834" t="str">
        <f>INDEX(vp.tbl[[#Headers],[Unknown]:[Heavy_SW]],MATCH(1,vp.tbl[[#This Row],[Unknown]:[Heavy_SW]],0))</f>
        <v>Midale</v>
      </c>
      <c r="AH834" t="e">
        <f>INDEX([1]!crudeBD.lkup[Number],MATCH(vp.tbl[[#This Row],[Crude_Breakdown]],[1]!crudeBD.lkup[Crude Breakdown],0))</f>
        <v>#REF!</v>
      </c>
      <c r="AI834">
        <f>MONTH(vp.tbl[[#This Row],[SDate]])</f>
        <v>2</v>
      </c>
      <c r="AJ834" s="5">
        <f>IFERROR(vp.tbl[[#This Row],[Sulf]]*vp.tbl[[#This Row],[Net Dens]],"")</f>
        <v>688521.31840799993</v>
      </c>
      <c r="AK834" s="5">
        <f>IFERROR(vp.tbl[[#This Row],[Dens]]*vp.tbl[[#This Row],[VolumeM3]],"")</f>
        <v>376241.15759999998</v>
      </c>
      <c r="AL834" s="5">
        <f>IFERROR(vp.tbl[[#This Row],[VP]]*vp.tbl[[#This Row],[VolumeM3]],"")</f>
        <v>21939.887200000001</v>
      </c>
      <c r="AM834" s="4">
        <f>IFERROR((vp.tbl[[#This Row],[VP]]-INDEX(crudeBD.lkup.complete[Mean_VP],MATCH(vp.tbl[[#This Row],[Crude_Breakdown]],crudeBD.lkup.complete[Crude Breakdown],0)))^2,"")</f>
        <v>293.72325201726443</v>
      </c>
      <c r="AN834" s="4">
        <f>IFERROR((vp.tbl[[#This Row],[Dens]]-INDEX(crudeBD.lkup.complete[Mean_Dens],MATCH(vp.tbl[[#This Row],[Crude_Breakdown]],crudeBD.lkup.complete[Crude Breakdown],0)))^2,"")</f>
        <v>1.5676412084812472</v>
      </c>
      <c r="AO834" s="4">
        <f>IFERROR((vp.tbl[[#This Row],[Sulf]]-INDEX(crudeBD.lkup.complete[Mean_Sulf],MATCH(vp.tbl[[#This Row],[Crude_Breakdown]],crudeBD.lkup.complete[Crude Breakdown],0)))^2,"")</f>
        <v>0.34262307596714053</v>
      </c>
      <c r="AP834">
        <f>IF(AND(vp.tbl[[#This Row],[SDate]]&gt;=DATE(YEAR(vp.tbl[[#This Row],[SDate]]),5,1),vp.tbl[[#This Row],[SDate]]&lt;=DATE(YEAR(vp.tbl[[#This Row],[SDate]]),9,15)),1,0)</f>
        <v>0</v>
      </c>
      <c r="AQ834" s="15">
        <f>IF(vp.tbl[[#This Row],[SDate]]&lt;DATE(2016,12,1),0,1)</f>
        <v>1</v>
      </c>
    </row>
    <row r="835" spans="1:43" x14ac:dyDescent="0.25">
      <c r="A835">
        <v>834</v>
      </c>
      <c r="B835" t="s">
        <v>108</v>
      </c>
      <c r="C835" t="s">
        <v>108</v>
      </c>
      <c r="D835" t="s">
        <v>158</v>
      </c>
      <c r="F835" s="1">
        <v>42785</v>
      </c>
      <c r="G835" s="2">
        <v>60.1</v>
      </c>
      <c r="H835" s="2"/>
      <c r="I835" s="2">
        <v>2.09</v>
      </c>
      <c r="J835" s="2">
        <v>21.1</v>
      </c>
      <c r="K835" s="2">
        <v>1</v>
      </c>
      <c r="L835" s="2">
        <v>878.5</v>
      </c>
      <c r="M835" s="2">
        <v>878.5</v>
      </c>
      <c r="N835" s="2">
        <f ca="1">INDEX(INDIRECT(_xlfn.CONCAT("weather.tbl[",N$1,"]")),MATCH(vp.tbl[[#This Row],[SDate]],weather.tbl[Date],0))</f>
        <v>-0.19999999999999998</v>
      </c>
      <c r="O835" s="2">
        <f ca="1">INDEX(INDIRECT(_xlfn.CONCAT("weather.tbl[",O$1,"]")),MATCH(vp.tbl[[#This Row],[SDate]],weather.tbl[Date],0))</f>
        <v>-0.29047619047619061</v>
      </c>
      <c r="P835" s="2">
        <f ca="1">INDEX(INDIRECT(_xlfn.CONCAT("weather.tbl[",P$1,"]")),MATCH(vp.tbl[[#This Row],[SDate]],weather.tbl[Date],0))</f>
        <v>-0.1</v>
      </c>
      <c r="Q835" s="2">
        <f ca="1">INDEX(INDIRECT(_xlfn.CONCAT("weather.tbl[",Q$1,"]")),MATCH(vp.tbl[[#This Row],[SDate]],weather.tbl[Date],0))</f>
        <v>-0.1</v>
      </c>
      <c r="R835" s="2">
        <f ca="1">INDEX(INDIRECT(_xlfn.CONCAT("weather.tbl[",R$1,"]")),MATCH(vp.tbl[[#This Row],[SDate]],weather.tbl[Date],0))</f>
        <v>-0.8</v>
      </c>
      <c r="S835" s="2">
        <f ca="1">INDEX(INDIRECT(_xlfn.CONCAT("weather.tbl[",S$1,"]")),MATCH(vp.tbl[[#This Row],[SDate]],weather.tbl[Date],0))</f>
        <v>-0.4</v>
      </c>
      <c r="T835" s="2">
        <f ca="1">INDEX(INDIRECT(_xlfn.CONCAT("weather.tbl[",T$1,"]")),MATCH(vp.tbl[[#This Row],[SDate]],weather.tbl[Date],0))</f>
        <v>0.2</v>
      </c>
      <c r="U835" s="2">
        <f ca="1">INDEX(INDIRECT(_xlfn.CONCAT("weather.tbl[",U$1,"]")),MATCH(vp.tbl[[#This Row],[SDate]],weather.tbl[Date],0))</f>
        <v>0</v>
      </c>
      <c r="V835" s="2">
        <v>1412.5039999999999</v>
      </c>
      <c r="W835" t="s">
        <v>48</v>
      </c>
      <c r="X835">
        <f>IF(OR(vp.tbl[[#This Row],[Sulf]]="",vp.tbl[[#This Row],[Dens]]=""),1,0)</f>
        <v>0</v>
      </c>
      <c r="Y835">
        <f>IF(vp.tbl[[#This Row],[CrudeType]]="C5+",1,0)</f>
        <v>0</v>
      </c>
      <c r="Z835">
        <f>IF(AND(vp.tbl[[#This Row],[CrudeType]]="Crude",vp.tbl[[#This Row],[Dens]]&lt;=825,vp.tbl[[#This Row],[Sulf]]&gt;0.5,vp.tbl[[#This Row],[Unknown]]=0),1,0)</f>
        <v>0</v>
      </c>
      <c r="AA835">
        <f>IF(AND(vp.tbl[[#This Row],[CrudeType]]="Crude",vp.tbl[[#This Row],[Dens]]&lt;=825,vp.tbl[[#This Row],[Sulf]]&lt;=0.5,vp.tbl[[#This Row],[Unknown]]=0),1,0)</f>
        <v>0</v>
      </c>
      <c r="AB835">
        <f>IF(AND(vp.tbl[[#This Row],[CrudeType]]="Crude",vp.tbl[[#This Row],[Dens]]&gt;825,vp.tbl[[#This Row],[Dens]]&lt;=870,vp.tbl[[#This Row],[Sulf]]&gt;0.5,vp.tbl[[#This Row],[Unknown]]=0),1,0)</f>
        <v>0</v>
      </c>
      <c r="AC835">
        <f>IF(AND(vp.tbl[[#This Row],[CrudeType]]="Crude",vp.tbl[[#This Row],[Dens]]&gt;825,vp.tbl[[#This Row],[Dens]]&lt;=900,vp.tbl[[#This Row],[Sulf]]&lt;=0.5,vp.tbl[[#This Row],[Unknown]]=0),1,0)</f>
        <v>0</v>
      </c>
      <c r="AD835">
        <f>IF(AND(vp.tbl[[#This Row],[CrudeType]]="Crude",vp.tbl[[#This Row],[Dens]]&gt;870,vp.tbl[[#This Row],[Dens]]&lt;=900,vp.tbl[[#This Row],[Sulf]]&gt;0.5,vp.tbl[[#This Row],[Unknown]]=0),1,0)</f>
        <v>1</v>
      </c>
      <c r="AE835">
        <f>IF(AND(vp.tbl[[#This Row],[CrudeType]]="Crude",vp.tbl[[#This Row],[Dens]]&gt;900,vp.tbl[[#This Row],[Sulf]]&lt;=0.5,vp.tbl[[#This Row],[Unknown]]=0),1,0)</f>
        <v>0</v>
      </c>
      <c r="AF835">
        <f>IF(AND(vp.tbl[[#This Row],[CrudeType]]="Crude",vp.tbl[[#This Row],[Dens]]&gt;900,vp.tbl[[#This Row],[Sulf]]&lt;=0.5,vp.tbl[[#This Row],[Unknown]]=0),1,0)</f>
        <v>0</v>
      </c>
      <c r="AG835" t="str">
        <f>INDEX(vp.tbl[[#Headers],[Unknown]:[Heavy_SW]],MATCH(1,vp.tbl[[#This Row],[Unknown]:[Heavy_SW]],0))</f>
        <v>Midale</v>
      </c>
      <c r="AH835" t="e">
        <f>INDEX([1]!crudeBD.lkup[Number],MATCH(vp.tbl[[#This Row],[Crude_Breakdown]],[1]!crudeBD.lkup[Crude Breakdown],0))</f>
        <v>#REF!</v>
      </c>
      <c r="AI835">
        <f>MONTH(vp.tbl[[#This Row],[SDate]])</f>
        <v>2</v>
      </c>
      <c r="AJ835" s="5">
        <f>IFERROR(vp.tbl[[#This Row],[Sulf]]*vp.tbl[[#This Row],[Net Dens]],"")</f>
        <v>2593449.1567599997</v>
      </c>
      <c r="AK835" s="5">
        <f>IFERROR(vp.tbl[[#This Row],[Dens]]*vp.tbl[[#This Row],[VolumeM3]],"")</f>
        <v>1240884.764</v>
      </c>
      <c r="AL835" s="5">
        <f>IFERROR(vp.tbl[[#This Row],[VP]]*vp.tbl[[#This Row],[VolumeM3]],"")</f>
        <v>84891.490399999995</v>
      </c>
      <c r="AM835" s="4">
        <f>IFERROR((vp.tbl[[#This Row],[VP]]-INDEX(crudeBD.lkup.complete[Mean_VP],MATCH(vp.tbl[[#This Row],[Crude_Breakdown]],crudeBD.lkup.complete[Crude Breakdown],0)))^2,"")</f>
        <v>66.232841058360108</v>
      </c>
      <c r="AN835" s="4">
        <f>IFERROR((vp.tbl[[#This Row],[Dens]]-INDEX(crudeBD.lkup.complete[Mean_Dens],MATCH(vp.tbl[[#This Row],[Crude_Breakdown]],crudeBD.lkup.complete[Crude Breakdown],0)))^2,"")</f>
        <v>0.89860011259205452</v>
      </c>
      <c r="AO835" s="4">
        <f>IFERROR((vp.tbl[[#This Row],[Sulf]]-INDEX(crudeBD.lkup.complete[Mean_Sulf],MATCH(vp.tbl[[#This Row],[Crude_Breakdown]],crudeBD.lkup.complete[Crude Breakdown],0)))^2,"")</f>
        <v>0.10584620473426462</v>
      </c>
      <c r="AP835">
        <f>IF(AND(vp.tbl[[#This Row],[SDate]]&gt;=DATE(YEAR(vp.tbl[[#This Row],[SDate]]),5,1),vp.tbl[[#This Row],[SDate]]&lt;=DATE(YEAR(vp.tbl[[#This Row],[SDate]]),9,15)),1,0)</f>
        <v>0</v>
      </c>
      <c r="AQ835" s="15">
        <f>IF(vp.tbl[[#This Row],[SDate]]&lt;DATE(2016,12,1),0,1)</f>
        <v>1</v>
      </c>
    </row>
    <row r="836" spans="1:43" x14ac:dyDescent="0.25">
      <c r="A836">
        <v>835</v>
      </c>
      <c r="B836" t="s">
        <v>108</v>
      </c>
      <c r="C836" t="s">
        <v>108</v>
      </c>
      <c r="D836" t="s">
        <v>159</v>
      </c>
      <c r="F836" s="1">
        <v>42785</v>
      </c>
      <c r="G836" s="2">
        <v>53.2</v>
      </c>
      <c r="H836" s="2"/>
      <c r="I836" s="2">
        <v>2.17</v>
      </c>
      <c r="J836" s="2">
        <v>16.3</v>
      </c>
      <c r="K836" s="2">
        <v>1</v>
      </c>
      <c r="L836" s="2">
        <v>884.5</v>
      </c>
      <c r="M836" s="2">
        <v>884.5</v>
      </c>
      <c r="N836" s="2">
        <f ca="1">INDEX(INDIRECT(_xlfn.CONCAT("weather.tbl[",N$1,"]")),MATCH(vp.tbl[[#This Row],[SDate]],weather.tbl[Date],0))</f>
        <v>-0.19999999999999998</v>
      </c>
      <c r="O836" s="2">
        <f ca="1">INDEX(INDIRECT(_xlfn.CONCAT("weather.tbl[",O$1,"]")),MATCH(vp.tbl[[#This Row],[SDate]],weather.tbl[Date],0))</f>
        <v>-0.29047619047619061</v>
      </c>
      <c r="P836" s="2">
        <f ca="1">INDEX(INDIRECT(_xlfn.CONCAT("weather.tbl[",P$1,"]")),MATCH(vp.tbl[[#This Row],[SDate]],weather.tbl[Date],0))</f>
        <v>-0.1</v>
      </c>
      <c r="Q836" s="2">
        <f ca="1">INDEX(INDIRECT(_xlfn.CONCAT("weather.tbl[",Q$1,"]")),MATCH(vp.tbl[[#This Row],[SDate]],weather.tbl[Date],0))</f>
        <v>-0.1</v>
      </c>
      <c r="R836" s="2">
        <f ca="1">INDEX(INDIRECT(_xlfn.CONCAT("weather.tbl[",R$1,"]")),MATCH(vp.tbl[[#This Row],[SDate]],weather.tbl[Date],0))</f>
        <v>-0.8</v>
      </c>
      <c r="S836" s="2">
        <f ca="1">INDEX(INDIRECT(_xlfn.CONCAT("weather.tbl[",S$1,"]")),MATCH(vp.tbl[[#This Row],[SDate]],weather.tbl[Date],0))</f>
        <v>-0.4</v>
      </c>
      <c r="T836" s="2">
        <f ca="1">INDEX(INDIRECT(_xlfn.CONCAT("weather.tbl[",T$1,"]")),MATCH(vp.tbl[[#This Row],[SDate]],weather.tbl[Date],0))</f>
        <v>0.2</v>
      </c>
      <c r="U836" s="2">
        <f ca="1">INDEX(INDIRECT(_xlfn.CONCAT("weather.tbl[",U$1,"]")),MATCH(vp.tbl[[#This Row],[SDate]],weather.tbl[Date],0))</f>
        <v>0</v>
      </c>
      <c r="V836" s="2">
        <v>1351.4469999999999</v>
      </c>
      <c r="W836" t="s">
        <v>48</v>
      </c>
      <c r="X836">
        <f>IF(OR(vp.tbl[[#This Row],[Sulf]]="",vp.tbl[[#This Row],[Dens]]=""),1,0)</f>
        <v>0</v>
      </c>
      <c r="Y836">
        <f>IF(vp.tbl[[#This Row],[CrudeType]]="C5+",1,0)</f>
        <v>0</v>
      </c>
      <c r="Z836">
        <f>IF(AND(vp.tbl[[#This Row],[CrudeType]]="Crude",vp.tbl[[#This Row],[Dens]]&lt;=825,vp.tbl[[#This Row],[Sulf]]&gt;0.5,vp.tbl[[#This Row],[Unknown]]=0),1,0)</f>
        <v>0</v>
      </c>
      <c r="AA836">
        <f>IF(AND(vp.tbl[[#This Row],[CrudeType]]="Crude",vp.tbl[[#This Row],[Dens]]&lt;=825,vp.tbl[[#This Row],[Sulf]]&lt;=0.5,vp.tbl[[#This Row],[Unknown]]=0),1,0)</f>
        <v>0</v>
      </c>
      <c r="AB836">
        <f>IF(AND(vp.tbl[[#This Row],[CrudeType]]="Crude",vp.tbl[[#This Row],[Dens]]&gt;825,vp.tbl[[#This Row],[Dens]]&lt;=870,vp.tbl[[#This Row],[Sulf]]&gt;0.5,vp.tbl[[#This Row],[Unknown]]=0),1,0)</f>
        <v>0</v>
      </c>
      <c r="AC836">
        <f>IF(AND(vp.tbl[[#This Row],[CrudeType]]="Crude",vp.tbl[[#This Row],[Dens]]&gt;825,vp.tbl[[#This Row],[Dens]]&lt;=900,vp.tbl[[#This Row],[Sulf]]&lt;=0.5,vp.tbl[[#This Row],[Unknown]]=0),1,0)</f>
        <v>0</v>
      </c>
      <c r="AD836">
        <f>IF(AND(vp.tbl[[#This Row],[CrudeType]]="Crude",vp.tbl[[#This Row],[Dens]]&gt;870,vp.tbl[[#This Row],[Dens]]&lt;=900,vp.tbl[[#This Row],[Sulf]]&gt;0.5,vp.tbl[[#This Row],[Unknown]]=0),1,0)</f>
        <v>1</v>
      </c>
      <c r="AE836">
        <f>IF(AND(vp.tbl[[#This Row],[CrudeType]]="Crude",vp.tbl[[#This Row],[Dens]]&gt;900,vp.tbl[[#This Row],[Sulf]]&lt;=0.5,vp.tbl[[#This Row],[Unknown]]=0),1,0)</f>
        <v>0</v>
      </c>
      <c r="AF836">
        <f>IF(AND(vp.tbl[[#This Row],[CrudeType]]="Crude",vp.tbl[[#This Row],[Dens]]&gt;900,vp.tbl[[#This Row],[Sulf]]&lt;=0.5,vp.tbl[[#This Row],[Unknown]]=0),1,0)</f>
        <v>0</v>
      </c>
      <c r="AG836" t="str">
        <f>INDEX(vp.tbl[[#Headers],[Unknown]:[Heavy_SW]],MATCH(1,vp.tbl[[#This Row],[Unknown]:[Heavy_SW]],0))</f>
        <v>Midale</v>
      </c>
      <c r="AH836" t="e">
        <f>INDEX([1]!crudeBD.lkup[Number],MATCH(vp.tbl[[#This Row],[Crude_Breakdown]],[1]!crudeBD.lkup[Crude Breakdown],0))</f>
        <v>#REF!</v>
      </c>
      <c r="AI836">
        <f>MONTH(vp.tbl[[#This Row],[SDate]])</f>
        <v>2</v>
      </c>
      <c r="AJ836" s="5">
        <f>IFERROR(vp.tbl[[#This Row],[Sulf]]*vp.tbl[[#This Row],[Net Dens]],"")</f>
        <v>2593920.0711549995</v>
      </c>
      <c r="AK836" s="5">
        <f>IFERROR(vp.tbl[[#This Row],[Dens]]*vp.tbl[[#This Row],[VolumeM3]],"")</f>
        <v>1195354.8714999999</v>
      </c>
      <c r="AL836" s="5">
        <f>IFERROR(vp.tbl[[#This Row],[VP]]*vp.tbl[[#This Row],[VolumeM3]],"")</f>
        <v>71896.9804</v>
      </c>
      <c r="AM836" s="4">
        <f>IFERROR((vp.tbl[[#This Row],[VP]]-INDEX(crudeBD.lkup.complete[Mean_VP],MATCH(vp.tbl[[#This Row],[Crude_Breakdown]],crudeBD.lkup.complete[Crude Breakdown],0)))^2,"")</f>
        <v>226.15215612685338</v>
      </c>
      <c r="AN836" s="4">
        <f>IFERROR((vp.tbl[[#This Row],[Dens]]-INDEX(crudeBD.lkup.complete[Mean_Dens],MATCH(vp.tbl[[#This Row],[Crude_Breakdown]],crudeBD.lkup.complete[Crude Breakdown],0)))^2,"")</f>
        <v>48.273942578349114</v>
      </c>
      <c r="AO836" s="4">
        <f>IFERROR((vp.tbl[[#This Row],[Sulf]]-INDEX(crudeBD.lkup.complete[Mean_Sulf],MATCH(vp.tbl[[#This Row],[Crude_Breakdown]],crudeBD.lkup.complete[Crude Breakdown],0)))^2,"")</f>
        <v>6.0191782816456547E-2</v>
      </c>
      <c r="AP836">
        <f>IF(AND(vp.tbl[[#This Row],[SDate]]&gt;=DATE(YEAR(vp.tbl[[#This Row],[SDate]]),5,1),vp.tbl[[#This Row],[SDate]]&lt;=DATE(YEAR(vp.tbl[[#This Row],[SDate]]),9,15)),1,0)</f>
        <v>0</v>
      </c>
      <c r="AQ836" s="15">
        <f>IF(vp.tbl[[#This Row],[SDate]]&lt;DATE(2016,12,1),0,1)</f>
        <v>1</v>
      </c>
    </row>
    <row r="837" spans="1:43" x14ac:dyDescent="0.25">
      <c r="A837">
        <v>836</v>
      </c>
      <c r="B837" t="s">
        <v>68</v>
      </c>
      <c r="C837" t="s">
        <v>68</v>
      </c>
      <c r="D837" t="s">
        <v>167</v>
      </c>
      <c r="F837" s="1">
        <v>42785</v>
      </c>
      <c r="G837" s="2">
        <v>50.5</v>
      </c>
      <c r="H837" s="2"/>
      <c r="I837" s="2">
        <v>2.5499999999999998</v>
      </c>
      <c r="J837" s="2">
        <v>14</v>
      </c>
      <c r="K837" s="2">
        <v>1</v>
      </c>
      <c r="L837" s="2">
        <v>884.8</v>
      </c>
      <c r="M837" s="2">
        <v>884.8</v>
      </c>
      <c r="N837" s="2">
        <f ca="1">INDEX(INDIRECT(_xlfn.CONCAT("weather.tbl[",N$1,"]")),MATCH(vp.tbl[[#This Row],[SDate]],weather.tbl[Date],0))</f>
        <v>-0.19999999999999998</v>
      </c>
      <c r="O837" s="2">
        <f ca="1">INDEX(INDIRECT(_xlfn.CONCAT("weather.tbl[",O$1,"]")),MATCH(vp.tbl[[#This Row],[SDate]],weather.tbl[Date],0))</f>
        <v>-0.29047619047619061</v>
      </c>
      <c r="P837" s="2">
        <f ca="1">INDEX(INDIRECT(_xlfn.CONCAT("weather.tbl[",P$1,"]")),MATCH(vp.tbl[[#This Row],[SDate]],weather.tbl[Date],0))</f>
        <v>-0.1</v>
      </c>
      <c r="Q837" s="2">
        <f ca="1">INDEX(INDIRECT(_xlfn.CONCAT("weather.tbl[",Q$1,"]")),MATCH(vp.tbl[[#This Row],[SDate]],weather.tbl[Date],0))</f>
        <v>-0.1</v>
      </c>
      <c r="R837" s="2">
        <f ca="1">INDEX(INDIRECT(_xlfn.CONCAT("weather.tbl[",R$1,"]")),MATCH(vp.tbl[[#This Row],[SDate]],weather.tbl[Date],0))</f>
        <v>-0.8</v>
      </c>
      <c r="S837" s="2">
        <f ca="1">INDEX(INDIRECT(_xlfn.CONCAT("weather.tbl[",S$1,"]")),MATCH(vp.tbl[[#This Row],[SDate]],weather.tbl[Date],0))</f>
        <v>-0.4</v>
      </c>
      <c r="T837" s="2">
        <f ca="1">INDEX(INDIRECT(_xlfn.CONCAT("weather.tbl[",T$1,"]")),MATCH(vp.tbl[[#This Row],[SDate]],weather.tbl[Date],0))</f>
        <v>0.2</v>
      </c>
      <c r="U837" s="2">
        <f ca="1">INDEX(INDIRECT(_xlfn.CONCAT("weather.tbl[",U$1,"]")),MATCH(vp.tbl[[#This Row],[SDate]],weather.tbl[Date],0))</f>
        <v>0</v>
      </c>
      <c r="V837" s="2">
        <v>394.94400000000002</v>
      </c>
      <c r="W837" t="s">
        <v>48</v>
      </c>
      <c r="X837">
        <f>IF(OR(vp.tbl[[#This Row],[Sulf]]="",vp.tbl[[#This Row],[Dens]]=""),1,0)</f>
        <v>0</v>
      </c>
      <c r="Y837">
        <f>IF(vp.tbl[[#This Row],[CrudeType]]="C5+",1,0)</f>
        <v>0</v>
      </c>
      <c r="Z837">
        <f>IF(AND(vp.tbl[[#This Row],[CrudeType]]="Crude",vp.tbl[[#This Row],[Dens]]&lt;=825,vp.tbl[[#This Row],[Sulf]]&gt;0.5,vp.tbl[[#This Row],[Unknown]]=0),1,0)</f>
        <v>0</v>
      </c>
      <c r="AA837">
        <f>IF(AND(vp.tbl[[#This Row],[CrudeType]]="Crude",vp.tbl[[#This Row],[Dens]]&lt;=825,vp.tbl[[#This Row],[Sulf]]&lt;=0.5,vp.tbl[[#This Row],[Unknown]]=0),1,0)</f>
        <v>0</v>
      </c>
      <c r="AB837">
        <f>IF(AND(vp.tbl[[#This Row],[CrudeType]]="Crude",vp.tbl[[#This Row],[Dens]]&gt;825,vp.tbl[[#This Row],[Dens]]&lt;=870,vp.tbl[[#This Row],[Sulf]]&gt;0.5,vp.tbl[[#This Row],[Unknown]]=0),1,0)</f>
        <v>0</v>
      </c>
      <c r="AC837">
        <f>IF(AND(vp.tbl[[#This Row],[CrudeType]]="Crude",vp.tbl[[#This Row],[Dens]]&gt;825,vp.tbl[[#This Row],[Dens]]&lt;=900,vp.tbl[[#This Row],[Sulf]]&lt;=0.5,vp.tbl[[#This Row],[Unknown]]=0),1,0)</f>
        <v>0</v>
      </c>
      <c r="AD837">
        <f>IF(AND(vp.tbl[[#This Row],[CrudeType]]="Crude",vp.tbl[[#This Row],[Dens]]&gt;870,vp.tbl[[#This Row],[Dens]]&lt;=900,vp.tbl[[#This Row],[Sulf]]&gt;0.5,vp.tbl[[#This Row],[Unknown]]=0),1,0)</f>
        <v>1</v>
      </c>
      <c r="AE837">
        <f>IF(AND(vp.tbl[[#This Row],[CrudeType]]="Crude",vp.tbl[[#This Row],[Dens]]&gt;900,vp.tbl[[#This Row],[Sulf]]&lt;=0.5,vp.tbl[[#This Row],[Unknown]]=0),1,0)</f>
        <v>0</v>
      </c>
      <c r="AF837">
        <f>IF(AND(vp.tbl[[#This Row],[CrudeType]]="Crude",vp.tbl[[#This Row],[Dens]]&gt;900,vp.tbl[[#This Row],[Sulf]]&lt;=0.5,vp.tbl[[#This Row],[Unknown]]=0),1,0)</f>
        <v>0</v>
      </c>
      <c r="AG837" t="str">
        <f>INDEX(vp.tbl[[#Headers],[Unknown]:[Heavy_SW]],MATCH(1,vp.tbl[[#This Row],[Unknown]:[Heavy_SW]],0))</f>
        <v>Midale</v>
      </c>
      <c r="AH837" t="e">
        <f>INDEX([1]!crudeBD.lkup[Number],MATCH(vp.tbl[[#This Row],[Crude_Breakdown]],[1]!crudeBD.lkup[Crude Breakdown],0))</f>
        <v>#REF!</v>
      </c>
      <c r="AI837">
        <f>MONTH(vp.tbl[[#This Row],[SDate]])</f>
        <v>2</v>
      </c>
      <c r="AJ837" s="5">
        <f>IFERROR(vp.tbl[[#This Row],[Sulf]]*vp.tbl[[#This Row],[Net Dens]],"")</f>
        <v>891088.45055999991</v>
      </c>
      <c r="AK837" s="5">
        <f>IFERROR(vp.tbl[[#This Row],[Dens]]*vp.tbl[[#This Row],[VolumeM3]],"")</f>
        <v>349446.45120000001</v>
      </c>
      <c r="AL837" s="5">
        <f>IFERROR(vp.tbl[[#This Row],[VP]]*vp.tbl[[#This Row],[VolumeM3]],"")</f>
        <v>19944.672000000002</v>
      </c>
      <c r="AM837" s="4">
        <f>IFERROR((vp.tbl[[#This Row],[VP]]-INDEX(crudeBD.lkup.complete[Mean_VP],MATCH(vp.tbl[[#This Row],[Crude_Breakdown]],crudeBD.lkup.complete[Crude Breakdown],0)))^2,"")</f>
        <v>314.64927941452476</v>
      </c>
      <c r="AN837" s="4">
        <f>IFERROR((vp.tbl[[#This Row],[Dens]]-INDEX(crudeBD.lkup.complete[Mean_Dens],MATCH(vp.tbl[[#This Row],[Crude_Breakdown]],crudeBD.lkup.complete[Crude Breakdown],0)))^2,"")</f>
        <v>52.532709701636307</v>
      </c>
      <c r="AO837" s="4">
        <f>IFERROR((vp.tbl[[#This Row],[Sulf]]-INDEX(crudeBD.lkup.complete[Mean_Sulf],MATCH(vp.tbl[[#This Row],[Crude_Breakdown]],crudeBD.lkup.complete[Crude Breakdown],0)))^2,"")</f>
        <v>1.8133278706868369E-2</v>
      </c>
      <c r="AP837">
        <f>IF(AND(vp.tbl[[#This Row],[SDate]]&gt;=DATE(YEAR(vp.tbl[[#This Row],[SDate]]),5,1),vp.tbl[[#This Row],[SDate]]&lt;=DATE(YEAR(vp.tbl[[#This Row],[SDate]]),9,15)),1,0)</f>
        <v>0</v>
      </c>
      <c r="AQ837" s="15">
        <f>IF(vp.tbl[[#This Row],[SDate]]&lt;DATE(2016,12,1),0,1)</f>
        <v>1</v>
      </c>
    </row>
    <row r="838" spans="1:43" x14ac:dyDescent="0.25">
      <c r="A838">
        <v>837</v>
      </c>
      <c r="B838" t="s">
        <v>62</v>
      </c>
      <c r="C838" t="s">
        <v>62</v>
      </c>
      <c r="D838" t="s">
        <v>87</v>
      </c>
      <c r="F838" s="1">
        <v>42787</v>
      </c>
      <c r="G838" s="2">
        <v>80.8</v>
      </c>
      <c r="H838" s="2">
        <v>0.16500000000000001</v>
      </c>
      <c r="I838" s="2">
        <v>0.16500000000000001</v>
      </c>
      <c r="J838" s="2">
        <v>27.1</v>
      </c>
      <c r="K838" s="2">
        <v>6</v>
      </c>
      <c r="L838" s="2">
        <v>809.6</v>
      </c>
      <c r="M838" s="2">
        <v>809.6</v>
      </c>
      <c r="N838" s="2">
        <f ca="1">INDEX(INDIRECT(_xlfn.CONCAT("weather.tbl[",N$1,"]")),MATCH(vp.tbl[[#This Row],[SDate]],weather.tbl[Date],0))</f>
        <v>-5.0000000000000024E-2</v>
      </c>
      <c r="O838" s="2">
        <f ca="1">INDEX(INDIRECT(_xlfn.CONCAT("weather.tbl[",O$1,"]")),MATCH(vp.tbl[[#This Row],[SDate]],weather.tbl[Date],0))</f>
        <v>0.84761904761904761</v>
      </c>
      <c r="P838" s="2">
        <f ca="1">INDEX(INDIRECT(_xlfn.CONCAT("weather.tbl[",P$1,"]")),MATCH(vp.tbl[[#This Row],[SDate]],weather.tbl[Date],0))</f>
        <v>1.1000000000000001</v>
      </c>
      <c r="Q838" s="2">
        <f ca="1">INDEX(INDIRECT(_xlfn.CONCAT("weather.tbl[",Q$1,"]")),MATCH(vp.tbl[[#This Row],[SDate]],weather.tbl[Date],0))</f>
        <v>-0.4</v>
      </c>
      <c r="R838" s="2">
        <f ca="1">INDEX(INDIRECT(_xlfn.CONCAT("weather.tbl[",R$1,"]")),MATCH(vp.tbl[[#This Row],[SDate]],weather.tbl[Date],0))</f>
        <v>-1.3</v>
      </c>
      <c r="S838" s="2">
        <f ca="1">INDEX(INDIRECT(_xlfn.CONCAT("weather.tbl[",S$1,"]")),MATCH(vp.tbl[[#This Row],[SDate]],weather.tbl[Date],0))</f>
        <v>1.4</v>
      </c>
      <c r="T838" s="2">
        <f ca="1">INDEX(INDIRECT(_xlfn.CONCAT("weather.tbl[",T$1,"]")),MATCH(vp.tbl[[#This Row],[SDate]],weather.tbl[Date],0))</f>
        <v>-1.1000000000000001</v>
      </c>
      <c r="U838" s="2">
        <f ca="1">INDEX(INDIRECT(_xlfn.CONCAT("weather.tbl[",U$1,"]")),MATCH(vp.tbl[[#This Row],[SDate]],weather.tbl[Date],0))</f>
        <v>0</v>
      </c>
      <c r="V838" s="2">
        <v>7768.6840000000002</v>
      </c>
      <c r="W838" t="s">
        <v>48</v>
      </c>
      <c r="X838">
        <f>IF(OR(vp.tbl[[#This Row],[Sulf]]="",vp.tbl[[#This Row],[Dens]]=""),1,0)</f>
        <v>0</v>
      </c>
      <c r="Y838">
        <f>IF(vp.tbl[[#This Row],[CrudeType]]="C5+",1,0)</f>
        <v>0</v>
      </c>
      <c r="Z838">
        <f>IF(AND(vp.tbl[[#This Row],[CrudeType]]="Crude",vp.tbl[[#This Row],[Dens]]&lt;=825,vp.tbl[[#This Row],[Sulf]]&gt;0.5,vp.tbl[[#This Row],[Unknown]]=0),1,0)</f>
        <v>0</v>
      </c>
      <c r="AA838">
        <f>IF(AND(vp.tbl[[#This Row],[CrudeType]]="Crude",vp.tbl[[#This Row],[Dens]]&lt;=825,vp.tbl[[#This Row],[Sulf]]&lt;=0.5,vp.tbl[[#This Row],[Unknown]]=0),1,0)</f>
        <v>1</v>
      </c>
      <c r="AB838">
        <f>IF(AND(vp.tbl[[#This Row],[CrudeType]]="Crude",vp.tbl[[#This Row],[Dens]]&gt;825,vp.tbl[[#This Row],[Dens]]&lt;=870,vp.tbl[[#This Row],[Sulf]]&gt;0.5,vp.tbl[[#This Row],[Unknown]]=0),1,0)</f>
        <v>0</v>
      </c>
      <c r="AC838">
        <f>IF(AND(vp.tbl[[#This Row],[CrudeType]]="Crude",vp.tbl[[#This Row],[Dens]]&gt;825,vp.tbl[[#This Row],[Dens]]&lt;=900,vp.tbl[[#This Row],[Sulf]]&lt;=0.5,vp.tbl[[#This Row],[Unknown]]=0),1,0)</f>
        <v>0</v>
      </c>
      <c r="AD838">
        <f>IF(AND(vp.tbl[[#This Row],[CrudeType]]="Crude",vp.tbl[[#This Row],[Dens]]&gt;870,vp.tbl[[#This Row],[Dens]]&lt;=900,vp.tbl[[#This Row],[Sulf]]&gt;0.5,vp.tbl[[#This Row],[Unknown]]=0),1,0)</f>
        <v>0</v>
      </c>
      <c r="AE838">
        <f>IF(AND(vp.tbl[[#This Row],[CrudeType]]="Crude",vp.tbl[[#This Row],[Dens]]&gt;900,vp.tbl[[#This Row],[Sulf]]&lt;=0.5,vp.tbl[[#This Row],[Unknown]]=0),1,0)</f>
        <v>0</v>
      </c>
      <c r="AF838">
        <f>IF(AND(vp.tbl[[#This Row],[CrudeType]]="Crude",vp.tbl[[#This Row],[Dens]]&gt;900,vp.tbl[[#This Row],[Sulf]]&lt;=0.5,vp.tbl[[#This Row],[Unknown]]=0),1,0)</f>
        <v>0</v>
      </c>
      <c r="AG838" t="str">
        <f>INDEX(vp.tbl[[#Headers],[Unknown]:[Heavy_SW]],MATCH(1,vp.tbl[[#This Row],[Unknown]:[Heavy_SW]],0))</f>
        <v>Light_SW</v>
      </c>
      <c r="AH838" t="e">
        <f>INDEX([1]!crudeBD.lkup[Number],MATCH(vp.tbl[[#This Row],[Crude_Breakdown]],[1]!crudeBD.lkup[Crude Breakdown],0))</f>
        <v>#REF!</v>
      </c>
      <c r="AI838">
        <f>MONTH(vp.tbl[[#This Row],[SDate]])</f>
        <v>2</v>
      </c>
      <c r="AJ838" s="5">
        <f>IFERROR(vp.tbl[[#This Row],[Sulf]]*vp.tbl[[#This Row],[Net Dens]],"")</f>
        <v>1037771.883456</v>
      </c>
      <c r="AK838" s="5">
        <f>IFERROR(vp.tbl[[#This Row],[Dens]]*vp.tbl[[#This Row],[VolumeM3]],"")</f>
        <v>6289526.5663999999</v>
      </c>
      <c r="AL838" s="5">
        <f>IFERROR(vp.tbl[[#This Row],[VP]]*vp.tbl[[#This Row],[VolumeM3]],"")</f>
        <v>627709.66720000003</v>
      </c>
      <c r="AM838" s="4">
        <f>IFERROR((vp.tbl[[#This Row],[VP]]-INDEX(crudeBD.lkup.complete[Mean_VP],MATCH(vp.tbl[[#This Row],[Crude_Breakdown]],crudeBD.lkup.complete[Crude Breakdown],0)))^2,"")</f>
        <v>138.06986943631642</v>
      </c>
      <c r="AN838" s="4">
        <f>IFERROR((vp.tbl[[#This Row],[Dens]]-INDEX(crudeBD.lkup.complete[Mean_Dens],MATCH(vp.tbl[[#This Row],[Crude_Breakdown]],crudeBD.lkup.complete[Crude Breakdown],0)))^2,"")</f>
        <v>1.6602367395506947</v>
      </c>
      <c r="AO838" s="4">
        <f>IFERROR((vp.tbl[[#This Row],[Sulf]]-INDEX(crudeBD.lkup.complete[Mean_Sulf],MATCH(vp.tbl[[#This Row],[Crude_Breakdown]],crudeBD.lkup.complete[Crude Breakdown],0)))^2,"")</f>
        <v>5.0753957551991418E-3</v>
      </c>
      <c r="AP838">
        <f>IF(AND(vp.tbl[[#This Row],[SDate]]&gt;=DATE(YEAR(vp.tbl[[#This Row],[SDate]]),5,1),vp.tbl[[#This Row],[SDate]]&lt;=DATE(YEAR(vp.tbl[[#This Row],[SDate]]),9,15)),1,0)</f>
        <v>0</v>
      </c>
      <c r="AQ838" s="15">
        <f>IF(vp.tbl[[#This Row],[SDate]]&lt;DATE(2016,12,1),0,1)</f>
        <v>1</v>
      </c>
    </row>
    <row r="839" spans="1:43" x14ac:dyDescent="0.25">
      <c r="A839">
        <v>838</v>
      </c>
      <c r="B839" t="s">
        <v>49</v>
      </c>
      <c r="C839" t="s">
        <v>49</v>
      </c>
      <c r="D839" t="s">
        <v>75</v>
      </c>
      <c r="F839" s="1">
        <v>42787</v>
      </c>
      <c r="G839" s="2">
        <v>89.6</v>
      </c>
      <c r="H839" s="2">
        <v>0.16900000000000001</v>
      </c>
      <c r="I839" s="2">
        <v>0.16900000000000001</v>
      </c>
      <c r="J839" s="2">
        <v>26</v>
      </c>
      <c r="K839" s="2">
        <v>6</v>
      </c>
      <c r="L839" s="2">
        <v>801.3</v>
      </c>
      <c r="M839" s="2">
        <v>801.3</v>
      </c>
      <c r="N839" s="2">
        <f ca="1">INDEX(INDIRECT(_xlfn.CONCAT("weather.tbl[",N$1,"]")),MATCH(vp.tbl[[#This Row],[SDate]],weather.tbl[Date],0))</f>
        <v>-5.0000000000000024E-2</v>
      </c>
      <c r="O839" s="2">
        <f ca="1">INDEX(INDIRECT(_xlfn.CONCAT("weather.tbl[",O$1,"]")),MATCH(vp.tbl[[#This Row],[SDate]],weather.tbl[Date],0))</f>
        <v>0.84761904761904761</v>
      </c>
      <c r="P839" s="2">
        <f ca="1">INDEX(INDIRECT(_xlfn.CONCAT("weather.tbl[",P$1,"]")),MATCH(vp.tbl[[#This Row],[SDate]],weather.tbl[Date],0))</f>
        <v>1.1000000000000001</v>
      </c>
      <c r="Q839" s="2">
        <f ca="1">INDEX(INDIRECT(_xlfn.CONCAT("weather.tbl[",Q$1,"]")),MATCH(vp.tbl[[#This Row],[SDate]],weather.tbl[Date],0))</f>
        <v>-0.4</v>
      </c>
      <c r="R839" s="2">
        <f ca="1">INDEX(INDIRECT(_xlfn.CONCAT("weather.tbl[",R$1,"]")),MATCH(vp.tbl[[#This Row],[SDate]],weather.tbl[Date],0))</f>
        <v>-1.3</v>
      </c>
      <c r="S839" s="2">
        <f ca="1">INDEX(INDIRECT(_xlfn.CONCAT("weather.tbl[",S$1,"]")),MATCH(vp.tbl[[#This Row],[SDate]],weather.tbl[Date],0))</f>
        <v>1.4</v>
      </c>
      <c r="T839" s="2">
        <f ca="1">INDEX(INDIRECT(_xlfn.CONCAT("weather.tbl[",T$1,"]")),MATCH(vp.tbl[[#This Row],[SDate]],weather.tbl[Date],0))</f>
        <v>-1.1000000000000001</v>
      </c>
      <c r="U839" s="2">
        <f ca="1">INDEX(INDIRECT(_xlfn.CONCAT("weather.tbl[",U$1,"]")),MATCH(vp.tbl[[#This Row],[SDate]],weather.tbl[Date],0))</f>
        <v>0</v>
      </c>
      <c r="V839" s="2">
        <v>8347.0130000000008</v>
      </c>
      <c r="W839" t="s">
        <v>48</v>
      </c>
      <c r="X839">
        <f>IF(OR(vp.tbl[[#This Row],[Sulf]]="",vp.tbl[[#This Row],[Dens]]=""),1,0)</f>
        <v>0</v>
      </c>
      <c r="Y839">
        <f>IF(vp.tbl[[#This Row],[CrudeType]]="C5+",1,0)</f>
        <v>0</v>
      </c>
      <c r="Z839">
        <f>IF(AND(vp.tbl[[#This Row],[CrudeType]]="Crude",vp.tbl[[#This Row],[Dens]]&lt;=825,vp.tbl[[#This Row],[Sulf]]&gt;0.5,vp.tbl[[#This Row],[Unknown]]=0),1,0)</f>
        <v>0</v>
      </c>
      <c r="AA839">
        <f>IF(AND(vp.tbl[[#This Row],[CrudeType]]="Crude",vp.tbl[[#This Row],[Dens]]&lt;=825,vp.tbl[[#This Row],[Sulf]]&lt;=0.5,vp.tbl[[#This Row],[Unknown]]=0),1,0)</f>
        <v>1</v>
      </c>
      <c r="AB839">
        <f>IF(AND(vp.tbl[[#This Row],[CrudeType]]="Crude",vp.tbl[[#This Row],[Dens]]&gt;825,vp.tbl[[#This Row],[Dens]]&lt;=870,vp.tbl[[#This Row],[Sulf]]&gt;0.5,vp.tbl[[#This Row],[Unknown]]=0),1,0)</f>
        <v>0</v>
      </c>
      <c r="AC839">
        <f>IF(AND(vp.tbl[[#This Row],[CrudeType]]="Crude",vp.tbl[[#This Row],[Dens]]&gt;825,vp.tbl[[#This Row],[Dens]]&lt;=900,vp.tbl[[#This Row],[Sulf]]&lt;=0.5,vp.tbl[[#This Row],[Unknown]]=0),1,0)</f>
        <v>0</v>
      </c>
      <c r="AD839">
        <f>IF(AND(vp.tbl[[#This Row],[CrudeType]]="Crude",vp.tbl[[#This Row],[Dens]]&gt;870,vp.tbl[[#This Row],[Dens]]&lt;=900,vp.tbl[[#This Row],[Sulf]]&gt;0.5,vp.tbl[[#This Row],[Unknown]]=0),1,0)</f>
        <v>0</v>
      </c>
      <c r="AE839">
        <f>IF(AND(vp.tbl[[#This Row],[CrudeType]]="Crude",vp.tbl[[#This Row],[Dens]]&gt;900,vp.tbl[[#This Row],[Sulf]]&lt;=0.5,vp.tbl[[#This Row],[Unknown]]=0),1,0)</f>
        <v>0</v>
      </c>
      <c r="AF839">
        <f>IF(AND(vp.tbl[[#This Row],[CrudeType]]="Crude",vp.tbl[[#This Row],[Dens]]&gt;900,vp.tbl[[#This Row],[Sulf]]&lt;=0.5,vp.tbl[[#This Row],[Unknown]]=0),1,0)</f>
        <v>0</v>
      </c>
      <c r="AG839" t="str">
        <f>INDEX(vp.tbl[[#Headers],[Unknown]:[Heavy_SW]],MATCH(1,vp.tbl[[#This Row],[Unknown]:[Heavy_SW]],0))</f>
        <v>Light_SW</v>
      </c>
      <c r="AH839" t="e">
        <f>INDEX([1]!crudeBD.lkup[Number],MATCH(vp.tbl[[#This Row],[Crude_Breakdown]],[1]!crudeBD.lkup[Crude Breakdown],0))</f>
        <v>#REF!</v>
      </c>
      <c r="AI839">
        <f>MONTH(vp.tbl[[#This Row],[SDate]])</f>
        <v>2</v>
      </c>
      <c r="AJ839" s="5">
        <f>IFERROR(vp.tbl[[#This Row],[Sulf]]*vp.tbl[[#This Row],[Net Dens]],"")</f>
        <v>1130349.9963561001</v>
      </c>
      <c r="AK839" s="5">
        <f>IFERROR(vp.tbl[[#This Row],[Dens]]*vp.tbl[[#This Row],[VolumeM3]],"")</f>
        <v>6688461.5169000002</v>
      </c>
      <c r="AL839" s="5">
        <f>IFERROR(vp.tbl[[#This Row],[VP]]*vp.tbl[[#This Row],[VolumeM3]],"")</f>
        <v>747892.36479999998</v>
      </c>
      <c r="AM839" s="4">
        <f>IFERROR((vp.tbl[[#This Row],[VP]]-INDEX(crudeBD.lkup.complete[Mean_VP],MATCH(vp.tbl[[#This Row],[Crude_Breakdown]],crudeBD.lkup.complete[Crude Breakdown],0)))^2,"")</f>
        <v>8.7043502725538549</v>
      </c>
      <c r="AN839" s="4">
        <f>IFERROR((vp.tbl[[#This Row],[Dens]]-INDEX(crudeBD.lkup.complete[Mean_Dens],MATCH(vp.tbl[[#This Row],[Crude_Breakdown]],crudeBD.lkup.complete[Crude Breakdown],0)))^2,"")</f>
        <v>49.161107819687025</v>
      </c>
      <c r="AO839" s="4">
        <f>IFERROR((vp.tbl[[#This Row],[Sulf]]-INDEX(crudeBD.lkup.complete[Mean_Sulf],MATCH(vp.tbl[[#This Row],[Crude_Breakdown]],crudeBD.lkup.complete[Crude Breakdown],0)))^2,"")</f>
        <v>4.5214612604256238E-3</v>
      </c>
      <c r="AP839">
        <f>IF(AND(vp.tbl[[#This Row],[SDate]]&gt;=DATE(YEAR(vp.tbl[[#This Row],[SDate]]),5,1),vp.tbl[[#This Row],[SDate]]&lt;=DATE(YEAR(vp.tbl[[#This Row],[SDate]]),9,15)),1,0)</f>
        <v>0</v>
      </c>
      <c r="AQ839" s="15">
        <f>IF(vp.tbl[[#This Row],[SDate]]&lt;DATE(2016,12,1),0,1)</f>
        <v>1</v>
      </c>
    </row>
    <row r="840" spans="1:43" x14ac:dyDescent="0.25">
      <c r="A840">
        <v>839</v>
      </c>
      <c r="B840" t="s">
        <v>62</v>
      </c>
      <c r="C840" t="s">
        <v>62</v>
      </c>
      <c r="D840" t="s">
        <v>83</v>
      </c>
      <c r="F840" s="1">
        <v>42787</v>
      </c>
      <c r="G840" s="2">
        <v>83.4</v>
      </c>
      <c r="H840" s="2">
        <v>0.26500000000000001</v>
      </c>
      <c r="I840" s="2">
        <v>0.26500000000000001</v>
      </c>
      <c r="J840" s="2">
        <v>2.2000000000000002</v>
      </c>
      <c r="K840" s="2">
        <v>6</v>
      </c>
      <c r="L840" s="2">
        <v>810.2</v>
      </c>
      <c r="M840" s="2">
        <v>810.2</v>
      </c>
      <c r="N840" s="2">
        <f ca="1">INDEX(INDIRECT(_xlfn.CONCAT("weather.tbl[",N$1,"]")),MATCH(vp.tbl[[#This Row],[SDate]],weather.tbl[Date],0))</f>
        <v>-5.0000000000000024E-2</v>
      </c>
      <c r="O840" s="2">
        <f ca="1">INDEX(INDIRECT(_xlfn.CONCAT("weather.tbl[",O$1,"]")),MATCH(vp.tbl[[#This Row],[SDate]],weather.tbl[Date],0))</f>
        <v>0.84761904761904761</v>
      </c>
      <c r="P840" s="2">
        <f ca="1">INDEX(INDIRECT(_xlfn.CONCAT("weather.tbl[",P$1,"]")),MATCH(vp.tbl[[#This Row],[SDate]],weather.tbl[Date],0))</f>
        <v>1.1000000000000001</v>
      </c>
      <c r="Q840" s="2">
        <f ca="1">INDEX(INDIRECT(_xlfn.CONCAT("weather.tbl[",Q$1,"]")),MATCH(vp.tbl[[#This Row],[SDate]],weather.tbl[Date],0))</f>
        <v>-0.4</v>
      </c>
      <c r="R840" s="2">
        <f ca="1">INDEX(INDIRECT(_xlfn.CONCAT("weather.tbl[",R$1,"]")),MATCH(vp.tbl[[#This Row],[SDate]],weather.tbl[Date],0))</f>
        <v>-1.3</v>
      </c>
      <c r="S840" s="2">
        <f ca="1">INDEX(INDIRECT(_xlfn.CONCAT("weather.tbl[",S$1,"]")),MATCH(vp.tbl[[#This Row],[SDate]],weather.tbl[Date],0))</f>
        <v>1.4</v>
      </c>
      <c r="T840" s="2">
        <f ca="1">INDEX(INDIRECT(_xlfn.CONCAT("weather.tbl[",T$1,"]")),MATCH(vp.tbl[[#This Row],[SDate]],weather.tbl[Date],0))</f>
        <v>-1.1000000000000001</v>
      </c>
      <c r="U840" s="2">
        <f ca="1">INDEX(INDIRECT(_xlfn.CONCAT("weather.tbl[",U$1,"]")),MATCH(vp.tbl[[#This Row],[SDate]],weather.tbl[Date],0))</f>
        <v>0</v>
      </c>
      <c r="V840" s="2">
        <v>7967.6189999999997</v>
      </c>
      <c r="W840" t="s">
        <v>48</v>
      </c>
      <c r="X840">
        <f>IF(OR(vp.tbl[[#This Row],[Sulf]]="",vp.tbl[[#This Row],[Dens]]=""),1,0)</f>
        <v>0</v>
      </c>
      <c r="Y840">
        <f>IF(vp.tbl[[#This Row],[CrudeType]]="C5+",1,0)</f>
        <v>0</v>
      </c>
      <c r="Z840">
        <f>IF(AND(vp.tbl[[#This Row],[CrudeType]]="Crude",vp.tbl[[#This Row],[Dens]]&lt;=825,vp.tbl[[#This Row],[Sulf]]&gt;0.5,vp.tbl[[#This Row],[Unknown]]=0),1,0)</f>
        <v>0</v>
      </c>
      <c r="AA840">
        <f>IF(AND(vp.tbl[[#This Row],[CrudeType]]="Crude",vp.tbl[[#This Row],[Dens]]&lt;=825,vp.tbl[[#This Row],[Sulf]]&lt;=0.5,vp.tbl[[#This Row],[Unknown]]=0),1,0)</f>
        <v>1</v>
      </c>
      <c r="AB840">
        <f>IF(AND(vp.tbl[[#This Row],[CrudeType]]="Crude",vp.tbl[[#This Row],[Dens]]&gt;825,vp.tbl[[#This Row],[Dens]]&lt;=870,vp.tbl[[#This Row],[Sulf]]&gt;0.5,vp.tbl[[#This Row],[Unknown]]=0),1,0)</f>
        <v>0</v>
      </c>
      <c r="AC840">
        <f>IF(AND(vp.tbl[[#This Row],[CrudeType]]="Crude",vp.tbl[[#This Row],[Dens]]&gt;825,vp.tbl[[#This Row],[Dens]]&lt;=900,vp.tbl[[#This Row],[Sulf]]&lt;=0.5,vp.tbl[[#This Row],[Unknown]]=0),1,0)</f>
        <v>0</v>
      </c>
      <c r="AD840">
        <f>IF(AND(vp.tbl[[#This Row],[CrudeType]]="Crude",vp.tbl[[#This Row],[Dens]]&gt;870,vp.tbl[[#This Row],[Dens]]&lt;=900,vp.tbl[[#This Row],[Sulf]]&gt;0.5,vp.tbl[[#This Row],[Unknown]]=0),1,0)</f>
        <v>0</v>
      </c>
      <c r="AE840">
        <f>IF(AND(vp.tbl[[#This Row],[CrudeType]]="Crude",vp.tbl[[#This Row],[Dens]]&gt;900,vp.tbl[[#This Row],[Sulf]]&lt;=0.5,vp.tbl[[#This Row],[Unknown]]=0),1,0)</f>
        <v>0</v>
      </c>
      <c r="AF840">
        <f>IF(AND(vp.tbl[[#This Row],[CrudeType]]="Crude",vp.tbl[[#This Row],[Dens]]&gt;900,vp.tbl[[#This Row],[Sulf]]&lt;=0.5,vp.tbl[[#This Row],[Unknown]]=0),1,0)</f>
        <v>0</v>
      </c>
      <c r="AG840" t="str">
        <f>INDEX(vp.tbl[[#Headers],[Unknown]:[Heavy_SW]],MATCH(1,vp.tbl[[#This Row],[Unknown]:[Heavy_SW]],0))</f>
        <v>Light_SW</v>
      </c>
      <c r="AH840" t="e">
        <f>INDEX([1]!crudeBD.lkup[Number],MATCH(vp.tbl[[#This Row],[Crude_Breakdown]],[1]!crudeBD.lkup[Crude Breakdown],0))</f>
        <v>#REF!</v>
      </c>
      <c r="AI840">
        <f>MONTH(vp.tbl[[#This Row],[SDate]])</f>
        <v>2</v>
      </c>
      <c r="AJ840" s="5">
        <f>IFERROR(vp.tbl[[#This Row],[Sulf]]*vp.tbl[[#This Row],[Net Dens]],"")</f>
        <v>1710671.7021570001</v>
      </c>
      <c r="AK840" s="5">
        <f>IFERROR(vp.tbl[[#This Row],[Dens]]*vp.tbl[[#This Row],[VolumeM3]],"")</f>
        <v>6455364.9138000002</v>
      </c>
      <c r="AL840" s="5">
        <f>IFERROR(vp.tbl[[#This Row],[VP]]*vp.tbl[[#This Row],[VolumeM3]],"")</f>
        <v>664499.42460000003</v>
      </c>
      <c r="AM840" s="4">
        <f>IFERROR((vp.tbl[[#This Row],[VP]]-INDEX(crudeBD.lkup.complete[Mean_VP],MATCH(vp.tbl[[#This Row],[Crude_Breakdown]],crudeBD.lkup.complete[Crude Breakdown],0)))^2,"")</f>
        <v>83.728238774295505</v>
      </c>
      <c r="AN840" s="4">
        <f>IFERROR((vp.tbl[[#This Row],[Dens]]-INDEX(crudeBD.lkup.complete[Mean_Dens],MATCH(vp.tbl[[#This Row],[Crude_Breakdown]],crudeBD.lkup.complete[Crude Breakdown],0)))^2,"")</f>
        <v>3.5664388301434045</v>
      </c>
      <c r="AO840" s="4">
        <f>IFERROR((vp.tbl[[#This Row],[Sulf]]-INDEX(crudeBD.lkup.complete[Mean_Sulf],MATCH(vp.tbl[[#This Row],[Crude_Breakdown]],crudeBD.lkup.complete[Crude Breakdown],0)))^2,"")</f>
        <v>8.2703338586119523E-4</v>
      </c>
      <c r="AP840">
        <f>IF(AND(vp.tbl[[#This Row],[SDate]]&gt;=DATE(YEAR(vp.tbl[[#This Row],[SDate]]),5,1),vp.tbl[[#This Row],[SDate]]&lt;=DATE(YEAR(vp.tbl[[#This Row],[SDate]]),9,15)),1,0)</f>
        <v>0</v>
      </c>
      <c r="AQ840" s="15">
        <f>IF(vp.tbl[[#This Row],[SDate]]&lt;DATE(2016,12,1),0,1)</f>
        <v>1</v>
      </c>
    </row>
    <row r="841" spans="1:43" x14ac:dyDescent="0.25">
      <c r="A841">
        <v>840</v>
      </c>
      <c r="B841" t="s">
        <v>62</v>
      </c>
      <c r="C841" t="s">
        <v>62</v>
      </c>
      <c r="D841" t="s">
        <v>79</v>
      </c>
      <c r="F841" s="1">
        <v>42787</v>
      </c>
      <c r="G841" s="2">
        <v>88</v>
      </c>
      <c r="H841" s="2">
        <v>0.28299999999999997</v>
      </c>
      <c r="I841" s="2">
        <v>0.28299999999999997</v>
      </c>
      <c r="J841" s="2">
        <v>14.1</v>
      </c>
      <c r="K841" s="2">
        <v>6</v>
      </c>
      <c r="L841" s="2">
        <v>807.8</v>
      </c>
      <c r="M841" s="2">
        <v>807.8</v>
      </c>
      <c r="N841" s="2">
        <f ca="1">INDEX(INDIRECT(_xlfn.CONCAT("weather.tbl[",N$1,"]")),MATCH(vp.tbl[[#This Row],[SDate]],weather.tbl[Date],0))</f>
        <v>-5.0000000000000024E-2</v>
      </c>
      <c r="O841" s="2">
        <f ca="1">INDEX(INDIRECT(_xlfn.CONCAT("weather.tbl[",O$1,"]")),MATCH(vp.tbl[[#This Row],[SDate]],weather.tbl[Date],0))</f>
        <v>0.84761904761904761</v>
      </c>
      <c r="P841" s="2">
        <f ca="1">INDEX(INDIRECT(_xlfn.CONCAT("weather.tbl[",P$1,"]")),MATCH(vp.tbl[[#This Row],[SDate]],weather.tbl[Date],0))</f>
        <v>1.1000000000000001</v>
      </c>
      <c r="Q841" s="2">
        <f ca="1">INDEX(INDIRECT(_xlfn.CONCAT("weather.tbl[",Q$1,"]")),MATCH(vp.tbl[[#This Row],[SDate]],weather.tbl[Date],0))</f>
        <v>-0.4</v>
      </c>
      <c r="R841" s="2">
        <f ca="1">INDEX(INDIRECT(_xlfn.CONCAT("weather.tbl[",R$1,"]")),MATCH(vp.tbl[[#This Row],[SDate]],weather.tbl[Date],0))</f>
        <v>-1.3</v>
      </c>
      <c r="S841" s="2">
        <f ca="1">INDEX(INDIRECT(_xlfn.CONCAT("weather.tbl[",S$1,"]")),MATCH(vp.tbl[[#This Row],[SDate]],weather.tbl[Date],0))</f>
        <v>1.4</v>
      </c>
      <c r="T841" s="2">
        <f ca="1">INDEX(INDIRECT(_xlfn.CONCAT("weather.tbl[",T$1,"]")),MATCH(vp.tbl[[#This Row],[SDate]],weather.tbl[Date],0))</f>
        <v>-1.1000000000000001</v>
      </c>
      <c r="U841" s="2">
        <f ca="1">INDEX(INDIRECT(_xlfn.CONCAT("weather.tbl[",U$1,"]")),MATCH(vp.tbl[[#This Row],[SDate]],weather.tbl[Date],0))</f>
        <v>0</v>
      </c>
      <c r="V841" s="2">
        <v>12819.813</v>
      </c>
      <c r="W841" t="s">
        <v>48</v>
      </c>
      <c r="X841">
        <f>IF(OR(vp.tbl[[#This Row],[Sulf]]="",vp.tbl[[#This Row],[Dens]]=""),1,0)</f>
        <v>0</v>
      </c>
      <c r="Y841">
        <f>IF(vp.tbl[[#This Row],[CrudeType]]="C5+",1,0)</f>
        <v>0</v>
      </c>
      <c r="Z841">
        <f>IF(AND(vp.tbl[[#This Row],[CrudeType]]="Crude",vp.tbl[[#This Row],[Dens]]&lt;=825,vp.tbl[[#This Row],[Sulf]]&gt;0.5,vp.tbl[[#This Row],[Unknown]]=0),1,0)</f>
        <v>0</v>
      </c>
      <c r="AA841">
        <f>IF(AND(vp.tbl[[#This Row],[CrudeType]]="Crude",vp.tbl[[#This Row],[Dens]]&lt;=825,vp.tbl[[#This Row],[Sulf]]&lt;=0.5,vp.tbl[[#This Row],[Unknown]]=0),1,0)</f>
        <v>1</v>
      </c>
      <c r="AB841">
        <f>IF(AND(vp.tbl[[#This Row],[CrudeType]]="Crude",vp.tbl[[#This Row],[Dens]]&gt;825,vp.tbl[[#This Row],[Dens]]&lt;=870,vp.tbl[[#This Row],[Sulf]]&gt;0.5,vp.tbl[[#This Row],[Unknown]]=0),1,0)</f>
        <v>0</v>
      </c>
      <c r="AC841">
        <f>IF(AND(vp.tbl[[#This Row],[CrudeType]]="Crude",vp.tbl[[#This Row],[Dens]]&gt;825,vp.tbl[[#This Row],[Dens]]&lt;=900,vp.tbl[[#This Row],[Sulf]]&lt;=0.5,vp.tbl[[#This Row],[Unknown]]=0),1,0)</f>
        <v>0</v>
      </c>
      <c r="AD841">
        <f>IF(AND(vp.tbl[[#This Row],[CrudeType]]="Crude",vp.tbl[[#This Row],[Dens]]&gt;870,vp.tbl[[#This Row],[Dens]]&lt;=900,vp.tbl[[#This Row],[Sulf]]&gt;0.5,vp.tbl[[#This Row],[Unknown]]=0),1,0)</f>
        <v>0</v>
      </c>
      <c r="AE841">
        <f>IF(AND(vp.tbl[[#This Row],[CrudeType]]="Crude",vp.tbl[[#This Row],[Dens]]&gt;900,vp.tbl[[#This Row],[Sulf]]&lt;=0.5,vp.tbl[[#This Row],[Unknown]]=0),1,0)</f>
        <v>0</v>
      </c>
      <c r="AF841">
        <f>IF(AND(vp.tbl[[#This Row],[CrudeType]]="Crude",vp.tbl[[#This Row],[Dens]]&gt;900,vp.tbl[[#This Row],[Sulf]]&lt;=0.5,vp.tbl[[#This Row],[Unknown]]=0),1,0)</f>
        <v>0</v>
      </c>
      <c r="AG841" t="str">
        <f>INDEX(vp.tbl[[#Headers],[Unknown]:[Heavy_SW]],MATCH(1,vp.tbl[[#This Row],[Unknown]:[Heavy_SW]],0))</f>
        <v>Light_SW</v>
      </c>
      <c r="AH841" t="e">
        <f>INDEX([1]!crudeBD.lkup[Number],MATCH(vp.tbl[[#This Row],[Crude_Breakdown]],[1]!crudeBD.lkup[Crude Breakdown],0))</f>
        <v>#REF!</v>
      </c>
      <c r="AI841">
        <f>MONTH(vp.tbl[[#This Row],[SDate]])</f>
        <v>2</v>
      </c>
      <c r="AJ841" s="5">
        <f>IFERROR(vp.tbl[[#This Row],[Sulf]]*vp.tbl[[#This Row],[Net Dens]],"")</f>
        <v>2930704.1184161995</v>
      </c>
      <c r="AK841" s="5">
        <f>IFERROR(vp.tbl[[#This Row],[Dens]]*vp.tbl[[#This Row],[VolumeM3]],"")</f>
        <v>10355844.941399999</v>
      </c>
      <c r="AL841" s="5">
        <f>IFERROR(vp.tbl[[#This Row],[VP]]*vp.tbl[[#This Row],[VolumeM3]],"")</f>
        <v>1128143.544</v>
      </c>
      <c r="AM841" s="4">
        <f>IFERROR((vp.tbl[[#This Row],[VP]]-INDEX(crudeBD.lkup.complete[Mean_VP],MATCH(vp.tbl[[#This Row],[Crude_Breakdown]],crudeBD.lkup.complete[Crude Breakdown],0)))^2,"")</f>
        <v>20.705353756874285</v>
      </c>
      <c r="AN841" s="4">
        <f>IFERROR((vp.tbl[[#This Row],[Dens]]-INDEX(crudeBD.lkup.complete[Mean_Dens],MATCH(vp.tbl[[#This Row],[Crude_Breakdown]],crudeBD.lkup.complete[Crude Breakdown],0)))^2,"")</f>
        <v>0.26163046777289312</v>
      </c>
      <c r="AO841" s="4">
        <f>IFERROR((vp.tbl[[#This Row],[Sulf]]-INDEX(crudeBD.lkup.complete[Mean_Sulf],MATCH(vp.tbl[[#This Row],[Crude_Breakdown]],crudeBD.lkup.complete[Crude Breakdown],0)))^2,"")</f>
        <v>2.1863281593803613E-3</v>
      </c>
      <c r="AP841">
        <f>IF(AND(vp.tbl[[#This Row],[SDate]]&gt;=DATE(YEAR(vp.tbl[[#This Row],[SDate]]),5,1),vp.tbl[[#This Row],[SDate]]&lt;=DATE(YEAR(vp.tbl[[#This Row],[SDate]]),9,15)),1,0)</f>
        <v>0</v>
      </c>
      <c r="AQ841" s="15">
        <f>IF(vp.tbl[[#This Row],[SDate]]&lt;DATE(2016,12,1),0,1)</f>
        <v>1</v>
      </c>
    </row>
    <row r="842" spans="1:43" x14ac:dyDescent="0.25">
      <c r="A842">
        <v>841</v>
      </c>
      <c r="B842" t="s">
        <v>51</v>
      </c>
      <c r="C842" t="s">
        <v>51</v>
      </c>
      <c r="D842" t="s">
        <v>95</v>
      </c>
      <c r="F842" s="1">
        <v>42787</v>
      </c>
      <c r="G842" s="2">
        <v>61.3</v>
      </c>
      <c r="H842" s="2">
        <v>1.208</v>
      </c>
      <c r="I842" s="2">
        <v>1.208</v>
      </c>
      <c r="J842" s="2">
        <v>24.6</v>
      </c>
      <c r="K842" s="2">
        <v>6</v>
      </c>
      <c r="L842" s="2">
        <v>843.6</v>
      </c>
      <c r="M842" s="2">
        <v>843.6</v>
      </c>
      <c r="N842" s="2">
        <f ca="1">INDEX(INDIRECT(_xlfn.CONCAT("weather.tbl[",N$1,"]")),MATCH(vp.tbl[[#This Row],[SDate]],weather.tbl[Date],0))</f>
        <v>-5.0000000000000024E-2</v>
      </c>
      <c r="O842" s="2">
        <f ca="1">INDEX(INDIRECT(_xlfn.CONCAT("weather.tbl[",O$1,"]")),MATCH(vp.tbl[[#This Row],[SDate]],weather.tbl[Date],0))</f>
        <v>0.84761904761904761</v>
      </c>
      <c r="P842" s="2">
        <f ca="1">INDEX(INDIRECT(_xlfn.CONCAT("weather.tbl[",P$1,"]")),MATCH(vp.tbl[[#This Row],[SDate]],weather.tbl[Date],0))</f>
        <v>1.1000000000000001</v>
      </c>
      <c r="Q842" s="2">
        <f ca="1">INDEX(INDIRECT(_xlfn.CONCAT("weather.tbl[",Q$1,"]")),MATCH(vp.tbl[[#This Row],[SDate]],weather.tbl[Date],0))</f>
        <v>-0.4</v>
      </c>
      <c r="R842" s="2">
        <f ca="1">INDEX(INDIRECT(_xlfn.CONCAT("weather.tbl[",R$1,"]")),MATCH(vp.tbl[[#This Row],[SDate]],weather.tbl[Date],0))</f>
        <v>-1.3</v>
      </c>
      <c r="S842" s="2">
        <f ca="1">INDEX(INDIRECT(_xlfn.CONCAT("weather.tbl[",S$1,"]")),MATCH(vp.tbl[[#This Row],[SDate]],weather.tbl[Date],0))</f>
        <v>1.4</v>
      </c>
      <c r="T842" s="2">
        <f ca="1">INDEX(INDIRECT(_xlfn.CONCAT("weather.tbl[",T$1,"]")),MATCH(vp.tbl[[#This Row],[SDate]],weather.tbl[Date],0))</f>
        <v>-1.1000000000000001</v>
      </c>
      <c r="U842" s="2">
        <f ca="1">INDEX(INDIRECT(_xlfn.CONCAT("weather.tbl[",U$1,"]")),MATCH(vp.tbl[[#This Row],[SDate]],weather.tbl[Date],0))</f>
        <v>0</v>
      </c>
      <c r="V842" s="2">
        <v>6151.1620000000003</v>
      </c>
      <c r="W842" t="s">
        <v>48</v>
      </c>
      <c r="X842">
        <f>IF(OR(vp.tbl[[#This Row],[Sulf]]="",vp.tbl[[#This Row],[Dens]]=""),1,0)</f>
        <v>0</v>
      </c>
      <c r="Y842">
        <f>IF(vp.tbl[[#This Row],[CrudeType]]="C5+",1,0)</f>
        <v>0</v>
      </c>
      <c r="Z842">
        <f>IF(AND(vp.tbl[[#This Row],[CrudeType]]="Crude",vp.tbl[[#This Row],[Dens]]&lt;=825,vp.tbl[[#This Row],[Sulf]]&gt;0.5,vp.tbl[[#This Row],[Unknown]]=0),1,0)</f>
        <v>0</v>
      </c>
      <c r="AA842">
        <f>IF(AND(vp.tbl[[#This Row],[CrudeType]]="Crude",vp.tbl[[#This Row],[Dens]]&lt;=825,vp.tbl[[#This Row],[Sulf]]&lt;=0.5,vp.tbl[[#This Row],[Unknown]]=0),1,0)</f>
        <v>0</v>
      </c>
      <c r="AB842">
        <f>IF(AND(vp.tbl[[#This Row],[CrudeType]]="Crude",vp.tbl[[#This Row],[Dens]]&gt;825,vp.tbl[[#This Row],[Dens]]&lt;=870,vp.tbl[[#This Row],[Sulf]]&gt;0.5,vp.tbl[[#This Row],[Unknown]]=0),1,0)</f>
        <v>1</v>
      </c>
      <c r="AC842">
        <f>IF(AND(vp.tbl[[#This Row],[CrudeType]]="Crude",vp.tbl[[#This Row],[Dens]]&gt;825,vp.tbl[[#This Row],[Dens]]&lt;=900,vp.tbl[[#This Row],[Sulf]]&lt;=0.5,vp.tbl[[#This Row],[Unknown]]=0),1,0)</f>
        <v>0</v>
      </c>
      <c r="AD842">
        <f>IF(AND(vp.tbl[[#This Row],[CrudeType]]="Crude",vp.tbl[[#This Row],[Dens]]&gt;870,vp.tbl[[#This Row],[Dens]]&lt;=900,vp.tbl[[#This Row],[Sulf]]&gt;0.5,vp.tbl[[#This Row],[Unknown]]=0),1,0)</f>
        <v>0</v>
      </c>
      <c r="AE842">
        <f>IF(AND(vp.tbl[[#This Row],[CrudeType]]="Crude",vp.tbl[[#This Row],[Dens]]&gt;900,vp.tbl[[#This Row],[Sulf]]&lt;=0.5,vp.tbl[[#This Row],[Unknown]]=0),1,0)</f>
        <v>0</v>
      </c>
      <c r="AF842">
        <f>IF(AND(vp.tbl[[#This Row],[CrudeType]]="Crude",vp.tbl[[#This Row],[Dens]]&gt;900,vp.tbl[[#This Row],[Sulf]]&lt;=0.5,vp.tbl[[#This Row],[Unknown]]=0),1,0)</f>
        <v>0</v>
      </c>
      <c r="AG842" t="str">
        <f>INDEX(vp.tbl[[#Headers],[Unknown]:[Heavy_SW]],MATCH(1,vp.tbl[[#This Row],[Unknown]:[Heavy_SW]],0))</f>
        <v>Medium_LSB</v>
      </c>
      <c r="AH842" t="e">
        <f>INDEX([1]!crudeBD.lkup[Number],MATCH(vp.tbl[[#This Row],[Crude_Breakdown]],[1]!crudeBD.lkup[Crude Breakdown],0))</f>
        <v>#REF!</v>
      </c>
      <c r="AI842">
        <f>MONTH(vp.tbl[[#This Row],[SDate]])</f>
        <v>2</v>
      </c>
      <c r="AJ842" s="5">
        <f>IFERROR(vp.tbl[[#This Row],[Sulf]]*vp.tbl[[#This Row],[Net Dens]],"")</f>
        <v>6268457.2779455995</v>
      </c>
      <c r="AK842" s="5">
        <f>IFERROR(vp.tbl[[#This Row],[Dens]]*vp.tbl[[#This Row],[VolumeM3]],"")</f>
        <v>5189120.2631999999</v>
      </c>
      <c r="AL842" s="5">
        <f>IFERROR(vp.tbl[[#This Row],[VP]]*vp.tbl[[#This Row],[VolumeM3]],"")</f>
        <v>377066.23060000001</v>
      </c>
      <c r="AM842" s="4">
        <f>IFERROR((vp.tbl[[#This Row],[VP]]-INDEX(crudeBD.lkup.complete[Mean_VP],MATCH(vp.tbl[[#This Row],[Crude_Breakdown]],crudeBD.lkup.complete[Crude Breakdown],0)))^2,"")</f>
        <v>356.21258583496103</v>
      </c>
      <c r="AN842" s="4">
        <f>IFERROR((vp.tbl[[#This Row],[Dens]]-INDEX(crudeBD.lkup.complete[Mean_Dens],MATCH(vp.tbl[[#This Row],[Crude_Breakdown]],crudeBD.lkup.complete[Crude Breakdown],0)))^2,"")</f>
        <v>2.8622643351992831</v>
      </c>
      <c r="AO842" s="4">
        <f>IFERROR((vp.tbl[[#This Row],[Sulf]]-INDEX(crudeBD.lkup.complete[Mean_Sulf],MATCH(vp.tbl[[#This Row],[Crude_Breakdown]],crudeBD.lkup.complete[Crude Breakdown],0)))^2,"")</f>
        <v>6.0974356134703679E-2</v>
      </c>
      <c r="AP842">
        <f>IF(AND(vp.tbl[[#This Row],[SDate]]&gt;=DATE(YEAR(vp.tbl[[#This Row],[SDate]]),5,1),vp.tbl[[#This Row],[SDate]]&lt;=DATE(YEAR(vp.tbl[[#This Row],[SDate]]),9,15)),1,0)</f>
        <v>0</v>
      </c>
      <c r="AQ842" s="15">
        <f>IF(vp.tbl[[#This Row],[SDate]]&lt;DATE(2016,12,1),0,1)</f>
        <v>1</v>
      </c>
    </row>
    <row r="843" spans="1:43" x14ac:dyDescent="0.25">
      <c r="A843">
        <v>842</v>
      </c>
      <c r="B843" t="s">
        <v>49</v>
      </c>
      <c r="C843" t="s">
        <v>49</v>
      </c>
      <c r="D843" t="s">
        <v>90</v>
      </c>
      <c r="F843" s="1">
        <v>42787</v>
      </c>
      <c r="G843" s="2">
        <v>73.099999999999994</v>
      </c>
      <c r="H843" s="2">
        <v>1.2789999999999999</v>
      </c>
      <c r="I843" s="2">
        <v>1.2789999999999999</v>
      </c>
      <c r="J843" s="2">
        <v>32.9</v>
      </c>
      <c r="K843" s="2">
        <v>6</v>
      </c>
      <c r="L843" s="2">
        <v>846.1</v>
      </c>
      <c r="M843" s="2">
        <v>846.1</v>
      </c>
      <c r="N843" s="2">
        <f ca="1">INDEX(INDIRECT(_xlfn.CONCAT("weather.tbl[",N$1,"]")),MATCH(vp.tbl[[#This Row],[SDate]],weather.tbl[Date],0))</f>
        <v>-5.0000000000000024E-2</v>
      </c>
      <c r="O843" s="2">
        <f ca="1">INDEX(INDIRECT(_xlfn.CONCAT("weather.tbl[",O$1,"]")),MATCH(vp.tbl[[#This Row],[SDate]],weather.tbl[Date],0))</f>
        <v>0.84761904761904761</v>
      </c>
      <c r="P843" s="2">
        <f ca="1">INDEX(INDIRECT(_xlfn.CONCAT("weather.tbl[",P$1,"]")),MATCH(vp.tbl[[#This Row],[SDate]],weather.tbl[Date],0))</f>
        <v>1.1000000000000001</v>
      </c>
      <c r="Q843" s="2">
        <f ca="1">INDEX(INDIRECT(_xlfn.CONCAT("weather.tbl[",Q$1,"]")),MATCH(vp.tbl[[#This Row],[SDate]],weather.tbl[Date],0))</f>
        <v>-0.4</v>
      </c>
      <c r="R843" s="2">
        <f ca="1">INDEX(INDIRECT(_xlfn.CONCAT("weather.tbl[",R$1,"]")),MATCH(vp.tbl[[#This Row],[SDate]],weather.tbl[Date],0))</f>
        <v>-1.3</v>
      </c>
      <c r="S843" s="2">
        <f ca="1">INDEX(INDIRECT(_xlfn.CONCAT("weather.tbl[",S$1,"]")),MATCH(vp.tbl[[#This Row],[SDate]],weather.tbl[Date],0))</f>
        <v>1.4</v>
      </c>
      <c r="T843" s="2">
        <f ca="1">INDEX(INDIRECT(_xlfn.CONCAT("weather.tbl[",T$1,"]")),MATCH(vp.tbl[[#This Row],[SDate]],weather.tbl[Date],0))</f>
        <v>-1.1000000000000001</v>
      </c>
      <c r="U843" s="2">
        <f ca="1">INDEX(INDIRECT(_xlfn.CONCAT("weather.tbl[",U$1,"]")),MATCH(vp.tbl[[#This Row],[SDate]],weather.tbl[Date],0))</f>
        <v>0</v>
      </c>
      <c r="V843" s="2">
        <v>4432.7370000000001</v>
      </c>
      <c r="W843" t="s">
        <v>48</v>
      </c>
      <c r="X843">
        <f>IF(OR(vp.tbl[[#This Row],[Sulf]]="",vp.tbl[[#This Row],[Dens]]=""),1,0)</f>
        <v>0</v>
      </c>
      <c r="Y843">
        <f>IF(vp.tbl[[#This Row],[CrudeType]]="C5+",1,0)</f>
        <v>0</v>
      </c>
      <c r="Z843">
        <f>IF(AND(vp.tbl[[#This Row],[CrudeType]]="Crude",vp.tbl[[#This Row],[Dens]]&lt;=825,vp.tbl[[#This Row],[Sulf]]&gt;0.5,vp.tbl[[#This Row],[Unknown]]=0),1,0)</f>
        <v>0</v>
      </c>
      <c r="AA843">
        <f>IF(AND(vp.tbl[[#This Row],[CrudeType]]="Crude",vp.tbl[[#This Row],[Dens]]&lt;=825,vp.tbl[[#This Row],[Sulf]]&lt;=0.5,vp.tbl[[#This Row],[Unknown]]=0),1,0)</f>
        <v>0</v>
      </c>
      <c r="AB843">
        <f>IF(AND(vp.tbl[[#This Row],[CrudeType]]="Crude",vp.tbl[[#This Row],[Dens]]&gt;825,vp.tbl[[#This Row],[Dens]]&lt;=870,vp.tbl[[#This Row],[Sulf]]&gt;0.5,vp.tbl[[#This Row],[Unknown]]=0),1,0)</f>
        <v>1</v>
      </c>
      <c r="AC843">
        <f>IF(AND(vp.tbl[[#This Row],[CrudeType]]="Crude",vp.tbl[[#This Row],[Dens]]&gt;825,vp.tbl[[#This Row],[Dens]]&lt;=900,vp.tbl[[#This Row],[Sulf]]&lt;=0.5,vp.tbl[[#This Row],[Unknown]]=0),1,0)</f>
        <v>0</v>
      </c>
      <c r="AD843">
        <f>IF(AND(vp.tbl[[#This Row],[CrudeType]]="Crude",vp.tbl[[#This Row],[Dens]]&gt;870,vp.tbl[[#This Row],[Dens]]&lt;=900,vp.tbl[[#This Row],[Sulf]]&gt;0.5,vp.tbl[[#This Row],[Unknown]]=0),1,0)</f>
        <v>0</v>
      </c>
      <c r="AE843">
        <f>IF(AND(vp.tbl[[#This Row],[CrudeType]]="Crude",vp.tbl[[#This Row],[Dens]]&gt;900,vp.tbl[[#This Row],[Sulf]]&lt;=0.5,vp.tbl[[#This Row],[Unknown]]=0),1,0)</f>
        <v>0</v>
      </c>
      <c r="AF843">
        <f>IF(AND(vp.tbl[[#This Row],[CrudeType]]="Crude",vp.tbl[[#This Row],[Dens]]&gt;900,vp.tbl[[#This Row],[Sulf]]&lt;=0.5,vp.tbl[[#This Row],[Unknown]]=0),1,0)</f>
        <v>0</v>
      </c>
      <c r="AG843" t="str">
        <f>INDEX(vp.tbl[[#Headers],[Unknown]:[Heavy_SW]],MATCH(1,vp.tbl[[#This Row],[Unknown]:[Heavy_SW]],0))</f>
        <v>Medium_LSB</v>
      </c>
      <c r="AH843" t="e">
        <f>INDEX([1]!crudeBD.lkup[Number],MATCH(vp.tbl[[#This Row],[Crude_Breakdown]],[1]!crudeBD.lkup[Crude Breakdown],0))</f>
        <v>#REF!</v>
      </c>
      <c r="AI843">
        <f>MONTH(vp.tbl[[#This Row],[SDate]])</f>
        <v>2</v>
      </c>
      <c r="AJ843" s="5">
        <f>IFERROR(vp.tbl[[#This Row],[Sulf]]*vp.tbl[[#This Row],[Net Dens]],"")</f>
        <v>4796939.0941202994</v>
      </c>
      <c r="AK843" s="5">
        <f>IFERROR(vp.tbl[[#This Row],[Dens]]*vp.tbl[[#This Row],[VolumeM3]],"")</f>
        <v>3750538.7757000001</v>
      </c>
      <c r="AL843" s="5">
        <f>IFERROR(vp.tbl[[#This Row],[VP]]*vp.tbl[[#This Row],[VolumeM3]],"")</f>
        <v>324033.0747</v>
      </c>
      <c r="AM843" s="4">
        <f>IFERROR((vp.tbl[[#This Row],[VP]]-INDEX(crudeBD.lkup.complete[Mean_VP],MATCH(vp.tbl[[#This Row],[Crude_Breakdown]],crudeBD.lkup.complete[Crude Breakdown],0)))^2,"")</f>
        <v>50.035745328632792</v>
      </c>
      <c r="AN843" s="4">
        <f>IFERROR((vp.tbl[[#This Row],[Dens]]-INDEX(crudeBD.lkup.complete[Mean_Dens],MATCH(vp.tbl[[#This Row],[Crude_Breakdown]],crudeBD.lkup.complete[Crude Breakdown],0)))^2,"")</f>
        <v>0.65315041115368733</v>
      </c>
      <c r="AO843" s="4">
        <f>IFERROR((vp.tbl[[#This Row],[Sulf]]-INDEX(crudeBD.lkup.complete[Mean_Sulf],MATCH(vp.tbl[[#This Row],[Crude_Breakdown]],crudeBD.lkup.complete[Crude Breakdown],0)))^2,"")</f>
        <v>3.0951315906855383E-2</v>
      </c>
      <c r="AP843">
        <f>IF(AND(vp.tbl[[#This Row],[SDate]]&gt;=DATE(YEAR(vp.tbl[[#This Row],[SDate]]),5,1),vp.tbl[[#This Row],[SDate]]&lt;=DATE(YEAR(vp.tbl[[#This Row],[SDate]]),9,15)),1,0)</f>
        <v>0</v>
      </c>
      <c r="AQ843" s="15">
        <f>IF(vp.tbl[[#This Row],[SDate]]&lt;DATE(2016,12,1),0,1)</f>
        <v>1</v>
      </c>
    </row>
    <row r="844" spans="1:43" x14ac:dyDescent="0.25">
      <c r="A844">
        <v>843</v>
      </c>
      <c r="B844" t="s">
        <v>51</v>
      </c>
      <c r="C844" t="s">
        <v>51</v>
      </c>
      <c r="D844" t="s">
        <v>71</v>
      </c>
      <c r="F844" s="1">
        <v>42787</v>
      </c>
      <c r="G844" s="2">
        <v>89.5</v>
      </c>
      <c r="H844" s="2">
        <v>1.4059999999999999</v>
      </c>
      <c r="I844" s="2">
        <v>1.4059999999999999</v>
      </c>
      <c r="J844" s="2">
        <v>15.6</v>
      </c>
      <c r="K844" s="2">
        <v>6</v>
      </c>
      <c r="L844" s="2">
        <v>820.8</v>
      </c>
      <c r="M844" s="2">
        <v>820.8</v>
      </c>
      <c r="N844" s="2">
        <f ca="1">INDEX(INDIRECT(_xlfn.CONCAT("weather.tbl[",N$1,"]")),MATCH(vp.tbl[[#This Row],[SDate]],weather.tbl[Date],0))</f>
        <v>-5.0000000000000024E-2</v>
      </c>
      <c r="O844" s="2">
        <f ca="1">INDEX(INDIRECT(_xlfn.CONCAT("weather.tbl[",O$1,"]")),MATCH(vp.tbl[[#This Row],[SDate]],weather.tbl[Date],0))</f>
        <v>0.84761904761904761</v>
      </c>
      <c r="P844" s="2">
        <f ca="1">INDEX(INDIRECT(_xlfn.CONCAT("weather.tbl[",P$1,"]")),MATCH(vp.tbl[[#This Row],[SDate]],weather.tbl[Date],0))</f>
        <v>1.1000000000000001</v>
      </c>
      <c r="Q844" s="2">
        <f ca="1">INDEX(INDIRECT(_xlfn.CONCAT("weather.tbl[",Q$1,"]")),MATCH(vp.tbl[[#This Row],[SDate]],weather.tbl[Date],0))</f>
        <v>-0.4</v>
      </c>
      <c r="R844" s="2">
        <f ca="1">INDEX(INDIRECT(_xlfn.CONCAT("weather.tbl[",R$1,"]")),MATCH(vp.tbl[[#This Row],[SDate]],weather.tbl[Date],0))</f>
        <v>-1.3</v>
      </c>
      <c r="S844" s="2">
        <f ca="1">INDEX(INDIRECT(_xlfn.CONCAT("weather.tbl[",S$1,"]")),MATCH(vp.tbl[[#This Row],[SDate]],weather.tbl[Date],0))</f>
        <v>1.4</v>
      </c>
      <c r="T844" s="2">
        <f ca="1">INDEX(INDIRECT(_xlfn.CONCAT("weather.tbl[",T$1,"]")),MATCH(vp.tbl[[#This Row],[SDate]],weather.tbl[Date],0))</f>
        <v>-1.1000000000000001</v>
      </c>
      <c r="U844" s="2">
        <f ca="1">INDEX(INDIRECT(_xlfn.CONCAT("weather.tbl[",U$1,"]")),MATCH(vp.tbl[[#This Row],[SDate]],weather.tbl[Date],0))</f>
        <v>0</v>
      </c>
      <c r="V844" s="2">
        <v>7771.3980000000001</v>
      </c>
      <c r="W844" t="s">
        <v>48</v>
      </c>
      <c r="X844">
        <f>IF(OR(vp.tbl[[#This Row],[Sulf]]="",vp.tbl[[#This Row],[Dens]]=""),1,0)</f>
        <v>0</v>
      </c>
      <c r="Y844">
        <f>IF(vp.tbl[[#This Row],[CrudeType]]="C5+",1,0)</f>
        <v>0</v>
      </c>
      <c r="Z844">
        <f>IF(AND(vp.tbl[[#This Row],[CrudeType]]="Crude",vp.tbl[[#This Row],[Dens]]&lt;=825,vp.tbl[[#This Row],[Sulf]]&gt;0.5,vp.tbl[[#This Row],[Unknown]]=0),1,0)</f>
        <v>1</v>
      </c>
      <c r="AA844">
        <f>IF(AND(vp.tbl[[#This Row],[CrudeType]]="Crude",vp.tbl[[#This Row],[Dens]]&lt;=825,vp.tbl[[#This Row],[Sulf]]&lt;=0.5,vp.tbl[[#This Row],[Unknown]]=0),1,0)</f>
        <v>0</v>
      </c>
      <c r="AB844">
        <f>IF(AND(vp.tbl[[#This Row],[CrudeType]]="Crude",vp.tbl[[#This Row],[Dens]]&gt;825,vp.tbl[[#This Row],[Dens]]&lt;=870,vp.tbl[[#This Row],[Sulf]]&gt;0.5,vp.tbl[[#This Row],[Unknown]]=0),1,0)</f>
        <v>0</v>
      </c>
      <c r="AC844">
        <f>IF(AND(vp.tbl[[#This Row],[CrudeType]]="Crude",vp.tbl[[#This Row],[Dens]]&gt;825,vp.tbl[[#This Row],[Dens]]&lt;=900,vp.tbl[[#This Row],[Sulf]]&lt;=0.5,vp.tbl[[#This Row],[Unknown]]=0),1,0)</f>
        <v>0</v>
      </c>
      <c r="AD844">
        <f>IF(AND(vp.tbl[[#This Row],[CrudeType]]="Crude",vp.tbl[[#This Row],[Dens]]&gt;870,vp.tbl[[#This Row],[Dens]]&lt;=900,vp.tbl[[#This Row],[Sulf]]&gt;0.5,vp.tbl[[#This Row],[Unknown]]=0),1,0)</f>
        <v>0</v>
      </c>
      <c r="AE844">
        <f>IF(AND(vp.tbl[[#This Row],[CrudeType]]="Crude",vp.tbl[[#This Row],[Dens]]&gt;900,vp.tbl[[#This Row],[Sulf]]&lt;=0.5,vp.tbl[[#This Row],[Unknown]]=0),1,0)</f>
        <v>0</v>
      </c>
      <c r="AF844">
        <f>IF(AND(vp.tbl[[#This Row],[CrudeType]]="Crude",vp.tbl[[#This Row],[Dens]]&gt;900,vp.tbl[[#This Row],[Sulf]]&lt;=0.5,vp.tbl[[#This Row],[Unknown]]=0),1,0)</f>
        <v>0</v>
      </c>
      <c r="AG844" t="str">
        <f>INDEX(vp.tbl[[#Headers],[Unknown]:[Heavy_SW]],MATCH(1,vp.tbl[[#This Row],[Unknown]:[Heavy_SW]],0))</f>
        <v>Light_LSB</v>
      </c>
      <c r="AH844" t="e">
        <f>INDEX([1]!crudeBD.lkup[Number],MATCH(vp.tbl[[#This Row],[Crude_Breakdown]],[1]!crudeBD.lkup[Crude Breakdown],0))</f>
        <v>#REF!</v>
      </c>
      <c r="AI844">
        <f>MONTH(vp.tbl[[#This Row],[SDate]])</f>
        <v>2</v>
      </c>
      <c r="AJ844" s="5">
        <f>IFERROR(vp.tbl[[#This Row],[Sulf]]*vp.tbl[[#This Row],[Net Dens]],"")</f>
        <v>8968541.4506303985</v>
      </c>
      <c r="AK844" s="5">
        <f>IFERROR(vp.tbl[[#This Row],[Dens]]*vp.tbl[[#This Row],[VolumeM3]],"")</f>
        <v>6378763.4783999994</v>
      </c>
      <c r="AL844" s="5">
        <f>IFERROR(vp.tbl[[#This Row],[VP]]*vp.tbl[[#This Row],[VolumeM3]],"")</f>
        <v>695540.12100000004</v>
      </c>
      <c r="AM844" s="4">
        <f>IFERROR((vp.tbl[[#This Row],[VP]]-INDEX(crudeBD.lkup.complete[Mean_VP],MATCH(vp.tbl[[#This Row],[Crude_Breakdown]],crudeBD.lkup.complete[Crude Breakdown],0)))^2,"")</f>
        <v>4.1868753746414278</v>
      </c>
      <c r="AN844" s="4">
        <f>IFERROR((vp.tbl[[#This Row],[Dens]]-INDEX(crudeBD.lkup.complete[Mean_Dens],MATCH(vp.tbl[[#This Row],[Crude_Breakdown]],crudeBD.lkup.complete[Crude Breakdown],0)))^2,"")</f>
        <v>5.2131403313624531</v>
      </c>
      <c r="AO844" s="4">
        <f>IFERROR((vp.tbl[[#This Row],[Sulf]]-INDEX(crudeBD.lkup.complete[Mean_Sulf],MATCH(vp.tbl[[#This Row],[Crude_Breakdown]],crudeBD.lkup.complete[Crude Breakdown],0)))^2,"")</f>
        <v>0.23331685217146839</v>
      </c>
      <c r="AP844">
        <f>IF(AND(vp.tbl[[#This Row],[SDate]]&gt;=DATE(YEAR(vp.tbl[[#This Row],[SDate]]),5,1),vp.tbl[[#This Row],[SDate]]&lt;=DATE(YEAR(vp.tbl[[#This Row],[SDate]]),9,15)),1,0)</f>
        <v>0</v>
      </c>
      <c r="AQ844" s="15">
        <f>IF(vp.tbl[[#This Row],[SDate]]&lt;DATE(2016,12,1),0,1)</f>
        <v>1</v>
      </c>
    </row>
    <row r="845" spans="1:43" x14ac:dyDescent="0.25">
      <c r="A845">
        <v>844</v>
      </c>
      <c r="B845" t="s">
        <v>62</v>
      </c>
      <c r="C845" t="s">
        <v>62</v>
      </c>
      <c r="D845" t="s">
        <v>63</v>
      </c>
      <c r="F845" s="1">
        <v>42787</v>
      </c>
      <c r="G845" s="2">
        <v>85.9</v>
      </c>
      <c r="H845" s="2">
        <v>1.7190000000000001</v>
      </c>
      <c r="I845" s="2">
        <v>1.7190000000000001</v>
      </c>
      <c r="J845" s="2">
        <v>19.2</v>
      </c>
      <c r="K845" s="2">
        <v>6</v>
      </c>
      <c r="L845" s="2">
        <v>840.1</v>
      </c>
      <c r="M845" s="2">
        <v>840.1</v>
      </c>
      <c r="N845" s="2">
        <f ca="1">INDEX(INDIRECT(_xlfn.CONCAT("weather.tbl[",N$1,"]")),MATCH(vp.tbl[[#This Row],[SDate]],weather.tbl[Date],0))</f>
        <v>-5.0000000000000024E-2</v>
      </c>
      <c r="O845" s="2">
        <f ca="1">INDEX(INDIRECT(_xlfn.CONCAT("weather.tbl[",O$1,"]")),MATCH(vp.tbl[[#This Row],[SDate]],weather.tbl[Date],0))</f>
        <v>0.84761904761904761</v>
      </c>
      <c r="P845" s="2">
        <f ca="1">INDEX(INDIRECT(_xlfn.CONCAT("weather.tbl[",P$1,"]")),MATCH(vp.tbl[[#This Row],[SDate]],weather.tbl[Date],0))</f>
        <v>1.1000000000000001</v>
      </c>
      <c r="Q845" s="2">
        <f ca="1">INDEX(INDIRECT(_xlfn.CONCAT("weather.tbl[",Q$1,"]")),MATCH(vp.tbl[[#This Row],[SDate]],weather.tbl[Date],0))</f>
        <v>-0.4</v>
      </c>
      <c r="R845" s="2">
        <f ca="1">INDEX(INDIRECT(_xlfn.CONCAT("weather.tbl[",R$1,"]")),MATCH(vp.tbl[[#This Row],[SDate]],weather.tbl[Date],0))</f>
        <v>-1.3</v>
      </c>
      <c r="S845" s="2">
        <f ca="1">INDEX(INDIRECT(_xlfn.CONCAT("weather.tbl[",S$1,"]")),MATCH(vp.tbl[[#This Row],[SDate]],weather.tbl[Date],0))</f>
        <v>1.4</v>
      </c>
      <c r="T845" s="2">
        <f ca="1">INDEX(INDIRECT(_xlfn.CONCAT("weather.tbl[",T$1,"]")),MATCH(vp.tbl[[#This Row],[SDate]],weather.tbl[Date],0))</f>
        <v>-1.1000000000000001</v>
      </c>
      <c r="U845" s="2">
        <f ca="1">INDEX(INDIRECT(_xlfn.CONCAT("weather.tbl[",U$1,"]")),MATCH(vp.tbl[[#This Row],[SDate]],weather.tbl[Date],0))</f>
        <v>0</v>
      </c>
      <c r="V845" s="2">
        <v>4978.7389999999996</v>
      </c>
      <c r="W845" t="s">
        <v>48</v>
      </c>
      <c r="X845">
        <f>IF(OR(vp.tbl[[#This Row],[Sulf]]="",vp.tbl[[#This Row],[Dens]]=""),1,0)</f>
        <v>0</v>
      </c>
      <c r="Y845">
        <f>IF(vp.tbl[[#This Row],[CrudeType]]="C5+",1,0)</f>
        <v>0</v>
      </c>
      <c r="Z845">
        <f>IF(AND(vp.tbl[[#This Row],[CrudeType]]="Crude",vp.tbl[[#This Row],[Dens]]&lt;=825,vp.tbl[[#This Row],[Sulf]]&gt;0.5,vp.tbl[[#This Row],[Unknown]]=0),1,0)</f>
        <v>0</v>
      </c>
      <c r="AA845">
        <f>IF(AND(vp.tbl[[#This Row],[CrudeType]]="Crude",vp.tbl[[#This Row],[Dens]]&lt;=825,vp.tbl[[#This Row],[Sulf]]&lt;=0.5,vp.tbl[[#This Row],[Unknown]]=0),1,0)</f>
        <v>0</v>
      </c>
      <c r="AB845">
        <f>IF(AND(vp.tbl[[#This Row],[CrudeType]]="Crude",vp.tbl[[#This Row],[Dens]]&gt;825,vp.tbl[[#This Row],[Dens]]&lt;=870,vp.tbl[[#This Row],[Sulf]]&gt;0.5,vp.tbl[[#This Row],[Unknown]]=0),1,0)</f>
        <v>1</v>
      </c>
      <c r="AC845">
        <f>IF(AND(vp.tbl[[#This Row],[CrudeType]]="Crude",vp.tbl[[#This Row],[Dens]]&gt;825,vp.tbl[[#This Row],[Dens]]&lt;=900,vp.tbl[[#This Row],[Sulf]]&lt;=0.5,vp.tbl[[#This Row],[Unknown]]=0),1,0)</f>
        <v>0</v>
      </c>
      <c r="AD845">
        <f>IF(AND(vp.tbl[[#This Row],[CrudeType]]="Crude",vp.tbl[[#This Row],[Dens]]&gt;870,vp.tbl[[#This Row],[Dens]]&lt;=900,vp.tbl[[#This Row],[Sulf]]&gt;0.5,vp.tbl[[#This Row],[Unknown]]=0),1,0)</f>
        <v>0</v>
      </c>
      <c r="AE845">
        <f>IF(AND(vp.tbl[[#This Row],[CrudeType]]="Crude",vp.tbl[[#This Row],[Dens]]&gt;900,vp.tbl[[#This Row],[Sulf]]&lt;=0.5,vp.tbl[[#This Row],[Unknown]]=0),1,0)</f>
        <v>0</v>
      </c>
      <c r="AF845">
        <f>IF(AND(vp.tbl[[#This Row],[CrudeType]]="Crude",vp.tbl[[#This Row],[Dens]]&gt;900,vp.tbl[[#This Row],[Sulf]]&lt;=0.5,vp.tbl[[#This Row],[Unknown]]=0),1,0)</f>
        <v>0</v>
      </c>
      <c r="AG845" t="str">
        <f>INDEX(vp.tbl[[#Headers],[Unknown]:[Heavy_SW]],MATCH(1,vp.tbl[[#This Row],[Unknown]:[Heavy_SW]],0))</f>
        <v>Medium_LSB</v>
      </c>
      <c r="AH845" t="e">
        <f>INDEX([1]!crudeBD.lkup[Number],MATCH(vp.tbl[[#This Row],[Crude_Breakdown]],[1]!crudeBD.lkup[Crude Breakdown],0))</f>
        <v>#REF!</v>
      </c>
      <c r="AI845">
        <f>MONTH(vp.tbl[[#This Row],[SDate]])</f>
        <v>2</v>
      </c>
      <c r="AJ845" s="5">
        <f>IFERROR(vp.tbl[[#This Row],[Sulf]]*vp.tbl[[#This Row],[Net Dens]],"")</f>
        <v>7189955.8116741003</v>
      </c>
      <c r="AK845" s="5">
        <f>IFERROR(vp.tbl[[#This Row],[Dens]]*vp.tbl[[#This Row],[VolumeM3]],"")</f>
        <v>4182638.6338999998</v>
      </c>
      <c r="AL845" s="5">
        <f>IFERROR(vp.tbl[[#This Row],[VP]]*vp.tbl[[#This Row],[VolumeM3]],"")</f>
        <v>427673.6801</v>
      </c>
      <c r="AM845" s="4">
        <f>IFERROR((vp.tbl[[#This Row],[VP]]-INDEX(crudeBD.lkup.complete[Mean_VP],MATCH(vp.tbl[[#This Row],[Crude_Breakdown]],crudeBD.lkup.complete[Crude Breakdown],0)))^2,"")</f>
        <v>32.791714948886884</v>
      </c>
      <c r="AN845" s="4">
        <f>IFERROR((vp.tbl[[#This Row],[Dens]]-INDEX(crudeBD.lkup.complete[Mean_Dens],MATCH(vp.tbl[[#This Row],[Crude_Breakdown]],crudeBD.lkup.complete[Crude Breakdown],0)))^2,"")</f>
        <v>26.955023828863119</v>
      </c>
      <c r="AO845" s="4">
        <f>IFERROR((vp.tbl[[#This Row],[Sulf]]-INDEX(crudeBD.lkup.complete[Mean_Sulf],MATCH(vp.tbl[[#This Row],[Crude_Breakdown]],crudeBD.lkup.complete[Crude Breakdown],0)))^2,"")</f>
        <v>6.9733038438499664E-2</v>
      </c>
      <c r="AP845">
        <f>IF(AND(vp.tbl[[#This Row],[SDate]]&gt;=DATE(YEAR(vp.tbl[[#This Row],[SDate]]),5,1),vp.tbl[[#This Row],[SDate]]&lt;=DATE(YEAR(vp.tbl[[#This Row],[SDate]]),9,15)),1,0)</f>
        <v>0</v>
      </c>
      <c r="AQ845" s="15">
        <f>IF(vp.tbl[[#This Row],[SDate]]&lt;DATE(2016,12,1),0,1)</f>
        <v>1</v>
      </c>
    </row>
    <row r="846" spans="1:43" x14ac:dyDescent="0.25">
      <c r="A846">
        <v>845</v>
      </c>
      <c r="B846" t="s">
        <v>60</v>
      </c>
      <c r="C846" t="s">
        <v>60</v>
      </c>
      <c r="D846" t="s">
        <v>61</v>
      </c>
      <c r="E846" t="s">
        <v>73</v>
      </c>
      <c r="F846" s="1">
        <v>42787</v>
      </c>
      <c r="G846" s="2">
        <v>72.2</v>
      </c>
      <c r="H846" s="2">
        <v>1.3080000000000001</v>
      </c>
      <c r="I846" s="2">
        <v>1.3080000000000001</v>
      </c>
      <c r="J846" s="2">
        <v>7.7</v>
      </c>
      <c r="K846" s="2">
        <v>6</v>
      </c>
      <c r="L846" s="2">
        <v>850.2</v>
      </c>
      <c r="M846" s="2">
        <v>850.2</v>
      </c>
      <c r="N846" s="2">
        <f ca="1">INDEX(INDIRECT(_xlfn.CONCAT("weather.tbl[",N$1,"]")),MATCH(vp.tbl[[#This Row],[SDate]],weather.tbl[Date],0))</f>
        <v>-5.0000000000000024E-2</v>
      </c>
      <c r="O846" s="2">
        <f ca="1">INDEX(INDIRECT(_xlfn.CONCAT("weather.tbl[",O$1,"]")),MATCH(vp.tbl[[#This Row],[SDate]],weather.tbl[Date],0))</f>
        <v>0.84761904761904761</v>
      </c>
      <c r="P846" s="2">
        <f ca="1">INDEX(INDIRECT(_xlfn.CONCAT("weather.tbl[",P$1,"]")),MATCH(vp.tbl[[#This Row],[SDate]],weather.tbl[Date],0))</f>
        <v>1.1000000000000001</v>
      </c>
      <c r="Q846" s="2">
        <f ca="1">INDEX(INDIRECT(_xlfn.CONCAT("weather.tbl[",Q$1,"]")),MATCH(vp.tbl[[#This Row],[SDate]],weather.tbl[Date],0))</f>
        <v>-0.4</v>
      </c>
      <c r="R846" s="2">
        <f ca="1">INDEX(INDIRECT(_xlfn.CONCAT("weather.tbl[",R$1,"]")),MATCH(vp.tbl[[#This Row],[SDate]],weather.tbl[Date],0))</f>
        <v>-1.3</v>
      </c>
      <c r="S846" s="2">
        <f ca="1">INDEX(INDIRECT(_xlfn.CONCAT("weather.tbl[",S$1,"]")),MATCH(vp.tbl[[#This Row],[SDate]],weather.tbl[Date],0))</f>
        <v>1.4</v>
      </c>
      <c r="T846" s="2">
        <f ca="1">INDEX(INDIRECT(_xlfn.CONCAT("weather.tbl[",T$1,"]")),MATCH(vp.tbl[[#This Row],[SDate]],weather.tbl[Date],0))</f>
        <v>-1.1000000000000001</v>
      </c>
      <c r="U846" s="2">
        <f ca="1">INDEX(INDIRECT(_xlfn.CONCAT("weather.tbl[",U$1,"]")),MATCH(vp.tbl[[#This Row],[SDate]],weather.tbl[Date],0))</f>
        <v>0</v>
      </c>
      <c r="V846" s="2">
        <v>96501.951000000001</v>
      </c>
      <c r="W846" t="s">
        <v>48</v>
      </c>
      <c r="X846">
        <f>IF(OR(vp.tbl[[#This Row],[Sulf]]="",vp.tbl[[#This Row],[Dens]]=""),1,0)</f>
        <v>0</v>
      </c>
      <c r="Y846">
        <f>IF(vp.tbl[[#This Row],[CrudeType]]="C5+",1,0)</f>
        <v>0</v>
      </c>
      <c r="Z846">
        <f>IF(AND(vp.tbl[[#This Row],[CrudeType]]="Crude",vp.tbl[[#This Row],[Dens]]&lt;=825,vp.tbl[[#This Row],[Sulf]]&gt;0.5,vp.tbl[[#This Row],[Unknown]]=0),1,0)</f>
        <v>0</v>
      </c>
      <c r="AA846">
        <f>IF(AND(vp.tbl[[#This Row],[CrudeType]]="Crude",vp.tbl[[#This Row],[Dens]]&lt;=825,vp.tbl[[#This Row],[Sulf]]&lt;=0.5,vp.tbl[[#This Row],[Unknown]]=0),1,0)</f>
        <v>0</v>
      </c>
      <c r="AB846">
        <f>IF(AND(vp.tbl[[#This Row],[CrudeType]]="Crude",vp.tbl[[#This Row],[Dens]]&gt;825,vp.tbl[[#This Row],[Dens]]&lt;=870,vp.tbl[[#This Row],[Sulf]]&gt;0.5,vp.tbl[[#This Row],[Unknown]]=0),1,0)</f>
        <v>1</v>
      </c>
      <c r="AC846">
        <f>IF(AND(vp.tbl[[#This Row],[CrudeType]]="Crude",vp.tbl[[#This Row],[Dens]]&gt;825,vp.tbl[[#This Row],[Dens]]&lt;=900,vp.tbl[[#This Row],[Sulf]]&lt;=0.5,vp.tbl[[#This Row],[Unknown]]=0),1,0)</f>
        <v>0</v>
      </c>
      <c r="AD846">
        <f>IF(AND(vp.tbl[[#This Row],[CrudeType]]="Crude",vp.tbl[[#This Row],[Dens]]&gt;870,vp.tbl[[#This Row],[Dens]]&lt;=900,vp.tbl[[#This Row],[Sulf]]&gt;0.5,vp.tbl[[#This Row],[Unknown]]=0),1,0)</f>
        <v>0</v>
      </c>
      <c r="AE846">
        <f>IF(AND(vp.tbl[[#This Row],[CrudeType]]="Crude",vp.tbl[[#This Row],[Dens]]&gt;900,vp.tbl[[#This Row],[Sulf]]&lt;=0.5,vp.tbl[[#This Row],[Unknown]]=0),1,0)</f>
        <v>0</v>
      </c>
      <c r="AF846">
        <f>IF(AND(vp.tbl[[#This Row],[CrudeType]]="Crude",vp.tbl[[#This Row],[Dens]]&gt;900,vp.tbl[[#This Row],[Sulf]]&lt;=0.5,vp.tbl[[#This Row],[Unknown]]=0),1,0)</f>
        <v>0</v>
      </c>
      <c r="AG846" t="str">
        <f>INDEX(vp.tbl[[#Headers],[Unknown]:[Heavy_SW]],MATCH(1,vp.tbl[[#This Row],[Unknown]:[Heavy_SW]],0))</f>
        <v>Medium_LSB</v>
      </c>
      <c r="AH846" t="e">
        <f>INDEX([1]!crudeBD.lkup[Number],MATCH(vp.tbl[[#This Row],[Crude_Breakdown]],[1]!crudeBD.lkup[Crude Breakdown],0))</f>
        <v>#REF!</v>
      </c>
      <c r="AI846">
        <f>MONTH(vp.tbl[[#This Row],[SDate]])</f>
        <v>2</v>
      </c>
      <c r="AJ846" s="5">
        <f>IFERROR(vp.tbl[[#This Row],[Sulf]]*vp.tbl[[#This Row],[Net Dens]],"")</f>
        <v>107316114.03218161</v>
      </c>
      <c r="AK846" s="5">
        <f>IFERROR(vp.tbl[[#This Row],[Dens]]*vp.tbl[[#This Row],[VolumeM3]],"")</f>
        <v>82045958.740199998</v>
      </c>
      <c r="AL846" s="5">
        <f>IFERROR(vp.tbl[[#This Row],[VP]]*vp.tbl[[#This Row],[VolumeM3]],"")</f>
        <v>6967440.8622000003</v>
      </c>
      <c r="AM846" s="4">
        <f>IFERROR((vp.tbl[[#This Row],[VP]]-INDEX(crudeBD.lkup.complete[Mean_VP],MATCH(vp.tbl[[#This Row],[Crude_Breakdown]],crudeBD.lkup.complete[Crude Breakdown],0)))^2,"")</f>
        <v>63.578216214708547</v>
      </c>
      <c r="AN846" s="4">
        <f>IFERROR((vp.tbl[[#This Row],[Dens]]-INDEX(crudeBD.lkup.complete[Mean_Dens],MATCH(vp.tbl[[#This Row],[Crude_Breakdown]],crudeBD.lkup.complete[Crude Breakdown],0)))^2,"")</f>
        <v>24.090203575719134</v>
      </c>
      <c r="AO846" s="4">
        <f>IFERROR((vp.tbl[[#This Row],[Sulf]]-INDEX(crudeBD.lkup.complete[Mean_Sulf],MATCH(vp.tbl[[#This Row],[Crude_Breakdown]],crudeBD.lkup.complete[Crude Breakdown],0)))^2,"")</f>
        <v>2.1588383982804618E-2</v>
      </c>
      <c r="AP846">
        <f>IF(AND(vp.tbl[[#This Row],[SDate]]&gt;=DATE(YEAR(vp.tbl[[#This Row],[SDate]]),5,1),vp.tbl[[#This Row],[SDate]]&lt;=DATE(YEAR(vp.tbl[[#This Row],[SDate]]),9,15)),1,0)</f>
        <v>0</v>
      </c>
      <c r="AQ846" s="15">
        <f>IF(vp.tbl[[#This Row],[SDate]]&lt;DATE(2016,12,1),0,1)</f>
        <v>1</v>
      </c>
    </row>
    <row r="847" spans="1:43" x14ac:dyDescent="0.25">
      <c r="A847">
        <v>846</v>
      </c>
      <c r="B847" t="s">
        <v>60</v>
      </c>
      <c r="C847" t="s">
        <v>60</v>
      </c>
      <c r="D847" t="s">
        <v>61</v>
      </c>
      <c r="E847" t="s">
        <v>55</v>
      </c>
      <c r="F847" s="1">
        <v>42787</v>
      </c>
      <c r="G847" s="2">
        <v>98.4</v>
      </c>
      <c r="H847" s="2">
        <v>1.1220000000000001</v>
      </c>
      <c r="I847" s="2">
        <v>1.1220000000000001</v>
      </c>
      <c r="J847" s="2">
        <v>8</v>
      </c>
      <c r="K847" s="2">
        <v>6</v>
      </c>
      <c r="L847" s="2">
        <v>839.7</v>
      </c>
      <c r="M847" s="2">
        <v>839.7</v>
      </c>
      <c r="N847" s="2">
        <f ca="1">INDEX(INDIRECT(_xlfn.CONCAT("weather.tbl[",N$1,"]")),MATCH(vp.tbl[[#This Row],[SDate]],weather.tbl[Date],0))</f>
        <v>-5.0000000000000024E-2</v>
      </c>
      <c r="O847" s="2">
        <f ca="1">INDEX(INDIRECT(_xlfn.CONCAT("weather.tbl[",O$1,"]")),MATCH(vp.tbl[[#This Row],[SDate]],weather.tbl[Date],0))</f>
        <v>0.84761904761904761</v>
      </c>
      <c r="P847" s="2">
        <f ca="1">INDEX(INDIRECT(_xlfn.CONCAT("weather.tbl[",P$1,"]")),MATCH(vp.tbl[[#This Row],[SDate]],weather.tbl[Date],0))</f>
        <v>1.1000000000000001</v>
      </c>
      <c r="Q847" s="2">
        <f ca="1">INDEX(INDIRECT(_xlfn.CONCAT("weather.tbl[",Q$1,"]")),MATCH(vp.tbl[[#This Row],[SDate]],weather.tbl[Date],0))</f>
        <v>-0.4</v>
      </c>
      <c r="R847" s="2">
        <f ca="1">INDEX(INDIRECT(_xlfn.CONCAT("weather.tbl[",R$1,"]")),MATCH(vp.tbl[[#This Row],[SDate]],weather.tbl[Date],0))</f>
        <v>-1.3</v>
      </c>
      <c r="S847" s="2">
        <f ca="1">INDEX(INDIRECT(_xlfn.CONCAT("weather.tbl[",S$1,"]")),MATCH(vp.tbl[[#This Row],[SDate]],weather.tbl[Date],0))</f>
        <v>1.4</v>
      </c>
      <c r="T847" s="2">
        <f ca="1">INDEX(INDIRECT(_xlfn.CONCAT("weather.tbl[",T$1,"]")),MATCH(vp.tbl[[#This Row],[SDate]],weather.tbl[Date],0))</f>
        <v>-1.1000000000000001</v>
      </c>
      <c r="U847" s="2">
        <f ca="1">INDEX(INDIRECT(_xlfn.CONCAT("weather.tbl[",U$1,"]")),MATCH(vp.tbl[[#This Row],[SDate]],weather.tbl[Date],0))</f>
        <v>0</v>
      </c>
      <c r="V847" s="2">
        <v>96501.951000000001</v>
      </c>
      <c r="W847" t="s">
        <v>48</v>
      </c>
      <c r="X847">
        <f>IF(OR(vp.tbl[[#This Row],[Sulf]]="",vp.tbl[[#This Row],[Dens]]=""),1,0)</f>
        <v>0</v>
      </c>
      <c r="Y847">
        <f>IF(vp.tbl[[#This Row],[CrudeType]]="C5+",1,0)</f>
        <v>0</v>
      </c>
      <c r="Z847">
        <f>IF(AND(vp.tbl[[#This Row],[CrudeType]]="Crude",vp.tbl[[#This Row],[Dens]]&lt;=825,vp.tbl[[#This Row],[Sulf]]&gt;0.5,vp.tbl[[#This Row],[Unknown]]=0),1,0)</f>
        <v>0</v>
      </c>
      <c r="AA847">
        <f>IF(AND(vp.tbl[[#This Row],[CrudeType]]="Crude",vp.tbl[[#This Row],[Dens]]&lt;=825,vp.tbl[[#This Row],[Sulf]]&lt;=0.5,vp.tbl[[#This Row],[Unknown]]=0),1,0)</f>
        <v>0</v>
      </c>
      <c r="AB847">
        <f>IF(AND(vp.tbl[[#This Row],[CrudeType]]="Crude",vp.tbl[[#This Row],[Dens]]&gt;825,vp.tbl[[#This Row],[Dens]]&lt;=870,vp.tbl[[#This Row],[Sulf]]&gt;0.5,vp.tbl[[#This Row],[Unknown]]=0),1,0)</f>
        <v>1</v>
      </c>
      <c r="AC847">
        <f>IF(AND(vp.tbl[[#This Row],[CrudeType]]="Crude",vp.tbl[[#This Row],[Dens]]&gt;825,vp.tbl[[#This Row],[Dens]]&lt;=900,vp.tbl[[#This Row],[Sulf]]&lt;=0.5,vp.tbl[[#This Row],[Unknown]]=0),1,0)</f>
        <v>0</v>
      </c>
      <c r="AD847">
        <f>IF(AND(vp.tbl[[#This Row],[CrudeType]]="Crude",vp.tbl[[#This Row],[Dens]]&gt;870,vp.tbl[[#This Row],[Dens]]&lt;=900,vp.tbl[[#This Row],[Sulf]]&gt;0.5,vp.tbl[[#This Row],[Unknown]]=0),1,0)</f>
        <v>0</v>
      </c>
      <c r="AE847">
        <f>IF(AND(vp.tbl[[#This Row],[CrudeType]]="Crude",vp.tbl[[#This Row],[Dens]]&gt;900,vp.tbl[[#This Row],[Sulf]]&lt;=0.5,vp.tbl[[#This Row],[Unknown]]=0),1,0)</f>
        <v>0</v>
      </c>
      <c r="AF847">
        <f>IF(AND(vp.tbl[[#This Row],[CrudeType]]="Crude",vp.tbl[[#This Row],[Dens]]&gt;900,vp.tbl[[#This Row],[Sulf]]&lt;=0.5,vp.tbl[[#This Row],[Unknown]]=0),1,0)</f>
        <v>0</v>
      </c>
      <c r="AG847" t="str">
        <f>INDEX(vp.tbl[[#Headers],[Unknown]:[Heavy_SW]],MATCH(1,vp.tbl[[#This Row],[Unknown]:[Heavy_SW]],0))</f>
        <v>Medium_LSB</v>
      </c>
      <c r="AH847" t="e">
        <f>INDEX([1]!crudeBD.lkup[Number],MATCH(vp.tbl[[#This Row],[Crude_Breakdown]],[1]!crudeBD.lkup[Crude Breakdown],0))</f>
        <v>#REF!</v>
      </c>
      <c r="AI847">
        <f>MONTH(vp.tbl[[#This Row],[SDate]])</f>
        <v>2</v>
      </c>
      <c r="AJ847" s="5">
        <f>IFERROR(vp.tbl[[#This Row],[Sulf]]*vp.tbl[[#This Row],[Net Dens]],"")</f>
        <v>90918676.221773416</v>
      </c>
      <c r="AK847" s="5">
        <f>IFERROR(vp.tbl[[#This Row],[Dens]]*vp.tbl[[#This Row],[VolumeM3]],"")</f>
        <v>81032688.254700005</v>
      </c>
      <c r="AL847" s="5">
        <f>IFERROR(vp.tbl[[#This Row],[VP]]*vp.tbl[[#This Row],[VolumeM3]],"")</f>
        <v>9495791.9784000013</v>
      </c>
      <c r="AM847" s="4">
        <f>IFERROR((vp.tbl[[#This Row],[VP]]-INDEX(crudeBD.lkup.complete[Mean_VP],MATCH(vp.tbl[[#This Row],[Crude_Breakdown]],crudeBD.lkup.complete[Crude Breakdown],0)))^2,"")</f>
        <v>332.20184153116645</v>
      </c>
      <c r="AN847" s="4">
        <f>IFERROR((vp.tbl[[#This Row],[Dens]]-INDEX(crudeBD.lkup.complete[Mean_Dens],MATCH(vp.tbl[[#This Row],[Crude_Breakdown]],crudeBD.lkup.complete[Crude Breakdown],0)))^2,"")</f>
        <v>31.268482056710159</v>
      </c>
      <c r="AO847" s="4">
        <f>IFERROR((vp.tbl[[#This Row],[Sulf]]-INDEX(crudeBD.lkup.complete[Mean_Sulf],MATCH(vp.tbl[[#This Row],[Crude_Breakdown]],crudeBD.lkup.complete[Crude Breakdown],0)))^2,"")</f>
        <v>0.11084229218533675</v>
      </c>
      <c r="AP847">
        <f>IF(AND(vp.tbl[[#This Row],[SDate]]&gt;=DATE(YEAR(vp.tbl[[#This Row],[SDate]]),5,1),vp.tbl[[#This Row],[SDate]]&lt;=DATE(YEAR(vp.tbl[[#This Row],[SDate]]),9,15)),1,0)</f>
        <v>0</v>
      </c>
      <c r="AQ847" s="15">
        <f>IF(vp.tbl[[#This Row],[SDate]]&lt;DATE(2016,12,1),0,1)</f>
        <v>1</v>
      </c>
    </row>
    <row r="848" spans="1:43" x14ac:dyDescent="0.25">
      <c r="A848">
        <v>847</v>
      </c>
      <c r="B848" t="s">
        <v>49</v>
      </c>
      <c r="C848" t="s">
        <v>49</v>
      </c>
      <c r="D848" t="s">
        <v>80</v>
      </c>
      <c r="F848" s="1">
        <v>42788</v>
      </c>
      <c r="G848" s="2">
        <v>78.3</v>
      </c>
      <c r="H848" s="2">
        <v>0.52500000000000002</v>
      </c>
      <c r="I848" s="2">
        <v>0.52500000000000002</v>
      </c>
      <c r="J848" s="2">
        <v>15.8</v>
      </c>
      <c r="K848" s="2">
        <v>3</v>
      </c>
      <c r="L848" s="2">
        <v>816.9</v>
      </c>
      <c r="M848" s="2">
        <v>816.9</v>
      </c>
      <c r="N848" s="2">
        <f ca="1">INDEX(INDIRECT(_xlfn.CONCAT("weather.tbl[",N$1,"]")),MATCH(vp.tbl[[#This Row],[SDate]],weather.tbl[Date],0))</f>
        <v>-0.85000000000000009</v>
      </c>
      <c r="O848" s="2">
        <f ca="1">INDEX(INDIRECT(_xlfn.CONCAT("weather.tbl[",O$1,"]")),MATCH(vp.tbl[[#This Row],[SDate]],weather.tbl[Date],0))</f>
        <v>0.97380952380952379</v>
      </c>
      <c r="P848" s="2">
        <f ca="1">INDEX(INDIRECT(_xlfn.CONCAT("weather.tbl[",P$1,"]")),MATCH(vp.tbl[[#This Row],[SDate]],weather.tbl[Date],0))</f>
        <v>-1.1000000000000001</v>
      </c>
      <c r="Q848" s="2">
        <f ca="1">INDEX(INDIRECT(_xlfn.CONCAT("weather.tbl[",Q$1,"]")),MATCH(vp.tbl[[#This Row],[SDate]],weather.tbl[Date],0))</f>
        <v>-1.5</v>
      </c>
      <c r="R848" s="2">
        <f ca="1">INDEX(INDIRECT(_xlfn.CONCAT("weather.tbl[",R$1,"]")),MATCH(vp.tbl[[#This Row],[SDate]],weather.tbl[Date],0))</f>
        <v>0.3</v>
      </c>
      <c r="S848" s="2">
        <f ca="1">INDEX(INDIRECT(_xlfn.CONCAT("weather.tbl[",S$1,"]")),MATCH(vp.tbl[[#This Row],[SDate]],weather.tbl[Date],0))</f>
        <v>-0.8</v>
      </c>
      <c r="T848" s="2">
        <f ca="1">INDEX(INDIRECT(_xlfn.CONCAT("weather.tbl[",T$1,"]")),MATCH(vp.tbl[[#This Row],[SDate]],weather.tbl[Date],0))</f>
        <v>0.3</v>
      </c>
      <c r="U848" s="2">
        <f ca="1">INDEX(INDIRECT(_xlfn.CONCAT("weather.tbl[",U$1,"]")),MATCH(vp.tbl[[#This Row],[SDate]],weather.tbl[Date],0))</f>
        <v>-2.2999999999999998</v>
      </c>
      <c r="V848" s="2">
        <v>16928.633000000002</v>
      </c>
      <c r="W848" t="s">
        <v>48</v>
      </c>
      <c r="X848">
        <f>IF(OR(vp.tbl[[#This Row],[Sulf]]="",vp.tbl[[#This Row],[Dens]]=""),1,0)</f>
        <v>0</v>
      </c>
      <c r="Y848">
        <f>IF(vp.tbl[[#This Row],[CrudeType]]="C5+",1,0)</f>
        <v>0</v>
      </c>
      <c r="Z848">
        <f>IF(AND(vp.tbl[[#This Row],[CrudeType]]="Crude",vp.tbl[[#This Row],[Dens]]&lt;=825,vp.tbl[[#This Row],[Sulf]]&gt;0.5,vp.tbl[[#This Row],[Unknown]]=0),1,0)</f>
        <v>1</v>
      </c>
      <c r="AA848">
        <f>IF(AND(vp.tbl[[#This Row],[CrudeType]]="Crude",vp.tbl[[#This Row],[Dens]]&lt;=825,vp.tbl[[#This Row],[Sulf]]&lt;=0.5,vp.tbl[[#This Row],[Unknown]]=0),1,0)</f>
        <v>0</v>
      </c>
      <c r="AB848">
        <f>IF(AND(vp.tbl[[#This Row],[CrudeType]]="Crude",vp.tbl[[#This Row],[Dens]]&gt;825,vp.tbl[[#This Row],[Dens]]&lt;=870,vp.tbl[[#This Row],[Sulf]]&gt;0.5,vp.tbl[[#This Row],[Unknown]]=0),1,0)</f>
        <v>0</v>
      </c>
      <c r="AC848">
        <f>IF(AND(vp.tbl[[#This Row],[CrudeType]]="Crude",vp.tbl[[#This Row],[Dens]]&gt;825,vp.tbl[[#This Row],[Dens]]&lt;=900,vp.tbl[[#This Row],[Sulf]]&lt;=0.5,vp.tbl[[#This Row],[Unknown]]=0),1,0)</f>
        <v>0</v>
      </c>
      <c r="AD848">
        <f>IF(AND(vp.tbl[[#This Row],[CrudeType]]="Crude",vp.tbl[[#This Row],[Dens]]&gt;870,vp.tbl[[#This Row],[Dens]]&lt;=900,vp.tbl[[#This Row],[Sulf]]&gt;0.5,vp.tbl[[#This Row],[Unknown]]=0),1,0)</f>
        <v>0</v>
      </c>
      <c r="AE848">
        <f>IF(AND(vp.tbl[[#This Row],[CrudeType]]="Crude",vp.tbl[[#This Row],[Dens]]&gt;900,vp.tbl[[#This Row],[Sulf]]&lt;=0.5,vp.tbl[[#This Row],[Unknown]]=0),1,0)</f>
        <v>0</v>
      </c>
      <c r="AF848">
        <f>IF(AND(vp.tbl[[#This Row],[CrudeType]]="Crude",vp.tbl[[#This Row],[Dens]]&gt;900,vp.tbl[[#This Row],[Sulf]]&lt;=0.5,vp.tbl[[#This Row],[Unknown]]=0),1,0)</f>
        <v>0</v>
      </c>
      <c r="AG848" t="str">
        <f>INDEX(vp.tbl[[#Headers],[Unknown]:[Heavy_SW]],MATCH(1,vp.tbl[[#This Row],[Unknown]:[Heavy_SW]],0))</f>
        <v>Light_LSB</v>
      </c>
      <c r="AH848" t="e">
        <f>INDEX([1]!crudeBD.lkup[Number],MATCH(vp.tbl[[#This Row],[Crude_Breakdown]],[1]!crudeBD.lkup[Crude Breakdown],0))</f>
        <v>#REF!</v>
      </c>
      <c r="AI848">
        <f>MONTH(vp.tbl[[#This Row],[SDate]])</f>
        <v>2</v>
      </c>
      <c r="AJ848" s="5">
        <f>IFERROR(vp.tbl[[#This Row],[Sulf]]*vp.tbl[[#This Row],[Net Dens]],"")</f>
        <v>7260225.1562925009</v>
      </c>
      <c r="AK848" s="5">
        <f>IFERROR(vp.tbl[[#This Row],[Dens]]*vp.tbl[[#This Row],[VolumeM3]],"")</f>
        <v>13829000.297700001</v>
      </c>
      <c r="AL848" s="5">
        <f>IFERROR(vp.tbl[[#This Row],[VP]]*vp.tbl[[#This Row],[VolumeM3]],"")</f>
        <v>1325511.9639000001</v>
      </c>
      <c r="AM848" s="4">
        <f>IFERROR((vp.tbl[[#This Row],[VP]]-INDEX(crudeBD.lkup.complete[Mean_VP],MATCH(vp.tbl[[#This Row],[Crude_Breakdown]],crudeBD.lkup.complete[Crude Breakdown],0)))^2,"")</f>
        <v>175.46143207567312</v>
      </c>
      <c r="AN848" s="4">
        <f>IFERROR((vp.tbl[[#This Row],[Dens]]-INDEX(crudeBD.lkup.complete[Mean_Dens],MATCH(vp.tbl[[#This Row],[Crude_Breakdown]],crudeBD.lkup.complete[Crude Breakdown],0)))^2,"")</f>
        <v>2.6139444550716244</v>
      </c>
      <c r="AO848" s="4">
        <f>IFERROR((vp.tbl[[#This Row],[Sulf]]-INDEX(crudeBD.lkup.complete[Mean_Sulf],MATCH(vp.tbl[[#This Row],[Crude_Breakdown]],crudeBD.lkup.complete[Crude Breakdown],0)))^2,"")</f>
        <v>0.15838105086562607</v>
      </c>
      <c r="AP848">
        <f>IF(AND(vp.tbl[[#This Row],[SDate]]&gt;=DATE(YEAR(vp.tbl[[#This Row],[SDate]]),5,1),vp.tbl[[#This Row],[SDate]]&lt;=DATE(YEAR(vp.tbl[[#This Row],[SDate]]),9,15)),1,0)</f>
        <v>0</v>
      </c>
      <c r="AQ848" s="15">
        <f>IF(vp.tbl[[#This Row],[SDate]]&lt;DATE(2016,12,1),0,1)</f>
        <v>1</v>
      </c>
    </row>
    <row r="849" spans="1:43" x14ac:dyDescent="0.25">
      <c r="A849">
        <v>848</v>
      </c>
      <c r="B849" t="s">
        <v>49</v>
      </c>
      <c r="C849" t="s">
        <v>49</v>
      </c>
      <c r="D849" t="s">
        <v>100</v>
      </c>
      <c r="F849" s="1">
        <v>42788</v>
      </c>
      <c r="G849" s="2">
        <v>80.900000000000006</v>
      </c>
      <c r="H849" s="2">
        <v>0.54300000000000004</v>
      </c>
      <c r="I849" s="2">
        <v>0.54300000000000004</v>
      </c>
      <c r="J849" s="2">
        <v>16.600000000000001</v>
      </c>
      <c r="K849" s="2">
        <v>3</v>
      </c>
      <c r="L849" s="2">
        <v>816.4</v>
      </c>
      <c r="M849" s="2">
        <v>816.4</v>
      </c>
      <c r="N849" s="2">
        <f ca="1">INDEX(INDIRECT(_xlfn.CONCAT("weather.tbl[",N$1,"]")),MATCH(vp.tbl[[#This Row],[SDate]],weather.tbl[Date],0))</f>
        <v>-0.85000000000000009</v>
      </c>
      <c r="O849" s="2">
        <f ca="1">INDEX(INDIRECT(_xlfn.CONCAT("weather.tbl[",O$1,"]")),MATCH(vp.tbl[[#This Row],[SDate]],weather.tbl[Date],0))</f>
        <v>0.97380952380952379</v>
      </c>
      <c r="P849" s="2">
        <f ca="1">INDEX(INDIRECT(_xlfn.CONCAT("weather.tbl[",P$1,"]")),MATCH(vp.tbl[[#This Row],[SDate]],weather.tbl[Date],0))</f>
        <v>-1.1000000000000001</v>
      </c>
      <c r="Q849" s="2">
        <f ca="1">INDEX(INDIRECT(_xlfn.CONCAT("weather.tbl[",Q$1,"]")),MATCH(vp.tbl[[#This Row],[SDate]],weather.tbl[Date],0))</f>
        <v>-1.5</v>
      </c>
      <c r="R849" s="2">
        <f ca="1">INDEX(INDIRECT(_xlfn.CONCAT("weather.tbl[",R$1,"]")),MATCH(vp.tbl[[#This Row],[SDate]],weather.tbl[Date],0))</f>
        <v>0.3</v>
      </c>
      <c r="S849" s="2">
        <f ca="1">INDEX(INDIRECT(_xlfn.CONCAT("weather.tbl[",S$1,"]")),MATCH(vp.tbl[[#This Row],[SDate]],weather.tbl[Date],0))</f>
        <v>-0.8</v>
      </c>
      <c r="T849" s="2">
        <f ca="1">INDEX(INDIRECT(_xlfn.CONCAT("weather.tbl[",T$1,"]")),MATCH(vp.tbl[[#This Row],[SDate]],weather.tbl[Date],0))</f>
        <v>0.3</v>
      </c>
      <c r="U849" s="2">
        <f ca="1">INDEX(INDIRECT(_xlfn.CONCAT("weather.tbl[",U$1,"]")),MATCH(vp.tbl[[#This Row],[SDate]],weather.tbl[Date],0))</f>
        <v>-2.2999999999999998</v>
      </c>
      <c r="V849" s="2">
        <v>11683.09</v>
      </c>
      <c r="W849" t="s">
        <v>48</v>
      </c>
      <c r="X849">
        <f>IF(OR(vp.tbl[[#This Row],[Sulf]]="",vp.tbl[[#This Row],[Dens]]=""),1,0)</f>
        <v>0</v>
      </c>
      <c r="Y849">
        <f>IF(vp.tbl[[#This Row],[CrudeType]]="C5+",1,0)</f>
        <v>0</v>
      </c>
      <c r="Z849">
        <f>IF(AND(vp.tbl[[#This Row],[CrudeType]]="Crude",vp.tbl[[#This Row],[Dens]]&lt;=825,vp.tbl[[#This Row],[Sulf]]&gt;0.5,vp.tbl[[#This Row],[Unknown]]=0),1,0)</f>
        <v>1</v>
      </c>
      <c r="AA849">
        <f>IF(AND(vp.tbl[[#This Row],[CrudeType]]="Crude",vp.tbl[[#This Row],[Dens]]&lt;=825,vp.tbl[[#This Row],[Sulf]]&lt;=0.5,vp.tbl[[#This Row],[Unknown]]=0),1,0)</f>
        <v>0</v>
      </c>
      <c r="AB849">
        <f>IF(AND(vp.tbl[[#This Row],[CrudeType]]="Crude",vp.tbl[[#This Row],[Dens]]&gt;825,vp.tbl[[#This Row],[Dens]]&lt;=870,vp.tbl[[#This Row],[Sulf]]&gt;0.5,vp.tbl[[#This Row],[Unknown]]=0),1,0)</f>
        <v>0</v>
      </c>
      <c r="AC849">
        <f>IF(AND(vp.tbl[[#This Row],[CrudeType]]="Crude",vp.tbl[[#This Row],[Dens]]&gt;825,vp.tbl[[#This Row],[Dens]]&lt;=900,vp.tbl[[#This Row],[Sulf]]&lt;=0.5,vp.tbl[[#This Row],[Unknown]]=0),1,0)</f>
        <v>0</v>
      </c>
      <c r="AD849">
        <f>IF(AND(vp.tbl[[#This Row],[CrudeType]]="Crude",vp.tbl[[#This Row],[Dens]]&gt;870,vp.tbl[[#This Row],[Dens]]&lt;=900,vp.tbl[[#This Row],[Sulf]]&gt;0.5,vp.tbl[[#This Row],[Unknown]]=0),1,0)</f>
        <v>0</v>
      </c>
      <c r="AE849">
        <f>IF(AND(vp.tbl[[#This Row],[CrudeType]]="Crude",vp.tbl[[#This Row],[Dens]]&gt;900,vp.tbl[[#This Row],[Sulf]]&lt;=0.5,vp.tbl[[#This Row],[Unknown]]=0),1,0)</f>
        <v>0</v>
      </c>
      <c r="AF849">
        <f>IF(AND(vp.tbl[[#This Row],[CrudeType]]="Crude",vp.tbl[[#This Row],[Dens]]&gt;900,vp.tbl[[#This Row],[Sulf]]&lt;=0.5,vp.tbl[[#This Row],[Unknown]]=0),1,0)</f>
        <v>0</v>
      </c>
      <c r="AG849" t="str">
        <f>INDEX(vp.tbl[[#Headers],[Unknown]:[Heavy_SW]],MATCH(1,vp.tbl[[#This Row],[Unknown]:[Heavy_SW]],0))</f>
        <v>Light_LSB</v>
      </c>
      <c r="AH849" t="e">
        <f>INDEX([1]!crudeBD.lkup[Number],MATCH(vp.tbl[[#This Row],[Crude_Breakdown]],[1]!crudeBD.lkup[Crude Breakdown],0))</f>
        <v>#REF!</v>
      </c>
      <c r="AI849">
        <f>MONTH(vp.tbl[[#This Row],[SDate]])</f>
        <v>2</v>
      </c>
      <c r="AJ849" s="5">
        <f>IFERROR(vp.tbl[[#This Row],[Sulf]]*vp.tbl[[#This Row],[Net Dens]],"")</f>
        <v>5179174.5490680002</v>
      </c>
      <c r="AK849" s="5">
        <f>IFERROR(vp.tbl[[#This Row],[Dens]]*vp.tbl[[#This Row],[VolumeM3]],"")</f>
        <v>9538074.675999999</v>
      </c>
      <c r="AL849" s="5">
        <f>IFERROR(vp.tbl[[#This Row],[VP]]*vp.tbl[[#This Row],[VolumeM3]],"")</f>
        <v>945161.98100000003</v>
      </c>
      <c r="AM849" s="4">
        <f>IFERROR((vp.tbl[[#This Row],[VP]]-INDEX(crudeBD.lkup.complete[Mean_VP],MATCH(vp.tbl[[#This Row],[Crude_Breakdown]],crudeBD.lkup.complete[Crude Breakdown],0)))^2,"")</f>
        <v>113.34126712721915</v>
      </c>
      <c r="AN849" s="4">
        <f>IFERROR((vp.tbl[[#This Row],[Dens]]-INDEX(crudeBD.lkup.complete[Mean_Dens],MATCH(vp.tbl[[#This Row],[Crude_Breakdown]],crudeBD.lkup.complete[Crude Breakdown],0)))^2,"")</f>
        <v>4.4807142145215044</v>
      </c>
      <c r="AO849" s="4">
        <f>IFERROR((vp.tbl[[#This Row],[Sulf]]-INDEX(crudeBD.lkup.complete[Mean_Sulf],MATCH(vp.tbl[[#This Row],[Crude_Breakdown]],crudeBD.lkup.complete[Crude Breakdown],0)))^2,"")</f>
        <v>0.1443780888037704</v>
      </c>
      <c r="AP849">
        <f>IF(AND(vp.tbl[[#This Row],[SDate]]&gt;=DATE(YEAR(vp.tbl[[#This Row],[SDate]]),5,1),vp.tbl[[#This Row],[SDate]]&lt;=DATE(YEAR(vp.tbl[[#This Row],[SDate]]),9,15)),1,0)</f>
        <v>0</v>
      </c>
      <c r="AQ849" s="15">
        <f>IF(vp.tbl[[#This Row],[SDate]]&lt;DATE(2016,12,1),0,1)</f>
        <v>1</v>
      </c>
    </row>
    <row r="850" spans="1:43" x14ac:dyDescent="0.25">
      <c r="A850">
        <v>849</v>
      </c>
      <c r="B850" t="s">
        <v>49</v>
      </c>
      <c r="C850" t="s">
        <v>49</v>
      </c>
      <c r="D850" t="s">
        <v>89</v>
      </c>
      <c r="F850" s="1">
        <v>42788</v>
      </c>
      <c r="G850" s="2">
        <v>97.5</v>
      </c>
      <c r="H850" s="2">
        <v>0.59499999999999997</v>
      </c>
      <c r="I850" s="2">
        <v>0.59499999999999997</v>
      </c>
      <c r="J850" s="2">
        <v>6.1</v>
      </c>
      <c r="K850" s="2">
        <v>3</v>
      </c>
      <c r="L850" s="2">
        <v>813.1</v>
      </c>
      <c r="M850" s="2">
        <v>813.1</v>
      </c>
      <c r="N850" s="2">
        <f ca="1">INDEX(INDIRECT(_xlfn.CONCAT("weather.tbl[",N$1,"]")),MATCH(vp.tbl[[#This Row],[SDate]],weather.tbl[Date],0))</f>
        <v>-0.85000000000000009</v>
      </c>
      <c r="O850" s="2">
        <f ca="1">INDEX(INDIRECT(_xlfn.CONCAT("weather.tbl[",O$1,"]")),MATCH(vp.tbl[[#This Row],[SDate]],weather.tbl[Date],0))</f>
        <v>0.97380952380952379</v>
      </c>
      <c r="P850" s="2">
        <f ca="1">INDEX(INDIRECT(_xlfn.CONCAT("weather.tbl[",P$1,"]")),MATCH(vp.tbl[[#This Row],[SDate]],weather.tbl[Date],0))</f>
        <v>-1.1000000000000001</v>
      </c>
      <c r="Q850" s="2">
        <f ca="1">INDEX(INDIRECT(_xlfn.CONCAT("weather.tbl[",Q$1,"]")),MATCH(vp.tbl[[#This Row],[SDate]],weather.tbl[Date],0))</f>
        <v>-1.5</v>
      </c>
      <c r="R850" s="2">
        <f ca="1">INDEX(INDIRECT(_xlfn.CONCAT("weather.tbl[",R$1,"]")),MATCH(vp.tbl[[#This Row],[SDate]],weather.tbl[Date],0))</f>
        <v>0.3</v>
      </c>
      <c r="S850" s="2">
        <f ca="1">INDEX(INDIRECT(_xlfn.CONCAT("weather.tbl[",S$1,"]")),MATCH(vp.tbl[[#This Row],[SDate]],weather.tbl[Date],0))</f>
        <v>-0.8</v>
      </c>
      <c r="T850" s="2">
        <f ca="1">INDEX(INDIRECT(_xlfn.CONCAT("weather.tbl[",T$1,"]")),MATCH(vp.tbl[[#This Row],[SDate]],weather.tbl[Date],0))</f>
        <v>0.3</v>
      </c>
      <c r="U850" s="2">
        <f ca="1">INDEX(INDIRECT(_xlfn.CONCAT("weather.tbl[",U$1,"]")),MATCH(vp.tbl[[#This Row],[SDate]],weather.tbl[Date],0))</f>
        <v>-2.2999999999999998</v>
      </c>
      <c r="V850" s="2">
        <v>5063.2240000000002</v>
      </c>
      <c r="W850" t="s">
        <v>48</v>
      </c>
      <c r="X850">
        <f>IF(OR(vp.tbl[[#This Row],[Sulf]]="",vp.tbl[[#This Row],[Dens]]=""),1,0)</f>
        <v>0</v>
      </c>
      <c r="Y850">
        <f>IF(vp.tbl[[#This Row],[CrudeType]]="C5+",1,0)</f>
        <v>0</v>
      </c>
      <c r="Z850">
        <f>IF(AND(vp.tbl[[#This Row],[CrudeType]]="Crude",vp.tbl[[#This Row],[Dens]]&lt;=825,vp.tbl[[#This Row],[Sulf]]&gt;0.5,vp.tbl[[#This Row],[Unknown]]=0),1,0)</f>
        <v>1</v>
      </c>
      <c r="AA850">
        <f>IF(AND(vp.tbl[[#This Row],[CrudeType]]="Crude",vp.tbl[[#This Row],[Dens]]&lt;=825,vp.tbl[[#This Row],[Sulf]]&lt;=0.5,vp.tbl[[#This Row],[Unknown]]=0),1,0)</f>
        <v>0</v>
      </c>
      <c r="AB850">
        <f>IF(AND(vp.tbl[[#This Row],[CrudeType]]="Crude",vp.tbl[[#This Row],[Dens]]&gt;825,vp.tbl[[#This Row],[Dens]]&lt;=870,vp.tbl[[#This Row],[Sulf]]&gt;0.5,vp.tbl[[#This Row],[Unknown]]=0),1,0)</f>
        <v>0</v>
      </c>
      <c r="AC850">
        <f>IF(AND(vp.tbl[[#This Row],[CrudeType]]="Crude",vp.tbl[[#This Row],[Dens]]&gt;825,vp.tbl[[#This Row],[Dens]]&lt;=900,vp.tbl[[#This Row],[Sulf]]&lt;=0.5,vp.tbl[[#This Row],[Unknown]]=0),1,0)</f>
        <v>0</v>
      </c>
      <c r="AD850">
        <f>IF(AND(vp.tbl[[#This Row],[CrudeType]]="Crude",vp.tbl[[#This Row],[Dens]]&gt;870,vp.tbl[[#This Row],[Dens]]&lt;=900,vp.tbl[[#This Row],[Sulf]]&gt;0.5,vp.tbl[[#This Row],[Unknown]]=0),1,0)</f>
        <v>0</v>
      </c>
      <c r="AE850">
        <f>IF(AND(vp.tbl[[#This Row],[CrudeType]]="Crude",vp.tbl[[#This Row],[Dens]]&gt;900,vp.tbl[[#This Row],[Sulf]]&lt;=0.5,vp.tbl[[#This Row],[Unknown]]=0),1,0)</f>
        <v>0</v>
      </c>
      <c r="AF850">
        <f>IF(AND(vp.tbl[[#This Row],[CrudeType]]="Crude",vp.tbl[[#This Row],[Dens]]&gt;900,vp.tbl[[#This Row],[Sulf]]&lt;=0.5,vp.tbl[[#This Row],[Unknown]]=0),1,0)</f>
        <v>0</v>
      </c>
      <c r="AG850" t="str">
        <f>INDEX(vp.tbl[[#Headers],[Unknown]:[Heavy_SW]],MATCH(1,vp.tbl[[#This Row],[Unknown]:[Heavy_SW]],0))</f>
        <v>Light_LSB</v>
      </c>
      <c r="AH850" t="e">
        <f>INDEX([1]!crudeBD.lkup[Number],MATCH(vp.tbl[[#This Row],[Crude_Breakdown]],[1]!crudeBD.lkup[Crude Breakdown],0))</f>
        <v>#REF!</v>
      </c>
      <c r="AI850">
        <f>MONTH(vp.tbl[[#This Row],[SDate]])</f>
        <v>2</v>
      </c>
      <c r="AJ850" s="5">
        <f>IFERROR(vp.tbl[[#This Row],[Sulf]]*vp.tbl[[#This Row],[Net Dens]],"")</f>
        <v>2449559.9234679998</v>
      </c>
      <c r="AK850" s="5">
        <f>IFERROR(vp.tbl[[#This Row],[Dens]]*vp.tbl[[#This Row],[VolumeM3]],"")</f>
        <v>4116907.4344000001</v>
      </c>
      <c r="AL850" s="5">
        <f>IFERROR(vp.tbl[[#This Row],[VP]]*vp.tbl[[#This Row],[VolumeM3]],"")</f>
        <v>493664.34</v>
      </c>
      <c r="AM850" s="4">
        <f>IFERROR((vp.tbl[[#This Row],[VP]]-INDEX(crudeBD.lkup.complete[Mean_VP],MATCH(vp.tbl[[#This Row],[Crude_Breakdown]],crudeBD.lkup.complete[Crude Breakdown],0)))^2,"")</f>
        <v>35.447906302475985</v>
      </c>
      <c r="AN850" s="4">
        <f>IFERROR((vp.tbl[[#This Row],[Dens]]-INDEX(crudeBD.lkup.complete[Mean_Dens],MATCH(vp.tbl[[#This Row],[Crude_Breakdown]],crudeBD.lkup.complete[Crude Breakdown],0)))^2,"")</f>
        <v>29.341394626890224</v>
      </c>
      <c r="AO850" s="4">
        <f>IFERROR((vp.tbl[[#This Row],[Sulf]]-INDEX(crudeBD.lkup.complete[Mean_Sulf],MATCH(vp.tbl[[#This Row],[Crude_Breakdown]],crudeBD.lkup.complete[Crude Breakdown],0)))^2,"")</f>
        <v>0.10756508729174298</v>
      </c>
      <c r="AP850">
        <f>IF(AND(vp.tbl[[#This Row],[SDate]]&gt;=DATE(YEAR(vp.tbl[[#This Row],[SDate]]),5,1),vp.tbl[[#This Row],[SDate]]&lt;=DATE(YEAR(vp.tbl[[#This Row],[SDate]]),9,15)),1,0)</f>
        <v>0</v>
      </c>
      <c r="AQ850" s="15">
        <f>IF(vp.tbl[[#This Row],[SDate]]&lt;DATE(2016,12,1),0,1)</f>
        <v>1</v>
      </c>
    </row>
    <row r="851" spans="1:43" x14ac:dyDescent="0.25">
      <c r="A851">
        <v>850</v>
      </c>
      <c r="B851" t="s">
        <v>49</v>
      </c>
      <c r="C851" t="s">
        <v>49</v>
      </c>
      <c r="D851" t="s">
        <v>67</v>
      </c>
      <c r="F851" s="1">
        <v>42788</v>
      </c>
      <c r="G851" s="2">
        <v>97.3</v>
      </c>
      <c r="H851" s="2">
        <v>0.63900000000000001</v>
      </c>
      <c r="I851" s="2">
        <v>0.63900000000000001</v>
      </c>
      <c r="J851" s="2">
        <v>8.6</v>
      </c>
      <c r="K851" s="2">
        <v>3</v>
      </c>
      <c r="L851" s="2">
        <v>820.2</v>
      </c>
      <c r="M851" s="2">
        <v>820.2</v>
      </c>
      <c r="N851" s="2">
        <f ca="1">INDEX(INDIRECT(_xlfn.CONCAT("weather.tbl[",N$1,"]")),MATCH(vp.tbl[[#This Row],[SDate]],weather.tbl[Date],0))</f>
        <v>-0.85000000000000009</v>
      </c>
      <c r="O851" s="2">
        <f ca="1">INDEX(INDIRECT(_xlfn.CONCAT("weather.tbl[",O$1,"]")),MATCH(vp.tbl[[#This Row],[SDate]],weather.tbl[Date],0))</f>
        <v>0.97380952380952379</v>
      </c>
      <c r="P851" s="2">
        <f ca="1">INDEX(INDIRECT(_xlfn.CONCAT("weather.tbl[",P$1,"]")),MATCH(vp.tbl[[#This Row],[SDate]],weather.tbl[Date],0))</f>
        <v>-1.1000000000000001</v>
      </c>
      <c r="Q851" s="2">
        <f ca="1">INDEX(INDIRECT(_xlfn.CONCAT("weather.tbl[",Q$1,"]")),MATCH(vp.tbl[[#This Row],[SDate]],weather.tbl[Date],0))</f>
        <v>-1.5</v>
      </c>
      <c r="R851" s="2">
        <f ca="1">INDEX(INDIRECT(_xlfn.CONCAT("weather.tbl[",R$1,"]")),MATCH(vp.tbl[[#This Row],[SDate]],weather.tbl[Date],0))</f>
        <v>0.3</v>
      </c>
      <c r="S851" s="2">
        <f ca="1">INDEX(INDIRECT(_xlfn.CONCAT("weather.tbl[",S$1,"]")),MATCH(vp.tbl[[#This Row],[SDate]],weather.tbl[Date],0))</f>
        <v>-0.8</v>
      </c>
      <c r="T851" s="2">
        <f ca="1">INDEX(INDIRECT(_xlfn.CONCAT("weather.tbl[",T$1,"]")),MATCH(vp.tbl[[#This Row],[SDate]],weather.tbl[Date],0))</f>
        <v>0.3</v>
      </c>
      <c r="U851" s="2">
        <f ca="1">INDEX(INDIRECT(_xlfn.CONCAT("weather.tbl[",U$1,"]")),MATCH(vp.tbl[[#This Row],[SDate]],weather.tbl[Date],0))</f>
        <v>-2.2999999999999998</v>
      </c>
      <c r="V851" s="2">
        <v>124428.834</v>
      </c>
      <c r="W851" t="s">
        <v>48</v>
      </c>
      <c r="X851">
        <f>IF(OR(vp.tbl[[#This Row],[Sulf]]="",vp.tbl[[#This Row],[Dens]]=""),1,0)</f>
        <v>0</v>
      </c>
      <c r="Y851">
        <f>IF(vp.tbl[[#This Row],[CrudeType]]="C5+",1,0)</f>
        <v>0</v>
      </c>
      <c r="Z851">
        <f>IF(AND(vp.tbl[[#This Row],[CrudeType]]="Crude",vp.tbl[[#This Row],[Dens]]&lt;=825,vp.tbl[[#This Row],[Sulf]]&gt;0.5,vp.tbl[[#This Row],[Unknown]]=0),1,0)</f>
        <v>1</v>
      </c>
      <c r="AA851">
        <f>IF(AND(vp.tbl[[#This Row],[CrudeType]]="Crude",vp.tbl[[#This Row],[Dens]]&lt;=825,vp.tbl[[#This Row],[Sulf]]&lt;=0.5,vp.tbl[[#This Row],[Unknown]]=0),1,0)</f>
        <v>0</v>
      </c>
      <c r="AB851">
        <f>IF(AND(vp.tbl[[#This Row],[CrudeType]]="Crude",vp.tbl[[#This Row],[Dens]]&gt;825,vp.tbl[[#This Row],[Dens]]&lt;=870,vp.tbl[[#This Row],[Sulf]]&gt;0.5,vp.tbl[[#This Row],[Unknown]]=0),1,0)</f>
        <v>0</v>
      </c>
      <c r="AC851">
        <f>IF(AND(vp.tbl[[#This Row],[CrudeType]]="Crude",vp.tbl[[#This Row],[Dens]]&gt;825,vp.tbl[[#This Row],[Dens]]&lt;=900,vp.tbl[[#This Row],[Sulf]]&lt;=0.5,vp.tbl[[#This Row],[Unknown]]=0),1,0)</f>
        <v>0</v>
      </c>
      <c r="AD851">
        <f>IF(AND(vp.tbl[[#This Row],[CrudeType]]="Crude",vp.tbl[[#This Row],[Dens]]&gt;870,vp.tbl[[#This Row],[Dens]]&lt;=900,vp.tbl[[#This Row],[Sulf]]&gt;0.5,vp.tbl[[#This Row],[Unknown]]=0),1,0)</f>
        <v>0</v>
      </c>
      <c r="AE851">
        <f>IF(AND(vp.tbl[[#This Row],[CrudeType]]="Crude",vp.tbl[[#This Row],[Dens]]&gt;900,vp.tbl[[#This Row],[Sulf]]&lt;=0.5,vp.tbl[[#This Row],[Unknown]]=0),1,0)</f>
        <v>0</v>
      </c>
      <c r="AF851">
        <f>IF(AND(vp.tbl[[#This Row],[CrudeType]]="Crude",vp.tbl[[#This Row],[Dens]]&gt;900,vp.tbl[[#This Row],[Sulf]]&lt;=0.5,vp.tbl[[#This Row],[Unknown]]=0),1,0)</f>
        <v>0</v>
      </c>
      <c r="AG851" t="str">
        <f>INDEX(vp.tbl[[#Headers],[Unknown]:[Heavy_SW]],MATCH(1,vp.tbl[[#This Row],[Unknown]:[Heavy_SW]],0))</f>
        <v>Light_LSB</v>
      </c>
      <c r="AH851" t="e">
        <f>INDEX([1]!crudeBD.lkup[Number],MATCH(vp.tbl[[#This Row],[Crude_Breakdown]],[1]!crudeBD.lkup[Crude Breakdown],0))</f>
        <v>#REF!</v>
      </c>
      <c r="AI851">
        <f>MONTH(vp.tbl[[#This Row],[SDate]])</f>
        <v>2</v>
      </c>
      <c r="AJ851" s="5">
        <f>IFERROR(vp.tbl[[#This Row],[Sulf]]*vp.tbl[[#This Row],[Net Dens]],"")</f>
        <v>65214122.444305211</v>
      </c>
      <c r="AK851" s="5">
        <f>IFERROR(vp.tbl[[#This Row],[Dens]]*vp.tbl[[#This Row],[VolumeM3]],"")</f>
        <v>102056529.64680001</v>
      </c>
      <c r="AL851" s="5">
        <f>IFERROR(vp.tbl[[#This Row],[VP]]*vp.tbl[[#This Row],[VolumeM3]],"")</f>
        <v>12106925.5482</v>
      </c>
      <c r="AM851" s="4">
        <f>IFERROR((vp.tbl[[#This Row],[VP]]-INDEX(crudeBD.lkup.complete[Mean_VP],MATCH(vp.tbl[[#This Row],[Crude_Breakdown]],crudeBD.lkup.complete[Crude Breakdown],0)))^2,"")</f>
        <v>33.106380529280088</v>
      </c>
      <c r="AN851" s="4">
        <f>IFERROR((vp.tbl[[#This Row],[Dens]]-INDEX(crudeBD.lkup.complete[Mean_Dens],MATCH(vp.tbl[[#This Row],[Crude_Breakdown]],crudeBD.lkup.complete[Crude Breakdown],0)))^2,"")</f>
        <v>2.833264042702643</v>
      </c>
      <c r="AO851" s="4">
        <f>IFERROR((vp.tbl[[#This Row],[Sulf]]-INDEX(crudeBD.lkup.complete[Mean_Sulf],MATCH(vp.tbl[[#This Row],[Crude_Breakdown]],crudeBD.lkup.complete[Crude Breakdown],0)))^2,"")</f>
        <v>8.0639624473873558E-2</v>
      </c>
      <c r="AP851">
        <f>IF(AND(vp.tbl[[#This Row],[SDate]]&gt;=DATE(YEAR(vp.tbl[[#This Row],[SDate]]),5,1),vp.tbl[[#This Row],[SDate]]&lt;=DATE(YEAR(vp.tbl[[#This Row],[SDate]]),9,15)),1,0)</f>
        <v>0</v>
      </c>
      <c r="AQ851" s="15">
        <f>IF(vp.tbl[[#This Row],[SDate]]&lt;DATE(2016,12,1),0,1)</f>
        <v>1</v>
      </c>
    </row>
    <row r="852" spans="1:43" x14ac:dyDescent="0.25">
      <c r="A852">
        <v>851</v>
      </c>
      <c r="B852" t="s">
        <v>62</v>
      </c>
      <c r="C852" t="s">
        <v>62</v>
      </c>
      <c r="D852" t="s">
        <v>63</v>
      </c>
      <c r="F852" s="1">
        <v>42788</v>
      </c>
      <c r="G852" s="2">
        <v>93.8</v>
      </c>
      <c r="H852" s="2">
        <v>1.655</v>
      </c>
      <c r="I852" s="2">
        <v>1.655</v>
      </c>
      <c r="J852" s="2">
        <v>15.5</v>
      </c>
      <c r="K852" s="2">
        <v>3</v>
      </c>
      <c r="L852" s="2">
        <v>839</v>
      </c>
      <c r="M852" s="2">
        <v>839</v>
      </c>
      <c r="N852" s="2">
        <f ca="1">INDEX(INDIRECT(_xlfn.CONCAT("weather.tbl[",N$1,"]")),MATCH(vp.tbl[[#This Row],[SDate]],weather.tbl[Date],0))</f>
        <v>-0.85000000000000009</v>
      </c>
      <c r="O852" s="2">
        <f ca="1">INDEX(INDIRECT(_xlfn.CONCAT("weather.tbl[",O$1,"]")),MATCH(vp.tbl[[#This Row],[SDate]],weather.tbl[Date],0))</f>
        <v>0.97380952380952379</v>
      </c>
      <c r="P852" s="2">
        <f ca="1">INDEX(INDIRECT(_xlfn.CONCAT("weather.tbl[",P$1,"]")),MATCH(vp.tbl[[#This Row],[SDate]],weather.tbl[Date],0))</f>
        <v>-1.1000000000000001</v>
      </c>
      <c r="Q852" s="2">
        <f ca="1">INDEX(INDIRECT(_xlfn.CONCAT("weather.tbl[",Q$1,"]")),MATCH(vp.tbl[[#This Row],[SDate]],weather.tbl[Date],0))</f>
        <v>-1.5</v>
      </c>
      <c r="R852" s="2">
        <f ca="1">INDEX(INDIRECT(_xlfn.CONCAT("weather.tbl[",R$1,"]")),MATCH(vp.tbl[[#This Row],[SDate]],weather.tbl[Date],0))</f>
        <v>0.3</v>
      </c>
      <c r="S852" s="2">
        <f ca="1">INDEX(INDIRECT(_xlfn.CONCAT("weather.tbl[",S$1,"]")),MATCH(vp.tbl[[#This Row],[SDate]],weather.tbl[Date],0))</f>
        <v>-0.8</v>
      </c>
      <c r="T852" s="2">
        <f ca="1">INDEX(INDIRECT(_xlfn.CONCAT("weather.tbl[",T$1,"]")),MATCH(vp.tbl[[#This Row],[SDate]],weather.tbl[Date],0))</f>
        <v>0.3</v>
      </c>
      <c r="U852" s="2">
        <f ca="1">INDEX(INDIRECT(_xlfn.CONCAT("weather.tbl[",U$1,"]")),MATCH(vp.tbl[[#This Row],[SDate]],weather.tbl[Date],0))</f>
        <v>-2.2999999999999998</v>
      </c>
      <c r="V852" s="2">
        <v>4978.7389999999996</v>
      </c>
      <c r="W852" t="s">
        <v>48</v>
      </c>
      <c r="X852">
        <f>IF(OR(vp.tbl[[#This Row],[Sulf]]="",vp.tbl[[#This Row],[Dens]]=""),1,0)</f>
        <v>0</v>
      </c>
      <c r="Y852">
        <f>IF(vp.tbl[[#This Row],[CrudeType]]="C5+",1,0)</f>
        <v>0</v>
      </c>
      <c r="Z852">
        <f>IF(AND(vp.tbl[[#This Row],[CrudeType]]="Crude",vp.tbl[[#This Row],[Dens]]&lt;=825,vp.tbl[[#This Row],[Sulf]]&gt;0.5,vp.tbl[[#This Row],[Unknown]]=0),1,0)</f>
        <v>0</v>
      </c>
      <c r="AA852">
        <f>IF(AND(vp.tbl[[#This Row],[CrudeType]]="Crude",vp.tbl[[#This Row],[Dens]]&lt;=825,vp.tbl[[#This Row],[Sulf]]&lt;=0.5,vp.tbl[[#This Row],[Unknown]]=0),1,0)</f>
        <v>0</v>
      </c>
      <c r="AB852">
        <f>IF(AND(vp.tbl[[#This Row],[CrudeType]]="Crude",vp.tbl[[#This Row],[Dens]]&gt;825,vp.tbl[[#This Row],[Dens]]&lt;=870,vp.tbl[[#This Row],[Sulf]]&gt;0.5,vp.tbl[[#This Row],[Unknown]]=0),1,0)</f>
        <v>1</v>
      </c>
      <c r="AC852">
        <f>IF(AND(vp.tbl[[#This Row],[CrudeType]]="Crude",vp.tbl[[#This Row],[Dens]]&gt;825,vp.tbl[[#This Row],[Dens]]&lt;=900,vp.tbl[[#This Row],[Sulf]]&lt;=0.5,vp.tbl[[#This Row],[Unknown]]=0),1,0)</f>
        <v>0</v>
      </c>
      <c r="AD852">
        <f>IF(AND(vp.tbl[[#This Row],[CrudeType]]="Crude",vp.tbl[[#This Row],[Dens]]&gt;870,vp.tbl[[#This Row],[Dens]]&lt;=900,vp.tbl[[#This Row],[Sulf]]&gt;0.5,vp.tbl[[#This Row],[Unknown]]=0),1,0)</f>
        <v>0</v>
      </c>
      <c r="AE852">
        <f>IF(AND(vp.tbl[[#This Row],[CrudeType]]="Crude",vp.tbl[[#This Row],[Dens]]&gt;900,vp.tbl[[#This Row],[Sulf]]&lt;=0.5,vp.tbl[[#This Row],[Unknown]]=0),1,0)</f>
        <v>0</v>
      </c>
      <c r="AF852">
        <f>IF(AND(vp.tbl[[#This Row],[CrudeType]]="Crude",vp.tbl[[#This Row],[Dens]]&gt;900,vp.tbl[[#This Row],[Sulf]]&lt;=0.5,vp.tbl[[#This Row],[Unknown]]=0),1,0)</f>
        <v>0</v>
      </c>
      <c r="AG852" t="str">
        <f>INDEX(vp.tbl[[#Headers],[Unknown]:[Heavy_SW]],MATCH(1,vp.tbl[[#This Row],[Unknown]:[Heavy_SW]],0))</f>
        <v>Medium_LSB</v>
      </c>
      <c r="AH852" t="e">
        <f>INDEX([1]!crudeBD.lkup[Number],MATCH(vp.tbl[[#This Row],[Crude_Breakdown]],[1]!crudeBD.lkup[Crude Breakdown],0))</f>
        <v>#REF!</v>
      </c>
      <c r="AI852">
        <f>MONTH(vp.tbl[[#This Row],[SDate]])</f>
        <v>2</v>
      </c>
      <c r="AJ852" s="5">
        <f>IFERROR(vp.tbl[[#This Row],[Sulf]]*vp.tbl[[#This Row],[Net Dens]],"")</f>
        <v>6913203.1447549993</v>
      </c>
      <c r="AK852" s="5">
        <f>IFERROR(vp.tbl[[#This Row],[Dens]]*vp.tbl[[#This Row],[VolumeM3]],"")</f>
        <v>4177162.0209999997</v>
      </c>
      <c r="AL852" s="5">
        <f>IFERROR(vp.tbl[[#This Row],[VP]]*vp.tbl[[#This Row],[VolumeM3]],"")</f>
        <v>467005.71819999994</v>
      </c>
      <c r="AM852" s="4">
        <f>IFERROR((vp.tbl[[#This Row],[VP]]-INDEX(crudeBD.lkup.complete[Mean_VP],MATCH(vp.tbl[[#This Row],[Crude_Breakdown]],crudeBD.lkup.complete[Crude Breakdown],0)))^2,"")</f>
        <v>185.67891494888732</v>
      </c>
      <c r="AN852" s="4">
        <f>IFERROR((vp.tbl[[#This Row],[Dens]]-INDEX(crudeBD.lkup.complete[Mean_Dens],MATCH(vp.tbl[[#This Row],[Crude_Breakdown]],crudeBD.lkup.complete[Crude Breakdown],0)))^2,"")</f>
        <v>39.587033955443466</v>
      </c>
      <c r="AO852" s="4">
        <f>IFERROR((vp.tbl[[#This Row],[Sulf]]-INDEX(crudeBD.lkup.complete[Mean_Sulf],MATCH(vp.tbl[[#This Row],[Crude_Breakdown]],crudeBD.lkup.complete[Crude Breakdown],0)))^2,"")</f>
        <v>4.0028060615715011E-2</v>
      </c>
      <c r="AP852">
        <f>IF(AND(vp.tbl[[#This Row],[SDate]]&gt;=DATE(YEAR(vp.tbl[[#This Row],[SDate]]),5,1),vp.tbl[[#This Row],[SDate]]&lt;=DATE(YEAR(vp.tbl[[#This Row],[SDate]]),9,15)),1,0)</f>
        <v>0</v>
      </c>
      <c r="AQ852" s="15">
        <f>IF(vp.tbl[[#This Row],[SDate]]&lt;DATE(2016,12,1),0,1)</f>
        <v>1</v>
      </c>
    </row>
    <row r="853" spans="1:43" x14ac:dyDescent="0.25">
      <c r="A853">
        <v>852</v>
      </c>
      <c r="B853" t="s">
        <v>51</v>
      </c>
      <c r="C853" t="s">
        <v>51</v>
      </c>
      <c r="D853" t="s">
        <v>52</v>
      </c>
      <c r="F853" s="1">
        <v>42788</v>
      </c>
      <c r="G853" s="2">
        <v>73.3</v>
      </c>
      <c r="H853" s="2">
        <v>2.3679999999999999</v>
      </c>
      <c r="I853" s="2">
        <v>2.3679999999999999</v>
      </c>
      <c r="J853" s="2">
        <v>33.9</v>
      </c>
      <c r="K853" s="2">
        <v>3</v>
      </c>
      <c r="L853" s="2">
        <v>870.4</v>
      </c>
      <c r="M853" s="2">
        <v>870.4</v>
      </c>
      <c r="N853" s="2">
        <f ca="1">INDEX(INDIRECT(_xlfn.CONCAT("weather.tbl[",N$1,"]")),MATCH(vp.tbl[[#This Row],[SDate]],weather.tbl[Date],0))</f>
        <v>-0.85000000000000009</v>
      </c>
      <c r="O853" s="2">
        <f ca="1">INDEX(INDIRECT(_xlfn.CONCAT("weather.tbl[",O$1,"]")),MATCH(vp.tbl[[#This Row],[SDate]],weather.tbl[Date],0))</f>
        <v>0.97380952380952379</v>
      </c>
      <c r="P853" s="2">
        <f ca="1">INDEX(INDIRECT(_xlfn.CONCAT("weather.tbl[",P$1,"]")),MATCH(vp.tbl[[#This Row],[SDate]],weather.tbl[Date],0))</f>
        <v>-1.1000000000000001</v>
      </c>
      <c r="Q853" s="2">
        <f ca="1">INDEX(INDIRECT(_xlfn.CONCAT("weather.tbl[",Q$1,"]")),MATCH(vp.tbl[[#This Row],[SDate]],weather.tbl[Date],0))</f>
        <v>-1.5</v>
      </c>
      <c r="R853" s="2">
        <f ca="1">INDEX(INDIRECT(_xlfn.CONCAT("weather.tbl[",R$1,"]")),MATCH(vp.tbl[[#This Row],[SDate]],weather.tbl[Date],0))</f>
        <v>0.3</v>
      </c>
      <c r="S853" s="2">
        <f ca="1">INDEX(INDIRECT(_xlfn.CONCAT("weather.tbl[",S$1,"]")),MATCH(vp.tbl[[#This Row],[SDate]],weather.tbl[Date],0))</f>
        <v>-0.8</v>
      </c>
      <c r="T853" s="2">
        <f ca="1">INDEX(INDIRECT(_xlfn.CONCAT("weather.tbl[",T$1,"]")),MATCH(vp.tbl[[#This Row],[SDate]],weather.tbl[Date],0))</f>
        <v>0.3</v>
      </c>
      <c r="U853" s="2">
        <f ca="1">INDEX(INDIRECT(_xlfn.CONCAT("weather.tbl[",U$1,"]")),MATCH(vp.tbl[[#This Row],[SDate]],weather.tbl[Date],0))</f>
        <v>-2.2999999999999998</v>
      </c>
      <c r="V853" s="2">
        <v>6655.18</v>
      </c>
      <c r="W853" t="s">
        <v>48</v>
      </c>
      <c r="X853">
        <f>IF(OR(vp.tbl[[#This Row],[Sulf]]="",vp.tbl[[#This Row],[Dens]]=""),1,0)</f>
        <v>0</v>
      </c>
      <c r="Y853">
        <f>IF(vp.tbl[[#This Row],[CrudeType]]="C5+",1,0)</f>
        <v>0</v>
      </c>
      <c r="Z853">
        <f>IF(AND(vp.tbl[[#This Row],[CrudeType]]="Crude",vp.tbl[[#This Row],[Dens]]&lt;=825,vp.tbl[[#This Row],[Sulf]]&gt;0.5,vp.tbl[[#This Row],[Unknown]]=0),1,0)</f>
        <v>0</v>
      </c>
      <c r="AA853">
        <f>IF(AND(vp.tbl[[#This Row],[CrudeType]]="Crude",vp.tbl[[#This Row],[Dens]]&lt;=825,vp.tbl[[#This Row],[Sulf]]&lt;=0.5,vp.tbl[[#This Row],[Unknown]]=0),1,0)</f>
        <v>0</v>
      </c>
      <c r="AB853">
        <f>IF(AND(vp.tbl[[#This Row],[CrudeType]]="Crude",vp.tbl[[#This Row],[Dens]]&gt;825,vp.tbl[[#This Row],[Dens]]&lt;=870,vp.tbl[[#This Row],[Sulf]]&gt;0.5,vp.tbl[[#This Row],[Unknown]]=0),1,0)</f>
        <v>0</v>
      </c>
      <c r="AC853">
        <f>IF(AND(vp.tbl[[#This Row],[CrudeType]]="Crude",vp.tbl[[#This Row],[Dens]]&gt;825,vp.tbl[[#This Row],[Dens]]&lt;=900,vp.tbl[[#This Row],[Sulf]]&lt;=0.5,vp.tbl[[#This Row],[Unknown]]=0),1,0)</f>
        <v>0</v>
      </c>
      <c r="AD853">
        <f>IF(AND(vp.tbl[[#This Row],[CrudeType]]="Crude",vp.tbl[[#This Row],[Dens]]&gt;870,vp.tbl[[#This Row],[Dens]]&lt;=900,vp.tbl[[#This Row],[Sulf]]&gt;0.5,vp.tbl[[#This Row],[Unknown]]=0),1,0)</f>
        <v>1</v>
      </c>
      <c r="AE853">
        <f>IF(AND(vp.tbl[[#This Row],[CrudeType]]="Crude",vp.tbl[[#This Row],[Dens]]&gt;900,vp.tbl[[#This Row],[Sulf]]&lt;=0.5,vp.tbl[[#This Row],[Unknown]]=0),1,0)</f>
        <v>0</v>
      </c>
      <c r="AF853">
        <f>IF(AND(vp.tbl[[#This Row],[CrudeType]]="Crude",vp.tbl[[#This Row],[Dens]]&gt;900,vp.tbl[[#This Row],[Sulf]]&lt;=0.5,vp.tbl[[#This Row],[Unknown]]=0),1,0)</f>
        <v>0</v>
      </c>
      <c r="AG853" t="str">
        <f>INDEX(vp.tbl[[#Headers],[Unknown]:[Heavy_SW]],MATCH(1,vp.tbl[[#This Row],[Unknown]:[Heavy_SW]],0))</f>
        <v>Midale</v>
      </c>
      <c r="AH853" t="e">
        <f>INDEX([1]!crudeBD.lkup[Number],MATCH(vp.tbl[[#This Row],[Crude_Breakdown]],[1]!crudeBD.lkup[Crude Breakdown],0))</f>
        <v>#REF!</v>
      </c>
      <c r="AI853">
        <f>MONTH(vp.tbl[[#This Row],[SDate]])</f>
        <v>2</v>
      </c>
      <c r="AJ853" s="5">
        <f>IFERROR(vp.tbl[[#This Row],[Sulf]]*vp.tbl[[#This Row],[Net Dens]],"")</f>
        <v>13717039.415295999</v>
      </c>
      <c r="AK853" s="5">
        <f>IFERROR(vp.tbl[[#This Row],[Dens]]*vp.tbl[[#This Row],[VolumeM3]],"")</f>
        <v>5792668.6720000003</v>
      </c>
      <c r="AL853" s="5">
        <f>IFERROR(vp.tbl[[#This Row],[VP]]*vp.tbl[[#This Row],[VolumeM3]],"")</f>
        <v>487824.69400000002</v>
      </c>
      <c r="AM853" s="4">
        <f>IFERROR((vp.tbl[[#This Row],[VP]]-INDEX(crudeBD.lkup.complete[Mean_VP],MATCH(vp.tbl[[#This Row],[Crude_Breakdown]],crudeBD.lkup.complete[Crude Breakdown],0)))^2,"")</f>
        <v>25.620238318633728</v>
      </c>
      <c r="AN853" s="4">
        <f>IFERROR((vp.tbl[[#This Row],[Dens]]-INDEX(crudeBD.lkup.complete[Mean_Dens],MATCH(vp.tbl[[#This Row],[Crude_Breakdown]],crudeBD.lkup.complete[Crude Breakdown],0)))^2,"")</f>
        <v>51.151887783820349</v>
      </c>
      <c r="AO853" s="4">
        <f>IFERROR((vp.tbl[[#This Row],[Sulf]]-INDEX(crudeBD.lkup.complete[Mean_Sulf],MATCH(vp.tbl[[#This Row],[Crude_Breakdown]],crudeBD.lkup.complete[Crude Breakdown],0)))^2,"")</f>
        <v>2.2410885698816723E-3</v>
      </c>
      <c r="AP853">
        <f>IF(AND(vp.tbl[[#This Row],[SDate]]&gt;=DATE(YEAR(vp.tbl[[#This Row],[SDate]]),5,1),vp.tbl[[#This Row],[SDate]]&lt;=DATE(YEAR(vp.tbl[[#This Row],[SDate]]),9,15)),1,0)</f>
        <v>0</v>
      </c>
      <c r="AQ853" s="15">
        <f>IF(vp.tbl[[#This Row],[SDate]]&lt;DATE(2016,12,1),0,1)</f>
        <v>1</v>
      </c>
    </row>
    <row r="854" spans="1:43" x14ac:dyDescent="0.25">
      <c r="A854">
        <v>853</v>
      </c>
      <c r="B854" t="s">
        <v>49</v>
      </c>
      <c r="C854" t="s">
        <v>49</v>
      </c>
      <c r="D854" t="s">
        <v>50</v>
      </c>
      <c r="F854" s="1">
        <v>42788</v>
      </c>
      <c r="G854" s="2">
        <v>71</v>
      </c>
      <c r="H854" s="2">
        <v>2.5329999999999999</v>
      </c>
      <c r="I854" s="2">
        <v>2.5329999999999999</v>
      </c>
      <c r="J854" s="2">
        <v>15.7</v>
      </c>
      <c r="K854" s="2">
        <v>3</v>
      </c>
      <c r="L854" s="2">
        <v>870.1</v>
      </c>
      <c r="M854" s="2">
        <v>870.1</v>
      </c>
      <c r="N854" s="2">
        <f ca="1">INDEX(INDIRECT(_xlfn.CONCAT("weather.tbl[",N$1,"]")),MATCH(vp.tbl[[#This Row],[SDate]],weather.tbl[Date],0))</f>
        <v>-0.85000000000000009</v>
      </c>
      <c r="O854" s="2">
        <f ca="1">INDEX(INDIRECT(_xlfn.CONCAT("weather.tbl[",O$1,"]")),MATCH(vp.tbl[[#This Row],[SDate]],weather.tbl[Date],0))</f>
        <v>0.97380952380952379</v>
      </c>
      <c r="P854" s="2">
        <f ca="1">INDEX(INDIRECT(_xlfn.CONCAT("weather.tbl[",P$1,"]")),MATCH(vp.tbl[[#This Row],[SDate]],weather.tbl[Date],0))</f>
        <v>-1.1000000000000001</v>
      </c>
      <c r="Q854" s="2">
        <f ca="1">INDEX(INDIRECT(_xlfn.CONCAT("weather.tbl[",Q$1,"]")),MATCH(vp.tbl[[#This Row],[SDate]],weather.tbl[Date],0))</f>
        <v>-1.5</v>
      </c>
      <c r="R854" s="2">
        <f ca="1">INDEX(INDIRECT(_xlfn.CONCAT("weather.tbl[",R$1,"]")),MATCH(vp.tbl[[#This Row],[SDate]],weather.tbl[Date],0))</f>
        <v>0.3</v>
      </c>
      <c r="S854" s="2">
        <f ca="1">INDEX(INDIRECT(_xlfn.CONCAT("weather.tbl[",S$1,"]")),MATCH(vp.tbl[[#This Row],[SDate]],weather.tbl[Date],0))</f>
        <v>-0.8</v>
      </c>
      <c r="T854" s="2">
        <f ca="1">INDEX(INDIRECT(_xlfn.CONCAT("weather.tbl[",T$1,"]")),MATCH(vp.tbl[[#This Row],[SDate]],weather.tbl[Date],0))</f>
        <v>0.3</v>
      </c>
      <c r="U854" s="2">
        <f ca="1">INDEX(INDIRECT(_xlfn.CONCAT("weather.tbl[",U$1,"]")),MATCH(vp.tbl[[#This Row],[SDate]],weather.tbl[Date],0))</f>
        <v>-2.2999999999999998</v>
      </c>
      <c r="V854" s="2">
        <v>5073.817</v>
      </c>
      <c r="W854" t="s">
        <v>48</v>
      </c>
      <c r="X854">
        <f>IF(OR(vp.tbl[[#This Row],[Sulf]]="",vp.tbl[[#This Row],[Dens]]=""),1,0)</f>
        <v>0</v>
      </c>
      <c r="Y854">
        <f>IF(vp.tbl[[#This Row],[CrudeType]]="C5+",1,0)</f>
        <v>0</v>
      </c>
      <c r="Z854">
        <f>IF(AND(vp.tbl[[#This Row],[CrudeType]]="Crude",vp.tbl[[#This Row],[Dens]]&lt;=825,vp.tbl[[#This Row],[Sulf]]&gt;0.5,vp.tbl[[#This Row],[Unknown]]=0),1,0)</f>
        <v>0</v>
      </c>
      <c r="AA854">
        <f>IF(AND(vp.tbl[[#This Row],[CrudeType]]="Crude",vp.tbl[[#This Row],[Dens]]&lt;=825,vp.tbl[[#This Row],[Sulf]]&lt;=0.5,vp.tbl[[#This Row],[Unknown]]=0),1,0)</f>
        <v>0</v>
      </c>
      <c r="AB854">
        <f>IF(AND(vp.tbl[[#This Row],[CrudeType]]="Crude",vp.tbl[[#This Row],[Dens]]&gt;825,vp.tbl[[#This Row],[Dens]]&lt;=870,vp.tbl[[#This Row],[Sulf]]&gt;0.5,vp.tbl[[#This Row],[Unknown]]=0),1,0)</f>
        <v>0</v>
      </c>
      <c r="AC854">
        <f>IF(AND(vp.tbl[[#This Row],[CrudeType]]="Crude",vp.tbl[[#This Row],[Dens]]&gt;825,vp.tbl[[#This Row],[Dens]]&lt;=900,vp.tbl[[#This Row],[Sulf]]&lt;=0.5,vp.tbl[[#This Row],[Unknown]]=0),1,0)</f>
        <v>0</v>
      </c>
      <c r="AD854">
        <f>IF(AND(vp.tbl[[#This Row],[CrudeType]]="Crude",vp.tbl[[#This Row],[Dens]]&gt;870,vp.tbl[[#This Row],[Dens]]&lt;=900,vp.tbl[[#This Row],[Sulf]]&gt;0.5,vp.tbl[[#This Row],[Unknown]]=0),1,0)</f>
        <v>1</v>
      </c>
      <c r="AE854">
        <f>IF(AND(vp.tbl[[#This Row],[CrudeType]]="Crude",vp.tbl[[#This Row],[Dens]]&gt;900,vp.tbl[[#This Row],[Sulf]]&lt;=0.5,vp.tbl[[#This Row],[Unknown]]=0),1,0)</f>
        <v>0</v>
      </c>
      <c r="AF854">
        <f>IF(AND(vp.tbl[[#This Row],[CrudeType]]="Crude",vp.tbl[[#This Row],[Dens]]&gt;900,vp.tbl[[#This Row],[Sulf]]&lt;=0.5,vp.tbl[[#This Row],[Unknown]]=0),1,0)</f>
        <v>0</v>
      </c>
      <c r="AG854" t="str">
        <f>INDEX(vp.tbl[[#Headers],[Unknown]:[Heavy_SW]],MATCH(1,vp.tbl[[#This Row],[Unknown]:[Heavy_SW]],0))</f>
        <v>Midale</v>
      </c>
      <c r="AH854" t="e">
        <f>INDEX([1]!crudeBD.lkup[Number],MATCH(vp.tbl[[#This Row],[Crude_Breakdown]],[1]!crudeBD.lkup[Crude Breakdown],0))</f>
        <v>#REF!</v>
      </c>
      <c r="AI854">
        <f>MONTH(vp.tbl[[#This Row],[SDate]])</f>
        <v>2</v>
      </c>
      <c r="AJ854" s="5">
        <f>IFERROR(vp.tbl[[#This Row],[Sulf]]*vp.tbl[[#This Row],[Net Dens]],"")</f>
        <v>11182506.4589161</v>
      </c>
      <c r="AK854" s="5">
        <f>IFERROR(vp.tbl[[#This Row],[Dens]]*vp.tbl[[#This Row],[VolumeM3]],"")</f>
        <v>4414728.1716999998</v>
      </c>
      <c r="AL854" s="5">
        <f>IFERROR(vp.tbl[[#This Row],[VP]]*vp.tbl[[#This Row],[VolumeM3]],"")</f>
        <v>360241.00699999998</v>
      </c>
      <c r="AM854" s="4">
        <f>IFERROR((vp.tbl[[#This Row],[VP]]-INDEX(crudeBD.lkup.complete[Mean_VP],MATCH(vp.tbl[[#This Row],[Crude_Breakdown]],crudeBD.lkup.complete[Crude Breakdown],0)))^2,"")</f>
        <v>7.6266766747982011</v>
      </c>
      <c r="AN854" s="4">
        <f>IFERROR((vp.tbl[[#This Row],[Dens]]-INDEX(crudeBD.lkup.complete[Mean_Dens],MATCH(vp.tbl[[#This Row],[Crude_Breakdown]],crudeBD.lkup.complete[Crude Breakdown],0)))^2,"")</f>
        <v>55.533120660531836</v>
      </c>
      <c r="AO854" s="4">
        <f>IFERROR((vp.tbl[[#This Row],[Sulf]]-INDEX(crudeBD.lkup.complete[Mean_Sulf],MATCH(vp.tbl[[#This Row],[Crude_Breakdown]],crudeBD.lkup.complete[Crude Breakdown],0)))^2,"")</f>
        <v>1.3843843364402602E-2</v>
      </c>
      <c r="AP854">
        <f>IF(AND(vp.tbl[[#This Row],[SDate]]&gt;=DATE(YEAR(vp.tbl[[#This Row],[SDate]]),5,1),vp.tbl[[#This Row],[SDate]]&lt;=DATE(YEAR(vp.tbl[[#This Row],[SDate]]),9,15)),1,0)</f>
        <v>0</v>
      </c>
      <c r="AQ854" s="15">
        <f>IF(vp.tbl[[#This Row],[SDate]]&lt;DATE(2016,12,1),0,1)</f>
        <v>1</v>
      </c>
    </row>
    <row r="855" spans="1:43" x14ac:dyDescent="0.25">
      <c r="A855">
        <v>854</v>
      </c>
      <c r="B855" t="s">
        <v>168</v>
      </c>
      <c r="C855" t="s">
        <v>168</v>
      </c>
      <c r="D855" t="s">
        <v>169</v>
      </c>
      <c r="F855" s="1">
        <v>42788</v>
      </c>
      <c r="G855" s="2">
        <v>98.5</v>
      </c>
      <c r="H855" s="2"/>
      <c r="I855" s="2">
        <v>2.0699999999999998</v>
      </c>
      <c r="J855" s="2">
        <v>17</v>
      </c>
      <c r="K855" s="2">
        <v>3</v>
      </c>
      <c r="L855" s="2">
        <v>852.8</v>
      </c>
      <c r="M855" s="2">
        <v>852.8</v>
      </c>
      <c r="N855" s="2">
        <f ca="1">INDEX(INDIRECT(_xlfn.CONCAT("weather.tbl[",N$1,"]")),MATCH(vp.tbl[[#This Row],[SDate]],weather.tbl[Date],0))</f>
        <v>-0.85000000000000009</v>
      </c>
      <c r="O855" s="2">
        <f ca="1">INDEX(INDIRECT(_xlfn.CONCAT("weather.tbl[",O$1,"]")),MATCH(vp.tbl[[#This Row],[SDate]],weather.tbl[Date],0))</f>
        <v>0.97380952380952379</v>
      </c>
      <c r="P855" s="2">
        <f ca="1">INDEX(INDIRECT(_xlfn.CONCAT("weather.tbl[",P$1,"]")),MATCH(vp.tbl[[#This Row],[SDate]],weather.tbl[Date],0))</f>
        <v>-1.1000000000000001</v>
      </c>
      <c r="Q855" s="2">
        <f ca="1">INDEX(INDIRECT(_xlfn.CONCAT("weather.tbl[",Q$1,"]")),MATCH(vp.tbl[[#This Row],[SDate]],weather.tbl[Date],0))</f>
        <v>-1.5</v>
      </c>
      <c r="R855" s="2">
        <f ca="1">INDEX(INDIRECT(_xlfn.CONCAT("weather.tbl[",R$1,"]")),MATCH(vp.tbl[[#This Row],[SDate]],weather.tbl[Date],0))</f>
        <v>0.3</v>
      </c>
      <c r="S855" s="2">
        <f ca="1">INDEX(INDIRECT(_xlfn.CONCAT("weather.tbl[",S$1,"]")),MATCH(vp.tbl[[#This Row],[SDate]],weather.tbl[Date],0))</f>
        <v>-0.8</v>
      </c>
      <c r="T855" s="2">
        <f ca="1">INDEX(INDIRECT(_xlfn.CONCAT("weather.tbl[",T$1,"]")),MATCH(vp.tbl[[#This Row],[SDate]],weather.tbl[Date],0))</f>
        <v>0.3</v>
      </c>
      <c r="U855" s="2">
        <f ca="1">INDEX(INDIRECT(_xlfn.CONCAT("weather.tbl[",U$1,"]")),MATCH(vp.tbl[[#This Row],[SDate]],weather.tbl[Date],0))</f>
        <v>-2.2999999999999998</v>
      </c>
      <c r="V855" s="2">
        <v>370.69200000000001</v>
      </c>
      <c r="W855" t="s">
        <v>48</v>
      </c>
      <c r="X855">
        <f>IF(OR(vp.tbl[[#This Row],[Sulf]]="",vp.tbl[[#This Row],[Dens]]=""),1,0)</f>
        <v>0</v>
      </c>
      <c r="Y855">
        <f>IF(vp.tbl[[#This Row],[CrudeType]]="C5+",1,0)</f>
        <v>0</v>
      </c>
      <c r="Z855">
        <f>IF(AND(vp.tbl[[#This Row],[CrudeType]]="Crude",vp.tbl[[#This Row],[Dens]]&lt;=825,vp.tbl[[#This Row],[Sulf]]&gt;0.5,vp.tbl[[#This Row],[Unknown]]=0),1,0)</f>
        <v>0</v>
      </c>
      <c r="AA855">
        <f>IF(AND(vp.tbl[[#This Row],[CrudeType]]="Crude",vp.tbl[[#This Row],[Dens]]&lt;=825,vp.tbl[[#This Row],[Sulf]]&lt;=0.5,vp.tbl[[#This Row],[Unknown]]=0),1,0)</f>
        <v>0</v>
      </c>
      <c r="AB855">
        <f>IF(AND(vp.tbl[[#This Row],[CrudeType]]="Crude",vp.tbl[[#This Row],[Dens]]&gt;825,vp.tbl[[#This Row],[Dens]]&lt;=870,vp.tbl[[#This Row],[Sulf]]&gt;0.5,vp.tbl[[#This Row],[Unknown]]=0),1,0)</f>
        <v>1</v>
      </c>
      <c r="AC855">
        <f>IF(AND(vp.tbl[[#This Row],[CrudeType]]="Crude",vp.tbl[[#This Row],[Dens]]&gt;825,vp.tbl[[#This Row],[Dens]]&lt;=900,vp.tbl[[#This Row],[Sulf]]&lt;=0.5,vp.tbl[[#This Row],[Unknown]]=0),1,0)</f>
        <v>0</v>
      </c>
      <c r="AD855">
        <f>IF(AND(vp.tbl[[#This Row],[CrudeType]]="Crude",vp.tbl[[#This Row],[Dens]]&gt;870,vp.tbl[[#This Row],[Dens]]&lt;=900,vp.tbl[[#This Row],[Sulf]]&gt;0.5,vp.tbl[[#This Row],[Unknown]]=0),1,0)</f>
        <v>0</v>
      </c>
      <c r="AE855">
        <f>IF(AND(vp.tbl[[#This Row],[CrudeType]]="Crude",vp.tbl[[#This Row],[Dens]]&gt;900,vp.tbl[[#This Row],[Sulf]]&lt;=0.5,vp.tbl[[#This Row],[Unknown]]=0),1,0)</f>
        <v>0</v>
      </c>
      <c r="AF855">
        <f>IF(AND(vp.tbl[[#This Row],[CrudeType]]="Crude",vp.tbl[[#This Row],[Dens]]&gt;900,vp.tbl[[#This Row],[Sulf]]&lt;=0.5,vp.tbl[[#This Row],[Unknown]]=0),1,0)</f>
        <v>0</v>
      </c>
      <c r="AG855" t="str">
        <f>INDEX(vp.tbl[[#Headers],[Unknown]:[Heavy_SW]],MATCH(1,vp.tbl[[#This Row],[Unknown]:[Heavy_SW]],0))</f>
        <v>Medium_LSB</v>
      </c>
      <c r="AH855" t="e">
        <f>INDEX([1]!crudeBD.lkup[Number],MATCH(vp.tbl[[#This Row],[Crude_Breakdown]],[1]!crudeBD.lkup[Crude Breakdown],0))</f>
        <v>#REF!</v>
      </c>
      <c r="AI855">
        <f>MONTH(vp.tbl[[#This Row],[SDate]])</f>
        <v>2</v>
      </c>
      <c r="AJ855" s="5">
        <f>IFERROR(vp.tbl[[#This Row],[Sulf]]*vp.tbl[[#This Row],[Net Dens]],"")</f>
        <v>654381.10483199998</v>
      </c>
      <c r="AK855" s="5">
        <f>IFERROR(vp.tbl[[#This Row],[Dens]]*vp.tbl[[#This Row],[VolumeM3]],"")</f>
        <v>316126.13760000002</v>
      </c>
      <c r="AL855" s="5">
        <f>IFERROR(vp.tbl[[#This Row],[VP]]*vp.tbl[[#This Row],[VolumeM3]],"")</f>
        <v>36513.162000000004</v>
      </c>
      <c r="AM855" s="4">
        <f>IFERROR((vp.tbl[[#This Row],[VP]]-INDEX(crudeBD.lkup.complete[Mean_VP],MATCH(vp.tbl[[#This Row],[Crude_Breakdown]],crudeBD.lkup.complete[Crude Breakdown],0)))^2,"")</f>
        <v>335.85712254382446</v>
      </c>
      <c r="AN855" s="4">
        <f>IFERROR((vp.tbl[[#This Row],[Dens]]-INDEX(crudeBD.lkup.complete[Mean_Dens],MATCH(vp.tbl[[#This Row],[Crude_Breakdown]],crudeBD.lkup.complete[Crude Breakdown],0)))^2,"")</f>
        <v>56.372725094710468</v>
      </c>
      <c r="AO855" s="4">
        <f>IFERROR((vp.tbl[[#This Row],[Sulf]]-INDEX(crudeBD.lkup.complete[Mean_Sulf],MATCH(vp.tbl[[#This Row],[Crude_Breakdown]],crudeBD.lkup.complete[Crude Breakdown],0)))^2,"")</f>
        <v>0.37831127618533383</v>
      </c>
      <c r="AP855">
        <f>IF(AND(vp.tbl[[#This Row],[SDate]]&gt;=DATE(YEAR(vp.tbl[[#This Row],[SDate]]),5,1),vp.tbl[[#This Row],[SDate]]&lt;=DATE(YEAR(vp.tbl[[#This Row],[SDate]]),9,15)),1,0)</f>
        <v>0</v>
      </c>
      <c r="AQ855" s="15">
        <f>IF(vp.tbl[[#This Row],[SDate]]&lt;DATE(2016,12,1),0,1)</f>
        <v>1</v>
      </c>
    </row>
    <row r="856" spans="1:43" x14ac:dyDescent="0.25">
      <c r="A856">
        <v>855</v>
      </c>
      <c r="B856" t="s">
        <v>68</v>
      </c>
      <c r="C856" t="s">
        <v>68</v>
      </c>
      <c r="D856" t="s">
        <v>170</v>
      </c>
      <c r="F856" s="1">
        <v>42788</v>
      </c>
      <c r="G856" s="2">
        <v>92.9</v>
      </c>
      <c r="H856" s="2"/>
      <c r="I856" s="2">
        <v>2.08</v>
      </c>
      <c r="J856" s="2">
        <v>16.2</v>
      </c>
      <c r="K856" s="2">
        <v>3</v>
      </c>
      <c r="L856" s="2">
        <v>853</v>
      </c>
      <c r="M856" s="2">
        <v>853</v>
      </c>
      <c r="N856" s="2">
        <f ca="1">INDEX(INDIRECT(_xlfn.CONCAT("weather.tbl[",N$1,"]")),MATCH(vp.tbl[[#This Row],[SDate]],weather.tbl[Date],0))</f>
        <v>-0.85000000000000009</v>
      </c>
      <c r="O856" s="2">
        <f ca="1">INDEX(INDIRECT(_xlfn.CONCAT("weather.tbl[",O$1,"]")),MATCH(vp.tbl[[#This Row],[SDate]],weather.tbl[Date],0))</f>
        <v>0.97380952380952379</v>
      </c>
      <c r="P856" s="2">
        <f ca="1">INDEX(INDIRECT(_xlfn.CONCAT("weather.tbl[",P$1,"]")),MATCH(vp.tbl[[#This Row],[SDate]],weather.tbl[Date],0))</f>
        <v>-1.1000000000000001</v>
      </c>
      <c r="Q856" s="2">
        <f ca="1">INDEX(INDIRECT(_xlfn.CONCAT("weather.tbl[",Q$1,"]")),MATCH(vp.tbl[[#This Row],[SDate]],weather.tbl[Date],0))</f>
        <v>-1.5</v>
      </c>
      <c r="R856" s="2">
        <f ca="1">INDEX(INDIRECT(_xlfn.CONCAT("weather.tbl[",R$1,"]")),MATCH(vp.tbl[[#This Row],[SDate]],weather.tbl[Date],0))</f>
        <v>0.3</v>
      </c>
      <c r="S856" s="2">
        <f ca="1">INDEX(INDIRECT(_xlfn.CONCAT("weather.tbl[",S$1,"]")),MATCH(vp.tbl[[#This Row],[SDate]],weather.tbl[Date],0))</f>
        <v>-0.8</v>
      </c>
      <c r="T856" s="2">
        <f ca="1">INDEX(INDIRECT(_xlfn.CONCAT("weather.tbl[",T$1,"]")),MATCH(vp.tbl[[#This Row],[SDate]],weather.tbl[Date],0))</f>
        <v>0.3</v>
      </c>
      <c r="U856" s="2">
        <f ca="1">INDEX(INDIRECT(_xlfn.CONCAT("weather.tbl[",U$1,"]")),MATCH(vp.tbl[[#This Row],[SDate]],weather.tbl[Date],0))</f>
        <v>-2.2999999999999998</v>
      </c>
      <c r="V856" s="2">
        <v>329.255</v>
      </c>
      <c r="W856" t="s">
        <v>48</v>
      </c>
      <c r="X856">
        <f>IF(OR(vp.tbl[[#This Row],[Sulf]]="",vp.tbl[[#This Row],[Dens]]=""),1,0)</f>
        <v>0</v>
      </c>
      <c r="Y856">
        <f>IF(vp.tbl[[#This Row],[CrudeType]]="C5+",1,0)</f>
        <v>0</v>
      </c>
      <c r="Z856">
        <f>IF(AND(vp.tbl[[#This Row],[CrudeType]]="Crude",vp.tbl[[#This Row],[Dens]]&lt;=825,vp.tbl[[#This Row],[Sulf]]&gt;0.5,vp.tbl[[#This Row],[Unknown]]=0),1,0)</f>
        <v>0</v>
      </c>
      <c r="AA856">
        <f>IF(AND(vp.tbl[[#This Row],[CrudeType]]="Crude",vp.tbl[[#This Row],[Dens]]&lt;=825,vp.tbl[[#This Row],[Sulf]]&lt;=0.5,vp.tbl[[#This Row],[Unknown]]=0),1,0)</f>
        <v>0</v>
      </c>
      <c r="AB856">
        <f>IF(AND(vp.tbl[[#This Row],[CrudeType]]="Crude",vp.tbl[[#This Row],[Dens]]&gt;825,vp.tbl[[#This Row],[Dens]]&lt;=870,vp.tbl[[#This Row],[Sulf]]&gt;0.5,vp.tbl[[#This Row],[Unknown]]=0),1,0)</f>
        <v>1</v>
      </c>
      <c r="AC856">
        <f>IF(AND(vp.tbl[[#This Row],[CrudeType]]="Crude",vp.tbl[[#This Row],[Dens]]&gt;825,vp.tbl[[#This Row],[Dens]]&lt;=900,vp.tbl[[#This Row],[Sulf]]&lt;=0.5,vp.tbl[[#This Row],[Unknown]]=0),1,0)</f>
        <v>0</v>
      </c>
      <c r="AD856">
        <f>IF(AND(vp.tbl[[#This Row],[CrudeType]]="Crude",vp.tbl[[#This Row],[Dens]]&gt;870,vp.tbl[[#This Row],[Dens]]&lt;=900,vp.tbl[[#This Row],[Sulf]]&gt;0.5,vp.tbl[[#This Row],[Unknown]]=0),1,0)</f>
        <v>0</v>
      </c>
      <c r="AE856">
        <f>IF(AND(vp.tbl[[#This Row],[CrudeType]]="Crude",vp.tbl[[#This Row],[Dens]]&gt;900,vp.tbl[[#This Row],[Sulf]]&lt;=0.5,vp.tbl[[#This Row],[Unknown]]=0),1,0)</f>
        <v>0</v>
      </c>
      <c r="AF856">
        <f>IF(AND(vp.tbl[[#This Row],[CrudeType]]="Crude",vp.tbl[[#This Row],[Dens]]&gt;900,vp.tbl[[#This Row],[Sulf]]&lt;=0.5,vp.tbl[[#This Row],[Unknown]]=0),1,0)</f>
        <v>0</v>
      </c>
      <c r="AG856" t="str">
        <f>INDEX(vp.tbl[[#Headers],[Unknown]:[Heavy_SW]],MATCH(1,vp.tbl[[#This Row],[Unknown]:[Heavy_SW]],0))</f>
        <v>Medium_LSB</v>
      </c>
      <c r="AH856" t="e">
        <f>INDEX([1]!crudeBD.lkup[Number],MATCH(vp.tbl[[#This Row],[Crude_Breakdown]],[1]!crudeBD.lkup[Crude Breakdown],0))</f>
        <v>#REF!</v>
      </c>
      <c r="AI856">
        <f>MONTH(vp.tbl[[#This Row],[SDate]])</f>
        <v>2</v>
      </c>
      <c r="AJ856" s="5">
        <f>IFERROR(vp.tbl[[#This Row],[Sulf]]*vp.tbl[[#This Row],[Net Dens]],"")</f>
        <v>584177.39120000007</v>
      </c>
      <c r="AK856" s="5">
        <f>IFERROR(vp.tbl[[#This Row],[Dens]]*vp.tbl[[#This Row],[VolumeM3]],"")</f>
        <v>280854.51500000001</v>
      </c>
      <c r="AL856" s="5">
        <f>IFERROR(vp.tbl[[#This Row],[VP]]*vp.tbl[[#This Row],[VolumeM3]],"")</f>
        <v>30587.789500000003</v>
      </c>
      <c r="AM856" s="4">
        <f>IFERROR((vp.tbl[[#This Row],[VP]]-INDEX(crudeBD.lkup.complete[Mean_VP],MATCH(vp.tbl[[#This Row],[Crude_Breakdown]],crudeBD.lkup.complete[Crude Breakdown],0)))^2,"")</f>
        <v>161.96138583496344</v>
      </c>
      <c r="AN856" s="4">
        <f>IFERROR((vp.tbl[[#This Row],[Dens]]-INDEX(crudeBD.lkup.complete[Mean_Dens],MATCH(vp.tbl[[#This Row],[Crude_Breakdown]],crudeBD.lkup.complete[Crude Breakdown],0)))^2,"")</f>
        <v>59.415995980787493</v>
      </c>
      <c r="AO856" s="4">
        <f>IFERROR((vp.tbl[[#This Row],[Sulf]]-INDEX(crudeBD.lkup.complete[Mean_Sulf],MATCH(vp.tbl[[#This Row],[Crude_Breakdown]],crudeBD.lkup.complete[Crude Breakdown],0)))^2,"")</f>
        <v>0.39071267897014422</v>
      </c>
      <c r="AP856">
        <f>IF(AND(vp.tbl[[#This Row],[SDate]]&gt;=DATE(YEAR(vp.tbl[[#This Row],[SDate]]),5,1),vp.tbl[[#This Row],[SDate]]&lt;=DATE(YEAR(vp.tbl[[#This Row],[SDate]]),9,15)),1,0)</f>
        <v>0</v>
      </c>
      <c r="AQ856" s="15">
        <f>IF(vp.tbl[[#This Row],[SDate]]&lt;DATE(2016,12,1),0,1)</f>
        <v>1</v>
      </c>
    </row>
    <row r="857" spans="1:43" x14ac:dyDescent="0.25">
      <c r="A857">
        <v>856</v>
      </c>
      <c r="B857" t="s">
        <v>68</v>
      </c>
      <c r="C857" t="s">
        <v>68</v>
      </c>
      <c r="D857" t="s">
        <v>171</v>
      </c>
      <c r="F857" s="1">
        <v>42788</v>
      </c>
      <c r="G857" s="2">
        <v>91</v>
      </c>
      <c r="H857" s="2"/>
      <c r="I857" s="2">
        <v>2.09</v>
      </c>
      <c r="J857" s="2">
        <v>17.3</v>
      </c>
      <c r="K857" s="2">
        <v>3</v>
      </c>
      <c r="L857" s="2">
        <v>861</v>
      </c>
      <c r="M857" s="2">
        <v>861</v>
      </c>
      <c r="N857" s="2">
        <f ca="1">INDEX(INDIRECT(_xlfn.CONCAT("weather.tbl[",N$1,"]")),MATCH(vp.tbl[[#This Row],[SDate]],weather.tbl[Date],0))</f>
        <v>-0.85000000000000009</v>
      </c>
      <c r="O857" s="2">
        <f ca="1">INDEX(INDIRECT(_xlfn.CONCAT("weather.tbl[",O$1,"]")),MATCH(vp.tbl[[#This Row],[SDate]],weather.tbl[Date],0))</f>
        <v>0.97380952380952379</v>
      </c>
      <c r="P857" s="2">
        <f ca="1">INDEX(INDIRECT(_xlfn.CONCAT("weather.tbl[",P$1,"]")),MATCH(vp.tbl[[#This Row],[SDate]],weather.tbl[Date],0))</f>
        <v>-1.1000000000000001</v>
      </c>
      <c r="Q857" s="2">
        <f ca="1">INDEX(INDIRECT(_xlfn.CONCAT("weather.tbl[",Q$1,"]")),MATCH(vp.tbl[[#This Row],[SDate]],weather.tbl[Date],0))</f>
        <v>-1.5</v>
      </c>
      <c r="R857" s="2">
        <f ca="1">INDEX(INDIRECT(_xlfn.CONCAT("weather.tbl[",R$1,"]")),MATCH(vp.tbl[[#This Row],[SDate]],weather.tbl[Date],0))</f>
        <v>0.3</v>
      </c>
      <c r="S857" s="2">
        <f ca="1">INDEX(INDIRECT(_xlfn.CONCAT("weather.tbl[",S$1,"]")),MATCH(vp.tbl[[#This Row],[SDate]],weather.tbl[Date],0))</f>
        <v>-0.8</v>
      </c>
      <c r="T857" s="2">
        <f ca="1">INDEX(INDIRECT(_xlfn.CONCAT("weather.tbl[",T$1,"]")),MATCH(vp.tbl[[#This Row],[SDate]],weather.tbl[Date],0))</f>
        <v>0.3</v>
      </c>
      <c r="U857" s="2">
        <f ca="1">INDEX(INDIRECT(_xlfn.CONCAT("weather.tbl[",U$1,"]")),MATCH(vp.tbl[[#This Row],[SDate]],weather.tbl[Date],0))</f>
        <v>-2.2999999999999998</v>
      </c>
      <c r="V857" s="2">
        <v>132.41399999999999</v>
      </c>
      <c r="W857" t="s">
        <v>48</v>
      </c>
      <c r="X857">
        <f>IF(OR(vp.tbl[[#This Row],[Sulf]]="",vp.tbl[[#This Row],[Dens]]=""),1,0)</f>
        <v>0</v>
      </c>
      <c r="Y857">
        <f>IF(vp.tbl[[#This Row],[CrudeType]]="C5+",1,0)</f>
        <v>0</v>
      </c>
      <c r="Z857">
        <f>IF(AND(vp.tbl[[#This Row],[CrudeType]]="Crude",vp.tbl[[#This Row],[Dens]]&lt;=825,vp.tbl[[#This Row],[Sulf]]&gt;0.5,vp.tbl[[#This Row],[Unknown]]=0),1,0)</f>
        <v>0</v>
      </c>
      <c r="AA857">
        <f>IF(AND(vp.tbl[[#This Row],[CrudeType]]="Crude",vp.tbl[[#This Row],[Dens]]&lt;=825,vp.tbl[[#This Row],[Sulf]]&lt;=0.5,vp.tbl[[#This Row],[Unknown]]=0),1,0)</f>
        <v>0</v>
      </c>
      <c r="AB857">
        <f>IF(AND(vp.tbl[[#This Row],[CrudeType]]="Crude",vp.tbl[[#This Row],[Dens]]&gt;825,vp.tbl[[#This Row],[Dens]]&lt;=870,vp.tbl[[#This Row],[Sulf]]&gt;0.5,vp.tbl[[#This Row],[Unknown]]=0),1,0)</f>
        <v>1</v>
      </c>
      <c r="AC857">
        <f>IF(AND(vp.tbl[[#This Row],[CrudeType]]="Crude",vp.tbl[[#This Row],[Dens]]&gt;825,vp.tbl[[#This Row],[Dens]]&lt;=900,vp.tbl[[#This Row],[Sulf]]&lt;=0.5,vp.tbl[[#This Row],[Unknown]]=0),1,0)</f>
        <v>0</v>
      </c>
      <c r="AD857">
        <f>IF(AND(vp.tbl[[#This Row],[CrudeType]]="Crude",vp.tbl[[#This Row],[Dens]]&gt;870,vp.tbl[[#This Row],[Dens]]&lt;=900,vp.tbl[[#This Row],[Sulf]]&gt;0.5,vp.tbl[[#This Row],[Unknown]]=0),1,0)</f>
        <v>0</v>
      </c>
      <c r="AE857">
        <f>IF(AND(vp.tbl[[#This Row],[CrudeType]]="Crude",vp.tbl[[#This Row],[Dens]]&gt;900,vp.tbl[[#This Row],[Sulf]]&lt;=0.5,vp.tbl[[#This Row],[Unknown]]=0),1,0)</f>
        <v>0</v>
      </c>
      <c r="AF857">
        <f>IF(AND(vp.tbl[[#This Row],[CrudeType]]="Crude",vp.tbl[[#This Row],[Dens]]&gt;900,vp.tbl[[#This Row],[Sulf]]&lt;=0.5,vp.tbl[[#This Row],[Unknown]]=0),1,0)</f>
        <v>0</v>
      </c>
      <c r="AG857" t="str">
        <f>INDEX(vp.tbl[[#Headers],[Unknown]:[Heavy_SW]],MATCH(1,vp.tbl[[#This Row],[Unknown]:[Heavy_SW]],0))</f>
        <v>Medium_LSB</v>
      </c>
      <c r="AH857" t="e">
        <f>INDEX([1]!crudeBD.lkup[Number],MATCH(vp.tbl[[#This Row],[Crude_Breakdown]],[1]!crudeBD.lkup[Crude Breakdown],0))</f>
        <v>#REF!</v>
      </c>
      <c r="AI857">
        <f>MONTH(vp.tbl[[#This Row],[SDate]])</f>
        <v>2</v>
      </c>
      <c r="AJ857" s="5">
        <f>IFERROR(vp.tbl[[#This Row],[Sulf]]*vp.tbl[[#This Row],[Net Dens]],"")</f>
        <v>238277.66885999995</v>
      </c>
      <c r="AK857" s="5">
        <f>IFERROR(vp.tbl[[#This Row],[Dens]]*vp.tbl[[#This Row],[VolumeM3]],"")</f>
        <v>114008.45399999998</v>
      </c>
      <c r="AL857" s="5">
        <f>IFERROR(vp.tbl[[#This Row],[VP]]*vp.tbl[[#This Row],[VolumeM3]],"")</f>
        <v>12049.673999999999</v>
      </c>
      <c r="AM857" s="4">
        <f>IFERROR((vp.tbl[[#This Row],[VP]]-INDEX(crudeBD.lkup.complete[Mean_VP],MATCH(vp.tbl[[#This Row],[Crude_Breakdown]],crudeBD.lkup.complete[Crude Breakdown],0)))^2,"")</f>
        <v>117.21104659445682</v>
      </c>
      <c r="AN857" s="4">
        <f>IFERROR((vp.tbl[[#This Row],[Dens]]-INDEX(crudeBD.lkup.complete[Mean_Dens],MATCH(vp.tbl[[#This Row],[Crude_Breakdown]],crudeBD.lkup.complete[Crude Breakdown],0)))^2,"")</f>
        <v>246.74683142384123</v>
      </c>
      <c r="AO857" s="4">
        <f>IFERROR((vp.tbl[[#This Row],[Sulf]]-INDEX(crudeBD.lkup.complete[Mean_Sulf],MATCH(vp.tbl[[#This Row],[Crude_Breakdown]],crudeBD.lkup.complete[Crude Breakdown],0)))^2,"")</f>
        <v>0.40331408175495403</v>
      </c>
      <c r="AP857">
        <f>IF(AND(vp.tbl[[#This Row],[SDate]]&gt;=DATE(YEAR(vp.tbl[[#This Row],[SDate]]),5,1),vp.tbl[[#This Row],[SDate]]&lt;=DATE(YEAR(vp.tbl[[#This Row],[SDate]]),9,15)),1,0)</f>
        <v>0</v>
      </c>
      <c r="AQ857" s="15">
        <f>IF(vp.tbl[[#This Row],[SDate]]&lt;DATE(2016,12,1),0,1)</f>
        <v>1</v>
      </c>
    </row>
    <row r="858" spans="1:43" x14ac:dyDescent="0.25">
      <c r="A858">
        <v>857</v>
      </c>
      <c r="B858" t="s">
        <v>68</v>
      </c>
      <c r="C858" t="s">
        <v>68</v>
      </c>
      <c r="D858" t="s">
        <v>172</v>
      </c>
      <c r="F858" s="1">
        <v>42788</v>
      </c>
      <c r="G858" s="2">
        <v>70</v>
      </c>
      <c r="H858" s="2"/>
      <c r="I858" s="2">
        <v>1.93</v>
      </c>
      <c r="J858" s="2">
        <v>23.9</v>
      </c>
      <c r="K858" s="2">
        <v>3</v>
      </c>
      <c r="L858" s="2">
        <v>864.5</v>
      </c>
      <c r="M858" s="2">
        <v>864.5</v>
      </c>
      <c r="N858" s="2">
        <f ca="1">INDEX(INDIRECT(_xlfn.CONCAT("weather.tbl[",N$1,"]")),MATCH(vp.tbl[[#This Row],[SDate]],weather.tbl[Date],0))</f>
        <v>-0.85000000000000009</v>
      </c>
      <c r="O858" s="2">
        <f ca="1">INDEX(INDIRECT(_xlfn.CONCAT("weather.tbl[",O$1,"]")),MATCH(vp.tbl[[#This Row],[SDate]],weather.tbl[Date],0))</f>
        <v>0.97380952380952379</v>
      </c>
      <c r="P858" s="2">
        <f ca="1">INDEX(INDIRECT(_xlfn.CONCAT("weather.tbl[",P$1,"]")),MATCH(vp.tbl[[#This Row],[SDate]],weather.tbl[Date],0))</f>
        <v>-1.1000000000000001</v>
      </c>
      <c r="Q858" s="2">
        <f ca="1">INDEX(INDIRECT(_xlfn.CONCAT("weather.tbl[",Q$1,"]")),MATCH(vp.tbl[[#This Row],[SDate]],weather.tbl[Date],0))</f>
        <v>-1.5</v>
      </c>
      <c r="R858" s="2">
        <f ca="1">INDEX(INDIRECT(_xlfn.CONCAT("weather.tbl[",R$1,"]")),MATCH(vp.tbl[[#This Row],[SDate]],weather.tbl[Date],0))</f>
        <v>0.3</v>
      </c>
      <c r="S858" s="2">
        <f ca="1">INDEX(INDIRECT(_xlfn.CONCAT("weather.tbl[",S$1,"]")),MATCH(vp.tbl[[#This Row],[SDate]],weather.tbl[Date],0))</f>
        <v>-0.8</v>
      </c>
      <c r="T858" s="2">
        <f ca="1">INDEX(INDIRECT(_xlfn.CONCAT("weather.tbl[",T$1,"]")),MATCH(vp.tbl[[#This Row],[SDate]],weather.tbl[Date],0))</f>
        <v>0.3</v>
      </c>
      <c r="U858" s="2">
        <f ca="1">INDEX(INDIRECT(_xlfn.CONCAT("weather.tbl[",U$1,"]")),MATCH(vp.tbl[[#This Row],[SDate]],weather.tbl[Date],0))</f>
        <v>-2.2999999999999998</v>
      </c>
      <c r="V858" s="2">
        <v>38.792000000000002</v>
      </c>
      <c r="W858" t="s">
        <v>48</v>
      </c>
      <c r="X858">
        <f>IF(OR(vp.tbl[[#This Row],[Sulf]]="",vp.tbl[[#This Row],[Dens]]=""),1,0)</f>
        <v>0</v>
      </c>
      <c r="Y858">
        <f>IF(vp.tbl[[#This Row],[CrudeType]]="C5+",1,0)</f>
        <v>0</v>
      </c>
      <c r="Z858">
        <f>IF(AND(vp.tbl[[#This Row],[CrudeType]]="Crude",vp.tbl[[#This Row],[Dens]]&lt;=825,vp.tbl[[#This Row],[Sulf]]&gt;0.5,vp.tbl[[#This Row],[Unknown]]=0),1,0)</f>
        <v>0</v>
      </c>
      <c r="AA858">
        <f>IF(AND(vp.tbl[[#This Row],[CrudeType]]="Crude",vp.tbl[[#This Row],[Dens]]&lt;=825,vp.tbl[[#This Row],[Sulf]]&lt;=0.5,vp.tbl[[#This Row],[Unknown]]=0),1,0)</f>
        <v>0</v>
      </c>
      <c r="AB858">
        <f>IF(AND(vp.tbl[[#This Row],[CrudeType]]="Crude",vp.tbl[[#This Row],[Dens]]&gt;825,vp.tbl[[#This Row],[Dens]]&lt;=870,vp.tbl[[#This Row],[Sulf]]&gt;0.5,vp.tbl[[#This Row],[Unknown]]=0),1,0)</f>
        <v>1</v>
      </c>
      <c r="AC858">
        <f>IF(AND(vp.tbl[[#This Row],[CrudeType]]="Crude",vp.tbl[[#This Row],[Dens]]&gt;825,vp.tbl[[#This Row],[Dens]]&lt;=900,vp.tbl[[#This Row],[Sulf]]&lt;=0.5,vp.tbl[[#This Row],[Unknown]]=0),1,0)</f>
        <v>0</v>
      </c>
      <c r="AD858">
        <f>IF(AND(vp.tbl[[#This Row],[CrudeType]]="Crude",vp.tbl[[#This Row],[Dens]]&gt;870,vp.tbl[[#This Row],[Dens]]&lt;=900,vp.tbl[[#This Row],[Sulf]]&gt;0.5,vp.tbl[[#This Row],[Unknown]]=0),1,0)</f>
        <v>0</v>
      </c>
      <c r="AE858">
        <f>IF(AND(vp.tbl[[#This Row],[CrudeType]]="Crude",vp.tbl[[#This Row],[Dens]]&gt;900,vp.tbl[[#This Row],[Sulf]]&lt;=0.5,vp.tbl[[#This Row],[Unknown]]=0),1,0)</f>
        <v>0</v>
      </c>
      <c r="AF858">
        <f>IF(AND(vp.tbl[[#This Row],[CrudeType]]="Crude",vp.tbl[[#This Row],[Dens]]&gt;900,vp.tbl[[#This Row],[Sulf]]&lt;=0.5,vp.tbl[[#This Row],[Unknown]]=0),1,0)</f>
        <v>0</v>
      </c>
      <c r="AG858" t="str">
        <f>INDEX(vp.tbl[[#Headers],[Unknown]:[Heavy_SW]],MATCH(1,vp.tbl[[#This Row],[Unknown]:[Heavy_SW]],0))</f>
        <v>Medium_LSB</v>
      </c>
      <c r="AH858" t="e">
        <f>INDEX([1]!crudeBD.lkup[Number],MATCH(vp.tbl[[#This Row],[Crude_Breakdown]],[1]!crudeBD.lkup[Crude Breakdown],0))</f>
        <v>#REF!</v>
      </c>
      <c r="AI858">
        <f>MONTH(vp.tbl[[#This Row],[SDate]])</f>
        <v>2</v>
      </c>
      <c r="AJ858" s="5">
        <f>IFERROR(vp.tbl[[#This Row],[Sulf]]*vp.tbl[[#This Row],[Net Dens]],"")</f>
        <v>64723.87012</v>
      </c>
      <c r="AK858" s="5">
        <f>IFERROR(vp.tbl[[#This Row],[Dens]]*vp.tbl[[#This Row],[VolumeM3]],"")</f>
        <v>33535.684000000001</v>
      </c>
      <c r="AL858" s="5">
        <f>IFERROR(vp.tbl[[#This Row],[VP]]*vp.tbl[[#This Row],[VolumeM3]],"")</f>
        <v>2715.44</v>
      </c>
      <c r="AM858" s="4">
        <f>IFERROR((vp.tbl[[#This Row],[VP]]-INDEX(crudeBD.lkup.complete[Mean_VP],MATCH(vp.tbl[[#This Row],[Crude_Breakdown]],crudeBD.lkup.complete[Crude Breakdown],0)))^2,"")</f>
        <v>103.50203393622742</v>
      </c>
      <c r="AN858" s="4">
        <f>IFERROR((vp.tbl[[#This Row],[Dens]]-INDEX(crudeBD.lkup.complete[Mean_Dens],MATCH(vp.tbl[[#This Row],[Crude_Breakdown]],crudeBD.lkup.complete[Crude Breakdown],0)))^2,"")</f>
        <v>368.95407193017724</v>
      </c>
      <c r="AO858" s="4">
        <f>IFERROR((vp.tbl[[#This Row],[Sulf]]-INDEX(crudeBD.lkup.complete[Mean_Sulf],MATCH(vp.tbl[[#This Row],[Crude_Breakdown]],crudeBD.lkup.complete[Crude Breakdown],0)))^2,"")</f>
        <v>0.2256916371979926</v>
      </c>
      <c r="AP858">
        <f>IF(AND(vp.tbl[[#This Row],[SDate]]&gt;=DATE(YEAR(vp.tbl[[#This Row],[SDate]]),5,1),vp.tbl[[#This Row],[SDate]]&lt;=DATE(YEAR(vp.tbl[[#This Row],[SDate]]),9,15)),1,0)</f>
        <v>0</v>
      </c>
      <c r="AQ858" s="15">
        <f>IF(vp.tbl[[#This Row],[SDate]]&lt;DATE(2016,12,1),0,1)</f>
        <v>1</v>
      </c>
    </row>
    <row r="859" spans="1:43" x14ac:dyDescent="0.25">
      <c r="A859">
        <v>858</v>
      </c>
      <c r="B859" t="s">
        <v>46</v>
      </c>
      <c r="C859" t="s">
        <v>46</v>
      </c>
      <c r="D859" t="s">
        <v>47</v>
      </c>
      <c r="F859" s="1">
        <v>42788</v>
      </c>
      <c r="G859" s="2">
        <v>61.9</v>
      </c>
      <c r="H859" s="2"/>
      <c r="I859" s="2">
        <v>2.39</v>
      </c>
      <c r="J859" s="2">
        <v>29.4</v>
      </c>
      <c r="K859" s="2">
        <v>3</v>
      </c>
      <c r="L859" s="2">
        <v>868.8</v>
      </c>
      <c r="M859" s="2">
        <v>868.8</v>
      </c>
      <c r="N859" s="2">
        <f ca="1">INDEX(INDIRECT(_xlfn.CONCAT("weather.tbl[",N$1,"]")),MATCH(vp.tbl[[#This Row],[SDate]],weather.tbl[Date],0))</f>
        <v>-0.85000000000000009</v>
      </c>
      <c r="O859" s="2">
        <f ca="1">INDEX(INDIRECT(_xlfn.CONCAT("weather.tbl[",O$1,"]")),MATCH(vp.tbl[[#This Row],[SDate]],weather.tbl[Date],0))</f>
        <v>0.97380952380952379</v>
      </c>
      <c r="P859" s="2">
        <f ca="1">INDEX(INDIRECT(_xlfn.CONCAT("weather.tbl[",P$1,"]")),MATCH(vp.tbl[[#This Row],[SDate]],weather.tbl[Date],0))</f>
        <v>-1.1000000000000001</v>
      </c>
      <c r="Q859" s="2">
        <f ca="1">INDEX(INDIRECT(_xlfn.CONCAT("weather.tbl[",Q$1,"]")),MATCH(vp.tbl[[#This Row],[SDate]],weather.tbl[Date],0))</f>
        <v>-1.5</v>
      </c>
      <c r="R859" s="2">
        <f ca="1">INDEX(INDIRECT(_xlfn.CONCAT("weather.tbl[",R$1,"]")),MATCH(vp.tbl[[#This Row],[SDate]],weather.tbl[Date],0))</f>
        <v>0.3</v>
      </c>
      <c r="S859" s="2">
        <f ca="1">INDEX(INDIRECT(_xlfn.CONCAT("weather.tbl[",S$1,"]")),MATCH(vp.tbl[[#This Row],[SDate]],weather.tbl[Date],0))</f>
        <v>-0.8</v>
      </c>
      <c r="T859" s="2">
        <f ca="1">INDEX(INDIRECT(_xlfn.CONCAT("weather.tbl[",T$1,"]")),MATCH(vp.tbl[[#This Row],[SDate]],weather.tbl[Date],0))</f>
        <v>0.3</v>
      </c>
      <c r="U859" s="2">
        <f ca="1">INDEX(INDIRECT(_xlfn.CONCAT("weather.tbl[",U$1,"]")),MATCH(vp.tbl[[#This Row],[SDate]],weather.tbl[Date],0))</f>
        <v>-2.2999999999999998</v>
      </c>
      <c r="V859" s="2">
        <v>104905.11500000001</v>
      </c>
      <c r="W859" t="s">
        <v>48</v>
      </c>
      <c r="X859">
        <f>IF(OR(vp.tbl[[#This Row],[Sulf]]="",vp.tbl[[#This Row],[Dens]]=""),1,0)</f>
        <v>0</v>
      </c>
      <c r="Y859">
        <f>IF(vp.tbl[[#This Row],[CrudeType]]="C5+",1,0)</f>
        <v>0</v>
      </c>
      <c r="Z859">
        <f>IF(AND(vp.tbl[[#This Row],[CrudeType]]="Crude",vp.tbl[[#This Row],[Dens]]&lt;=825,vp.tbl[[#This Row],[Sulf]]&gt;0.5,vp.tbl[[#This Row],[Unknown]]=0),1,0)</f>
        <v>0</v>
      </c>
      <c r="AA859">
        <f>IF(AND(vp.tbl[[#This Row],[CrudeType]]="Crude",vp.tbl[[#This Row],[Dens]]&lt;=825,vp.tbl[[#This Row],[Sulf]]&lt;=0.5,vp.tbl[[#This Row],[Unknown]]=0),1,0)</f>
        <v>0</v>
      </c>
      <c r="AB859">
        <f>IF(AND(vp.tbl[[#This Row],[CrudeType]]="Crude",vp.tbl[[#This Row],[Dens]]&gt;825,vp.tbl[[#This Row],[Dens]]&lt;=870,vp.tbl[[#This Row],[Sulf]]&gt;0.5,vp.tbl[[#This Row],[Unknown]]=0),1,0)</f>
        <v>1</v>
      </c>
      <c r="AC859">
        <f>IF(AND(vp.tbl[[#This Row],[CrudeType]]="Crude",vp.tbl[[#This Row],[Dens]]&gt;825,vp.tbl[[#This Row],[Dens]]&lt;=900,vp.tbl[[#This Row],[Sulf]]&lt;=0.5,vp.tbl[[#This Row],[Unknown]]=0),1,0)</f>
        <v>0</v>
      </c>
      <c r="AD859">
        <f>IF(AND(vp.tbl[[#This Row],[CrudeType]]="Crude",vp.tbl[[#This Row],[Dens]]&gt;870,vp.tbl[[#This Row],[Dens]]&lt;=900,vp.tbl[[#This Row],[Sulf]]&gt;0.5,vp.tbl[[#This Row],[Unknown]]=0),1,0)</f>
        <v>0</v>
      </c>
      <c r="AE859">
        <f>IF(AND(vp.tbl[[#This Row],[CrudeType]]="Crude",vp.tbl[[#This Row],[Dens]]&gt;900,vp.tbl[[#This Row],[Sulf]]&lt;=0.5,vp.tbl[[#This Row],[Unknown]]=0),1,0)</f>
        <v>0</v>
      </c>
      <c r="AF859">
        <f>IF(AND(vp.tbl[[#This Row],[CrudeType]]="Crude",vp.tbl[[#This Row],[Dens]]&gt;900,vp.tbl[[#This Row],[Sulf]]&lt;=0.5,vp.tbl[[#This Row],[Unknown]]=0),1,0)</f>
        <v>0</v>
      </c>
      <c r="AG859" t="str">
        <f>INDEX(vp.tbl[[#Headers],[Unknown]:[Heavy_SW]],MATCH(1,vp.tbl[[#This Row],[Unknown]:[Heavy_SW]],0))</f>
        <v>Medium_LSB</v>
      </c>
      <c r="AH859" t="e">
        <f>INDEX([1]!crudeBD.lkup[Number],MATCH(vp.tbl[[#This Row],[Crude_Breakdown]],[1]!crudeBD.lkup[Crude Breakdown],0))</f>
        <v>#REF!</v>
      </c>
      <c r="AI859">
        <f>MONTH(vp.tbl[[#This Row],[SDate]])</f>
        <v>2</v>
      </c>
      <c r="AJ859" s="5">
        <f>IFERROR(vp.tbl[[#This Row],[Sulf]]*vp.tbl[[#This Row],[Net Dens]],"")</f>
        <v>217828337.74968001</v>
      </c>
      <c r="AK859" s="5">
        <f>IFERROR(vp.tbl[[#This Row],[Dens]]*vp.tbl[[#This Row],[VolumeM3]],"")</f>
        <v>91141563.912</v>
      </c>
      <c r="AL859" s="5">
        <f>IFERROR(vp.tbl[[#This Row],[VP]]*vp.tbl[[#This Row],[VolumeM3]],"")</f>
        <v>6493626.6184999999</v>
      </c>
      <c r="AM859" s="4">
        <f>IFERROR((vp.tbl[[#This Row],[VP]]-INDEX(crudeBD.lkup.complete[Mean_VP],MATCH(vp.tbl[[#This Row],[Crude_Breakdown]],crudeBD.lkup.complete[Crude Breakdown],0)))^2,"")</f>
        <v>333.92427191091042</v>
      </c>
      <c r="AN859" s="4">
        <f>IFERROR((vp.tbl[[#This Row],[Dens]]-INDEX(crudeBD.lkup.complete[Mean_Dens],MATCH(vp.tbl[[#This Row],[Crude_Breakdown]],crudeBD.lkup.complete[Crude Breakdown],0)))^2,"")</f>
        <v>552.63439598081652</v>
      </c>
      <c r="AO859" s="4">
        <f>IFERROR((vp.tbl[[#This Row],[Sulf]]-INDEX(crudeBD.lkup.complete[Mean_Sulf],MATCH(vp.tbl[[#This Row],[Crude_Breakdown]],crudeBD.lkup.complete[Crude Breakdown],0)))^2,"")</f>
        <v>0.8743561652992573</v>
      </c>
      <c r="AP859">
        <f>IF(AND(vp.tbl[[#This Row],[SDate]]&gt;=DATE(YEAR(vp.tbl[[#This Row],[SDate]]),5,1),vp.tbl[[#This Row],[SDate]]&lt;=DATE(YEAR(vp.tbl[[#This Row],[SDate]]),9,15)),1,0)</f>
        <v>0</v>
      </c>
      <c r="AQ859" s="15">
        <f>IF(vp.tbl[[#This Row],[SDate]]&lt;DATE(2016,12,1),0,1)</f>
        <v>1</v>
      </c>
    </row>
    <row r="860" spans="1:43" x14ac:dyDescent="0.25">
      <c r="A860">
        <v>859</v>
      </c>
      <c r="B860" t="s">
        <v>134</v>
      </c>
      <c r="C860" t="s">
        <v>134</v>
      </c>
      <c r="D860" t="s">
        <v>135</v>
      </c>
      <c r="F860" s="1">
        <v>42788</v>
      </c>
      <c r="G860" s="2">
        <v>73.599999999999994</v>
      </c>
      <c r="H860" s="2"/>
      <c r="I860" s="2">
        <v>2.3199999999999998</v>
      </c>
      <c r="J860" s="2">
        <v>12.6</v>
      </c>
      <c r="K860" s="2">
        <v>3</v>
      </c>
      <c r="L860" s="2">
        <v>870.4</v>
      </c>
      <c r="M860" s="2">
        <v>870.4</v>
      </c>
      <c r="N860" s="2">
        <f ca="1">INDEX(INDIRECT(_xlfn.CONCAT("weather.tbl[",N$1,"]")),MATCH(vp.tbl[[#This Row],[SDate]],weather.tbl[Date],0))</f>
        <v>-0.85000000000000009</v>
      </c>
      <c r="O860" s="2">
        <f ca="1">INDEX(INDIRECT(_xlfn.CONCAT("weather.tbl[",O$1,"]")),MATCH(vp.tbl[[#This Row],[SDate]],weather.tbl[Date],0))</f>
        <v>0.97380952380952379</v>
      </c>
      <c r="P860" s="2">
        <f ca="1">INDEX(INDIRECT(_xlfn.CONCAT("weather.tbl[",P$1,"]")),MATCH(vp.tbl[[#This Row],[SDate]],weather.tbl[Date],0))</f>
        <v>-1.1000000000000001</v>
      </c>
      <c r="Q860" s="2">
        <f ca="1">INDEX(INDIRECT(_xlfn.CONCAT("weather.tbl[",Q$1,"]")),MATCH(vp.tbl[[#This Row],[SDate]],weather.tbl[Date],0))</f>
        <v>-1.5</v>
      </c>
      <c r="R860" s="2">
        <f ca="1">INDEX(INDIRECT(_xlfn.CONCAT("weather.tbl[",R$1,"]")),MATCH(vp.tbl[[#This Row],[SDate]],weather.tbl[Date],0))</f>
        <v>0.3</v>
      </c>
      <c r="S860" s="2">
        <f ca="1">INDEX(INDIRECT(_xlfn.CONCAT("weather.tbl[",S$1,"]")),MATCH(vp.tbl[[#This Row],[SDate]],weather.tbl[Date],0))</f>
        <v>-0.8</v>
      </c>
      <c r="T860" s="2">
        <f ca="1">INDEX(INDIRECT(_xlfn.CONCAT("weather.tbl[",T$1,"]")),MATCH(vp.tbl[[#This Row],[SDate]],weather.tbl[Date],0))</f>
        <v>0.3</v>
      </c>
      <c r="U860" s="2">
        <f ca="1">INDEX(INDIRECT(_xlfn.CONCAT("weather.tbl[",U$1,"]")),MATCH(vp.tbl[[#This Row],[SDate]],weather.tbl[Date],0))</f>
        <v>-2.2999999999999998</v>
      </c>
      <c r="V860" s="2">
        <v>266.18799999999999</v>
      </c>
      <c r="W860" t="s">
        <v>48</v>
      </c>
      <c r="X860">
        <f>IF(OR(vp.tbl[[#This Row],[Sulf]]="",vp.tbl[[#This Row],[Dens]]=""),1,0)</f>
        <v>0</v>
      </c>
      <c r="Y860">
        <f>IF(vp.tbl[[#This Row],[CrudeType]]="C5+",1,0)</f>
        <v>0</v>
      </c>
      <c r="Z860">
        <f>IF(AND(vp.tbl[[#This Row],[CrudeType]]="Crude",vp.tbl[[#This Row],[Dens]]&lt;=825,vp.tbl[[#This Row],[Sulf]]&gt;0.5,vp.tbl[[#This Row],[Unknown]]=0),1,0)</f>
        <v>0</v>
      </c>
      <c r="AA860">
        <f>IF(AND(vp.tbl[[#This Row],[CrudeType]]="Crude",vp.tbl[[#This Row],[Dens]]&lt;=825,vp.tbl[[#This Row],[Sulf]]&lt;=0.5,vp.tbl[[#This Row],[Unknown]]=0),1,0)</f>
        <v>0</v>
      </c>
      <c r="AB860">
        <f>IF(AND(vp.tbl[[#This Row],[CrudeType]]="Crude",vp.tbl[[#This Row],[Dens]]&gt;825,vp.tbl[[#This Row],[Dens]]&lt;=870,vp.tbl[[#This Row],[Sulf]]&gt;0.5,vp.tbl[[#This Row],[Unknown]]=0),1,0)</f>
        <v>0</v>
      </c>
      <c r="AC860">
        <f>IF(AND(vp.tbl[[#This Row],[CrudeType]]="Crude",vp.tbl[[#This Row],[Dens]]&gt;825,vp.tbl[[#This Row],[Dens]]&lt;=900,vp.tbl[[#This Row],[Sulf]]&lt;=0.5,vp.tbl[[#This Row],[Unknown]]=0),1,0)</f>
        <v>0</v>
      </c>
      <c r="AD860">
        <f>IF(AND(vp.tbl[[#This Row],[CrudeType]]="Crude",vp.tbl[[#This Row],[Dens]]&gt;870,vp.tbl[[#This Row],[Dens]]&lt;=900,vp.tbl[[#This Row],[Sulf]]&gt;0.5,vp.tbl[[#This Row],[Unknown]]=0),1,0)</f>
        <v>1</v>
      </c>
      <c r="AE860">
        <f>IF(AND(vp.tbl[[#This Row],[CrudeType]]="Crude",vp.tbl[[#This Row],[Dens]]&gt;900,vp.tbl[[#This Row],[Sulf]]&lt;=0.5,vp.tbl[[#This Row],[Unknown]]=0),1,0)</f>
        <v>0</v>
      </c>
      <c r="AF860">
        <f>IF(AND(vp.tbl[[#This Row],[CrudeType]]="Crude",vp.tbl[[#This Row],[Dens]]&gt;900,vp.tbl[[#This Row],[Sulf]]&lt;=0.5,vp.tbl[[#This Row],[Unknown]]=0),1,0)</f>
        <v>0</v>
      </c>
      <c r="AG860" t="str">
        <f>INDEX(vp.tbl[[#Headers],[Unknown]:[Heavy_SW]],MATCH(1,vp.tbl[[#This Row],[Unknown]:[Heavy_SW]],0))</f>
        <v>Midale</v>
      </c>
      <c r="AH860" t="e">
        <f>INDEX([1]!crudeBD.lkup[Number],MATCH(vp.tbl[[#This Row],[Crude_Breakdown]],[1]!crudeBD.lkup[Crude Breakdown],0))</f>
        <v>#REF!</v>
      </c>
      <c r="AI860">
        <f>MONTH(vp.tbl[[#This Row],[SDate]])</f>
        <v>2</v>
      </c>
      <c r="AJ860" s="5">
        <f>IFERROR(vp.tbl[[#This Row],[Sulf]]*vp.tbl[[#This Row],[Net Dens]],"")</f>
        <v>537520.88166399987</v>
      </c>
      <c r="AK860" s="5">
        <f>IFERROR(vp.tbl[[#This Row],[Dens]]*vp.tbl[[#This Row],[VolumeM3]],"")</f>
        <v>231690.03519999998</v>
      </c>
      <c r="AL860" s="5">
        <f>IFERROR(vp.tbl[[#This Row],[VP]]*vp.tbl[[#This Row],[VolumeM3]],"")</f>
        <v>19591.436799999996</v>
      </c>
      <c r="AM860" s="4">
        <f>IFERROR((vp.tbl[[#This Row],[VP]]-INDEX(crudeBD.lkup.complete[Mean_VP],MATCH(vp.tbl[[#This Row],[Crude_Breakdown]],crudeBD.lkup.complete[Crude Breakdown],0)))^2,"")</f>
        <v>28.74722462000355</v>
      </c>
      <c r="AN860" s="4">
        <f>IFERROR((vp.tbl[[#This Row],[Dens]]-INDEX(crudeBD.lkup.complete[Mean_Dens],MATCH(vp.tbl[[#This Row],[Crude_Breakdown]],crudeBD.lkup.complete[Crude Breakdown],0)))^2,"")</f>
        <v>51.151887783820349</v>
      </c>
      <c r="AO860" s="4">
        <f>IFERROR((vp.tbl[[#This Row],[Sulf]]-INDEX(crudeBD.lkup.complete[Mean_Sulf],MATCH(vp.tbl[[#This Row],[Crude_Breakdown]],crudeBD.lkup.complete[Crude Breakdown],0)))^2,"")</f>
        <v>9.0897417205665024E-3</v>
      </c>
      <c r="AP860">
        <f>IF(AND(vp.tbl[[#This Row],[SDate]]&gt;=DATE(YEAR(vp.tbl[[#This Row],[SDate]]),5,1),vp.tbl[[#This Row],[SDate]]&lt;=DATE(YEAR(vp.tbl[[#This Row],[SDate]]),9,15)),1,0)</f>
        <v>0</v>
      </c>
      <c r="AQ860" s="15">
        <f>IF(vp.tbl[[#This Row],[SDate]]&lt;DATE(2016,12,1),0,1)</f>
        <v>1</v>
      </c>
    </row>
    <row r="861" spans="1:43" x14ac:dyDescent="0.25">
      <c r="A861">
        <v>860</v>
      </c>
      <c r="B861" t="s">
        <v>49</v>
      </c>
      <c r="C861" t="s">
        <v>49</v>
      </c>
      <c r="D861" t="s">
        <v>78</v>
      </c>
      <c r="F861" s="1">
        <v>42789</v>
      </c>
      <c r="G861" s="2">
        <v>70.099999999999994</v>
      </c>
      <c r="H861" s="2">
        <v>0.21199999999999999</v>
      </c>
      <c r="I861" s="2">
        <v>0.21199999999999999</v>
      </c>
      <c r="J861" s="2">
        <v>4.5</v>
      </c>
      <c r="K861" s="2">
        <v>-1</v>
      </c>
      <c r="L861" s="2">
        <v>804.1</v>
      </c>
      <c r="M861" s="2">
        <v>804.1</v>
      </c>
      <c r="N861" s="2">
        <f ca="1">INDEX(INDIRECT(_xlfn.CONCAT("weather.tbl[",N$1,"]")),MATCH(vp.tbl[[#This Row],[SDate]],weather.tbl[Date],0))</f>
        <v>-4.083333333333333</v>
      </c>
      <c r="O861" s="2">
        <f ca="1">INDEX(INDIRECT(_xlfn.CONCAT("weather.tbl[",O$1,"]")),MATCH(vp.tbl[[#This Row],[SDate]],weather.tbl[Date],0))</f>
        <v>-1.1904761904761862E-2</v>
      </c>
      <c r="P861" s="2">
        <f ca="1">INDEX(INDIRECT(_xlfn.CONCAT("weather.tbl[",P$1,"]")),MATCH(vp.tbl[[#This Row],[SDate]],weather.tbl[Date],0))</f>
        <v>-3.5</v>
      </c>
      <c r="Q861" s="2">
        <f ca="1">INDEX(INDIRECT(_xlfn.CONCAT("weather.tbl[",Q$1,"]")),MATCH(vp.tbl[[#This Row],[SDate]],weather.tbl[Date],0))</f>
        <v>-3.5</v>
      </c>
      <c r="R861" s="2">
        <f ca="1">INDEX(INDIRECT(_xlfn.CONCAT("weather.tbl[",R$1,"]")),MATCH(vp.tbl[[#This Row],[SDate]],weather.tbl[Date],0))</f>
        <v>-4.5</v>
      </c>
      <c r="S861" s="2">
        <f ca="1">INDEX(INDIRECT(_xlfn.CONCAT("weather.tbl[",S$1,"]")),MATCH(vp.tbl[[#This Row],[SDate]],weather.tbl[Date],0))</f>
        <v>-3.4</v>
      </c>
      <c r="T861" s="2">
        <f ca="1">INDEX(INDIRECT(_xlfn.CONCAT("weather.tbl[",T$1,"]")),MATCH(vp.tbl[[#This Row],[SDate]],weather.tbl[Date],0))</f>
        <v>-3.6</v>
      </c>
      <c r="U861" s="2">
        <f ca="1">INDEX(INDIRECT(_xlfn.CONCAT("weather.tbl[",U$1,"]")),MATCH(vp.tbl[[#This Row],[SDate]],weather.tbl[Date],0))</f>
        <v>-6</v>
      </c>
      <c r="V861" s="2">
        <v>17200.881000000001</v>
      </c>
      <c r="W861" t="s">
        <v>48</v>
      </c>
      <c r="X861">
        <f>IF(OR(vp.tbl[[#This Row],[Sulf]]="",vp.tbl[[#This Row],[Dens]]=""),1,0)</f>
        <v>0</v>
      </c>
      <c r="Y861">
        <f>IF(vp.tbl[[#This Row],[CrudeType]]="C5+",1,0)</f>
        <v>0</v>
      </c>
      <c r="Z861">
        <f>IF(AND(vp.tbl[[#This Row],[CrudeType]]="Crude",vp.tbl[[#This Row],[Dens]]&lt;=825,vp.tbl[[#This Row],[Sulf]]&gt;0.5,vp.tbl[[#This Row],[Unknown]]=0),1,0)</f>
        <v>0</v>
      </c>
      <c r="AA861">
        <f>IF(AND(vp.tbl[[#This Row],[CrudeType]]="Crude",vp.tbl[[#This Row],[Dens]]&lt;=825,vp.tbl[[#This Row],[Sulf]]&lt;=0.5,vp.tbl[[#This Row],[Unknown]]=0),1,0)</f>
        <v>1</v>
      </c>
      <c r="AB861">
        <f>IF(AND(vp.tbl[[#This Row],[CrudeType]]="Crude",vp.tbl[[#This Row],[Dens]]&gt;825,vp.tbl[[#This Row],[Dens]]&lt;=870,vp.tbl[[#This Row],[Sulf]]&gt;0.5,vp.tbl[[#This Row],[Unknown]]=0),1,0)</f>
        <v>0</v>
      </c>
      <c r="AC861">
        <f>IF(AND(vp.tbl[[#This Row],[CrudeType]]="Crude",vp.tbl[[#This Row],[Dens]]&gt;825,vp.tbl[[#This Row],[Dens]]&lt;=900,vp.tbl[[#This Row],[Sulf]]&lt;=0.5,vp.tbl[[#This Row],[Unknown]]=0),1,0)</f>
        <v>0</v>
      </c>
      <c r="AD861">
        <f>IF(AND(vp.tbl[[#This Row],[CrudeType]]="Crude",vp.tbl[[#This Row],[Dens]]&gt;870,vp.tbl[[#This Row],[Dens]]&lt;=900,vp.tbl[[#This Row],[Sulf]]&gt;0.5,vp.tbl[[#This Row],[Unknown]]=0),1,0)</f>
        <v>0</v>
      </c>
      <c r="AE861">
        <f>IF(AND(vp.tbl[[#This Row],[CrudeType]]="Crude",vp.tbl[[#This Row],[Dens]]&gt;900,vp.tbl[[#This Row],[Sulf]]&lt;=0.5,vp.tbl[[#This Row],[Unknown]]=0),1,0)</f>
        <v>0</v>
      </c>
      <c r="AF861">
        <f>IF(AND(vp.tbl[[#This Row],[CrudeType]]="Crude",vp.tbl[[#This Row],[Dens]]&gt;900,vp.tbl[[#This Row],[Sulf]]&lt;=0.5,vp.tbl[[#This Row],[Unknown]]=0),1,0)</f>
        <v>0</v>
      </c>
      <c r="AG861" t="str">
        <f>INDEX(vp.tbl[[#Headers],[Unknown]:[Heavy_SW]],MATCH(1,vp.tbl[[#This Row],[Unknown]:[Heavy_SW]],0))</f>
        <v>Light_SW</v>
      </c>
      <c r="AH861" t="e">
        <f>INDEX([1]!crudeBD.lkup[Number],MATCH(vp.tbl[[#This Row],[Crude_Breakdown]],[1]!crudeBD.lkup[Crude Breakdown],0))</f>
        <v>#REF!</v>
      </c>
      <c r="AI861">
        <f>MONTH(vp.tbl[[#This Row],[SDate]])</f>
        <v>2</v>
      </c>
      <c r="AJ861" s="5">
        <f>IFERROR(vp.tbl[[#This Row],[Sulf]]*vp.tbl[[#This Row],[Net Dens]],"")</f>
        <v>2932220.4233652004</v>
      </c>
      <c r="AK861" s="5">
        <f>IFERROR(vp.tbl[[#This Row],[Dens]]*vp.tbl[[#This Row],[VolumeM3]],"")</f>
        <v>13831228.412100002</v>
      </c>
      <c r="AL861" s="5">
        <f>IFERROR(vp.tbl[[#This Row],[VP]]*vp.tbl[[#This Row],[VolumeM3]],"")</f>
        <v>1205781.7581</v>
      </c>
      <c r="AM861" s="4">
        <f>IFERROR((vp.tbl[[#This Row],[VP]]-INDEX(crudeBD.lkup.complete[Mean_VP],MATCH(vp.tbl[[#This Row],[Crude_Breakdown]],crudeBD.lkup.complete[Crude Breakdown],0)))^2,"")</f>
        <v>504.01658023770972</v>
      </c>
      <c r="AN861" s="4">
        <f>IFERROR((vp.tbl[[#This Row],[Dens]]-INDEX(crudeBD.lkup.complete[Mean_Dens],MATCH(vp.tbl[[#This Row],[Crude_Breakdown]],crudeBD.lkup.complete[Crude Breakdown],0)))^2,"")</f>
        <v>17.736717575784976</v>
      </c>
      <c r="AO861" s="4">
        <f>IFERROR((vp.tbl[[#This Row],[Sulf]]-INDEX(crudeBD.lkup.complete[Mean_Sulf],MATCH(vp.tbl[[#This Row],[Crude_Breakdown]],crudeBD.lkup.complete[Crude Breakdown],0)))^2,"")</f>
        <v>5.8766544161030737E-4</v>
      </c>
      <c r="AP861">
        <f>IF(AND(vp.tbl[[#This Row],[SDate]]&gt;=DATE(YEAR(vp.tbl[[#This Row],[SDate]]),5,1),vp.tbl[[#This Row],[SDate]]&lt;=DATE(YEAR(vp.tbl[[#This Row],[SDate]]),9,15)),1,0)</f>
        <v>0</v>
      </c>
      <c r="AQ861" s="15">
        <f>IF(vp.tbl[[#This Row],[SDate]]&lt;DATE(2016,12,1),0,1)</f>
        <v>1</v>
      </c>
    </row>
    <row r="862" spans="1:43" x14ac:dyDescent="0.25">
      <c r="A862">
        <v>861</v>
      </c>
      <c r="B862" t="s">
        <v>49</v>
      </c>
      <c r="C862" t="s">
        <v>49</v>
      </c>
      <c r="D862" t="s">
        <v>92</v>
      </c>
      <c r="F862" s="1">
        <v>42789</v>
      </c>
      <c r="G862" s="2">
        <v>90.6</v>
      </c>
      <c r="H862" s="2">
        <v>0.39300000000000002</v>
      </c>
      <c r="I862" s="2">
        <v>0.39300000000000002</v>
      </c>
      <c r="J862" s="2">
        <v>16.7</v>
      </c>
      <c r="K862" s="2">
        <v>-1</v>
      </c>
      <c r="L862" s="2">
        <v>811.2</v>
      </c>
      <c r="M862" s="2">
        <v>811.2</v>
      </c>
      <c r="N862" s="2">
        <f ca="1">INDEX(INDIRECT(_xlfn.CONCAT("weather.tbl[",N$1,"]")),MATCH(vp.tbl[[#This Row],[SDate]],weather.tbl[Date],0))</f>
        <v>-4.083333333333333</v>
      </c>
      <c r="O862" s="2">
        <f ca="1">INDEX(INDIRECT(_xlfn.CONCAT("weather.tbl[",O$1,"]")),MATCH(vp.tbl[[#This Row],[SDate]],weather.tbl[Date],0))</f>
        <v>-1.1904761904761862E-2</v>
      </c>
      <c r="P862" s="2">
        <f ca="1">INDEX(INDIRECT(_xlfn.CONCAT("weather.tbl[",P$1,"]")),MATCH(vp.tbl[[#This Row],[SDate]],weather.tbl[Date],0))</f>
        <v>-3.5</v>
      </c>
      <c r="Q862" s="2">
        <f ca="1">INDEX(INDIRECT(_xlfn.CONCAT("weather.tbl[",Q$1,"]")),MATCH(vp.tbl[[#This Row],[SDate]],weather.tbl[Date],0))</f>
        <v>-3.5</v>
      </c>
      <c r="R862" s="2">
        <f ca="1">INDEX(INDIRECT(_xlfn.CONCAT("weather.tbl[",R$1,"]")),MATCH(vp.tbl[[#This Row],[SDate]],weather.tbl[Date],0))</f>
        <v>-4.5</v>
      </c>
      <c r="S862" s="2">
        <f ca="1">INDEX(INDIRECT(_xlfn.CONCAT("weather.tbl[",S$1,"]")),MATCH(vp.tbl[[#This Row],[SDate]],weather.tbl[Date],0))</f>
        <v>-3.4</v>
      </c>
      <c r="T862" s="2">
        <f ca="1">INDEX(INDIRECT(_xlfn.CONCAT("weather.tbl[",T$1,"]")),MATCH(vp.tbl[[#This Row],[SDate]],weather.tbl[Date],0))</f>
        <v>-3.6</v>
      </c>
      <c r="U862" s="2">
        <f ca="1">INDEX(INDIRECT(_xlfn.CONCAT("weather.tbl[",U$1,"]")),MATCH(vp.tbl[[#This Row],[SDate]],weather.tbl[Date],0))</f>
        <v>-6</v>
      </c>
      <c r="V862" s="2">
        <v>20149.223999999998</v>
      </c>
      <c r="W862" t="s">
        <v>48</v>
      </c>
      <c r="X862">
        <f>IF(OR(vp.tbl[[#This Row],[Sulf]]="",vp.tbl[[#This Row],[Dens]]=""),1,0)</f>
        <v>0</v>
      </c>
      <c r="Y862">
        <f>IF(vp.tbl[[#This Row],[CrudeType]]="C5+",1,0)</f>
        <v>0</v>
      </c>
      <c r="Z862">
        <f>IF(AND(vp.tbl[[#This Row],[CrudeType]]="Crude",vp.tbl[[#This Row],[Dens]]&lt;=825,vp.tbl[[#This Row],[Sulf]]&gt;0.5,vp.tbl[[#This Row],[Unknown]]=0),1,0)</f>
        <v>0</v>
      </c>
      <c r="AA862">
        <f>IF(AND(vp.tbl[[#This Row],[CrudeType]]="Crude",vp.tbl[[#This Row],[Dens]]&lt;=825,vp.tbl[[#This Row],[Sulf]]&lt;=0.5,vp.tbl[[#This Row],[Unknown]]=0),1,0)</f>
        <v>1</v>
      </c>
      <c r="AB862">
        <f>IF(AND(vp.tbl[[#This Row],[CrudeType]]="Crude",vp.tbl[[#This Row],[Dens]]&gt;825,vp.tbl[[#This Row],[Dens]]&lt;=870,vp.tbl[[#This Row],[Sulf]]&gt;0.5,vp.tbl[[#This Row],[Unknown]]=0),1,0)</f>
        <v>0</v>
      </c>
      <c r="AC862">
        <f>IF(AND(vp.tbl[[#This Row],[CrudeType]]="Crude",vp.tbl[[#This Row],[Dens]]&gt;825,vp.tbl[[#This Row],[Dens]]&lt;=900,vp.tbl[[#This Row],[Sulf]]&lt;=0.5,vp.tbl[[#This Row],[Unknown]]=0),1,0)</f>
        <v>0</v>
      </c>
      <c r="AD862">
        <f>IF(AND(vp.tbl[[#This Row],[CrudeType]]="Crude",vp.tbl[[#This Row],[Dens]]&gt;870,vp.tbl[[#This Row],[Dens]]&lt;=900,vp.tbl[[#This Row],[Sulf]]&gt;0.5,vp.tbl[[#This Row],[Unknown]]=0),1,0)</f>
        <v>0</v>
      </c>
      <c r="AE862">
        <f>IF(AND(vp.tbl[[#This Row],[CrudeType]]="Crude",vp.tbl[[#This Row],[Dens]]&gt;900,vp.tbl[[#This Row],[Sulf]]&lt;=0.5,vp.tbl[[#This Row],[Unknown]]=0),1,0)</f>
        <v>0</v>
      </c>
      <c r="AF862">
        <f>IF(AND(vp.tbl[[#This Row],[CrudeType]]="Crude",vp.tbl[[#This Row],[Dens]]&gt;900,vp.tbl[[#This Row],[Sulf]]&lt;=0.5,vp.tbl[[#This Row],[Unknown]]=0),1,0)</f>
        <v>0</v>
      </c>
      <c r="AG862" t="str">
        <f>INDEX(vp.tbl[[#Headers],[Unknown]:[Heavy_SW]],MATCH(1,vp.tbl[[#This Row],[Unknown]:[Heavy_SW]],0))</f>
        <v>Light_SW</v>
      </c>
      <c r="AH862" t="e">
        <f>INDEX([1]!crudeBD.lkup[Number],MATCH(vp.tbl[[#This Row],[Crude_Breakdown]],[1]!crudeBD.lkup[Crude Breakdown],0))</f>
        <v>#REF!</v>
      </c>
      <c r="AI862">
        <f>MONTH(vp.tbl[[#This Row],[SDate]])</f>
        <v>2</v>
      </c>
      <c r="AJ862" s="5">
        <f>IFERROR(vp.tbl[[#This Row],[Sulf]]*vp.tbl[[#This Row],[Net Dens]],"")</f>
        <v>6423604.8499584002</v>
      </c>
      <c r="AK862" s="5">
        <f>IFERROR(vp.tbl[[#This Row],[Dens]]*vp.tbl[[#This Row],[VolumeM3]],"")</f>
        <v>16345050.5088</v>
      </c>
      <c r="AL862" s="5">
        <f>IFERROR(vp.tbl[[#This Row],[VP]]*vp.tbl[[#This Row],[VolumeM3]],"")</f>
        <v>1825519.6943999997</v>
      </c>
      <c r="AM862" s="4">
        <f>IFERROR((vp.tbl[[#This Row],[VP]]-INDEX(crudeBD.lkup.complete[Mean_VP],MATCH(vp.tbl[[#This Row],[Crude_Breakdown]],crudeBD.lkup.complete[Crude Breakdown],0)))^2,"")</f>
        <v>3.8037230948535536</v>
      </c>
      <c r="AN862" s="4">
        <f>IFERROR((vp.tbl[[#This Row],[Dens]]-INDEX(crudeBD.lkup.complete[Mean_Dens],MATCH(vp.tbl[[#This Row],[Crude_Breakdown]],crudeBD.lkup.complete[Crude Breakdown],0)))^2,"")</f>
        <v>8.3434423144644896</v>
      </c>
      <c r="AO862" s="4">
        <f>IFERROR((vp.tbl[[#This Row],[Sulf]]-INDEX(crudeBD.lkup.complete[Mean_Sulf],MATCH(vp.tbl[[#This Row],[Crude_Breakdown]],crudeBD.lkup.complete[Crude Breakdown],0)))^2,"")</f>
        <v>2.4573129553108624E-2</v>
      </c>
      <c r="AP862">
        <f>IF(AND(vp.tbl[[#This Row],[SDate]]&gt;=DATE(YEAR(vp.tbl[[#This Row],[SDate]]),5,1),vp.tbl[[#This Row],[SDate]]&lt;=DATE(YEAR(vp.tbl[[#This Row],[SDate]]),9,15)),1,0)</f>
        <v>0</v>
      </c>
      <c r="AQ862" s="15">
        <f>IF(vp.tbl[[#This Row],[SDate]]&lt;DATE(2016,12,1),0,1)</f>
        <v>1</v>
      </c>
    </row>
    <row r="863" spans="1:43" x14ac:dyDescent="0.25">
      <c r="A863">
        <v>862</v>
      </c>
      <c r="B863" t="s">
        <v>49</v>
      </c>
      <c r="C863" t="s">
        <v>49</v>
      </c>
      <c r="D863" t="s">
        <v>81</v>
      </c>
      <c r="F863" s="1">
        <v>42789</v>
      </c>
      <c r="G863" s="2">
        <v>91.1</v>
      </c>
      <c r="H863" s="2">
        <v>0.53600000000000003</v>
      </c>
      <c r="I863" s="2">
        <v>0.53600000000000003</v>
      </c>
      <c r="J863" s="2">
        <v>5</v>
      </c>
      <c r="K863" s="2">
        <v>-1</v>
      </c>
      <c r="L863" s="2">
        <v>806.7</v>
      </c>
      <c r="M863" s="2">
        <v>806.7</v>
      </c>
      <c r="N863" s="2">
        <f ca="1">INDEX(INDIRECT(_xlfn.CONCAT("weather.tbl[",N$1,"]")),MATCH(vp.tbl[[#This Row],[SDate]],weather.tbl[Date],0))</f>
        <v>-4.083333333333333</v>
      </c>
      <c r="O863" s="2">
        <f ca="1">INDEX(INDIRECT(_xlfn.CONCAT("weather.tbl[",O$1,"]")),MATCH(vp.tbl[[#This Row],[SDate]],weather.tbl[Date],0))</f>
        <v>-1.1904761904761862E-2</v>
      </c>
      <c r="P863" s="2">
        <f ca="1">INDEX(INDIRECT(_xlfn.CONCAT("weather.tbl[",P$1,"]")),MATCH(vp.tbl[[#This Row],[SDate]],weather.tbl[Date],0))</f>
        <v>-3.5</v>
      </c>
      <c r="Q863" s="2">
        <f ca="1">INDEX(INDIRECT(_xlfn.CONCAT("weather.tbl[",Q$1,"]")),MATCH(vp.tbl[[#This Row],[SDate]],weather.tbl[Date],0))</f>
        <v>-3.5</v>
      </c>
      <c r="R863" s="2">
        <f ca="1">INDEX(INDIRECT(_xlfn.CONCAT("weather.tbl[",R$1,"]")),MATCH(vp.tbl[[#This Row],[SDate]],weather.tbl[Date],0))</f>
        <v>-4.5</v>
      </c>
      <c r="S863" s="2">
        <f ca="1">INDEX(INDIRECT(_xlfn.CONCAT("weather.tbl[",S$1,"]")),MATCH(vp.tbl[[#This Row],[SDate]],weather.tbl[Date],0))</f>
        <v>-3.4</v>
      </c>
      <c r="T863" s="2">
        <f ca="1">INDEX(INDIRECT(_xlfn.CONCAT("weather.tbl[",T$1,"]")),MATCH(vp.tbl[[#This Row],[SDate]],weather.tbl[Date],0))</f>
        <v>-3.6</v>
      </c>
      <c r="U863" s="2">
        <f ca="1">INDEX(INDIRECT(_xlfn.CONCAT("weather.tbl[",U$1,"]")),MATCH(vp.tbl[[#This Row],[SDate]],weather.tbl[Date],0))</f>
        <v>-6</v>
      </c>
      <c r="V863" s="2">
        <v>20596.550999999999</v>
      </c>
      <c r="W863" t="s">
        <v>48</v>
      </c>
      <c r="X863">
        <f>IF(OR(vp.tbl[[#This Row],[Sulf]]="",vp.tbl[[#This Row],[Dens]]=""),1,0)</f>
        <v>0</v>
      </c>
      <c r="Y863">
        <f>IF(vp.tbl[[#This Row],[CrudeType]]="C5+",1,0)</f>
        <v>0</v>
      </c>
      <c r="Z863">
        <f>IF(AND(vp.tbl[[#This Row],[CrudeType]]="Crude",vp.tbl[[#This Row],[Dens]]&lt;=825,vp.tbl[[#This Row],[Sulf]]&gt;0.5,vp.tbl[[#This Row],[Unknown]]=0),1,0)</f>
        <v>1</v>
      </c>
      <c r="AA863">
        <f>IF(AND(vp.tbl[[#This Row],[CrudeType]]="Crude",vp.tbl[[#This Row],[Dens]]&lt;=825,vp.tbl[[#This Row],[Sulf]]&lt;=0.5,vp.tbl[[#This Row],[Unknown]]=0),1,0)</f>
        <v>0</v>
      </c>
      <c r="AB863">
        <f>IF(AND(vp.tbl[[#This Row],[CrudeType]]="Crude",vp.tbl[[#This Row],[Dens]]&gt;825,vp.tbl[[#This Row],[Dens]]&lt;=870,vp.tbl[[#This Row],[Sulf]]&gt;0.5,vp.tbl[[#This Row],[Unknown]]=0),1,0)</f>
        <v>0</v>
      </c>
      <c r="AC863">
        <f>IF(AND(vp.tbl[[#This Row],[CrudeType]]="Crude",vp.tbl[[#This Row],[Dens]]&gt;825,vp.tbl[[#This Row],[Dens]]&lt;=900,vp.tbl[[#This Row],[Sulf]]&lt;=0.5,vp.tbl[[#This Row],[Unknown]]=0),1,0)</f>
        <v>0</v>
      </c>
      <c r="AD863">
        <f>IF(AND(vp.tbl[[#This Row],[CrudeType]]="Crude",vp.tbl[[#This Row],[Dens]]&gt;870,vp.tbl[[#This Row],[Dens]]&lt;=900,vp.tbl[[#This Row],[Sulf]]&gt;0.5,vp.tbl[[#This Row],[Unknown]]=0),1,0)</f>
        <v>0</v>
      </c>
      <c r="AE863">
        <f>IF(AND(vp.tbl[[#This Row],[CrudeType]]="Crude",vp.tbl[[#This Row],[Dens]]&gt;900,vp.tbl[[#This Row],[Sulf]]&lt;=0.5,vp.tbl[[#This Row],[Unknown]]=0),1,0)</f>
        <v>0</v>
      </c>
      <c r="AF863">
        <f>IF(AND(vp.tbl[[#This Row],[CrudeType]]="Crude",vp.tbl[[#This Row],[Dens]]&gt;900,vp.tbl[[#This Row],[Sulf]]&lt;=0.5,vp.tbl[[#This Row],[Unknown]]=0),1,0)</f>
        <v>0</v>
      </c>
      <c r="AG863" t="str">
        <f>INDEX(vp.tbl[[#Headers],[Unknown]:[Heavy_SW]],MATCH(1,vp.tbl[[#This Row],[Unknown]:[Heavy_SW]],0))</f>
        <v>Light_LSB</v>
      </c>
      <c r="AH863" t="e">
        <f>INDEX([1]!crudeBD.lkup[Number],MATCH(vp.tbl[[#This Row],[Crude_Breakdown]],[1]!crudeBD.lkup[Crude Breakdown],0))</f>
        <v>#REF!</v>
      </c>
      <c r="AI863">
        <f>MONTH(vp.tbl[[#This Row],[SDate]])</f>
        <v>2</v>
      </c>
      <c r="AJ863" s="5">
        <f>IFERROR(vp.tbl[[#This Row],[Sulf]]*vp.tbl[[#This Row],[Net Dens]],"")</f>
        <v>8905767.4027511999</v>
      </c>
      <c r="AK863" s="5">
        <f>IFERROR(vp.tbl[[#This Row],[Dens]]*vp.tbl[[#This Row],[VolumeM3]],"")</f>
        <v>16615237.6917</v>
      </c>
      <c r="AL863" s="5">
        <f>IFERROR(vp.tbl[[#This Row],[VP]]*vp.tbl[[#This Row],[VolumeM3]],"")</f>
        <v>1876345.7960999999</v>
      </c>
      <c r="AM863" s="4">
        <f>IFERROR((vp.tbl[[#This Row],[VP]]-INDEX(crudeBD.lkup.complete[Mean_VP],MATCH(vp.tbl[[#This Row],[Crude_Breakdown]],crudeBD.lkup.complete[Crude Breakdown],0)))^2,"")</f>
        <v>0.19908156020834403</v>
      </c>
      <c r="AN863" s="4">
        <f>IFERROR((vp.tbl[[#This Row],[Dens]]-INDEX(crudeBD.lkup.complete[Mean_Dens],MATCH(vp.tbl[[#This Row],[Crude_Breakdown]],crudeBD.lkup.complete[Crude Breakdown],0)))^2,"")</f>
        <v>139.63604754784757</v>
      </c>
      <c r="AO863" s="4">
        <f>IFERROR((vp.tbl[[#This Row],[Sulf]]-INDEX(crudeBD.lkup.complete[Mean_Sulf],MATCH(vp.tbl[[#This Row],[Crude_Breakdown]],crudeBD.lkup.complete[Crude Breakdown],0)))^2,"")</f>
        <v>0.14974668516115872</v>
      </c>
      <c r="AP863">
        <f>IF(AND(vp.tbl[[#This Row],[SDate]]&gt;=DATE(YEAR(vp.tbl[[#This Row],[SDate]]),5,1),vp.tbl[[#This Row],[SDate]]&lt;=DATE(YEAR(vp.tbl[[#This Row],[SDate]]),9,15)),1,0)</f>
        <v>0</v>
      </c>
      <c r="AQ863" s="15">
        <f>IF(vp.tbl[[#This Row],[SDate]]&lt;DATE(2016,12,1),0,1)</f>
        <v>1</v>
      </c>
    </row>
    <row r="864" spans="1:43" x14ac:dyDescent="0.25">
      <c r="A864">
        <v>863</v>
      </c>
      <c r="B864" t="s">
        <v>51</v>
      </c>
      <c r="C864" t="s">
        <v>51</v>
      </c>
      <c r="D864" t="s">
        <v>72</v>
      </c>
      <c r="F864" s="1">
        <v>42789</v>
      </c>
      <c r="G864" s="2">
        <v>90.9</v>
      </c>
      <c r="H864" s="2">
        <v>1.21</v>
      </c>
      <c r="I864" s="2">
        <v>1.21</v>
      </c>
      <c r="J864" s="2">
        <v>27.9</v>
      </c>
      <c r="K864" s="2">
        <v>-1</v>
      </c>
      <c r="L864" s="2">
        <v>836.7</v>
      </c>
      <c r="M864" s="2">
        <v>836.7</v>
      </c>
      <c r="N864" s="2">
        <f ca="1">INDEX(INDIRECT(_xlfn.CONCAT("weather.tbl[",N$1,"]")),MATCH(vp.tbl[[#This Row],[SDate]],weather.tbl[Date],0))</f>
        <v>-4.083333333333333</v>
      </c>
      <c r="O864" s="2">
        <f ca="1">INDEX(INDIRECT(_xlfn.CONCAT("weather.tbl[",O$1,"]")),MATCH(vp.tbl[[#This Row],[SDate]],weather.tbl[Date],0))</f>
        <v>-1.1904761904761862E-2</v>
      </c>
      <c r="P864" s="2">
        <f ca="1">INDEX(INDIRECT(_xlfn.CONCAT("weather.tbl[",P$1,"]")),MATCH(vp.tbl[[#This Row],[SDate]],weather.tbl[Date],0))</f>
        <v>-3.5</v>
      </c>
      <c r="Q864" s="2">
        <f ca="1">INDEX(INDIRECT(_xlfn.CONCAT("weather.tbl[",Q$1,"]")),MATCH(vp.tbl[[#This Row],[SDate]],weather.tbl[Date],0))</f>
        <v>-3.5</v>
      </c>
      <c r="R864" s="2">
        <f ca="1">INDEX(INDIRECT(_xlfn.CONCAT("weather.tbl[",R$1,"]")),MATCH(vp.tbl[[#This Row],[SDate]],weather.tbl[Date],0))</f>
        <v>-4.5</v>
      </c>
      <c r="S864" s="2">
        <f ca="1">INDEX(INDIRECT(_xlfn.CONCAT("weather.tbl[",S$1,"]")),MATCH(vp.tbl[[#This Row],[SDate]],weather.tbl[Date],0))</f>
        <v>-3.4</v>
      </c>
      <c r="T864" s="2">
        <f ca="1">INDEX(INDIRECT(_xlfn.CONCAT("weather.tbl[",T$1,"]")),MATCH(vp.tbl[[#This Row],[SDate]],weather.tbl[Date],0))</f>
        <v>-3.6</v>
      </c>
      <c r="U864" s="2">
        <f ca="1">INDEX(INDIRECT(_xlfn.CONCAT("weather.tbl[",U$1,"]")),MATCH(vp.tbl[[#This Row],[SDate]],weather.tbl[Date],0))</f>
        <v>-6</v>
      </c>
      <c r="V864" s="2">
        <v>12541.532999999999</v>
      </c>
      <c r="W864" t="s">
        <v>48</v>
      </c>
      <c r="X864">
        <f>IF(OR(vp.tbl[[#This Row],[Sulf]]="",vp.tbl[[#This Row],[Dens]]=""),1,0)</f>
        <v>0</v>
      </c>
      <c r="Y864">
        <f>IF(vp.tbl[[#This Row],[CrudeType]]="C5+",1,0)</f>
        <v>0</v>
      </c>
      <c r="Z864">
        <f>IF(AND(vp.tbl[[#This Row],[CrudeType]]="Crude",vp.tbl[[#This Row],[Dens]]&lt;=825,vp.tbl[[#This Row],[Sulf]]&gt;0.5,vp.tbl[[#This Row],[Unknown]]=0),1,0)</f>
        <v>0</v>
      </c>
      <c r="AA864">
        <f>IF(AND(vp.tbl[[#This Row],[CrudeType]]="Crude",vp.tbl[[#This Row],[Dens]]&lt;=825,vp.tbl[[#This Row],[Sulf]]&lt;=0.5,vp.tbl[[#This Row],[Unknown]]=0),1,0)</f>
        <v>0</v>
      </c>
      <c r="AB864">
        <f>IF(AND(vp.tbl[[#This Row],[CrudeType]]="Crude",vp.tbl[[#This Row],[Dens]]&gt;825,vp.tbl[[#This Row],[Dens]]&lt;=870,vp.tbl[[#This Row],[Sulf]]&gt;0.5,vp.tbl[[#This Row],[Unknown]]=0),1,0)</f>
        <v>1</v>
      </c>
      <c r="AC864">
        <f>IF(AND(vp.tbl[[#This Row],[CrudeType]]="Crude",vp.tbl[[#This Row],[Dens]]&gt;825,vp.tbl[[#This Row],[Dens]]&lt;=900,vp.tbl[[#This Row],[Sulf]]&lt;=0.5,vp.tbl[[#This Row],[Unknown]]=0),1,0)</f>
        <v>0</v>
      </c>
      <c r="AD864">
        <f>IF(AND(vp.tbl[[#This Row],[CrudeType]]="Crude",vp.tbl[[#This Row],[Dens]]&gt;870,vp.tbl[[#This Row],[Dens]]&lt;=900,vp.tbl[[#This Row],[Sulf]]&gt;0.5,vp.tbl[[#This Row],[Unknown]]=0),1,0)</f>
        <v>0</v>
      </c>
      <c r="AE864">
        <f>IF(AND(vp.tbl[[#This Row],[CrudeType]]="Crude",vp.tbl[[#This Row],[Dens]]&gt;900,vp.tbl[[#This Row],[Sulf]]&lt;=0.5,vp.tbl[[#This Row],[Unknown]]=0),1,0)</f>
        <v>0</v>
      </c>
      <c r="AF864">
        <f>IF(AND(vp.tbl[[#This Row],[CrudeType]]="Crude",vp.tbl[[#This Row],[Dens]]&gt;900,vp.tbl[[#This Row],[Sulf]]&lt;=0.5,vp.tbl[[#This Row],[Unknown]]=0),1,0)</f>
        <v>0</v>
      </c>
      <c r="AG864" t="str">
        <f>INDEX(vp.tbl[[#Headers],[Unknown]:[Heavy_SW]],MATCH(1,vp.tbl[[#This Row],[Unknown]:[Heavy_SW]],0))</f>
        <v>Medium_LSB</v>
      </c>
      <c r="AH864" t="e">
        <f>INDEX([1]!crudeBD.lkup[Number],MATCH(vp.tbl[[#This Row],[Crude_Breakdown]],[1]!crudeBD.lkup[Crude Breakdown],0))</f>
        <v>#REF!</v>
      </c>
      <c r="AI864">
        <f>MONTH(vp.tbl[[#This Row],[SDate]])</f>
        <v>2</v>
      </c>
      <c r="AJ864" s="5">
        <f>IFERROR(vp.tbl[[#This Row],[Sulf]]*vp.tbl[[#This Row],[Net Dens]],"")</f>
        <v>12697135.799930999</v>
      </c>
      <c r="AK864" s="5">
        <f>IFERROR(vp.tbl[[#This Row],[Dens]]*vp.tbl[[#This Row],[VolumeM3]],"")</f>
        <v>10493500.6611</v>
      </c>
      <c r="AL864" s="5">
        <f>IFERROR(vp.tbl[[#This Row],[VP]]*vp.tbl[[#This Row],[VolumeM3]],"")</f>
        <v>1140025.3497000001</v>
      </c>
      <c r="AM864" s="4">
        <f>IFERROR((vp.tbl[[#This Row],[VP]]-INDEX(crudeBD.lkup.complete[Mean_VP],MATCH(vp.tbl[[#This Row],[Crude_Breakdown]],crudeBD.lkup.complete[Crude Breakdown],0)))^2,"")</f>
        <v>115.0557655817987</v>
      </c>
      <c r="AN864" s="4">
        <f>IFERROR((vp.tbl[[#This Row],[Dens]]-INDEX(crudeBD.lkup.complete[Mean_Dens],MATCH(vp.tbl[[#This Row],[Crude_Breakdown]],crudeBD.lkup.complete[Crude Breakdown],0)))^2,"")</f>
        <v>73.819418765564734</v>
      </c>
      <c r="AO864" s="4">
        <f>IFERROR((vp.tbl[[#This Row],[Sulf]]-INDEX(crudeBD.lkup.complete[Mean_Sulf],MATCH(vp.tbl[[#This Row],[Crude_Breakdown]],crudeBD.lkup.complete[Crude Breakdown],0)))^2,"")</f>
        <v>5.9990636691665704E-2</v>
      </c>
      <c r="AP864">
        <f>IF(AND(vp.tbl[[#This Row],[SDate]]&gt;=DATE(YEAR(vp.tbl[[#This Row],[SDate]]),5,1),vp.tbl[[#This Row],[SDate]]&lt;=DATE(YEAR(vp.tbl[[#This Row],[SDate]]),9,15)),1,0)</f>
        <v>0</v>
      </c>
      <c r="AQ864" s="15">
        <f>IF(vp.tbl[[#This Row],[SDate]]&lt;DATE(2016,12,1),0,1)</f>
        <v>1</v>
      </c>
    </row>
    <row r="865" spans="1:43" x14ac:dyDescent="0.25">
      <c r="A865">
        <v>864</v>
      </c>
      <c r="B865" t="s">
        <v>51</v>
      </c>
      <c r="C865" t="s">
        <v>51</v>
      </c>
      <c r="D865" t="s">
        <v>58</v>
      </c>
      <c r="F865" s="1">
        <v>42789</v>
      </c>
      <c r="G865" s="2">
        <v>100.9</v>
      </c>
      <c r="H865" s="2">
        <v>1.333</v>
      </c>
      <c r="I865" s="2">
        <v>1.333</v>
      </c>
      <c r="J865" s="2">
        <v>25.2</v>
      </c>
      <c r="K865" s="2">
        <v>-1</v>
      </c>
      <c r="L865" s="2">
        <v>815.8</v>
      </c>
      <c r="M865" s="2">
        <v>815.8</v>
      </c>
      <c r="N865" s="2">
        <f ca="1">INDEX(INDIRECT(_xlfn.CONCAT("weather.tbl[",N$1,"]")),MATCH(vp.tbl[[#This Row],[SDate]],weather.tbl[Date],0))</f>
        <v>-4.083333333333333</v>
      </c>
      <c r="O865" s="2">
        <f ca="1">INDEX(INDIRECT(_xlfn.CONCAT("weather.tbl[",O$1,"]")),MATCH(vp.tbl[[#This Row],[SDate]],weather.tbl[Date],0))</f>
        <v>-1.1904761904761862E-2</v>
      </c>
      <c r="P865" s="2">
        <f ca="1">INDEX(INDIRECT(_xlfn.CONCAT("weather.tbl[",P$1,"]")),MATCH(vp.tbl[[#This Row],[SDate]],weather.tbl[Date],0))</f>
        <v>-3.5</v>
      </c>
      <c r="Q865" s="2">
        <f ca="1">INDEX(INDIRECT(_xlfn.CONCAT("weather.tbl[",Q$1,"]")),MATCH(vp.tbl[[#This Row],[SDate]],weather.tbl[Date],0))</f>
        <v>-3.5</v>
      </c>
      <c r="R865" s="2">
        <f ca="1">INDEX(INDIRECT(_xlfn.CONCAT("weather.tbl[",R$1,"]")),MATCH(vp.tbl[[#This Row],[SDate]],weather.tbl[Date],0))</f>
        <v>-4.5</v>
      </c>
      <c r="S865" s="2">
        <f ca="1">INDEX(INDIRECT(_xlfn.CONCAT("weather.tbl[",S$1,"]")),MATCH(vp.tbl[[#This Row],[SDate]],weather.tbl[Date],0))</f>
        <v>-3.4</v>
      </c>
      <c r="T865" s="2">
        <f ca="1">INDEX(INDIRECT(_xlfn.CONCAT("weather.tbl[",T$1,"]")),MATCH(vp.tbl[[#This Row],[SDate]],weather.tbl[Date],0))</f>
        <v>-3.6</v>
      </c>
      <c r="U865" s="2">
        <f ca="1">INDEX(INDIRECT(_xlfn.CONCAT("weather.tbl[",U$1,"]")),MATCH(vp.tbl[[#This Row],[SDate]],weather.tbl[Date],0))</f>
        <v>-6</v>
      </c>
      <c r="V865" s="2">
        <v>5483.6130000000003</v>
      </c>
      <c r="W865" t="s">
        <v>48</v>
      </c>
      <c r="X865">
        <f>IF(OR(vp.tbl[[#This Row],[Sulf]]="",vp.tbl[[#This Row],[Dens]]=""),1,0)</f>
        <v>0</v>
      </c>
      <c r="Y865">
        <f>IF(vp.tbl[[#This Row],[CrudeType]]="C5+",1,0)</f>
        <v>0</v>
      </c>
      <c r="Z865">
        <f>IF(AND(vp.tbl[[#This Row],[CrudeType]]="Crude",vp.tbl[[#This Row],[Dens]]&lt;=825,vp.tbl[[#This Row],[Sulf]]&gt;0.5,vp.tbl[[#This Row],[Unknown]]=0),1,0)</f>
        <v>1</v>
      </c>
      <c r="AA865">
        <f>IF(AND(vp.tbl[[#This Row],[CrudeType]]="Crude",vp.tbl[[#This Row],[Dens]]&lt;=825,vp.tbl[[#This Row],[Sulf]]&lt;=0.5,vp.tbl[[#This Row],[Unknown]]=0),1,0)</f>
        <v>0</v>
      </c>
      <c r="AB865">
        <f>IF(AND(vp.tbl[[#This Row],[CrudeType]]="Crude",vp.tbl[[#This Row],[Dens]]&gt;825,vp.tbl[[#This Row],[Dens]]&lt;=870,vp.tbl[[#This Row],[Sulf]]&gt;0.5,vp.tbl[[#This Row],[Unknown]]=0),1,0)</f>
        <v>0</v>
      </c>
      <c r="AC865">
        <f>IF(AND(vp.tbl[[#This Row],[CrudeType]]="Crude",vp.tbl[[#This Row],[Dens]]&gt;825,vp.tbl[[#This Row],[Dens]]&lt;=900,vp.tbl[[#This Row],[Sulf]]&lt;=0.5,vp.tbl[[#This Row],[Unknown]]=0),1,0)</f>
        <v>0</v>
      </c>
      <c r="AD865">
        <f>IF(AND(vp.tbl[[#This Row],[CrudeType]]="Crude",vp.tbl[[#This Row],[Dens]]&gt;870,vp.tbl[[#This Row],[Dens]]&lt;=900,vp.tbl[[#This Row],[Sulf]]&gt;0.5,vp.tbl[[#This Row],[Unknown]]=0),1,0)</f>
        <v>0</v>
      </c>
      <c r="AE865">
        <f>IF(AND(vp.tbl[[#This Row],[CrudeType]]="Crude",vp.tbl[[#This Row],[Dens]]&gt;900,vp.tbl[[#This Row],[Sulf]]&lt;=0.5,vp.tbl[[#This Row],[Unknown]]=0),1,0)</f>
        <v>0</v>
      </c>
      <c r="AF865">
        <f>IF(AND(vp.tbl[[#This Row],[CrudeType]]="Crude",vp.tbl[[#This Row],[Dens]]&gt;900,vp.tbl[[#This Row],[Sulf]]&lt;=0.5,vp.tbl[[#This Row],[Unknown]]=0),1,0)</f>
        <v>0</v>
      </c>
      <c r="AG865" t="str">
        <f>INDEX(vp.tbl[[#Headers],[Unknown]:[Heavy_SW]],MATCH(1,vp.tbl[[#This Row],[Unknown]:[Heavy_SW]],0))</f>
        <v>Light_LSB</v>
      </c>
      <c r="AH865" t="e">
        <f>INDEX([1]!crudeBD.lkup[Number],MATCH(vp.tbl[[#This Row],[Crude_Breakdown]],[1]!crudeBD.lkup[Crude Breakdown],0))</f>
        <v>#REF!</v>
      </c>
      <c r="AI865">
        <f>MONTH(vp.tbl[[#This Row],[SDate]])</f>
        <v>2</v>
      </c>
      <c r="AJ865" s="5">
        <f>IFERROR(vp.tbl[[#This Row],[Sulf]]*vp.tbl[[#This Row],[Net Dens]],"")</f>
        <v>5963217.4700381998</v>
      </c>
      <c r="AK865" s="5">
        <f>IFERROR(vp.tbl[[#This Row],[Dens]]*vp.tbl[[#This Row],[VolumeM3]],"")</f>
        <v>4473531.4853999997</v>
      </c>
      <c r="AL865" s="5">
        <f>IFERROR(vp.tbl[[#This Row],[VP]]*vp.tbl[[#This Row],[VolumeM3]],"")</f>
        <v>553296.55170000007</v>
      </c>
      <c r="AM865" s="4">
        <f>IFERROR((vp.tbl[[#This Row],[VP]]-INDEX(crudeBD.lkup.complete[Mean_VP],MATCH(vp.tbl[[#This Row],[Crude_Breakdown]],crudeBD.lkup.complete[Crude Breakdown],0)))^2,"")</f>
        <v>87.493844446805767</v>
      </c>
      <c r="AN865" s="4">
        <f>IFERROR((vp.tbl[[#This Row],[Dens]]-INDEX(crudeBD.lkup.complete[Mean_Dens],MATCH(vp.tbl[[#This Row],[Crude_Breakdown]],crudeBD.lkup.complete[Crude Breakdown],0)))^2,"")</f>
        <v>7.3808379258614849</v>
      </c>
      <c r="AO865" s="4">
        <f>IFERROR((vp.tbl[[#This Row],[Sulf]]-INDEX(crudeBD.lkup.complete[Mean_Sulf],MATCH(vp.tbl[[#This Row],[Crude_Breakdown]],crudeBD.lkup.complete[Crude Breakdown],0)))^2,"")</f>
        <v>0.16812364275566083</v>
      </c>
      <c r="AP865">
        <f>IF(AND(vp.tbl[[#This Row],[SDate]]&gt;=DATE(YEAR(vp.tbl[[#This Row],[SDate]]),5,1),vp.tbl[[#This Row],[SDate]]&lt;=DATE(YEAR(vp.tbl[[#This Row],[SDate]]),9,15)),1,0)</f>
        <v>0</v>
      </c>
      <c r="AQ865" s="15">
        <f>IF(vp.tbl[[#This Row],[SDate]]&lt;DATE(2016,12,1),0,1)</f>
        <v>1</v>
      </c>
    </row>
    <row r="866" spans="1:43" x14ac:dyDescent="0.25">
      <c r="A866">
        <v>865</v>
      </c>
      <c r="B866" t="s">
        <v>49</v>
      </c>
      <c r="C866" t="s">
        <v>49</v>
      </c>
      <c r="D866" t="s">
        <v>59</v>
      </c>
      <c r="F866" s="1">
        <v>42789</v>
      </c>
      <c r="G866" s="2">
        <v>78.400000000000006</v>
      </c>
      <c r="H866" s="2">
        <v>1.524</v>
      </c>
      <c r="I866" s="2">
        <v>1.524</v>
      </c>
      <c r="J866" s="2">
        <v>27.3</v>
      </c>
      <c r="K866" s="2">
        <v>-1</v>
      </c>
      <c r="L866" s="2">
        <v>850.1</v>
      </c>
      <c r="M866" s="2">
        <v>850.1</v>
      </c>
      <c r="N866" s="2">
        <f ca="1">INDEX(INDIRECT(_xlfn.CONCAT("weather.tbl[",N$1,"]")),MATCH(vp.tbl[[#This Row],[SDate]],weather.tbl[Date],0))</f>
        <v>-4.083333333333333</v>
      </c>
      <c r="O866" s="2">
        <f ca="1">INDEX(INDIRECT(_xlfn.CONCAT("weather.tbl[",O$1,"]")),MATCH(vp.tbl[[#This Row],[SDate]],weather.tbl[Date],0))</f>
        <v>-1.1904761904761862E-2</v>
      </c>
      <c r="P866" s="2">
        <f ca="1">INDEX(INDIRECT(_xlfn.CONCAT("weather.tbl[",P$1,"]")),MATCH(vp.tbl[[#This Row],[SDate]],weather.tbl[Date],0))</f>
        <v>-3.5</v>
      </c>
      <c r="Q866" s="2">
        <f ca="1">INDEX(INDIRECT(_xlfn.CONCAT("weather.tbl[",Q$1,"]")),MATCH(vp.tbl[[#This Row],[SDate]],weather.tbl[Date],0))</f>
        <v>-3.5</v>
      </c>
      <c r="R866" s="2">
        <f ca="1">INDEX(INDIRECT(_xlfn.CONCAT("weather.tbl[",R$1,"]")),MATCH(vp.tbl[[#This Row],[SDate]],weather.tbl[Date],0))</f>
        <v>-4.5</v>
      </c>
      <c r="S866" s="2">
        <f ca="1">INDEX(INDIRECT(_xlfn.CONCAT("weather.tbl[",S$1,"]")),MATCH(vp.tbl[[#This Row],[SDate]],weather.tbl[Date],0))</f>
        <v>-3.4</v>
      </c>
      <c r="T866" s="2">
        <f ca="1">INDEX(INDIRECT(_xlfn.CONCAT("weather.tbl[",T$1,"]")),MATCH(vp.tbl[[#This Row],[SDate]],weather.tbl[Date],0))</f>
        <v>-3.6</v>
      </c>
      <c r="U866" s="2">
        <f ca="1">INDEX(INDIRECT(_xlfn.CONCAT("weather.tbl[",U$1,"]")),MATCH(vp.tbl[[#This Row],[SDate]],weather.tbl[Date],0))</f>
        <v>-6</v>
      </c>
      <c r="V866" s="2">
        <v>1437.386</v>
      </c>
      <c r="W866" t="s">
        <v>48</v>
      </c>
      <c r="X866">
        <f>IF(OR(vp.tbl[[#This Row],[Sulf]]="",vp.tbl[[#This Row],[Dens]]=""),1,0)</f>
        <v>0</v>
      </c>
      <c r="Y866">
        <f>IF(vp.tbl[[#This Row],[CrudeType]]="C5+",1,0)</f>
        <v>0</v>
      </c>
      <c r="Z866">
        <f>IF(AND(vp.tbl[[#This Row],[CrudeType]]="Crude",vp.tbl[[#This Row],[Dens]]&lt;=825,vp.tbl[[#This Row],[Sulf]]&gt;0.5,vp.tbl[[#This Row],[Unknown]]=0),1,0)</f>
        <v>0</v>
      </c>
      <c r="AA866">
        <f>IF(AND(vp.tbl[[#This Row],[CrudeType]]="Crude",vp.tbl[[#This Row],[Dens]]&lt;=825,vp.tbl[[#This Row],[Sulf]]&lt;=0.5,vp.tbl[[#This Row],[Unknown]]=0),1,0)</f>
        <v>0</v>
      </c>
      <c r="AB866">
        <f>IF(AND(vp.tbl[[#This Row],[CrudeType]]="Crude",vp.tbl[[#This Row],[Dens]]&gt;825,vp.tbl[[#This Row],[Dens]]&lt;=870,vp.tbl[[#This Row],[Sulf]]&gt;0.5,vp.tbl[[#This Row],[Unknown]]=0),1,0)</f>
        <v>1</v>
      </c>
      <c r="AC866">
        <f>IF(AND(vp.tbl[[#This Row],[CrudeType]]="Crude",vp.tbl[[#This Row],[Dens]]&gt;825,vp.tbl[[#This Row],[Dens]]&lt;=900,vp.tbl[[#This Row],[Sulf]]&lt;=0.5,vp.tbl[[#This Row],[Unknown]]=0),1,0)</f>
        <v>0</v>
      </c>
      <c r="AD866">
        <f>IF(AND(vp.tbl[[#This Row],[CrudeType]]="Crude",vp.tbl[[#This Row],[Dens]]&gt;870,vp.tbl[[#This Row],[Dens]]&lt;=900,vp.tbl[[#This Row],[Sulf]]&gt;0.5,vp.tbl[[#This Row],[Unknown]]=0),1,0)</f>
        <v>0</v>
      </c>
      <c r="AE866">
        <f>IF(AND(vp.tbl[[#This Row],[CrudeType]]="Crude",vp.tbl[[#This Row],[Dens]]&gt;900,vp.tbl[[#This Row],[Sulf]]&lt;=0.5,vp.tbl[[#This Row],[Unknown]]=0),1,0)</f>
        <v>0</v>
      </c>
      <c r="AF866">
        <f>IF(AND(vp.tbl[[#This Row],[CrudeType]]="Crude",vp.tbl[[#This Row],[Dens]]&gt;900,vp.tbl[[#This Row],[Sulf]]&lt;=0.5,vp.tbl[[#This Row],[Unknown]]=0),1,0)</f>
        <v>0</v>
      </c>
      <c r="AG866" t="str">
        <f>INDEX(vp.tbl[[#Headers],[Unknown]:[Heavy_SW]],MATCH(1,vp.tbl[[#This Row],[Unknown]:[Heavy_SW]],0))</f>
        <v>Medium_LSB</v>
      </c>
      <c r="AH866" t="e">
        <f>INDEX([1]!crudeBD.lkup[Number],MATCH(vp.tbl[[#This Row],[Crude_Breakdown]],[1]!crudeBD.lkup[Crude Breakdown],0))</f>
        <v>#REF!</v>
      </c>
      <c r="AI866">
        <f>MONTH(vp.tbl[[#This Row],[SDate]])</f>
        <v>2</v>
      </c>
      <c r="AJ866" s="5">
        <f>IFERROR(vp.tbl[[#This Row],[Sulf]]*vp.tbl[[#This Row],[Net Dens]],"")</f>
        <v>1862208.8820264</v>
      </c>
      <c r="AK866" s="5">
        <f>IFERROR(vp.tbl[[#This Row],[Dens]]*vp.tbl[[#This Row],[VolumeM3]],"")</f>
        <v>1221921.8385999999</v>
      </c>
      <c r="AL866" s="5">
        <f>IFERROR(vp.tbl[[#This Row],[VP]]*vp.tbl[[#This Row],[VolumeM3]],"")</f>
        <v>112691.06240000001</v>
      </c>
      <c r="AM866" s="4">
        <f>IFERROR((vp.tbl[[#This Row],[VP]]-INDEX(crudeBD.lkup.complete[Mean_VP],MATCH(vp.tbl[[#This Row],[Crude_Breakdown]],crudeBD.lkup.complete[Crude Breakdown],0)))^2,"")</f>
        <v>3.1456389995191567</v>
      </c>
      <c r="AN866" s="4">
        <f>IFERROR((vp.tbl[[#This Row],[Dens]]-INDEX(crudeBD.lkup.complete[Mean_Dens],MATCH(vp.tbl[[#This Row],[Crude_Breakdown]],crudeBD.lkup.complete[Crude Breakdown],0)))^2,"")</f>
        <v>23.118568132680736</v>
      </c>
      <c r="AO866" s="4">
        <f>IFERROR((vp.tbl[[#This Row],[Sulf]]-INDEX(crudeBD.lkup.complete[Mean_Sulf],MATCH(vp.tbl[[#This Row],[Crude_Breakdown]],crudeBD.lkup.complete[Crude Breakdown],0)))^2,"")</f>
        <v>4.7706841347027306E-3</v>
      </c>
      <c r="AP866">
        <f>IF(AND(vp.tbl[[#This Row],[SDate]]&gt;=DATE(YEAR(vp.tbl[[#This Row],[SDate]]),5,1),vp.tbl[[#This Row],[SDate]]&lt;=DATE(YEAR(vp.tbl[[#This Row],[SDate]]),9,15)),1,0)</f>
        <v>0</v>
      </c>
      <c r="AQ866" s="15">
        <f>IF(vp.tbl[[#This Row],[SDate]]&lt;DATE(2016,12,1),0,1)</f>
        <v>1</v>
      </c>
    </row>
    <row r="867" spans="1:43" x14ac:dyDescent="0.25">
      <c r="A867">
        <v>866</v>
      </c>
      <c r="B867" t="s">
        <v>62</v>
      </c>
      <c r="C867" t="s">
        <v>62</v>
      </c>
      <c r="D867" t="s">
        <v>63</v>
      </c>
      <c r="F867" s="1">
        <v>42789</v>
      </c>
      <c r="G867" s="2">
        <v>91.4</v>
      </c>
      <c r="H867" s="2">
        <v>1.64</v>
      </c>
      <c r="I867" s="2">
        <v>1.64</v>
      </c>
      <c r="J867" s="2">
        <v>9.4</v>
      </c>
      <c r="K867" s="2">
        <v>-1</v>
      </c>
      <c r="L867" s="2">
        <v>836.5</v>
      </c>
      <c r="M867" s="2">
        <v>836.5</v>
      </c>
      <c r="N867" s="2">
        <f ca="1">INDEX(INDIRECT(_xlfn.CONCAT("weather.tbl[",N$1,"]")),MATCH(vp.tbl[[#This Row],[SDate]],weather.tbl[Date],0))</f>
        <v>-4.083333333333333</v>
      </c>
      <c r="O867" s="2">
        <f ca="1">INDEX(INDIRECT(_xlfn.CONCAT("weather.tbl[",O$1,"]")),MATCH(vp.tbl[[#This Row],[SDate]],weather.tbl[Date],0))</f>
        <v>-1.1904761904761862E-2</v>
      </c>
      <c r="P867" s="2">
        <f ca="1">INDEX(INDIRECT(_xlfn.CONCAT("weather.tbl[",P$1,"]")),MATCH(vp.tbl[[#This Row],[SDate]],weather.tbl[Date],0))</f>
        <v>-3.5</v>
      </c>
      <c r="Q867" s="2">
        <f ca="1">INDEX(INDIRECT(_xlfn.CONCAT("weather.tbl[",Q$1,"]")),MATCH(vp.tbl[[#This Row],[SDate]],weather.tbl[Date],0))</f>
        <v>-3.5</v>
      </c>
      <c r="R867" s="2">
        <f ca="1">INDEX(INDIRECT(_xlfn.CONCAT("weather.tbl[",R$1,"]")),MATCH(vp.tbl[[#This Row],[SDate]],weather.tbl[Date],0))</f>
        <v>-4.5</v>
      </c>
      <c r="S867" s="2">
        <f ca="1">INDEX(INDIRECT(_xlfn.CONCAT("weather.tbl[",S$1,"]")),MATCH(vp.tbl[[#This Row],[SDate]],weather.tbl[Date],0))</f>
        <v>-3.4</v>
      </c>
      <c r="T867" s="2">
        <f ca="1">INDEX(INDIRECT(_xlfn.CONCAT("weather.tbl[",T$1,"]")),MATCH(vp.tbl[[#This Row],[SDate]],weather.tbl[Date],0))</f>
        <v>-3.6</v>
      </c>
      <c r="U867" s="2">
        <f ca="1">INDEX(INDIRECT(_xlfn.CONCAT("weather.tbl[",U$1,"]")),MATCH(vp.tbl[[#This Row],[SDate]],weather.tbl[Date],0))</f>
        <v>-6</v>
      </c>
      <c r="V867" s="2">
        <v>4978.7389999999996</v>
      </c>
      <c r="W867" t="s">
        <v>48</v>
      </c>
      <c r="X867">
        <f>IF(OR(vp.tbl[[#This Row],[Sulf]]="",vp.tbl[[#This Row],[Dens]]=""),1,0)</f>
        <v>0</v>
      </c>
      <c r="Y867">
        <f>IF(vp.tbl[[#This Row],[CrudeType]]="C5+",1,0)</f>
        <v>0</v>
      </c>
      <c r="Z867">
        <f>IF(AND(vp.tbl[[#This Row],[CrudeType]]="Crude",vp.tbl[[#This Row],[Dens]]&lt;=825,vp.tbl[[#This Row],[Sulf]]&gt;0.5,vp.tbl[[#This Row],[Unknown]]=0),1,0)</f>
        <v>0</v>
      </c>
      <c r="AA867">
        <f>IF(AND(vp.tbl[[#This Row],[CrudeType]]="Crude",vp.tbl[[#This Row],[Dens]]&lt;=825,vp.tbl[[#This Row],[Sulf]]&lt;=0.5,vp.tbl[[#This Row],[Unknown]]=0),1,0)</f>
        <v>0</v>
      </c>
      <c r="AB867">
        <f>IF(AND(vp.tbl[[#This Row],[CrudeType]]="Crude",vp.tbl[[#This Row],[Dens]]&gt;825,vp.tbl[[#This Row],[Dens]]&lt;=870,vp.tbl[[#This Row],[Sulf]]&gt;0.5,vp.tbl[[#This Row],[Unknown]]=0),1,0)</f>
        <v>1</v>
      </c>
      <c r="AC867">
        <f>IF(AND(vp.tbl[[#This Row],[CrudeType]]="Crude",vp.tbl[[#This Row],[Dens]]&gt;825,vp.tbl[[#This Row],[Dens]]&lt;=900,vp.tbl[[#This Row],[Sulf]]&lt;=0.5,vp.tbl[[#This Row],[Unknown]]=0),1,0)</f>
        <v>0</v>
      </c>
      <c r="AD867">
        <f>IF(AND(vp.tbl[[#This Row],[CrudeType]]="Crude",vp.tbl[[#This Row],[Dens]]&gt;870,vp.tbl[[#This Row],[Dens]]&lt;=900,vp.tbl[[#This Row],[Sulf]]&gt;0.5,vp.tbl[[#This Row],[Unknown]]=0),1,0)</f>
        <v>0</v>
      </c>
      <c r="AE867">
        <f>IF(AND(vp.tbl[[#This Row],[CrudeType]]="Crude",vp.tbl[[#This Row],[Dens]]&gt;900,vp.tbl[[#This Row],[Sulf]]&lt;=0.5,vp.tbl[[#This Row],[Unknown]]=0),1,0)</f>
        <v>0</v>
      </c>
      <c r="AF867">
        <f>IF(AND(vp.tbl[[#This Row],[CrudeType]]="Crude",vp.tbl[[#This Row],[Dens]]&gt;900,vp.tbl[[#This Row],[Sulf]]&lt;=0.5,vp.tbl[[#This Row],[Unknown]]=0),1,0)</f>
        <v>0</v>
      </c>
      <c r="AG867" t="str">
        <f>INDEX(vp.tbl[[#Headers],[Unknown]:[Heavy_SW]],MATCH(1,vp.tbl[[#This Row],[Unknown]:[Heavy_SW]],0))</f>
        <v>Medium_LSB</v>
      </c>
      <c r="AH867" t="e">
        <f>INDEX([1]!crudeBD.lkup[Number],MATCH(vp.tbl[[#This Row],[Crude_Breakdown]],[1]!crudeBD.lkup[Crude Breakdown],0))</f>
        <v>#REF!</v>
      </c>
      <c r="AI867">
        <f>MONTH(vp.tbl[[#This Row],[SDate]])</f>
        <v>2</v>
      </c>
      <c r="AJ867" s="5">
        <f>IFERROR(vp.tbl[[#This Row],[Sulf]]*vp.tbl[[#This Row],[Net Dens]],"")</f>
        <v>6830132.8845399991</v>
      </c>
      <c r="AK867" s="5">
        <f>IFERROR(vp.tbl[[#This Row],[Dens]]*vp.tbl[[#This Row],[VolumeM3]],"")</f>
        <v>4164715.1734999996</v>
      </c>
      <c r="AL867" s="5">
        <f>IFERROR(vp.tbl[[#This Row],[VP]]*vp.tbl[[#This Row],[VolumeM3]],"")</f>
        <v>455056.74459999998</v>
      </c>
      <c r="AM867" s="4">
        <f>IFERROR((vp.tbl[[#This Row],[VP]]-INDEX(crudeBD.lkup.complete[Mean_VP],MATCH(vp.tbl[[#This Row],[Crude_Breakdown]],crudeBD.lkup.complete[Crude Breakdown],0)))^2,"")</f>
        <v>126.03217064508988</v>
      </c>
      <c r="AN867" s="4">
        <f>IFERROR((vp.tbl[[#This Row],[Dens]]-INDEX(crudeBD.lkup.complete[Mean_Dens],MATCH(vp.tbl[[#This Row],[Crude_Breakdown]],crudeBD.lkup.complete[Crude Breakdown],0)))^2,"")</f>
        <v>77.296147879489169</v>
      </c>
      <c r="AO867" s="4">
        <f>IFERROR((vp.tbl[[#This Row],[Sulf]]-INDEX(crudeBD.lkup.complete[Mean_Sulf],MATCH(vp.tbl[[#This Row],[Crude_Breakdown]],crudeBD.lkup.complete[Crude Breakdown],0)))^2,"")</f>
        <v>3.4250956438499819E-2</v>
      </c>
      <c r="AP867">
        <f>IF(AND(vp.tbl[[#This Row],[SDate]]&gt;=DATE(YEAR(vp.tbl[[#This Row],[SDate]]),5,1),vp.tbl[[#This Row],[SDate]]&lt;=DATE(YEAR(vp.tbl[[#This Row],[SDate]]),9,15)),1,0)</f>
        <v>0</v>
      </c>
      <c r="AQ867" s="15">
        <f>IF(vp.tbl[[#This Row],[SDate]]&lt;DATE(2016,12,1),0,1)</f>
        <v>1</v>
      </c>
    </row>
    <row r="868" spans="1:43" x14ac:dyDescent="0.25">
      <c r="A868">
        <v>867</v>
      </c>
      <c r="B868" t="s">
        <v>56</v>
      </c>
      <c r="C868" t="s">
        <v>56</v>
      </c>
      <c r="D868" t="s">
        <v>57</v>
      </c>
      <c r="F868" s="1">
        <v>42789</v>
      </c>
      <c r="G868" s="2">
        <v>83.4</v>
      </c>
      <c r="H868" s="2"/>
      <c r="I868" s="2">
        <v>1.69</v>
      </c>
      <c r="J868" s="2">
        <v>16.100000000000001</v>
      </c>
      <c r="K868" s="2">
        <v>-1</v>
      </c>
      <c r="L868" s="2">
        <v>844.1</v>
      </c>
      <c r="M868" s="2">
        <v>844.1</v>
      </c>
      <c r="N868" s="2">
        <f ca="1">INDEX(INDIRECT(_xlfn.CONCAT("weather.tbl[",N$1,"]")),MATCH(vp.tbl[[#This Row],[SDate]],weather.tbl[Date],0))</f>
        <v>-4.083333333333333</v>
      </c>
      <c r="O868" s="2">
        <f ca="1">INDEX(INDIRECT(_xlfn.CONCAT("weather.tbl[",O$1,"]")),MATCH(vp.tbl[[#This Row],[SDate]],weather.tbl[Date],0))</f>
        <v>-1.1904761904761862E-2</v>
      </c>
      <c r="P868" s="2">
        <f ca="1">INDEX(INDIRECT(_xlfn.CONCAT("weather.tbl[",P$1,"]")),MATCH(vp.tbl[[#This Row],[SDate]],weather.tbl[Date],0))</f>
        <v>-3.5</v>
      </c>
      <c r="Q868" s="2">
        <f ca="1">INDEX(INDIRECT(_xlfn.CONCAT("weather.tbl[",Q$1,"]")),MATCH(vp.tbl[[#This Row],[SDate]],weather.tbl[Date],0))</f>
        <v>-3.5</v>
      </c>
      <c r="R868" s="2">
        <f ca="1">INDEX(INDIRECT(_xlfn.CONCAT("weather.tbl[",R$1,"]")),MATCH(vp.tbl[[#This Row],[SDate]],weather.tbl[Date],0))</f>
        <v>-4.5</v>
      </c>
      <c r="S868" s="2">
        <f ca="1">INDEX(INDIRECT(_xlfn.CONCAT("weather.tbl[",S$1,"]")),MATCH(vp.tbl[[#This Row],[SDate]],weather.tbl[Date],0))</f>
        <v>-3.4</v>
      </c>
      <c r="T868" s="2">
        <f ca="1">INDEX(INDIRECT(_xlfn.CONCAT("weather.tbl[",T$1,"]")),MATCH(vp.tbl[[#This Row],[SDate]],weather.tbl[Date],0))</f>
        <v>-3.6</v>
      </c>
      <c r="U868" s="2">
        <f ca="1">INDEX(INDIRECT(_xlfn.CONCAT("weather.tbl[",U$1,"]")),MATCH(vp.tbl[[#This Row],[SDate]],weather.tbl[Date],0))</f>
        <v>-6</v>
      </c>
      <c r="V868" s="2">
        <v>2751.2289999999998</v>
      </c>
      <c r="W868" t="s">
        <v>48</v>
      </c>
      <c r="X868">
        <f>IF(OR(vp.tbl[[#This Row],[Sulf]]="",vp.tbl[[#This Row],[Dens]]=""),1,0)</f>
        <v>0</v>
      </c>
      <c r="Y868">
        <f>IF(vp.tbl[[#This Row],[CrudeType]]="C5+",1,0)</f>
        <v>0</v>
      </c>
      <c r="Z868">
        <f>IF(AND(vp.tbl[[#This Row],[CrudeType]]="Crude",vp.tbl[[#This Row],[Dens]]&lt;=825,vp.tbl[[#This Row],[Sulf]]&gt;0.5,vp.tbl[[#This Row],[Unknown]]=0),1,0)</f>
        <v>0</v>
      </c>
      <c r="AA868">
        <f>IF(AND(vp.tbl[[#This Row],[CrudeType]]="Crude",vp.tbl[[#This Row],[Dens]]&lt;=825,vp.tbl[[#This Row],[Sulf]]&lt;=0.5,vp.tbl[[#This Row],[Unknown]]=0),1,0)</f>
        <v>0</v>
      </c>
      <c r="AB868">
        <f>IF(AND(vp.tbl[[#This Row],[CrudeType]]="Crude",vp.tbl[[#This Row],[Dens]]&gt;825,vp.tbl[[#This Row],[Dens]]&lt;=870,vp.tbl[[#This Row],[Sulf]]&gt;0.5,vp.tbl[[#This Row],[Unknown]]=0),1,0)</f>
        <v>1</v>
      </c>
      <c r="AC868">
        <f>IF(AND(vp.tbl[[#This Row],[CrudeType]]="Crude",vp.tbl[[#This Row],[Dens]]&gt;825,vp.tbl[[#This Row],[Dens]]&lt;=900,vp.tbl[[#This Row],[Sulf]]&lt;=0.5,vp.tbl[[#This Row],[Unknown]]=0),1,0)</f>
        <v>0</v>
      </c>
      <c r="AD868">
        <f>IF(AND(vp.tbl[[#This Row],[CrudeType]]="Crude",vp.tbl[[#This Row],[Dens]]&gt;870,vp.tbl[[#This Row],[Dens]]&lt;=900,vp.tbl[[#This Row],[Sulf]]&gt;0.5,vp.tbl[[#This Row],[Unknown]]=0),1,0)</f>
        <v>0</v>
      </c>
      <c r="AE868">
        <f>IF(AND(vp.tbl[[#This Row],[CrudeType]]="Crude",vp.tbl[[#This Row],[Dens]]&gt;900,vp.tbl[[#This Row],[Sulf]]&lt;=0.5,vp.tbl[[#This Row],[Unknown]]=0),1,0)</f>
        <v>0</v>
      </c>
      <c r="AF868">
        <f>IF(AND(vp.tbl[[#This Row],[CrudeType]]="Crude",vp.tbl[[#This Row],[Dens]]&gt;900,vp.tbl[[#This Row],[Sulf]]&lt;=0.5,vp.tbl[[#This Row],[Unknown]]=0),1,0)</f>
        <v>0</v>
      </c>
      <c r="AG868" t="str">
        <f>INDEX(vp.tbl[[#Headers],[Unknown]:[Heavy_SW]],MATCH(1,vp.tbl[[#This Row],[Unknown]:[Heavy_SW]],0))</f>
        <v>Medium_LSB</v>
      </c>
      <c r="AH868" t="e">
        <f>INDEX([1]!crudeBD.lkup[Number],MATCH(vp.tbl[[#This Row],[Crude_Breakdown]],[1]!crudeBD.lkup[Crude Breakdown],0))</f>
        <v>#REF!</v>
      </c>
      <c r="AI868">
        <f>MONTH(vp.tbl[[#This Row],[SDate]])</f>
        <v>2</v>
      </c>
      <c r="AJ868" s="5">
        <f>IFERROR(vp.tbl[[#This Row],[Sulf]]*vp.tbl[[#This Row],[Net Dens]],"")</f>
        <v>3924707.9541409998</v>
      </c>
      <c r="AK868" s="5">
        <f>IFERROR(vp.tbl[[#This Row],[Dens]]*vp.tbl[[#This Row],[VolumeM3]],"")</f>
        <v>2322312.3988999999</v>
      </c>
      <c r="AL868" s="5">
        <f>IFERROR(vp.tbl[[#This Row],[VP]]*vp.tbl[[#This Row],[VolumeM3]],"")</f>
        <v>229452.49859999999</v>
      </c>
      <c r="AM868" s="4">
        <f>IFERROR((vp.tbl[[#This Row],[VP]]-INDEX(crudeBD.lkup.complete[Mean_VP],MATCH(vp.tbl[[#This Row],[Crude_Breakdown]],crudeBD.lkup.complete[Crude Breakdown],0)))^2,"")</f>
        <v>10.409689632430975</v>
      </c>
      <c r="AN868" s="4">
        <f>IFERROR((vp.tbl[[#This Row],[Dens]]-INDEX(crudeBD.lkup.complete[Mean_Dens],MATCH(vp.tbl[[#This Row],[Crude_Breakdown]],crudeBD.lkup.complete[Crude Breakdown],0)))^2,"")</f>
        <v>1.420441550390164</v>
      </c>
      <c r="AO868" s="4">
        <f>IFERROR((vp.tbl[[#This Row],[Sulf]]-INDEX(crudeBD.lkup.complete[Mean_Sulf],MATCH(vp.tbl[[#This Row],[Crude_Breakdown]],crudeBD.lkup.complete[Crude Breakdown],0)))^2,"")</f>
        <v>5.5257970362550313E-2</v>
      </c>
      <c r="AP868">
        <f>IF(AND(vp.tbl[[#This Row],[SDate]]&gt;=DATE(YEAR(vp.tbl[[#This Row],[SDate]]),5,1),vp.tbl[[#This Row],[SDate]]&lt;=DATE(YEAR(vp.tbl[[#This Row],[SDate]]),9,15)),1,0)</f>
        <v>0</v>
      </c>
      <c r="AQ868" s="15">
        <f>IF(vp.tbl[[#This Row],[SDate]]&lt;DATE(2016,12,1),0,1)</f>
        <v>1</v>
      </c>
    </row>
    <row r="869" spans="1:43" x14ac:dyDescent="0.25">
      <c r="A869">
        <v>868</v>
      </c>
      <c r="B869" t="s">
        <v>68</v>
      </c>
      <c r="C869" t="s">
        <v>68</v>
      </c>
      <c r="D869" t="s">
        <v>98</v>
      </c>
      <c r="F869" s="1">
        <v>42789</v>
      </c>
      <c r="G869" s="2">
        <v>60.3</v>
      </c>
      <c r="H869" s="2"/>
      <c r="I869" s="2">
        <v>1.33</v>
      </c>
      <c r="J869" s="2">
        <v>17.600000000000001</v>
      </c>
      <c r="K869" s="2">
        <v>-1</v>
      </c>
      <c r="L869" s="2">
        <v>853.5</v>
      </c>
      <c r="M869" s="2">
        <v>853.5</v>
      </c>
      <c r="N869" s="2">
        <f ca="1">INDEX(INDIRECT(_xlfn.CONCAT("weather.tbl[",N$1,"]")),MATCH(vp.tbl[[#This Row],[SDate]],weather.tbl[Date],0))</f>
        <v>-4.083333333333333</v>
      </c>
      <c r="O869" s="2">
        <f ca="1">INDEX(INDIRECT(_xlfn.CONCAT("weather.tbl[",O$1,"]")),MATCH(vp.tbl[[#This Row],[SDate]],weather.tbl[Date],0))</f>
        <v>-1.1904761904761862E-2</v>
      </c>
      <c r="P869" s="2">
        <f ca="1">INDEX(INDIRECT(_xlfn.CONCAT("weather.tbl[",P$1,"]")),MATCH(vp.tbl[[#This Row],[SDate]],weather.tbl[Date],0))</f>
        <v>-3.5</v>
      </c>
      <c r="Q869" s="2">
        <f ca="1">INDEX(INDIRECT(_xlfn.CONCAT("weather.tbl[",Q$1,"]")),MATCH(vp.tbl[[#This Row],[SDate]],weather.tbl[Date],0))</f>
        <v>-3.5</v>
      </c>
      <c r="R869" s="2">
        <f ca="1">INDEX(INDIRECT(_xlfn.CONCAT("weather.tbl[",R$1,"]")),MATCH(vp.tbl[[#This Row],[SDate]],weather.tbl[Date],0))</f>
        <v>-4.5</v>
      </c>
      <c r="S869" s="2">
        <f ca="1">INDEX(INDIRECT(_xlfn.CONCAT("weather.tbl[",S$1,"]")),MATCH(vp.tbl[[#This Row],[SDate]],weather.tbl[Date],0))</f>
        <v>-3.4</v>
      </c>
      <c r="T869" s="2">
        <f ca="1">INDEX(INDIRECT(_xlfn.CONCAT("weather.tbl[",T$1,"]")),MATCH(vp.tbl[[#This Row],[SDate]],weather.tbl[Date],0))</f>
        <v>-3.6</v>
      </c>
      <c r="U869" s="2">
        <f ca="1">INDEX(INDIRECT(_xlfn.CONCAT("weather.tbl[",U$1,"]")),MATCH(vp.tbl[[#This Row],[SDate]],weather.tbl[Date],0))</f>
        <v>-6</v>
      </c>
      <c r="V869" s="2">
        <v>4577.7129999999997</v>
      </c>
      <c r="W869" t="s">
        <v>48</v>
      </c>
      <c r="X869">
        <f>IF(OR(vp.tbl[[#This Row],[Sulf]]="",vp.tbl[[#This Row],[Dens]]=""),1,0)</f>
        <v>0</v>
      </c>
      <c r="Y869">
        <f>IF(vp.tbl[[#This Row],[CrudeType]]="C5+",1,0)</f>
        <v>0</v>
      </c>
      <c r="Z869">
        <f>IF(AND(vp.tbl[[#This Row],[CrudeType]]="Crude",vp.tbl[[#This Row],[Dens]]&lt;=825,vp.tbl[[#This Row],[Sulf]]&gt;0.5,vp.tbl[[#This Row],[Unknown]]=0),1,0)</f>
        <v>0</v>
      </c>
      <c r="AA869">
        <f>IF(AND(vp.tbl[[#This Row],[CrudeType]]="Crude",vp.tbl[[#This Row],[Dens]]&lt;=825,vp.tbl[[#This Row],[Sulf]]&lt;=0.5,vp.tbl[[#This Row],[Unknown]]=0),1,0)</f>
        <v>0</v>
      </c>
      <c r="AB869">
        <f>IF(AND(vp.tbl[[#This Row],[CrudeType]]="Crude",vp.tbl[[#This Row],[Dens]]&gt;825,vp.tbl[[#This Row],[Dens]]&lt;=870,vp.tbl[[#This Row],[Sulf]]&gt;0.5,vp.tbl[[#This Row],[Unknown]]=0),1,0)</f>
        <v>1</v>
      </c>
      <c r="AC869">
        <f>IF(AND(vp.tbl[[#This Row],[CrudeType]]="Crude",vp.tbl[[#This Row],[Dens]]&gt;825,vp.tbl[[#This Row],[Dens]]&lt;=900,vp.tbl[[#This Row],[Sulf]]&lt;=0.5,vp.tbl[[#This Row],[Unknown]]=0),1,0)</f>
        <v>0</v>
      </c>
      <c r="AD869">
        <f>IF(AND(vp.tbl[[#This Row],[CrudeType]]="Crude",vp.tbl[[#This Row],[Dens]]&gt;870,vp.tbl[[#This Row],[Dens]]&lt;=900,vp.tbl[[#This Row],[Sulf]]&gt;0.5,vp.tbl[[#This Row],[Unknown]]=0),1,0)</f>
        <v>0</v>
      </c>
      <c r="AE869">
        <f>IF(AND(vp.tbl[[#This Row],[CrudeType]]="Crude",vp.tbl[[#This Row],[Dens]]&gt;900,vp.tbl[[#This Row],[Sulf]]&lt;=0.5,vp.tbl[[#This Row],[Unknown]]=0),1,0)</f>
        <v>0</v>
      </c>
      <c r="AF869">
        <f>IF(AND(vp.tbl[[#This Row],[CrudeType]]="Crude",vp.tbl[[#This Row],[Dens]]&gt;900,vp.tbl[[#This Row],[Sulf]]&lt;=0.5,vp.tbl[[#This Row],[Unknown]]=0),1,0)</f>
        <v>0</v>
      </c>
      <c r="AG869" t="str">
        <f>INDEX(vp.tbl[[#Headers],[Unknown]:[Heavy_SW]],MATCH(1,vp.tbl[[#This Row],[Unknown]:[Heavy_SW]],0))</f>
        <v>Medium_LSB</v>
      </c>
      <c r="AH869" t="e">
        <f>INDEX([1]!crudeBD.lkup[Number],MATCH(vp.tbl[[#This Row],[Crude_Breakdown]],[1]!crudeBD.lkup[Crude Breakdown],0))</f>
        <v>#REF!</v>
      </c>
      <c r="AI869">
        <f>MONTH(vp.tbl[[#This Row],[SDate]])</f>
        <v>2</v>
      </c>
      <c r="AJ869" s="5">
        <f>IFERROR(vp.tbl[[#This Row],[Sulf]]*vp.tbl[[#This Row],[Net Dens]],"")</f>
        <v>5196413.8005150007</v>
      </c>
      <c r="AK869" s="5">
        <f>IFERROR(vp.tbl[[#This Row],[Dens]]*vp.tbl[[#This Row],[VolumeM3]],"")</f>
        <v>3907078.0455</v>
      </c>
      <c r="AL869" s="5">
        <f>IFERROR(vp.tbl[[#This Row],[VP]]*vp.tbl[[#This Row],[VolumeM3]],"")</f>
        <v>276036.09389999998</v>
      </c>
      <c r="AM869" s="4">
        <f>IFERROR((vp.tbl[[#This Row],[VP]]-INDEX(crudeBD.lkup.complete[Mean_VP],MATCH(vp.tbl[[#This Row],[Crude_Breakdown]],crudeBD.lkup.complete[Crude Breakdown],0)))^2,"")</f>
        <v>394.95977570837869</v>
      </c>
      <c r="AN869" s="4">
        <f>IFERROR((vp.tbl[[#This Row],[Dens]]-INDEX(crudeBD.lkup.complete[Mean_Dens],MATCH(vp.tbl[[#This Row],[Crude_Breakdown]],crudeBD.lkup.complete[Crude Breakdown],0)))^2,"")</f>
        <v>67.374173195978344</v>
      </c>
      <c r="AO869" s="4">
        <f>IFERROR((vp.tbl[[#This Row],[Sulf]]-INDEX(crudeBD.lkup.complete[Mean_Sulf],MATCH(vp.tbl[[#This Row],[Crude_Breakdown]],crudeBD.lkup.complete[Crude Breakdown],0)))^2,"")</f>
        <v>1.5607470109386829E-2</v>
      </c>
      <c r="AP869">
        <f>IF(AND(vp.tbl[[#This Row],[SDate]]&gt;=DATE(YEAR(vp.tbl[[#This Row],[SDate]]),5,1),vp.tbl[[#This Row],[SDate]]&lt;=DATE(YEAR(vp.tbl[[#This Row],[SDate]]),9,15)),1,0)</f>
        <v>0</v>
      </c>
      <c r="AQ869" s="15">
        <f>IF(vp.tbl[[#This Row],[SDate]]&lt;DATE(2016,12,1),0,1)</f>
        <v>1</v>
      </c>
    </row>
    <row r="870" spans="1:43" x14ac:dyDescent="0.25">
      <c r="A870">
        <v>869</v>
      </c>
      <c r="B870" t="s">
        <v>111</v>
      </c>
      <c r="C870" t="s">
        <v>111</v>
      </c>
      <c r="D870" t="s">
        <v>112</v>
      </c>
      <c r="F870" s="1">
        <v>42789</v>
      </c>
      <c r="G870" s="2">
        <v>70.8</v>
      </c>
      <c r="H870" s="2"/>
      <c r="I870" s="2">
        <v>1.87</v>
      </c>
      <c r="J870" s="2">
        <v>26</v>
      </c>
      <c r="K870" s="2">
        <v>-1</v>
      </c>
      <c r="L870" s="2">
        <v>858</v>
      </c>
      <c r="M870" s="2">
        <v>858</v>
      </c>
      <c r="N870" s="2">
        <f ca="1">INDEX(INDIRECT(_xlfn.CONCAT("weather.tbl[",N$1,"]")),MATCH(vp.tbl[[#This Row],[SDate]],weather.tbl[Date],0))</f>
        <v>-4.083333333333333</v>
      </c>
      <c r="O870" s="2">
        <f ca="1">INDEX(INDIRECT(_xlfn.CONCAT("weather.tbl[",O$1,"]")),MATCH(vp.tbl[[#This Row],[SDate]],weather.tbl[Date],0))</f>
        <v>-1.1904761904761862E-2</v>
      </c>
      <c r="P870" s="2">
        <f ca="1">INDEX(INDIRECT(_xlfn.CONCAT("weather.tbl[",P$1,"]")),MATCH(vp.tbl[[#This Row],[SDate]],weather.tbl[Date],0))</f>
        <v>-3.5</v>
      </c>
      <c r="Q870" s="2">
        <f ca="1">INDEX(INDIRECT(_xlfn.CONCAT("weather.tbl[",Q$1,"]")),MATCH(vp.tbl[[#This Row],[SDate]],weather.tbl[Date],0))</f>
        <v>-3.5</v>
      </c>
      <c r="R870" s="2">
        <f ca="1">INDEX(INDIRECT(_xlfn.CONCAT("weather.tbl[",R$1,"]")),MATCH(vp.tbl[[#This Row],[SDate]],weather.tbl[Date],0))</f>
        <v>-4.5</v>
      </c>
      <c r="S870" s="2">
        <f ca="1">INDEX(INDIRECT(_xlfn.CONCAT("weather.tbl[",S$1,"]")),MATCH(vp.tbl[[#This Row],[SDate]],weather.tbl[Date],0))</f>
        <v>-3.4</v>
      </c>
      <c r="T870" s="2">
        <f ca="1">INDEX(INDIRECT(_xlfn.CONCAT("weather.tbl[",T$1,"]")),MATCH(vp.tbl[[#This Row],[SDate]],weather.tbl[Date],0))</f>
        <v>-3.6</v>
      </c>
      <c r="U870" s="2">
        <f ca="1">INDEX(INDIRECT(_xlfn.CONCAT("weather.tbl[",U$1,"]")),MATCH(vp.tbl[[#This Row],[SDate]],weather.tbl[Date],0))</f>
        <v>-6</v>
      </c>
      <c r="V870" s="2">
        <v>6942.3440000000001</v>
      </c>
      <c r="W870" t="s">
        <v>48</v>
      </c>
      <c r="X870">
        <f>IF(OR(vp.tbl[[#This Row],[Sulf]]="",vp.tbl[[#This Row],[Dens]]=""),1,0)</f>
        <v>0</v>
      </c>
      <c r="Y870">
        <f>IF(vp.tbl[[#This Row],[CrudeType]]="C5+",1,0)</f>
        <v>0</v>
      </c>
      <c r="Z870">
        <f>IF(AND(vp.tbl[[#This Row],[CrudeType]]="Crude",vp.tbl[[#This Row],[Dens]]&lt;=825,vp.tbl[[#This Row],[Sulf]]&gt;0.5,vp.tbl[[#This Row],[Unknown]]=0),1,0)</f>
        <v>0</v>
      </c>
      <c r="AA870">
        <f>IF(AND(vp.tbl[[#This Row],[CrudeType]]="Crude",vp.tbl[[#This Row],[Dens]]&lt;=825,vp.tbl[[#This Row],[Sulf]]&lt;=0.5,vp.tbl[[#This Row],[Unknown]]=0),1,0)</f>
        <v>0</v>
      </c>
      <c r="AB870">
        <f>IF(AND(vp.tbl[[#This Row],[CrudeType]]="Crude",vp.tbl[[#This Row],[Dens]]&gt;825,vp.tbl[[#This Row],[Dens]]&lt;=870,vp.tbl[[#This Row],[Sulf]]&gt;0.5,vp.tbl[[#This Row],[Unknown]]=0),1,0)</f>
        <v>1</v>
      </c>
      <c r="AC870">
        <f>IF(AND(vp.tbl[[#This Row],[CrudeType]]="Crude",vp.tbl[[#This Row],[Dens]]&gt;825,vp.tbl[[#This Row],[Dens]]&lt;=900,vp.tbl[[#This Row],[Sulf]]&lt;=0.5,vp.tbl[[#This Row],[Unknown]]=0),1,0)</f>
        <v>0</v>
      </c>
      <c r="AD870">
        <f>IF(AND(vp.tbl[[#This Row],[CrudeType]]="Crude",vp.tbl[[#This Row],[Dens]]&gt;870,vp.tbl[[#This Row],[Dens]]&lt;=900,vp.tbl[[#This Row],[Sulf]]&gt;0.5,vp.tbl[[#This Row],[Unknown]]=0),1,0)</f>
        <v>0</v>
      </c>
      <c r="AE870">
        <f>IF(AND(vp.tbl[[#This Row],[CrudeType]]="Crude",vp.tbl[[#This Row],[Dens]]&gt;900,vp.tbl[[#This Row],[Sulf]]&lt;=0.5,vp.tbl[[#This Row],[Unknown]]=0),1,0)</f>
        <v>0</v>
      </c>
      <c r="AF870">
        <f>IF(AND(vp.tbl[[#This Row],[CrudeType]]="Crude",vp.tbl[[#This Row],[Dens]]&gt;900,vp.tbl[[#This Row],[Sulf]]&lt;=0.5,vp.tbl[[#This Row],[Unknown]]=0),1,0)</f>
        <v>0</v>
      </c>
      <c r="AG870" t="str">
        <f>INDEX(vp.tbl[[#Headers],[Unknown]:[Heavy_SW]],MATCH(1,vp.tbl[[#This Row],[Unknown]:[Heavy_SW]],0))</f>
        <v>Medium_LSB</v>
      </c>
      <c r="AH870" t="e">
        <f>INDEX([1]!crudeBD.lkup[Number],MATCH(vp.tbl[[#This Row],[Crude_Breakdown]],[1]!crudeBD.lkup[Crude Breakdown],0))</f>
        <v>#REF!</v>
      </c>
      <c r="AI870">
        <f>MONTH(vp.tbl[[#This Row],[SDate]])</f>
        <v>2</v>
      </c>
      <c r="AJ870" s="5">
        <f>IFERROR(vp.tbl[[#This Row],[Sulf]]*vp.tbl[[#This Row],[Net Dens]],"")</f>
        <v>11138713.254240001</v>
      </c>
      <c r="AK870" s="5">
        <f>IFERROR(vp.tbl[[#This Row],[Dens]]*vp.tbl[[#This Row],[VolumeM3]],"")</f>
        <v>5956531.1519999998</v>
      </c>
      <c r="AL870" s="5">
        <f>IFERROR(vp.tbl[[#This Row],[VP]]*vp.tbl[[#This Row],[VolumeM3]],"")</f>
        <v>491517.95519999997</v>
      </c>
      <c r="AM870" s="4">
        <f>IFERROR((vp.tbl[[#This Row],[VP]]-INDEX(crudeBD.lkup.complete[Mean_VP],MATCH(vp.tbl[[#This Row],[Crude_Breakdown]],crudeBD.lkup.complete[Crude Breakdown],0)))^2,"")</f>
        <v>87.864282037493354</v>
      </c>
      <c r="AN870" s="4">
        <f>IFERROR((vp.tbl[[#This Row],[Dens]]-INDEX(crudeBD.lkup.complete[Mean_Dens],MATCH(vp.tbl[[#This Row],[Crude_Breakdown]],crudeBD.lkup.complete[Crude Breakdown],0)))^2,"")</f>
        <v>161.49776813269608</v>
      </c>
      <c r="AO870" s="4">
        <f>IFERROR((vp.tbl[[#This Row],[Sulf]]-INDEX(crudeBD.lkup.complete[Mean_Sulf],MATCH(vp.tbl[[#This Row],[Crude_Breakdown]],crudeBD.lkup.complete[Crude Breakdown],0)))^2,"")</f>
        <v>0.17228322048913217</v>
      </c>
      <c r="AP870">
        <f>IF(AND(vp.tbl[[#This Row],[SDate]]&gt;=DATE(YEAR(vp.tbl[[#This Row],[SDate]]),5,1),vp.tbl[[#This Row],[SDate]]&lt;=DATE(YEAR(vp.tbl[[#This Row],[SDate]]),9,15)),1,0)</f>
        <v>0</v>
      </c>
      <c r="AQ870" s="15">
        <f>IF(vp.tbl[[#This Row],[SDate]]&lt;DATE(2016,12,1),0,1)</f>
        <v>1</v>
      </c>
    </row>
    <row r="871" spans="1:43" x14ac:dyDescent="0.25">
      <c r="A871">
        <v>870</v>
      </c>
      <c r="B871" t="s">
        <v>56</v>
      </c>
      <c r="C871" t="s">
        <v>56</v>
      </c>
      <c r="D871" t="s">
        <v>94</v>
      </c>
      <c r="F871" s="1">
        <v>42789</v>
      </c>
      <c r="G871" s="2">
        <v>75.400000000000006</v>
      </c>
      <c r="H871" s="2"/>
      <c r="I871" s="2">
        <v>1.95</v>
      </c>
      <c r="J871" s="2">
        <v>20</v>
      </c>
      <c r="K871" s="2">
        <v>-1</v>
      </c>
      <c r="L871" s="2">
        <v>862</v>
      </c>
      <c r="M871" s="2">
        <v>862</v>
      </c>
      <c r="N871" s="2">
        <f ca="1">INDEX(INDIRECT(_xlfn.CONCAT("weather.tbl[",N$1,"]")),MATCH(vp.tbl[[#This Row],[SDate]],weather.tbl[Date],0))</f>
        <v>-4.083333333333333</v>
      </c>
      <c r="O871" s="2">
        <f ca="1">INDEX(INDIRECT(_xlfn.CONCAT("weather.tbl[",O$1,"]")),MATCH(vp.tbl[[#This Row],[SDate]],weather.tbl[Date],0))</f>
        <v>-1.1904761904761862E-2</v>
      </c>
      <c r="P871" s="2">
        <f ca="1">INDEX(INDIRECT(_xlfn.CONCAT("weather.tbl[",P$1,"]")),MATCH(vp.tbl[[#This Row],[SDate]],weather.tbl[Date],0))</f>
        <v>-3.5</v>
      </c>
      <c r="Q871" s="2">
        <f ca="1">INDEX(INDIRECT(_xlfn.CONCAT("weather.tbl[",Q$1,"]")),MATCH(vp.tbl[[#This Row],[SDate]],weather.tbl[Date],0))</f>
        <v>-3.5</v>
      </c>
      <c r="R871" s="2">
        <f ca="1">INDEX(INDIRECT(_xlfn.CONCAT("weather.tbl[",R$1,"]")),MATCH(vp.tbl[[#This Row],[SDate]],weather.tbl[Date],0))</f>
        <v>-4.5</v>
      </c>
      <c r="S871" s="2">
        <f ca="1">INDEX(INDIRECT(_xlfn.CONCAT("weather.tbl[",S$1,"]")),MATCH(vp.tbl[[#This Row],[SDate]],weather.tbl[Date],0))</f>
        <v>-3.4</v>
      </c>
      <c r="T871" s="2">
        <f ca="1">INDEX(INDIRECT(_xlfn.CONCAT("weather.tbl[",T$1,"]")),MATCH(vp.tbl[[#This Row],[SDate]],weather.tbl[Date],0))</f>
        <v>-3.6</v>
      </c>
      <c r="U871" s="2">
        <f ca="1">INDEX(INDIRECT(_xlfn.CONCAT("weather.tbl[",U$1,"]")),MATCH(vp.tbl[[#This Row],[SDate]],weather.tbl[Date],0))</f>
        <v>-6</v>
      </c>
      <c r="V871" s="2">
        <v>3347.944</v>
      </c>
      <c r="W871" t="s">
        <v>48</v>
      </c>
      <c r="X871">
        <f>IF(OR(vp.tbl[[#This Row],[Sulf]]="",vp.tbl[[#This Row],[Dens]]=""),1,0)</f>
        <v>0</v>
      </c>
      <c r="Y871">
        <f>IF(vp.tbl[[#This Row],[CrudeType]]="C5+",1,0)</f>
        <v>0</v>
      </c>
      <c r="Z871">
        <f>IF(AND(vp.tbl[[#This Row],[CrudeType]]="Crude",vp.tbl[[#This Row],[Dens]]&lt;=825,vp.tbl[[#This Row],[Sulf]]&gt;0.5,vp.tbl[[#This Row],[Unknown]]=0),1,0)</f>
        <v>0</v>
      </c>
      <c r="AA871">
        <f>IF(AND(vp.tbl[[#This Row],[CrudeType]]="Crude",vp.tbl[[#This Row],[Dens]]&lt;=825,vp.tbl[[#This Row],[Sulf]]&lt;=0.5,vp.tbl[[#This Row],[Unknown]]=0),1,0)</f>
        <v>0</v>
      </c>
      <c r="AB871">
        <f>IF(AND(vp.tbl[[#This Row],[CrudeType]]="Crude",vp.tbl[[#This Row],[Dens]]&gt;825,vp.tbl[[#This Row],[Dens]]&lt;=870,vp.tbl[[#This Row],[Sulf]]&gt;0.5,vp.tbl[[#This Row],[Unknown]]=0),1,0)</f>
        <v>1</v>
      </c>
      <c r="AC871">
        <f>IF(AND(vp.tbl[[#This Row],[CrudeType]]="Crude",vp.tbl[[#This Row],[Dens]]&gt;825,vp.tbl[[#This Row],[Dens]]&lt;=900,vp.tbl[[#This Row],[Sulf]]&lt;=0.5,vp.tbl[[#This Row],[Unknown]]=0),1,0)</f>
        <v>0</v>
      </c>
      <c r="AD871">
        <f>IF(AND(vp.tbl[[#This Row],[CrudeType]]="Crude",vp.tbl[[#This Row],[Dens]]&gt;870,vp.tbl[[#This Row],[Dens]]&lt;=900,vp.tbl[[#This Row],[Sulf]]&gt;0.5,vp.tbl[[#This Row],[Unknown]]=0),1,0)</f>
        <v>0</v>
      </c>
      <c r="AE871">
        <f>IF(AND(vp.tbl[[#This Row],[CrudeType]]="Crude",vp.tbl[[#This Row],[Dens]]&gt;900,vp.tbl[[#This Row],[Sulf]]&lt;=0.5,vp.tbl[[#This Row],[Unknown]]=0),1,0)</f>
        <v>0</v>
      </c>
      <c r="AF871">
        <f>IF(AND(vp.tbl[[#This Row],[CrudeType]]="Crude",vp.tbl[[#This Row],[Dens]]&gt;900,vp.tbl[[#This Row],[Sulf]]&lt;=0.5,vp.tbl[[#This Row],[Unknown]]=0),1,0)</f>
        <v>0</v>
      </c>
      <c r="AG871" t="str">
        <f>INDEX(vp.tbl[[#Headers],[Unknown]:[Heavy_SW]],MATCH(1,vp.tbl[[#This Row],[Unknown]:[Heavy_SW]],0))</f>
        <v>Medium_LSB</v>
      </c>
      <c r="AH871" t="e">
        <f>INDEX([1]!crudeBD.lkup[Number],MATCH(vp.tbl[[#This Row],[Crude_Breakdown]],[1]!crudeBD.lkup[Crude Breakdown],0))</f>
        <v>#REF!</v>
      </c>
      <c r="AI871">
        <f>MONTH(vp.tbl[[#This Row],[SDate]])</f>
        <v>2</v>
      </c>
      <c r="AJ871" s="5">
        <f>IFERROR(vp.tbl[[#This Row],[Sulf]]*vp.tbl[[#This Row],[Net Dens]],"")</f>
        <v>5627559.0696</v>
      </c>
      <c r="AK871" s="5">
        <f>IFERROR(vp.tbl[[#This Row],[Dens]]*vp.tbl[[#This Row],[VolumeM3]],"")</f>
        <v>2885927.7280000001</v>
      </c>
      <c r="AL871" s="5">
        <f>IFERROR(vp.tbl[[#This Row],[VP]]*vp.tbl[[#This Row],[VolumeM3]],"")</f>
        <v>252434.97760000001</v>
      </c>
      <c r="AM871" s="4">
        <f>IFERROR((vp.tbl[[#This Row],[VP]]-INDEX(crudeBD.lkup.complete[Mean_VP],MATCH(vp.tbl[[#This Row],[Crude_Breakdown]],crudeBD.lkup.complete[Crude Breakdown],0)))^2,"")</f>
        <v>22.787208619772066</v>
      </c>
      <c r="AN871" s="4">
        <f>IFERROR((vp.tbl[[#This Row],[Dens]]-INDEX(crudeBD.lkup.complete[Mean_Dens],MATCH(vp.tbl[[#This Row],[Crude_Breakdown]],crudeBD.lkup.complete[Crude Breakdown],0)))^2,"")</f>
        <v>279.16318585422295</v>
      </c>
      <c r="AO871" s="4">
        <f>IFERROR((vp.tbl[[#This Row],[Sulf]]-INDEX(crudeBD.lkup.complete[Mean_Sulf],MATCH(vp.tbl[[#This Row],[Crude_Breakdown]],crudeBD.lkup.complete[Crude Breakdown],0)))^2,"")</f>
        <v>0.2450944427676128</v>
      </c>
      <c r="AP871">
        <f>IF(AND(vp.tbl[[#This Row],[SDate]]&gt;=DATE(YEAR(vp.tbl[[#This Row],[SDate]]),5,1),vp.tbl[[#This Row],[SDate]]&lt;=DATE(YEAR(vp.tbl[[#This Row],[SDate]]),9,15)),1,0)</f>
        <v>0</v>
      </c>
      <c r="AQ871" s="15">
        <f>IF(vp.tbl[[#This Row],[SDate]]&lt;DATE(2016,12,1),0,1)</f>
        <v>1</v>
      </c>
    </row>
    <row r="872" spans="1:43" x14ac:dyDescent="0.25">
      <c r="A872">
        <v>871</v>
      </c>
      <c r="B872" t="s">
        <v>64</v>
      </c>
      <c r="C872" t="s">
        <v>64</v>
      </c>
      <c r="D872" t="s">
        <v>173</v>
      </c>
      <c r="F872" s="1">
        <v>42789</v>
      </c>
      <c r="G872" s="2">
        <v>47.9</v>
      </c>
      <c r="H872" s="2"/>
      <c r="I872" s="2">
        <v>0.68</v>
      </c>
      <c r="J872" s="2">
        <v>33.299999999999997</v>
      </c>
      <c r="K872" s="2">
        <v>-1</v>
      </c>
      <c r="L872" s="2">
        <v>877.2</v>
      </c>
      <c r="M872" s="2">
        <v>877.2</v>
      </c>
      <c r="N872" s="2">
        <f ca="1">INDEX(INDIRECT(_xlfn.CONCAT("weather.tbl[",N$1,"]")),MATCH(vp.tbl[[#This Row],[SDate]],weather.tbl[Date],0))</f>
        <v>-4.083333333333333</v>
      </c>
      <c r="O872" s="2">
        <f ca="1">INDEX(INDIRECT(_xlfn.CONCAT("weather.tbl[",O$1,"]")),MATCH(vp.tbl[[#This Row],[SDate]],weather.tbl[Date],0))</f>
        <v>-1.1904761904761862E-2</v>
      </c>
      <c r="P872" s="2">
        <f ca="1">INDEX(INDIRECT(_xlfn.CONCAT("weather.tbl[",P$1,"]")),MATCH(vp.tbl[[#This Row],[SDate]],weather.tbl[Date],0))</f>
        <v>-3.5</v>
      </c>
      <c r="Q872" s="2">
        <f ca="1">INDEX(INDIRECT(_xlfn.CONCAT("weather.tbl[",Q$1,"]")),MATCH(vp.tbl[[#This Row],[SDate]],weather.tbl[Date],0))</f>
        <v>-3.5</v>
      </c>
      <c r="R872" s="2">
        <f ca="1">INDEX(INDIRECT(_xlfn.CONCAT("weather.tbl[",R$1,"]")),MATCH(vp.tbl[[#This Row],[SDate]],weather.tbl[Date],0))</f>
        <v>-4.5</v>
      </c>
      <c r="S872" s="2">
        <f ca="1">INDEX(INDIRECT(_xlfn.CONCAT("weather.tbl[",S$1,"]")),MATCH(vp.tbl[[#This Row],[SDate]],weather.tbl[Date],0))</f>
        <v>-3.4</v>
      </c>
      <c r="T872" s="2">
        <f ca="1">INDEX(INDIRECT(_xlfn.CONCAT("weather.tbl[",T$1,"]")),MATCH(vp.tbl[[#This Row],[SDate]],weather.tbl[Date],0))</f>
        <v>-3.6</v>
      </c>
      <c r="U872" s="2">
        <f ca="1">INDEX(INDIRECT(_xlfn.CONCAT("weather.tbl[",U$1,"]")),MATCH(vp.tbl[[#This Row],[SDate]],weather.tbl[Date],0))</f>
        <v>-6</v>
      </c>
      <c r="V872" s="2">
        <v>482.21899999999999</v>
      </c>
      <c r="W872" t="s">
        <v>48</v>
      </c>
      <c r="X872">
        <f>IF(OR(vp.tbl[[#This Row],[Sulf]]="",vp.tbl[[#This Row],[Dens]]=""),1,0)</f>
        <v>0</v>
      </c>
      <c r="Y872">
        <f>IF(vp.tbl[[#This Row],[CrudeType]]="C5+",1,0)</f>
        <v>0</v>
      </c>
      <c r="Z872">
        <f>IF(AND(vp.tbl[[#This Row],[CrudeType]]="Crude",vp.tbl[[#This Row],[Dens]]&lt;=825,vp.tbl[[#This Row],[Sulf]]&gt;0.5,vp.tbl[[#This Row],[Unknown]]=0),1,0)</f>
        <v>0</v>
      </c>
      <c r="AA872">
        <f>IF(AND(vp.tbl[[#This Row],[CrudeType]]="Crude",vp.tbl[[#This Row],[Dens]]&lt;=825,vp.tbl[[#This Row],[Sulf]]&lt;=0.5,vp.tbl[[#This Row],[Unknown]]=0),1,0)</f>
        <v>0</v>
      </c>
      <c r="AB872">
        <f>IF(AND(vp.tbl[[#This Row],[CrudeType]]="Crude",vp.tbl[[#This Row],[Dens]]&gt;825,vp.tbl[[#This Row],[Dens]]&lt;=870,vp.tbl[[#This Row],[Sulf]]&gt;0.5,vp.tbl[[#This Row],[Unknown]]=0),1,0)</f>
        <v>0</v>
      </c>
      <c r="AC872">
        <f>IF(AND(vp.tbl[[#This Row],[CrudeType]]="Crude",vp.tbl[[#This Row],[Dens]]&gt;825,vp.tbl[[#This Row],[Dens]]&lt;=900,vp.tbl[[#This Row],[Sulf]]&lt;=0.5,vp.tbl[[#This Row],[Unknown]]=0),1,0)</f>
        <v>0</v>
      </c>
      <c r="AD872">
        <f>IF(AND(vp.tbl[[#This Row],[CrudeType]]="Crude",vp.tbl[[#This Row],[Dens]]&gt;870,vp.tbl[[#This Row],[Dens]]&lt;=900,vp.tbl[[#This Row],[Sulf]]&gt;0.5,vp.tbl[[#This Row],[Unknown]]=0),1,0)</f>
        <v>1</v>
      </c>
      <c r="AE872">
        <f>IF(AND(vp.tbl[[#This Row],[CrudeType]]="Crude",vp.tbl[[#This Row],[Dens]]&gt;900,vp.tbl[[#This Row],[Sulf]]&lt;=0.5,vp.tbl[[#This Row],[Unknown]]=0),1,0)</f>
        <v>0</v>
      </c>
      <c r="AF872">
        <f>IF(AND(vp.tbl[[#This Row],[CrudeType]]="Crude",vp.tbl[[#This Row],[Dens]]&gt;900,vp.tbl[[#This Row],[Sulf]]&lt;=0.5,vp.tbl[[#This Row],[Unknown]]=0),1,0)</f>
        <v>0</v>
      </c>
      <c r="AG872" t="str">
        <f>INDEX(vp.tbl[[#Headers],[Unknown]:[Heavy_SW]],MATCH(1,vp.tbl[[#This Row],[Unknown]:[Heavy_SW]],0))</f>
        <v>Midale</v>
      </c>
      <c r="AH872" t="e">
        <f>INDEX([1]!crudeBD.lkup[Number],MATCH(vp.tbl[[#This Row],[Crude_Breakdown]],[1]!crudeBD.lkup[Crude Breakdown],0))</f>
        <v>#REF!</v>
      </c>
      <c r="AI872">
        <f>MONTH(vp.tbl[[#This Row],[SDate]])</f>
        <v>2</v>
      </c>
      <c r="AJ872" s="5">
        <f>IFERROR(vp.tbl[[#This Row],[Sulf]]*vp.tbl[[#This Row],[Net Dens]],"")</f>
        <v>287641.70462400006</v>
      </c>
      <c r="AK872" s="5">
        <f>IFERROR(vp.tbl[[#This Row],[Dens]]*vp.tbl[[#This Row],[VolumeM3]],"")</f>
        <v>423002.50680000003</v>
      </c>
      <c r="AL872" s="5">
        <f>IFERROR(vp.tbl[[#This Row],[VP]]*vp.tbl[[#This Row],[VolumeM3]],"")</f>
        <v>23098.290099999998</v>
      </c>
      <c r="AM872" s="4">
        <f>IFERROR((vp.tbl[[#This Row],[VP]]-INDEX(crudeBD.lkup.complete[Mean_VP],MATCH(vp.tbl[[#This Row],[Crude_Breakdown]],crudeBD.lkup.complete[Crude Breakdown],0)))^2,"")</f>
        <v>413.64873146931939</v>
      </c>
      <c r="AN872" s="4">
        <f>IFERROR((vp.tbl[[#This Row],[Dens]]-INDEX(crudeBD.lkup.complete[Mean_Dens],MATCH(vp.tbl[[#This Row],[Crude_Breakdown]],crudeBD.lkup.complete[Crude Breakdown],0)))^2,"")</f>
        <v>0.12394257834466005</v>
      </c>
      <c r="AO872" s="4">
        <f>IFERROR((vp.tbl[[#This Row],[Sulf]]-INDEX(crudeBD.lkup.complete[Mean_Sulf],MATCH(vp.tbl[[#This Row],[Crude_Breakdown]],crudeBD.lkup.complete[Crude Breakdown],0)))^2,"")</f>
        <v>3.0114053910356304</v>
      </c>
      <c r="AP872">
        <f>IF(AND(vp.tbl[[#This Row],[SDate]]&gt;=DATE(YEAR(vp.tbl[[#This Row],[SDate]]),5,1),vp.tbl[[#This Row],[SDate]]&lt;=DATE(YEAR(vp.tbl[[#This Row],[SDate]]),9,15)),1,0)</f>
        <v>0</v>
      </c>
      <c r="AQ872" s="15">
        <f>IF(vp.tbl[[#This Row],[SDate]]&lt;DATE(2016,12,1),0,1)</f>
        <v>1</v>
      </c>
    </row>
    <row r="873" spans="1:43" x14ac:dyDescent="0.25">
      <c r="A873">
        <v>872</v>
      </c>
      <c r="B873" t="s">
        <v>62</v>
      </c>
      <c r="C873" t="s">
        <v>62</v>
      </c>
      <c r="D873" t="s">
        <v>63</v>
      </c>
      <c r="F873" s="1">
        <v>42790</v>
      </c>
      <c r="G873" s="2">
        <v>118.9</v>
      </c>
      <c r="H873" s="2"/>
      <c r="I873" s="2">
        <v>1.53</v>
      </c>
      <c r="J873" s="2">
        <v>9.5</v>
      </c>
      <c r="K873" s="2">
        <v>-4</v>
      </c>
      <c r="L873" s="2">
        <v>832.6</v>
      </c>
      <c r="M873" s="2">
        <v>832.6</v>
      </c>
      <c r="N873" s="2">
        <f ca="1">INDEX(INDIRECT(_xlfn.CONCAT("weather.tbl[",N$1,"]")),MATCH(vp.tbl[[#This Row],[SDate]],weather.tbl[Date],0))</f>
        <v>-6.7</v>
      </c>
      <c r="O873" s="2">
        <f ca="1">INDEX(INDIRECT(_xlfn.CONCAT("weather.tbl[",O$1,"]")),MATCH(vp.tbl[[#This Row],[SDate]],weather.tbl[Date],0))</f>
        <v>-1.5095238095238095</v>
      </c>
      <c r="P873" s="2">
        <f ca="1">INDEX(INDIRECT(_xlfn.CONCAT("weather.tbl[",P$1,"]")),MATCH(vp.tbl[[#This Row],[SDate]],weather.tbl[Date],0))</f>
        <v>-6.9</v>
      </c>
      <c r="Q873" s="2">
        <f ca="1">INDEX(INDIRECT(_xlfn.CONCAT("weather.tbl[",Q$1,"]")),MATCH(vp.tbl[[#This Row],[SDate]],weather.tbl[Date],0))</f>
        <v>-5</v>
      </c>
      <c r="R873" s="2">
        <f ca="1">INDEX(INDIRECT(_xlfn.CONCAT("weather.tbl[",R$1,"]")),MATCH(vp.tbl[[#This Row],[SDate]],weather.tbl[Date],0))</f>
        <v>-8.3000000000000007</v>
      </c>
      <c r="S873" s="2">
        <f ca="1">INDEX(INDIRECT(_xlfn.CONCAT("weather.tbl[",S$1,"]")),MATCH(vp.tbl[[#This Row],[SDate]],weather.tbl[Date],0))</f>
        <v>-4.2</v>
      </c>
      <c r="T873" s="2">
        <f ca="1">INDEX(INDIRECT(_xlfn.CONCAT("weather.tbl[",T$1,"]")),MATCH(vp.tbl[[#This Row],[SDate]],weather.tbl[Date],0))</f>
        <v>-10</v>
      </c>
      <c r="U873" s="2">
        <f ca="1">INDEX(INDIRECT(_xlfn.CONCAT("weather.tbl[",U$1,"]")),MATCH(vp.tbl[[#This Row],[SDate]],weather.tbl[Date],0))</f>
        <v>-5.8</v>
      </c>
      <c r="V873" s="2">
        <v>4978.7389999999996</v>
      </c>
      <c r="W873" t="s">
        <v>48</v>
      </c>
      <c r="X873">
        <f>IF(OR(vp.tbl[[#This Row],[Sulf]]="",vp.tbl[[#This Row],[Dens]]=""),1,0)</f>
        <v>0</v>
      </c>
      <c r="Y873">
        <f>IF(vp.tbl[[#This Row],[CrudeType]]="C5+",1,0)</f>
        <v>0</v>
      </c>
      <c r="Z873">
        <f>IF(AND(vp.tbl[[#This Row],[CrudeType]]="Crude",vp.tbl[[#This Row],[Dens]]&lt;=825,vp.tbl[[#This Row],[Sulf]]&gt;0.5,vp.tbl[[#This Row],[Unknown]]=0),1,0)</f>
        <v>0</v>
      </c>
      <c r="AA873">
        <f>IF(AND(vp.tbl[[#This Row],[CrudeType]]="Crude",vp.tbl[[#This Row],[Dens]]&lt;=825,vp.tbl[[#This Row],[Sulf]]&lt;=0.5,vp.tbl[[#This Row],[Unknown]]=0),1,0)</f>
        <v>0</v>
      </c>
      <c r="AB873">
        <f>IF(AND(vp.tbl[[#This Row],[CrudeType]]="Crude",vp.tbl[[#This Row],[Dens]]&gt;825,vp.tbl[[#This Row],[Dens]]&lt;=870,vp.tbl[[#This Row],[Sulf]]&gt;0.5,vp.tbl[[#This Row],[Unknown]]=0),1,0)</f>
        <v>1</v>
      </c>
      <c r="AC873">
        <f>IF(AND(vp.tbl[[#This Row],[CrudeType]]="Crude",vp.tbl[[#This Row],[Dens]]&gt;825,vp.tbl[[#This Row],[Dens]]&lt;=900,vp.tbl[[#This Row],[Sulf]]&lt;=0.5,vp.tbl[[#This Row],[Unknown]]=0),1,0)</f>
        <v>0</v>
      </c>
      <c r="AD873">
        <f>IF(AND(vp.tbl[[#This Row],[CrudeType]]="Crude",vp.tbl[[#This Row],[Dens]]&gt;870,vp.tbl[[#This Row],[Dens]]&lt;=900,vp.tbl[[#This Row],[Sulf]]&gt;0.5,vp.tbl[[#This Row],[Unknown]]=0),1,0)</f>
        <v>0</v>
      </c>
      <c r="AE873">
        <f>IF(AND(vp.tbl[[#This Row],[CrudeType]]="Crude",vp.tbl[[#This Row],[Dens]]&gt;900,vp.tbl[[#This Row],[Sulf]]&lt;=0.5,vp.tbl[[#This Row],[Unknown]]=0),1,0)</f>
        <v>0</v>
      </c>
      <c r="AF873">
        <f>IF(AND(vp.tbl[[#This Row],[CrudeType]]="Crude",vp.tbl[[#This Row],[Dens]]&gt;900,vp.tbl[[#This Row],[Sulf]]&lt;=0.5,vp.tbl[[#This Row],[Unknown]]=0),1,0)</f>
        <v>0</v>
      </c>
      <c r="AG873" t="str">
        <f>INDEX(vp.tbl[[#Headers],[Unknown]:[Heavy_SW]],MATCH(1,vp.tbl[[#This Row],[Unknown]:[Heavy_SW]],0))</f>
        <v>Medium_LSB</v>
      </c>
      <c r="AH873" t="e">
        <f>INDEX([1]!crudeBD.lkup[Number],MATCH(vp.tbl[[#This Row],[Crude_Breakdown]],[1]!crudeBD.lkup[Crude Breakdown],0))</f>
        <v>#REF!</v>
      </c>
      <c r="AI873">
        <f>MONTH(vp.tbl[[#This Row],[SDate]])</f>
        <v>2</v>
      </c>
      <c r="AJ873" s="5">
        <f>IFERROR(vp.tbl[[#This Row],[Sulf]]*vp.tbl[[#This Row],[Net Dens]],"")</f>
        <v>6342306.0798420003</v>
      </c>
      <c r="AK873" s="5">
        <f>IFERROR(vp.tbl[[#This Row],[Dens]]*vp.tbl[[#This Row],[VolumeM3]],"")</f>
        <v>4145298.0913999998</v>
      </c>
      <c r="AL873" s="5">
        <f>IFERROR(vp.tbl[[#This Row],[VP]]*vp.tbl[[#This Row],[VolumeM3]],"")</f>
        <v>591972.06709999999</v>
      </c>
      <c r="AM873" s="4">
        <f>IFERROR((vp.tbl[[#This Row],[VP]]-INDEX(crudeBD.lkup.complete[Mean_VP],MATCH(vp.tbl[[#This Row],[Crude_Breakdown]],crudeBD.lkup.complete[Crude Breakdown],0)))^2,"")</f>
        <v>1499.7344491261049</v>
      </c>
      <c r="AN873" s="4">
        <f>IFERROR((vp.tbl[[#This Row],[Dens]]-INDEX(crudeBD.lkup.complete[Mean_Dens],MATCH(vp.tbl[[#This Row],[Crude_Breakdown]],crudeBD.lkup.complete[Crude Breakdown],0)))^2,"")</f>
        <v>161.08236560099991</v>
      </c>
      <c r="AO873" s="4">
        <f>IFERROR((vp.tbl[[#This Row],[Sulf]]-INDEX(crudeBD.lkup.complete[Mean_Sulf],MATCH(vp.tbl[[#This Row],[Crude_Breakdown]],crudeBD.lkup.complete[Crude Breakdown],0)))^2,"")</f>
        <v>5.6355258055887899E-3</v>
      </c>
      <c r="AP873">
        <f>IF(AND(vp.tbl[[#This Row],[SDate]]&gt;=DATE(YEAR(vp.tbl[[#This Row],[SDate]]),5,1),vp.tbl[[#This Row],[SDate]]&lt;=DATE(YEAR(vp.tbl[[#This Row],[SDate]]),9,15)),1,0)</f>
        <v>0</v>
      </c>
      <c r="AQ873" s="15">
        <f>IF(vp.tbl[[#This Row],[SDate]]&lt;DATE(2016,12,1),0,1)</f>
        <v>1</v>
      </c>
    </row>
    <row r="874" spans="1:43" x14ac:dyDescent="0.25">
      <c r="A874">
        <v>873</v>
      </c>
      <c r="B874" t="s">
        <v>49</v>
      </c>
      <c r="C874" t="s">
        <v>49</v>
      </c>
      <c r="D874" t="s">
        <v>152</v>
      </c>
      <c r="F874" s="1">
        <v>42791</v>
      </c>
      <c r="G874" s="2">
        <v>67.2</v>
      </c>
      <c r="H874" s="2">
        <v>0.96</v>
      </c>
      <c r="I874" s="2">
        <v>0.96</v>
      </c>
      <c r="J874" s="2">
        <v>17</v>
      </c>
      <c r="K874" s="2">
        <v>-8</v>
      </c>
      <c r="L874" s="2">
        <v>839.8</v>
      </c>
      <c r="M874" s="2">
        <v>839.8</v>
      </c>
      <c r="N874" s="2">
        <f ca="1">INDEX(INDIRECT(_xlfn.CONCAT("weather.tbl[",N$1,"]")),MATCH(vp.tbl[[#This Row],[SDate]],weather.tbl[Date],0))</f>
        <v>-11.833333333333334</v>
      </c>
      <c r="O874" s="2">
        <f ca="1">INDEX(INDIRECT(_xlfn.CONCAT("weather.tbl[",O$1,"]")),MATCH(vp.tbl[[#This Row],[SDate]],weather.tbl[Date],0))</f>
        <v>-3.1214285714285714</v>
      </c>
      <c r="P874" s="2">
        <f ca="1">INDEX(INDIRECT(_xlfn.CONCAT("weather.tbl[",P$1,"]")),MATCH(vp.tbl[[#This Row],[SDate]],weather.tbl[Date],0))</f>
        <v>-12.3</v>
      </c>
      <c r="Q874" s="2">
        <f ca="1">INDEX(INDIRECT(_xlfn.CONCAT("weather.tbl[",Q$1,"]")),MATCH(vp.tbl[[#This Row],[SDate]],weather.tbl[Date],0))</f>
        <v>-11.9</v>
      </c>
      <c r="R874" s="2">
        <f ca="1">INDEX(INDIRECT(_xlfn.CONCAT("weather.tbl[",R$1,"]")),MATCH(vp.tbl[[#This Row],[SDate]],weather.tbl[Date],0))</f>
        <v>-10</v>
      </c>
      <c r="S874" s="2">
        <f ca="1">INDEX(INDIRECT(_xlfn.CONCAT("weather.tbl[",S$1,"]")),MATCH(vp.tbl[[#This Row],[SDate]],weather.tbl[Date],0))</f>
        <v>-11.3</v>
      </c>
      <c r="T874" s="2">
        <f ca="1">INDEX(INDIRECT(_xlfn.CONCAT("weather.tbl[",T$1,"]")),MATCH(vp.tbl[[#This Row],[SDate]],weather.tbl[Date],0))</f>
        <v>-13.5</v>
      </c>
      <c r="U874" s="2">
        <f ca="1">INDEX(INDIRECT(_xlfn.CONCAT("weather.tbl[",U$1,"]")),MATCH(vp.tbl[[#This Row],[SDate]],weather.tbl[Date],0))</f>
        <v>-12</v>
      </c>
      <c r="V874" s="2">
        <v>665.44299999999998</v>
      </c>
      <c r="W874" t="s">
        <v>48</v>
      </c>
      <c r="X874">
        <f>IF(OR(vp.tbl[[#This Row],[Sulf]]="",vp.tbl[[#This Row],[Dens]]=""),1,0)</f>
        <v>0</v>
      </c>
      <c r="Y874">
        <f>IF(vp.tbl[[#This Row],[CrudeType]]="C5+",1,0)</f>
        <v>0</v>
      </c>
      <c r="Z874">
        <f>IF(AND(vp.tbl[[#This Row],[CrudeType]]="Crude",vp.tbl[[#This Row],[Dens]]&lt;=825,vp.tbl[[#This Row],[Sulf]]&gt;0.5,vp.tbl[[#This Row],[Unknown]]=0),1,0)</f>
        <v>0</v>
      </c>
      <c r="AA874">
        <f>IF(AND(vp.tbl[[#This Row],[CrudeType]]="Crude",vp.tbl[[#This Row],[Dens]]&lt;=825,vp.tbl[[#This Row],[Sulf]]&lt;=0.5,vp.tbl[[#This Row],[Unknown]]=0),1,0)</f>
        <v>0</v>
      </c>
      <c r="AB874">
        <f>IF(AND(vp.tbl[[#This Row],[CrudeType]]="Crude",vp.tbl[[#This Row],[Dens]]&gt;825,vp.tbl[[#This Row],[Dens]]&lt;=870,vp.tbl[[#This Row],[Sulf]]&gt;0.5,vp.tbl[[#This Row],[Unknown]]=0),1,0)</f>
        <v>1</v>
      </c>
      <c r="AC874">
        <f>IF(AND(vp.tbl[[#This Row],[CrudeType]]="Crude",vp.tbl[[#This Row],[Dens]]&gt;825,vp.tbl[[#This Row],[Dens]]&lt;=900,vp.tbl[[#This Row],[Sulf]]&lt;=0.5,vp.tbl[[#This Row],[Unknown]]=0),1,0)</f>
        <v>0</v>
      </c>
      <c r="AD874">
        <f>IF(AND(vp.tbl[[#This Row],[CrudeType]]="Crude",vp.tbl[[#This Row],[Dens]]&gt;870,vp.tbl[[#This Row],[Dens]]&lt;=900,vp.tbl[[#This Row],[Sulf]]&gt;0.5,vp.tbl[[#This Row],[Unknown]]=0),1,0)</f>
        <v>0</v>
      </c>
      <c r="AE874">
        <f>IF(AND(vp.tbl[[#This Row],[CrudeType]]="Crude",vp.tbl[[#This Row],[Dens]]&gt;900,vp.tbl[[#This Row],[Sulf]]&lt;=0.5,vp.tbl[[#This Row],[Unknown]]=0),1,0)</f>
        <v>0</v>
      </c>
      <c r="AF874">
        <f>IF(AND(vp.tbl[[#This Row],[CrudeType]]="Crude",vp.tbl[[#This Row],[Dens]]&gt;900,vp.tbl[[#This Row],[Sulf]]&lt;=0.5,vp.tbl[[#This Row],[Unknown]]=0),1,0)</f>
        <v>0</v>
      </c>
      <c r="AG874" t="str">
        <f>INDEX(vp.tbl[[#Headers],[Unknown]:[Heavy_SW]],MATCH(1,vp.tbl[[#This Row],[Unknown]:[Heavy_SW]],0))</f>
        <v>Medium_LSB</v>
      </c>
      <c r="AH874" t="e">
        <f>INDEX([1]!crudeBD.lkup[Number],MATCH(vp.tbl[[#This Row],[Crude_Breakdown]],[1]!crudeBD.lkup[Crude Breakdown],0))</f>
        <v>#REF!</v>
      </c>
      <c r="AI874">
        <f>MONTH(vp.tbl[[#This Row],[SDate]])</f>
        <v>2</v>
      </c>
      <c r="AJ874" s="5">
        <f>IFERROR(vp.tbl[[#This Row],[Sulf]]*vp.tbl[[#This Row],[Net Dens]],"")</f>
        <v>536485.4701439999</v>
      </c>
      <c r="AK874" s="5">
        <f>IFERROR(vp.tbl[[#This Row],[Dens]]*vp.tbl[[#This Row],[VolumeM3]],"")</f>
        <v>558839.03139999998</v>
      </c>
      <c r="AL874" s="5">
        <f>IFERROR(vp.tbl[[#This Row],[VP]]*vp.tbl[[#This Row],[VolumeM3]],"")</f>
        <v>44717.7696</v>
      </c>
      <c r="AM874" s="4">
        <f>IFERROR((vp.tbl[[#This Row],[VP]]-INDEX(crudeBD.lkup.complete[Mean_VP],MATCH(vp.tbl[[#This Row],[Crude_Breakdown]],crudeBD.lkup.complete[Crude Breakdown],0)))^2,"")</f>
        <v>168.31416558179677</v>
      </c>
      <c r="AN874" s="4">
        <f>IFERROR((vp.tbl[[#This Row],[Dens]]-INDEX(crudeBD.lkup.complete[Mean_Dens],MATCH(vp.tbl[[#This Row],[Crude_Breakdown]],crudeBD.lkup.complete[Crude Breakdown],0)))^2,"")</f>
        <v>30.160117499749337</v>
      </c>
      <c r="AO874" s="4">
        <f>IFERROR((vp.tbl[[#This Row],[Sulf]]-INDEX(crudeBD.lkup.complete[Mean_Sulf],MATCH(vp.tbl[[#This Row],[Crude_Breakdown]],crudeBD.lkup.complete[Crude Breakdown],0)))^2,"")</f>
        <v>0.2449555670714133</v>
      </c>
      <c r="AP874">
        <f>IF(AND(vp.tbl[[#This Row],[SDate]]&gt;=DATE(YEAR(vp.tbl[[#This Row],[SDate]]),5,1),vp.tbl[[#This Row],[SDate]]&lt;=DATE(YEAR(vp.tbl[[#This Row],[SDate]]),9,15)),1,0)</f>
        <v>0</v>
      </c>
      <c r="AQ874" s="15">
        <f>IF(vp.tbl[[#This Row],[SDate]]&lt;DATE(2016,12,1),0,1)</f>
        <v>1</v>
      </c>
    </row>
    <row r="875" spans="1:43" x14ac:dyDescent="0.25">
      <c r="A875">
        <v>874</v>
      </c>
      <c r="B875" t="s">
        <v>49</v>
      </c>
      <c r="C875" t="s">
        <v>49</v>
      </c>
      <c r="D875" t="s">
        <v>174</v>
      </c>
      <c r="F875" s="1">
        <v>42791</v>
      </c>
      <c r="G875" s="2">
        <v>88.3</v>
      </c>
      <c r="H875" s="2">
        <v>1.0640000000000001</v>
      </c>
      <c r="I875" s="2">
        <v>1.0640000000000001</v>
      </c>
      <c r="J875" s="2">
        <v>15.6</v>
      </c>
      <c r="K875" s="2">
        <v>-8</v>
      </c>
      <c r="L875" s="2">
        <v>837.9</v>
      </c>
      <c r="M875" s="2">
        <v>837.9</v>
      </c>
      <c r="N875" s="2">
        <f ca="1">INDEX(INDIRECT(_xlfn.CONCAT("weather.tbl[",N$1,"]")),MATCH(vp.tbl[[#This Row],[SDate]],weather.tbl[Date],0))</f>
        <v>-11.833333333333334</v>
      </c>
      <c r="O875" s="2">
        <f ca="1">INDEX(INDIRECT(_xlfn.CONCAT("weather.tbl[",O$1,"]")),MATCH(vp.tbl[[#This Row],[SDate]],weather.tbl[Date],0))</f>
        <v>-3.1214285714285714</v>
      </c>
      <c r="P875" s="2">
        <f ca="1">INDEX(INDIRECT(_xlfn.CONCAT("weather.tbl[",P$1,"]")),MATCH(vp.tbl[[#This Row],[SDate]],weather.tbl[Date],0))</f>
        <v>-12.3</v>
      </c>
      <c r="Q875" s="2">
        <f ca="1">INDEX(INDIRECT(_xlfn.CONCAT("weather.tbl[",Q$1,"]")),MATCH(vp.tbl[[#This Row],[SDate]],weather.tbl[Date],0))</f>
        <v>-11.9</v>
      </c>
      <c r="R875" s="2">
        <f ca="1">INDEX(INDIRECT(_xlfn.CONCAT("weather.tbl[",R$1,"]")),MATCH(vp.tbl[[#This Row],[SDate]],weather.tbl[Date],0))</f>
        <v>-10</v>
      </c>
      <c r="S875" s="2">
        <f ca="1">INDEX(INDIRECT(_xlfn.CONCAT("weather.tbl[",S$1,"]")),MATCH(vp.tbl[[#This Row],[SDate]],weather.tbl[Date],0))</f>
        <v>-11.3</v>
      </c>
      <c r="T875" s="2">
        <f ca="1">INDEX(INDIRECT(_xlfn.CONCAT("weather.tbl[",T$1,"]")),MATCH(vp.tbl[[#This Row],[SDate]],weather.tbl[Date],0))</f>
        <v>-13.5</v>
      </c>
      <c r="U875" s="2">
        <f ca="1">INDEX(INDIRECT(_xlfn.CONCAT("weather.tbl[",U$1,"]")),MATCH(vp.tbl[[#This Row],[SDate]],weather.tbl[Date],0))</f>
        <v>-12</v>
      </c>
      <c r="V875" s="2">
        <v>980.71600000000001</v>
      </c>
      <c r="W875" t="s">
        <v>48</v>
      </c>
      <c r="X875">
        <f>IF(OR(vp.tbl[[#This Row],[Sulf]]="",vp.tbl[[#This Row],[Dens]]=""),1,0)</f>
        <v>0</v>
      </c>
      <c r="Y875">
        <f>IF(vp.tbl[[#This Row],[CrudeType]]="C5+",1,0)</f>
        <v>0</v>
      </c>
      <c r="Z875">
        <f>IF(AND(vp.tbl[[#This Row],[CrudeType]]="Crude",vp.tbl[[#This Row],[Dens]]&lt;=825,vp.tbl[[#This Row],[Sulf]]&gt;0.5,vp.tbl[[#This Row],[Unknown]]=0),1,0)</f>
        <v>0</v>
      </c>
      <c r="AA875">
        <f>IF(AND(vp.tbl[[#This Row],[CrudeType]]="Crude",vp.tbl[[#This Row],[Dens]]&lt;=825,vp.tbl[[#This Row],[Sulf]]&lt;=0.5,vp.tbl[[#This Row],[Unknown]]=0),1,0)</f>
        <v>0</v>
      </c>
      <c r="AB875">
        <f>IF(AND(vp.tbl[[#This Row],[CrudeType]]="Crude",vp.tbl[[#This Row],[Dens]]&gt;825,vp.tbl[[#This Row],[Dens]]&lt;=870,vp.tbl[[#This Row],[Sulf]]&gt;0.5,vp.tbl[[#This Row],[Unknown]]=0),1,0)</f>
        <v>1</v>
      </c>
      <c r="AC875">
        <f>IF(AND(vp.tbl[[#This Row],[CrudeType]]="Crude",vp.tbl[[#This Row],[Dens]]&gt;825,vp.tbl[[#This Row],[Dens]]&lt;=900,vp.tbl[[#This Row],[Sulf]]&lt;=0.5,vp.tbl[[#This Row],[Unknown]]=0),1,0)</f>
        <v>0</v>
      </c>
      <c r="AD875">
        <f>IF(AND(vp.tbl[[#This Row],[CrudeType]]="Crude",vp.tbl[[#This Row],[Dens]]&gt;870,vp.tbl[[#This Row],[Dens]]&lt;=900,vp.tbl[[#This Row],[Sulf]]&gt;0.5,vp.tbl[[#This Row],[Unknown]]=0),1,0)</f>
        <v>0</v>
      </c>
      <c r="AE875">
        <f>IF(AND(vp.tbl[[#This Row],[CrudeType]]="Crude",vp.tbl[[#This Row],[Dens]]&gt;900,vp.tbl[[#This Row],[Sulf]]&lt;=0.5,vp.tbl[[#This Row],[Unknown]]=0),1,0)</f>
        <v>0</v>
      </c>
      <c r="AF875">
        <f>IF(AND(vp.tbl[[#This Row],[CrudeType]]="Crude",vp.tbl[[#This Row],[Dens]]&gt;900,vp.tbl[[#This Row],[Sulf]]&lt;=0.5,vp.tbl[[#This Row],[Unknown]]=0),1,0)</f>
        <v>0</v>
      </c>
      <c r="AG875" t="str">
        <f>INDEX(vp.tbl[[#Headers],[Unknown]:[Heavy_SW]],MATCH(1,vp.tbl[[#This Row],[Unknown]:[Heavy_SW]],0))</f>
        <v>Medium_LSB</v>
      </c>
      <c r="AH875" t="e">
        <f>INDEX([1]!crudeBD.lkup[Number],MATCH(vp.tbl[[#This Row],[Crude_Breakdown]],[1]!crudeBD.lkup[Crude Breakdown],0))</f>
        <v>#REF!</v>
      </c>
      <c r="AI875">
        <f>MONTH(vp.tbl[[#This Row],[SDate]])</f>
        <v>2</v>
      </c>
      <c r="AJ875" s="5">
        <f>IFERROR(vp.tbl[[#This Row],[Sulf]]*vp.tbl[[#This Row],[Net Dens]],"")</f>
        <v>874333.42032960011</v>
      </c>
      <c r="AK875" s="5">
        <f>IFERROR(vp.tbl[[#This Row],[Dens]]*vp.tbl[[#This Row],[VolumeM3]],"")</f>
        <v>821741.93640000001</v>
      </c>
      <c r="AL875" s="5">
        <f>IFERROR(vp.tbl[[#This Row],[VP]]*vp.tbl[[#This Row],[VolumeM3]],"")</f>
        <v>86597.222800000003</v>
      </c>
      <c r="AM875" s="4">
        <f>IFERROR((vp.tbl[[#This Row],[VP]]-INDEX(crudeBD.lkup.complete[Mean_VP],MATCH(vp.tbl[[#This Row],[Crude_Breakdown]],crudeBD.lkup.complete[Crude Breakdown],0)))^2,"")</f>
        <v>66.038459252684419</v>
      </c>
      <c r="AN875" s="4">
        <f>IFERROR((vp.tbl[[#This Row],[Dens]]-INDEX(crudeBD.lkup.complete[Mean_Dens],MATCH(vp.tbl[[#This Row],[Crude_Breakdown]],crudeBD.lkup.complete[Crude Breakdown],0)))^2,"")</f>
        <v>54.639044082023915</v>
      </c>
      <c r="AO875" s="4">
        <f>IFERROR((vp.tbl[[#This Row],[Sulf]]-INDEX(crudeBD.lkup.complete[Mean_Sulf],MATCH(vp.tbl[[#This Row],[Crude_Breakdown]],crudeBD.lkup.complete[Crude Breakdown],0)))^2,"")</f>
        <v>0.15282615603343822</v>
      </c>
      <c r="AP875">
        <f>IF(AND(vp.tbl[[#This Row],[SDate]]&gt;=DATE(YEAR(vp.tbl[[#This Row],[SDate]]),5,1),vp.tbl[[#This Row],[SDate]]&lt;=DATE(YEAR(vp.tbl[[#This Row],[SDate]]),9,15)),1,0)</f>
        <v>0</v>
      </c>
      <c r="AQ875" s="15">
        <f>IF(vp.tbl[[#This Row],[SDate]]&lt;DATE(2016,12,1),0,1)</f>
        <v>1</v>
      </c>
    </row>
    <row r="876" spans="1:43" x14ac:dyDescent="0.25">
      <c r="A876">
        <v>875</v>
      </c>
      <c r="B876" t="s">
        <v>49</v>
      </c>
      <c r="C876" t="s">
        <v>49</v>
      </c>
      <c r="D876" t="s">
        <v>175</v>
      </c>
      <c r="F876" s="1">
        <v>42791</v>
      </c>
      <c r="G876" s="2">
        <v>78.8</v>
      </c>
      <c r="H876" s="2">
        <v>1.502</v>
      </c>
      <c r="I876" s="2">
        <v>1.502</v>
      </c>
      <c r="J876" s="2">
        <v>13.8</v>
      </c>
      <c r="K876" s="2">
        <v>-8</v>
      </c>
      <c r="L876" s="2">
        <v>849.8</v>
      </c>
      <c r="M876" s="2">
        <v>849.8</v>
      </c>
      <c r="N876" s="2">
        <f ca="1">INDEX(INDIRECT(_xlfn.CONCAT("weather.tbl[",N$1,"]")),MATCH(vp.tbl[[#This Row],[SDate]],weather.tbl[Date],0))</f>
        <v>-11.833333333333334</v>
      </c>
      <c r="O876" s="2">
        <f ca="1">INDEX(INDIRECT(_xlfn.CONCAT("weather.tbl[",O$1,"]")),MATCH(vp.tbl[[#This Row],[SDate]],weather.tbl[Date],0))</f>
        <v>-3.1214285714285714</v>
      </c>
      <c r="P876" s="2">
        <f ca="1">INDEX(INDIRECT(_xlfn.CONCAT("weather.tbl[",P$1,"]")),MATCH(vp.tbl[[#This Row],[SDate]],weather.tbl[Date],0))</f>
        <v>-12.3</v>
      </c>
      <c r="Q876" s="2">
        <f ca="1">INDEX(INDIRECT(_xlfn.CONCAT("weather.tbl[",Q$1,"]")),MATCH(vp.tbl[[#This Row],[SDate]],weather.tbl[Date],0))</f>
        <v>-11.9</v>
      </c>
      <c r="R876" s="2">
        <f ca="1">INDEX(INDIRECT(_xlfn.CONCAT("weather.tbl[",R$1,"]")),MATCH(vp.tbl[[#This Row],[SDate]],weather.tbl[Date],0))</f>
        <v>-10</v>
      </c>
      <c r="S876" s="2">
        <f ca="1">INDEX(INDIRECT(_xlfn.CONCAT("weather.tbl[",S$1,"]")),MATCH(vp.tbl[[#This Row],[SDate]],weather.tbl[Date],0))</f>
        <v>-11.3</v>
      </c>
      <c r="T876" s="2">
        <f ca="1">INDEX(INDIRECT(_xlfn.CONCAT("weather.tbl[",T$1,"]")),MATCH(vp.tbl[[#This Row],[SDate]],weather.tbl[Date],0))</f>
        <v>-13.5</v>
      </c>
      <c r="U876" s="2">
        <f ca="1">INDEX(INDIRECT(_xlfn.CONCAT("weather.tbl[",U$1,"]")),MATCH(vp.tbl[[#This Row],[SDate]],weather.tbl[Date],0))</f>
        <v>-12</v>
      </c>
      <c r="V876" s="2">
        <v>1571.3720000000001</v>
      </c>
      <c r="W876" t="s">
        <v>48</v>
      </c>
      <c r="X876">
        <f>IF(OR(vp.tbl[[#This Row],[Sulf]]="",vp.tbl[[#This Row],[Dens]]=""),1,0)</f>
        <v>0</v>
      </c>
      <c r="Y876">
        <f>IF(vp.tbl[[#This Row],[CrudeType]]="C5+",1,0)</f>
        <v>0</v>
      </c>
      <c r="Z876">
        <f>IF(AND(vp.tbl[[#This Row],[CrudeType]]="Crude",vp.tbl[[#This Row],[Dens]]&lt;=825,vp.tbl[[#This Row],[Sulf]]&gt;0.5,vp.tbl[[#This Row],[Unknown]]=0),1,0)</f>
        <v>0</v>
      </c>
      <c r="AA876">
        <f>IF(AND(vp.tbl[[#This Row],[CrudeType]]="Crude",vp.tbl[[#This Row],[Dens]]&lt;=825,vp.tbl[[#This Row],[Sulf]]&lt;=0.5,vp.tbl[[#This Row],[Unknown]]=0),1,0)</f>
        <v>0</v>
      </c>
      <c r="AB876">
        <f>IF(AND(vp.tbl[[#This Row],[CrudeType]]="Crude",vp.tbl[[#This Row],[Dens]]&gt;825,vp.tbl[[#This Row],[Dens]]&lt;=870,vp.tbl[[#This Row],[Sulf]]&gt;0.5,vp.tbl[[#This Row],[Unknown]]=0),1,0)</f>
        <v>1</v>
      </c>
      <c r="AC876">
        <f>IF(AND(vp.tbl[[#This Row],[CrudeType]]="Crude",vp.tbl[[#This Row],[Dens]]&gt;825,vp.tbl[[#This Row],[Dens]]&lt;=900,vp.tbl[[#This Row],[Sulf]]&lt;=0.5,vp.tbl[[#This Row],[Unknown]]=0),1,0)</f>
        <v>0</v>
      </c>
      <c r="AD876">
        <f>IF(AND(vp.tbl[[#This Row],[CrudeType]]="Crude",vp.tbl[[#This Row],[Dens]]&gt;870,vp.tbl[[#This Row],[Dens]]&lt;=900,vp.tbl[[#This Row],[Sulf]]&gt;0.5,vp.tbl[[#This Row],[Unknown]]=0),1,0)</f>
        <v>0</v>
      </c>
      <c r="AE876">
        <f>IF(AND(vp.tbl[[#This Row],[CrudeType]]="Crude",vp.tbl[[#This Row],[Dens]]&gt;900,vp.tbl[[#This Row],[Sulf]]&lt;=0.5,vp.tbl[[#This Row],[Unknown]]=0),1,0)</f>
        <v>0</v>
      </c>
      <c r="AF876">
        <f>IF(AND(vp.tbl[[#This Row],[CrudeType]]="Crude",vp.tbl[[#This Row],[Dens]]&gt;900,vp.tbl[[#This Row],[Sulf]]&lt;=0.5,vp.tbl[[#This Row],[Unknown]]=0),1,0)</f>
        <v>0</v>
      </c>
      <c r="AG876" t="str">
        <f>INDEX(vp.tbl[[#Headers],[Unknown]:[Heavy_SW]],MATCH(1,vp.tbl[[#This Row],[Unknown]:[Heavy_SW]],0))</f>
        <v>Medium_LSB</v>
      </c>
      <c r="AH876" t="e">
        <f>INDEX([1]!crudeBD.lkup[Number],MATCH(vp.tbl[[#This Row],[Crude_Breakdown]],[1]!crudeBD.lkup[Crude Breakdown],0))</f>
        <v>#REF!</v>
      </c>
      <c r="AI876">
        <f>MONTH(vp.tbl[[#This Row],[SDate]])</f>
        <v>2</v>
      </c>
      <c r="AJ876" s="5">
        <f>IFERROR(vp.tbl[[#This Row],[Sulf]]*vp.tbl[[#This Row],[Net Dens]],"")</f>
        <v>2005698.5922512</v>
      </c>
      <c r="AK876" s="5">
        <f>IFERROR(vp.tbl[[#This Row],[Dens]]*vp.tbl[[#This Row],[VolumeM3]],"")</f>
        <v>1335351.9256</v>
      </c>
      <c r="AL876" s="5">
        <f>IFERROR(vp.tbl[[#This Row],[VP]]*vp.tbl[[#This Row],[VolumeM3]],"")</f>
        <v>123824.1136</v>
      </c>
      <c r="AM876" s="4">
        <f>IFERROR((vp.tbl[[#This Row],[VP]]-INDEX(crudeBD.lkup.complete[Mean_VP],MATCH(vp.tbl[[#This Row],[Crude_Breakdown]],crudeBD.lkup.complete[Crude Breakdown],0)))^2,"")</f>
        <v>1.8867630501521258</v>
      </c>
      <c r="AN876" s="4">
        <f>IFERROR((vp.tbl[[#This Row],[Dens]]-INDEX(crudeBD.lkup.complete[Mean_Dens],MATCH(vp.tbl[[#This Row],[Crude_Breakdown]],crudeBD.lkup.complete[Crude Breakdown],0)))^2,"")</f>
        <v>20.323661803565589</v>
      </c>
      <c r="AO876" s="4">
        <f>IFERROR((vp.tbl[[#This Row],[Sulf]]-INDEX(crudeBD.lkup.complete[Mean_Sulf],MATCH(vp.tbl[[#This Row],[Crude_Breakdown]],crudeBD.lkup.complete[Crude Breakdown],0)))^2,"")</f>
        <v>2.2155980081205143E-3</v>
      </c>
      <c r="AP876">
        <f>IF(AND(vp.tbl[[#This Row],[SDate]]&gt;=DATE(YEAR(vp.tbl[[#This Row],[SDate]]),5,1),vp.tbl[[#This Row],[SDate]]&lt;=DATE(YEAR(vp.tbl[[#This Row],[SDate]]),9,15)),1,0)</f>
        <v>0</v>
      </c>
      <c r="AQ876" s="15">
        <f>IF(vp.tbl[[#This Row],[SDate]]&lt;DATE(2016,12,1),0,1)</f>
        <v>1</v>
      </c>
    </row>
    <row r="877" spans="1:43" x14ac:dyDescent="0.25">
      <c r="A877">
        <v>876</v>
      </c>
      <c r="B877" t="s">
        <v>51</v>
      </c>
      <c r="C877" t="s">
        <v>51</v>
      </c>
      <c r="D877" t="s">
        <v>66</v>
      </c>
      <c r="F877" s="1">
        <v>42791</v>
      </c>
      <c r="G877" s="2">
        <v>91.8</v>
      </c>
      <c r="H877" s="2"/>
      <c r="I877" s="2">
        <v>1.57</v>
      </c>
      <c r="J877" s="2">
        <v>13</v>
      </c>
      <c r="K877" s="2">
        <v>-8</v>
      </c>
      <c r="L877" s="2">
        <v>824.8</v>
      </c>
      <c r="M877" s="2">
        <v>824.8</v>
      </c>
      <c r="N877" s="2">
        <f ca="1">INDEX(INDIRECT(_xlfn.CONCAT("weather.tbl[",N$1,"]")),MATCH(vp.tbl[[#This Row],[SDate]],weather.tbl[Date],0))</f>
        <v>-11.833333333333334</v>
      </c>
      <c r="O877" s="2">
        <f ca="1">INDEX(INDIRECT(_xlfn.CONCAT("weather.tbl[",O$1,"]")),MATCH(vp.tbl[[#This Row],[SDate]],weather.tbl[Date],0))</f>
        <v>-3.1214285714285714</v>
      </c>
      <c r="P877" s="2">
        <f ca="1">INDEX(INDIRECT(_xlfn.CONCAT("weather.tbl[",P$1,"]")),MATCH(vp.tbl[[#This Row],[SDate]],weather.tbl[Date],0))</f>
        <v>-12.3</v>
      </c>
      <c r="Q877" s="2">
        <f ca="1">INDEX(INDIRECT(_xlfn.CONCAT("weather.tbl[",Q$1,"]")),MATCH(vp.tbl[[#This Row],[SDate]],weather.tbl[Date],0))</f>
        <v>-11.9</v>
      </c>
      <c r="R877" s="2">
        <f ca="1">INDEX(INDIRECT(_xlfn.CONCAT("weather.tbl[",R$1,"]")),MATCH(vp.tbl[[#This Row],[SDate]],weather.tbl[Date],0))</f>
        <v>-10</v>
      </c>
      <c r="S877" s="2">
        <f ca="1">INDEX(INDIRECT(_xlfn.CONCAT("weather.tbl[",S$1,"]")),MATCH(vp.tbl[[#This Row],[SDate]],weather.tbl[Date],0))</f>
        <v>-11.3</v>
      </c>
      <c r="T877" s="2">
        <f ca="1">INDEX(INDIRECT(_xlfn.CONCAT("weather.tbl[",T$1,"]")),MATCH(vp.tbl[[#This Row],[SDate]],weather.tbl[Date],0))</f>
        <v>-13.5</v>
      </c>
      <c r="U877" s="2">
        <f ca="1">INDEX(INDIRECT(_xlfn.CONCAT("weather.tbl[",U$1,"]")),MATCH(vp.tbl[[#This Row],[SDate]],weather.tbl[Date],0))</f>
        <v>-12</v>
      </c>
      <c r="V877" s="2">
        <v>3995.7719999999999</v>
      </c>
      <c r="W877" t="s">
        <v>48</v>
      </c>
      <c r="X877">
        <f>IF(OR(vp.tbl[[#This Row],[Sulf]]="",vp.tbl[[#This Row],[Dens]]=""),1,0)</f>
        <v>0</v>
      </c>
      <c r="Y877">
        <f>IF(vp.tbl[[#This Row],[CrudeType]]="C5+",1,0)</f>
        <v>0</v>
      </c>
      <c r="Z877">
        <f>IF(AND(vp.tbl[[#This Row],[CrudeType]]="Crude",vp.tbl[[#This Row],[Dens]]&lt;=825,vp.tbl[[#This Row],[Sulf]]&gt;0.5,vp.tbl[[#This Row],[Unknown]]=0),1,0)</f>
        <v>1</v>
      </c>
      <c r="AA877">
        <f>IF(AND(vp.tbl[[#This Row],[CrudeType]]="Crude",vp.tbl[[#This Row],[Dens]]&lt;=825,vp.tbl[[#This Row],[Sulf]]&lt;=0.5,vp.tbl[[#This Row],[Unknown]]=0),1,0)</f>
        <v>0</v>
      </c>
      <c r="AB877">
        <f>IF(AND(vp.tbl[[#This Row],[CrudeType]]="Crude",vp.tbl[[#This Row],[Dens]]&gt;825,vp.tbl[[#This Row],[Dens]]&lt;=870,vp.tbl[[#This Row],[Sulf]]&gt;0.5,vp.tbl[[#This Row],[Unknown]]=0),1,0)</f>
        <v>0</v>
      </c>
      <c r="AC877">
        <f>IF(AND(vp.tbl[[#This Row],[CrudeType]]="Crude",vp.tbl[[#This Row],[Dens]]&gt;825,vp.tbl[[#This Row],[Dens]]&lt;=900,vp.tbl[[#This Row],[Sulf]]&lt;=0.5,vp.tbl[[#This Row],[Unknown]]=0),1,0)</f>
        <v>0</v>
      </c>
      <c r="AD877">
        <f>IF(AND(vp.tbl[[#This Row],[CrudeType]]="Crude",vp.tbl[[#This Row],[Dens]]&gt;870,vp.tbl[[#This Row],[Dens]]&lt;=900,vp.tbl[[#This Row],[Sulf]]&gt;0.5,vp.tbl[[#This Row],[Unknown]]=0),1,0)</f>
        <v>0</v>
      </c>
      <c r="AE877">
        <f>IF(AND(vp.tbl[[#This Row],[CrudeType]]="Crude",vp.tbl[[#This Row],[Dens]]&gt;900,vp.tbl[[#This Row],[Sulf]]&lt;=0.5,vp.tbl[[#This Row],[Unknown]]=0),1,0)</f>
        <v>0</v>
      </c>
      <c r="AF877">
        <f>IF(AND(vp.tbl[[#This Row],[CrudeType]]="Crude",vp.tbl[[#This Row],[Dens]]&gt;900,vp.tbl[[#This Row],[Sulf]]&lt;=0.5,vp.tbl[[#This Row],[Unknown]]=0),1,0)</f>
        <v>0</v>
      </c>
      <c r="AG877" t="str">
        <f>INDEX(vp.tbl[[#Headers],[Unknown]:[Heavy_SW]],MATCH(1,vp.tbl[[#This Row],[Unknown]:[Heavy_SW]],0))</f>
        <v>Light_LSB</v>
      </c>
      <c r="AH877" t="e">
        <f>INDEX([1]!crudeBD.lkup[Number],MATCH(vp.tbl[[#This Row],[Crude_Breakdown]],[1]!crudeBD.lkup[Crude Breakdown],0))</f>
        <v>#REF!</v>
      </c>
      <c r="AI877">
        <f>MONTH(vp.tbl[[#This Row],[SDate]])</f>
        <v>2</v>
      </c>
      <c r="AJ877" s="5">
        <f>IFERROR(vp.tbl[[#This Row],[Sulf]]*vp.tbl[[#This Row],[Net Dens]],"")</f>
        <v>5174269.0105919996</v>
      </c>
      <c r="AK877" s="5">
        <f>IFERROR(vp.tbl[[#This Row],[Dens]]*vp.tbl[[#This Row],[VolumeM3]],"")</f>
        <v>3295712.7455999996</v>
      </c>
      <c r="AL877" s="5">
        <f>IFERROR(vp.tbl[[#This Row],[VP]]*vp.tbl[[#This Row],[VolumeM3]],"")</f>
        <v>366811.86959999998</v>
      </c>
      <c r="AM877" s="4">
        <f>IFERROR((vp.tbl[[#This Row],[VP]]-INDEX(crudeBD.lkup.complete[Mean_VP],MATCH(vp.tbl[[#This Row],[Crude_Breakdown]],crudeBD.lkup.complete[Crude Breakdown],0)))^2,"")</f>
        <v>6.4421766393860977E-2</v>
      </c>
      <c r="AN877" s="4">
        <f>IFERROR((vp.tbl[[#This Row],[Dens]]-INDEX(crudeBD.lkup.complete[Mean_Dens],MATCH(vp.tbl[[#This Row],[Crude_Breakdown]],crudeBD.lkup.complete[Crude Breakdown],0)))^2,"")</f>
        <v>39.478982255763228</v>
      </c>
      <c r="AO877" s="4">
        <f>IFERROR((vp.tbl[[#This Row],[Sulf]]-INDEX(crudeBD.lkup.complete[Mean_Sulf],MATCH(vp.tbl[[#This Row],[Crude_Breakdown]],crudeBD.lkup.complete[Crude Breakdown],0)))^2,"")</f>
        <v>0.41864630894122806</v>
      </c>
      <c r="AP877">
        <f>IF(AND(vp.tbl[[#This Row],[SDate]]&gt;=DATE(YEAR(vp.tbl[[#This Row],[SDate]]),5,1),vp.tbl[[#This Row],[SDate]]&lt;=DATE(YEAR(vp.tbl[[#This Row],[SDate]]),9,15)),1,0)</f>
        <v>0</v>
      </c>
      <c r="AQ877" s="15">
        <f>IF(vp.tbl[[#This Row],[SDate]]&lt;DATE(2016,12,1),0,1)</f>
        <v>1</v>
      </c>
    </row>
    <row r="878" spans="1:43" x14ac:dyDescent="0.25">
      <c r="A878">
        <v>877</v>
      </c>
      <c r="B878" t="s">
        <v>108</v>
      </c>
      <c r="C878" t="s">
        <v>108</v>
      </c>
      <c r="D878" t="s">
        <v>109</v>
      </c>
      <c r="F878" s="1">
        <v>42791</v>
      </c>
      <c r="G878" s="2">
        <v>87.5</v>
      </c>
      <c r="H878" s="2"/>
      <c r="I878" s="2">
        <v>0.77</v>
      </c>
      <c r="J878" s="2">
        <v>25</v>
      </c>
      <c r="K878" s="2">
        <v>-8</v>
      </c>
      <c r="L878" s="2">
        <v>834.3</v>
      </c>
      <c r="M878" s="2">
        <v>834.3</v>
      </c>
      <c r="N878" s="2">
        <f ca="1">INDEX(INDIRECT(_xlfn.CONCAT("weather.tbl[",N$1,"]")),MATCH(vp.tbl[[#This Row],[SDate]],weather.tbl[Date],0))</f>
        <v>-11.833333333333334</v>
      </c>
      <c r="O878" s="2">
        <f ca="1">INDEX(INDIRECT(_xlfn.CONCAT("weather.tbl[",O$1,"]")),MATCH(vp.tbl[[#This Row],[SDate]],weather.tbl[Date],0))</f>
        <v>-3.1214285714285714</v>
      </c>
      <c r="P878" s="2">
        <f ca="1">INDEX(INDIRECT(_xlfn.CONCAT("weather.tbl[",P$1,"]")),MATCH(vp.tbl[[#This Row],[SDate]],weather.tbl[Date],0))</f>
        <v>-12.3</v>
      </c>
      <c r="Q878" s="2">
        <f ca="1">INDEX(INDIRECT(_xlfn.CONCAT("weather.tbl[",Q$1,"]")),MATCH(vp.tbl[[#This Row],[SDate]],weather.tbl[Date],0))</f>
        <v>-11.9</v>
      </c>
      <c r="R878" s="2">
        <f ca="1">INDEX(INDIRECT(_xlfn.CONCAT("weather.tbl[",R$1,"]")),MATCH(vp.tbl[[#This Row],[SDate]],weather.tbl[Date],0))</f>
        <v>-10</v>
      </c>
      <c r="S878" s="2">
        <f ca="1">INDEX(INDIRECT(_xlfn.CONCAT("weather.tbl[",S$1,"]")),MATCH(vp.tbl[[#This Row],[SDate]],weather.tbl[Date],0))</f>
        <v>-11.3</v>
      </c>
      <c r="T878" s="2">
        <f ca="1">INDEX(INDIRECT(_xlfn.CONCAT("weather.tbl[",T$1,"]")),MATCH(vp.tbl[[#This Row],[SDate]],weather.tbl[Date],0))</f>
        <v>-13.5</v>
      </c>
      <c r="U878" s="2">
        <f ca="1">INDEX(INDIRECT(_xlfn.CONCAT("weather.tbl[",U$1,"]")),MATCH(vp.tbl[[#This Row],[SDate]],weather.tbl[Date],0))</f>
        <v>-12</v>
      </c>
      <c r="V878" s="2">
        <v>8446.2999999999993</v>
      </c>
      <c r="W878" t="s">
        <v>48</v>
      </c>
      <c r="X878">
        <f>IF(OR(vp.tbl[[#This Row],[Sulf]]="",vp.tbl[[#This Row],[Dens]]=""),1,0)</f>
        <v>0</v>
      </c>
      <c r="Y878">
        <f>IF(vp.tbl[[#This Row],[CrudeType]]="C5+",1,0)</f>
        <v>0</v>
      </c>
      <c r="Z878">
        <f>IF(AND(vp.tbl[[#This Row],[CrudeType]]="Crude",vp.tbl[[#This Row],[Dens]]&lt;=825,vp.tbl[[#This Row],[Sulf]]&gt;0.5,vp.tbl[[#This Row],[Unknown]]=0),1,0)</f>
        <v>0</v>
      </c>
      <c r="AA878">
        <f>IF(AND(vp.tbl[[#This Row],[CrudeType]]="Crude",vp.tbl[[#This Row],[Dens]]&lt;=825,vp.tbl[[#This Row],[Sulf]]&lt;=0.5,vp.tbl[[#This Row],[Unknown]]=0),1,0)</f>
        <v>0</v>
      </c>
      <c r="AB878">
        <f>IF(AND(vp.tbl[[#This Row],[CrudeType]]="Crude",vp.tbl[[#This Row],[Dens]]&gt;825,vp.tbl[[#This Row],[Dens]]&lt;=870,vp.tbl[[#This Row],[Sulf]]&gt;0.5,vp.tbl[[#This Row],[Unknown]]=0),1,0)</f>
        <v>1</v>
      </c>
      <c r="AC878">
        <f>IF(AND(vp.tbl[[#This Row],[CrudeType]]="Crude",vp.tbl[[#This Row],[Dens]]&gt;825,vp.tbl[[#This Row],[Dens]]&lt;=900,vp.tbl[[#This Row],[Sulf]]&lt;=0.5,vp.tbl[[#This Row],[Unknown]]=0),1,0)</f>
        <v>0</v>
      </c>
      <c r="AD878">
        <f>IF(AND(vp.tbl[[#This Row],[CrudeType]]="Crude",vp.tbl[[#This Row],[Dens]]&gt;870,vp.tbl[[#This Row],[Dens]]&lt;=900,vp.tbl[[#This Row],[Sulf]]&gt;0.5,vp.tbl[[#This Row],[Unknown]]=0),1,0)</f>
        <v>0</v>
      </c>
      <c r="AE878">
        <f>IF(AND(vp.tbl[[#This Row],[CrudeType]]="Crude",vp.tbl[[#This Row],[Dens]]&gt;900,vp.tbl[[#This Row],[Sulf]]&lt;=0.5,vp.tbl[[#This Row],[Unknown]]=0),1,0)</f>
        <v>0</v>
      </c>
      <c r="AF878">
        <f>IF(AND(vp.tbl[[#This Row],[CrudeType]]="Crude",vp.tbl[[#This Row],[Dens]]&gt;900,vp.tbl[[#This Row],[Sulf]]&lt;=0.5,vp.tbl[[#This Row],[Unknown]]=0),1,0)</f>
        <v>0</v>
      </c>
      <c r="AG878" t="str">
        <f>INDEX(vp.tbl[[#Headers],[Unknown]:[Heavy_SW]],MATCH(1,vp.tbl[[#This Row],[Unknown]:[Heavy_SW]],0))</f>
        <v>Medium_LSB</v>
      </c>
      <c r="AH878" t="e">
        <f>INDEX([1]!crudeBD.lkup[Number],MATCH(vp.tbl[[#This Row],[Crude_Breakdown]],[1]!crudeBD.lkup[Crude Breakdown],0))</f>
        <v>#REF!</v>
      </c>
      <c r="AI878">
        <f>MONTH(vp.tbl[[#This Row],[SDate]])</f>
        <v>2</v>
      </c>
      <c r="AJ878" s="5">
        <f>IFERROR(vp.tbl[[#This Row],[Sulf]]*vp.tbl[[#This Row],[Net Dens]],"")</f>
        <v>5425996.0292999996</v>
      </c>
      <c r="AK878" s="5">
        <f>IFERROR(vp.tbl[[#This Row],[Dens]]*vp.tbl[[#This Row],[VolumeM3]],"")</f>
        <v>7046748.0899999989</v>
      </c>
      <c r="AL878" s="5">
        <f>IFERROR(vp.tbl[[#This Row],[VP]]*vp.tbl[[#This Row],[VolumeM3]],"")</f>
        <v>739051.24999999988</v>
      </c>
      <c r="AM878" s="4">
        <f>IFERROR((vp.tbl[[#This Row],[VP]]-INDEX(crudeBD.lkup.complete[Mean_VP],MATCH(vp.tbl[[#This Row],[Crude_Breakdown]],crudeBD.lkup.complete[Crude Breakdown],0)))^2,"")</f>
        <v>53.676211151418585</v>
      </c>
      <c r="AN878" s="4">
        <f>IFERROR((vp.tbl[[#This Row],[Dens]]-INDEX(crudeBD.lkup.complete[Mean_Dens],MATCH(vp.tbl[[#This Row],[Crude_Breakdown]],crudeBD.lkup.complete[Crude Breakdown],0)))^2,"")</f>
        <v>120.82016813265039</v>
      </c>
      <c r="AO878" s="4">
        <f>IFERROR((vp.tbl[[#This Row],[Sulf]]-INDEX(crudeBD.lkup.complete[Mean_Sulf],MATCH(vp.tbl[[#This Row],[Crude_Breakdown]],crudeBD.lkup.complete[Crude Breakdown],0)))^2,"")</f>
        <v>0.46912891416002139</v>
      </c>
      <c r="AP878">
        <f>IF(AND(vp.tbl[[#This Row],[SDate]]&gt;=DATE(YEAR(vp.tbl[[#This Row],[SDate]]),5,1),vp.tbl[[#This Row],[SDate]]&lt;=DATE(YEAR(vp.tbl[[#This Row],[SDate]]),9,15)),1,0)</f>
        <v>0</v>
      </c>
      <c r="AQ878" s="15">
        <f>IF(vp.tbl[[#This Row],[SDate]]&lt;DATE(2016,12,1),0,1)</f>
        <v>1</v>
      </c>
    </row>
    <row r="879" spans="1:43" x14ac:dyDescent="0.25">
      <c r="A879">
        <v>878</v>
      </c>
      <c r="B879" t="s">
        <v>56</v>
      </c>
      <c r="C879" t="s">
        <v>56</v>
      </c>
      <c r="D879" t="s">
        <v>176</v>
      </c>
      <c r="F879" s="1">
        <v>42791</v>
      </c>
      <c r="G879" s="2">
        <v>91.1</v>
      </c>
      <c r="H879" s="2"/>
      <c r="I879" s="2">
        <v>0.98</v>
      </c>
      <c r="J879" s="2">
        <v>14.1</v>
      </c>
      <c r="K879" s="2">
        <v>-8</v>
      </c>
      <c r="L879" s="2">
        <v>836.3</v>
      </c>
      <c r="M879" s="2">
        <v>836.3</v>
      </c>
      <c r="N879" s="2">
        <f ca="1">INDEX(INDIRECT(_xlfn.CONCAT("weather.tbl[",N$1,"]")),MATCH(vp.tbl[[#This Row],[SDate]],weather.tbl[Date],0))</f>
        <v>-11.833333333333334</v>
      </c>
      <c r="O879" s="2">
        <f ca="1">INDEX(INDIRECT(_xlfn.CONCAT("weather.tbl[",O$1,"]")),MATCH(vp.tbl[[#This Row],[SDate]],weather.tbl[Date],0))</f>
        <v>-3.1214285714285714</v>
      </c>
      <c r="P879" s="2">
        <f ca="1">INDEX(INDIRECT(_xlfn.CONCAT("weather.tbl[",P$1,"]")),MATCH(vp.tbl[[#This Row],[SDate]],weather.tbl[Date],0))</f>
        <v>-12.3</v>
      </c>
      <c r="Q879" s="2">
        <f ca="1">INDEX(INDIRECT(_xlfn.CONCAT("weather.tbl[",Q$1,"]")),MATCH(vp.tbl[[#This Row],[SDate]],weather.tbl[Date],0))</f>
        <v>-11.9</v>
      </c>
      <c r="R879" s="2">
        <f ca="1">INDEX(INDIRECT(_xlfn.CONCAT("weather.tbl[",R$1,"]")),MATCH(vp.tbl[[#This Row],[SDate]],weather.tbl[Date],0))</f>
        <v>-10</v>
      </c>
      <c r="S879" s="2">
        <f ca="1">INDEX(INDIRECT(_xlfn.CONCAT("weather.tbl[",S$1,"]")),MATCH(vp.tbl[[#This Row],[SDate]],weather.tbl[Date],0))</f>
        <v>-11.3</v>
      </c>
      <c r="T879" s="2">
        <f ca="1">INDEX(INDIRECT(_xlfn.CONCAT("weather.tbl[",T$1,"]")),MATCH(vp.tbl[[#This Row],[SDate]],weather.tbl[Date],0))</f>
        <v>-13.5</v>
      </c>
      <c r="U879" s="2">
        <f ca="1">INDEX(INDIRECT(_xlfn.CONCAT("weather.tbl[",U$1,"]")),MATCH(vp.tbl[[#This Row],[SDate]],weather.tbl[Date],0))</f>
        <v>-12</v>
      </c>
      <c r="V879" s="2">
        <v>1613.1030000000001</v>
      </c>
      <c r="W879" t="s">
        <v>48</v>
      </c>
      <c r="X879">
        <f>IF(OR(vp.tbl[[#This Row],[Sulf]]="",vp.tbl[[#This Row],[Dens]]=""),1,0)</f>
        <v>0</v>
      </c>
      <c r="Y879">
        <f>IF(vp.tbl[[#This Row],[CrudeType]]="C5+",1,0)</f>
        <v>0</v>
      </c>
      <c r="Z879">
        <f>IF(AND(vp.tbl[[#This Row],[CrudeType]]="Crude",vp.tbl[[#This Row],[Dens]]&lt;=825,vp.tbl[[#This Row],[Sulf]]&gt;0.5,vp.tbl[[#This Row],[Unknown]]=0),1,0)</f>
        <v>0</v>
      </c>
      <c r="AA879">
        <f>IF(AND(vp.tbl[[#This Row],[CrudeType]]="Crude",vp.tbl[[#This Row],[Dens]]&lt;=825,vp.tbl[[#This Row],[Sulf]]&lt;=0.5,vp.tbl[[#This Row],[Unknown]]=0),1,0)</f>
        <v>0</v>
      </c>
      <c r="AB879">
        <f>IF(AND(vp.tbl[[#This Row],[CrudeType]]="Crude",vp.tbl[[#This Row],[Dens]]&gt;825,vp.tbl[[#This Row],[Dens]]&lt;=870,vp.tbl[[#This Row],[Sulf]]&gt;0.5,vp.tbl[[#This Row],[Unknown]]=0),1,0)</f>
        <v>1</v>
      </c>
      <c r="AC879">
        <f>IF(AND(vp.tbl[[#This Row],[CrudeType]]="Crude",vp.tbl[[#This Row],[Dens]]&gt;825,vp.tbl[[#This Row],[Dens]]&lt;=900,vp.tbl[[#This Row],[Sulf]]&lt;=0.5,vp.tbl[[#This Row],[Unknown]]=0),1,0)</f>
        <v>0</v>
      </c>
      <c r="AD879">
        <f>IF(AND(vp.tbl[[#This Row],[CrudeType]]="Crude",vp.tbl[[#This Row],[Dens]]&gt;870,vp.tbl[[#This Row],[Dens]]&lt;=900,vp.tbl[[#This Row],[Sulf]]&gt;0.5,vp.tbl[[#This Row],[Unknown]]=0),1,0)</f>
        <v>0</v>
      </c>
      <c r="AE879">
        <f>IF(AND(vp.tbl[[#This Row],[CrudeType]]="Crude",vp.tbl[[#This Row],[Dens]]&gt;900,vp.tbl[[#This Row],[Sulf]]&lt;=0.5,vp.tbl[[#This Row],[Unknown]]=0),1,0)</f>
        <v>0</v>
      </c>
      <c r="AF879">
        <f>IF(AND(vp.tbl[[#This Row],[CrudeType]]="Crude",vp.tbl[[#This Row],[Dens]]&gt;900,vp.tbl[[#This Row],[Sulf]]&lt;=0.5,vp.tbl[[#This Row],[Unknown]]=0),1,0)</f>
        <v>0</v>
      </c>
      <c r="AG879" t="str">
        <f>INDEX(vp.tbl[[#Headers],[Unknown]:[Heavy_SW]],MATCH(1,vp.tbl[[#This Row],[Unknown]:[Heavy_SW]],0))</f>
        <v>Medium_LSB</v>
      </c>
      <c r="AH879" t="e">
        <f>INDEX([1]!crudeBD.lkup[Number],MATCH(vp.tbl[[#This Row],[Crude_Breakdown]],[1]!crudeBD.lkup[Crude Breakdown],0))</f>
        <v>#REF!</v>
      </c>
      <c r="AI879">
        <f>MONTH(vp.tbl[[#This Row],[SDate]])</f>
        <v>2</v>
      </c>
      <c r="AJ879" s="5">
        <f>IFERROR(vp.tbl[[#This Row],[Sulf]]*vp.tbl[[#This Row],[Net Dens]],"")</f>
        <v>1322057.2781219999</v>
      </c>
      <c r="AK879" s="5">
        <f>IFERROR(vp.tbl[[#This Row],[Dens]]*vp.tbl[[#This Row],[VolumeM3]],"")</f>
        <v>1349038.0389</v>
      </c>
      <c r="AL879" s="5">
        <f>IFERROR(vp.tbl[[#This Row],[VP]]*vp.tbl[[#This Row],[VolumeM3]],"")</f>
        <v>146953.6833</v>
      </c>
      <c r="AM879" s="4">
        <f>IFERROR((vp.tbl[[#This Row],[VP]]-INDEX(crudeBD.lkup.complete[Mean_VP],MATCH(vp.tbl[[#This Row],[Crude_Breakdown]],crudeBD.lkup.complete[Crude Breakdown],0)))^2,"")</f>
        <v>119.38632760711492</v>
      </c>
      <c r="AN879" s="4">
        <f>IFERROR((vp.tbl[[#This Row],[Dens]]-INDEX(crudeBD.lkup.complete[Mean_Dens],MATCH(vp.tbl[[#This Row],[Crude_Breakdown]],crudeBD.lkup.complete[Crude Breakdown],0)))^2,"")</f>
        <v>80.852876993413645</v>
      </c>
      <c r="AO879" s="4">
        <f>IFERROR((vp.tbl[[#This Row],[Sulf]]-INDEX(crudeBD.lkup.complete[Mean_Sulf],MATCH(vp.tbl[[#This Row],[Crude_Breakdown]],crudeBD.lkup.complete[Crude Breakdown],0)))^2,"")</f>
        <v>0.22555837264103348</v>
      </c>
      <c r="AP879">
        <f>IF(AND(vp.tbl[[#This Row],[SDate]]&gt;=DATE(YEAR(vp.tbl[[#This Row],[SDate]]),5,1),vp.tbl[[#This Row],[SDate]]&lt;=DATE(YEAR(vp.tbl[[#This Row],[SDate]]),9,15)),1,0)</f>
        <v>0</v>
      </c>
      <c r="AQ879" s="15">
        <f>IF(vp.tbl[[#This Row],[SDate]]&lt;DATE(2016,12,1),0,1)</f>
        <v>1</v>
      </c>
    </row>
    <row r="880" spans="1:43" x14ac:dyDescent="0.25">
      <c r="A880">
        <v>879</v>
      </c>
      <c r="B880" t="s">
        <v>62</v>
      </c>
      <c r="C880" t="s">
        <v>62</v>
      </c>
      <c r="D880" t="s">
        <v>93</v>
      </c>
      <c r="F880" s="1">
        <v>42791</v>
      </c>
      <c r="G880" s="2">
        <v>102.6</v>
      </c>
      <c r="H880" s="2"/>
      <c r="I880" s="2">
        <v>0.52</v>
      </c>
      <c r="J880" s="2">
        <v>8.9</v>
      </c>
      <c r="K880" s="2">
        <v>-8</v>
      </c>
      <c r="L880" s="2">
        <v>839</v>
      </c>
      <c r="M880" s="2">
        <v>839</v>
      </c>
      <c r="N880" s="2">
        <f ca="1">INDEX(INDIRECT(_xlfn.CONCAT("weather.tbl[",N$1,"]")),MATCH(vp.tbl[[#This Row],[SDate]],weather.tbl[Date],0))</f>
        <v>-11.833333333333334</v>
      </c>
      <c r="O880" s="2">
        <f ca="1">INDEX(INDIRECT(_xlfn.CONCAT("weather.tbl[",O$1,"]")),MATCH(vp.tbl[[#This Row],[SDate]],weather.tbl[Date],0))</f>
        <v>-3.1214285714285714</v>
      </c>
      <c r="P880" s="2">
        <f ca="1">INDEX(INDIRECT(_xlfn.CONCAT("weather.tbl[",P$1,"]")),MATCH(vp.tbl[[#This Row],[SDate]],weather.tbl[Date],0))</f>
        <v>-12.3</v>
      </c>
      <c r="Q880" s="2">
        <f ca="1">INDEX(INDIRECT(_xlfn.CONCAT("weather.tbl[",Q$1,"]")),MATCH(vp.tbl[[#This Row],[SDate]],weather.tbl[Date],0))</f>
        <v>-11.9</v>
      </c>
      <c r="R880" s="2">
        <f ca="1">INDEX(INDIRECT(_xlfn.CONCAT("weather.tbl[",R$1,"]")),MATCH(vp.tbl[[#This Row],[SDate]],weather.tbl[Date],0))</f>
        <v>-10</v>
      </c>
      <c r="S880" s="2">
        <f ca="1">INDEX(INDIRECT(_xlfn.CONCAT("weather.tbl[",S$1,"]")),MATCH(vp.tbl[[#This Row],[SDate]],weather.tbl[Date],0))</f>
        <v>-11.3</v>
      </c>
      <c r="T880" s="2">
        <f ca="1">INDEX(INDIRECT(_xlfn.CONCAT("weather.tbl[",T$1,"]")),MATCH(vp.tbl[[#This Row],[SDate]],weather.tbl[Date],0))</f>
        <v>-13.5</v>
      </c>
      <c r="U880" s="2">
        <f ca="1">INDEX(INDIRECT(_xlfn.CONCAT("weather.tbl[",U$1,"]")),MATCH(vp.tbl[[#This Row],[SDate]],weather.tbl[Date],0))</f>
        <v>-12</v>
      </c>
      <c r="V880" s="2">
        <v>593.99300000000005</v>
      </c>
      <c r="W880" t="s">
        <v>48</v>
      </c>
      <c r="X880">
        <f>IF(OR(vp.tbl[[#This Row],[Sulf]]="",vp.tbl[[#This Row],[Dens]]=""),1,0)</f>
        <v>0</v>
      </c>
      <c r="Y880">
        <f>IF(vp.tbl[[#This Row],[CrudeType]]="C5+",1,0)</f>
        <v>0</v>
      </c>
      <c r="Z880">
        <f>IF(AND(vp.tbl[[#This Row],[CrudeType]]="Crude",vp.tbl[[#This Row],[Dens]]&lt;=825,vp.tbl[[#This Row],[Sulf]]&gt;0.5,vp.tbl[[#This Row],[Unknown]]=0),1,0)</f>
        <v>0</v>
      </c>
      <c r="AA880">
        <f>IF(AND(vp.tbl[[#This Row],[CrudeType]]="Crude",vp.tbl[[#This Row],[Dens]]&lt;=825,vp.tbl[[#This Row],[Sulf]]&lt;=0.5,vp.tbl[[#This Row],[Unknown]]=0),1,0)</f>
        <v>0</v>
      </c>
      <c r="AB880">
        <f>IF(AND(vp.tbl[[#This Row],[CrudeType]]="Crude",vp.tbl[[#This Row],[Dens]]&gt;825,vp.tbl[[#This Row],[Dens]]&lt;=870,vp.tbl[[#This Row],[Sulf]]&gt;0.5,vp.tbl[[#This Row],[Unknown]]=0),1,0)</f>
        <v>1</v>
      </c>
      <c r="AC880">
        <f>IF(AND(vp.tbl[[#This Row],[CrudeType]]="Crude",vp.tbl[[#This Row],[Dens]]&gt;825,vp.tbl[[#This Row],[Dens]]&lt;=900,vp.tbl[[#This Row],[Sulf]]&lt;=0.5,vp.tbl[[#This Row],[Unknown]]=0),1,0)</f>
        <v>0</v>
      </c>
      <c r="AD880">
        <f>IF(AND(vp.tbl[[#This Row],[CrudeType]]="Crude",vp.tbl[[#This Row],[Dens]]&gt;870,vp.tbl[[#This Row],[Dens]]&lt;=900,vp.tbl[[#This Row],[Sulf]]&gt;0.5,vp.tbl[[#This Row],[Unknown]]=0),1,0)</f>
        <v>0</v>
      </c>
      <c r="AE880">
        <f>IF(AND(vp.tbl[[#This Row],[CrudeType]]="Crude",vp.tbl[[#This Row],[Dens]]&gt;900,vp.tbl[[#This Row],[Sulf]]&lt;=0.5,vp.tbl[[#This Row],[Unknown]]=0),1,0)</f>
        <v>0</v>
      </c>
      <c r="AF880">
        <f>IF(AND(vp.tbl[[#This Row],[CrudeType]]="Crude",vp.tbl[[#This Row],[Dens]]&gt;900,vp.tbl[[#This Row],[Sulf]]&lt;=0.5,vp.tbl[[#This Row],[Unknown]]=0),1,0)</f>
        <v>0</v>
      </c>
      <c r="AG880" t="str">
        <f>INDEX(vp.tbl[[#Headers],[Unknown]:[Heavy_SW]],MATCH(1,vp.tbl[[#This Row],[Unknown]:[Heavy_SW]],0))</f>
        <v>Medium_LSB</v>
      </c>
      <c r="AH880" t="e">
        <f>INDEX([1]!crudeBD.lkup[Number],MATCH(vp.tbl[[#This Row],[Crude_Breakdown]],[1]!crudeBD.lkup[Crude Breakdown],0))</f>
        <v>#REF!</v>
      </c>
      <c r="AI880">
        <f>MONTH(vp.tbl[[#This Row],[SDate]])</f>
        <v>2</v>
      </c>
      <c r="AJ880" s="5">
        <f>IFERROR(vp.tbl[[#This Row],[Sulf]]*vp.tbl[[#This Row],[Net Dens]],"")</f>
        <v>259147.26604000002</v>
      </c>
      <c r="AK880" s="5">
        <f>IFERROR(vp.tbl[[#This Row],[Dens]]*vp.tbl[[#This Row],[VolumeM3]],"")</f>
        <v>498360.12700000004</v>
      </c>
      <c r="AL880" s="5">
        <f>IFERROR(vp.tbl[[#This Row],[VP]]*vp.tbl[[#This Row],[VolumeM3]],"")</f>
        <v>60943.681799999998</v>
      </c>
      <c r="AM880" s="4">
        <f>IFERROR((vp.tbl[[#This Row],[VP]]-INDEX(crudeBD.lkup.complete[Mean_VP],MATCH(vp.tbl[[#This Row],[Crude_Breakdown]],crudeBD.lkup.complete[Crude Breakdown],0)))^2,"")</f>
        <v>502.94364406281187</v>
      </c>
      <c r="AN880" s="4">
        <f>IFERROR((vp.tbl[[#This Row],[Dens]]-INDEX(crudeBD.lkup.complete[Mean_Dens],MATCH(vp.tbl[[#This Row],[Crude_Breakdown]],crudeBD.lkup.complete[Crude Breakdown],0)))^2,"")</f>
        <v>39.587033955443466</v>
      </c>
      <c r="AO880" s="4">
        <f>IFERROR((vp.tbl[[#This Row],[Sulf]]-INDEX(crudeBD.lkup.complete[Mean_Sulf],MATCH(vp.tbl[[#This Row],[Crude_Breakdown]],crudeBD.lkup.complete[Crude Breakdown],0)))^2,"")</f>
        <v>0.87409384453976902</v>
      </c>
      <c r="AP880">
        <f>IF(AND(vp.tbl[[#This Row],[SDate]]&gt;=DATE(YEAR(vp.tbl[[#This Row],[SDate]]),5,1),vp.tbl[[#This Row],[SDate]]&lt;=DATE(YEAR(vp.tbl[[#This Row],[SDate]]),9,15)),1,0)</f>
        <v>0</v>
      </c>
      <c r="AQ880" s="15">
        <f>IF(vp.tbl[[#This Row],[SDate]]&lt;DATE(2016,12,1),0,1)</f>
        <v>1</v>
      </c>
    </row>
    <row r="881" spans="1:43" x14ac:dyDescent="0.25">
      <c r="A881">
        <v>880</v>
      </c>
      <c r="B881" t="s">
        <v>51</v>
      </c>
      <c r="C881" t="s">
        <v>51</v>
      </c>
      <c r="D881" t="s">
        <v>177</v>
      </c>
      <c r="F881" s="1">
        <v>42791</v>
      </c>
      <c r="G881" s="2">
        <v>103.5</v>
      </c>
      <c r="H881" s="2"/>
      <c r="I881" s="2">
        <v>1.31</v>
      </c>
      <c r="J881" s="2">
        <v>1.8</v>
      </c>
      <c r="K881" s="2">
        <v>-8</v>
      </c>
      <c r="L881" s="2">
        <v>841.1</v>
      </c>
      <c r="M881" s="2">
        <v>841.1</v>
      </c>
      <c r="N881" s="2">
        <f ca="1">INDEX(INDIRECT(_xlfn.CONCAT("weather.tbl[",N$1,"]")),MATCH(vp.tbl[[#This Row],[SDate]],weather.tbl[Date],0))</f>
        <v>-11.833333333333334</v>
      </c>
      <c r="O881" s="2">
        <f ca="1">INDEX(INDIRECT(_xlfn.CONCAT("weather.tbl[",O$1,"]")),MATCH(vp.tbl[[#This Row],[SDate]],weather.tbl[Date],0))</f>
        <v>-3.1214285714285714</v>
      </c>
      <c r="P881" s="2">
        <f ca="1">INDEX(INDIRECT(_xlfn.CONCAT("weather.tbl[",P$1,"]")),MATCH(vp.tbl[[#This Row],[SDate]],weather.tbl[Date],0))</f>
        <v>-12.3</v>
      </c>
      <c r="Q881" s="2">
        <f ca="1">INDEX(INDIRECT(_xlfn.CONCAT("weather.tbl[",Q$1,"]")),MATCH(vp.tbl[[#This Row],[SDate]],weather.tbl[Date],0))</f>
        <v>-11.9</v>
      </c>
      <c r="R881" s="2">
        <f ca="1">INDEX(INDIRECT(_xlfn.CONCAT("weather.tbl[",R$1,"]")),MATCH(vp.tbl[[#This Row],[SDate]],weather.tbl[Date],0))</f>
        <v>-10</v>
      </c>
      <c r="S881" s="2">
        <f ca="1">INDEX(INDIRECT(_xlfn.CONCAT("weather.tbl[",S$1,"]")),MATCH(vp.tbl[[#This Row],[SDate]],weather.tbl[Date],0))</f>
        <v>-11.3</v>
      </c>
      <c r="T881" s="2">
        <f ca="1">INDEX(INDIRECT(_xlfn.CONCAT("weather.tbl[",T$1,"]")),MATCH(vp.tbl[[#This Row],[SDate]],weather.tbl[Date],0))</f>
        <v>-13.5</v>
      </c>
      <c r="U881" s="2">
        <f ca="1">INDEX(INDIRECT(_xlfn.CONCAT("weather.tbl[",U$1,"]")),MATCH(vp.tbl[[#This Row],[SDate]],weather.tbl[Date],0))</f>
        <v>-12</v>
      </c>
      <c r="V881" s="2">
        <v>215.67</v>
      </c>
      <c r="W881" t="s">
        <v>48</v>
      </c>
      <c r="X881">
        <f>IF(OR(vp.tbl[[#This Row],[Sulf]]="",vp.tbl[[#This Row],[Dens]]=""),1,0)</f>
        <v>0</v>
      </c>
      <c r="Y881">
        <f>IF(vp.tbl[[#This Row],[CrudeType]]="C5+",1,0)</f>
        <v>0</v>
      </c>
      <c r="Z881">
        <f>IF(AND(vp.tbl[[#This Row],[CrudeType]]="Crude",vp.tbl[[#This Row],[Dens]]&lt;=825,vp.tbl[[#This Row],[Sulf]]&gt;0.5,vp.tbl[[#This Row],[Unknown]]=0),1,0)</f>
        <v>0</v>
      </c>
      <c r="AA881">
        <f>IF(AND(vp.tbl[[#This Row],[CrudeType]]="Crude",vp.tbl[[#This Row],[Dens]]&lt;=825,vp.tbl[[#This Row],[Sulf]]&lt;=0.5,vp.tbl[[#This Row],[Unknown]]=0),1,0)</f>
        <v>0</v>
      </c>
      <c r="AB881">
        <f>IF(AND(vp.tbl[[#This Row],[CrudeType]]="Crude",vp.tbl[[#This Row],[Dens]]&gt;825,vp.tbl[[#This Row],[Dens]]&lt;=870,vp.tbl[[#This Row],[Sulf]]&gt;0.5,vp.tbl[[#This Row],[Unknown]]=0),1,0)</f>
        <v>1</v>
      </c>
      <c r="AC881">
        <f>IF(AND(vp.tbl[[#This Row],[CrudeType]]="Crude",vp.tbl[[#This Row],[Dens]]&gt;825,vp.tbl[[#This Row],[Dens]]&lt;=900,vp.tbl[[#This Row],[Sulf]]&lt;=0.5,vp.tbl[[#This Row],[Unknown]]=0),1,0)</f>
        <v>0</v>
      </c>
      <c r="AD881">
        <f>IF(AND(vp.tbl[[#This Row],[CrudeType]]="Crude",vp.tbl[[#This Row],[Dens]]&gt;870,vp.tbl[[#This Row],[Dens]]&lt;=900,vp.tbl[[#This Row],[Sulf]]&gt;0.5,vp.tbl[[#This Row],[Unknown]]=0),1,0)</f>
        <v>0</v>
      </c>
      <c r="AE881">
        <f>IF(AND(vp.tbl[[#This Row],[CrudeType]]="Crude",vp.tbl[[#This Row],[Dens]]&gt;900,vp.tbl[[#This Row],[Sulf]]&lt;=0.5,vp.tbl[[#This Row],[Unknown]]=0),1,0)</f>
        <v>0</v>
      </c>
      <c r="AF881">
        <f>IF(AND(vp.tbl[[#This Row],[CrudeType]]="Crude",vp.tbl[[#This Row],[Dens]]&gt;900,vp.tbl[[#This Row],[Sulf]]&lt;=0.5,vp.tbl[[#This Row],[Unknown]]=0),1,0)</f>
        <v>0</v>
      </c>
      <c r="AG881" t="str">
        <f>INDEX(vp.tbl[[#Headers],[Unknown]:[Heavy_SW]],MATCH(1,vp.tbl[[#This Row],[Unknown]:[Heavy_SW]],0))</f>
        <v>Medium_LSB</v>
      </c>
      <c r="AH881" t="e">
        <f>INDEX([1]!crudeBD.lkup[Number],MATCH(vp.tbl[[#This Row],[Crude_Breakdown]],[1]!crudeBD.lkup[Crude Breakdown],0))</f>
        <v>#REF!</v>
      </c>
      <c r="AI881">
        <f>MONTH(vp.tbl[[#This Row],[SDate]])</f>
        <v>2</v>
      </c>
      <c r="AJ881" s="5">
        <f>IFERROR(vp.tbl[[#This Row],[Sulf]]*vp.tbl[[#This Row],[Net Dens]],"")</f>
        <v>237634.04846999998</v>
      </c>
      <c r="AK881" s="5">
        <f>IFERROR(vp.tbl[[#This Row],[Dens]]*vp.tbl[[#This Row],[VolumeM3]],"")</f>
        <v>181400.03699999998</v>
      </c>
      <c r="AL881" s="5">
        <f>IFERROR(vp.tbl[[#This Row],[VP]]*vp.tbl[[#This Row],[VolumeM3]],"")</f>
        <v>22321.844999999998</v>
      </c>
      <c r="AM881" s="4">
        <f>IFERROR((vp.tbl[[#This Row],[VP]]-INDEX(crudeBD.lkup.complete[Mean_VP],MATCH(vp.tbl[[#This Row],[Crude_Breakdown]],crudeBD.lkup.complete[Crude Breakdown],0)))^2,"")</f>
        <v>544.12117317673619</v>
      </c>
      <c r="AN881" s="4">
        <f>IFERROR((vp.tbl[[#This Row],[Dens]]-INDEX(crudeBD.lkup.complete[Mean_Dens],MATCH(vp.tbl[[#This Row],[Crude_Breakdown]],crudeBD.lkup.complete[Crude Breakdown],0)))^2,"")</f>
        <v>17.571378259244881</v>
      </c>
      <c r="AO881" s="4">
        <f>IFERROR((vp.tbl[[#This Row],[Sulf]]-INDEX(crudeBD.lkup.complete[Mean_Sulf],MATCH(vp.tbl[[#This Row],[Crude_Breakdown]],crudeBD.lkup.complete[Crude Breakdown],0)))^2,"")</f>
        <v>2.1004664539766637E-2</v>
      </c>
      <c r="AP881">
        <f>IF(AND(vp.tbl[[#This Row],[SDate]]&gt;=DATE(YEAR(vp.tbl[[#This Row],[SDate]]),5,1),vp.tbl[[#This Row],[SDate]]&lt;=DATE(YEAR(vp.tbl[[#This Row],[SDate]]),9,15)),1,0)</f>
        <v>0</v>
      </c>
      <c r="AQ881" s="15">
        <f>IF(vp.tbl[[#This Row],[SDate]]&lt;DATE(2016,12,1),0,1)</f>
        <v>1</v>
      </c>
    </row>
    <row r="882" spans="1:43" x14ac:dyDescent="0.25">
      <c r="A882">
        <v>881</v>
      </c>
      <c r="B882" t="s">
        <v>178</v>
      </c>
      <c r="C882" t="s">
        <v>178</v>
      </c>
      <c r="D882" t="s">
        <v>179</v>
      </c>
      <c r="F882" s="1">
        <v>42791</v>
      </c>
      <c r="G882" s="2">
        <v>88.6</v>
      </c>
      <c r="H882" s="2"/>
      <c r="I882" s="2">
        <v>1.42</v>
      </c>
      <c r="J882" s="2">
        <v>1</v>
      </c>
      <c r="K882" s="2">
        <v>-8</v>
      </c>
      <c r="L882" s="2">
        <v>849.3</v>
      </c>
      <c r="M882" s="2">
        <v>849.3</v>
      </c>
      <c r="N882" s="2">
        <f ca="1">INDEX(INDIRECT(_xlfn.CONCAT("weather.tbl[",N$1,"]")),MATCH(vp.tbl[[#This Row],[SDate]],weather.tbl[Date],0))</f>
        <v>-11.833333333333334</v>
      </c>
      <c r="O882" s="2">
        <f ca="1">INDEX(INDIRECT(_xlfn.CONCAT("weather.tbl[",O$1,"]")),MATCH(vp.tbl[[#This Row],[SDate]],weather.tbl[Date],0))</f>
        <v>-3.1214285714285714</v>
      </c>
      <c r="P882" s="2">
        <f ca="1">INDEX(INDIRECT(_xlfn.CONCAT("weather.tbl[",P$1,"]")),MATCH(vp.tbl[[#This Row],[SDate]],weather.tbl[Date],0))</f>
        <v>-12.3</v>
      </c>
      <c r="Q882" s="2">
        <f ca="1">INDEX(INDIRECT(_xlfn.CONCAT("weather.tbl[",Q$1,"]")),MATCH(vp.tbl[[#This Row],[SDate]],weather.tbl[Date],0))</f>
        <v>-11.9</v>
      </c>
      <c r="R882" s="2">
        <f ca="1">INDEX(INDIRECT(_xlfn.CONCAT("weather.tbl[",R$1,"]")),MATCH(vp.tbl[[#This Row],[SDate]],weather.tbl[Date],0))</f>
        <v>-10</v>
      </c>
      <c r="S882" s="2">
        <f ca="1">INDEX(INDIRECT(_xlfn.CONCAT("weather.tbl[",S$1,"]")),MATCH(vp.tbl[[#This Row],[SDate]],weather.tbl[Date],0))</f>
        <v>-11.3</v>
      </c>
      <c r="T882" s="2">
        <f ca="1">INDEX(INDIRECT(_xlfn.CONCAT("weather.tbl[",T$1,"]")),MATCH(vp.tbl[[#This Row],[SDate]],weather.tbl[Date],0))</f>
        <v>-13.5</v>
      </c>
      <c r="U882" s="2">
        <f ca="1">INDEX(INDIRECT(_xlfn.CONCAT("weather.tbl[",U$1,"]")),MATCH(vp.tbl[[#This Row],[SDate]],weather.tbl[Date],0))</f>
        <v>-12</v>
      </c>
      <c r="V882" s="2">
        <v>120.714</v>
      </c>
      <c r="W882" t="s">
        <v>48</v>
      </c>
      <c r="X882">
        <f>IF(OR(vp.tbl[[#This Row],[Sulf]]="",vp.tbl[[#This Row],[Dens]]=""),1,0)</f>
        <v>0</v>
      </c>
      <c r="Y882">
        <f>IF(vp.tbl[[#This Row],[CrudeType]]="C5+",1,0)</f>
        <v>0</v>
      </c>
      <c r="Z882">
        <f>IF(AND(vp.tbl[[#This Row],[CrudeType]]="Crude",vp.tbl[[#This Row],[Dens]]&lt;=825,vp.tbl[[#This Row],[Sulf]]&gt;0.5,vp.tbl[[#This Row],[Unknown]]=0),1,0)</f>
        <v>0</v>
      </c>
      <c r="AA882">
        <f>IF(AND(vp.tbl[[#This Row],[CrudeType]]="Crude",vp.tbl[[#This Row],[Dens]]&lt;=825,vp.tbl[[#This Row],[Sulf]]&lt;=0.5,vp.tbl[[#This Row],[Unknown]]=0),1,0)</f>
        <v>0</v>
      </c>
      <c r="AB882">
        <f>IF(AND(vp.tbl[[#This Row],[CrudeType]]="Crude",vp.tbl[[#This Row],[Dens]]&gt;825,vp.tbl[[#This Row],[Dens]]&lt;=870,vp.tbl[[#This Row],[Sulf]]&gt;0.5,vp.tbl[[#This Row],[Unknown]]=0),1,0)</f>
        <v>1</v>
      </c>
      <c r="AC882">
        <f>IF(AND(vp.tbl[[#This Row],[CrudeType]]="Crude",vp.tbl[[#This Row],[Dens]]&gt;825,vp.tbl[[#This Row],[Dens]]&lt;=900,vp.tbl[[#This Row],[Sulf]]&lt;=0.5,vp.tbl[[#This Row],[Unknown]]=0),1,0)</f>
        <v>0</v>
      </c>
      <c r="AD882">
        <f>IF(AND(vp.tbl[[#This Row],[CrudeType]]="Crude",vp.tbl[[#This Row],[Dens]]&gt;870,vp.tbl[[#This Row],[Dens]]&lt;=900,vp.tbl[[#This Row],[Sulf]]&gt;0.5,vp.tbl[[#This Row],[Unknown]]=0),1,0)</f>
        <v>0</v>
      </c>
      <c r="AE882">
        <f>IF(AND(vp.tbl[[#This Row],[CrudeType]]="Crude",vp.tbl[[#This Row],[Dens]]&gt;900,vp.tbl[[#This Row],[Sulf]]&lt;=0.5,vp.tbl[[#This Row],[Unknown]]=0),1,0)</f>
        <v>0</v>
      </c>
      <c r="AF882">
        <f>IF(AND(vp.tbl[[#This Row],[CrudeType]]="Crude",vp.tbl[[#This Row],[Dens]]&gt;900,vp.tbl[[#This Row],[Sulf]]&lt;=0.5,vp.tbl[[#This Row],[Unknown]]=0),1,0)</f>
        <v>0</v>
      </c>
      <c r="AG882" t="str">
        <f>INDEX(vp.tbl[[#Headers],[Unknown]:[Heavy_SW]],MATCH(1,vp.tbl[[#This Row],[Unknown]:[Heavy_SW]],0))</f>
        <v>Medium_LSB</v>
      </c>
      <c r="AH882" t="e">
        <f>INDEX([1]!crudeBD.lkup[Number],MATCH(vp.tbl[[#This Row],[Crude_Breakdown]],[1]!crudeBD.lkup[Crude Breakdown],0))</f>
        <v>#REF!</v>
      </c>
      <c r="AI882">
        <f>MONTH(vp.tbl[[#This Row],[SDate]])</f>
        <v>2</v>
      </c>
      <c r="AJ882" s="5">
        <f>IFERROR(vp.tbl[[#This Row],[Sulf]]*vp.tbl[[#This Row],[Net Dens]],"")</f>
        <v>145581.80828399997</v>
      </c>
      <c r="AK882" s="5">
        <f>IFERROR(vp.tbl[[#This Row],[Dens]]*vp.tbl[[#This Row],[VolumeM3]],"")</f>
        <v>102522.40019999999</v>
      </c>
      <c r="AL882" s="5">
        <f>IFERROR(vp.tbl[[#This Row],[VP]]*vp.tbl[[#This Row],[VolumeM3]],"")</f>
        <v>10695.260399999999</v>
      </c>
      <c r="AM882" s="4">
        <f>IFERROR((vp.tbl[[#This Row],[VP]]-INDEX(crudeBD.lkup.complete[Mean_VP],MATCH(vp.tbl[[#This Row],[Crude_Breakdown]],crudeBD.lkup.complete[Crude Breakdown],0)))^2,"")</f>
        <v>71.004302290659069</v>
      </c>
      <c r="AN882" s="4">
        <f>IFERROR((vp.tbl[[#This Row],[Dens]]-INDEX(crudeBD.lkup.complete[Mean_Dens],MATCH(vp.tbl[[#This Row],[Crude_Breakdown]],crudeBD.lkup.complete[Crude Breakdown],0)))^2,"")</f>
        <v>16.065484588374776</v>
      </c>
      <c r="AO882" s="4">
        <f>IFERROR((vp.tbl[[#This Row],[Sulf]]-INDEX(crudeBD.lkup.complete[Mean_Sulf],MATCH(vp.tbl[[#This Row],[Crude_Breakdown]],crudeBD.lkup.complete[Crude Breakdown],0)))^2,"")</f>
        <v>1.2200951726777241E-3</v>
      </c>
      <c r="AP882">
        <f>IF(AND(vp.tbl[[#This Row],[SDate]]&gt;=DATE(YEAR(vp.tbl[[#This Row],[SDate]]),5,1),vp.tbl[[#This Row],[SDate]]&lt;=DATE(YEAR(vp.tbl[[#This Row],[SDate]]),9,15)),1,0)</f>
        <v>0</v>
      </c>
      <c r="AQ882" s="15">
        <f>IF(vp.tbl[[#This Row],[SDate]]&lt;DATE(2016,12,1),0,1)</f>
        <v>1</v>
      </c>
    </row>
    <row r="883" spans="1:43" x14ac:dyDescent="0.25">
      <c r="A883">
        <v>882</v>
      </c>
      <c r="B883" t="s">
        <v>51</v>
      </c>
      <c r="C883" t="s">
        <v>51</v>
      </c>
      <c r="D883" t="s">
        <v>180</v>
      </c>
      <c r="F883" s="1">
        <v>42791</v>
      </c>
      <c r="G883" s="2">
        <v>85.4</v>
      </c>
      <c r="H883" s="2"/>
      <c r="I883" s="2">
        <v>1.56</v>
      </c>
      <c r="J883" s="2">
        <v>12.5</v>
      </c>
      <c r="K883" s="2">
        <v>-8</v>
      </c>
      <c r="L883" s="2">
        <v>857.6</v>
      </c>
      <c r="M883" s="2">
        <v>857.6</v>
      </c>
      <c r="N883" s="2">
        <f ca="1">INDEX(INDIRECT(_xlfn.CONCAT("weather.tbl[",N$1,"]")),MATCH(vp.tbl[[#This Row],[SDate]],weather.tbl[Date],0))</f>
        <v>-11.833333333333334</v>
      </c>
      <c r="O883" s="2">
        <f ca="1">INDEX(INDIRECT(_xlfn.CONCAT("weather.tbl[",O$1,"]")),MATCH(vp.tbl[[#This Row],[SDate]],weather.tbl[Date],0))</f>
        <v>-3.1214285714285714</v>
      </c>
      <c r="P883" s="2">
        <f ca="1">INDEX(INDIRECT(_xlfn.CONCAT("weather.tbl[",P$1,"]")),MATCH(vp.tbl[[#This Row],[SDate]],weather.tbl[Date],0))</f>
        <v>-12.3</v>
      </c>
      <c r="Q883" s="2">
        <f ca="1">INDEX(INDIRECT(_xlfn.CONCAT("weather.tbl[",Q$1,"]")),MATCH(vp.tbl[[#This Row],[SDate]],weather.tbl[Date],0))</f>
        <v>-11.9</v>
      </c>
      <c r="R883" s="2">
        <f ca="1">INDEX(INDIRECT(_xlfn.CONCAT("weather.tbl[",R$1,"]")),MATCH(vp.tbl[[#This Row],[SDate]],weather.tbl[Date],0))</f>
        <v>-10</v>
      </c>
      <c r="S883" s="2">
        <f ca="1">INDEX(INDIRECT(_xlfn.CONCAT("weather.tbl[",S$1,"]")),MATCH(vp.tbl[[#This Row],[SDate]],weather.tbl[Date],0))</f>
        <v>-11.3</v>
      </c>
      <c r="T883" s="2">
        <f ca="1">INDEX(INDIRECT(_xlfn.CONCAT("weather.tbl[",T$1,"]")),MATCH(vp.tbl[[#This Row],[SDate]],weather.tbl[Date],0))</f>
        <v>-13.5</v>
      </c>
      <c r="U883" s="2">
        <f ca="1">INDEX(INDIRECT(_xlfn.CONCAT("weather.tbl[",U$1,"]")),MATCH(vp.tbl[[#This Row],[SDate]],weather.tbl[Date],0))</f>
        <v>-12</v>
      </c>
      <c r="V883" s="2">
        <v>634.84799999999996</v>
      </c>
      <c r="W883" t="s">
        <v>48</v>
      </c>
      <c r="X883">
        <f>IF(OR(vp.tbl[[#This Row],[Sulf]]="",vp.tbl[[#This Row],[Dens]]=""),1,0)</f>
        <v>0</v>
      </c>
      <c r="Y883">
        <f>IF(vp.tbl[[#This Row],[CrudeType]]="C5+",1,0)</f>
        <v>0</v>
      </c>
      <c r="Z883">
        <f>IF(AND(vp.tbl[[#This Row],[CrudeType]]="Crude",vp.tbl[[#This Row],[Dens]]&lt;=825,vp.tbl[[#This Row],[Sulf]]&gt;0.5,vp.tbl[[#This Row],[Unknown]]=0),1,0)</f>
        <v>0</v>
      </c>
      <c r="AA883">
        <f>IF(AND(vp.tbl[[#This Row],[CrudeType]]="Crude",vp.tbl[[#This Row],[Dens]]&lt;=825,vp.tbl[[#This Row],[Sulf]]&lt;=0.5,vp.tbl[[#This Row],[Unknown]]=0),1,0)</f>
        <v>0</v>
      </c>
      <c r="AB883">
        <f>IF(AND(vp.tbl[[#This Row],[CrudeType]]="Crude",vp.tbl[[#This Row],[Dens]]&gt;825,vp.tbl[[#This Row],[Dens]]&lt;=870,vp.tbl[[#This Row],[Sulf]]&gt;0.5,vp.tbl[[#This Row],[Unknown]]=0),1,0)</f>
        <v>1</v>
      </c>
      <c r="AC883">
        <f>IF(AND(vp.tbl[[#This Row],[CrudeType]]="Crude",vp.tbl[[#This Row],[Dens]]&gt;825,vp.tbl[[#This Row],[Dens]]&lt;=900,vp.tbl[[#This Row],[Sulf]]&lt;=0.5,vp.tbl[[#This Row],[Unknown]]=0),1,0)</f>
        <v>0</v>
      </c>
      <c r="AD883">
        <f>IF(AND(vp.tbl[[#This Row],[CrudeType]]="Crude",vp.tbl[[#This Row],[Dens]]&gt;870,vp.tbl[[#This Row],[Dens]]&lt;=900,vp.tbl[[#This Row],[Sulf]]&gt;0.5,vp.tbl[[#This Row],[Unknown]]=0),1,0)</f>
        <v>0</v>
      </c>
      <c r="AE883">
        <f>IF(AND(vp.tbl[[#This Row],[CrudeType]]="Crude",vp.tbl[[#This Row],[Dens]]&gt;900,vp.tbl[[#This Row],[Sulf]]&lt;=0.5,vp.tbl[[#This Row],[Unknown]]=0),1,0)</f>
        <v>0</v>
      </c>
      <c r="AF883">
        <f>IF(AND(vp.tbl[[#This Row],[CrudeType]]="Crude",vp.tbl[[#This Row],[Dens]]&gt;900,vp.tbl[[#This Row],[Sulf]]&lt;=0.5,vp.tbl[[#This Row],[Unknown]]=0),1,0)</f>
        <v>0</v>
      </c>
      <c r="AG883" t="str">
        <f>INDEX(vp.tbl[[#Headers],[Unknown]:[Heavy_SW]],MATCH(1,vp.tbl[[#This Row],[Unknown]:[Heavy_SW]],0))</f>
        <v>Medium_LSB</v>
      </c>
      <c r="AH883" t="e">
        <f>INDEX([1]!crudeBD.lkup[Number],MATCH(vp.tbl[[#This Row],[Crude_Breakdown]],[1]!crudeBD.lkup[Crude Breakdown],0))</f>
        <v>#REF!</v>
      </c>
      <c r="AI883">
        <f>MONTH(vp.tbl[[#This Row],[SDate]])</f>
        <v>2</v>
      </c>
      <c r="AJ883" s="5">
        <f>IFERROR(vp.tbl[[#This Row],[Sulf]]*vp.tbl[[#This Row],[Net Dens]],"")</f>
        <v>849335.20588800008</v>
      </c>
      <c r="AK883" s="5">
        <f>IFERROR(vp.tbl[[#This Row],[Dens]]*vp.tbl[[#This Row],[VolumeM3]],"")</f>
        <v>544445.64480000001</v>
      </c>
      <c r="AL883" s="5">
        <f>IFERROR(vp.tbl[[#This Row],[VP]]*vp.tbl[[#This Row],[VolumeM3]],"")</f>
        <v>54216.019200000002</v>
      </c>
      <c r="AM883" s="4">
        <f>IFERROR((vp.tbl[[#This Row],[VP]]-INDEX(crudeBD.lkup.complete[Mean_VP],MATCH(vp.tbl[[#This Row],[Crude_Breakdown]],crudeBD.lkup.complete[Crude Breakdown],0)))^2,"")</f>
        <v>27.315309885595703</v>
      </c>
      <c r="AN883" s="4">
        <f>IFERROR((vp.tbl[[#This Row],[Dens]]-INDEX(crudeBD.lkup.complete[Mean_Dens],MATCH(vp.tbl[[#This Row],[Crude_Breakdown]],crudeBD.lkup.complete[Crude Breakdown],0)))^2,"")</f>
        <v>151.49122636054395</v>
      </c>
      <c r="AO883" s="4">
        <f>IFERROR((vp.tbl[[#This Row],[Sulf]]-INDEX(crudeBD.lkup.complete[Mean_Sulf],MATCH(vp.tbl[[#This Row],[Crude_Breakdown]],crudeBD.lkup.complete[Crude Breakdown],0)))^2,"")</f>
        <v>1.1039734160019087E-2</v>
      </c>
      <c r="AP883">
        <f>IF(AND(vp.tbl[[#This Row],[SDate]]&gt;=DATE(YEAR(vp.tbl[[#This Row],[SDate]]),5,1),vp.tbl[[#This Row],[SDate]]&lt;=DATE(YEAR(vp.tbl[[#This Row],[SDate]]),9,15)),1,0)</f>
        <v>0</v>
      </c>
      <c r="AQ883" s="15">
        <f>IF(vp.tbl[[#This Row],[SDate]]&lt;DATE(2016,12,1),0,1)</f>
        <v>1</v>
      </c>
    </row>
    <row r="884" spans="1:43" x14ac:dyDescent="0.25">
      <c r="A884">
        <v>883</v>
      </c>
      <c r="B884" t="s">
        <v>178</v>
      </c>
      <c r="C884" t="s">
        <v>178</v>
      </c>
      <c r="D884" t="s">
        <v>181</v>
      </c>
      <c r="F884" s="1">
        <v>42791</v>
      </c>
      <c r="G884" s="2">
        <v>81.400000000000006</v>
      </c>
      <c r="H884" s="2"/>
      <c r="I884" s="2">
        <v>1.65</v>
      </c>
      <c r="J884" s="2">
        <v>7.1</v>
      </c>
      <c r="K884" s="2">
        <v>-8</v>
      </c>
      <c r="L884" s="2">
        <v>857.9</v>
      </c>
      <c r="M884" s="2">
        <v>857.9</v>
      </c>
      <c r="N884" s="2">
        <f ca="1">INDEX(INDIRECT(_xlfn.CONCAT("weather.tbl[",N$1,"]")),MATCH(vp.tbl[[#This Row],[SDate]],weather.tbl[Date],0))</f>
        <v>-11.833333333333334</v>
      </c>
      <c r="O884" s="2">
        <f ca="1">INDEX(INDIRECT(_xlfn.CONCAT("weather.tbl[",O$1,"]")),MATCH(vp.tbl[[#This Row],[SDate]],weather.tbl[Date],0))</f>
        <v>-3.1214285714285714</v>
      </c>
      <c r="P884" s="2">
        <f ca="1">INDEX(INDIRECT(_xlfn.CONCAT("weather.tbl[",P$1,"]")),MATCH(vp.tbl[[#This Row],[SDate]],weather.tbl[Date],0))</f>
        <v>-12.3</v>
      </c>
      <c r="Q884" s="2">
        <f ca="1">INDEX(INDIRECT(_xlfn.CONCAT("weather.tbl[",Q$1,"]")),MATCH(vp.tbl[[#This Row],[SDate]],weather.tbl[Date],0))</f>
        <v>-11.9</v>
      </c>
      <c r="R884" s="2">
        <f ca="1">INDEX(INDIRECT(_xlfn.CONCAT("weather.tbl[",R$1,"]")),MATCH(vp.tbl[[#This Row],[SDate]],weather.tbl[Date],0))</f>
        <v>-10</v>
      </c>
      <c r="S884" s="2">
        <f ca="1">INDEX(INDIRECT(_xlfn.CONCAT("weather.tbl[",S$1,"]")),MATCH(vp.tbl[[#This Row],[SDate]],weather.tbl[Date],0))</f>
        <v>-11.3</v>
      </c>
      <c r="T884" s="2">
        <f ca="1">INDEX(INDIRECT(_xlfn.CONCAT("weather.tbl[",T$1,"]")),MATCH(vp.tbl[[#This Row],[SDate]],weather.tbl[Date],0))</f>
        <v>-13.5</v>
      </c>
      <c r="U884" s="2">
        <f ca="1">INDEX(INDIRECT(_xlfn.CONCAT("weather.tbl[",U$1,"]")),MATCH(vp.tbl[[#This Row],[SDate]],weather.tbl[Date],0))</f>
        <v>-12</v>
      </c>
      <c r="V884" s="2">
        <v>293.28800000000001</v>
      </c>
      <c r="W884" t="s">
        <v>48</v>
      </c>
      <c r="X884">
        <f>IF(OR(vp.tbl[[#This Row],[Sulf]]="",vp.tbl[[#This Row],[Dens]]=""),1,0)</f>
        <v>0</v>
      </c>
      <c r="Y884">
        <f>IF(vp.tbl[[#This Row],[CrudeType]]="C5+",1,0)</f>
        <v>0</v>
      </c>
      <c r="Z884">
        <f>IF(AND(vp.tbl[[#This Row],[CrudeType]]="Crude",vp.tbl[[#This Row],[Dens]]&lt;=825,vp.tbl[[#This Row],[Sulf]]&gt;0.5,vp.tbl[[#This Row],[Unknown]]=0),1,0)</f>
        <v>0</v>
      </c>
      <c r="AA884">
        <f>IF(AND(vp.tbl[[#This Row],[CrudeType]]="Crude",vp.tbl[[#This Row],[Dens]]&lt;=825,vp.tbl[[#This Row],[Sulf]]&lt;=0.5,vp.tbl[[#This Row],[Unknown]]=0),1,0)</f>
        <v>0</v>
      </c>
      <c r="AB884">
        <f>IF(AND(vp.tbl[[#This Row],[CrudeType]]="Crude",vp.tbl[[#This Row],[Dens]]&gt;825,vp.tbl[[#This Row],[Dens]]&lt;=870,vp.tbl[[#This Row],[Sulf]]&gt;0.5,vp.tbl[[#This Row],[Unknown]]=0),1,0)</f>
        <v>1</v>
      </c>
      <c r="AC884">
        <f>IF(AND(vp.tbl[[#This Row],[CrudeType]]="Crude",vp.tbl[[#This Row],[Dens]]&gt;825,vp.tbl[[#This Row],[Dens]]&lt;=900,vp.tbl[[#This Row],[Sulf]]&lt;=0.5,vp.tbl[[#This Row],[Unknown]]=0),1,0)</f>
        <v>0</v>
      </c>
      <c r="AD884">
        <f>IF(AND(vp.tbl[[#This Row],[CrudeType]]="Crude",vp.tbl[[#This Row],[Dens]]&gt;870,vp.tbl[[#This Row],[Dens]]&lt;=900,vp.tbl[[#This Row],[Sulf]]&gt;0.5,vp.tbl[[#This Row],[Unknown]]=0),1,0)</f>
        <v>0</v>
      </c>
      <c r="AE884">
        <f>IF(AND(vp.tbl[[#This Row],[CrudeType]]="Crude",vp.tbl[[#This Row],[Dens]]&gt;900,vp.tbl[[#This Row],[Sulf]]&lt;=0.5,vp.tbl[[#This Row],[Unknown]]=0),1,0)</f>
        <v>0</v>
      </c>
      <c r="AF884">
        <f>IF(AND(vp.tbl[[#This Row],[CrudeType]]="Crude",vp.tbl[[#This Row],[Dens]]&gt;900,vp.tbl[[#This Row],[Sulf]]&lt;=0.5,vp.tbl[[#This Row],[Unknown]]=0),1,0)</f>
        <v>0</v>
      </c>
      <c r="AG884" t="str">
        <f>INDEX(vp.tbl[[#Headers],[Unknown]:[Heavy_SW]],MATCH(1,vp.tbl[[#This Row],[Unknown]:[Heavy_SW]],0))</f>
        <v>Medium_LSB</v>
      </c>
      <c r="AH884" t="e">
        <f>INDEX([1]!crudeBD.lkup[Number],MATCH(vp.tbl[[#This Row],[Crude_Breakdown]],[1]!crudeBD.lkup[Crude Breakdown],0))</f>
        <v>#REF!</v>
      </c>
      <c r="AI884">
        <f>MONTH(vp.tbl[[#This Row],[SDate]])</f>
        <v>2</v>
      </c>
      <c r="AJ884" s="5">
        <f>IFERROR(vp.tbl[[#This Row],[Sulf]]*vp.tbl[[#This Row],[Net Dens]],"")</f>
        <v>415159.42907999997</v>
      </c>
      <c r="AK884" s="5">
        <f>IFERROR(vp.tbl[[#This Row],[Dens]]*vp.tbl[[#This Row],[VolumeM3]],"")</f>
        <v>251611.7752</v>
      </c>
      <c r="AL884" s="5">
        <f>IFERROR(vp.tbl[[#This Row],[VP]]*vp.tbl[[#This Row],[VolumeM3]],"")</f>
        <v>23873.643200000002</v>
      </c>
      <c r="AM884" s="4">
        <f>IFERROR((vp.tbl[[#This Row],[VP]]-INDEX(crudeBD.lkup.complete[Mean_VP],MATCH(vp.tbl[[#This Row],[Crude_Breakdown]],crudeBD.lkup.complete[Crude Breakdown],0)))^2,"")</f>
        <v>1.5040693792662476</v>
      </c>
      <c r="AN884" s="4">
        <f>IFERROR((vp.tbl[[#This Row],[Dens]]-INDEX(crudeBD.lkup.complete[Mean_Dens],MATCH(vp.tbl[[#This Row],[Crude_Breakdown]],crudeBD.lkup.complete[Crude Breakdown],0)))^2,"")</f>
        <v>158.96613268965731</v>
      </c>
      <c r="AO884" s="4">
        <f>IFERROR((vp.tbl[[#This Row],[Sulf]]-INDEX(crudeBD.lkup.complete[Mean_Sulf],MATCH(vp.tbl[[#This Row],[Crude_Breakdown]],crudeBD.lkup.complete[Crude Breakdown],0)))^2,"")</f>
        <v>3.8052359223309913E-2</v>
      </c>
      <c r="AP884">
        <f>IF(AND(vp.tbl[[#This Row],[SDate]]&gt;=DATE(YEAR(vp.tbl[[#This Row],[SDate]]),5,1),vp.tbl[[#This Row],[SDate]]&lt;=DATE(YEAR(vp.tbl[[#This Row],[SDate]]),9,15)),1,0)</f>
        <v>0</v>
      </c>
      <c r="AQ884" s="15">
        <f>IF(vp.tbl[[#This Row],[SDate]]&lt;DATE(2016,12,1),0,1)</f>
        <v>1</v>
      </c>
    </row>
    <row r="885" spans="1:43" x14ac:dyDescent="0.25">
      <c r="A885">
        <v>884</v>
      </c>
      <c r="B885" t="s">
        <v>68</v>
      </c>
      <c r="C885" t="s">
        <v>68</v>
      </c>
      <c r="D885" t="s">
        <v>69</v>
      </c>
      <c r="F885" s="1">
        <v>42791</v>
      </c>
      <c r="G885" s="2">
        <v>78.400000000000006</v>
      </c>
      <c r="H885" s="2"/>
      <c r="I885" s="2">
        <v>1.74</v>
      </c>
      <c r="J885" s="2">
        <v>21.3</v>
      </c>
      <c r="K885" s="2">
        <v>-8</v>
      </c>
      <c r="L885" s="2">
        <v>861.2</v>
      </c>
      <c r="M885" s="2">
        <v>861.2</v>
      </c>
      <c r="N885" s="2">
        <f ca="1">INDEX(INDIRECT(_xlfn.CONCAT("weather.tbl[",N$1,"]")),MATCH(vp.tbl[[#This Row],[SDate]],weather.tbl[Date],0))</f>
        <v>-11.833333333333334</v>
      </c>
      <c r="O885" s="2">
        <f ca="1">INDEX(INDIRECT(_xlfn.CONCAT("weather.tbl[",O$1,"]")),MATCH(vp.tbl[[#This Row],[SDate]],weather.tbl[Date],0))</f>
        <v>-3.1214285714285714</v>
      </c>
      <c r="P885" s="2">
        <f ca="1">INDEX(INDIRECT(_xlfn.CONCAT("weather.tbl[",P$1,"]")),MATCH(vp.tbl[[#This Row],[SDate]],weather.tbl[Date],0))</f>
        <v>-12.3</v>
      </c>
      <c r="Q885" s="2">
        <f ca="1">INDEX(INDIRECT(_xlfn.CONCAT("weather.tbl[",Q$1,"]")),MATCH(vp.tbl[[#This Row],[SDate]],weather.tbl[Date],0))</f>
        <v>-11.9</v>
      </c>
      <c r="R885" s="2">
        <f ca="1">INDEX(INDIRECT(_xlfn.CONCAT("weather.tbl[",R$1,"]")),MATCH(vp.tbl[[#This Row],[SDate]],weather.tbl[Date],0))</f>
        <v>-10</v>
      </c>
      <c r="S885" s="2">
        <f ca="1">INDEX(INDIRECT(_xlfn.CONCAT("weather.tbl[",S$1,"]")),MATCH(vp.tbl[[#This Row],[SDate]],weather.tbl[Date],0))</f>
        <v>-11.3</v>
      </c>
      <c r="T885" s="2">
        <f ca="1">INDEX(INDIRECT(_xlfn.CONCAT("weather.tbl[",T$1,"]")),MATCH(vp.tbl[[#This Row],[SDate]],weather.tbl[Date],0))</f>
        <v>-13.5</v>
      </c>
      <c r="U885" s="2">
        <f ca="1">INDEX(INDIRECT(_xlfn.CONCAT("weather.tbl[",U$1,"]")),MATCH(vp.tbl[[#This Row],[SDate]],weather.tbl[Date],0))</f>
        <v>-12</v>
      </c>
      <c r="V885" s="2">
        <v>1332.451</v>
      </c>
      <c r="W885" t="s">
        <v>48</v>
      </c>
      <c r="X885">
        <f>IF(OR(vp.tbl[[#This Row],[Sulf]]="",vp.tbl[[#This Row],[Dens]]=""),1,0)</f>
        <v>0</v>
      </c>
      <c r="Y885">
        <f>IF(vp.tbl[[#This Row],[CrudeType]]="C5+",1,0)</f>
        <v>0</v>
      </c>
      <c r="Z885">
        <f>IF(AND(vp.tbl[[#This Row],[CrudeType]]="Crude",vp.tbl[[#This Row],[Dens]]&lt;=825,vp.tbl[[#This Row],[Sulf]]&gt;0.5,vp.tbl[[#This Row],[Unknown]]=0),1,0)</f>
        <v>0</v>
      </c>
      <c r="AA885">
        <f>IF(AND(vp.tbl[[#This Row],[CrudeType]]="Crude",vp.tbl[[#This Row],[Dens]]&lt;=825,vp.tbl[[#This Row],[Sulf]]&lt;=0.5,vp.tbl[[#This Row],[Unknown]]=0),1,0)</f>
        <v>0</v>
      </c>
      <c r="AB885">
        <f>IF(AND(vp.tbl[[#This Row],[CrudeType]]="Crude",vp.tbl[[#This Row],[Dens]]&gt;825,vp.tbl[[#This Row],[Dens]]&lt;=870,vp.tbl[[#This Row],[Sulf]]&gt;0.5,vp.tbl[[#This Row],[Unknown]]=0),1,0)</f>
        <v>1</v>
      </c>
      <c r="AC885">
        <f>IF(AND(vp.tbl[[#This Row],[CrudeType]]="Crude",vp.tbl[[#This Row],[Dens]]&gt;825,vp.tbl[[#This Row],[Dens]]&lt;=900,vp.tbl[[#This Row],[Sulf]]&lt;=0.5,vp.tbl[[#This Row],[Unknown]]=0),1,0)</f>
        <v>0</v>
      </c>
      <c r="AD885">
        <f>IF(AND(vp.tbl[[#This Row],[CrudeType]]="Crude",vp.tbl[[#This Row],[Dens]]&gt;870,vp.tbl[[#This Row],[Dens]]&lt;=900,vp.tbl[[#This Row],[Sulf]]&gt;0.5,vp.tbl[[#This Row],[Unknown]]=0),1,0)</f>
        <v>0</v>
      </c>
      <c r="AE885">
        <f>IF(AND(vp.tbl[[#This Row],[CrudeType]]="Crude",vp.tbl[[#This Row],[Dens]]&gt;900,vp.tbl[[#This Row],[Sulf]]&lt;=0.5,vp.tbl[[#This Row],[Unknown]]=0),1,0)</f>
        <v>0</v>
      </c>
      <c r="AF885">
        <f>IF(AND(vp.tbl[[#This Row],[CrudeType]]="Crude",vp.tbl[[#This Row],[Dens]]&gt;900,vp.tbl[[#This Row],[Sulf]]&lt;=0.5,vp.tbl[[#This Row],[Unknown]]=0),1,0)</f>
        <v>0</v>
      </c>
      <c r="AG885" t="str">
        <f>INDEX(vp.tbl[[#Headers],[Unknown]:[Heavy_SW]],MATCH(1,vp.tbl[[#This Row],[Unknown]:[Heavy_SW]],0))</f>
        <v>Medium_LSB</v>
      </c>
      <c r="AH885" t="e">
        <f>INDEX([1]!crudeBD.lkup[Number],MATCH(vp.tbl[[#This Row],[Crude_Breakdown]],[1]!crudeBD.lkup[Crude Breakdown],0))</f>
        <v>#REF!</v>
      </c>
      <c r="AI885">
        <f>MONTH(vp.tbl[[#This Row],[SDate]])</f>
        <v>2</v>
      </c>
      <c r="AJ885" s="5">
        <f>IFERROR(vp.tbl[[#This Row],[Sulf]]*vp.tbl[[#This Row],[Net Dens]],"")</f>
        <v>1996661.8340880002</v>
      </c>
      <c r="AK885" s="5">
        <f>IFERROR(vp.tbl[[#This Row],[Dens]]*vp.tbl[[#This Row],[VolumeM3]],"")</f>
        <v>1147506.8012000001</v>
      </c>
      <c r="AL885" s="5">
        <f>IFERROR(vp.tbl[[#This Row],[VP]]*vp.tbl[[#This Row],[VolumeM3]],"")</f>
        <v>104464.15840000001</v>
      </c>
      <c r="AM885" s="4">
        <f>IFERROR((vp.tbl[[#This Row],[VP]]-INDEX(crudeBD.lkup.complete[Mean_VP],MATCH(vp.tbl[[#This Row],[Crude_Breakdown]],crudeBD.lkup.complete[Crude Breakdown],0)))^2,"")</f>
        <v>3.1456389995191567</v>
      </c>
      <c r="AN885" s="4">
        <f>IFERROR((vp.tbl[[#This Row],[Dens]]-INDEX(crudeBD.lkup.complete[Mean_Dens],MATCH(vp.tbl[[#This Row],[Crude_Breakdown]],crudeBD.lkup.complete[Crude Breakdown],0)))^2,"")</f>
        <v>253.07010230991901</v>
      </c>
      <c r="AO885" s="4">
        <f>IFERROR((vp.tbl[[#This Row],[Sulf]]-INDEX(crudeBD.lkup.complete[Mean_Sulf],MATCH(vp.tbl[[#This Row],[Crude_Breakdown]],crudeBD.lkup.complete[Crude Breakdown],0)))^2,"")</f>
        <v>8.1264984286600811E-2</v>
      </c>
      <c r="AP885">
        <f>IF(AND(vp.tbl[[#This Row],[SDate]]&gt;=DATE(YEAR(vp.tbl[[#This Row],[SDate]]),5,1),vp.tbl[[#This Row],[SDate]]&lt;=DATE(YEAR(vp.tbl[[#This Row],[SDate]]),9,15)),1,0)</f>
        <v>0</v>
      </c>
      <c r="AQ885" s="15">
        <f>IF(vp.tbl[[#This Row],[SDate]]&lt;DATE(2016,12,1),0,1)</f>
        <v>1</v>
      </c>
    </row>
    <row r="886" spans="1:43" x14ac:dyDescent="0.25">
      <c r="A886">
        <v>885</v>
      </c>
      <c r="B886" t="s">
        <v>178</v>
      </c>
      <c r="C886" t="s">
        <v>178</v>
      </c>
      <c r="D886" t="s">
        <v>182</v>
      </c>
      <c r="F886" s="1">
        <v>42791</v>
      </c>
      <c r="G886" s="2">
        <v>63.2</v>
      </c>
      <c r="H886" s="2"/>
      <c r="I886" s="2">
        <v>1.71</v>
      </c>
      <c r="J886" s="2">
        <v>15</v>
      </c>
      <c r="K886" s="2">
        <v>-8</v>
      </c>
      <c r="L886" s="2">
        <v>867.2</v>
      </c>
      <c r="M886" s="2">
        <v>867.2</v>
      </c>
      <c r="N886" s="2">
        <f ca="1">INDEX(INDIRECT(_xlfn.CONCAT("weather.tbl[",N$1,"]")),MATCH(vp.tbl[[#This Row],[SDate]],weather.tbl[Date],0))</f>
        <v>-11.833333333333334</v>
      </c>
      <c r="O886" s="2">
        <f ca="1">INDEX(INDIRECT(_xlfn.CONCAT("weather.tbl[",O$1,"]")),MATCH(vp.tbl[[#This Row],[SDate]],weather.tbl[Date],0))</f>
        <v>-3.1214285714285714</v>
      </c>
      <c r="P886" s="2">
        <f ca="1">INDEX(INDIRECT(_xlfn.CONCAT("weather.tbl[",P$1,"]")),MATCH(vp.tbl[[#This Row],[SDate]],weather.tbl[Date],0))</f>
        <v>-12.3</v>
      </c>
      <c r="Q886" s="2">
        <f ca="1">INDEX(INDIRECT(_xlfn.CONCAT("weather.tbl[",Q$1,"]")),MATCH(vp.tbl[[#This Row],[SDate]],weather.tbl[Date],0))</f>
        <v>-11.9</v>
      </c>
      <c r="R886" s="2">
        <f ca="1">INDEX(INDIRECT(_xlfn.CONCAT("weather.tbl[",R$1,"]")),MATCH(vp.tbl[[#This Row],[SDate]],weather.tbl[Date],0))</f>
        <v>-10</v>
      </c>
      <c r="S886" s="2">
        <f ca="1">INDEX(INDIRECT(_xlfn.CONCAT("weather.tbl[",S$1,"]")),MATCH(vp.tbl[[#This Row],[SDate]],weather.tbl[Date],0))</f>
        <v>-11.3</v>
      </c>
      <c r="T886" s="2">
        <f ca="1">INDEX(INDIRECT(_xlfn.CONCAT("weather.tbl[",T$1,"]")),MATCH(vp.tbl[[#This Row],[SDate]],weather.tbl[Date],0))</f>
        <v>-13.5</v>
      </c>
      <c r="U886" s="2">
        <f ca="1">INDEX(INDIRECT(_xlfn.CONCAT("weather.tbl[",U$1,"]")),MATCH(vp.tbl[[#This Row],[SDate]],weather.tbl[Date],0))</f>
        <v>-12</v>
      </c>
      <c r="V886" s="2">
        <v>620.33699999999999</v>
      </c>
      <c r="W886" t="s">
        <v>48</v>
      </c>
      <c r="X886">
        <f>IF(OR(vp.tbl[[#This Row],[Sulf]]="",vp.tbl[[#This Row],[Dens]]=""),1,0)</f>
        <v>0</v>
      </c>
      <c r="Y886">
        <f>IF(vp.tbl[[#This Row],[CrudeType]]="C5+",1,0)</f>
        <v>0</v>
      </c>
      <c r="Z886">
        <f>IF(AND(vp.tbl[[#This Row],[CrudeType]]="Crude",vp.tbl[[#This Row],[Dens]]&lt;=825,vp.tbl[[#This Row],[Sulf]]&gt;0.5,vp.tbl[[#This Row],[Unknown]]=0),1,0)</f>
        <v>0</v>
      </c>
      <c r="AA886">
        <f>IF(AND(vp.tbl[[#This Row],[CrudeType]]="Crude",vp.tbl[[#This Row],[Dens]]&lt;=825,vp.tbl[[#This Row],[Sulf]]&lt;=0.5,vp.tbl[[#This Row],[Unknown]]=0),1,0)</f>
        <v>0</v>
      </c>
      <c r="AB886">
        <f>IF(AND(vp.tbl[[#This Row],[CrudeType]]="Crude",vp.tbl[[#This Row],[Dens]]&gt;825,vp.tbl[[#This Row],[Dens]]&lt;=870,vp.tbl[[#This Row],[Sulf]]&gt;0.5,vp.tbl[[#This Row],[Unknown]]=0),1,0)</f>
        <v>1</v>
      </c>
      <c r="AC886">
        <f>IF(AND(vp.tbl[[#This Row],[CrudeType]]="Crude",vp.tbl[[#This Row],[Dens]]&gt;825,vp.tbl[[#This Row],[Dens]]&lt;=900,vp.tbl[[#This Row],[Sulf]]&lt;=0.5,vp.tbl[[#This Row],[Unknown]]=0),1,0)</f>
        <v>0</v>
      </c>
      <c r="AD886">
        <f>IF(AND(vp.tbl[[#This Row],[CrudeType]]="Crude",vp.tbl[[#This Row],[Dens]]&gt;870,vp.tbl[[#This Row],[Dens]]&lt;=900,vp.tbl[[#This Row],[Sulf]]&gt;0.5,vp.tbl[[#This Row],[Unknown]]=0),1,0)</f>
        <v>0</v>
      </c>
      <c r="AE886">
        <f>IF(AND(vp.tbl[[#This Row],[CrudeType]]="Crude",vp.tbl[[#This Row],[Dens]]&gt;900,vp.tbl[[#This Row],[Sulf]]&lt;=0.5,vp.tbl[[#This Row],[Unknown]]=0),1,0)</f>
        <v>0</v>
      </c>
      <c r="AF886">
        <f>IF(AND(vp.tbl[[#This Row],[CrudeType]]="Crude",vp.tbl[[#This Row],[Dens]]&gt;900,vp.tbl[[#This Row],[Sulf]]&lt;=0.5,vp.tbl[[#This Row],[Unknown]]=0),1,0)</f>
        <v>0</v>
      </c>
      <c r="AG886" t="str">
        <f>INDEX(vp.tbl[[#Headers],[Unknown]:[Heavy_SW]],MATCH(1,vp.tbl[[#This Row],[Unknown]:[Heavy_SW]],0))</f>
        <v>Medium_LSB</v>
      </c>
      <c r="AH886" t="e">
        <f>INDEX([1]!crudeBD.lkup[Number],MATCH(vp.tbl[[#This Row],[Crude_Breakdown]],[1]!crudeBD.lkup[Crude Breakdown],0))</f>
        <v>#REF!</v>
      </c>
      <c r="AI886">
        <f>MONTH(vp.tbl[[#This Row],[SDate]])</f>
        <v>2</v>
      </c>
      <c r="AJ886" s="5">
        <f>IFERROR(vp.tbl[[#This Row],[Sulf]]*vp.tbl[[#This Row],[Net Dens]],"")</f>
        <v>919905.18134400004</v>
      </c>
      <c r="AK886" s="5">
        <f>IFERROR(vp.tbl[[#This Row],[Dens]]*vp.tbl[[#This Row],[VolumeM3]],"")</f>
        <v>537956.24640000006</v>
      </c>
      <c r="AL886" s="5">
        <f>IFERROR(vp.tbl[[#This Row],[VP]]*vp.tbl[[#This Row],[VolumeM3]],"")</f>
        <v>39205.2984</v>
      </c>
      <c r="AM886" s="4">
        <f>IFERROR((vp.tbl[[#This Row],[VP]]-INDEX(crudeBD.lkup.complete[Mean_VP],MATCH(vp.tbl[[#This Row],[Crude_Breakdown]],crudeBD.lkup.complete[Crude Breakdown],0)))^2,"")</f>
        <v>288.10292507546734</v>
      </c>
      <c r="AN886" s="4">
        <f>IFERROR((vp.tbl[[#This Row],[Dens]]-INDEX(crudeBD.lkup.complete[Mean_Dens],MATCH(vp.tbl[[#This Row],[Crude_Breakdown]],crudeBD.lkup.complete[Crude Breakdown],0)))^2,"")</f>
        <v>479.96822889220988</v>
      </c>
      <c r="AO886" s="4">
        <f>IFERROR((vp.tbl[[#This Row],[Sulf]]-INDEX(crudeBD.lkup.complete[Mean_Sulf],MATCH(vp.tbl[[#This Row],[Crude_Breakdown]],crudeBD.lkup.complete[Crude Breakdown],0)))^2,"")</f>
        <v>6.5060775932170509E-2</v>
      </c>
      <c r="AP886">
        <f>IF(AND(vp.tbl[[#This Row],[SDate]]&gt;=DATE(YEAR(vp.tbl[[#This Row],[SDate]]),5,1),vp.tbl[[#This Row],[SDate]]&lt;=DATE(YEAR(vp.tbl[[#This Row],[SDate]]),9,15)),1,0)</f>
        <v>0</v>
      </c>
      <c r="AQ886" s="15">
        <f>IF(vp.tbl[[#This Row],[SDate]]&lt;DATE(2016,12,1),0,1)</f>
        <v>1</v>
      </c>
    </row>
    <row r="887" spans="1:43" x14ac:dyDescent="0.25">
      <c r="A887">
        <v>886</v>
      </c>
      <c r="B887" t="s">
        <v>183</v>
      </c>
      <c r="C887" t="s">
        <v>183</v>
      </c>
      <c r="D887" t="s">
        <v>184</v>
      </c>
      <c r="F887" s="1">
        <v>42791</v>
      </c>
      <c r="G887" s="2">
        <v>55.5</v>
      </c>
      <c r="H887" s="2"/>
      <c r="I887" s="2">
        <v>1.78</v>
      </c>
      <c r="J887" s="2">
        <v>7.9</v>
      </c>
      <c r="K887" s="2">
        <v>-8</v>
      </c>
      <c r="L887" s="2">
        <v>868.1</v>
      </c>
      <c r="M887" s="2">
        <v>868.1</v>
      </c>
      <c r="N887" s="2">
        <f ca="1">INDEX(INDIRECT(_xlfn.CONCAT("weather.tbl[",N$1,"]")),MATCH(vp.tbl[[#This Row],[SDate]],weather.tbl[Date],0))</f>
        <v>-11.833333333333334</v>
      </c>
      <c r="O887" s="2">
        <f ca="1">INDEX(INDIRECT(_xlfn.CONCAT("weather.tbl[",O$1,"]")),MATCH(vp.tbl[[#This Row],[SDate]],weather.tbl[Date],0))</f>
        <v>-3.1214285714285714</v>
      </c>
      <c r="P887" s="2">
        <f ca="1">INDEX(INDIRECT(_xlfn.CONCAT("weather.tbl[",P$1,"]")),MATCH(vp.tbl[[#This Row],[SDate]],weather.tbl[Date],0))</f>
        <v>-12.3</v>
      </c>
      <c r="Q887" s="2">
        <f ca="1">INDEX(INDIRECT(_xlfn.CONCAT("weather.tbl[",Q$1,"]")),MATCH(vp.tbl[[#This Row],[SDate]],weather.tbl[Date],0))</f>
        <v>-11.9</v>
      </c>
      <c r="R887" s="2">
        <f ca="1">INDEX(INDIRECT(_xlfn.CONCAT("weather.tbl[",R$1,"]")),MATCH(vp.tbl[[#This Row],[SDate]],weather.tbl[Date],0))</f>
        <v>-10</v>
      </c>
      <c r="S887" s="2">
        <f ca="1">INDEX(INDIRECT(_xlfn.CONCAT("weather.tbl[",S$1,"]")),MATCH(vp.tbl[[#This Row],[SDate]],weather.tbl[Date],0))</f>
        <v>-11.3</v>
      </c>
      <c r="T887" s="2">
        <f ca="1">INDEX(INDIRECT(_xlfn.CONCAT("weather.tbl[",T$1,"]")),MATCH(vp.tbl[[#This Row],[SDate]],weather.tbl[Date],0))</f>
        <v>-13.5</v>
      </c>
      <c r="U887" s="2">
        <f ca="1">INDEX(INDIRECT(_xlfn.CONCAT("weather.tbl[",U$1,"]")),MATCH(vp.tbl[[#This Row],[SDate]],weather.tbl[Date],0))</f>
        <v>-12</v>
      </c>
      <c r="V887" s="2">
        <v>264.49799999999999</v>
      </c>
      <c r="W887" t="s">
        <v>48</v>
      </c>
      <c r="X887">
        <f>IF(OR(vp.tbl[[#This Row],[Sulf]]="",vp.tbl[[#This Row],[Dens]]=""),1,0)</f>
        <v>0</v>
      </c>
      <c r="Y887">
        <f>IF(vp.tbl[[#This Row],[CrudeType]]="C5+",1,0)</f>
        <v>0</v>
      </c>
      <c r="Z887">
        <f>IF(AND(vp.tbl[[#This Row],[CrudeType]]="Crude",vp.tbl[[#This Row],[Dens]]&lt;=825,vp.tbl[[#This Row],[Sulf]]&gt;0.5,vp.tbl[[#This Row],[Unknown]]=0),1,0)</f>
        <v>0</v>
      </c>
      <c r="AA887">
        <f>IF(AND(vp.tbl[[#This Row],[CrudeType]]="Crude",vp.tbl[[#This Row],[Dens]]&lt;=825,vp.tbl[[#This Row],[Sulf]]&lt;=0.5,vp.tbl[[#This Row],[Unknown]]=0),1,0)</f>
        <v>0</v>
      </c>
      <c r="AB887">
        <f>IF(AND(vp.tbl[[#This Row],[CrudeType]]="Crude",vp.tbl[[#This Row],[Dens]]&gt;825,vp.tbl[[#This Row],[Dens]]&lt;=870,vp.tbl[[#This Row],[Sulf]]&gt;0.5,vp.tbl[[#This Row],[Unknown]]=0),1,0)</f>
        <v>1</v>
      </c>
      <c r="AC887">
        <f>IF(AND(vp.tbl[[#This Row],[CrudeType]]="Crude",vp.tbl[[#This Row],[Dens]]&gt;825,vp.tbl[[#This Row],[Dens]]&lt;=900,vp.tbl[[#This Row],[Sulf]]&lt;=0.5,vp.tbl[[#This Row],[Unknown]]=0),1,0)</f>
        <v>0</v>
      </c>
      <c r="AD887">
        <f>IF(AND(vp.tbl[[#This Row],[CrudeType]]="Crude",vp.tbl[[#This Row],[Dens]]&gt;870,vp.tbl[[#This Row],[Dens]]&lt;=900,vp.tbl[[#This Row],[Sulf]]&gt;0.5,vp.tbl[[#This Row],[Unknown]]=0),1,0)</f>
        <v>0</v>
      </c>
      <c r="AE887">
        <f>IF(AND(vp.tbl[[#This Row],[CrudeType]]="Crude",vp.tbl[[#This Row],[Dens]]&gt;900,vp.tbl[[#This Row],[Sulf]]&lt;=0.5,vp.tbl[[#This Row],[Unknown]]=0),1,0)</f>
        <v>0</v>
      </c>
      <c r="AF887">
        <f>IF(AND(vp.tbl[[#This Row],[CrudeType]]="Crude",vp.tbl[[#This Row],[Dens]]&gt;900,vp.tbl[[#This Row],[Sulf]]&lt;=0.5,vp.tbl[[#This Row],[Unknown]]=0),1,0)</f>
        <v>0</v>
      </c>
      <c r="AG887" t="str">
        <f>INDEX(vp.tbl[[#Headers],[Unknown]:[Heavy_SW]],MATCH(1,vp.tbl[[#This Row],[Unknown]:[Heavy_SW]],0))</f>
        <v>Medium_LSB</v>
      </c>
      <c r="AH887" t="e">
        <f>INDEX([1]!crudeBD.lkup[Number],MATCH(vp.tbl[[#This Row],[Crude_Breakdown]],[1]!crudeBD.lkup[Crude Breakdown],0))</f>
        <v>#REF!</v>
      </c>
      <c r="AI887">
        <f>MONTH(vp.tbl[[#This Row],[SDate]])</f>
        <v>2</v>
      </c>
      <c r="AJ887" s="5">
        <f>IFERROR(vp.tbl[[#This Row],[Sulf]]*vp.tbl[[#This Row],[Net Dens]],"")</f>
        <v>408707.07056399999</v>
      </c>
      <c r="AK887" s="5">
        <f>IFERROR(vp.tbl[[#This Row],[Dens]]*vp.tbl[[#This Row],[VolumeM3]],"")</f>
        <v>229610.7138</v>
      </c>
      <c r="AL887" s="5">
        <f>IFERROR(vp.tbl[[#This Row],[VP]]*vp.tbl[[#This Row],[VolumeM3]],"")</f>
        <v>14679.638999999999</v>
      </c>
      <c r="AM887" s="4">
        <f>IFERROR((vp.tbl[[#This Row],[VP]]-INDEX(crudeBD.lkup.complete[Mean_VP],MATCH(vp.tbl[[#This Row],[Crude_Breakdown]],crudeBD.lkup.complete[Crude Breakdown],0)))^2,"")</f>
        <v>608.78628710078328</v>
      </c>
      <c r="AN887" s="4">
        <f>IFERROR((vp.tbl[[#This Row],[Dens]]-INDEX(crudeBD.lkup.complete[Mean_Dens],MATCH(vp.tbl[[#This Row],[Crude_Breakdown]],crudeBD.lkup.complete[Crude Breakdown],0)))^2,"")</f>
        <v>520.21294787955242</v>
      </c>
      <c r="AO887" s="4">
        <f>IFERROR((vp.tbl[[#This Row],[Sulf]]-INDEX(crudeBD.lkup.complete[Mean_Sulf],MATCH(vp.tbl[[#This Row],[Crude_Breakdown]],crudeBD.lkup.complete[Crude Breakdown],0)))^2,"")</f>
        <v>0.10567059542584123</v>
      </c>
      <c r="AP887">
        <f>IF(AND(vp.tbl[[#This Row],[SDate]]&gt;=DATE(YEAR(vp.tbl[[#This Row],[SDate]]),5,1),vp.tbl[[#This Row],[SDate]]&lt;=DATE(YEAR(vp.tbl[[#This Row],[SDate]]),9,15)),1,0)</f>
        <v>0</v>
      </c>
      <c r="AQ887" s="15">
        <f>IF(vp.tbl[[#This Row],[SDate]]&lt;DATE(2016,12,1),0,1)</f>
        <v>1</v>
      </c>
    </row>
    <row r="888" spans="1:43" x14ac:dyDescent="0.25">
      <c r="A888">
        <v>887</v>
      </c>
      <c r="B888" t="s">
        <v>68</v>
      </c>
      <c r="C888" t="s">
        <v>68</v>
      </c>
      <c r="D888" t="s">
        <v>185</v>
      </c>
      <c r="F888" s="1">
        <v>42791</v>
      </c>
      <c r="G888" s="2">
        <v>48.7</v>
      </c>
      <c r="H888" s="2"/>
      <c r="I888" s="2">
        <v>1.68</v>
      </c>
      <c r="J888" s="2">
        <v>14</v>
      </c>
      <c r="K888" s="2">
        <v>-8</v>
      </c>
      <c r="L888" s="2">
        <v>870</v>
      </c>
      <c r="M888" s="2">
        <v>870</v>
      </c>
      <c r="N888" s="2">
        <f ca="1">INDEX(INDIRECT(_xlfn.CONCAT("weather.tbl[",N$1,"]")),MATCH(vp.tbl[[#This Row],[SDate]],weather.tbl[Date],0))</f>
        <v>-11.833333333333334</v>
      </c>
      <c r="O888" s="2">
        <f ca="1">INDEX(INDIRECT(_xlfn.CONCAT("weather.tbl[",O$1,"]")),MATCH(vp.tbl[[#This Row],[SDate]],weather.tbl[Date],0))</f>
        <v>-3.1214285714285714</v>
      </c>
      <c r="P888" s="2">
        <f ca="1">INDEX(INDIRECT(_xlfn.CONCAT("weather.tbl[",P$1,"]")),MATCH(vp.tbl[[#This Row],[SDate]],weather.tbl[Date],0))</f>
        <v>-12.3</v>
      </c>
      <c r="Q888" s="2">
        <f ca="1">INDEX(INDIRECT(_xlfn.CONCAT("weather.tbl[",Q$1,"]")),MATCH(vp.tbl[[#This Row],[SDate]],weather.tbl[Date],0))</f>
        <v>-11.9</v>
      </c>
      <c r="R888" s="2">
        <f ca="1">INDEX(INDIRECT(_xlfn.CONCAT("weather.tbl[",R$1,"]")),MATCH(vp.tbl[[#This Row],[SDate]],weather.tbl[Date],0))</f>
        <v>-10</v>
      </c>
      <c r="S888" s="2">
        <f ca="1">INDEX(INDIRECT(_xlfn.CONCAT("weather.tbl[",S$1,"]")),MATCH(vp.tbl[[#This Row],[SDate]],weather.tbl[Date],0))</f>
        <v>-11.3</v>
      </c>
      <c r="T888" s="2">
        <f ca="1">INDEX(INDIRECT(_xlfn.CONCAT("weather.tbl[",T$1,"]")),MATCH(vp.tbl[[#This Row],[SDate]],weather.tbl[Date],0))</f>
        <v>-13.5</v>
      </c>
      <c r="U888" s="2">
        <f ca="1">INDEX(INDIRECT(_xlfn.CONCAT("weather.tbl[",U$1,"]")),MATCH(vp.tbl[[#This Row],[SDate]],weather.tbl[Date],0))</f>
        <v>-12</v>
      </c>
      <c r="V888" s="2">
        <v>148.39500000000001</v>
      </c>
      <c r="W888" t="s">
        <v>48</v>
      </c>
      <c r="X888">
        <f>IF(OR(vp.tbl[[#This Row],[Sulf]]="",vp.tbl[[#This Row],[Dens]]=""),1,0)</f>
        <v>0</v>
      </c>
      <c r="Y888">
        <f>IF(vp.tbl[[#This Row],[CrudeType]]="C5+",1,0)</f>
        <v>0</v>
      </c>
      <c r="Z888">
        <f>IF(AND(vp.tbl[[#This Row],[CrudeType]]="Crude",vp.tbl[[#This Row],[Dens]]&lt;=825,vp.tbl[[#This Row],[Sulf]]&gt;0.5,vp.tbl[[#This Row],[Unknown]]=0),1,0)</f>
        <v>0</v>
      </c>
      <c r="AA888">
        <f>IF(AND(vp.tbl[[#This Row],[CrudeType]]="Crude",vp.tbl[[#This Row],[Dens]]&lt;=825,vp.tbl[[#This Row],[Sulf]]&lt;=0.5,vp.tbl[[#This Row],[Unknown]]=0),1,0)</f>
        <v>0</v>
      </c>
      <c r="AB888">
        <f>IF(AND(vp.tbl[[#This Row],[CrudeType]]="Crude",vp.tbl[[#This Row],[Dens]]&gt;825,vp.tbl[[#This Row],[Dens]]&lt;=870,vp.tbl[[#This Row],[Sulf]]&gt;0.5,vp.tbl[[#This Row],[Unknown]]=0),1,0)</f>
        <v>1</v>
      </c>
      <c r="AC888">
        <f>IF(AND(vp.tbl[[#This Row],[CrudeType]]="Crude",vp.tbl[[#This Row],[Dens]]&gt;825,vp.tbl[[#This Row],[Dens]]&lt;=900,vp.tbl[[#This Row],[Sulf]]&lt;=0.5,vp.tbl[[#This Row],[Unknown]]=0),1,0)</f>
        <v>0</v>
      </c>
      <c r="AD888">
        <f>IF(AND(vp.tbl[[#This Row],[CrudeType]]="Crude",vp.tbl[[#This Row],[Dens]]&gt;870,vp.tbl[[#This Row],[Dens]]&lt;=900,vp.tbl[[#This Row],[Sulf]]&gt;0.5,vp.tbl[[#This Row],[Unknown]]=0),1,0)</f>
        <v>0</v>
      </c>
      <c r="AE888">
        <f>IF(AND(vp.tbl[[#This Row],[CrudeType]]="Crude",vp.tbl[[#This Row],[Dens]]&gt;900,vp.tbl[[#This Row],[Sulf]]&lt;=0.5,vp.tbl[[#This Row],[Unknown]]=0),1,0)</f>
        <v>0</v>
      </c>
      <c r="AF888">
        <f>IF(AND(vp.tbl[[#This Row],[CrudeType]]="Crude",vp.tbl[[#This Row],[Dens]]&gt;900,vp.tbl[[#This Row],[Sulf]]&lt;=0.5,vp.tbl[[#This Row],[Unknown]]=0),1,0)</f>
        <v>0</v>
      </c>
      <c r="AG888" t="str">
        <f>INDEX(vp.tbl[[#Headers],[Unknown]:[Heavy_SW]],MATCH(1,vp.tbl[[#This Row],[Unknown]:[Heavy_SW]],0))</f>
        <v>Medium_LSB</v>
      </c>
      <c r="AH888" t="e">
        <f>INDEX([1]!crudeBD.lkup[Number],MATCH(vp.tbl[[#This Row],[Crude_Breakdown]],[1]!crudeBD.lkup[Crude Breakdown],0))</f>
        <v>#REF!</v>
      </c>
      <c r="AI888">
        <f>MONTH(vp.tbl[[#This Row],[SDate]])</f>
        <v>2</v>
      </c>
      <c r="AJ888" s="5">
        <f>IFERROR(vp.tbl[[#This Row],[Sulf]]*vp.tbl[[#This Row],[Net Dens]],"")</f>
        <v>216894.13200000001</v>
      </c>
      <c r="AK888" s="5">
        <f>IFERROR(vp.tbl[[#This Row],[Dens]]*vp.tbl[[#This Row],[VolumeM3]],"")</f>
        <v>129103.65000000001</v>
      </c>
      <c r="AL888" s="5">
        <f>IFERROR(vp.tbl[[#This Row],[VP]]*vp.tbl[[#This Row],[VolumeM3]],"")</f>
        <v>7226.8365000000013</v>
      </c>
      <c r="AM888" s="4">
        <f>IFERROR((vp.tbl[[#This Row],[VP]]-INDEX(crudeBD.lkup.complete[Mean_VP],MATCH(vp.tbl[[#This Row],[Crude_Breakdown]],crudeBD.lkup.complete[Crude Breakdown],0)))^2,"")</f>
        <v>990.58717824002315</v>
      </c>
      <c r="AN888" s="4">
        <f>IFERROR((vp.tbl[[#This Row],[Dens]]-INDEX(crudeBD.lkup.complete[Mean_Dens],MATCH(vp.tbl[[#This Row],[Crude_Breakdown]],crudeBD.lkup.complete[Crude Breakdown],0)))^2,"")</f>
        <v>610.49402129727662</v>
      </c>
      <c r="AO888" s="4">
        <f>IFERROR((vp.tbl[[#This Row],[Sulf]]-INDEX(crudeBD.lkup.complete[Mean_Sulf],MATCH(vp.tbl[[#This Row],[Crude_Breakdown]],crudeBD.lkup.complete[Crude Breakdown],0)))^2,"")</f>
        <v>5.0656567577740209E-2</v>
      </c>
      <c r="AP888">
        <f>IF(AND(vp.tbl[[#This Row],[SDate]]&gt;=DATE(YEAR(vp.tbl[[#This Row],[SDate]]),5,1),vp.tbl[[#This Row],[SDate]]&lt;=DATE(YEAR(vp.tbl[[#This Row],[SDate]]),9,15)),1,0)</f>
        <v>0</v>
      </c>
      <c r="AQ888" s="15">
        <f>IF(vp.tbl[[#This Row],[SDate]]&lt;DATE(2016,12,1),0,1)</f>
        <v>1</v>
      </c>
    </row>
    <row r="889" spans="1:43" x14ac:dyDescent="0.25">
      <c r="A889">
        <v>888</v>
      </c>
      <c r="B889" t="s">
        <v>49</v>
      </c>
      <c r="C889" t="s">
        <v>49</v>
      </c>
      <c r="D889" t="s">
        <v>186</v>
      </c>
      <c r="F889" s="1">
        <v>42792</v>
      </c>
      <c r="G889" s="2">
        <v>72.900000000000006</v>
      </c>
      <c r="H889" s="2">
        <v>0.8</v>
      </c>
      <c r="I889" s="2">
        <v>0.8</v>
      </c>
      <c r="J889" s="2">
        <v>15.2</v>
      </c>
      <c r="K889" s="2">
        <v>-11</v>
      </c>
      <c r="L889" s="2">
        <v>831.6</v>
      </c>
      <c r="M889" s="2">
        <v>831.6</v>
      </c>
      <c r="N889" s="2">
        <f ca="1">INDEX(INDIRECT(_xlfn.CONCAT("weather.tbl[",N$1,"]")),MATCH(vp.tbl[[#This Row],[SDate]],weather.tbl[Date],0))</f>
        <v>-11.916666666666666</v>
      </c>
      <c r="O889" s="2">
        <f ca="1">INDEX(INDIRECT(_xlfn.CONCAT("weather.tbl[",O$1,"]")),MATCH(vp.tbl[[#This Row],[SDate]],weather.tbl[Date],0))</f>
        <v>-4.7952380952380951</v>
      </c>
      <c r="P889" s="2">
        <f ca="1">INDEX(INDIRECT(_xlfn.CONCAT("weather.tbl[",P$1,"]")),MATCH(vp.tbl[[#This Row],[SDate]],weather.tbl[Date],0))</f>
        <v>-12.6</v>
      </c>
      <c r="Q889" s="2">
        <f ca="1">INDEX(INDIRECT(_xlfn.CONCAT("weather.tbl[",Q$1,"]")),MATCH(vp.tbl[[#This Row],[SDate]],weather.tbl[Date],0))</f>
        <v>-10.4</v>
      </c>
      <c r="R889" s="2">
        <f ca="1">INDEX(INDIRECT(_xlfn.CONCAT("weather.tbl[",R$1,"]")),MATCH(vp.tbl[[#This Row],[SDate]],weather.tbl[Date],0))</f>
        <v>-12.3</v>
      </c>
      <c r="S889" s="2">
        <f ca="1">INDEX(INDIRECT(_xlfn.CONCAT("weather.tbl[",S$1,"]")),MATCH(vp.tbl[[#This Row],[SDate]],weather.tbl[Date],0))</f>
        <v>-9.4</v>
      </c>
      <c r="T889" s="2">
        <f ca="1">INDEX(INDIRECT(_xlfn.CONCAT("weather.tbl[",T$1,"]")),MATCH(vp.tbl[[#This Row],[SDate]],weather.tbl[Date],0))</f>
        <v>-14.5</v>
      </c>
      <c r="U889" s="2">
        <f ca="1">INDEX(INDIRECT(_xlfn.CONCAT("weather.tbl[",U$1,"]")),MATCH(vp.tbl[[#This Row],[SDate]],weather.tbl[Date],0))</f>
        <v>-12.3</v>
      </c>
      <c r="V889" s="2">
        <v>1474.4390000000001</v>
      </c>
      <c r="W889" t="s">
        <v>48</v>
      </c>
      <c r="X889">
        <f>IF(OR(vp.tbl[[#This Row],[Sulf]]="",vp.tbl[[#This Row],[Dens]]=""),1,0)</f>
        <v>0</v>
      </c>
      <c r="Y889">
        <f>IF(vp.tbl[[#This Row],[CrudeType]]="C5+",1,0)</f>
        <v>0</v>
      </c>
      <c r="Z889">
        <f>IF(AND(vp.tbl[[#This Row],[CrudeType]]="Crude",vp.tbl[[#This Row],[Dens]]&lt;=825,vp.tbl[[#This Row],[Sulf]]&gt;0.5,vp.tbl[[#This Row],[Unknown]]=0),1,0)</f>
        <v>0</v>
      </c>
      <c r="AA889">
        <f>IF(AND(vp.tbl[[#This Row],[CrudeType]]="Crude",vp.tbl[[#This Row],[Dens]]&lt;=825,vp.tbl[[#This Row],[Sulf]]&lt;=0.5,vp.tbl[[#This Row],[Unknown]]=0),1,0)</f>
        <v>0</v>
      </c>
      <c r="AB889">
        <f>IF(AND(vp.tbl[[#This Row],[CrudeType]]="Crude",vp.tbl[[#This Row],[Dens]]&gt;825,vp.tbl[[#This Row],[Dens]]&lt;=870,vp.tbl[[#This Row],[Sulf]]&gt;0.5,vp.tbl[[#This Row],[Unknown]]=0),1,0)</f>
        <v>1</v>
      </c>
      <c r="AC889">
        <f>IF(AND(vp.tbl[[#This Row],[CrudeType]]="Crude",vp.tbl[[#This Row],[Dens]]&gt;825,vp.tbl[[#This Row],[Dens]]&lt;=900,vp.tbl[[#This Row],[Sulf]]&lt;=0.5,vp.tbl[[#This Row],[Unknown]]=0),1,0)</f>
        <v>0</v>
      </c>
      <c r="AD889">
        <f>IF(AND(vp.tbl[[#This Row],[CrudeType]]="Crude",vp.tbl[[#This Row],[Dens]]&gt;870,vp.tbl[[#This Row],[Dens]]&lt;=900,vp.tbl[[#This Row],[Sulf]]&gt;0.5,vp.tbl[[#This Row],[Unknown]]=0),1,0)</f>
        <v>0</v>
      </c>
      <c r="AE889">
        <f>IF(AND(vp.tbl[[#This Row],[CrudeType]]="Crude",vp.tbl[[#This Row],[Dens]]&gt;900,vp.tbl[[#This Row],[Sulf]]&lt;=0.5,vp.tbl[[#This Row],[Unknown]]=0),1,0)</f>
        <v>0</v>
      </c>
      <c r="AF889">
        <f>IF(AND(vp.tbl[[#This Row],[CrudeType]]="Crude",vp.tbl[[#This Row],[Dens]]&gt;900,vp.tbl[[#This Row],[Sulf]]&lt;=0.5,vp.tbl[[#This Row],[Unknown]]=0),1,0)</f>
        <v>0</v>
      </c>
      <c r="AG889" t="str">
        <f>INDEX(vp.tbl[[#Headers],[Unknown]:[Heavy_SW]],MATCH(1,vp.tbl[[#This Row],[Unknown]:[Heavy_SW]],0))</f>
        <v>Medium_LSB</v>
      </c>
      <c r="AH889" t="e">
        <f>INDEX([1]!crudeBD.lkup[Number],MATCH(vp.tbl[[#This Row],[Crude_Breakdown]],[1]!crudeBD.lkup[Crude Breakdown],0))</f>
        <v>#REF!</v>
      </c>
      <c r="AI889">
        <f>MONTH(vp.tbl[[#This Row],[SDate]])</f>
        <v>2</v>
      </c>
      <c r="AJ889" s="5">
        <f>IFERROR(vp.tbl[[#This Row],[Sulf]]*vp.tbl[[#This Row],[Net Dens]],"")</f>
        <v>980914.77792000014</v>
      </c>
      <c r="AK889" s="5">
        <f>IFERROR(vp.tbl[[#This Row],[Dens]]*vp.tbl[[#This Row],[VolumeM3]],"")</f>
        <v>1226143.4724000001</v>
      </c>
      <c r="AL889" s="5">
        <f>IFERROR(vp.tbl[[#This Row],[VP]]*vp.tbl[[#This Row],[VolumeM3]],"")</f>
        <v>107486.60310000001</v>
      </c>
      <c r="AM889" s="4">
        <f>IFERROR((vp.tbl[[#This Row],[VP]]-INDEX(crudeBD.lkup.complete[Mean_VP],MATCH(vp.tbl[[#This Row],[Crude_Breakdown]],crudeBD.lkup.complete[Crude Breakdown],0)))^2,"")</f>
        <v>52.905183303316157</v>
      </c>
      <c r="AN889" s="4">
        <f>IFERROR((vp.tbl[[#This Row],[Dens]]-INDEX(crudeBD.lkup.complete[Mean_Dens],MATCH(vp.tbl[[#This Row],[Crude_Breakdown]],crudeBD.lkup.complete[Crude Breakdown],0)))^2,"")</f>
        <v>187.46601117061815</v>
      </c>
      <c r="AO889" s="4">
        <f>IFERROR((vp.tbl[[#This Row],[Sulf]]-INDEX(crudeBD.lkup.complete[Mean_Sulf],MATCH(vp.tbl[[#This Row],[Crude_Breakdown]],crudeBD.lkup.complete[Crude Breakdown],0)))^2,"")</f>
        <v>0.42893312251445165</v>
      </c>
      <c r="AP889">
        <f>IF(AND(vp.tbl[[#This Row],[SDate]]&gt;=DATE(YEAR(vp.tbl[[#This Row],[SDate]]),5,1),vp.tbl[[#This Row],[SDate]]&lt;=DATE(YEAR(vp.tbl[[#This Row],[SDate]]),9,15)),1,0)</f>
        <v>0</v>
      </c>
      <c r="AQ889" s="15">
        <f>IF(vp.tbl[[#This Row],[SDate]]&lt;DATE(2016,12,1),0,1)</f>
        <v>1</v>
      </c>
    </row>
    <row r="890" spans="1:43" x14ac:dyDescent="0.25">
      <c r="A890">
        <v>889</v>
      </c>
      <c r="B890" t="s">
        <v>49</v>
      </c>
      <c r="C890" t="s">
        <v>49</v>
      </c>
      <c r="D890" t="s">
        <v>187</v>
      </c>
      <c r="F890" s="1">
        <v>42792</v>
      </c>
      <c r="G890" s="2">
        <v>46.1</v>
      </c>
      <c r="H890" s="2">
        <v>0.85599999999999998</v>
      </c>
      <c r="I890" s="2">
        <v>0.85599999999999998</v>
      </c>
      <c r="J890" s="2">
        <v>11.4</v>
      </c>
      <c r="K890" s="2">
        <v>-11</v>
      </c>
      <c r="L890" s="2">
        <v>843</v>
      </c>
      <c r="M890" s="2">
        <v>843</v>
      </c>
      <c r="N890" s="2">
        <f ca="1">INDEX(INDIRECT(_xlfn.CONCAT("weather.tbl[",N$1,"]")),MATCH(vp.tbl[[#This Row],[SDate]],weather.tbl[Date],0))</f>
        <v>-11.916666666666666</v>
      </c>
      <c r="O890" s="2">
        <f ca="1">INDEX(INDIRECT(_xlfn.CONCAT("weather.tbl[",O$1,"]")),MATCH(vp.tbl[[#This Row],[SDate]],weather.tbl[Date],0))</f>
        <v>-4.7952380952380951</v>
      </c>
      <c r="P890" s="2">
        <f ca="1">INDEX(INDIRECT(_xlfn.CONCAT("weather.tbl[",P$1,"]")),MATCH(vp.tbl[[#This Row],[SDate]],weather.tbl[Date],0))</f>
        <v>-12.6</v>
      </c>
      <c r="Q890" s="2">
        <f ca="1">INDEX(INDIRECT(_xlfn.CONCAT("weather.tbl[",Q$1,"]")),MATCH(vp.tbl[[#This Row],[SDate]],weather.tbl[Date],0))</f>
        <v>-10.4</v>
      </c>
      <c r="R890" s="2">
        <f ca="1">INDEX(INDIRECT(_xlfn.CONCAT("weather.tbl[",R$1,"]")),MATCH(vp.tbl[[#This Row],[SDate]],weather.tbl[Date],0))</f>
        <v>-12.3</v>
      </c>
      <c r="S890" s="2">
        <f ca="1">INDEX(INDIRECT(_xlfn.CONCAT("weather.tbl[",S$1,"]")),MATCH(vp.tbl[[#This Row],[SDate]],weather.tbl[Date],0))</f>
        <v>-9.4</v>
      </c>
      <c r="T890" s="2">
        <f ca="1">INDEX(INDIRECT(_xlfn.CONCAT("weather.tbl[",T$1,"]")),MATCH(vp.tbl[[#This Row],[SDate]],weather.tbl[Date],0))</f>
        <v>-14.5</v>
      </c>
      <c r="U890" s="2">
        <f ca="1">INDEX(INDIRECT(_xlfn.CONCAT("weather.tbl[",U$1,"]")),MATCH(vp.tbl[[#This Row],[SDate]],weather.tbl[Date],0))</f>
        <v>-12.3</v>
      </c>
      <c r="V890" s="2">
        <v>471.40300000000002</v>
      </c>
      <c r="W890" t="s">
        <v>48</v>
      </c>
      <c r="X890">
        <f>IF(OR(vp.tbl[[#This Row],[Sulf]]="",vp.tbl[[#This Row],[Dens]]=""),1,0)</f>
        <v>0</v>
      </c>
      <c r="Y890">
        <f>IF(vp.tbl[[#This Row],[CrudeType]]="C5+",1,0)</f>
        <v>0</v>
      </c>
      <c r="Z890">
        <f>IF(AND(vp.tbl[[#This Row],[CrudeType]]="Crude",vp.tbl[[#This Row],[Dens]]&lt;=825,vp.tbl[[#This Row],[Sulf]]&gt;0.5,vp.tbl[[#This Row],[Unknown]]=0),1,0)</f>
        <v>0</v>
      </c>
      <c r="AA890">
        <f>IF(AND(vp.tbl[[#This Row],[CrudeType]]="Crude",vp.tbl[[#This Row],[Dens]]&lt;=825,vp.tbl[[#This Row],[Sulf]]&lt;=0.5,vp.tbl[[#This Row],[Unknown]]=0),1,0)</f>
        <v>0</v>
      </c>
      <c r="AB890">
        <f>IF(AND(vp.tbl[[#This Row],[CrudeType]]="Crude",vp.tbl[[#This Row],[Dens]]&gt;825,vp.tbl[[#This Row],[Dens]]&lt;=870,vp.tbl[[#This Row],[Sulf]]&gt;0.5,vp.tbl[[#This Row],[Unknown]]=0),1,0)</f>
        <v>1</v>
      </c>
      <c r="AC890">
        <f>IF(AND(vp.tbl[[#This Row],[CrudeType]]="Crude",vp.tbl[[#This Row],[Dens]]&gt;825,vp.tbl[[#This Row],[Dens]]&lt;=900,vp.tbl[[#This Row],[Sulf]]&lt;=0.5,vp.tbl[[#This Row],[Unknown]]=0),1,0)</f>
        <v>0</v>
      </c>
      <c r="AD890">
        <f>IF(AND(vp.tbl[[#This Row],[CrudeType]]="Crude",vp.tbl[[#This Row],[Dens]]&gt;870,vp.tbl[[#This Row],[Dens]]&lt;=900,vp.tbl[[#This Row],[Sulf]]&gt;0.5,vp.tbl[[#This Row],[Unknown]]=0),1,0)</f>
        <v>0</v>
      </c>
      <c r="AE890">
        <f>IF(AND(vp.tbl[[#This Row],[CrudeType]]="Crude",vp.tbl[[#This Row],[Dens]]&gt;900,vp.tbl[[#This Row],[Sulf]]&lt;=0.5,vp.tbl[[#This Row],[Unknown]]=0),1,0)</f>
        <v>0</v>
      </c>
      <c r="AF890">
        <f>IF(AND(vp.tbl[[#This Row],[CrudeType]]="Crude",vp.tbl[[#This Row],[Dens]]&gt;900,vp.tbl[[#This Row],[Sulf]]&lt;=0.5,vp.tbl[[#This Row],[Unknown]]=0),1,0)</f>
        <v>0</v>
      </c>
      <c r="AG890" t="str">
        <f>INDEX(vp.tbl[[#Headers],[Unknown]:[Heavy_SW]],MATCH(1,vp.tbl[[#This Row],[Unknown]:[Heavy_SW]],0))</f>
        <v>Medium_LSB</v>
      </c>
      <c r="AH890" t="e">
        <f>INDEX([1]!crudeBD.lkup[Number],MATCH(vp.tbl[[#This Row],[Crude_Breakdown]],[1]!crudeBD.lkup[Crude Breakdown],0))</f>
        <v>#REF!</v>
      </c>
      <c r="AI890">
        <f>MONTH(vp.tbl[[#This Row],[SDate]])</f>
        <v>2</v>
      </c>
      <c r="AJ890" s="5">
        <f>IFERROR(vp.tbl[[#This Row],[Sulf]]*vp.tbl[[#This Row],[Net Dens]],"")</f>
        <v>340168.17602399999</v>
      </c>
      <c r="AK890" s="5">
        <f>IFERROR(vp.tbl[[#This Row],[Dens]]*vp.tbl[[#This Row],[VolumeM3]],"")</f>
        <v>397392.72899999999</v>
      </c>
      <c r="AL890" s="5">
        <f>IFERROR(vp.tbl[[#This Row],[VP]]*vp.tbl[[#This Row],[VolumeM3]],"")</f>
        <v>21731.678300000003</v>
      </c>
      <c r="AM890" s="4">
        <f>IFERROR((vp.tbl[[#This Row],[VP]]-INDEX(crudeBD.lkup.complete[Mean_VP],MATCH(vp.tbl[[#This Row],[Crude_Breakdown]],crudeBD.lkup.complete[Crude Breakdown],0)))^2,"")</f>
        <v>1161.0098719109092</v>
      </c>
      <c r="AN890" s="4">
        <f>IFERROR((vp.tbl[[#This Row],[Dens]]-INDEX(crudeBD.lkup.complete[Mean_Dens],MATCH(vp.tbl[[#This Row],[Crude_Breakdown]],crudeBD.lkup.complete[Crude Breakdown],0)))^2,"")</f>
        <v>5.2524516769703302</v>
      </c>
      <c r="AO890" s="4">
        <f>IFERROR((vp.tbl[[#This Row],[Sulf]]-INDEX(crudeBD.lkup.complete[Mean_Sulf],MATCH(vp.tbl[[#This Row],[Crude_Breakdown]],crudeBD.lkup.complete[Crude Breakdown],0)))^2,"")</f>
        <v>0.3587169781093883</v>
      </c>
      <c r="AP890">
        <f>IF(AND(vp.tbl[[#This Row],[SDate]]&gt;=DATE(YEAR(vp.tbl[[#This Row],[SDate]]),5,1),vp.tbl[[#This Row],[SDate]]&lt;=DATE(YEAR(vp.tbl[[#This Row],[SDate]]),9,15)),1,0)</f>
        <v>0</v>
      </c>
      <c r="AQ890" s="15">
        <f>IF(vp.tbl[[#This Row],[SDate]]&lt;DATE(2016,12,1),0,1)</f>
        <v>1</v>
      </c>
    </row>
    <row r="891" spans="1:43" x14ac:dyDescent="0.25">
      <c r="A891">
        <v>890</v>
      </c>
      <c r="B891" t="s">
        <v>49</v>
      </c>
      <c r="C891" t="s">
        <v>49</v>
      </c>
      <c r="D891" t="s">
        <v>70</v>
      </c>
      <c r="F891" s="1">
        <v>42792</v>
      </c>
      <c r="G891" s="2">
        <v>87</v>
      </c>
      <c r="H891" s="2">
        <v>0.90400000000000003</v>
      </c>
      <c r="I891" s="2">
        <v>0.90400000000000003</v>
      </c>
      <c r="J891" s="2">
        <v>11.5</v>
      </c>
      <c r="K891" s="2">
        <v>-11</v>
      </c>
      <c r="L891" s="2">
        <v>823.9</v>
      </c>
      <c r="M891" s="2">
        <v>823.9</v>
      </c>
      <c r="N891" s="2">
        <f ca="1">INDEX(INDIRECT(_xlfn.CONCAT("weather.tbl[",N$1,"]")),MATCH(vp.tbl[[#This Row],[SDate]],weather.tbl[Date],0))</f>
        <v>-11.916666666666666</v>
      </c>
      <c r="O891" s="2">
        <f ca="1">INDEX(INDIRECT(_xlfn.CONCAT("weather.tbl[",O$1,"]")),MATCH(vp.tbl[[#This Row],[SDate]],weather.tbl[Date],0))</f>
        <v>-4.7952380952380951</v>
      </c>
      <c r="P891" s="2">
        <f ca="1">INDEX(INDIRECT(_xlfn.CONCAT("weather.tbl[",P$1,"]")),MATCH(vp.tbl[[#This Row],[SDate]],weather.tbl[Date],0))</f>
        <v>-12.6</v>
      </c>
      <c r="Q891" s="2">
        <f ca="1">INDEX(INDIRECT(_xlfn.CONCAT("weather.tbl[",Q$1,"]")),MATCH(vp.tbl[[#This Row],[SDate]],weather.tbl[Date],0))</f>
        <v>-10.4</v>
      </c>
      <c r="R891" s="2">
        <f ca="1">INDEX(INDIRECT(_xlfn.CONCAT("weather.tbl[",R$1,"]")),MATCH(vp.tbl[[#This Row],[SDate]],weather.tbl[Date],0))</f>
        <v>-12.3</v>
      </c>
      <c r="S891" s="2">
        <f ca="1">INDEX(INDIRECT(_xlfn.CONCAT("weather.tbl[",S$1,"]")),MATCH(vp.tbl[[#This Row],[SDate]],weather.tbl[Date],0))</f>
        <v>-9.4</v>
      </c>
      <c r="T891" s="2">
        <f ca="1">INDEX(INDIRECT(_xlfn.CONCAT("weather.tbl[",T$1,"]")),MATCH(vp.tbl[[#This Row],[SDate]],weather.tbl[Date],0))</f>
        <v>-14.5</v>
      </c>
      <c r="U891" s="2">
        <f ca="1">INDEX(INDIRECT(_xlfn.CONCAT("weather.tbl[",U$1,"]")),MATCH(vp.tbl[[#This Row],[SDate]],weather.tbl[Date],0))</f>
        <v>-12.3</v>
      </c>
      <c r="V891" s="2">
        <v>2335.377</v>
      </c>
      <c r="W891" t="s">
        <v>48</v>
      </c>
      <c r="X891">
        <f>IF(OR(vp.tbl[[#This Row],[Sulf]]="",vp.tbl[[#This Row],[Dens]]=""),1,0)</f>
        <v>0</v>
      </c>
      <c r="Y891">
        <f>IF(vp.tbl[[#This Row],[CrudeType]]="C5+",1,0)</f>
        <v>0</v>
      </c>
      <c r="Z891">
        <f>IF(AND(vp.tbl[[#This Row],[CrudeType]]="Crude",vp.tbl[[#This Row],[Dens]]&lt;=825,vp.tbl[[#This Row],[Sulf]]&gt;0.5,vp.tbl[[#This Row],[Unknown]]=0),1,0)</f>
        <v>1</v>
      </c>
      <c r="AA891">
        <f>IF(AND(vp.tbl[[#This Row],[CrudeType]]="Crude",vp.tbl[[#This Row],[Dens]]&lt;=825,vp.tbl[[#This Row],[Sulf]]&lt;=0.5,vp.tbl[[#This Row],[Unknown]]=0),1,0)</f>
        <v>0</v>
      </c>
      <c r="AB891">
        <f>IF(AND(vp.tbl[[#This Row],[CrudeType]]="Crude",vp.tbl[[#This Row],[Dens]]&gt;825,vp.tbl[[#This Row],[Dens]]&lt;=870,vp.tbl[[#This Row],[Sulf]]&gt;0.5,vp.tbl[[#This Row],[Unknown]]=0),1,0)</f>
        <v>0</v>
      </c>
      <c r="AC891">
        <f>IF(AND(vp.tbl[[#This Row],[CrudeType]]="Crude",vp.tbl[[#This Row],[Dens]]&gt;825,vp.tbl[[#This Row],[Dens]]&lt;=900,vp.tbl[[#This Row],[Sulf]]&lt;=0.5,vp.tbl[[#This Row],[Unknown]]=0),1,0)</f>
        <v>0</v>
      </c>
      <c r="AD891">
        <f>IF(AND(vp.tbl[[#This Row],[CrudeType]]="Crude",vp.tbl[[#This Row],[Dens]]&gt;870,vp.tbl[[#This Row],[Dens]]&lt;=900,vp.tbl[[#This Row],[Sulf]]&gt;0.5,vp.tbl[[#This Row],[Unknown]]=0),1,0)</f>
        <v>0</v>
      </c>
      <c r="AE891">
        <f>IF(AND(vp.tbl[[#This Row],[CrudeType]]="Crude",vp.tbl[[#This Row],[Dens]]&gt;900,vp.tbl[[#This Row],[Sulf]]&lt;=0.5,vp.tbl[[#This Row],[Unknown]]=0),1,0)</f>
        <v>0</v>
      </c>
      <c r="AF891">
        <f>IF(AND(vp.tbl[[#This Row],[CrudeType]]="Crude",vp.tbl[[#This Row],[Dens]]&gt;900,vp.tbl[[#This Row],[Sulf]]&lt;=0.5,vp.tbl[[#This Row],[Unknown]]=0),1,0)</f>
        <v>0</v>
      </c>
      <c r="AG891" t="str">
        <f>INDEX(vp.tbl[[#Headers],[Unknown]:[Heavy_SW]],MATCH(1,vp.tbl[[#This Row],[Unknown]:[Heavy_SW]],0))</f>
        <v>Light_LSB</v>
      </c>
      <c r="AH891" t="e">
        <f>INDEX([1]!crudeBD.lkup[Number],MATCH(vp.tbl[[#This Row],[Crude_Breakdown]],[1]!crudeBD.lkup[Crude Breakdown],0))</f>
        <v>#REF!</v>
      </c>
      <c r="AI891">
        <f>MONTH(vp.tbl[[#This Row],[SDate]])</f>
        <v>2</v>
      </c>
      <c r="AJ891" s="5">
        <f>IFERROR(vp.tbl[[#This Row],[Sulf]]*vp.tbl[[#This Row],[Net Dens]],"")</f>
        <v>1739401.8677111999</v>
      </c>
      <c r="AK891" s="5">
        <f>IFERROR(vp.tbl[[#This Row],[Dens]]*vp.tbl[[#This Row],[VolumeM3]],"")</f>
        <v>1924117.1102999998</v>
      </c>
      <c r="AL891" s="5">
        <f>IFERROR(vp.tbl[[#This Row],[VP]]*vp.tbl[[#This Row],[VolumeM3]],"")</f>
        <v>203177.799</v>
      </c>
      <c r="AM891" s="4">
        <f>IFERROR((vp.tbl[[#This Row],[VP]]-INDEX(crudeBD.lkup.complete[Mean_VP],MATCH(vp.tbl[[#This Row],[Crude_Breakdown]],crudeBD.lkup.complete[Crude Breakdown],0)))^2,"")</f>
        <v>20.66780320969313</v>
      </c>
      <c r="AN891" s="4">
        <f>IFERROR((vp.tbl[[#This Row],[Dens]]-INDEX(crudeBD.lkup.complete[Mean_Dens],MATCH(vp.tbl[[#This Row],[Crude_Breakdown]],crudeBD.lkup.complete[Crude Breakdown],0)))^2,"")</f>
        <v>28.979167822773299</v>
      </c>
      <c r="AO891" s="4">
        <f>IFERROR((vp.tbl[[#This Row],[Sulf]]-INDEX(crudeBD.lkup.complete[Mean_Sulf],MATCH(vp.tbl[[#This Row],[Crude_Breakdown]],crudeBD.lkup.complete[Crude Breakdown],0)))^2,"")</f>
        <v>3.5990522988744935E-4</v>
      </c>
      <c r="AP891">
        <f>IF(AND(vp.tbl[[#This Row],[SDate]]&gt;=DATE(YEAR(vp.tbl[[#This Row],[SDate]]),5,1),vp.tbl[[#This Row],[SDate]]&lt;=DATE(YEAR(vp.tbl[[#This Row],[SDate]]),9,15)),1,0)</f>
        <v>0</v>
      </c>
      <c r="AQ891" s="15">
        <f>IF(vp.tbl[[#This Row],[SDate]]&lt;DATE(2016,12,1),0,1)</f>
        <v>1</v>
      </c>
    </row>
    <row r="892" spans="1:43" x14ac:dyDescent="0.25">
      <c r="A892">
        <v>891</v>
      </c>
      <c r="B892" t="s">
        <v>49</v>
      </c>
      <c r="C892" t="s">
        <v>49</v>
      </c>
      <c r="D892" t="s">
        <v>188</v>
      </c>
      <c r="F892" s="1">
        <v>42792</v>
      </c>
      <c r="G892" s="2">
        <v>71.8</v>
      </c>
      <c r="H892" s="2">
        <v>0.95099999999999996</v>
      </c>
      <c r="I892" s="2">
        <v>0.95099999999999996</v>
      </c>
      <c r="J892" s="2">
        <v>8.5</v>
      </c>
      <c r="K892" s="2">
        <v>-11</v>
      </c>
      <c r="L892" s="2">
        <v>837.1</v>
      </c>
      <c r="M892" s="2">
        <v>837.1</v>
      </c>
      <c r="N892" s="2">
        <f ca="1">INDEX(INDIRECT(_xlfn.CONCAT("weather.tbl[",N$1,"]")),MATCH(vp.tbl[[#This Row],[SDate]],weather.tbl[Date],0))</f>
        <v>-11.916666666666666</v>
      </c>
      <c r="O892" s="2">
        <f ca="1">INDEX(INDIRECT(_xlfn.CONCAT("weather.tbl[",O$1,"]")),MATCH(vp.tbl[[#This Row],[SDate]],weather.tbl[Date],0))</f>
        <v>-4.7952380952380951</v>
      </c>
      <c r="P892" s="2">
        <f ca="1">INDEX(INDIRECT(_xlfn.CONCAT("weather.tbl[",P$1,"]")),MATCH(vp.tbl[[#This Row],[SDate]],weather.tbl[Date],0))</f>
        <v>-12.6</v>
      </c>
      <c r="Q892" s="2">
        <f ca="1">INDEX(INDIRECT(_xlfn.CONCAT("weather.tbl[",Q$1,"]")),MATCH(vp.tbl[[#This Row],[SDate]],weather.tbl[Date],0))</f>
        <v>-10.4</v>
      </c>
      <c r="R892" s="2">
        <f ca="1">INDEX(INDIRECT(_xlfn.CONCAT("weather.tbl[",R$1,"]")),MATCH(vp.tbl[[#This Row],[SDate]],weather.tbl[Date],0))</f>
        <v>-12.3</v>
      </c>
      <c r="S892" s="2">
        <f ca="1">INDEX(INDIRECT(_xlfn.CONCAT("weather.tbl[",S$1,"]")),MATCH(vp.tbl[[#This Row],[SDate]],weather.tbl[Date],0))</f>
        <v>-9.4</v>
      </c>
      <c r="T892" s="2">
        <f ca="1">INDEX(INDIRECT(_xlfn.CONCAT("weather.tbl[",T$1,"]")),MATCH(vp.tbl[[#This Row],[SDate]],weather.tbl[Date],0))</f>
        <v>-14.5</v>
      </c>
      <c r="U892" s="2">
        <f ca="1">INDEX(INDIRECT(_xlfn.CONCAT("weather.tbl[",U$1,"]")),MATCH(vp.tbl[[#This Row],[SDate]],weather.tbl[Date],0))</f>
        <v>-12.3</v>
      </c>
      <c r="V892" s="2">
        <v>1247.345</v>
      </c>
      <c r="W892" t="s">
        <v>48</v>
      </c>
      <c r="X892">
        <f>IF(OR(vp.tbl[[#This Row],[Sulf]]="",vp.tbl[[#This Row],[Dens]]=""),1,0)</f>
        <v>0</v>
      </c>
      <c r="Y892">
        <f>IF(vp.tbl[[#This Row],[CrudeType]]="C5+",1,0)</f>
        <v>0</v>
      </c>
      <c r="Z892">
        <f>IF(AND(vp.tbl[[#This Row],[CrudeType]]="Crude",vp.tbl[[#This Row],[Dens]]&lt;=825,vp.tbl[[#This Row],[Sulf]]&gt;0.5,vp.tbl[[#This Row],[Unknown]]=0),1,0)</f>
        <v>0</v>
      </c>
      <c r="AA892">
        <f>IF(AND(vp.tbl[[#This Row],[CrudeType]]="Crude",vp.tbl[[#This Row],[Dens]]&lt;=825,vp.tbl[[#This Row],[Sulf]]&lt;=0.5,vp.tbl[[#This Row],[Unknown]]=0),1,0)</f>
        <v>0</v>
      </c>
      <c r="AB892">
        <f>IF(AND(vp.tbl[[#This Row],[CrudeType]]="Crude",vp.tbl[[#This Row],[Dens]]&gt;825,vp.tbl[[#This Row],[Dens]]&lt;=870,vp.tbl[[#This Row],[Sulf]]&gt;0.5,vp.tbl[[#This Row],[Unknown]]=0),1,0)</f>
        <v>1</v>
      </c>
      <c r="AC892">
        <f>IF(AND(vp.tbl[[#This Row],[CrudeType]]="Crude",vp.tbl[[#This Row],[Dens]]&gt;825,vp.tbl[[#This Row],[Dens]]&lt;=900,vp.tbl[[#This Row],[Sulf]]&lt;=0.5,vp.tbl[[#This Row],[Unknown]]=0),1,0)</f>
        <v>0</v>
      </c>
      <c r="AD892">
        <f>IF(AND(vp.tbl[[#This Row],[CrudeType]]="Crude",vp.tbl[[#This Row],[Dens]]&gt;870,vp.tbl[[#This Row],[Dens]]&lt;=900,vp.tbl[[#This Row],[Sulf]]&gt;0.5,vp.tbl[[#This Row],[Unknown]]=0),1,0)</f>
        <v>0</v>
      </c>
      <c r="AE892">
        <f>IF(AND(vp.tbl[[#This Row],[CrudeType]]="Crude",vp.tbl[[#This Row],[Dens]]&gt;900,vp.tbl[[#This Row],[Sulf]]&lt;=0.5,vp.tbl[[#This Row],[Unknown]]=0),1,0)</f>
        <v>0</v>
      </c>
      <c r="AF892">
        <f>IF(AND(vp.tbl[[#This Row],[CrudeType]]="Crude",vp.tbl[[#This Row],[Dens]]&gt;900,vp.tbl[[#This Row],[Sulf]]&lt;=0.5,vp.tbl[[#This Row],[Unknown]]=0),1,0)</f>
        <v>0</v>
      </c>
      <c r="AG892" t="str">
        <f>INDEX(vp.tbl[[#Headers],[Unknown]:[Heavy_SW]],MATCH(1,vp.tbl[[#This Row],[Unknown]:[Heavy_SW]],0))</f>
        <v>Medium_LSB</v>
      </c>
      <c r="AH892" t="e">
        <f>INDEX([1]!crudeBD.lkup[Number],MATCH(vp.tbl[[#This Row],[Crude_Breakdown]],[1]!crudeBD.lkup[Crude Breakdown],0))</f>
        <v>#REF!</v>
      </c>
      <c r="AI892">
        <f>MONTH(vp.tbl[[#This Row],[SDate]])</f>
        <v>2</v>
      </c>
      <c r="AJ892" s="5">
        <f>IFERROR(vp.tbl[[#This Row],[Sulf]]*vp.tbl[[#This Row],[Net Dens]],"")</f>
        <v>992989.02702449996</v>
      </c>
      <c r="AK892" s="5">
        <f>IFERROR(vp.tbl[[#This Row],[Dens]]*vp.tbl[[#This Row],[VolumeM3]],"")</f>
        <v>1044152.4995</v>
      </c>
      <c r="AL892" s="5">
        <f>IFERROR(vp.tbl[[#This Row],[VP]]*vp.tbl[[#This Row],[VolumeM3]],"")</f>
        <v>89559.370999999999</v>
      </c>
      <c r="AM892" s="4">
        <f>IFERROR((vp.tbl[[#This Row],[VP]]-INDEX(crudeBD.lkup.complete[Mean_VP],MATCH(vp.tbl[[#This Row],[Crude_Breakdown]],crudeBD.lkup.complete[Crude Breakdown],0)))^2,"")</f>
        <v>70.1170921640757</v>
      </c>
      <c r="AN892" s="4">
        <f>IFERROR((vp.tbl[[#This Row],[Dens]]-INDEX(crudeBD.lkup.complete[Mean_Dens],MATCH(vp.tbl[[#This Row],[Crude_Breakdown]],crudeBD.lkup.complete[Crude Breakdown],0)))^2,"")</f>
        <v>67.105960537717834</v>
      </c>
      <c r="AO892" s="4">
        <f>IFERROR((vp.tbl[[#This Row],[Sulf]]-INDEX(crudeBD.lkup.complete[Mean_Sulf],MATCH(vp.tbl[[#This Row],[Crude_Breakdown]],crudeBD.lkup.complete[Crude Breakdown],0)))^2,"")</f>
        <v>0.25394530456508424</v>
      </c>
      <c r="AP892">
        <f>IF(AND(vp.tbl[[#This Row],[SDate]]&gt;=DATE(YEAR(vp.tbl[[#This Row],[SDate]]),5,1),vp.tbl[[#This Row],[SDate]]&lt;=DATE(YEAR(vp.tbl[[#This Row],[SDate]]),9,15)),1,0)</f>
        <v>0</v>
      </c>
      <c r="AQ892" s="15">
        <f>IF(vp.tbl[[#This Row],[SDate]]&lt;DATE(2016,12,1),0,1)</f>
        <v>1</v>
      </c>
    </row>
    <row r="893" spans="1:43" x14ac:dyDescent="0.25">
      <c r="A893">
        <v>892</v>
      </c>
      <c r="B893" t="s">
        <v>49</v>
      </c>
      <c r="C893" t="s">
        <v>49</v>
      </c>
      <c r="D893" t="s">
        <v>150</v>
      </c>
      <c r="F893" s="1">
        <v>42792</v>
      </c>
      <c r="G893" s="2">
        <v>75.2</v>
      </c>
      <c r="H893" s="2">
        <v>1.1339999999999999</v>
      </c>
      <c r="I893" s="2">
        <v>1.1339999999999999</v>
      </c>
      <c r="J893" s="2">
        <v>15.8</v>
      </c>
      <c r="K893" s="2">
        <v>-11</v>
      </c>
      <c r="L893" s="2">
        <v>840.5</v>
      </c>
      <c r="M893" s="2">
        <v>840.5</v>
      </c>
      <c r="N893" s="2">
        <f ca="1">INDEX(INDIRECT(_xlfn.CONCAT("weather.tbl[",N$1,"]")),MATCH(vp.tbl[[#This Row],[SDate]],weather.tbl[Date],0))</f>
        <v>-11.916666666666666</v>
      </c>
      <c r="O893" s="2">
        <f ca="1">INDEX(INDIRECT(_xlfn.CONCAT("weather.tbl[",O$1,"]")),MATCH(vp.tbl[[#This Row],[SDate]],weather.tbl[Date],0))</f>
        <v>-4.7952380952380951</v>
      </c>
      <c r="P893" s="2">
        <f ca="1">INDEX(INDIRECT(_xlfn.CONCAT("weather.tbl[",P$1,"]")),MATCH(vp.tbl[[#This Row],[SDate]],weather.tbl[Date],0))</f>
        <v>-12.6</v>
      </c>
      <c r="Q893" s="2">
        <f ca="1">INDEX(INDIRECT(_xlfn.CONCAT("weather.tbl[",Q$1,"]")),MATCH(vp.tbl[[#This Row],[SDate]],weather.tbl[Date],0))</f>
        <v>-10.4</v>
      </c>
      <c r="R893" s="2">
        <f ca="1">INDEX(INDIRECT(_xlfn.CONCAT("weather.tbl[",R$1,"]")),MATCH(vp.tbl[[#This Row],[SDate]],weather.tbl[Date],0))</f>
        <v>-12.3</v>
      </c>
      <c r="S893" s="2">
        <f ca="1">INDEX(INDIRECT(_xlfn.CONCAT("weather.tbl[",S$1,"]")),MATCH(vp.tbl[[#This Row],[SDate]],weather.tbl[Date],0))</f>
        <v>-9.4</v>
      </c>
      <c r="T893" s="2">
        <f ca="1">INDEX(INDIRECT(_xlfn.CONCAT("weather.tbl[",T$1,"]")),MATCH(vp.tbl[[#This Row],[SDate]],weather.tbl[Date],0))</f>
        <v>-14.5</v>
      </c>
      <c r="U893" s="2">
        <f ca="1">INDEX(INDIRECT(_xlfn.CONCAT("weather.tbl[",U$1,"]")),MATCH(vp.tbl[[#This Row],[SDate]],weather.tbl[Date],0))</f>
        <v>-12.3</v>
      </c>
      <c r="V893" s="2">
        <v>768.60500000000002</v>
      </c>
      <c r="W893" t="s">
        <v>48</v>
      </c>
      <c r="X893">
        <f>IF(OR(vp.tbl[[#This Row],[Sulf]]="",vp.tbl[[#This Row],[Dens]]=""),1,0)</f>
        <v>0</v>
      </c>
      <c r="Y893">
        <f>IF(vp.tbl[[#This Row],[CrudeType]]="C5+",1,0)</f>
        <v>0</v>
      </c>
      <c r="Z893">
        <f>IF(AND(vp.tbl[[#This Row],[CrudeType]]="Crude",vp.tbl[[#This Row],[Dens]]&lt;=825,vp.tbl[[#This Row],[Sulf]]&gt;0.5,vp.tbl[[#This Row],[Unknown]]=0),1,0)</f>
        <v>0</v>
      </c>
      <c r="AA893">
        <f>IF(AND(vp.tbl[[#This Row],[CrudeType]]="Crude",vp.tbl[[#This Row],[Dens]]&lt;=825,vp.tbl[[#This Row],[Sulf]]&lt;=0.5,vp.tbl[[#This Row],[Unknown]]=0),1,0)</f>
        <v>0</v>
      </c>
      <c r="AB893">
        <f>IF(AND(vp.tbl[[#This Row],[CrudeType]]="Crude",vp.tbl[[#This Row],[Dens]]&gt;825,vp.tbl[[#This Row],[Dens]]&lt;=870,vp.tbl[[#This Row],[Sulf]]&gt;0.5,vp.tbl[[#This Row],[Unknown]]=0),1,0)</f>
        <v>1</v>
      </c>
      <c r="AC893">
        <f>IF(AND(vp.tbl[[#This Row],[CrudeType]]="Crude",vp.tbl[[#This Row],[Dens]]&gt;825,vp.tbl[[#This Row],[Dens]]&lt;=900,vp.tbl[[#This Row],[Sulf]]&lt;=0.5,vp.tbl[[#This Row],[Unknown]]=0),1,0)</f>
        <v>0</v>
      </c>
      <c r="AD893">
        <f>IF(AND(vp.tbl[[#This Row],[CrudeType]]="Crude",vp.tbl[[#This Row],[Dens]]&gt;870,vp.tbl[[#This Row],[Dens]]&lt;=900,vp.tbl[[#This Row],[Sulf]]&gt;0.5,vp.tbl[[#This Row],[Unknown]]=0),1,0)</f>
        <v>0</v>
      </c>
      <c r="AE893">
        <f>IF(AND(vp.tbl[[#This Row],[CrudeType]]="Crude",vp.tbl[[#This Row],[Dens]]&gt;900,vp.tbl[[#This Row],[Sulf]]&lt;=0.5,vp.tbl[[#This Row],[Unknown]]=0),1,0)</f>
        <v>0</v>
      </c>
      <c r="AF893">
        <f>IF(AND(vp.tbl[[#This Row],[CrudeType]]="Crude",vp.tbl[[#This Row],[Dens]]&gt;900,vp.tbl[[#This Row],[Sulf]]&lt;=0.5,vp.tbl[[#This Row],[Unknown]]=0),1,0)</f>
        <v>0</v>
      </c>
      <c r="AG893" t="str">
        <f>INDEX(vp.tbl[[#Headers],[Unknown]:[Heavy_SW]],MATCH(1,vp.tbl[[#This Row],[Unknown]:[Heavy_SW]],0))</f>
        <v>Medium_LSB</v>
      </c>
      <c r="AH893" t="e">
        <f>INDEX([1]!crudeBD.lkup[Number],MATCH(vp.tbl[[#This Row],[Crude_Breakdown]],[1]!crudeBD.lkup[Crude Breakdown],0))</f>
        <v>#REF!</v>
      </c>
      <c r="AI893">
        <f>MONTH(vp.tbl[[#This Row],[SDate]])</f>
        <v>2</v>
      </c>
      <c r="AJ893" s="5">
        <f>IFERROR(vp.tbl[[#This Row],[Sulf]]*vp.tbl[[#This Row],[Net Dens]],"")</f>
        <v>732578.17783499998</v>
      </c>
      <c r="AK893" s="5">
        <f>IFERROR(vp.tbl[[#This Row],[Dens]]*vp.tbl[[#This Row],[VolumeM3]],"")</f>
        <v>646012.50250000006</v>
      </c>
      <c r="AL893" s="5">
        <f>IFERROR(vp.tbl[[#This Row],[VP]]*vp.tbl[[#This Row],[VolumeM3]],"")</f>
        <v>57799.096000000005</v>
      </c>
      <c r="AM893" s="4">
        <f>IFERROR((vp.tbl[[#This Row],[VP]]-INDEX(crudeBD.lkup.complete[Mean_VP],MATCH(vp.tbl[[#This Row],[Crude_Breakdown]],crudeBD.lkup.complete[Crude Breakdown],0)))^2,"")</f>
        <v>24.736646594455621</v>
      </c>
      <c r="AN893" s="4">
        <f>IFERROR((vp.tbl[[#This Row],[Dens]]-INDEX(crudeBD.lkup.complete[Mean_Dens],MATCH(vp.tbl[[#This Row],[Crude_Breakdown]],crudeBD.lkup.complete[Crude Breakdown],0)))^2,"")</f>
        <v>22.961565601016041</v>
      </c>
      <c r="AO893" s="4">
        <f>IFERROR((vp.tbl[[#This Row],[Sulf]]-INDEX(crudeBD.lkup.complete[Mean_Sulf],MATCH(vp.tbl[[#This Row],[Crude_Breakdown]],crudeBD.lkup.complete[Crude Breakdown],0)))^2,"")</f>
        <v>0.10299597552710901</v>
      </c>
      <c r="AP893">
        <f>IF(AND(vp.tbl[[#This Row],[SDate]]&gt;=DATE(YEAR(vp.tbl[[#This Row],[SDate]]),5,1),vp.tbl[[#This Row],[SDate]]&lt;=DATE(YEAR(vp.tbl[[#This Row],[SDate]]),9,15)),1,0)</f>
        <v>0</v>
      </c>
      <c r="AQ893" s="15">
        <f>IF(vp.tbl[[#This Row],[SDate]]&lt;DATE(2016,12,1),0,1)</f>
        <v>1</v>
      </c>
    </row>
    <row r="894" spans="1:43" x14ac:dyDescent="0.25">
      <c r="A894">
        <v>893</v>
      </c>
      <c r="B894" t="s">
        <v>96</v>
      </c>
      <c r="C894" t="s">
        <v>96</v>
      </c>
      <c r="D894" t="s">
        <v>97</v>
      </c>
      <c r="F894" s="1">
        <v>42792</v>
      </c>
      <c r="G894" s="2">
        <v>78.2</v>
      </c>
      <c r="H894" s="2"/>
      <c r="I894" s="2">
        <v>0.73</v>
      </c>
      <c r="J894" s="2">
        <v>28.8</v>
      </c>
      <c r="K894" s="2">
        <v>-11</v>
      </c>
      <c r="L894" s="2">
        <v>825.3</v>
      </c>
      <c r="M894" s="2">
        <v>825.3</v>
      </c>
      <c r="N894" s="2">
        <f ca="1">INDEX(INDIRECT(_xlfn.CONCAT("weather.tbl[",N$1,"]")),MATCH(vp.tbl[[#This Row],[SDate]],weather.tbl[Date],0))</f>
        <v>-11.916666666666666</v>
      </c>
      <c r="O894" s="2">
        <f ca="1">INDEX(INDIRECT(_xlfn.CONCAT("weather.tbl[",O$1,"]")),MATCH(vp.tbl[[#This Row],[SDate]],weather.tbl[Date],0))</f>
        <v>-4.7952380952380951</v>
      </c>
      <c r="P894" s="2">
        <f ca="1">INDEX(INDIRECT(_xlfn.CONCAT("weather.tbl[",P$1,"]")),MATCH(vp.tbl[[#This Row],[SDate]],weather.tbl[Date],0))</f>
        <v>-12.6</v>
      </c>
      <c r="Q894" s="2">
        <f ca="1">INDEX(INDIRECT(_xlfn.CONCAT("weather.tbl[",Q$1,"]")),MATCH(vp.tbl[[#This Row],[SDate]],weather.tbl[Date],0))</f>
        <v>-10.4</v>
      </c>
      <c r="R894" s="2">
        <f ca="1">INDEX(INDIRECT(_xlfn.CONCAT("weather.tbl[",R$1,"]")),MATCH(vp.tbl[[#This Row],[SDate]],weather.tbl[Date],0))</f>
        <v>-12.3</v>
      </c>
      <c r="S894" s="2">
        <f ca="1">INDEX(INDIRECT(_xlfn.CONCAT("weather.tbl[",S$1,"]")),MATCH(vp.tbl[[#This Row],[SDate]],weather.tbl[Date],0))</f>
        <v>-9.4</v>
      </c>
      <c r="T894" s="2">
        <f ca="1">INDEX(INDIRECT(_xlfn.CONCAT("weather.tbl[",T$1,"]")),MATCH(vp.tbl[[#This Row],[SDate]],weather.tbl[Date],0))</f>
        <v>-14.5</v>
      </c>
      <c r="U894" s="2">
        <f ca="1">INDEX(INDIRECT(_xlfn.CONCAT("weather.tbl[",U$1,"]")),MATCH(vp.tbl[[#This Row],[SDate]],weather.tbl[Date],0))</f>
        <v>-12.3</v>
      </c>
      <c r="V894" s="2">
        <v>7093.32</v>
      </c>
      <c r="W894" t="s">
        <v>48</v>
      </c>
      <c r="X894">
        <f>IF(OR(vp.tbl[[#This Row],[Sulf]]="",vp.tbl[[#This Row],[Dens]]=""),1,0)</f>
        <v>0</v>
      </c>
      <c r="Y894">
        <f>IF(vp.tbl[[#This Row],[CrudeType]]="C5+",1,0)</f>
        <v>0</v>
      </c>
      <c r="Z894">
        <f>IF(AND(vp.tbl[[#This Row],[CrudeType]]="Crude",vp.tbl[[#This Row],[Dens]]&lt;=825,vp.tbl[[#This Row],[Sulf]]&gt;0.5,vp.tbl[[#This Row],[Unknown]]=0),1,0)</f>
        <v>0</v>
      </c>
      <c r="AA894">
        <f>IF(AND(vp.tbl[[#This Row],[CrudeType]]="Crude",vp.tbl[[#This Row],[Dens]]&lt;=825,vp.tbl[[#This Row],[Sulf]]&lt;=0.5,vp.tbl[[#This Row],[Unknown]]=0),1,0)</f>
        <v>0</v>
      </c>
      <c r="AB894">
        <f>IF(AND(vp.tbl[[#This Row],[CrudeType]]="Crude",vp.tbl[[#This Row],[Dens]]&gt;825,vp.tbl[[#This Row],[Dens]]&lt;=870,vp.tbl[[#This Row],[Sulf]]&gt;0.5,vp.tbl[[#This Row],[Unknown]]=0),1,0)</f>
        <v>1</v>
      </c>
      <c r="AC894">
        <f>IF(AND(vp.tbl[[#This Row],[CrudeType]]="Crude",vp.tbl[[#This Row],[Dens]]&gt;825,vp.tbl[[#This Row],[Dens]]&lt;=900,vp.tbl[[#This Row],[Sulf]]&lt;=0.5,vp.tbl[[#This Row],[Unknown]]=0),1,0)</f>
        <v>0</v>
      </c>
      <c r="AD894">
        <f>IF(AND(vp.tbl[[#This Row],[CrudeType]]="Crude",vp.tbl[[#This Row],[Dens]]&gt;870,vp.tbl[[#This Row],[Dens]]&lt;=900,vp.tbl[[#This Row],[Sulf]]&gt;0.5,vp.tbl[[#This Row],[Unknown]]=0),1,0)</f>
        <v>0</v>
      </c>
      <c r="AE894">
        <f>IF(AND(vp.tbl[[#This Row],[CrudeType]]="Crude",vp.tbl[[#This Row],[Dens]]&gt;900,vp.tbl[[#This Row],[Sulf]]&lt;=0.5,vp.tbl[[#This Row],[Unknown]]=0),1,0)</f>
        <v>0</v>
      </c>
      <c r="AF894">
        <f>IF(AND(vp.tbl[[#This Row],[CrudeType]]="Crude",vp.tbl[[#This Row],[Dens]]&gt;900,vp.tbl[[#This Row],[Sulf]]&lt;=0.5,vp.tbl[[#This Row],[Unknown]]=0),1,0)</f>
        <v>0</v>
      </c>
      <c r="AG894" t="str">
        <f>INDEX(vp.tbl[[#Headers],[Unknown]:[Heavy_SW]],MATCH(1,vp.tbl[[#This Row],[Unknown]:[Heavy_SW]],0))</f>
        <v>Medium_LSB</v>
      </c>
      <c r="AH894" t="e">
        <f>INDEX([1]!crudeBD.lkup[Number],MATCH(vp.tbl[[#This Row],[Crude_Breakdown]],[1]!crudeBD.lkup[Crude Breakdown],0))</f>
        <v>#REF!</v>
      </c>
      <c r="AI894">
        <f>MONTH(vp.tbl[[#This Row],[SDate]])</f>
        <v>2</v>
      </c>
      <c r="AJ894" s="5">
        <f>IFERROR(vp.tbl[[#This Row],[Sulf]]*vp.tbl[[#This Row],[Net Dens]],"")</f>
        <v>4273505.4070799993</v>
      </c>
      <c r="AK894" s="5">
        <f>IFERROR(vp.tbl[[#This Row],[Dens]]*vp.tbl[[#This Row],[VolumeM3]],"")</f>
        <v>5854116.9959999993</v>
      </c>
      <c r="AL894" s="5">
        <f>IFERROR(vp.tbl[[#This Row],[VP]]*vp.tbl[[#This Row],[VolumeM3]],"")</f>
        <v>554697.62399999995</v>
      </c>
      <c r="AM894" s="4">
        <f>IFERROR((vp.tbl[[#This Row],[VP]]-INDEX(crudeBD.lkup.complete[Mean_VP],MATCH(vp.tbl[[#This Row],[Crude_Breakdown]],crudeBD.lkup.complete[Crude Breakdown],0)))^2,"")</f>
        <v>3.8950769742026954</v>
      </c>
      <c r="AN894" s="4">
        <f>IFERROR((vp.tbl[[#This Row],[Dens]]-INDEX(crudeBD.lkup.complete[Mean_Dens],MATCH(vp.tbl[[#This Row],[Crude_Breakdown]],crudeBD.lkup.complete[Crude Breakdown],0)))^2,"")</f>
        <v>399.67297825921577</v>
      </c>
      <c r="AO894" s="4">
        <f>IFERROR((vp.tbl[[#This Row],[Sulf]]-INDEX(crudeBD.lkup.complete[Mean_Sulf],MATCH(vp.tbl[[#This Row],[Crude_Breakdown]],crudeBD.lkup.complete[Crude Breakdown],0)))^2,"")</f>
        <v>0.5255233030207811</v>
      </c>
      <c r="AP894">
        <f>IF(AND(vp.tbl[[#This Row],[SDate]]&gt;=DATE(YEAR(vp.tbl[[#This Row],[SDate]]),5,1),vp.tbl[[#This Row],[SDate]]&lt;=DATE(YEAR(vp.tbl[[#This Row],[SDate]]),9,15)),1,0)</f>
        <v>0</v>
      </c>
      <c r="AQ894" s="15">
        <f>IF(vp.tbl[[#This Row],[SDate]]&lt;DATE(2016,12,1),0,1)</f>
        <v>1</v>
      </c>
    </row>
    <row r="895" spans="1:43" x14ac:dyDescent="0.25">
      <c r="A895">
        <v>894</v>
      </c>
      <c r="B895" t="s">
        <v>51</v>
      </c>
      <c r="C895" t="s">
        <v>51</v>
      </c>
      <c r="D895" t="s">
        <v>72</v>
      </c>
      <c r="F895" s="1">
        <v>42792</v>
      </c>
      <c r="G895" s="2">
        <v>99.4</v>
      </c>
      <c r="H895" s="2"/>
      <c r="I895" s="2">
        <v>1.1299999999999999</v>
      </c>
      <c r="J895" s="2">
        <v>24.1</v>
      </c>
      <c r="K895" s="2">
        <v>-11</v>
      </c>
      <c r="L895" s="2">
        <v>832.8</v>
      </c>
      <c r="M895" s="2">
        <v>832.8</v>
      </c>
      <c r="N895" s="2">
        <f ca="1">INDEX(INDIRECT(_xlfn.CONCAT("weather.tbl[",N$1,"]")),MATCH(vp.tbl[[#This Row],[SDate]],weather.tbl[Date],0))</f>
        <v>-11.916666666666666</v>
      </c>
      <c r="O895" s="2">
        <f ca="1">INDEX(INDIRECT(_xlfn.CONCAT("weather.tbl[",O$1,"]")),MATCH(vp.tbl[[#This Row],[SDate]],weather.tbl[Date],0))</f>
        <v>-4.7952380952380951</v>
      </c>
      <c r="P895" s="2">
        <f ca="1">INDEX(INDIRECT(_xlfn.CONCAT("weather.tbl[",P$1,"]")),MATCH(vp.tbl[[#This Row],[SDate]],weather.tbl[Date],0))</f>
        <v>-12.6</v>
      </c>
      <c r="Q895" s="2">
        <f ca="1">INDEX(INDIRECT(_xlfn.CONCAT("weather.tbl[",Q$1,"]")),MATCH(vp.tbl[[#This Row],[SDate]],weather.tbl[Date],0))</f>
        <v>-10.4</v>
      </c>
      <c r="R895" s="2">
        <f ca="1">INDEX(INDIRECT(_xlfn.CONCAT("weather.tbl[",R$1,"]")),MATCH(vp.tbl[[#This Row],[SDate]],weather.tbl[Date],0))</f>
        <v>-12.3</v>
      </c>
      <c r="S895" s="2">
        <f ca="1">INDEX(INDIRECT(_xlfn.CONCAT("weather.tbl[",S$1,"]")),MATCH(vp.tbl[[#This Row],[SDate]],weather.tbl[Date],0))</f>
        <v>-9.4</v>
      </c>
      <c r="T895" s="2">
        <f ca="1">INDEX(INDIRECT(_xlfn.CONCAT("weather.tbl[",T$1,"]")),MATCH(vp.tbl[[#This Row],[SDate]],weather.tbl[Date],0))</f>
        <v>-14.5</v>
      </c>
      <c r="U895" s="2">
        <f ca="1">INDEX(INDIRECT(_xlfn.CONCAT("weather.tbl[",U$1,"]")),MATCH(vp.tbl[[#This Row],[SDate]],weather.tbl[Date],0))</f>
        <v>-12.3</v>
      </c>
      <c r="V895" s="2">
        <v>12541.532999999999</v>
      </c>
      <c r="W895" t="s">
        <v>48</v>
      </c>
      <c r="X895">
        <f>IF(OR(vp.tbl[[#This Row],[Sulf]]="",vp.tbl[[#This Row],[Dens]]=""),1,0)</f>
        <v>0</v>
      </c>
      <c r="Y895">
        <f>IF(vp.tbl[[#This Row],[CrudeType]]="C5+",1,0)</f>
        <v>0</v>
      </c>
      <c r="Z895">
        <f>IF(AND(vp.tbl[[#This Row],[CrudeType]]="Crude",vp.tbl[[#This Row],[Dens]]&lt;=825,vp.tbl[[#This Row],[Sulf]]&gt;0.5,vp.tbl[[#This Row],[Unknown]]=0),1,0)</f>
        <v>0</v>
      </c>
      <c r="AA895">
        <f>IF(AND(vp.tbl[[#This Row],[CrudeType]]="Crude",vp.tbl[[#This Row],[Dens]]&lt;=825,vp.tbl[[#This Row],[Sulf]]&lt;=0.5,vp.tbl[[#This Row],[Unknown]]=0),1,0)</f>
        <v>0</v>
      </c>
      <c r="AB895">
        <f>IF(AND(vp.tbl[[#This Row],[CrudeType]]="Crude",vp.tbl[[#This Row],[Dens]]&gt;825,vp.tbl[[#This Row],[Dens]]&lt;=870,vp.tbl[[#This Row],[Sulf]]&gt;0.5,vp.tbl[[#This Row],[Unknown]]=0),1,0)</f>
        <v>1</v>
      </c>
      <c r="AC895">
        <f>IF(AND(vp.tbl[[#This Row],[CrudeType]]="Crude",vp.tbl[[#This Row],[Dens]]&gt;825,vp.tbl[[#This Row],[Dens]]&lt;=900,vp.tbl[[#This Row],[Sulf]]&lt;=0.5,vp.tbl[[#This Row],[Unknown]]=0),1,0)</f>
        <v>0</v>
      </c>
      <c r="AD895">
        <f>IF(AND(vp.tbl[[#This Row],[CrudeType]]="Crude",vp.tbl[[#This Row],[Dens]]&gt;870,vp.tbl[[#This Row],[Dens]]&lt;=900,vp.tbl[[#This Row],[Sulf]]&gt;0.5,vp.tbl[[#This Row],[Unknown]]=0),1,0)</f>
        <v>0</v>
      </c>
      <c r="AE895">
        <f>IF(AND(vp.tbl[[#This Row],[CrudeType]]="Crude",vp.tbl[[#This Row],[Dens]]&gt;900,vp.tbl[[#This Row],[Sulf]]&lt;=0.5,vp.tbl[[#This Row],[Unknown]]=0),1,0)</f>
        <v>0</v>
      </c>
      <c r="AF895">
        <f>IF(AND(vp.tbl[[#This Row],[CrudeType]]="Crude",vp.tbl[[#This Row],[Dens]]&gt;900,vp.tbl[[#This Row],[Sulf]]&lt;=0.5,vp.tbl[[#This Row],[Unknown]]=0),1,0)</f>
        <v>0</v>
      </c>
      <c r="AG895" t="str">
        <f>INDEX(vp.tbl[[#Headers],[Unknown]:[Heavy_SW]],MATCH(1,vp.tbl[[#This Row],[Unknown]:[Heavy_SW]],0))</f>
        <v>Medium_LSB</v>
      </c>
      <c r="AH895" t="e">
        <f>INDEX([1]!crudeBD.lkup[Number],MATCH(vp.tbl[[#This Row],[Crude_Breakdown]],[1]!crudeBD.lkup[Crude Breakdown],0))</f>
        <v>#REF!</v>
      </c>
      <c r="AI895">
        <f>MONTH(vp.tbl[[#This Row],[SDate]])</f>
        <v>2</v>
      </c>
      <c r="AJ895" s="5">
        <f>IFERROR(vp.tbl[[#This Row],[Sulf]]*vp.tbl[[#This Row],[Net Dens]],"")</f>
        <v>11802385.211111998</v>
      </c>
      <c r="AK895" s="5">
        <f>IFERROR(vp.tbl[[#This Row],[Dens]]*vp.tbl[[#This Row],[VolumeM3]],"")</f>
        <v>10444588.682399999</v>
      </c>
      <c r="AL895" s="5">
        <f>IFERROR(vp.tbl[[#This Row],[VP]]*vp.tbl[[#This Row],[VolumeM3]],"")</f>
        <v>1246628.3802</v>
      </c>
      <c r="AM895" s="4">
        <f>IFERROR((vp.tbl[[#This Row],[VP]]-INDEX(crudeBD.lkup.complete[Mean_VP],MATCH(vp.tbl[[#This Row],[Crude_Breakdown]],crudeBD.lkup.complete[Crude Breakdown],0)))^2,"")</f>
        <v>369.65465165774879</v>
      </c>
      <c r="AN895" s="4">
        <f>IFERROR((vp.tbl[[#This Row],[Dens]]-INDEX(crudeBD.lkup.complete[Mean_Dens],MATCH(vp.tbl[[#This Row],[Crude_Breakdown]],crudeBD.lkup.complete[Crude Breakdown],0)))^2,"")</f>
        <v>156.04563648707796</v>
      </c>
      <c r="AO895" s="4">
        <f>IFERROR((vp.tbl[[#This Row],[Sulf]]-INDEX(crudeBD.lkup.complete[Mean_Sulf],MATCH(vp.tbl[[#This Row],[Crude_Breakdown]],crudeBD.lkup.complete[Crude Breakdown],0)))^2,"")</f>
        <v>0.10557941441318498</v>
      </c>
      <c r="AP895">
        <f>IF(AND(vp.tbl[[#This Row],[SDate]]&gt;=DATE(YEAR(vp.tbl[[#This Row],[SDate]]),5,1),vp.tbl[[#This Row],[SDate]]&lt;=DATE(YEAR(vp.tbl[[#This Row],[SDate]]),9,15)),1,0)</f>
        <v>0</v>
      </c>
      <c r="AQ895" s="15">
        <f>IF(vp.tbl[[#This Row],[SDate]]&lt;DATE(2016,12,1),0,1)</f>
        <v>1</v>
      </c>
    </row>
    <row r="896" spans="1:43" x14ac:dyDescent="0.25">
      <c r="A896">
        <v>895</v>
      </c>
      <c r="B896" t="s">
        <v>108</v>
      </c>
      <c r="C896" t="s">
        <v>108</v>
      </c>
      <c r="D896" t="s">
        <v>189</v>
      </c>
      <c r="F896" s="1">
        <v>42792</v>
      </c>
      <c r="G896" s="2">
        <v>63.2</v>
      </c>
      <c r="H896" s="2"/>
      <c r="I896" s="2">
        <v>0.83</v>
      </c>
      <c r="J896" s="2">
        <v>11.6</v>
      </c>
      <c r="K896" s="2">
        <v>-11</v>
      </c>
      <c r="L896" s="2">
        <v>834.9</v>
      </c>
      <c r="M896" s="2">
        <v>834.9</v>
      </c>
      <c r="N896" s="2">
        <f ca="1">INDEX(INDIRECT(_xlfn.CONCAT("weather.tbl[",N$1,"]")),MATCH(vp.tbl[[#This Row],[SDate]],weather.tbl[Date],0))</f>
        <v>-11.916666666666666</v>
      </c>
      <c r="O896" s="2">
        <f ca="1">INDEX(INDIRECT(_xlfn.CONCAT("weather.tbl[",O$1,"]")),MATCH(vp.tbl[[#This Row],[SDate]],weather.tbl[Date],0))</f>
        <v>-4.7952380952380951</v>
      </c>
      <c r="P896" s="2">
        <f ca="1">INDEX(INDIRECT(_xlfn.CONCAT("weather.tbl[",P$1,"]")),MATCH(vp.tbl[[#This Row],[SDate]],weather.tbl[Date],0))</f>
        <v>-12.6</v>
      </c>
      <c r="Q896" s="2">
        <f ca="1">INDEX(INDIRECT(_xlfn.CONCAT("weather.tbl[",Q$1,"]")),MATCH(vp.tbl[[#This Row],[SDate]],weather.tbl[Date],0))</f>
        <v>-10.4</v>
      </c>
      <c r="R896" s="2">
        <f ca="1">INDEX(INDIRECT(_xlfn.CONCAT("weather.tbl[",R$1,"]")),MATCH(vp.tbl[[#This Row],[SDate]],weather.tbl[Date],0))</f>
        <v>-12.3</v>
      </c>
      <c r="S896" s="2">
        <f ca="1">INDEX(INDIRECT(_xlfn.CONCAT("weather.tbl[",S$1,"]")),MATCH(vp.tbl[[#This Row],[SDate]],weather.tbl[Date],0))</f>
        <v>-9.4</v>
      </c>
      <c r="T896" s="2">
        <f ca="1">INDEX(INDIRECT(_xlfn.CONCAT("weather.tbl[",T$1,"]")),MATCH(vp.tbl[[#This Row],[SDate]],weather.tbl[Date],0))</f>
        <v>-14.5</v>
      </c>
      <c r="U896" s="2">
        <f ca="1">INDEX(INDIRECT(_xlfn.CONCAT("weather.tbl[",U$1,"]")),MATCH(vp.tbl[[#This Row],[SDate]],weather.tbl[Date],0))</f>
        <v>-12.3</v>
      </c>
      <c r="V896" s="2">
        <v>708.13699999999994</v>
      </c>
      <c r="W896" t="s">
        <v>48</v>
      </c>
      <c r="X896">
        <f>IF(OR(vp.tbl[[#This Row],[Sulf]]="",vp.tbl[[#This Row],[Dens]]=""),1,0)</f>
        <v>0</v>
      </c>
      <c r="Y896">
        <f>IF(vp.tbl[[#This Row],[CrudeType]]="C5+",1,0)</f>
        <v>0</v>
      </c>
      <c r="Z896">
        <f>IF(AND(vp.tbl[[#This Row],[CrudeType]]="Crude",vp.tbl[[#This Row],[Dens]]&lt;=825,vp.tbl[[#This Row],[Sulf]]&gt;0.5,vp.tbl[[#This Row],[Unknown]]=0),1,0)</f>
        <v>0</v>
      </c>
      <c r="AA896">
        <f>IF(AND(vp.tbl[[#This Row],[CrudeType]]="Crude",vp.tbl[[#This Row],[Dens]]&lt;=825,vp.tbl[[#This Row],[Sulf]]&lt;=0.5,vp.tbl[[#This Row],[Unknown]]=0),1,0)</f>
        <v>0</v>
      </c>
      <c r="AB896">
        <f>IF(AND(vp.tbl[[#This Row],[CrudeType]]="Crude",vp.tbl[[#This Row],[Dens]]&gt;825,vp.tbl[[#This Row],[Dens]]&lt;=870,vp.tbl[[#This Row],[Sulf]]&gt;0.5,vp.tbl[[#This Row],[Unknown]]=0),1,0)</f>
        <v>1</v>
      </c>
      <c r="AC896">
        <f>IF(AND(vp.tbl[[#This Row],[CrudeType]]="Crude",vp.tbl[[#This Row],[Dens]]&gt;825,vp.tbl[[#This Row],[Dens]]&lt;=900,vp.tbl[[#This Row],[Sulf]]&lt;=0.5,vp.tbl[[#This Row],[Unknown]]=0),1,0)</f>
        <v>0</v>
      </c>
      <c r="AD896">
        <f>IF(AND(vp.tbl[[#This Row],[CrudeType]]="Crude",vp.tbl[[#This Row],[Dens]]&gt;870,vp.tbl[[#This Row],[Dens]]&lt;=900,vp.tbl[[#This Row],[Sulf]]&gt;0.5,vp.tbl[[#This Row],[Unknown]]=0),1,0)</f>
        <v>0</v>
      </c>
      <c r="AE896">
        <f>IF(AND(vp.tbl[[#This Row],[CrudeType]]="Crude",vp.tbl[[#This Row],[Dens]]&gt;900,vp.tbl[[#This Row],[Sulf]]&lt;=0.5,vp.tbl[[#This Row],[Unknown]]=0),1,0)</f>
        <v>0</v>
      </c>
      <c r="AF896">
        <f>IF(AND(vp.tbl[[#This Row],[CrudeType]]="Crude",vp.tbl[[#This Row],[Dens]]&gt;900,vp.tbl[[#This Row],[Sulf]]&lt;=0.5,vp.tbl[[#This Row],[Unknown]]=0),1,0)</f>
        <v>0</v>
      </c>
      <c r="AG896" t="str">
        <f>INDEX(vp.tbl[[#Headers],[Unknown]:[Heavy_SW]],MATCH(1,vp.tbl[[#This Row],[Unknown]:[Heavy_SW]],0))</f>
        <v>Medium_LSB</v>
      </c>
      <c r="AH896" t="e">
        <f>INDEX([1]!crudeBD.lkup[Number],MATCH(vp.tbl[[#This Row],[Crude_Breakdown]],[1]!crudeBD.lkup[Crude Breakdown],0))</f>
        <v>#REF!</v>
      </c>
      <c r="AI896">
        <f>MONTH(vp.tbl[[#This Row],[SDate]])</f>
        <v>2</v>
      </c>
      <c r="AJ896" s="5">
        <f>IFERROR(vp.tbl[[#This Row],[Sulf]]*vp.tbl[[#This Row],[Net Dens]],"")</f>
        <v>490715.57247899997</v>
      </c>
      <c r="AK896" s="5">
        <f>IFERROR(vp.tbl[[#This Row],[Dens]]*vp.tbl[[#This Row],[VolumeM3]],"")</f>
        <v>591223.58129999996</v>
      </c>
      <c r="AL896" s="5">
        <f>IFERROR(vp.tbl[[#This Row],[VP]]*vp.tbl[[#This Row],[VolumeM3]],"")</f>
        <v>44754.258399999999</v>
      </c>
      <c r="AM896" s="4">
        <f>IFERROR((vp.tbl[[#This Row],[VP]]-INDEX(crudeBD.lkup.complete[Mean_VP],MATCH(vp.tbl[[#This Row],[Crude_Breakdown]],crudeBD.lkup.complete[Crude Breakdown],0)))^2,"")</f>
        <v>288.10292507546734</v>
      </c>
      <c r="AN896" s="4">
        <f>IFERROR((vp.tbl[[#This Row],[Dens]]-INDEX(crudeBD.lkup.complete[Mean_Dens],MATCH(vp.tbl[[#This Row],[Crude_Breakdown]],crudeBD.lkup.complete[Crude Breakdown],0)))^2,"")</f>
        <v>107.9899807908789</v>
      </c>
      <c r="AO896" s="4">
        <f>IFERROR((vp.tbl[[#This Row],[Sulf]]-INDEX(crudeBD.lkup.complete[Mean_Sulf],MATCH(vp.tbl[[#This Row],[Crude_Breakdown]],crudeBD.lkup.complete[Crude Breakdown],0)))^2,"")</f>
        <v>0.39053733086888204</v>
      </c>
      <c r="AP896">
        <f>IF(AND(vp.tbl[[#This Row],[SDate]]&gt;=DATE(YEAR(vp.tbl[[#This Row],[SDate]]),5,1),vp.tbl[[#This Row],[SDate]]&lt;=DATE(YEAR(vp.tbl[[#This Row],[SDate]]),9,15)),1,0)</f>
        <v>0</v>
      </c>
      <c r="AQ896" s="15">
        <f>IF(vp.tbl[[#This Row],[SDate]]&lt;DATE(2016,12,1),0,1)</f>
        <v>1</v>
      </c>
    </row>
    <row r="897" spans="1:43" x14ac:dyDescent="0.25">
      <c r="A897">
        <v>896</v>
      </c>
      <c r="B897" t="s">
        <v>56</v>
      </c>
      <c r="C897" t="s">
        <v>56</v>
      </c>
      <c r="D897" t="s">
        <v>190</v>
      </c>
      <c r="F897" s="1">
        <v>42792</v>
      </c>
      <c r="G897" s="2">
        <v>51.3</v>
      </c>
      <c r="H897" s="2"/>
      <c r="I897" s="2">
        <v>0.81</v>
      </c>
      <c r="J897" s="2">
        <v>-4.7</v>
      </c>
      <c r="K897" s="2">
        <v>-11</v>
      </c>
      <c r="L897" s="2">
        <v>835</v>
      </c>
      <c r="M897" s="2">
        <v>835</v>
      </c>
      <c r="N897" s="2">
        <f ca="1">INDEX(INDIRECT(_xlfn.CONCAT("weather.tbl[",N$1,"]")),MATCH(vp.tbl[[#This Row],[SDate]],weather.tbl[Date],0))</f>
        <v>-11.916666666666666</v>
      </c>
      <c r="O897" s="2">
        <f ca="1">INDEX(INDIRECT(_xlfn.CONCAT("weather.tbl[",O$1,"]")),MATCH(vp.tbl[[#This Row],[SDate]],weather.tbl[Date],0))</f>
        <v>-4.7952380952380951</v>
      </c>
      <c r="P897" s="2">
        <f ca="1">INDEX(INDIRECT(_xlfn.CONCAT("weather.tbl[",P$1,"]")),MATCH(vp.tbl[[#This Row],[SDate]],weather.tbl[Date],0))</f>
        <v>-12.6</v>
      </c>
      <c r="Q897" s="2">
        <f ca="1">INDEX(INDIRECT(_xlfn.CONCAT("weather.tbl[",Q$1,"]")),MATCH(vp.tbl[[#This Row],[SDate]],weather.tbl[Date],0))</f>
        <v>-10.4</v>
      </c>
      <c r="R897" s="2">
        <f ca="1">INDEX(INDIRECT(_xlfn.CONCAT("weather.tbl[",R$1,"]")),MATCH(vp.tbl[[#This Row],[SDate]],weather.tbl[Date],0))</f>
        <v>-12.3</v>
      </c>
      <c r="S897" s="2">
        <f ca="1">INDEX(INDIRECT(_xlfn.CONCAT("weather.tbl[",S$1,"]")),MATCH(vp.tbl[[#This Row],[SDate]],weather.tbl[Date],0))</f>
        <v>-9.4</v>
      </c>
      <c r="T897" s="2">
        <f ca="1">INDEX(INDIRECT(_xlfn.CONCAT("weather.tbl[",T$1,"]")),MATCH(vp.tbl[[#This Row],[SDate]],weather.tbl[Date],0))</f>
        <v>-14.5</v>
      </c>
      <c r="U897" s="2">
        <f ca="1">INDEX(INDIRECT(_xlfn.CONCAT("weather.tbl[",U$1,"]")),MATCH(vp.tbl[[#This Row],[SDate]],weather.tbl[Date],0))</f>
        <v>-12.3</v>
      </c>
      <c r="V897" s="2">
        <v>44.030999999999999</v>
      </c>
      <c r="W897" t="s">
        <v>48</v>
      </c>
      <c r="X897">
        <f>IF(OR(vp.tbl[[#This Row],[Sulf]]="",vp.tbl[[#This Row],[Dens]]=""),1,0)</f>
        <v>0</v>
      </c>
      <c r="Y897">
        <f>IF(vp.tbl[[#This Row],[CrudeType]]="C5+",1,0)</f>
        <v>0</v>
      </c>
      <c r="Z897">
        <f>IF(AND(vp.tbl[[#This Row],[CrudeType]]="Crude",vp.tbl[[#This Row],[Dens]]&lt;=825,vp.tbl[[#This Row],[Sulf]]&gt;0.5,vp.tbl[[#This Row],[Unknown]]=0),1,0)</f>
        <v>0</v>
      </c>
      <c r="AA897">
        <f>IF(AND(vp.tbl[[#This Row],[CrudeType]]="Crude",vp.tbl[[#This Row],[Dens]]&lt;=825,vp.tbl[[#This Row],[Sulf]]&lt;=0.5,vp.tbl[[#This Row],[Unknown]]=0),1,0)</f>
        <v>0</v>
      </c>
      <c r="AB897">
        <f>IF(AND(vp.tbl[[#This Row],[CrudeType]]="Crude",vp.tbl[[#This Row],[Dens]]&gt;825,vp.tbl[[#This Row],[Dens]]&lt;=870,vp.tbl[[#This Row],[Sulf]]&gt;0.5,vp.tbl[[#This Row],[Unknown]]=0),1,0)</f>
        <v>1</v>
      </c>
      <c r="AC897">
        <f>IF(AND(vp.tbl[[#This Row],[CrudeType]]="Crude",vp.tbl[[#This Row],[Dens]]&gt;825,vp.tbl[[#This Row],[Dens]]&lt;=900,vp.tbl[[#This Row],[Sulf]]&lt;=0.5,vp.tbl[[#This Row],[Unknown]]=0),1,0)</f>
        <v>0</v>
      </c>
      <c r="AD897">
        <f>IF(AND(vp.tbl[[#This Row],[CrudeType]]="Crude",vp.tbl[[#This Row],[Dens]]&gt;870,vp.tbl[[#This Row],[Dens]]&lt;=900,vp.tbl[[#This Row],[Sulf]]&gt;0.5,vp.tbl[[#This Row],[Unknown]]=0),1,0)</f>
        <v>0</v>
      </c>
      <c r="AE897">
        <f>IF(AND(vp.tbl[[#This Row],[CrudeType]]="Crude",vp.tbl[[#This Row],[Dens]]&gt;900,vp.tbl[[#This Row],[Sulf]]&lt;=0.5,vp.tbl[[#This Row],[Unknown]]=0),1,0)</f>
        <v>0</v>
      </c>
      <c r="AF897">
        <f>IF(AND(vp.tbl[[#This Row],[CrudeType]]="Crude",vp.tbl[[#This Row],[Dens]]&gt;900,vp.tbl[[#This Row],[Sulf]]&lt;=0.5,vp.tbl[[#This Row],[Unknown]]=0),1,0)</f>
        <v>0</v>
      </c>
      <c r="AG897" t="str">
        <f>INDEX(vp.tbl[[#Headers],[Unknown]:[Heavy_SW]],MATCH(1,vp.tbl[[#This Row],[Unknown]:[Heavy_SW]],0))</f>
        <v>Medium_LSB</v>
      </c>
      <c r="AH897" t="e">
        <f>INDEX([1]!crudeBD.lkup[Number],MATCH(vp.tbl[[#This Row],[Crude_Breakdown]],[1]!crudeBD.lkup[Crude Breakdown],0))</f>
        <v>#REF!</v>
      </c>
      <c r="AI897">
        <f>MONTH(vp.tbl[[#This Row],[SDate]])</f>
        <v>2</v>
      </c>
      <c r="AJ897" s="5">
        <f>IFERROR(vp.tbl[[#This Row],[Sulf]]*vp.tbl[[#This Row],[Net Dens]],"")</f>
        <v>29780.366850000002</v>
      </c>
      <c r="AK897" s="5">
        <f>IFERROR(vp.tbl[[#This Row],[Dens]]*vp.tbl[[#This Row],[VolumeM3]],"")</f>
        <v>36765.885000000002</v>
      </c>
      <c r="AL897" s="5">
        <f>IFERROR(vp.tbl[[#This Row],[VP]]*vp.tbl[[#This Row],[VolumeM3]],"")</f>
        <v>2258.7902999999997</v>
      </c>
      <c r="AM897" s="4">
        <f>IFERROR((vp.tbl[[#This Row],[VP]]-INDEX(crudeBD.lkup.complete[Mean_VP],MATCH(vp.tbl[[#This Row],[Crude_Breakdown]],crudeBD.lkup.complete[Crude Breakdown],0)))^2,"")</f>
        <v>833.68448456913757</v>
      </c>
      <c r="AN897" s="4">
        <f>IFERROR((vp.tbl[[#This Row],[Dens]]-INDEX(crudeBD.lkup.complete[Mean_Dens],MATCH(vp.tbl[[#This Row],[Crude_Breakdown]],crudeBD.lkup.complete[Crude Breakdown],0)))^2,"")</f>
        <v>105.92161623391659</v>
      </c>
      <c r="AO897" s="4">
        <f>IFERROR((vp.tbl[[#This Row],[Sulf]]-INDEX(crudeBD.lkup.complete[Mean_Sulf],MATCH(vp.tbl[[#This Row],[Crude_Breakdown]],crudeBD.lkup.complete[Crude Breakdown],0)))^2,"")</f>
        <v>0.41593452529926173</v>
      </c>
      <c r="AP897">
        <f>IF(AND(vp.tbl[[#This Row],[SDate]]&gt;=DATE(YEAR(vp.tbl[[#This Row],[SDate]]),5,1),vp.tbl[[#This Row],[SDate]]&lt;=DATE(YEAR(vp.tbl[[#This Row],[SDate]]),9,15)),1,0)</f>
        <v>0</v>
      </c>
      <c r="AQ897" s="15">
        <f>IF(vp.tbl[[#This Row],[SDate]]&lt;DATE(2016,12,1),0,1)</f>
        <v>1</v>
      </c>
    </row>
    <row r="898" spans="1:43" x14ac:dyDescent="0.25">
      <c r="A898">
        <v>897</v>
      </c>
      <c r="B898" t="s">
        <v>68</v>
      </c>
      <c r="C898" t="s">
        <v>68</v>
      </c>
      <c r="D898" t="s">
        <v>191</v>
      </c>
      <c r="F898" s="1">
        <v>42792</v>
      </c>
      <c r="G898" s="2">
        <v>64.8</v>
      </c>
      <c r="H898" s="2"/>
      <c r="I898" s="2">
        <v>1.29</v>
      </c>
      <c r="J898" s="2">
        <v>34.5</v>
      </c>
      <c r="K898" s="2">
        <v>-11</v>
      </c>
      <c r="L898" s="2">
        <v>848.1</v>
      </c>
      <c r="M898" s="2">
        <v>848.1</v>
      </c>
      <c r="N898" s="2">
        <f ca="1">INDEX(INDIRECT(_xlfn.CONCAT("weather.tbl[",N$1,"]")),MATCH(vp.tbl[[#This Row],[SDate]],weather.tbl[Date],0))</f>
        <v>-11.916666666666666</v>
      </c>
      <c r="O898" s="2">
        <f ca="1">INDEX(INDIRECT(_xlfn.CONCAT("weather.tbl[",O$1,"]")),MATCH(vp.tbl[[#This Row],[SDate]],weather.tbl[Date],0))</f>
        <v>-4.7952380952380951</v>
      </c>
      <c r="P898" s="2">
        <f ca="1">INDEX(INDIRECT(_xlfn.CONCAT("weather.tbl[",P$1,"]")),MATCH(vp.tbl[[#This Row],[SDate]],weather.tbl[Date],0))</f>
        <v>-12.6</v>
      </c>
      <c r="Q898" s="2">
        <f ca="1">INDEX(INDIRECT(_xlfn.CONCAT("weather.tbl[",Q$1,"]")),MATCH(vp.tbl[[#This Row],[SDate]],weather.tbl[Date],0))</f>
        <v>-10.4</v>
      </c>
      <c r="R898" s="2">
        <f ca="1">INDEX(INDIRECT(_xlfn.CONCAT("weather.tbl[",R$1,"]")),MATCH(vp.tbl[[#This Row],[SDate]],weather.tbl[Date],0))</f>
        <v>-12.3</v>
      </c>
      <c r="S898" s="2">
        <f ca="1">INDEX(INDIRECT(_xlfn.CONCAT("weather.tbl[",S$1,"]")),MATCH(vp.tbl[[#This Row],[SDate]],weather.tbl[Date],0))</f>
        <v>-9.4</v>
      </c>
      <c r="T898" s="2">
        <f ca="1">INDEX(INDIRECT(_xlfn.CONCAT("weather.tbl[",T$1,"]")),MATCH(vp.tbl[[#This Row],[SDate]],weather.tbl[Date],0))</f>
        <v>-14.5</v>
      </c>
      <c r="U898" s="2">
        <f ca="1">INDEX(INDIRECT(_xlfn.CONCAT("weather.tbl[",U$1,"]")),MATCH(vp.tbl[[#This Row],[SDate]],weather.tbl[Date],0))</f>
        <v>-12.3</v>
      </c>
      <c r="V898" s="2">
        <v>2518.4870000000001</v>
      </c>
      <c r="W898" t="s">
        <v>48</v>
      </c>
      <c r="X898">
        <f>IF(OR(vp.tbl[[#This Row],[Sulf]]="",vp.tbl[[#This Row],[Dens]]=""),1,0)</f>
        <v>0</v>
      </c>
      <c r="Y898">
        <f>IF(vp.tbl[[#This Row],[CrudeType]]="C5+",1,0)</f>
        <v>0</v>
      </c>
      <c r="Z898">
        <f>IF(AND(vp.tbl[[#This Row],[CrudeType]]="Crude",vp.tbl[[#This Row],[Dens]]&lt;=825,vp.tbl[[#This Row],[Sulf]]&gt;0.5,vp.tbl[[#This Row],[Unknown]]=0),1,0)</f>
        <v>0</v>
      </c>
      <c r="AA898">
        <f>IF(AND(vp.tbl[[#This Row],[CrudeType]]="Crude",vp.tbl[[#This Row],[Dens]]&lt;=825,vp.tbl[[#This Row],[Sulf]]&lt;=0.5,vp.tbl[[#This Row],[Unknown]]=0),1,0)</f>
        <v>0</v>
      </c>
      <c r="AB898">
        <f>IF(AND(vp.tbl[[#This Row],[CrudeType]]="Crude",vp.tbl[[#This Row],[Dens]]&gt;825,vp.tbl[[#This Row],[Dens]]&lt;=870,vp.tbl[[#This Row],[Sulf]]&gt;0.5,vp.tbl[[#This Row],[Unknown]]=0),1,0)</f>
        <v>1</v>
      </c>
      <c r="AC898">
        <f>IF(AND(vp.tbl[[#This Row],[CrudeType]]="Crude",vp.tbl[[#This Row],[Dens]]&gt;825,vp.tbl[[#This Row],[Dens]]&lt;=900,vp.tbl[[#This Row],[Sulf]]&lt;=0.5,vp.tbl[[#This Row],[Unknown]]=0),1,0)</f>
        <v>0</v>
      </c>
      <c r="AD898">
        <f>IF(AND(vp.tbl[[#This Row],[CrudeType]]="Crude",vp.tbl[[#This Row],[Dens]]&gt;870,vp.tbl[[#This Row],[Dens]]&lt;=900,vp.tbl[[#This Row],[Sulf]]&gt;0.5,vp.tbl[[#This Row],[Unknown]]=0),1,0)</f>
        <v>0</v>
      </c>
      <c r="AE898">
        <f>IF(AND(vp.tbl[[#This Row],[CrudeType]]="Crude",vp.tbl[[#This Row],[Dens]]&gt;900,vp.tbl[[#This Row],[Sulf]]&lt;=0.5,vp.tbl[[#This Row],[Unknown]]=0),1,0)</f>
        <v>0</v>
      </c>
      <c r="AF898">
        <f>IF(AND(vp.tbl[[#This Row],[CrudeType]]="Crude",vp.tbl[[#This Row],[Dens]]&gt;900,vp.tbl[[#This Row],[Sulf]]&lt;=0.5,vp.tbl[[#This Row],[Unknown]]=0),1,0)</f>
        <v>0</v>
      </c>
      <c r="AG898" t="str">
        <f>INDEX(vp.tbl[[#Headers],[Unknown]:[Heavy_SW]],MATCH(1,vp.tbl[[#This Row],[Unknown]:[Heavy_SW]],0))</f>
        <v>Medium_LSB</v>
      </c>
      <c r="AH898" t="e">
        <f>INDEX([1]!crudeBD.lkup[Number],MATCH(vp.tbl[[#This Row],[Crude_Breakdown]],[1]!crudeBD.lkup[Crude Breakdown],0))</f>
        <v>#REF!</v>
      </c>
      <c r="AI898">
        <f>MONTH(vp.tbl[[#This Row],[SDate]])</f>
        <v>2</v>
      </c>
      <c r="AJ898" s="5">
        <f>IFERROR(vp.tbl[[#This Row],[Sulf]]*vp.tbl[[#This Row],[Net Dens]],"")</f>
        <v>2755348.1838630005</v>
      </c>
      <c r="AK898" s="5">
        <f>IFERROR(vp.tbl[[#This Row],[Dens]]*vp.tbl[[#This Row],[VolumeM3]],"")</f>
        <v>2135928.8247000002</v>
      </c>
      <c r="AL898" s="5">
        <f>IFERROR(vp.tbl[[#This Row],[VP]]*vp.tbl[[#This Row],[VolumeM3]],"")</f>
        <v>163197.95759999999</v>
      </c>
      <c r="AM898" s="4">
        <f>IFERROR((vp.tbl[[#This Row],[VP]]-INDEX(crudeBD.lkup.complete[Mean_VP],MATCH(vp.tbl[[#This Row],[Crude_Breakdown]],crudeBD.lkup.complete[Crude Breakdown],0)))^2,"")</f>
        <v>236.34742127799927</v>
      </c>
      <c r="AN898" s="4">
        <f>IFERROR((vp.tbl[[#This Row],[Dens]]-INDEX(crudeBD.lkup.complete[Mean_Dens],MATCH(vp.tbl[[#This Row],[Crude_Breakdown]],crudeBD.lkup.complete[Crude Breakdown],0)))^2,"")</f>
        <v>7.8858592719172105</v>
      </c>
      <c r="AO898" s="4">
        <f>IFERROR((vp.tbl[[#This Row],[Sulf]]-INDEX(crudeBD.lkup.complete[Mean_Sulf],MATCH(vp.tbl[[#This Row],[Crude_Breakdown]],crudeBD.lkup.complete[Crude Breakdown],0)))^2,"")</f>
        <v>2.7201858970146448E-2</v>
      </c>
      <c r="AP898">
        <f>IF(AND(vp.tbl[[#This Row],[SDate]]&gt;=DATE(YEAR(vp.tbl[[#This Row],[SDate]]),5,1),vp.tbl[[#This Row],[SDate]]&lt;=DATE(YEAR(vp.tbl[[#This Row],[SDate]]),9,15)),1,0)</f>
        <v>0</v>
      </c>
      <c r="AQ898" s="15">
        <f>IF(vp.tbl[[#This Row],[SDate]]&lt;DATE(2016,12,1),0,1)</f>
        <v>1</v>
      </c>
    </row>
    <row r="899" spans="1:43" x14ac:dyDescent="0.25">
      <c r="A899">
        <v>898</v>
      </c>
      <c r="B899" t="s">
        <v>68</v>
      </c>
      <c r="C899" t="s">
        <v>68</v>
      </c>
      <c r="D899" t="s">
        <v>192</v>
      </c>
      <c r="F899" s="1">
        <v>42792</v>
      </c>
      <c r="G899" s="2">
        <v>68.8</v>
      </c>
      <c r="H899" s="2"/>
      <c r="I899" s="2">
        <v>1.44</v>
      </c>
      <c r="J899" s="2">
        <v>21.4</v>
      </c>
      <c r="K899" s="2">
        <v>-11</v>
      </c>
      <c r="L899" s="2">
        <v>851.9</v>
      </c>
      <c r="M899" s="2">
        <v>851.9</v>
      </c>
      <c r="N899" s="2">
        <f ca="1">INDEX(INDIRECT(_xlfn.CONCAT("weather.tbl[",N$1,"]")),MATCH(vp.tbl[[#This Row],[SDate]],weather.tbl[Date],0))</f>
        <v>-11.916666666666666</v>
      </c>
      <c r="O899" s="2">
        <f ca="1">INDEX(INDIRECT(_xlfn.CONCAT("weather.tbl[",O$1,"]")),MATCH(vp.tbl[[#This Row],[SDate]],weather.tbl[Date],0))</f>
        <v>-4.7952380952380951</v>
      </c>
      <c r="P899" s="2">
        <f ca="1">INDEX(INDIRECT(_xlfn.CONCAT("weather.tbl[",P$1,"]")),MATCH(vp.tbl[[#This Row],[SDate]],weather.tbl[Date],0))</f>
        <v>-12.6</v>
      </c>
      <c r="Q899" s="2">
        <f ca="1">INDEX(INDIRECT(_xlfn.CONCAT("weather.tbl[",Q$1,"]")),MATCH(vp.tbl[[#This Row],[SDate]],weather.tbl[Date],0))</f>
        <v>-10.4</v>
      </c>
      <c r="R899" s="2">
        <f ca="1">INDEX(INDIRECT(_xlfn.CONCAT("weather.tbl[",R$1,"]")),MATCH(vp.tbl[[#This Row],[SDate]],weather.tbl[Date],0))</f>
        <v>-12.3</v>
      </c>
      <c r="S899" s="2">
        <f ca="1">INDEX(INDIRECT(_xlfn.CONCAT("weather.tbl[",S$1,"]")),MATCH(vp.tbl[[#This Row],[SDate]],weather.tbl[Date],0))</f>
        <v>-9.4</v>
      </c>
      <c r="T899" s="2">
        <f ca="1">INDEX(INDIRECT(_xlfn.CONCAT("weather.tbl[",T$1,"]")),MATCH(vp.tbl[[#This Row],[SDate]],weather.tbl[Date],0))</f>
        <v>-14.5</v>
      </c>
      <c r="U899" s="2">
        <f ca="1">INDEX(INDIRECT(_xlfn.CONCAT("weather.tbl[",U$1,"]")),MATCH(vp.tbl[[#This Row],[SDate]],weather.tbl[Date],0))</f>
        <v>-12.3</v>
      </c>
      <c r="V899" s="2">
        <v>1315.981</v>
      </c>
      <c r="W899" t="s">
        <v>48</v>
      </c>
      <c r="X899">
        <f>IF(OR(vp.tbl[[#This Row],[Sulf]]="",vp.tbl[[#This Row],[Dens]]=""),1,0)</f>
        <v>0</v>
      </c>
      <c r="Y899">
        <f>IF(vp.tbl[[#This Row],[CrudeType]]="C5+",1,0)</f>
        <v>0</v>
      </c>
      <c r="Z899">
        <f>IF(AND(vp.tbl[[#This Row],[CrudeType]]="Crude",vp.tbl[[#This Row],[Dens]]&lt;=825,vp.tbl[[#This Row],[Sulf]]&gt;0.5,vp.tbl[[#This Row],[Unknown]]=0),1,0)</f>
        <v>0</v>
      </c>
      <c r="AA899">
        <f>IF(AND(vp.tbl[[#This Row],[CrudeType]]="Crude",vp.tbl[[#This Row],[Dens]]&lt;=825,vp.tbl[[#This Row],[Sulf]]&lt;=0.5,vp.tbl[[#This Row],[Unknown]]=0),1,0)</f>
        <v>0</v>
      </c>
      <c r="AB899">
        <f>IF(AND(vp.tbl[[#This Row],[CrudeType]]="Crude",vp.tbl[[#This Row],[Dens]]&gt;825,vp.tbl[[#This Row],[Dens]]&lt;=870,vp.tbl[[#This Row],[Sulf]]&gt;0.5,vp.tbl[[#This Row],[Unknown]]=0),1,0)</f>
        <v>1</v>
      </c>
      <c r="AC899">
        <f>IF(AND(vp.tbl[[#This Row],[CrudeType]]="Crude",vp.tbl[[#This Row],[Dens]]&gt;825,vp.tbl[[#This Row],[Dens]]&lt;=900,vp.tbl[[#This Row],[Sulf]]&lt;=0.5,vp.tbl[[#This Row],[Unknown]]=0),1,0)</f>
        <v>0</v>
      </c>
      <c r="AD899">
        <f>IF(AND(vp.tbl[[#This Row],[CrudeType]]="Crude",vp.tbl[[#This Row],[Dens]]&gt;870,vp.tbl[[#This Row],[Dens]]&lt;=900,vp.tbl[[#This Row],[Sulf]]&gt;0.5,vp.tbl[[#This Row],[Unknown]]=0),1,0)</f>
        <v>0</v>
      </c>
      <c r="AE899">
        <f>IF(AND(vp.tbl[[#This Row],[CrudeType]]="Crude",vp.tbl[[#This Row],[Dens]]&gt;900,vp.tbl[[#This Row],[Sulf]]&lt;=0.5,vp.tbl[[#This Row],[Unknown]]=0),1,0)</f>
        <v>0</v>
      </c>
      <c r="AF899">
        <f>IF(AND(vp.tbl[[#This Row],[CrudeType]]="Crude",vp.tbl[[#This Row],[Dens]]&gt;900,vp.tbl[[#This Row],[Sulf]]&lt;=0.5,vp.tbl[[#This Row],[Unknown]]=0),1,0)</f>
        <v>0</v>
      </c>
      <c r="AG899" t="str">
        <f>INDEX(vp.tbl[[#Headers],[Unknown]:[Heavy_SW]],MATCH(1,vp.tbl[[#This Row],[Unknown]:[Heavy_SW]],0))</f>
        <v>Medium_LSB</v>
      </c>
      <c r="AH899" t="e">
        <f>INDEX([1]!crudeBD.lkup[Number],MATCH(vp.tbl[[#This Row],[Crude_Breakdown]],[1]!crudeBD.lkup[Crude Breakdown],0))</f>
        <v>#REF!</v>
      </c>
      <c r="AI899">
        <f>MONTH(vp.tbl[[#This Row],[SDate]])</f>
        <v>2</v>
      </c>
      <c r="AJ899" s="5">
        <f>IFERROR(vp.tbl[[#This Row],[Sulf]]*vp.tbl[[#This Row],[Net Dens]],"")</f>
        <v>1614361.2680159998</v>
      </c>
      <c r="AK899" s="5">
        <f>IFERROR(vp.tbl[[#This Row],[Dens]]*vp.tbl[[#This Row],[VolumeM3]],"")</f>
        <v>1121084.2138999999</v>
      </c>
      <c r="AL899" s="5">
        <f>IFERROR(vp.tbl[[#This Row],[VP]]*vp.tbl[[#This Row],[VolumeM3]],"")</f>
        <v>90539.492799999993</v>
      </c>
      <c r="AM899" s="4">
        <f>IFERROR((vp.tbl[[#This Row],[VP]]-INDEX(crudeBD.lkup.complete[Mean_VP],MATCH(vp.tbl[[#This Row],[Crude_Breakdown]],crudeBD.lkup.complete[Crude Breakdown],0)))^2,"")</f>
        <v>129.35866178432866</v>
      </c>
      <c r="AN899" s="4">
        <f>IFERROR((vp.tbl[[#This Row],[Dens]]-INDEX(crudeBD.lkup.complete[Mean_Dens],MATCH(vp.tbl[[#This Row],[Crude_Breakdown]],crudeBD.lkup.complete[Crude Breakdown],0)))^2,"")</f>
        <v>43.668006107367304</v>
      </c>
      <c r="AO899" s="4">
        <f>IFERROR((vp.tbl[[#This Row],[Sulf]]-INDEX(crudeBD.lkup.complete[Mean_Sulf],MATCH(vp.tbl[[#This Row],[Crude_Breakdown]],crudeBD.lkup.complete[Crude Breakdown],0)))^2,"")</f>
        <v>2.2290074229791476E-4</v>
      </c>
      <c r="AP899">
        <f>IF(AND(vp.tbl[[#This Row],[SDate]]&gt;=DATE(YEAR(vp.tbl[[#This Row],[SDate]]),5,1),vp.tbl[[#This Row],[SDate]]&lt;=DATE(YEAR(vp.tbl[[#This Row],[SDate]]),9,15)),1,0)</f>
        <v>0</v>
      </c>
      <c r="AQ899" s="15">
        <f>IF(vp.tbl[[#This Row],[SDate]]&lt;DATE(2016,12,1),0,1)</f>
        <v>1</v>
      </c>
    </row>
    <row r="900" spans="1:43" x14ac:dyDescent="0.25">
      <c r="A900">
        <v>899</v>
      </c>
      <c r="B900" t="s">
        <v>161</v>
      </c>
      <c r="C900" t="s">
        <v>161</v>
      </c>
      <c r="D900" t="s">
        <v>193</v>
      </c>
      <c r="F900" s="1">
        <v>42792</v>
      </c>
      <c r="G900" s="2">
        <v>70.2</v>
      </c>
      <c r="H900" s="2"/>
      <c r="I900" s="2">
        <v>1.58</v>
      </c>
      <c r="J900" s="2">
        <v>32.5</v>
      </c>
      <c r="K900" s="2">
        <v>-11</v>
      </c>
      <c r="L900" s="2">
        <v>854</v>
      </c>
      <c r="M900" s="2">
        <v>854</v>
      </c>
      <c r="N900" s="2">
        <f ca="1">INDEX(INDIRECT(_xlfn.CONCAT("weather.tbl[",N$1,"]")),MATCH(vp.tbl[[#This Row],[SDate]],weather.tbl[Date],0))</f>
        <v>-11.916666666666666</v>
      </c>
      <c r="O900" s="2">
        <f ca="1">INDEX(INDIRECT(_xlfn.CONCAT("weather.tbl[",O$1,"]")),MATCH(vp.tbl[[#This Row],[SDate]],weather.tbl[Date],0))</f>
        <v>-4.7952380952380951</v>
      </c>
      <c r="P900" s="2">
        <f ca="1">INDEX(INDIRECT(_xlfn.CONCAT("weather.tbl[",P$1,"]")),MATCH(vp.tbl[[#This Row],[SDate]],weather.tbl[Date],0))</f>
        <v>-12.6</v>
      </c>
      <c r="Q900" s="2">
        <f ca="1">INDEX(INDIRECT(_xlfn.CONCAT("weather.tbl[",Q$1,"]")),MATCH(vp.tbl[[#This Row],[SDate]],weather.tbl[Date],0))</f>
        <v>-10.4</v>
      </c>
      <c r="R900" s="2">
        <f ca="1">INDEX(INDIRECT(_xlfn.CONCAT("weather.tbl[",R$1,"]")),MATCH(vp.tbl[[#This Row],[SDate]],weather.tbl[Date],0))</f>
        <v>-12.3</v>
      </c>
      <c r="S900" s="2">
        <f ca="1">INDEX(INDIRECT(_xlfn.CONCAT("weather.tbl[",S$1,"]")),MATCH(vp.tbl[[#This Row],[SDate]],weather.tbl[Date],0))</f>
        <v>-9.4</v>
      </c>
      <c r="T900" s="2">
        <f ca="1">INDEX(INDIRECT(_xlfn.CONCAT("weather.tbl[",T$1,"]")),MATCH(vp.tbl[[#This Row],[SDate]],weather.tbl[Date],0))</f>
        <v>-14.5</v>
      </c>
      <c r="U900" s="2">
        <f ca="1">INDEX(INDIRECT(_xlfn.CONCAT("weather.tbl[",U$1,"]")),MATCH(vp.tbl[[#This Row],[SDate]],weather.tbl[Date],0))</f>
        <v>-12.3</v>
      </c>
      <c r="V900" s="2">
        <v>2920.1149999999998</v>
      </c>
      <c r="W900" t="s">
        <v>48</v>
      </c>
      <c r="X900">
        <f>IF(OR(vp.tbl[[#This Row],[Sulf]]="",vp.tbl[[#This Row],[Dens]]=""),1,0)</f>
        <v>0</v>
      </c>
      <c r="Y900">
        <f>IF(vp.tbl[[#This Row],[CrudeType]]="C5+",1,0)</f>
        <v>0</v>
      </c>
      <c r="Z900">
        <f>IF(AND(vp.tbl[[#This Row],[CrudeType]]="Crude",vp.tbl[[#This Row],[Dens]]&lt;=825,vp.tbl[[#This Row],[Sulf]]&gt;0.5,vp.tbl[[#This Row],[Unknown]]=0),1,0)</f>
        <v>0</v>
      </c>
      <c r="AA900">
        <f>IF(AND(vp.tbl[[#This Row],[CrudeType]]="Crude",vp.tbl[[#This Row],[Dens]]&lt;=825,vp.tbl[[#This Row],[Sulf]]&lt;=0.5,vp.tbl[[#This Row],[Unknown]]=0),1,0)</f>
        <v>0</v>
      </c>
      <c r="AB900">
        <f>IF(AND(vp.tbl[[#This Row],[CrudeType]]="Crude",vp.tbl[[#This Row],[Dens]]&gt;825,vp.tbl[[#This Row],[Dens]]&lt;=870,vp.tbl[[#This Row],[Sulf]]&gt;0.5,vp.tbl[[#This Row],[Unknown]]=0),1,0)</f>
        <v>1</v>
      </c>
      <c r="AC900">
        <f>IF(AND(vp.tbl[[#This Row],[CrudeType]]="Crude",vp.tbl[[#This Row],[Dens]]&gt;825,vp.tbl[[#This Row],[Dens]]&lt;=900,vp.tbl[[#This Row],[Sulf]]&lt;=0.5,vp.tbl[[#This Row],[Unknown]]=0),1,0)</f>
        <v>0</v>
      </c>
      <c r="AD900">
        <f>IF(AND(vp.tbl[[#This Row],[CrudeType]]="Crude",vp.tbl[[#This Row],[Dens]]&gt;870,vp.tbl[[#This Row],[Dens]]&lt;=900,vp.tbl[[#This Row],[Sulf]]&gt;0.5,vp.tbl[[#This Row],[Unknown]]=0),1,0)</f>
        <v>0</v>
      </c>
      <c r="AE900">
        <f>IF(AND(vp.tbl[[#This Row],[CrudeType]]="Crude",vp.tbl[[#This Row],[Dens]]&gt;900,vp.tbl[[#This Row],[Sulf]]&lt;=0.5,vp.tbl[[#This Row],[Unknown]]=0),1,0)</f>
        <v>0</v>
      </c>
      <c r="AF900">
        <f>IF(AND(vp.tbl[[#This Row],[CrudeType]]="Crude",vp.tbl[[#This Row],[Dens]]&gt;900,vp.tbl[[#This Row],[Sulf]]&lt;=0.5,vp.tbl[[#This Row],[Unknown]]=0),1,0)</f>
        <v>0</v>
      </c>
      <c r="AG900" t="str">
        <f>INDEX(vp.tbl[[#Headers],[Unknown]:[Heavy_SW]],MATCH(1,vp.tbl[[#This Row],[Unknown]:[Heavy_SW]],0))</f>
        <v>Medium_LSB</v>
      </c>
      <c r="AH900" t="e">
        <f>INDEX([1]!crudeBD.lkup[Number],MATCH(vp.tbl[[#This Row],[Crude_Breakdown]],[1]!crudeBD.lkup[Crude Breakdown],0))</f>
        <v>#REF!</v>
      </c>
      <c r="AI900">
        <f>MONTH(vp.tbl[[#This Row],[SDate]])</f>
        <v>2</v>
      </c>
      <c r="AJ900" s="5">
        <f>IFERROR(vp.tbl[[#This Row],[Sulf]]*vp.tbl[[#This Row],[Net Dens]],"")</f>
        <v>3940169.5718</v>
      </c>
      <c r="AK900" s="5">
        <f>IFERROR(vp.tbl[[#This Row],[Dens]]*vp.tbl[[#This Row],[VolumeM3]],"")</f>
        <v>2493778.21</v>
      </c>
      <c r="AL900" s="5">
        <f>IFERROR(vp.tbl[[#This Row],[VP]]*vp.tbl[[#This Row],[VolumeM3]],"")</f>
        <v>204992.073</v>
      </c>
      <c r="AM900" s="4">
        <f>IFERROR((vp.tbl[[#This Row],[VP]]-INDEX(crudeBD.lkup.complete[Mean_VP],MATCH(vp.tbl[[#This Row],[Crude_Breakdown]],crudeBD.lkup.complete[Crude Breakdown],0)))^2,"")</f>
        <v>99.472595961543831</v>
      </c>
      <c r="AN900" s="4">
        <f>IFERROR((vp.tbl[[#This Row],[Dens]]-INDEX(crudeBD.lkup.complete[Mean_Dens],MATCH(vp.tbl[[#This Row],[Crude_Breakdown]],crudeBD.lkup.complete[Crude Breakdown],0)))^2,"")</f>
        <v>75.832350411169202</v>
      </c>
      <c r="AO900" s="4">
        <f>IFERROR((vp.tbl[[#This Row],[Sulf]]-INDEX(crudeBD.lkup.complete[Mean_Sulf],MATCH(vp.tbl[[#This Row],[Crude_Breakdown]],crudeBD.lkup.complete[Crude Breakdown],0)))^2,"")</f>
        <v>1.5642539729639287E-2</v>
      </c>
      <c r="AP900">
        <f>IF(AND(vp.tbl[[#This Row],[SDate]]&gt;=DATE(YEAR(vp.tbl[[#This Row],[SDate]]),5,1),vp.tbl[[#This Row],[SDate]]&lt;=DATE(YEAR(vp.tbl[[#This Row],[SDate]]),9,15)),1,0)</f>
        <v>0</v>
      </c>
      <c r="AQ900" s="15">
        <f>IF(vp.tbl[[#This Row],[SDate]]&lt;DATE(2016,12,1),0,1)</f>
        <v>1</v>
      </c>
    </row>
    <row r="901" spans="1:43" x14ac:dyDescent="0.25">
      <c r="A901">
        <v>900</v>
      </c>
      <c r="B901" t="s">
        <v>51</v>
      </c>
      <c r="C901" t="s">
        <v>51</v>
      </c>
      <c r="D901" t="s">
        <v>194</v>
      </c>
      <c r="F901" s="1">
        <v>42792</v>
      </c>
      <c r="G901" s="2">
        <v>55.7</v>
      </c>
      <c r="H901" s="2"/>
      <c r="I901" s="2">
        <v>1.19</v>
      </c>
      <c r="J901" s="2">
        <v>15.3</v>
      </c>
      <c r="K901" s="2">
        <v>-11</v>
      </c>
      <c r="L901" s="2">
        <v>854</v>
      </c>
      <c r="M901" s="2">
        <v>854</v>
      </c>
      <c r="N901" s="2">
        <f ca="1">INDEX(INDIRECT(_xlfn.CONCAT("weather.tbl[",N$1,"]")),MATCH(vp.tbl[[#This Row],[SDate]],weather.tbl[Date],0))</f>
        <v>-11.916666666666666</v>
      </c>
      <c r="O901" s="2">
        <f ca="1">INDEX(INDIRECT(_xlfn.CONCAT("weather.tbl[",O$1,"]")),MATCH(vp.tbl[[#This Row],[SDate]],weather.tbl[Date],0))</f>
        <v>-4.7952380952380951</v>
      </c>
      <c r="P901" s="2">
        <f ca="1">INDEX(INDIRECT(_xlfn.CONCAT("weather.tbl[",P$1,"]")),MATCH(vp.tbl[[#This Row],[SDate]],weather.tbl[Date],0))</f>
        <v>-12.6</v>
      </c>
      <c r="Q901" s="2">
        <f ca="1">INDEX(INDIRECT(_xlfn.CONCAT("weather.tbl[",Q$1,"]")),MATCH(vp.tbl[[#This Row],[SDate]],weather.tbl[Date],0))</f>
        <v>-10.4</v>
      </c>
      <c r="R901" s="2">
        <f ca="1">INDEX(INDIRECT(_xlfn.CONCAT("weather.tbl[",R$1,"]")),MATCH(vp.tbl[[#This Row],[SDate]],weather.tbl[Date],0))</f>
        <v>-12.3</v>
      </c>
      <c r="S901" s="2">
        <f ca="1">INDEX(INDIRECT(_xlfn.CONCAT("weather.tbl[",S$1,"]")),MATCH(vp.tbl[[#This Row],[SDate]],weather.tbl[Date],0))</f>
        <v>-9.4</v>
      </c>
      <c r="T901" s="2">
        <f ca="1">INDEX(INDIRECT(_xlfn.CONCAT("weather.tbl[",T$1,"]")),MATCH(vp.tbl[[#This Row],[SDate]],weather.tbl[Date],0))</f>
        <v>-14.5</v>
      </c>
      <c r="U901" s="2">
        <f ca="1">INDEX(INDIRECT(_xlfn.CONCAT("weather.tbl[",U$1,"]")),MATCH(vp.tbl[[#This Row],[SDate]],weather.tbl[Date],0))</f>
        <v>-12.3</v>
      </c>
      <c r="V901" s="2">
        <v>727.93</v>
      </c>
      <c r="W901" t="s">
        <v>48</v>
      </c>
      <c r="X901">
        <f>IF(OR(vp.tbl[[#This Row],[Sulf]]="",vp.tbl[[#This Row],[Dens]]=""),1,0)</f>
        <v>0</v>
      </c>
      <c r="Y901">
        <f>IF(vp.tbl[[#This Row],[CrudeType]]="C5+",1,0)</f>
        <v>0</v>
      </c>
      <c r="Z901">
        <f>IF(AND(vp.tbl[[#This Row],[CrudeType]]="Crude",vp.tbl[[#This Row],[Dens]]&lt;=825,vp.tbl[[#This Row],[Sulf]]&gt;0.5,vp.tbl[[#This Row],[Unknown]]=0),1,0)</f>
        <v>0</v>
      </c>
      <c r="AA901">
        <f>IF(AND(vp.tbl[[#This Row],[CrudeType]]="Crude",vp.tbl[[#This Row],[Dens]]&lt;=825,vp.tbl[[#This Row],[Sulf]]&lt;=0.5,vp.tbl[[#This Row],[Unknown]]=0),1,0)</f>
        <v>0</v>
      </c>
      <c r="AB901">
        <f>IF(AND(vp.tbl[[#This Row],[CrudeType]]="Crude",vp.tbl[[#This Row],[Dens]]&gt;825,vp.tbl[[#This Row],[Dens]]&lt;=870,vp.tbl[[#This Row],[Sulf]]&gt;0.5,vp.tbl[[#This Row],[Unknown]]=0),1,0)</f>
        <v>1</v>
      </c>
      <c r="AC901">
        <f>IF(AND(vp.tbl[[#This Row],[CrudeType]]="Crude",vp.tbl[[#This Row],[Dens]]&gt;825,vp.tbl[[#This Row],[Dens]]&lt;=900,vp.tbl[[#This Row],[Sulf]]&lt;=0.5,vp.tbl[[#This Row],[Unknown]]=0),1,0)</f>
        <v>0</v>
      </c>
      <c r="AD901">
        <f>IF(AND(vp.tbl[[#This Row],[CrudeType]]="Crude",vp.tbl[[#This Row],[Dens]]&gt;870,vp.tbl[[#This Row],[Dens]]&lt;=900,vp.tbl[[#This Row],[Sulf]]&gt;0.5,vp.tbl[[#This Row],[Unknown]]=0),1,0)</f>
        <v>0</v>
      </c>
      <c r="AE901">
        <f>IF(AND(vp.tbl[[#This Row],[CrudeType]]="Crude",vp.tbl[[#This Row],[Dens]]&gt;900,vp.tbl[[#This Row],[Sulf]]&lt;=0.5,vp.tbl[[#This Row],[Unknown]]=0),1,0)</f>
        <v>0</v>
      </c>
      <c r="AF901">
        <f>IF(AND(vp.tbl[[#This Row],[CrudeType]]="Crude",vp.tbl[[#This Row],[Dens]]&gt;900,vp.tbl[[#This Row],[Sulf]]&lt;=0.5,vp.tbl[[#This Row],[Unknown]]=0),1,0)</f>
        <v>0</v>
      </c>
      <c r="AG901" t="str">
        <f>INDEX(vp.tbl[[#Headers],[Unknown]:[Heavy_SW]],MATCH(1,vp.tbl[[#This Row],[Unknown]:[Heavy_SW]],0))</f>
        <v>Medium_LSB</v>
      </c>
      <c r="AH901" t="e">
        <f>INDEX([1]!crudeBD.lkup[Number],MATCH(vp.tbl[[#This Row],[Crude_Breakdown]],[1]!crudeBD.lkup[Crude Breakdown],0))</f>
        <v>#REF!</v>
      </c>
      <c r="AI901">
        <f>MONTH(vp.tbl[[#This Row],[SDate]])</f>
        <v>2</v>
      </c>
      <c r="AJ901" s="5">
        <f>IFERROR(vp.tbl[[#This Row],[Sulf]]*vp.tbl[[#This Row],[Net Dens]],"")</f>
        <v>739766.14179999998</v>
      </c>
      <c r="AK901" s="5">
        <f>IFERROR(vp.tbl[[#This Row],[Dens]]*vp.tbl[[#This Row],[VolumeM3]],"")</f>
        <v>621652.22</v>
      </c>
      <c r="AL901" s="5">
        <f>IFERROR(vp.tbl[[#This Row],[VP]]*vp.tbl[[#This Row],[VolumeM3]],"")</f>
        <v>40545.701000000001</v>
      </c>
      <c r="AM901" s="4">
        <f>IFERROR((vp.tbl[[#This Row],[VP]]-INDEX(crudeBD.lkup.complete[Mean_VP],MATCH(vp.tbl[[#This Row],[Crude_Breakdown]],crudeBD.lkup.complete[Crude Breakdown],0)))^2,"")</f>
        <v>598.95684912609966</v>
      </c>
      <c r="AN901" s="4">
        <f>IFERROR((vp.tbl[[#This Row],[Dens]]-INDEX(crudeBD.lkup.complete[Mean_Dens],MATCH(vp.tbl[[#This Row],[Crude_Breakdown]],crudeBD.lkup.complete[Crude Breakdown],0)))^2,"")</f>
        <v>75.832350411169202</v>
      </c>
      <c r="AO901" s="4">
        <f>IFERROR((vp.tbl[[#This Row],[Sulf]]-INDEX(crudeBD.lkup.complete[Mean_Sulf],MATCH(vp.tbl[[#This Row],[Crude_Breakdown]],crudeBD.lkup.complete[Crude Breakdown],0)))^2,"")</f>
        <v>7.0187831122045519E-2</v>
      </c>
      <c r="AP901">
        <f>IF(AND(vp.tbl[[#This Row],[SDate]]&gt;=DATE(YEAR(vp.tbl[[#This Row],[SDate]]),5,1),vp.tbl[[#This Row],[SDate]]&lt;=DATE(YEAR(vp.tbl[[#This Row],[SDate]]),9,15)),1,0)</f>
        <v>0</v>
      </c>
      <c r="AQ901" s="15">
        <f>IF(vp.tbl[[#This Row],[SDate]]&lt;DATE(2016,12,1),0,1)</f>
        <v>1</v>
      </c>
    </row>
    <row r="902" spans="1:43" x14ac:dyDescent="0.25">
      <c r="A902">
        <v>901</v>
      </c>
      <c r="B902" t="s">
        <v>108</v>
      </c>
      <c r="C902" t="s">
        <v>108</v>
      </c>
      <c r="D902" t="s">
        <v>195</v>
      </c>
      <c r="F902" s="1">
        <v>42792</v>
      </c>
      <c r="G902" s="2">
        <v>60.9</v>
      </c>
      <c r="H902" s="2"/>
      <c r="I902" s="2">
        <v>1.49</v>
      </c>
      <c r="J902" s="2">
        <v>17.2</v>
      </c>
      <c r="K902" s="2">
        <v>-11</v>
      </c>
      <c r="L902" s="2">
        <v>855.2</v>
      </c>
      <c r="M902" s="2">
        <v>855.2</v>
      </c>
      <c r="N902" s="2">
        <f ca="1">INDEX(INDIRECT(_xlfn.CONCAT("weather.tbl[",N$1,"]")),MATCH(vp.tbl[[#This Row],[SDate]],weather.tbl[Date],0))</f>
        <v>-11.916666666666666</v>
      </c>
      <c r="O902" s="2">
        <f ca="1">INDEX(INDIRECT(_xlfn.CONCAT("weather.tbl[",O$1,"]")),MATCH(vp.tbl[[#This Row],[SDate]],weather.tbl[Date],0))</f>
        <v>-4.7952380952380951</v>
      </c>
      <c r="P902" s="2">
        <f ca="1">INDEX(INDIRECT(_xlfn.CONCAT("weather.tbl[",P$1,"]")),MATCH(vp.tbl[[#This Row],[SDate]],weather.tbl[Date],0))</f>
        <v>-12.6</v>
      </c>
      <c r="Q902" s="2">
        <f ca="1">INDEX(INDIRECT(_xlfn.CONCAT("weather.tbl[",Q$1,"]")),MATCH(vp.tbl[[#This Row],[SDate]],weather.tbl[Date],0))</f>
        <v>-10.4</v>
      </c>
      <c r="R902" s="2">
        <f ca="1">INDEX(INDIRECT(_xlfn.CONCAT("weather.tbl[",R$1,"]")),MATCH(vp.tbl[[#This Row],[SDate]],weather.tbl[Date],0))</f>
        <v>-12.3</v>
      </c>
      <c r="S902" s="2">
        <f ca="1">INDEX(INDIRECT(_xlfn.CONCAT("weather.tbl[",S$1,"]")),MATCH(vp.tbl[[#This Row],[SDate]],weather.tbl[Date],0))</f>
        <v>-9.4</v>
      </c>
      <c r="T902" s="2">
        <f ca="1">INDEX(INDIRECT(_xlfn.CONCAT("weather.tbl[",T$1,"]")),MATCH(vp.tbl[[#This Row],[SDate]],weather.tbl[Date],0))</f>
        <v>-14.5</v>
      </c>
      <c r="U902" s="2">
        <f ca="1">INDEX(INDIRECT(_xlfn.CONCAT("weather.tbl[",U$1,"]")),MATCH(vp.tbl[[#This Row],[SDate]],weather.tbl[Date],0))</f>
        <v>-12.3</v>
      </c>
      <c r="V902" s="2">
        <v>2078.5700000000002</v>
      </c>
      <c r="W902" t="s">
        <v>48</v>
      </c>
      <c r="X902">
        <f>IF(OR(vp.tbl[[#This Row],[Sulf]]="",vp.tbl[[#This Row],[Dens]]=""),1,0)</f>
        <v>0</v>
      </c>
      <c r="Y902">
        <f>IF(vp.tbl[[#This Row],[CrudeType]]="C5+",1,0)</f>
        <v>0</v>
      </c>
      <c r="Z902">
        <f>IF(AND(vp.tbl[[#This Row],[CrudeType]]="Crude",vp.tbl[[#This Row],[Dens]]&lt;=825,vp.tbl[[#This Row],[Sulf]]&gt;0.5,vp.tbl[[#This Row],[Unknown]]=0),1,0)</f>
        <v>0</v>
      </c>
      <c r="AA902">
        <f>IF(AND(vp.tbl[[#This Row],[CrudeType]]="Crude",vp.tbl[[#This Row],[Dens]]&lt;=825,vp.tbl[[#This Row],[Sulf]]&lt;=0.5,vp.tbl[[#This Row],[Unknown]]=0),1,0)</f>
        <v>0</v>
      </c>
      <c r="AB902">
        <f>IF(AND(vp.tbl[[#This Row],[CrudeType]]="Crude",vp.tbl[[#This Row],[Dens]]&gt;825,vp.tbl[[#This Row],[Dens]]&lt;=870,vp.tbl[[#This Row],[Sulf]]&gt;0.5,vp.tbl[[#This Row],[Unknown]]=0),1,0)</f>
        <v>1</v>
      </c>
      <c r="AC902">
        <f>IF(AND(vp.tbl[[#This Row],[CrudeType]]="Crude",vp.tbl[[#This Row],[Dens]]&gt;825,vp.tbl[[#This Row],[Dens]]&lt;=900,vp.tbl[[#This Row],[Sulf]]&lt;=0.5,vp.tbl[[#This Row],[Unknown]]=0),1,0)</f>
        <v>0</v>
      </c>
      <c r="AD902">
        <f>IF(AND(vp.tbl[[#This Row],[CrudeType]]="Crude",vp.tbl[[#This Row],[Dens]]&gt;870,vp.tbl[[#This Row],[Dens]]&lt;=900,vp.tbl[[#This Row],[Sulf]]&gt;0.5,vp.tbl[[#This Row],[Unknown]]=0),1,0)</f>
        <v>0</v>
      </c>
      <c r="AE902">
        <f>IF(AND(vp.tbl[[#This Row],[CrudeType]]="Crude",vp.tbl[[#This Row],[Dens]]&gt;900,vp.tbl[[#This Row],[Sulf]]&lt;=0.5,vp.tbl[[#This Row],[Unknown]]=0),1,0)</f>
        <v>0</v>
      </c>
      <c r="AF902">
        <f>IF(AND(vp.tbl[[#This Row],[CrudeType]]="Crude",vp.tbl[[#This Row],[Dens]]&gt;900,vp.tbl[[#This Row],[Sulf]]&lt;=0.5,vp.tbl[[#This Row],[Unknown]]=0),1,0)</f>
        <v>0</v>
      </c>
      <c r="AG902" t="str">
        <f>INDEX(vp.tbl[[#Headers],[Unknown]:[Heavy_SW]],MATCH(1,vp.tbl[[#This Row],[Unknown]:[Heavy_SW]],0))</f>
        <v>Medium_LSB</v>
      </c>
      <c r="AH902" t="e">
        <f>INDEX([1]!crudeBD.lkup[Number],MATCH(vp.tbl[[#This Row],[Crude_Breakdown]],[1]!crudeBD.lkup[Crude Breakdown],0))</f>
        <v>#REF!</v>
      </c>
      <c r="AI902">
        <f>MONTH(vp.tbl[[#This Row],[SDate]])</f>
        <v>2</v>
      </c>
      <c r="AJ902" s="5">
        <f>IFERROR(vp.tbl[[#This Row],[Sulf]]*vp.tbl[[#This Row],[Net Dens]],"")</f>
        <v>2648613.6653600005</v>
      </c>
      <c r="AK902" s="5">
        <f>IFERROR(vp.tbl[[#This Row],[Dens]]*vp.tbl[[#This Row],[VolumeM3]],"")</f>
        <v>1777593.0640000002</v>
      </c>
      <c r="AL902" s="5">
        <f>IFERROR(vp.tbl[[#This Row],[VP]]*vp.tbl[[#This Row],[VolumeM3]],"")</f>
        <v>126584.913</v>
      </c>
      <c r="AM902" s="4">
        <f>IFERROR((vp.tbl[[#This Row],[VP]]-INDEX(crudeBD.lkup.complete[Mean_VP],MATCH(vp.tbl[[#This Row],[Crude_Breakdown]],crudeBD.lkup.complete[Crude Breakdown],0)))^2,"")</f>
        <v>371.47146178432808</v>
      </c>
      <c r="AN902" s="4">
        <f>IFERROR((vp.tbl[[#This Row],[Dens]]-INDEX(crudeBD.lkup.complete[Mean_Dens],MATCH(vp.tbl[[#This Row],[Crude_Breakdown]],crudeBD.lkup.complete[Crude Breakdown],0)))^2,"")</f>
        <v>98.171975727628165</v>
      </c>
      <c r="AO902" s="4">
        <f>IFERROR((vp.tbl[[#This Row],[Sulf]]-INDEX(crudeBD.lkup.complete[Mean_Sulf],MATCH(vp.tbl[[#This Row],[Crude_Breakdown]],crudeBD.lkup.complete[Crude Breakdown],0)))^2,"")</f>
        <v>1.2299146663483974E-3</v>
      </c>
      <c r="AP902">
        <f>IF(AND(vp.tbl[[#This Row],[SDate]]&gt;=DATE(YEAR(vp.tbl[[#This Row],[SDate]]),5,1),vp.tbl[[#This Row],[SDate]]&lt;=DATE(YEAR(vp.tbl[[#This Row],[SDate]]),9,15)),1,0)</f>
        <v>0</v>
      </c>
      <c r="AQ902" s="15">
        <f>IF(vp.tbl[[#This Row],[SDate]]&lt;DATE(2016,12,1),0,1)</f>
        <v>1</v>
      </c>
    </row>
    <row r="903" spans="1:43" x14ac:dyDescent="0.25">
      <c r="A903">
        <v>902</v>
      </c>
      <c r="B903" t="s">
        <v>60</v>
      </c>
      <c r="C903" t="s">
        <v>60</v>
      </c>
      <c r="D903" t="s">
        <v>61</v>
      </c>
      <c r="E903" t="s">
        <v>73</v>
      </c>
      <c r="F903" s="1">
        <v>42792</v>
      </c>
      <c r="G903" s="2">
        <v>75.5</v>
      </c>
      <c r="H903" s="2">
        <v>1.1060000000000001</v>
      </c>
      <c r="I903" s="2">
        <v>1.1060000000000001</v>
      </c>
      <c r="J903" s="2">
        <v>3.3</v>
      </c>
      <c r="K903" s="2">
        <v>-11</v>
      </c>
      <c r="L903" s="2">
        <v>845.5</v>
      </c>
      <c r="M903" s="2">
        <v>845.5</v>
      </c>
      <c r="N903" s="2">
        <f ca="1">INDEX(INDIRECT(_xlfn.CONCAT("weather.tbl[",N$1,"]")),MATCH(vp.tbl[[#This Row],[SDate]],weather.tbl[Date],0))</f>
        <v>-11.916666666666666</v>
      </c>
      <c r="O903" s="2">
        <f ca="1">INDEX(INDIRECT(_xlfn.CONCAT("weather.tbl[",O$1,"]")),MATCH(vp.tbl[[#This Row],[SDate]],weather.tbl[Date],0))</f>
        <v>-4.7952380952380951</v>
      </c>
      <c r="P903" s="2">
        <f ca="1">INDEX(INDIRECT(_xlfn.CONCAT("weather.tbl[",P$1,"]")),MATCH(vp.tbl[[#This Row],[SDate]],weather.tbl[Date],0))</f>
        <v>-12.6</v>
      </c>
      <c r="Q903" s="2">
        <f ca="1">INDEX(INDIRECT(_xlfn.CONCAT("weather.tbl[",Q$1,"]")),MATCH(vp.tbl[[#This Row],[SDate]],weather.tbl[Date],0))</f>
        <v>-10.4</v>
      </c>
      <c r="R903" s="2">
        <f ca="1">INDEX(INDIRECT(_xlfn.CONCAT("weather.tbl[",R$1,"]")),MATCH(vp.tbl[[#This Row],[SDate]],weather.tbl[Date],0))</f>
        <v>-12.3</v>
      </c>
      <c r="S903" s="2">
        <f ca="1">INDEX(INDIRECT(_xlfn.CONCAT("weather.tbl[",S$1,"]")),MATCH(vp.tbl[[#This Row],[SDate]],weather.tbl[Date],0))</f>
        <v>-9.4</v>
      </c>
      <c r="T903" s="2">
        <f ca="1">INDEX(INDIRECT(_xlfn.CONCAT("weather.tbl[",T$1,"]")),MATCH(vp.tbl[[#This Row],[SDate]],weather.tbl[Date],0))</f>
        <v>-14.5</v>
      </c>
      <c r="U903" s="2">
        <f ca="1">INDEX(INDIRECT(_xlfn.CONCAT("weather.tbl[",U$1,"]")),MATCH(vp.tbl[[#This Row],[SDate]],weather.tbl[Date],0))</f>
        <v>-12.3</v>
      </c>
      <c r="V903" s="2">
        <v>96501.951000000001</v>
      </c>
      <c r="W903" t="s">
        <v>48</v>
      </c>
      <c r="X903">
        <f>IF(OR(vp.tbl[[#This Row],[Sulf]]="",vp.tbl[[#This Row],[Dens]]=""),1,0)</f>
        <v>0</v>
      </c>
      <c r="Y903">
        <f>IF(vp.tbl[[#This Row],[CrudeType]]="C5+",1,0)</f>
        <v>0</v>
      </c>
      <c r="Z903">
        <f>IF(AND(vp.tbl[[#This Row],[CrudeType]]="Crude",vp.tbl[[#This Row],[Dens]]&lt;=825,vp.tbl[[#This Row],[Sulf]]&gt;0.5,vp.tbl[[#This Row],[Unknown]]=0),1,0)</f>
        <v>0</v>
      </c>
      <c r="AA903">
        <f>IF(AND(vp.tbl[[#This Row],[CrudeType]]="Crude",vp.tbl[[#This Row],[Dens]]&lt;=825,vp.tbl[[#This Row],[Sulf]]&lt;=0.5,vp.tbl[[#This Row],[Unknown]]=0),1,0)</f>
        <v>0</v>
      </c>
      <c r="AB903">
        <f>IF(AND(vp.tbl[[#This Row],[CrudeType]]="Crude",vp.tbl[[#This Row],[Dens]]&gt;825,vp.tbl[[#This Row],[Dens]]&lt;=870,vp.tbl[[#This Row],[Sulf]]&gt;0.5,vp.tbl[[#This Row],[Unknown]]=0),1,0)</f>
        <v>1</v>
      </c>
      <c r="AC903">
        <f>IF(AND(vp.tbl[[#This Row],[CrudeType]]="Crude",vp.tbl[[#This Row],[Dens]]&gt;825,vp.tbl[[#This Row],[Dens]]&lt;=900,vp.tbl[[#This Row],[Sulf]]&lt;=0.5,vp.tbl[[#This Row],[Unknown]]=0),1,0)</f>
        <v>0</v>
      </c>
      <c r="AD903">
        <f>IF(AND(vp.tbl[[#This Row],[CrudeType]]="Crude",vp.tbl[[#This Row],[Dens]]&gt;870,vp.tbl[[#This Row],[Dens]]&lt;=900,vp.tbl[[#This Row],[Sulf]]&gt;0.5,vp.tbl[[#This Row],[Unknown]]=0),1,0)</f>
        <v>0</v>
      </c>
      <c r="AE903">
        <f>IF(AND(vp.tbl[[#This Row],[CrudeType]]="Crude",vp.tbl[[#This Row],[Dens]]&gt;900,vp.tbl[[#This Row],[Sulf]]&lt;=0.5,vp.tbl[[#This Row],[Unknown]]=0),1,0)</f>
        <v>0</v>
      </c>
      <c r="AF903">
        <f>IF(AND(vp.tbl[[#This Row],[CrudeType]]="Crude",vp.tbl[[#This Row],[Dens]]&gt;900,vp.tbl[[#This Row],[Sulf]]&lt;=0.5,vp.tbl[[#This Row],[Unknown]]=0),1,0)</f>
        <v>0</v>
      </c>
      <c r="AG903" t="str">
        <f>INDEX(vp.tbl[[#Headers],[Unknown]:[Heavy_SW]],MATCH(1,vp.tbl[[#This Row],[Unknown]:[Heavy_SW]],0))</f>
        <v>Medium_LSB</v>
      </c>
      <c r="AH903" t="e">
        <f>INDEX([1]!crudeBD.lkup[Number],MATCH(vp.tbl[[#This Row],[Crude_Breakdown]],[1]!crudeBD.lkup[Crude Breakdown],0))</f>
        <v>#REF!</v>
      </c>
      <c r="AI903">
        <f>MONTH(vp.tbl[[#This Row],[SDate]])</f>
        <v>2</v>
      </c>
      <c r="AJ903" s="5">
        <f>IFERROR(vp.tbl[[#This Row],[Sulf]]*vp.tbl[[#This Row],[Net Dens]],"")</f>
        <v>90241193.924973011</v>
      </c>
      <c r="AK903" s="5">
        <f>IFERROR(vp.tbl[[#This Row],[Dens]]*vp.tbl[[#This Row],[VolumeM3]],"")</f>
        <v>81592399.570500001</v>
      </c>
      <c r="AL903" s="5">
        <f>IFERROR(vp.tbl[[#This Row],[VP]]*vp.tbl[[#This Row],[VolumeM3]],"")</f>
        <v>7285897.3004999999</v>
      </c>
      <c r="AM903" s="4">
        <f>IFERROR((vp.tbl[[#This Row],[VP]]-INDEX(crudeBD.lkup.complete[Mean_VP],MATCH(vp.tbl[[#This Row],[Crude_Breakdown]],crudeBD.lkup.complete[Crude Breakdown],0)))^2,"")</f>
        <v>21.842489632430354</v>
      </c>
      <c r="AN903" s="4">
        <f>IFERROR((vp.tbl[[#This Row],[Dens]]-INDEX(crudeBD.lkup.complete[Mean_Dens],MATCH(vp.tbl[[#This Row],[Crude_Breakdown]],crudeBD.lkup.complete[Crude Breakdown],0)))^2,"")</f>
        <v>4.3337752924620832E-2</v>
      </c>
      <c r="AO903" s="4">
        <f>IFERROR((vp.tbl[[#This Row],[Sulf]]-INDEX(crudeBD.lkup.complete[Mean_Sulf],MATCH(vp.tbl[[#This Row],[Crude_Breakdown]],crudeBD.lkup.complete[Crude Breakdown],0)))^2,"")</f>
        <v>0.12175204772964061</v>
      </c>
      <c r="AP903">
        <f>IF(AND(vp.tbl[[#This Row],[SDate]]&gt;=DATE(YEAR(vp.tbl[[#This Row],[SDate]]),5,1),vp.tbl[[#This Row],[SDate]]&lt;=DATE(YEAR(vp.tbl[[#This Row],[SDate]]),9,15)),1,0)</f>
        <v>0</v>
      </c>
      <c r="AQ903" s="15">
        <f>IF(vp.tbl[[#This Row],[SDate]]&lt;DATE(2016,12,1),0,1)</f>
        <v>1</v>
      </c>
    </row>
    <row r="904" spans="1:43" x14ac:dyDescent="0.25">
      <c r="A904">
        <v>903</v>
      </c>
      <c r="B904" t="s">
        <v>60</v>
      </c>
      <c r="C904" t="s">
        <v>60</v>
      </c>
      <c r="D904" t="s">
        <v>61</v>
      </c>
      <c r="E904" t="s">
        <v>55</v>
      </c>
      <c r="F904" s="1">
        <v>42792</v>
      </c>
      <c r="G904" s="2">
        <v>97.9</v>
      </c>
      <c r="H904" s="2">
        <v>1.0920000000000001</v>
      </c>
      <c r="I904" s="2">
        <v>1.0920000000000001</v>
      </c>
      <c r="J904" s="2">
        <v>4.7</v>
      </c>
      <c r="K904" s="2">
        <v>-11</v>
      </c>
      <c r="L904" s="2">
        <v>833.2</v>
      </c>
      <c r="M904" s="2">
        <v>833.2</v>
      </c>
      <c r="N904" s="2">
        <f ca="1">INDEX(INDIRECT(_xlfn.CONCAT("weather.tbl[",N$1,"]")),MATCH(vp.tbl[[#This Row],[SDate]],weather.tbl[Date],0))</f>
        <v>-11.916666666666666</v>
      </c>
      <c r="O904" s="2">
        <f ca="1">INDEX(INDIRECT(_xlfn.CONCAT("weather.tbl[",O$1,"]")),MATCH(vp.tbl[[#This Row],[SDate]],weather.tbl[Date],0))</f>
        <v>-4.7952380952380951</v>
      </c>
      <c r="P904" s="2">
        <f ca="1">INDEX(INDIRECT(_xlfn.CONCAT("weather.tbl[",P$1,"]")),MATCH(vp.tbl[[#This Row],[SDate]],weather.tbl[Date],0))</f>
        <v>-12.6</v>
      </c>
      <c r="Q904" s="2">
        <f ca="1">INDEX(INDIRECT(_xlfn.CONCAT("weather.tbl[",Q$1,"]")),MATCH(vp.tbl[[#This Row],[SDate]],weather.tbl[Date],0))</f>
        <v>-10.4</v>
      </c>
      <c r="R904" s="2">
        <f ca="1">INDEX(INDIRECT(_xlfn.CONCAT("weather.tbl[",R$1,"]")),MATCH(vp.tbl[[#This Row],[SDate]],weather.tbl[Date],0))</f>
        <v>-12.3</v>
      </c>
      <c r="S904" s="2">
        <f ca="1">INDEX(INDIRECT(_xlfn.CONCAT("weather.tbl[",S$1,"]")),MATCH(vp.tbl[[#This Row],[SDate]],weather.tbl[Date],0))</f>
        <v>-9.4</v>
      </c>
      <c r="T904" s="2">
        <f ca="1">INDEX(INDIRECT(_xlfn.CONCAT("weather.tbl[",T$1,"]")),MATCH(vp.tbl[[#This Row],[SDate]],weather.tbl[Date],0))</f>
        <v>-14.5</v>
      </c>
      <c r="U904" s="2">
        <f ca="1">INDEX(INDIRECT(_xlfn.CONCAT("weather.tbl[",U$1,"]")),MATCH(vp.tbl[[#This Row],[SDate]],weather.tbl[Date],0))</f>
        <v>-12.3</v>
      </c>
      <c r="V904" s="2">
        <v>96501.951000000001</v>
      </c>
      <c r="W904" t="s">
        <v>48</v>
      </c>
      <c r="X904">
        <f>IF(OR(vp.tbl[[#This Row],[Sulf]]="",vp.tbl[[#This Row],[Dens]]=""),1,0)</f>
        <v>0</v>
      </c>
      <c r="Y904">
        <f>IF(vp.tbl[[#This Row],[CrudeType]]="C5+",1,0)</f>
        <v>0</v>
      </c>
      <c r="Z904">
        <f>IF(AND(vp.tbl[[#This Row],[CrudeType]]="Crude",vp.tbl[[#This Row],[Dens]]&lt;=825,vp.tbl[[#This Row],[Sulf]]&gt;0.5,vp.tbl[[#This Row],[Unknown]]=0),1,0)</f>
        <v>0</v>
      </c>
      <c r="AA904">
        <f>IF(AND(vp.tbl[[#This Row],[CrudeType]]="Crude",vp.tbl[[#This Row],[Dens]]&lt;=825,vp.tbl[[#This Row],[Sulf]]&lt;=0.5,vp.tbl[[#This Row],[Unknown]]=0),1,0)</f>
        <v>0</v>
      </c>
      <c r="AB904">
        <f>IF(AND(vp.tbl[[#This Row],[CrudeType]]="Crude",vp.tbl[[#This Row],[Dens]]&gt;825,vp.tbl[[#This Row],[Dens]]&lt;=870,vp.tbl[[#This Row],[Sulf]]&gt;0.5,vp.tbl[[#This Row],[Unknown]]=0),1,0)</f>
        <v>1</v>
      </c>
      <c r="AC904">
        <f>IF(AND(vp.tbl[[#This Row],[CrudeType]]="Crude",vp.tbl[[#This Row],[Dens]]&gt;825,vp.tbl[[#This Row],[Dens]]&lt;=900,vp.tbl[[#This Row],[Sulf]]&lt;=0.5,vp.tbl[[#This Row],[Unknown]]=0),1,0)</f>
        <v>0</v>
      </c>
      <c r="AD904">
        <f>IF(AND(vp.tbl[[#This Row],[CrudeType]]="Crude",vp.tbl[[#This Row],[Dens]]&gt;870,vp.tbl[[#This Row],[Dens]]&lt;=900,vp.tbl[[#This Row],[Sulf]]&gt;0.5,vp.tbl[[#This Row],[Unknown]]=0),1,0)</f>
        <v>0</v>
      </c>
      <c r="AE904">
        <f>IF(AND(vp.tbl[[#This Row],[CrudeType]]="Crude",vp.tbl[[#This Row],[Dens]]&gt;900,vp.tbl[[#This Row],[Sulf]]&lt;=0.5,vp.tbl[[#This Row],[Unknown]]=0),1,0)</f>
        <v>0</v>
      </c>
      <c r="AF904">
        <f>IF(AND(vp.tbl[[#This Row],[CrudeType]]="Crude",vp.tbl[[#This Row],[Dens]]&gt;900,vp.tbl[[#This Row],[Sulf]]&lt;=0.5,vp.tbl[[#This Row],[Unknown]]=0),1,0)</f>
        <v>0</v>
      </c>
      <c r="AG904" t="str">
        <f>INDEX(vp.tbl[[#Headers],[Unknown]:[Heavy_SW]],MATCH(1,vp.tbl[[#This Row],[Unknown]:[Heavy_SW]],0))</f>
        <v>Medium_LSB</v>
      </c>
      <c r="AH904" t="e">
        <f>INDEX([1]!crudeBD.lkup[Number],MATCH(vp.tbl[[#This Row],[Crude_Breakdown]],[1]!crudeBD.lkup[Crude Breakdown],0))</f>
        <v>#REF!</v>
      </c>
      <c r="AI904">
        <f>MONTH(vp.tbl[[#This Row],[SDate]])</f>
        <v>2</v>
      </c>
      <c r="AJ904" s="5">
        <f>IFERROR(vp.tbl[[#This Row],[Sulf]]*vp.tbl[[#This Row],[Net Dens]],"")</f>
        <v>87802724.725934416</v>
      </c>
      <c r="AK904" s="5">
        <f>IFERROR(vp.tbl[[#This Row],[Dens]]*vp.tbl[[#This Row],[VolumeM3]],"")</f>
        <v>80405425.573200002</v>
      </c>
      <c r="AL904" s="5">
        <f>IFERROR(vp.tbl[[#This Row],[VP]]*vp.tbl[[#This Row],[VolumeM3]],"")</f>
        <v>9447541.0029000007</v>
      </c>
      <c r="AM904" s="4">
        <f>IFERROR((vp.tbl[[#This Row],[VP]]-INDEX(crudeBD.lkup.complete[Mean_VP],MATCH(vp.tbl[[#This Row],[Crude_Breakdown]],crudeBD.lkup.complete[Crude Breakdown],0)))^2,"")</f>
        <v>314.22543646787523</v>
      </c>
      <c r="AN904" s="4">
        <f>IFERROR((vp.tbl[[#This Row],[Dens]]-INDEX(crudeBD.lkup.complete[Mean_Dens],MATCH(vp.tbl[[#This Row],[Crude_Breakdown]],crudeBD.lkup.complete[Crude Breakdown],0)))^2,"")</f>
        <v>146.21217825922841</v>
      </c>
      <c r="AO904" s="4">
        <f>IFERROR((vp.tbl[[#This Row],[Sulf]]-INDEX(crudeBD.lkup.complete[Mean_Sulf],MATCH(vp.tbl[[#This Row],[Crude_Breakdown]],crudeBD.lkup.complete[Crude Breakdown],0)))^2,"")</f>
        <v>0.13171808383090647</v>
      </c>
      <c r="AP904">
        <f>IF(AND(vp.tbl[[#This Row],[SDate]]&gt;=DATE(YEAR(vp.tbl[[#This Row],[SDate]]),5,1),vp.tbl[[#This Row],[SDate]]&lt;=DATE(YEAR(vp.tbl[[#This Row],[SDate]]),9,15)),1,0)</f>
        <v>0</v>
      </c>
      <c r="AQ904" s="15">
        <f>IF(vp.tbl[[#This Row],[SDate]]&lt;DATE(2016,12,1),0,1)</f>
        <v>1</v>
      </c>
    </row>
    <row r="905" spans="1:43" x14ac:dyDescent="0.25">
      <c r="A905">
        <v>904</v>
      </c>
      <c r="B905" t="s">
        <v>49</v>
      </c>
      <c r="C905" t="s">
        <v>49</v>
      </c>
      <c r="D905" t="s">
        <v>100</v>
      </c>
      <c r="F905" s="1">
        <v>42794</v>
      </c>
      <c r="G905" s="2">
        <v>87</v>
      </c>
      <c r="H905" s="2">
        <v>0.50900000000000001</v>
      </c>
      <c r="I905" s="2">
        <v>0.50900000000000001</v>
      </c>
      <c r="J905" s="2">
        <v>5.0999999999999996</v>
      </c>
      <c r="K905" s="2">
        <v>-14</v>
      </c>
      <c r="L905" s="2">
        <v>814.1</v>
      </c>
      <c r="M905" s="2">
        <v>814.1</v>
      </c>
      <c r="N905" s="2">
        <f ca="1">INDEX(INDIRECT(_xlfn.CONCAT("weather.tbl[",N$1,"]")),MATCH(vp.tbl[[#This Row],[SDate]],weather.tbl[Date],0))</f>
        <v>-14.383333333333335</v>
      </c>
      <c r="O905" s="2">
        <f ca="1">INDEX(INDIRECT(_xlfn.CONCAT("weather.tbl[",O$1,"]")),MATCH(vp.tbl[[#This Row],[SDate]],weather.tbl[Date],0))</f>
        <v>-9.2404761904761905</v>
      </c>
      <c r="P905" s="2">
        <f ca="1">INDEX(INDIRECT(_xlfn.CONCAT("weather.tbl[",P$1,"]")),MATCH(vp.tbl[[#This Row],[SDate]],weather.tbl[Date],0))</f>
        <v>-14.4</v>
      </c>
      <c r="Q905" s="2">
        <f ca="1">INDEX(INDIRECT(_xlfn.CONCAT("weather.tbl[",Q$1,"]")),MATCH(vp.tbl[[#This Row],[SDate]],weather.tbl[Date],0))</f>
        <v>-12.6</v>
      </c>
      <c r="R905" s="2">
        <f ca="1">INDEX(INDIRECT(_xlfn.CONCAT("weather.tbl[",R$1,"]")),MATCH(vp.tbl[[#This Row],[SDate]],weather.tbl[Date],0))</f>
        <v>-17</v>
      </c>
      <c r="S905" s="2">
        <f ca="1">INDEX(INDIRECT(_xlfn.CONCAT("weather.tbl[",S$1,"]")),MATCH(vp.tbl[[#This Row],[SDate]],weather.tbl[Date],0))</f>
        <v>-11.7</v>
      </c>
      <c r="T905" s="2">
        <f ca="1">INDEX(INDIRECT(_xlfn.CONCAT("weather.tbl[",T$1,"]")),MATCH(vp.tbl[[#This Row],[SDate]],weather.tbl[Date],0))</f>
        <v>-16.600000000000001</v>
      </c>
      <c r="U905" s="2">
        <f ca="1">INDEX(INDIRECT(_xlfn.CONCAT("weather.tbl[",U$1,"]")),MATCH(vp.tbl[[#This Row],[SDate]],weather.tbl[Date],0))</f>
        <v>-14</v>
      </c>
      <c r="V905" s="2">
        <v>11683.09</v>
      </c>
      <c r="W905" t="s">
        <v>48</v>
      </c>
      <c r="X905">
        <f>IF(OR(vp.tbl[[#This Row],[Sulf]]="",vp.tbl[[#This Row],[Dens]]=""),1,0)</f>
        <v>0</v>
      </c>
      <c r="Y905">
        <f>IF(vp.tbl[[#This Row],[CrudeType]]="C5+",1,0)</f>
        <v>0</v>
      </c>
      <c r="Z905">
        <f>IF(AND(vp.tbl[[#This Row],[CrudeType]]="Crude",vp.tbl[[#This Row],[Dens]]&lt;=825,vp.tbl[[#This Row],[Sulf]]&gt;0.5,vp.tbl[[#This Row],[Unknown]]=0),1,0)</f>
        <v>1</v>
      </c>
      <c r="AA905">
        <f>IF(AND(vp.tbl[[#This Row],[CrudeType]]="Crude",vp.tbl[[#This Row],[Dens]]&lt;=825,vp.tbl[[#This Row],[Sulf]]&lt;=0.5,vp.tbl[[#This Row],[Unknown]]=0),1,0)</f>
        <v>0</v>
      </c>
      <c r="AB905">
        <f>IF(AND(vp.tbl[[#This Row],[CrudeType]]="Crude",vp.tbl[[#This Row],[Dens]]&gt;825,vp.tbl[[#This Row],[Dens]]&lt;=870,vp.tbl[[#This Row],[Sulf]]&gt;0.5,vp.tbl[[#This Row],[Unknown]]=0),1,0)</f>
        <v>0</v>
      </c>
      <c r="AC905">
        <f>IF(AND(vp.tbl[[#This Row],[CrudeType]]="Crude",vp.tbl[[#This Row],[Dens]]&gt;825,vp.tbl[[#This Row],[Dens]]&lt;=900,vp.tbl[[#This Row],[Sulf]]&lt;=0.5,vp.tbl[[#This Row],[Unknown]]=0),1,0)</f>
        <v>0</v>
      </c>
      <c r="AD905">
        <f>IF(AND(vp.tbl[[#This Row],[CrudeType]]="Crude",vp.tbl[[#This Row],[Dens]]&gt;870,vp.tbl[[#This Row],[Dens]]&lt;=900,vp.tbl[[#This Row],[Sulf]]&gt;0.5,vp.tbl[[#This Row],[Unknown]]=0),1,0)</f>
        <v>0</v>
      </c>
      <c r="AE905">
        <f>IF(AND(vp.tbl[[#This Row],[CrudeType]]="Crude",vp.tbl[[#This Row],[Dens]]&gt;900,vp.tbl[[#This Row],[Sulf]]&lt;=0.5,vp.tbl[[#This Row],[Unknown]]=0),1,0)</f>
        <v>0</v>
      </c>
      <c r="AF905">
        <f>IF(AND(vp.tbl[[#This Row],[CrudeType]]="Crude",vp.tbl[[#This Row],[Dens]]&gt;900,vp.tbl[[#This Row],[Sulf]]&lt;=0.5,vp.tbl[[#This Row],[Unknown]]=0),1,0)</f>
        <v>0</v>
      </c>
      <c r="AG905" t="str">
        <f>INDEX(vp.tbl[[#Headers],[Unknown]:[Heavy_SW]],MATCH(1,vp.tbl[[#This Row],[Unknown]:[Heavy_SW]],0))</f>
        <v>Light_LSB</v>
      </c>
      <c r="AH905" t="e">
        <f>INDEX([1]!crudeBD.lkup[Number],MATCH(vp.tbl[[#This Row],[Crude_Breakdown]],[1]!crudeBD.lkup[Crude Breakdown],0))</f>
        <v>#REF!</v>
      </c>
      <c r="AI905">
        <f>MONTH(vp.tbl[[#This Row],[SDate]])</f>
        <v>2</v>
      </c>
      <c r="AJ905" s="5">
        <f>IFERROR(vp.tbl[[#This Row],[Sulf]]*vp.tbl[[#This Row],[Net Dens]],"")</f>
        <v>4841202.6166209998</v>
      </c>
      <c r="AK905" s="5">
        <f>IFERROR(vp.tbl[[#This Row],[Dens]]*vp.tbl[[#This Row],[VolumeM3]],"")</f>
        <v>9511203.5690000001</v>
      </c>
      <c r="AL905" s="5">
        <f>IFERROR(vp.tbl[[#This Row],[VP]]*vp.tbl[[#This Row],[VolumeM3]],"")</f>
        <v>1016428.83</v>
      </c>
      <c r="AM905" s="4">
        <f>IFERROR((vp.tbl[[#This Row],[VP]]-INDEX(crudeBD.lkup.complete[Mean_VP],MATCH(vp.tbl[[#This Row],[Crude_Breakdown]],crudeBD.lkup.complete[Crude Breakdown],0)))^2,"")</f>
        <v>20.66780320969313</v>
      </c>
      <c r="AN905" s="4">
        <f>IFERROR((vp.tbl[[#This Row],[Dens]]-INDEX(crudeBD.lkup.complete[Mean_Dens],MATCH(vp.tbl[[#This Row],[Crude_Breakdown]],crudeBD.lkup.complete[Crude Breakdown],0)))^2,"")</f>
        <v>19.507855107990554</v>
      </c>
      <c r="AO905" s="4">
        <f>IFERROR((vp.tbl[[#This Row],[Sulf]]-INDEX(crudeBD.lkup.complete[Mean_Sulf],MATCH(vp.tbl[[#This Row],[Crude_Breakdown]],crudeBD.lkup.complete[Crude Breakdown],0)))^2,"")</f>
        <v>0.17137212825394221</v>
      </c>
      <c r="AP905">
        <f>IF(AND(vp.tbl[[#This Row],[SDate]]&gt;=DATE(YEAR(vp.tbl[[#This Row],[SDate]]),5,1),vp.tbl[[#This Row],[SDate]]&lt;=DATE(YEAR(vp.tbl[[#This Row],[SDate]]),9,15)),1,0)</f>
        <v>0</v>
      </c>
      <c r="AQ905" s="15">
        <f>IF(vp.tbl[[#This Row],[SDate]]&lt;DATE(2016,12,1),0,1)</f>
        <v>1</v>
      </c>
    </row>
    <row r="906" spans="1:43" x14ac:dyDescent="0.25">
      <c r="A906">
        <v>905</v>
      </c>
      <c r="B906" t="s">
        <v>49</v>
      </c>
      <c r="C906" t="s">
        <v>49</v>
      </c>
      <c r="D906" t="s">
        <v>80</v>
      </c>
      <c r="F906" s="1">
        <v>42794</v>
      </c>
      <c r="G906" s="2">
        <v>88.2</v>
      </c>
      <c r="H906" s="2">
        <v>0.53800000000000003</v>
      </c>
      <c r="I906" s="2">
        <v>0.53800000000000003</v>
      </c>
      <c r="J906" s="2">
        <v>16.7</v>
      </c>
      <c r="K906" s="2">
        <v>-14</v>
      </c>
      <c r="L906" s="2">
        <v>814.7</v>
      </c>
      <c r="M906" s="2">
        <v>814.7</v>
      </c>
      <c r="N906" s="2">
        <f ca="1">INDEX(INDIRECT(_xlfn.CONCAT("weather.tbl[",N$1,"]")),MATCH(vp.tbl[[#This Row],[SDate]],weather.tbl[Date],0))</f>
        <v>-14.383333333333335</v>
      </c>
      <c r="O906" s="2">
        <f ca="1">INDEX(INDIRECT(_xlfn.CONCAT("weather.tbl[",O$1,"]")),MATCH(vp.tbl[[#This Row],[SDate]],weather.tbl[Date],0))</f>
        <v>-9.2404761904761905</v>
      </c>
      <c r="P906" s="2">
        <f ca="1">INDEX(INDIRECT(_xlfn.CONCAT("weather.tbl[",P$1,"]")),MATCH(vp.tbl[[#This Row],[SDate]],weather.tbl[Date],0))</f>
        <v>-14.4</v>
      </c>
      <c r="Q906" s="2">
        <f ca="1">INDEX(INDIRECT(_xlfn.CONCAT("weather.tbl[",Q$1,"]")),MATCH(vp.tbl[[#This Row],[SDate]],weather.tbl[Date],0))</f>
        <v>-12.6</v>
      </c>
      <c r="R906" s="2">
        <f ca="1">INDEX(INDIRECT(_xlfn.CONCAT("weather.tbl[",R$1,"]")),MATCH(vp.tbl[[#This Row],[SDate]],weather.tbl[Date],0))</f>
        <v>-17</v>
      </c>
      <c r="S906" s="2">
        <f ca="1">INDEX(INDIRECT(_xlfn.CONCAT("weather.tbl[",S$1,"]")),MATCH(vp.tbl[[#This Row],[SDate]],weather.tbl[Date],0))</f>
        <v>-11.7</v>
      </c>
      <c r="T906" s="2">
        <f ca="1">INDEX(INDIRECT(_xlfn.CONCAT("weather.tbl[",T$1,"]")),MATCH(vp.tbl[[#This Row],[SDate]],weather.tbl[Date],0))</f>
        <v>-16.600000000000001</v>
      </c>
      <c r="U906" s="2">
        <f ca="1">INDEX(INDIRECT(_xlfn.CONCAT("weather.tbl[",U$1,"]")),MATCH(vp.tbl[[#This Row],[SDate]],weather.tbl[Date],0))</f>
        <v>-14</v>
      </c>
      <c r="V906" s="2">
        <v>16928.633000000002</v>
      </c>
      <c r="W906" t="s">
        <v>48</v>
      </c>
      <c r="X906">
        <f>IF(OR(vp.tbl[[#This Row],[Sulf]]="",vp.tbl[[#This Row],[Dens]]=""),1,0)</f>
        <v>0</v>
      </c>
      <c r="Y906">
        <f>IF(vp.tbl[[#This Row],[CrudeType]]="C5+",1,0)</f>
        <v>0</v>
      </c>
      <c r="Z906">
        <f>IF(AND(vp.tbl[[#This Row],[CrudeType]]="Crude",vp.tbl[[#This Row],[Dens]]&lt;=825,vp.tbl[[#This Row],[Sulf]]&gt;0.5,vp.tbl[[#This Row],[Unknown]]=0),1,0)</f>
        <v>1</v>
      </c>
      <c r="AA906">
        <f>IF(AND(vp.tbl[[#This Row],[CrudeType]]="Crude",vp.tbl[[#This Row],[Dens]]&lt;=825,vp.tbl[[#This Row],[Sulf]]&lt;=0.5,vp.tbl[[#This Row],[Unknown]]=0),1,0)</f>
        <v>0</v>
      </c>
      <c r="AB906">
        <f>IF(AND(vp.tbl[[#This Row],[CrudeType]]="Crude",vp.tbl[[#This Row],[Dens]]&gt;825,vp.tbl[[#This Row],[Dens]]&lt;=870,vp.tbl[[#This Row],[Sulf]]&gt;0.5,vp.tbl[[#This Row],[Unknown]]=0),1,0)</f>
        <v>0</v>
      </c>
      <c r="AC906">
        <f>IF(AND(vp.tbl[[#This Row],[CrudeType]]="Crude",vp.tbl[[#This Row],[Dens]]&gt;825,vp.tbl[[#This Row],[Dens]]&lt;=900,vp.tbl[[#This Row],[Sulf]]&lt;=0.5,vp.tbl[[#This Row],[Unknown]]=0),1,0)</f>
        <v>0</v>
      </c>
      <c r="AD906">
        <f>IF(AND(vp.tbl[[#This Row],[CrudeType]]="Crude",vp.tbl[[#This Row],[Dens]]&gt;870,vp.tbl[[#This Row],[Dens]]&lt;=900,vp.tbl[[#This Row],[Sulf]]&gt;0.5,vp.tbl[[#This Row],[Unknown]]=0),1,0)</f>
        <v>0</v>
      </c>
      <c r="AE906">
        <f>IF(AND(vp.tbl[[#This Row],[CrudeType]]="Crude",vp.tbl[[#This Row],[Dens]]&gt;900,vp.tbl[[#This Row],[Sulf]]&lt;=0.5,vp.tbl[[#This Row],[Unknown]]=0),1,0)</f>
        <v>0</v>
      </c>
      <c r="AF906">
        <f>IF(AND(vp.tbl[[#This Row],[CrudeType]]="Crude",vp.tbl[[#This Row],[Dens]]&gt;900,vp.tbl[[#This Row],[Sulf]]&lt;=0.5,vp.tbl[[#This Row],[Unknown]]=0),1,0)</f>
        <v>0</v>
      </c>
      <c r="AG906" t="str">
        <f>INDEX(vp.tbl[[#Headers],[Unknown]:[Heavy_SW]],MATCH(1,vp.tbl[[#This Row],[Unknown]:[Heavy_SW]],0))</f>
        <v>Light_LSB</v>
      </c>
      <c r="AH906" t="e">
        <f>INDEX([1]!crudeBD.lkup[Number],MATCH(vp.tbl[[#This Row],[Crude_Breakdown]],[1]!crudeBD.lkup[Crude Breakdown],0))</f>
        <v>#REF!</v>
      </c>
      <c r="AI906">
        <f>MONTH(vp.tbl[[#This Row],[SDate]])</f>
        <v>2</v>
      </c>
      <c r="AJ906" s="5">
        <f>IFERROR(vp.tbl[[#This Row],[Sulf]]*vp.tbl[[#This Row],[Net Dens]],"")</f>
        <v>7419965.4301438015</v>
      </c>
      <c r="AK906" s="5">
        <f>IFERROR(vp.tbl[[#This Row],[Dens]]*vp.tbl[[#This Row],[VolumeM3]],"")</f>
        <v>13791757.305100001</v>
      </c>
      <c r="AL906" s="5">
        <f>IFERROR(vp.tbl[[#This Row],[VP]]*vp.tbl[[#This Row],[VolumeM3]],"")</f>
        <v>1493105.4306000001</v>
      </c>
      <c r="AM906" s="4">
        <f>IFERROR((vp.tbl[[#This Row],[VP]]-INDEX(crudeBD.lkup.complete[Mean_VP],MATCH(vp.tbl[[#This Row],[Crude_Breakdown]],crudeBD.lkup.complete[Crude Breakdown],0)))^2,"")</f>
        <v>11.196957848868294</v>
      </c>
      <c r="AN906" s="4">
        <f>IFERROR((vp.tbl[[#This Row],[Dens]]-INDEX(crudeBD.lkup.complete[Mean_Dens],MATCH(vp.tbl[[#This Row],[Crude_Breakdown]],crudeBD.lkup.complete[Crude Breakdown],0)))^2,"")</f>
        <v>14.567731396650577</v>
      </c>
      <c r="AO906" s="4">
        <f>IFERROR((vp.tbl[[#This Row],[Sulf]]-INDEX(crudeBD.lkup.complete[Mean_Sulf],MATCH(vp.tbl[[#This Row],[Crude_Breakdown]],crudeBD.lkup.complete[Crude Breakdown],0)))^2,"")</f>
        <v>0.14820280048761919</v>
      </c>
      <c r="AP906">
        <f>IF(AND(vp.tbl[[#This Row],[SDate]]&gt;=DATE(YEAR(vp.tbl[[#This Row],[SDate]]),5,1),vp.tbl[[#This Row],[SDate]]&lt;=DATE(YEAR(vp.tbl[[#This Row],[SDate]]),9,15)),1,0)</f>
        <v>0</v>
      </c>
      <c r="AQ906" s="15">
        <f>IF(vp.tbl[[#This Row],[SDate]]&lt;DATE(2016,12,1),0,1)</f>
        <v>1</v>
      </c>
    </row>
    <row r="907" spans="1:43" x14ac:dyDescent="0.25">
      <c r="A907">
        <v>906</v>
      </c>
      <c r="B907" t="s">
        <v>49</v>
      </c>
      <c r="C907" t="s">
        <v>49</v>
      </c>
      <c r="D907" t="s">
        <v>67</v>
      </c>
      <c r="F907" s="1">
        <v>42794</v>
      </c>
      <c r="G907" s="2">
        <v>101.1</v>
      </c>
      <c r="H907" s="2">
        <v>0.64600000000000002</v>
      </c>
      <c r="I907" s="2">
        <v>0.64600000000000002</v>
      </c>
      <c r="J907" s="2">
        <v>3.1</v>
      </c>
      <c r="K907" s="2">
        <v>-14</v>
      </c>
      <c r="L907" s="2">
        <v>820.9</v>
      </c>
      <c r="M907" s="2">
        <v>820.9</v>
      </c>
      <c r="N907" s="2">
        <f ca="1">INDEX(INDIRECT(_xlfn.CONCAT("weather.tbl[",N$1,"]")),MATCH(vp.tbl[[#This Row],[SDate]],weather.tbl[Date],0))</f>
        <v>-14.383333333333335</v>
      </c>
      <c r="O907" s="2">
        <f ca="1">INDEX(INDIRECT(_xlfn.CONCAT("weather.tbl[",O$1,"]")),MATCH(vp.tbl[[#This Row],[SDate]],weather.tbl[Date],0))</f>
        <v>-9.2404761904761905</v>
      </c>
      <c r="P907" s="2">
        <f ca="1">INDEX(INDIRECT(_xlfn.CONCAT("weather.tbl[",P$1,"]")),MATCH(vp.tbl[[#This Row],[SDate]],weather.tbl[Date],0))</f>
        <v>-14.4</v>
      </c>
      <c r="Q907" s="2">
        <f ca="1">INDEX(INDIRECT(_xlfn.CONCAT("weather.tbl[",Q$1,"]")),MATCH(vp.tbl[[#This Row],[SDate]],weather.tbl[Date],0))</f>
        <v>-12.6</v>
      </c>
      <c r="R907" s="2">
        <f ca="1">INDEX(INDIRECT(_xlfn.CONCAT("weather.tbl[",R$1,"]")),MATCH(vp.tbl[[#This Row],[SDate]],weather.tbl[Date],0))</f>
        <v>-17</v>
      </c>
      <c r="S907" s="2">
        <f ca="1">INDEX(INDIRECT(_xlfn.CONCAT("weather.tbl[",S$1,"]")),MATCH(vp.tbl[[#This Row],[SDate]],weather.tbl[Date],0))</f>
        <v>-11.7</v>
      </c>
      <c r="T907" s="2">
        <f ca="1">INDEX(INDIRECT(_xlfn.CONCAT("weather.tbl[",T$1,"]")),MATCH(vp.tbl[[#This Row],[SDate]],weather.tbl[Date],0))</f>
        <v>-16.600000000000001</v>
      </c>
      <c r="U907" s="2">
        <f ca="1">INDEX(INDIRECT(_xlfn.CONCAT("weather.tbl[",U$1,"]")),MATCH(vp.tbl[[#This Row],[SDate]],weather.tbl[Date],0))</f>
        <v>-14</v>
      </c>
      <c r="V907" s="2">
        <v>124428.834</v>
      </c>
      <c r="W907" t="s">
        <v>48</v>
      </c>
      <c r="X907">
        <f>IF(OR(vp.tbl[[#This Row],[Sulf]]="",vp.tbl[[#This Row],[Dens]]=""),1,0)</f>
        <v>0</v>
      </c>
      <c r="Y907">
        <f>IF(vp.tbl[[#This Row],[CrudeType]]="C5+",1,0)</f>
        <v>0</v>
      </c>
      <c r="Z907">
        <f>IF(AND(vp.tbl[[#This Row],[CrudeType]]="Crude",vp.tbl[[#This Row],[Dens]]&lt;=825,vp.tbl[[#This Row],[Sulf]]&gt;0.5,vp.tbl[[#This Row],[Unknown]]=0),1,0)</f>
        <v>1</v>
      </c>
      <c r="AA907">
        <f>IF(AND(vp.tbl[[#This Row],[CrudeType]]="Crude",vp.tbl[[#This Row],[Dens]]&lt;=825,vp.tbl[[#This Row],[Sulf]]&lt;=0.5,vp.tbl[[#This Row],[Unknown]]=0),1,0)</f>
        <v>0</v>
      </c>
      <c r="AB907">
        <f>IF(AND(vp.tbl[[#This Row],[CrudeType]]="Crude",vp.tbl[[#This Row],[Dens]]&gt;825,vp.tbl[[#This Row],[Dens]]&lt;=870,vp.tbl[[#This Row],[Sulf]]&gt;0.5,vp.tbl[[#This Row],[Unknown]]=0),1,0)</f>
        <v>0</v>
      </c>
      <c r="AC907">
        <f>IF(AND(vp.tbl[[#This Row],[CrudeType]]="Crude",vp.tbl[[#This Row],[Dens]]&gt;825,vp.tbl[[#This Row],[Dens]]&lt;=900,vp.tbl[[#This Row],[Sulf]]&lt;=0.5,vp.tbl[[#This Row],[Unknown]]=0),1,0)</f>
        <v>0</v>
      </c>
      <c r="AD907">
        <f>IF(AND(vp.tbl[[#This Row],[CrudeType]]="Crude",vp.tbl[[#This Row],[Dens]]&gt;870,vp.tbl[[#This Row],[Dens]]&lt;=900,vp.tbl[[#This Row],[Sulf]]&gt;0.5,vp.tbl[[#This Row],[Unknown]]=0),1,0)</f>
        <v>0</v>
      </c>
      <c r="AE907">
        <f>IF(AND(vp.tbl[[#This Row],[CrudeType]]="Crude",vp.tbl[[#This Row],[Dens]]&gt;900,vp.tbl[[#This Row],[Sulf]]&lt;=0.5,vp.tbl[[#This Row],[Unknown]]=0),1,0)</f>
        <v>0</v>
      </c>
      <c r="AF907">
        <f>IF(AND(vp.tbl[[#This Row],[CrudeType]]="Crude",vp.tbl[[#This Row],[Dens]]&gt;900,vp.tbl[[#This Row],[Sulf]]&lt;=0.5,vp.tbl[[#This Row],[Unknown]]=0),1,0)</f>
        <v>0</v>
      </c>
      <c r="AG907" t="str">
        <f>INDEX(vp.tbl[[#Headers],[Unknown]:[Heavy_SW]],MATCH(1,vp.tbl[[#This Row],[Unknown]:[Heavy_SW]],0))</f>
        <v>Light_LSB</v>
      </c>
      <c r="AH907" t="e">
        <f>INDEX([1]!crudeBD.lkup[Number],MATCH(vp.tbl[[#This Row],[Crude_Breakdown]],[1]!crudeBD.lkup[Crude Breakdown],0))</f>
        <v>#REF!</v>
      </c>
      <c r="AI907">
        <f>MONTH(vp.tbl[[#This Row],[SDate]])</f>
        <v>2</v>
      </c>
      <c r="AJ907" s="5">
        <f>IFERROR(vp.tbl[[#This Row],[Sulf]]*vp.tbl[[#This Row],[Net Dens]],"")</f>
        <v>65984784.870567597</v>
      </c>
      <c r="AK907" s="5">
        <f>IFERROR(vp.tbl[[#This Row],[Dens]]*vp.tbl[[#This Row],[VolumeM3]],"")</f>
        <v>102143629.83059999</v>
      </c>
      <c r="AL907" s="5">
        <f>IFERROR(vp.tbl[[#This Row],[VP]]*vp.tbl[[#This Row],[VolumeM3]],"")</f>
        <v>12579755.1174</v>
      </c>
      <c r="AM907" s="4">
        <f>IFERROR((vp.tbl[[#This Row],[VP]]-INDEX(crudeBD.lkup.complete[Mean_VP],MATCH(vp.tbl[[#This Row],[Crude_Breakdown]],crudeBD.lkup.complete[Crude Breakdown],0)))^2,"")</f>
        <v>91.27537022000142</v>
      </c>
      <c r="AN907" s="4">
        <f>IFERROR((vp.tbl[[#This Row],[Dens]]-INDEX(crudeBD.lkup.complete[Mean_Dens],MATCH(vp.tbl[[#This Row],[Crude_Breakdown]],crudeBD.lkup.complete[Crude Breakdown],0)))^2,"")</f>
        <v>5.6797863794725805</v>
      </c>
      <c r="AO907" s="4">
        <f>IFERROR((vp.tbl[[#This Row],[Sulf]]-INDEX(crudeBD.lkup.complete[Mean_Sulf],MATCH(vp.tbl[[#This Row],[Crude_Breakdown]],crudeBD.lkup.complete[Crude Breakdown],0)))^2,"")</f>
        <v>7.6713028116485241E-2</v>
      </c>
      <c r="AP907">
        <f>IF(AND(vp.tbl[[#This Row],[SDate]]&gt;=DATE(YEAR(vp.tbl[[#This Row],[SDate]]),5,1),vp.tbl[[#This Row],[SDate]]&lt;=DATE(YEAR(vp.tbl[[#This Row],[SDate]]),9,15)),1,0)</f>
        <v>0</v>
      </c>
      <c r="AQ907" s="15">
        <f>IF(vp.tbl[[#This Row],[SDate]]&lt;DATE(2016,12,1),0,1)</f>
        <v>1</v>
      </c>
    </row>
    <row r="908" spans="1:43" x14ac:dyDescent="0.25">
      <c r="A908">
        <v>907</v>
      </c>
      <c r="B908" t="s">
        <v>49</v>
      </c>
      <c r="C908" t="s">
        <v>49</v>
      </c>
      <c r="D908" t="s">
        <v>89</v>
      </c>
      <c r="F908" s="1">
        <v>42794</v>
      </c>
      <c r="G908" s="2">
        <v>85.4</v>
      </c>
      <c r="H908" s="2">
        <v>0.84199999999999997</v>
      </c>
      <c r="I908" s="2">
        <v>0.84199999999999997</v>
      </c>
      <c r="J908" s="2">
        <v>2.8</v>
      </c>
      <c r="K908" s="2">
        <v>-14</v>
      </c>
      <c r="L908" s="2">
        <v>822.9</v>
      </c>
      <c r="M908" s="2">
        <v>822.9</v>
      </c>
      <c r="N908" s="2">
        <f ca="1">INDEX(INDIRECT(_xlfn.CONCAT("weather.tbl[",N$1,"]")),MATCH(vp.tbl[[#This Row],[SDate]],weather.tbl[Date],0))</f>
        <v>-14.383333333333335</v>
      </c>
      <c r="O908" s="2">
        <f ca="1">INDEX(INDIRECT(_xlfn.CONCAT("weather.tbl[",O$1,"]")),MATCH(vp.tbl[[#This Row],[SDate]],weather.tbl[Date],0))</f>
        <v>-9.2404761904761905</v>
      </c>
      <c r="P908" s="2">
        <f ca="1">INDEX(INDIRECT(_xlfn.CONCAT("weather.tbl[",P$1,"]")),MATCH(vp.tbl[[#This Row],[SDate]],weather.tbl[Date],0))</f>
        <v>-14.4</v>
      </c>
      <c r="Q908" s="2">
        <f ca="1">INDEX(INDIRECT(_xlfn.CONCAT("weather.tbl[",Q$1,"]")),MATCH(vp.tbl[[#This Row],[SDate]],weather.tbl[Date],0))</f>
        <v>-12.6</v>
      </c>
      <c r="R908" s="2">
        <f ca="1">INDEX(INDIRECT(_xlfn.CONCAT("weather.tbl[",R$1,"]")),MATCH(vp.tbl[[#This Row],[SDate]],weather.tbl[Date],0))</f>
        <v>-17</v>
      </c>
      <c r="S908" s="2">
        <f ca="1">INDEX(INDIRECT(_xlfn.CONCAT("weather.tbl[",S$1,"]")),MATCH(vp.tbl[[#This Row],[SDate]],weather.tbl[Date],0))</f>
        <v>-11.7</v>
      </c>
      <c r="T908" s="2">
        <f ca="1">INDEX(INDIRECT(_xlfn.CONCAT("weather.tbl[",T$1,"]")),MATCH(vp.tbl[[#This Row],[SDate]],weather.tbl[Date],0))</f>
        <v>-16.600000000000001</v>
      </c>
      <c r="U908" s="2">
        <f ca="1">INDEX(INDIRECT(_xlfn.CONCAT("weather.tbl[",U$1,"]")),MATCH(vp.tbl[[#This Row],[SDate]],weather.tbl[Date],0))</f>
        <v>-14</v>
      </c>
      <c r="V908" s="2">
        <v>5063.2240000000002</v>
      </c>
      <c r="W908" t="s">
        <v>48</v>
      </c>
      <c r="X908">
        <f>IF(OR(vp.tbl[[#This Row],[Sulf]]="",vp.tbl[[#This Row],[Dens]]=""),1,0)</f>
        <v>0</v>
      </c>
      <c r="Y908">
        <f>IF(vp.tbl[[#This Row],[CrudeType]]="C5+",1,0)</f>
        <v>0</v>
      </c>
      <c r="Z908">
        <f>IF(AND(vp.tbl[[#This Row],[CrudeType]]="Crude",vp.tbl[[#This Row],[Dens]]&lt;=825,vp.tbl[[#This Row],[Sulf]]&gt;0.5,vp.tbl[[#This Row],[Unknown]]=0),1,0)</f>
        <v>1</v>
      </c>
      <c r="AA908">
        <f>IF(AND(vp.tbl[[#This Row],[CrudeType]]="Crude",vp.tbl[[#This Row],[Dens]]&lt;=825,vp.tbl[[#This Row],[Sulf]]&lt;=0.5,vp.tbl[[#This Row],[Unknown]]=0),1,0)</f>
        <v>0</v>
      </c>
      <c r="AB908">
        <f>IF(AND(vp.tbl[[#This Row],[CrudeType]]="Crude",vp.tbl[[#This Row],[Dens]]&gt;825,vp.tbl[[#This Row],[Dens]]&lt;=870,vp.tbl[[#This Row],[Sulf]]&gt;0.5,vp.tbl[[#This Row],[Unknown]]=0),1,0)</f>
        <v>0</v>
      </c>
      <c r="AC908">
        <f>IF(AND(vp.tbl[[#This Row],[CrudeType]]="Crude",vp.tbl[[#This Row],[Dens]]&gt;825,vp.tbl[[#This Row],[Dens]]&lt;=900,vp.tbl[[#This Row],[Sulf]]&lt;=0.5,vp.tbl[[#This Row],[Unknown]]=0),1,0)</f>
        <v>0</v>
      </c>
      <c r="AD908">
        <f>IF(AND(vp.tbl[[#This Row],[CrudeType]]="Crude",vp.tbl[[#This Row],[Dens]]&gt;870,vp.tbl[[#This Row],[Dens]]&lt;=900,vp.tbl[[#This Row],[Sulf]]&gt;0.5,vp.tbl[[#This Row],[Unknown]]=0),1,0)</f>
        <v>0</v>
      </c>
      <c r="AE908">
        <f>IF(AND(vp.tbl[[#This Row],[CrudeType]]="Crude",vp.tbl[[#This Row],[Dens]]&gt;900,vp.tbl[[#This Row],[Sulf]]&lt;=0.5,vp.tbl[[#This Row],[Unknown]]=0),1,0)</f>
        <v>0</v>
      </c>
      <c r="AF908">
        <f>IF(AND(vp.tbl[[#This Row],[CrudeType]]="Crude",vp.tbl[[#This Row],[Dens]]&gt;900,vp.tbl[[#This Row],[Sulf]]&lt;=0.5,vp.tbl[[#This Row],[Unknown]]=0),1,0)</f>
        <v>0</v>
      </c>
      <c r="AG908" t="str">
        <f>INDEX(vp.tbl[[#Headers],[Unknown]:[Heavy_SW]],MATCH(1,vp.tbl[[#This Row],[Unknown]:[Heavy_SW]],0))</f>
        <v>Light_LSB</v>
      </c>
      <c r="AH908" t="e">
        <f>INDEX([1]!crudeBD.lkup[Number],MATCH(vp.tbl[[#This Row],[Crude_Breakdown]],[1]!crudeBD.lkup[Crude Breakdown],0))</f>
        <v>#REF!</v>
      </c>
      <c r="AI908">
        <f>MONTH(vp.tbl[[#This Row],[SDate]])</f>
        <v>2</v>
      </c>
      <c r="AJ908" s="5">
        <f>IFERROR(vp.tbl[[#This Row],[Sulf]]*vp.tbl[[#This Row],[Net Dens]],"")</f>
        <v>3508215.7589232</v>
      </c>
      <c r="AK908" s="5">
        <f>IFERROR(vp.tbl[[#This Row],[Dens]]*vp.tbl[[#This Row],[VolumeM3]],"")</f>
        <v>4166527.0296</v>
      </c>
      <c r="AL908" s="5">
        <f>IFERROR(vp.tbl[[#This Row],[VP]]*vp.tbl[[#This Row],[VolumeM3]],"")</f>
        <v>432399.32960000006</v>
      </c>
      <c r="AM908" s="4">
        <f>IFERROR((vp.tbl[[#This Row],[VP]]-INDEX(crudeBD.lkup.complete[Mean_VP],MATCH(vp.tbl[[#This Row],[Crude_Breakdown]],crudeBD.lkup.complete[Crude Breakdown],0)))^2,"")</f>
        <v>37.775597024126149</v>
      </c>
      <c r="AN908" s="4">
        <f>IFERROR((vp.tbl[[#This Row],[Dens]]-INDEX(crudeBD.lkup.complete[Mean_Dens],MATCH(vp.tbl[[#This Row],[Crude_Breakdown]],crudeBD.lkup.complete[Crude Breakdown],0)))^2,"")</f>
        <v>19.21270734167306</v>
      </c>
      <c r="AO908" s="4">
        <f>IFERROR((vp.tbl[[#This Row],[Sulf]]-INDEX(crudeBD.lkup.complete[Mean_Sulf],MATCH(vp.tbl[[#This Row],[Crude_Breakdown]],crudeBD.lkup.complete[Crude Breakdown],0)))^2,"")</f>
        <v>6.5563301096125091E-3</v>
      </c>
      <c r="AP908">
        <f>IF(AND(vp.tbl[[#This Row],[SDate]]&gt;=DATE(YEAR(vp.tbl[[#This Row],[SDate]]),5,1),vp.tbl[[#This Row],[SDate]]&lt;=DATE(YEAR(vp.tbl[[#This Row],[SDate]]),9,15)),1,0)</f>
        <v>0</v>
      </c>
      <c r="AQ908" s="15">
        <f>IF(vp.tbl[[#This Row],[SDate]]&lt;DATE(2016,12,1),0,1)</f>
        <v>1</v>
      </c>
    </row>
    <row r="909" spans="1:43" x14ac:dyDescent="0.25">
      <c r="A909">
        <v>908</v>
      </c>
      <c r="B909" t="s">
        <v>49</v>
      </c>
      <c r="C909" t="s">
        <v>49</v>
      </c>
      <c r="D909" t="s">
        <v>90</v>
      </c>
      <c r="F909" s="1">
        <v>42794</v>
      </c>
      <c r="G909" s="2">
        <v>78.099999999999994</v>
      </c>
      <c r="H909" s="2">
        <v>1.266</v>
      </c>
      <c r="I909" s="2">
        <v>1.266</v>
      </c>
      <c r="J909" s="2">
        <v>29.3</v>
      </c>
      <c r="K909" s="2">
        <v>-14</v>
      </c>
      <c r="L909" s="2">
        <v>844.4</v>
      </c>
      <c r="M909" s="2">
        <v>844.4</v>
      </c>
      <c r="N909" s="2">
        <f ca="1">INDEX(INDIRECT(_xlfn.CONCAT("weather.tbl[",N$1,"]")),MATCH(vp.tbl[[#This Row],[SDate]],weather.tbl[Date],0))</f>
        <v>-14.383333333333335</v>
      </c>
      <c r="O909" s="2">
        <f ca="1">INDEX(INDIRECT(_xlfn.CONCAT("weather.tbl[",O$1,"]")),MATCH(vp.tbl[[#This Row],[SDate]],weather.tbl[Date],0))</f>
        <v>-9.2404761904761905</v>
      </c>
      <c r="P909" s="2">
        <f ca="1">INDEX(INDIRECT(_xlfn.CONCAT("weather.tbl[",P$1,"]")),MATCH(vp.tbl[[#This Row],[SDate]],weather.tbl[Date],0))</f>
        <v>-14.4</v>
      </c>
      <c r="Q909" s="2">
        <f ca="1">INDEX(INDIRECT(_xlfn.CONCAT("weather.tbl[",Q$1,"]")),MATCH(vp.tbl[[#This Row],[SDate]],weather.tbl[Date],0))</f>
        <v>-12.6</v>
      </c>
      <c r="R909" s="2">
        <f ca="1">INDEX(INDIRECT(_xlfn.CONCAT("weather.tbl[",R$1,"]")),MATCH(vp.tbl[[#This Row],[SDate]],weather.tbl[Date],0))</f>
        <v>-17</v>
      </c>
      <c r="S909" s="2">
        <f ca="1">INDEX(INDIRECT(_xlfn.CONCAT("weather.tbl[",S$1,"]")),MATCH(vp.tbl[[#This Row],[SDate]],weather.tbl[Date],0))</f>
        <v>-11.7</v>
      </c>
      <c r="T909" s="2">
        <f ca="1">INDEX(INDIRECT(_xlfn.CONCAT("weather.tbl[",T$1,"]")),MATCH(vp.tbl[[#This Row],[SDate]],weather.tbl[Date],0))</f>
        <v>-16.600000000000001</v>
      </c>
      <c r="U909" s="2">
        <f ca="1">INDEX(INDIRECT(_xlfn.CONCAT("weather.tbl[",U$1,"]")),MATCH(vp.tbl[[#This Row],[SDate]],weather.tbl[Date],0))</f>
        <v>-14</v>
      </c>
      <c r="V909" s="2">
        <v>4432.7370000000001</v>
      </c>
      <c r="W909" t="s">
        <v>48</v>
      </c>
      <c r="X909">
        <f>IF(OR(vp.tbl[[#This Row],[Sulf]]="",vp.tbl[[#This Row],[Dens]]=""),1,0)</f>
        <v>0</v>
      </c>
      <c r="Y909">
        <f>IF(vp.tbl[[#This Row],[CrudeType]]="C5+",1,0)</f>
        <v>0</v>
      </c>
      <c r="Z909">
        <f>IF(AND(vp.tbl[[#This Row],[CrudeType]]="Crude",vp.tbl[[#This Row],[Dens]]&lt;=825,vp.tbl[[#This Row],[Sulf]]&gt;0.5,vp.tbl[[#This Row],[Unknown]]=0),1,0)</f>
        <v>0</v>
      </c>
      <c r="AA909">
        <f>IF(AND(vp.tbl[[#This Row],[CrudeType]]="Crude",vp.tbl[[#This Row],[Dens]]&lt;=825,vp.tbl[[#This Row],[Sulf]]&lt;=0.5,vp.tbl[[#This Row],[Unknown]]=0),1,0)</f>
        <v>0</v>
      </c>
      <c r="AB909">
        <f>IF(AND(vp.tbl[[#This Row],[CrudeType]]="Crude",vp.tbl[[#This Row],[Dens]]&gt;825,vp.tbl[[#This Row],[Dens]]&lt;=870,vp.tbl[[#This Row],[Sulf]]&gt;0.5,vp.tbl[[#This Row],[Unknown]]=0),1,0)</f>
        <v>1</v>
      </c>
      <c r="AC909">
        <f>IF(AND(vp.tbl[[#This Row],[CrudeType]]="Crude",vp.tbl[[#This Row],[Dens]]&gt;825,vp.tbl[[#This Row],[Dens]]&lt;=900,vp.tbl[[#This Row],[Sulf]]&lt;=0.5,vp.tbl[[#This Row],[Unknown]]=0),1,0)</f>
        <v>0</v>
      </c>
      <c r="AD909">
        <f>IF(AND(vp.tbl[[#This Row],[CrudeType]]="Crude",vp.tbl[[#This Row],[Dens]]&gt;870,vp.tbl[[#This Row],[Dens]]&lt;=900,vp.tbl[[#This Row],[Sulf]]&gt;0.5,vp.tbl[[#This Row],[Unknown]]=0),1,0)</f>
        <v>0</v>
      </c>
      <c r="AE909">
        <f>IF(AND(vp.tbl[[#This Row],[CrudeType]]="Crude",vp.tbl[[#This Row],[Dens]]&gt;900,vp.tbl[[#This Row],[Sulf]]&lt;=0.5,vp.tbl[[#This Row],[Unknown]]=0),1,0)</f>
        <v>0</v>
      </c>
      <c r="AF909">
        <f>IF(AND(vp.tbl[[#This Row],[CrudeType]]="Crude",vp.tbl[[#This Row],[Dens]]&gt;900,vp.tbl[[#This Row],[Sulf]]&lt;=0.5,vp.tbl[[#This Row],[Unknown]]=0),1,0)</f>
        <v>0</v>
      </c>
      <c r="AG909" t="str">
        <f>INDEX(vp.tbl[[#Headers],[Unknown]:[Heavy_SW]],MATCH(1,vp.tbl[[#This Row],[Unknown]:[Heavy_SW]],0))</f>
        <v>Medium_LSB</v>
      </c>
      <c r="AH909" t="e">
        <f>INDEX([1]!crudeBD.lkup[Number],MATCH(vp.tbl[[#This Row],[Crude_Breakdown]],[1]!crudeBD.lkup[Crude Breakdown],0))</f>
        <v>#REF!</v>
      </c>
      <c r="AI909">
        <f>MONTH(vp.tbl[[#This Row],[SDate]])</f>
        <v>2</v>
      </c>
      <c r="AJ909" s="5">
        <f>IFERROR(vp.tbl[[#This Row],[Sulf]]*vp.tbl[[#This Row],[Net Dens]],"")</f>
        <v>4738641.9534648005</v>
      </c>
      <c r="AK909" s="5">
        <f>IFERROR(vp.tbl[[#This Row],[Dens]]*vp.tbl[[#This Row],[VolumeM3]],"")</f>
        <v>3743003.1228</v>
      </c>
      <c r="AL909" s="5">
        <f>IFERROR(vp.tbl[[#This Row],[VP]]*vp.tbl[[#This Row],[VolumeM3]],"")</f>
        <v>346196.7597</v>
      </c>
      <c r="AM909" s="4">
        <f>IFERROR((vp.tbl[[#This Row],[VP]]-INDEX(crudeBD.lkup.complete[Mean_VP],MATCH(vp.tbl[[#This Row],[Crude_Breakdown]],crudeBD.lkup.complete[Crude Breakdown],0)))^2,"")</f>
        <v>4.2997959615444952</v>
      </c>
      <c r="AN909" s="4">
        <f>IFERROR((vp.tbl[[#This Row],[Dens]]-INDEX(crudeBD.lkup.complete[Mean_Dens],MATCH(vp.tbl[[#This Row],[Crude_Breakdown]],crudeBD.lkup.complete[Crude Breakdown],0)))^2,"")</f>
        <v>0.79534787950477359</v>
      </c>
      <c r="AO909" s="4">
        <f>IFERROR((vp.tbl[[#This Row],[Sulf]]-INDEX(crudeBD.lkup.complete[Mean_Sulf],MATCH(vp.tbl[[#This Row],[Crude_Breakdown]],crudeBD.lkup.complete[Crude Breakdown],0)))^2,"")</f>
        <v>3.5694492286602222E-2</v>
      </c>
      <c r="AP909">
        <f>IF(AND(vp.tbl[[#This Row],[SDate]]&gt;=DATE(YEAR(vp.tbl[[#This Row],[SDate]]),5,1),vp.tbl[[#This Row],[SDate]]&lt;=DATE(YEAR(vp.tbl[[#This Row],[SDate]]),9,15)),1,0)</f>
        <v>0</v>
      </c>
      <c r="AQ909" s="15">
        <f>IF(vp.tbl[[#This Row],[SDate]]&lt;DATE(2016,12,1),0,1)</f>
        <v>1</v>
      </c>
    </row>
    <row r="910" spans="1:43" x14ac:dyDescent="0.25">
      <c r="A910">
        <v>909</v>
      </c>
      <c r="B910" t="s">
        <v>62</v>
      </c>
      <c r="C910" t="s">
        <v>62</v>
      </c>
      <c r="D910" t="s">
        <v>79</v>
      </c>
      <c r="F910" s="1">
        <v>42794</v>
      </c>
      <c r="G910" s="2">
        <v>98.1</v>
      </c>
      <c r="H910" s="2"/>
      <c r="I910" s="2">
        <v>0.33</v>
      </c>
      <c r="J910" s="2">
        <v>15.7</v>
      </c>
      <c r="K910" s="2">
        <v>-14</v>
      </c>
      <c r="L910" s="2">
        <v>802.4</v>
      </c>
      <c r="M910" s="2">
        <v>802.4</v>
      </c>
      <c r="N910" s="2">
        <f ca="1">INDEX(INDIRECT(_xlfn.CONCAT("weather.tbl[",N$1,"]")),MATCH(vp.tbl[[#This Row],[SDate]],weather.tbl[Date],0))</f>
        <v>-14.383333333333335</v>
      </c>
      <c r="O910" s="2">
        <f ca="1">INDEX(INDIRECT(_xlfn.CONCAT("weather.tbl[",O$1,"]")),MATCH(vp.tbl[[#This Row],[SDate]],weather.tbl[Date],0))</f>
        <v>-9.2404761904761905</v>
      </c>
      <c r="P910" s="2">
        <f ca="1">INDEX(INDIRECT(_xlfn.CONCAT("weather.tbl[",P$1,"]")),MATCH(vp.tbl[[#This Row],[SDate]],weather.tbl[Date],0))</f>
        <v>-14.4</v>
      </c>
      <c r="Q910" s="2">
        <f ca="1">INDEX(INDIRECT(_xlfn.CONCAT("weather.tbl[",Q$1,"]")),MATCH(vp.tbl[[#This Row],[SDate]],weather.tbl[Date],0))</f>
        <v>-12.6</v>
      </c>
      <c r="R910" s="2">
        <f ca="1">INDEX(INDIRECT(_xlfn.CONCAT("weather.tbl[",R$1,"]")),MATCH(vp.tbl[[#This Row],[SDate]],weather.tbl[Date],0))</f>
        <v>-17</v>
      </c>
      <c r="S910" s="2">
        <f ca="1">INDEX(INDIRECT(_xlfn.CONCAT("weather.tbl[",S$1,"]")),MATCH(vp.tbl[[#This Row],[SDate]],weather.tbl[Date],0))</f>
        <v>-11.7</v>
      </c>
      <c r="T910" s="2">
        <f ca="1">INDEX(INDIRECT(_xlfn.CONCAT("weather.tbl[",T$1,"]")),MATCH(vp.tbl[[#This Row],[SDate]],weather.tbl[Date],0))</f>
        <v>-16.600000000000001</v>
      </c>
      <c r="U910" s="2">
        <f ca="1">INDEX(INDIRECT(_xlfn.CONCAT("weather.tbl[",U$1,"]")),MATCH(vp.tbl[[#This Row],[SDate]],weather.tbl[Date],0))</f>
        <v>-14</v>
      </c>
      <c r="V910" s="2">
        <v>12819.813</v>
      </c>
      <c r="W910" t="s">
        <v>48</v>
      </c>
      <c r="X910">
        <f>IF(OR(vp.tbl[[#This Row],[Sulf]]="",vp.tbl[[#This Row],[Dens]]=""),1,0)</f>
        <v>0</v>
      </c>
      <c r="Y910">
        <f>IF(vp.tbl[[#This Row],[CrudeType]]="C5+",1,0)</f>
        <v>0</v>
      </c>
      <c r="Z910">
        <f>IF(AND(vp.tbl[[#This Row],[CrudeType]]="Crude",vp.tbl[[#This Row],[Dens]]&lt;=825,vp.tbl[[#This Row],[Sulf]]&gt;0.5,vp.tbl[[#This Row],[Unknown]]=0),1,0)</f>
        <v>0</v>
      </c>
      <c r="AA910">
        <f>IF(AND(vp.tbl[[#This Row],[CrudeType]]="Crude",vp.tbl[[#This Row],[Dens]]&lt;=825,vp.tbl[[#This Row],[Sulf]]&lt;=0.5,vp.tbl[[#This Row],[Unknown]]=0),1,0)</f>
        <v>1</v>
      </c>
      <c r="AB910">
        <f>IF(AND(vp.tbl[[#This Row],[CrudeType]]="Crude",vp.tbl[[#This Row],[Dens]]&gt;825,vp.tbl[[#This Row],[Dens]]&lt;=870,vp.tbl[[#This Row],[Sulf]]&gt;0.5,vp.tbl[[#This Row],[Unknown]]=0),1,0)</f>
        <v>0</v>
      </c>
      <c r="AC910">
        <f>IF(AND(vp.tbl[[#This Row],[CrudeType]]="Crude",vp.tbl[[#This Row],[Dens]]&gt;825,vp.tbl[[#This Row],[Dens]]&lt;=900,vp.tbl[[#This Row],[Sulf]]&lt;=0.5,vp.tbl[[#This Row],[Unknown]]=0),1,0)</f>
        <v>0</v>
      </c>
      <c r="AD910">
        <f>IF(AND(vp.tbl[[#This Row],[CrudeType]]="Crude",vp.tbl[[#This Row],[Dens]]&gt;870,vp.tbl[[#This Row],[Dens]]&lt;=900,vp.tbl[[#This Row],[Sulf]]&gt;0.5,vp.tbl[[#This Row],[Unknown]]=0),1,0)</f>
        <v>0</v>
      </c>
      <c r="AE910">
        <f>IF(AND(vp.tbl[[#This Row],[CrudeType]]="Crude",vp.tbl[[#This Row],[Dens]]&gt;900,vp.tbl[[#This Row],[Sulf]]&lt;=0.5,vp.tbl[[#This Row],[Unknown]]=0),1,0)</f>
        <v>0</v>
      </c>
      <c r="AF910">
        <f>IF(AND(vp.tbl[[#This Row],[CrudeType]]="Crude",vp.tbl[[#This Row],[Dens]]&gt;900,vp.tbl[[#This Row],[Sulf]]&lt;=0.5,vp.tbl[[#This Row],[Unknown]]=0),1,0)</f>
        <v>0</v>
      </c>
      <c r="AG910" t="str">
        <f>INDEX(vp.tbl[[#Headers],[Unknown]:[Heavy_SW]],MATCH(1,vp.tbl[[#This Row],[Unknown]:[Heavy_SW]],0))</f>
        <v>Light_SW</v>
      </c>
      <c r="AH910" t="e">
        <f>INDEX([1]!crudeBD.lkup[Number],MATCH(vp.tbl[[#This Row],[Crude_Breakdown]],[1]!crudeBD.lkup[Crude Breakdown],0))</f>
        <v>#REF!</v>
      </c>
      <c r="AI910">
        <f>MONTH(vp.tbl[[#This Row],[SDate]])</f>
        <v>2</v>
      </c>
      <c r="AJ910" s="5">
        <f>IFERROR(vp.tbl[[#This Row],[Sulf]]*vp.tbl[[#This Row],[Net Dens]],"")</f>
        <v>3394583.9238959998</v>
      </c>
      <c r="AK910" s="5">
        <f>IFERROR(vp.tbl[[#This Row],[Dens]]*vp.tbl[[#This Row],[VolumeM3]],"")</f>
        <v>10286617.951199999</v>
      </c>
      <c r="AL910" s="5">
        <f>IFERROR(vp.tbl[[#This Row],[VP]]*vp.tbl[[#This Row],[VolumeM3]],"")</f>
        <v>1257623.6553</v>
      </c>
      <c r="AM910" s="4">
        <f>IFERROR((vp.tbl[[#This Row],[VP]]-INDEX(crudeBD.lkup.complete[Mean_VP],MATCH(vp.tbl[[#This Row],[Crude_Breakdown]],crudeBD.lkup.complete[Crude Breakdown],0)))^2,"")</f>
        <v>30.799019262101297</v>
      </c>
      <c r="AN910" s="4">
        <f>IFERROR((vp.tbl[[#This Row],[Dens]]-INDEX(crudeBD.lkup.complete[Mean_Dens],MATCH(vp.tbl[[#This Row],[Crude_Breakdown]],crudeBD.lkup.complete[Crude Breakdown],0)))^2,"")</f>
        <v>34.945811652439744</v>
      </c>
      <c r="AO910" s="4">
        <f>IFERROR((vp.tbl[[#This Row],[Sulf]]-INDEX(crudeBD.lkup.complete[Mean_Sulf],MATCH(vp.tbl[[#This Row],[Crude_Breakdown]],crudeBD.lkup.complete[Crude Breakdown],0)))^2,"")</f>
        <v>8.7905978457915313E-3</v>
      </c>
      <c r="AP910">
        <f>IF(AND(vp.tbl[[#This Row],[SDate]]&gt;=DATE(YEAR(vp.tbl[[#This Row],[SDate]]),5,1),vp.tbl[[#This Row],[SDate]]&lt;=DATE(YEAR(vp.tbl[[#This Row],[SDate]]),9,15)),1,0)</f>
        <v>0</v>
      </c>
      <c r="AQ910" s="15">
        <f>IF(vp.tbl[[#This Row],[SDate]]&lt;DATE(2016,12,1),0,1)</f>
        <v>1</v>
      </c>
    </row>
    <row r="911" spans="1:43" x14ac:dyDescent="0.25">
      <c r="A911">
        <v>910</v>
      </c>
      <c r="B911" t="s">
        <v>62</v>
      </c>
      <c r="C911" t="s">
        <v>62</v>
      </c>
      <c r="D911" t="s">
        <v>87</v>
      </c>
      <c r="F911" s="1">
        <v>42794</v>
      </c>
      <c r="G911" s="2">
        <v>88.3</v>
      </c>
      <c r="H911" s="2"/>
      <c r="I911" s="2">
        <v>0.17</v>
      </c>
      <c r="J911" s="2">
        <v>23.1</v>
      </c>
      <c r="K911" s="2">
        <v>-14</v>
      </c>
      <c r="L911" s="2">
        <v>808.7</v>
      </c>
      <c r="M911" s="2">
        <v>808.7</v>
      </c>
      <c r="N911" s="2">
        <f ca="1">INDEX(INDIRECT(_xlfn.CONCAT("weather.tbl[",N$1,"]")),MATCH(vp.tbl[[#This Row],[SDate]],weather.tbl[Date],0))</f>
        <v>-14.383333333333335</v>
      </c>
      <c r="O911" s="2">
        <f ca="1">INDEX(INDIRECT(_xlfn.CONCAT("weather.tbl[",O$1,"]")),MATCH(vp.tbl[[#This Row],[SDate]],weather.tbl[Date],0))</f>
        <v>-9.2404761904761905</v>
      </c>
      <c r="P911" s="2">
        <f ca="1">INDEX(INDIRECT(_xlfn.CONCAT("weather.tbl[",P$1,"]")),MATCH(vp.tbl[[#This Row],[SDate]],weather.tbl[Date],0))</f>
        <v>-14.4</v>
      </c>
      <c r="Q911" s="2">
        <f ca="1">INDEX(INDIRECT(_xlfn.CONCAT("weather.tbl[",Q$1,"]")),MATCH(vp.tbl[[#This Row],[SDate]],weather.tbl[Date],0))</f>
        <v>-12.6</v>
      </c>
      <c r="R911" s="2">
        <f ca="1">INDEX(INDIRECT(_xlfn.CONCAT("weather.tbl[",R$1,"]")),MATCH(vp.tbl[[#This Row],[SDate]],weather.tbl[Date],0))</f>
        <v>-17</v>
      </c>
      <c r="S911" s="2">
        <f ca="1">INDEX(INDIRECT(_xlfn.CONCAT("weather.tbl[",S$1,"]")),MATCH(vp.tbl[[#This Row],[SDate]],weather.tbl[Date],0))</f>
        <v>-11.7</v>
      </c>
      <c r="T911" s="2">
        <f ca="1">INDEX(INDIRECT(_xlfn.CONCAT("weather.tbl[",T$1,"]")),MATCH(vp.tbl[[#This Row],[SDate]],weather.tbl[Date],0))</f>
        <v>-16.600000000000001</v>
      </c>
      <c r="U911" s="2">
        <f ca="1">INDEX(INDIRECT(_xlfn.CONCAT("weather.tbl[",U$1,"]")),MATCH(vp.tbl[[#This Row],[SDate]],weather.tbl[Date],0))</f>
        <v>-14</v>
      </c>
      <c r="V911" s="2">
        <v>7768.6840000000002</v>
      </c>
      <c r="W911" t="s">
        <v>48</v>
      </c>
      <c r="X911">
        <f>IF(OR(vp.tbl[[#This Row],[Sulf]]="",vp.tbl[[#This Row],[Dens]]=""),1,0)</f>
        <v>0</v>
      </c>
      <c r="Y911">
        <f>IF(vp.tbl[[#This Row],[CrudeType]]="C5+",1,0)</f>
        <v>0</v>
      </c>
      <c r="Z911">
        <f>IF(AND(vp.tbl[[#This Row],[CrudeType]]="Crude",vp.tbl[[#This Row],[Dens]]&lt;=825,vp.tbl[[#This Row],[Sulf]]&gt;0.5,vp.tbl[[#This Row],[Unknown]]=0),1,0)</f>
        <v>0</v>
      </c>
      <c r="AA911">
        <f>IF(AND(vp.tbl[[#This Row],[CrudeType]]="Crude",vp.tbl[[#This Row],[Dens]]&lt;=825,vp.tbl[[#This Row],[Sulf]]&lt;=0.5,vp.tbl[[#This Row],[Unknown]]=0),1,0)</f>
        <v>1</v>
      </c>
      <c r="AB911">
        <f>IF(AND(vp.tbl[[#This Row],[CrudeType]]="Crude",vp.tbl[[#This Row],[Dens]]&gt;825,vp.tbl[[#This Row],[Dens]]&lt;=870,vp.tbl[[#This Row],[Sulf]]&gt;0.5,vp.tbl[[#This Row],[Unknown]]=0),1,0)</f>
        <v>0</v>
      </c>
      <c r="AC911">
        <f>IF(AND(vp.tbl[[#This Row],[CrudeType]]="Crude",vp.tbl[[#This Row],[Dens]]&gt;825,vp.tbl[[#This Row],[Dens]]&lt;=900,vp.tbl[[#This Row],[Sulf]]&lt;=0.5,vp.tbl[[#This Row],[Unknown]]=0),1,0)</f>
        <v>0</v>
      </c>
      <c r="AD911">
        <f>IF(AND(vp.tbl[[#This Row],[CrudeType]]="Crude",vp.tbl[[#This Row],[Dens]]&gt;870,vp.tbl[[#This Row],[Dens]]&lt;=900,vp.tbl[[#This Row],[Sulf]]&gt;0.5,vp.tbl[[#This Row],[Unknown]]=0),1,0)</f>
        <v>0</v>
      </c>
      <c r="AE911">
        <f>IF(AND(vp.tbl[[#This Row],[CrudeType]]="Crude",vp.tbl[[#This Row],[Dens]]&gt;900,vp.tbl[[#This Row],[Sulf]]&lt;=0.5,vp.tbl[[#This Row],[Unknown]]=0),1,0)</f>
        <v>0</v>
      </c>
      <c r="AF911">
        <f>IF(AND(vp.tbl[[#This Row],[CrudeType]]="Crude",vp.tbl[[#This Row],[Dens]]&gt;900,vp.tbl[[#This Row],[Sulf]]&lt;=0.5,vp.tbl[[#This Row],[Unknown]]=0),1,0)</f>
        <v>0</v>
      </c>
      <c r="AG911" t="str">
        <f>INDEX(vp.tbl[[#Headers],[Unknown]:[Heavy_SW]],MATCH(1,vp.tbl[[#This Row],[Unknown]:[Heavy_SW]],0))</f>
        <v>Light_SW</v>
      </c>
      <c r="AH911" t="e">
        <f>INDEX([1]!crudeBD.lkup[Number],MATCH(vp.tbl[[#This Row],[Crude_Breakdown]],[1]!crudeBD.lkup[Crude Breakdown],0))</f>
        <v>#REF!</v>
      </c>
      <c r="AI911">
        <f>MONTH(vp.tbl[[#This Row],[SDate]])</f>
        <v>2</v>
      </c>
      <c r="AJ911" s="5">
        <f>IFERROR(vp.tbl[[#This Row],[Sulf]]*vp.tbl[[#This Row],[Net Dens]],"")</f>
        <v>1068030.9076360001</v>
      </c>
      <c r="AK911" s="5">
        <f>IFERROR(vp.tbl[[#This Row],[Dens]]*vp.tbl[[#This Row],[VolumeM3]],"")</f>
        <v>6282534.7508000005</v>
      </c>
      <c r="AL911" s="5">
        <f>IFERROR(vp.tbl[[#This Row],[VP]]*vp.tbl[[#This Row],[VolumeM3]],"")</f>
        <v>685974.79720000003</v>
      </c>
      <c r="AM911" s="4">
        <f>IFERROR((vp.tbl[[#This Row],[VP]]-INDEX(crudeBD.lkup.complete[Mean_VP],MATCH(vp.tbl[[#This Row],[Crude_Breakdown]],crudeBD.lkup.complete[Crude Breakdown],0)))^2,"")</f>
        <v>18.065165603564221</v>
      </c>
      <c r="AN911" s="4">
        <f>IFERROR((vp.tbl[[#This Row],[Dens]]-INDEX(crudeBD.lkup.complete[Mean_Dens],MATCH(vp.tbl[[#This Row],[Crude_Breakdown]],crudeBD.lkup.complete[Crude Breakdown],0)))^2,"")</f>
        <v>0.15093360366177669</v>
      </c>
      <c r="AO911" s="4">
        <f>IFERROR((vp.tbl[[#This Row],[Sulf]]-INDEX(crudeBD.lkup.complete[Mean_Sulf],MATCH(vp.tbl[[#This Row],[Crude_Breakdown]],crudeBD.lkup.complete[Crude Breakdown],0)))^2,"")</f>
        <v>4.3879776367322437E-3</v>
      </c>
      <c r="AP911">
        <f>IF(AND(vp.tbl[[#This Row],[SDate]]&gt;=DATE(YEAR(vp.tbl[[#This Row],[SDate]]),5,1),vp.tbl[[#This Row],[SDate]]&lt;=DATE(YEAR(vp.tbl[[#This Row],[SDate]]),9,15)),1,0)</f>
        <v>0</v>
      </c>
      <c r="AQ911" s="15">
        <f>IF(vp.tbl[[#This Row],[SDate]]&lt;DATE(2016,12,1),0,1)</f>
        <v>1</v>
      </c>
    </row>
    <row r="912" spans="1:43" x14ac:dyDescent="0.25">
      <c r="A912">
        <v>911</v>
      </c>
      <c r="B912" t="s">
        <v>62</v>
      </c>
      <c r="C912" t="s">
        <v>62</v>
      </c>
      <c r="D912" t="s">
        <v>83</v>
      </c>
      <c r="F912" s="1">
        <v>42794</v>
      </c>
      <c r="G912" s="2">
        <v>88.7</v>
      </c>
      <c r="H912" s="2"/>
      <c r="I912" s="2">
        <v>0.19</v>
      </c>
      <c r="J912" s="2">
        <v>2.2000000000000002</v>
      </c>
      <c r="K912" s="2">
        <v>-14</v>
      </c>
      <c r="L912" s="2">
        <v>827.8</v>
      </c>
      <c r="M912" s="2">
        <v>827.8</v>
      </c>
      <c r="N912" s="2">
        <f ca="1">INDEX(INDIRECT(_xlfn.CONCAT("weather.tbl[",N$1,"]")),MATCH(vp.tbl[[#This Row],[SDate]],weather.tbl[Date],0))</f>
        <v>-14.383333333333335</v>
      </c>
      <c r="O912" s="2">
        <f ca="1">INDEX(INDIRECT(_xlfn.CONCAT("weather.tbl[",O$1,"]")),MATCH(vp.tbl[[#This Row],[SDate]],weather.tbl[Date],0))</f>
        <v>-9.2404761904761905</v>
      </c>
      <c r="P912" s="2">
        <f ca="1">INDEX(INDIRECT(_xlfn.CONCAT("weather.tbl[",P$1,"]")),MATCH(vp.tbl[[#This Row],[SDate]],weather.tbl[Date],0))</f>
        <v>-14.4</v>
      </c>
      <c r="Q912" s="2">
        <f ca="1">INDEX(INDIRECT(_xlfn.CONCAT("weather.tbl[",Q$1,"]")),MATCH(vp.tbl[[#This Row],[SDate]],weather.tbl[Date],0))</f>
        <v>-12.6</v>
      </c>
      <c r="R912" s="2">
        <f ca="1">INDEX(INDIRECT(_xlfn.CONCAT("weather.tbl[",R$1,"]")),MATCH(vp.tbl[[#This Row],[SDate]],weather.tbl[Date],0))</f>
        <v>-17</v>
      </c>
      <c r="S912" s="2">
        <f ca="1">INDEX(INDIRECT(_xlfn.CONCAT("weather.tbl[",S$1,"]")),MATCH(vp.tbl[[#This Row],[SDate]],weather.tbl[Date],0))</f>
        <v>-11.7</v>
      </c>
      <c r="T912" s="2">
        <f ca="1">INDEX(INDIRECT(_xlfn.CONCAT("weather.tbl[",T$1,"]")),MATCH(vp.tbl[[#This Row],[SDate]],weather.tbl[Date],0))</f>
        <v>-16.600000000000001</v>
      </c>
      <c r="U912" s="2">
        <f ca="1">INDEX(INDIRECT(_xlfn.CONCAT("weather.tbl[",U$1,"]")),MATCH(vp.tbl[[#This Row],[SDate]],weather.tbl[Date],0))</f>
        <v>-14</v>
      </c>
      <c r="V912" s="2">
        <v>7967.6189999999997</v>
      </c>
      <c r="W912" t="s">
        <v>48</v>
      </c>
      <c r="X912">
        <f>IF(OR(vp.tbl[[#This Row],[Sulf]]="",vp.tbl[[#This Row],[Dens]]=""),1,0)</f>
        <v>0</v>
      </c>
      <c r="Y912">
        <f>IF(vp.tbl[[#This Row],[CrudeType]]="C5+",1,0)</f>
        <v>0</v>
      </c>
      <c r="Z912">
        <f>IF(AND(vp.tbl[[#This Row],[CrudeType]]="Crude",vp.tbl[[#This Row],[Dens]]&lt;=825,vp.tbl[[#This Row],[Sulf]]&gt;0.5,vp.tbl[[#This Row],[Unknown]]=0),1,0)</f>
        <v>0</v>
      </c>
      <c r="AA912">
        <f>IF(AND(vp.tbl[[#This Row],[CrudeType]]="Crude",vp.tbl[[#This Row],[Dens]]&lt;=825,vp.tbl[[#This Row],[Sulf]]&lt;=0.5,vp.tbl[[#This Row],[Unknown]]=0),1,0)</f>
        <v>0</v>
      </c>
      <c r="AB912">
        <f>IF(AND(vp.tbl[[#This Row],[CrudeType]]="Crude",vp.tbl[[#This Row],[Dens]]&gt;825,vp.tbl[[#This Row],[Dens]]&lt;=870,vp.tbl[[#This Row],[Sulf]]&gt;0.5,vp.tbl[[#This Row],[Unknown]]=0),1,0)</f>
        <v>0</v>
      </c>
      <c r="AC912">
        <f>IF(AND(vp.tbl[[#This Row],[CrudeType]]="Crude",vp.tbl[[#This Row],[Dens]]&gt;825,vp.tbl[[#This Row],[Dens]]&lt;=900,vp.tbl[[#This Row],[Sulf]]&lt;=0.5,vp.tbl[[#This Row],[Unknown]]=0),1,0)</f>
        <v>1</v>
      </c>
      <c r="AD912">
        <f>IF(AND(vp.tbl[[#This Row],[CrudeType]]="Crude",vp.tbl[[#This Row],[Dens]]&gt;870,vp.tbl[[#This Row],[Dens]]&lt;=900,vp.tbl[[#This Row],[Sulf]]&gt;0.5,vp.tbl[[#This Row],[Unknown]]=0),1,0)</f>
        <v>0</v>
      </c>
      <c r="AE912">
        <f>IF(AND(vp.tbl[[#This Row],[CrudeType]]="Crude",vp.tbl[[#This Row],[Dens]]&gt;900,vp.tbl[[#This Row],[Sulf]]&lt;=0.5,vp.tbl[[#This Row],[Unknown]]=0),1,0)</f>
        <v>0</v>
      </c>
      <c r="AF912">
        <f>IF(AND(vp.tbl[[#This Row],[CrudeType]]="Crude",vp.tbl[[#This Row],[Dens]]&gt;900,vp.tbl[[#This Row],[Sulf]]&lt;=0.5,vp.tbl[[#This Row],[Unknown]]=0),1,0)</f>
        <v>0</v>
      </c>
      <c r="AG912" t="str">
        <f>INDEX(vp.tbl[[#Headers],[Unknown]:[Heavy_SW]],MATCH(1,vp.tbl[[#This Row],[Unknown]:[Heavy_SW]],0))</f>
        <v>Medium_SW</v>
      </c>
      <c r="AH912" t="e">
        <f>INDEX([1]!crudeBD.lkup[Number],MATCH(vp.tbl[[#This Row],[Crude_Breakdown]],[1]!crudeBD.lkup[Crude Breakdown],0))</f>
        <v>#REF!</v>
      </c>
      <c r="AI912">
        <f>MONTH(vp.tbl[[#This Row],[SDate]])</f>
        <v>2</v>
      </c>
      <c r="AJ912" s="5">
        <f>IFERROR(vp.tbl[[#This Row],[Sulf]]*vp.tbl[[#This Row],[Net Dens]],"")</f>
        <v>1253163.0515579998</v>
      </c>
      <c r="AK912" s="5">
        <f>IFERROR(vp.tbl[[#This Row],[Dens]]*vp.tbl[[#This Row],[VolumeM3]],"")</f>
        <v>6595595.0081999991</v>
      </c>
      <c r="AL912" s="5">
        <f>IFERROR(vp.tbl[[#This Row],[VP]]*vp.tbl[[#This Row],[VolumeM3]],"")</f>
        <v>706727.80530000001</v>
      </c>
      <c r="AM912" s="4">
        <f>IFERROR((vp.tbl[[#This Row],[VP]]-INDEX(crudeBD.lkup.complete[Mean_VP],MATCH(vp.tbl[[#This Row],[Crude_Breakdown]],crudeBD.lkup.complete[Crude Breakdown],0)))^2,"")</f>
        <v>19.213611111111046</v>
      </c>
      <c r="AN912" s="4">
        <f>IFERROR((vp.tbl[[#This Row],[Dens]]-INDEX(crudeBD.lkup.complete[Mean_Dens],MATCH(vp.tbl[[#This Row],[Crude_Breakdown]],crudeBD.lkup.complete[Crude Breakdown],0)))^2,"")</f>
        <v>870.25000000000671</v>
      </c>
      <c r="AO912" s="4">
        <f>IFERROR((vp.tbl[[#This Row],[Sulf]]-INDEX(crudeBD.lkup.complete[Mean_Sulf],MATCH(vp.tbl[[#This Row],[Crude_Breakdown]],crudeBD.lkup.complete[Crude Breakdown],0)))^2,"")</f>
        <v>1.3193968225000025E-4</v>
      </c>
      <c r="AP912">
        <f>IF(AND(vp.tbl[[#This Row],[SDate]]&gt;=DATE(YEAR(vp.tbl[[#This Row],[SDate]]),5,1),vp.tbl[[#This Row],[SDate]]&lt;=DATE(YEAR(vp.tbl[[#This Row],[SDate]]),9,15)),1,0)</f>
        <v>0</v>
      </c>
      <c r="AQ912" s="15">
        <f>IF(vp.tbl[[#This Row],[SDate]]&lt;DATE(2016,12,1),0,1)</f>
        <v>1</v>
      </c>
    </row>
    <row r="913" spans="1:43" x14ac:dyDescent="0.25">
      <c r="A913">
        <v>912</v>
      </c>
      <c r="B913" t="s">
        <v>51</v>
      </c>
      <c r="C913" t="s">
        <v>51</v>
      </c>
      <c r="D913" t="s">
        <v>95</v>
      </c>
      <c r="F913" s="1">
        <v>42794</v>
      </c>
      <c r="G913" s="2">
        <v>70.400000000000006</v>
      </c>
      <c r="H913" s="2"/>
      <c r="I913" s="2">
        <v>1.2</v>
      </c>
      <c r="J913" s="2">
        <v>17</v>
      </c>
      <c r="K913" s="2">
        <v>-14</v>
      </c>
      <c r="L913" s="2">
        <v>842.5</v>
      </c>
      <c r="M913" s="2">
        <v>842.5</v>
      </c>
      <c r="N913" s="2">
        <f ca="1">INDEX(INDIRECT(_xlfn.CONCAT("weather.tbl[",N$1,"]")),MATCH(vp.tbl[[#This Row],[SDate]],weather.tbl[Date],0))</f>
        <v>-14.383333333333335</v>
      </c>
      <c r="O913" s="2">
        <f ca="1">INDEX(INDIRECT(_xlfn.CONCAT("weather.tbl[",O$1,"]")),MATCH(vp.tbl[[#This Row],[SDate]],weather.tbl[Date],0))</f>
        <v>-9.2404761904761905</v>
      </c>
      <c r="P913" s="2">
        <f ca="1">INDEX(INDIRECT(_xlfn.CONCAT("weather.tbl[",P$1,"]")),MATCH(vp.tbl[[#This Row],[SDate]],weather.tbl[Date],0))</f>
        <v>-14.4</v>
      </c>
      <c r="Q913" s="2">
        <f ca="1">INDEX(INDIRECT(_xlfn.CONCAT("weather.tbl[",Q$1,"]")),MATCH(vp.tbl[[#This Row],[SDate]],weather.tbl[Date],0))</f>
        <v>-12.6</v>
      </c>
      <c r="R913" s="2">
        <f ca="1">INDEX(INDIRECT(_xlfn.CONCAT("weather.tbl[",R$1,"]")),MATCH(vp.tbl[[#This Row],[SDate]],weather.tbl[Date],0))</f>
        <v>-17</v>
      </c>
      <c r="S913" s="2">
        <f ca="1">INDEX(INDIRECT(_xlfn.CONCAT("weather.tbl[",S$1,"]")),MATCH(vp.tbl[[#This Row],[SDate]],weather.tbl[Date],0))</f>
        <v>-11.7</v>
      </c>
      <c r="T913" s="2">
        <f ca="1">INDEX(INDIRECT(_xlfn.CONCAT("weather.tbl[",T$1,"]")),MATCH(vp.tbl[[#This Row],[SDate]],weather.tbl[Date],0))</f>
        <v>-16.600000000000001</v>
      </c>
      <c r="U913" s="2">
        <f ca="1">INDEX(INDIRECT(_xlfn.CONCAT("weather.tbl[",U$1,"]")),MATCH(vp.tbl[[#This Row],[SDate]],weather.tbl[Date],0))</f>
        <v>-14</v>
      </c>
      <c r="V913" s="2">
        <v>6151.1620000000003</v>
      </c>
      <c r="W913" t="s">
        <v>48</v>
      </c>
      <c r="X913">
        <f>IF(OR(vp.tbl[[#This Row],[Sulf]]="",vp.tbl[[#This Row],[Dens]]=""),1,0)</f>
        <v>0</v>
      </c>
      <c r="Y913">
        <f>IF(vp.tbl[[#This Row],[CrudeType]]="C5+",1,0)</f>
        <v>0</v>
      </c>
      <c r="Z913">
        <f>IF(AND(vp.tbl[[#This Row],[CrudeType]]="Crude",vp.tbl[[#This Row],[Dens]]&lt;=825,vp.tbl[[#This Row],[Sulf]]&gt;0.5,vp.tbl[[#This Row],[Unknown]]=0),1,0)</f>
        <v>0</v>
      </c>
      <c r="AA913">
        <f>IF(AND(vp.tbl[[#This Row],[CrudeType]]="Crude",vp.tbl[[#This Row],[Dens]]&lt;=825,vp.tbl[[#This Row],[Sulf]]&lt;=0.5,vp.tbl[[#This Row],[Unknown]]=0),1,0)</f>
        <v>0</v>
      </c>
      <c r="AB913">
        <f>IF(AND(vp.tbl[[#This Row],[CrudeType]]="Crude",vp.tbl[[#This Row],[Dens]]&gt;825,vp.tbl[[#This Row],[Dens]]&lt;=870,vp.tbl[[#This Row],[Sulf]]&gt;0.5,vp.tbl[[#This Row],[Unknown]]=0),1,0)</f>
        <v>1</v>
      </c>
      <c r="AC913">
        <f>IF(AND(vp.tbl[[#This Row],[CrudeType]]="Crude",vp.tbl[[#This Row],[Dens]]&gt;825,vp.tbl[[#This Row],[Dens]]&lt;=900,vp.tbl[[#This Row],[Sulf]]&lt;=0.5,vp.tbl[[#This Row],[Unknown]]=0),1,0)</f>
        <v>0</v>
      </c>
      <c r="AD913">
        <f>IF(AND(vp.tbl[[#This Row],[CrudeType]]="Crude",vp.tbl[[#This Row],[Dens]]&gt;870,vp.tbl[[#This Row],[Dens]]&lt;=900,vp.tbl[[#This Row],[Sulf]]&gt;0.5,vp.tbl[[#This Row],[Unknown]]=0),1,0)</f>
        <v>0</v>
      </c>
      <c r="AE913">
        <f>IF(AND(vp.tbl[[#This Row],[CrudeType]]="Crude",vp.tbl[[#This Row],[Dens]]&gt;900,vp.tbl[[#This Row],[Sulf]]&lt;=0.5,vp.tbl[[#This Row],[Unknown]]=0),1,0)</f>
        <v>0</v>
      </c>
      <c r="AF913">
        <f>IF(AND(vp.tbl[[#This Row],[CrudeType]]="Crude",vp.tbl[[#This Row],[Dens]]&gt;900,vp.tbl[[#This Row],[Sulf]]&lt;=0.5,vp.tbl[[#This Row],[Unknown]]=0),1,0)</f>
        <v>0</v>
      </c>
      <c r="AG913" t="str">
        <f>INDEX(vp.tbl[[#Headers],[Unknown]:[Heavy_SW]],MATCH(1,vp.tbl[[#This Row],[Unknown]:[Heavy_SW]],0))</f>
        <v>Medium_LSB</v>
      </c>
      <c r="AH913" t="e">
        <f>INDEX([1]!crudeBD.lkup[Number],MATCH(vp.tbl[[#This Row],[Crude_Breakdown]],[1]!crudeBD.lkup[Crude Breakdown],0))</f>
        <v>#REF!</v>
      </c>
      <c r="AI913">
        <f>MONTH(vp.tbl[[#This Row],[SDate]])</f>
        <v>2</v>
      </c>
      <c r="AJ913" s="5">
        <f>IFERROR(vp.tbl[[#This Row],[Sulf]]*vp.tbl[[#This Row],[Net Dens]],"")</f>
        <v>6218824.7820000006</v>
      </c>
      <c r="AK913" s="5">
        <f>IFERROR(vp.tbl[[#This Row],[Dens]]*vp.tbl[[#This Row],[VolumeM3]],"")</f>
        <v>5182353.9850000003</v>
      </c>
      <c r="AL913" s="5">
        <f>IFERROR(vp.tbl[[#This Row],[VP]]*vp.tbl[[#This Row],[VolumeM3]],"")</f>
        <v>433041.80480000004</v>
      </c>
      <c r="AM913" s="4">
        <f>IFERROR((vp.tbl[[#This Row],[VP]]-INDEX(crudeBD.lkup.complete[Mean_VP],MATCH(vp.tbl[[#This Row],[Crude_Breakdown]],crudeBD.lkup.complete[Crude Breakdown],0)))^2,"")</f>
        <v>95.523157986860241</v>
      </c>
      <c r="AN913" s="4">
        <f>IFERROR((vp.tbl[[#This Row],[Dens]]-INDEX(crudeBD.lkup.complete[Mean_Dens],MATCH(vp.tbl[[#This Row],[Crude_Breakdown]],crudeBD.lkup.complete[Crude Breakdown],0)))^2,"")</f>
        <v>7.7942744617794721</v>
      </c>
      <c r="AO913" s="4">
        <f>IFERROR((vp.tbl[[#This Row],[Sulf]]-INDEX(crudeBD.lkup.complete[Mean_Sulf],MATCH(vp.tbl[[#This Row],[Crude_Breakdown]],crudeBD.lkup.complete[Crude Breakdown],0)))^2,"")</f>
        <v>6.4989233906855612E-2</v>
      </c>
      <c r="AP913">
        <f>IF(AND(vp.tbl[[#This Row],[SDate]]&gt;=DATE(YEAR(vp.tbl[[#This Row],[SDate]]),5,1),vp.tbl[[#This Row],[SDate]]&lt;=DATE(YEAR(vp.tbl[[#This Row],[SDate]]),9,15)),1,0)</f>
        <v>0</v>
      </c>
      <c r="AQ913" s="15">
        <f>IF(vp.tbl[[#This Row],[SDate]]&lt;DATE(2016,12,1),0,1)</f>
        <v>1</v>
      </c>
    </row>
    <row r="914" spans="1:43" x14ac:dyDescent="0.25">
      <c r="A914">
        <v>913</v>
      </c>
      <c r="B914" t="s">
        <v>60</v>
      </c>
      <c r="C914" t="s">
        <v>60</v>
      </c>
      <c r="D914" t="s">
        <v>61</v>
      </c>
      <c r="E914" t="s">
        <v>73</v>
      </c>
      <c r="F914" s="1">
        <v>42794</v>
      </c>
      <c r="G914" s="2">
        <v>97.6</v>
      </c>
      <c r="H914" s="2">
        <v>0.88300000000000001</v>
      </c>
      <c r="I914" s="2">
        <v>0.88300000000000001</v>
      </c>
      <c r="J914" s="2">
        <v>2.8</v>
      </c>
      <c r="K914" s="2">
        <v>14</v>
      </c>
      <c r="L914" s="2">
        <v>827.5</v>
      </c>
      <c r="M914" s="2">
        <v>827.5</v>
      </c>
      <c r="N914" s="2">
        <f ca="1">INDEX(INDIRECT(_xlfn.CONCAT("weather.tbl[",N$1,"]")),MATCH(vp.tbl[[#This Row],[SDate]],weather.tbl[Date],0))</f>
        <v>-14.383333333333335</v>
      </c>
      <c r="O914" s="2">
        <f ca="1">INDEX(INDIRECT(_xlfn.CONCAT("weather.tbl[",O$1,"]")),MATCH(vp.tbl[[#This Row],[SDate]],weather.tbl[Date],0))</f>
        <v>-9.2404761904761905</v>
      </c>
      <c r="P914" s="2">
        <f ca="1">INDEX(INDIRECT(_xlfn.CONCAT("weather.tbl[",P$1,"]")),MATCH(vp.tbl[[#This Row],[SDate]],weather.tbl[Date],0))</f>
        <v>-14.4</v>
      </c>
      <c r="Q914" s="2">
        <f ca="1">INDEX(INDIRECT(_xlfn.CONCAT("weather.tbl[",Q$1,"]")),MATCH(vp.tbl[[#This Row],[SDate]],weather.tbl[Date],0))</f>
        <v>-12.6</v>
      </c>
      <c r="R914" s="2">
        <f ca="1">INDEX(INDIRECT(_xlfn.CONCAT("weather.tbl[",R$1,"]")),MATCH(vp.tbl[[#This Row],[SDate]],weather.tbl[Date],0))</f>
        <v>-17</v>
      </c>
      <c r="S914" s="2">
        <f ca="1">INDEX(INDIRECT(_xlfn.CONCAT("weather.tbl[",S$1,"]")),MATCH(vp.tbl[[#This Row],[SDate]],weather.tbl[Date],0))</f>
        <v>-11.7</v>
      </c>
      <c r="T914" s="2">
        <f ca="1">INDEX(INDIRECT(_xlfn.CONCAT("weather.tbl[",T$1,"]")),MATCH(vp.tbl[[#This Row],[SDate]],weather.tbl[Date],0))</f>
        <v>-16.600000000000001</v>
      </c>
      <c r="U914" s="2">
        <f ca="1">INDEX(INDIRECT(_xlfn.CONCAT("weather.tbl[",U$1,"]")),MATCH(vp.tbl[[#This Row],[SDate]],weather.tbl[Date],0))</f>
        <v>-14</v>
      </c>
      <c r="V914" s="2">
        <v>96501.951000000001</v>
      </c>
      <c r="W914" t="s">
        <v>48</v>
      </c>
      <c r="X914">
        <f>IF(OR(vp.tbl[[#This Row],[Sulf]]="",vp.tbl[[#This Row],[Dens]]=""),1,0)</f>
        <v>0</v>
      </c>
      <c r="Y914">
        <f>IF(vp.tbl[[#This Row],[CrudeType]]="C5+",1,0)</f>
        <v>0</v>
      </c>
      <c r="Z914">
        <f>IF(AND(vp.tbl[[#This Row],[CrudeType]]="Crude",vp.tbl[[#This Row],[Dens]]&lt;=825,vp.tbl[[#This Row],[Sulf]]&gt;0.5,vp.tbl[[#This Row],[Unknown]]=0),1,0)</f>
        <v>0</v>
      </c>
      <c r="AA914">
        <f>IF(AND(vp.tbl[[#This Row],[CrudeType]]="Crude",vp.tbl[[#This Row],[Dens]]&lt;=825,vp.tbl[[#This Row],[Sulf]]&lt;=0.5,vp.tbl[[#This Row],[Unknown]]=0),1,0)</f>
        <v>0</v>
      </c>
      <c r="AB914">
        <f>IF(AND(vp.tbl[[#This Row],[CrudeType]]="Crude",vp.tbl[[#This Row],[Dens]]&gt;825,vp.tbl[[#This Row],[Dens]]&lt;=870,vp.tbl[[#This Row],[Sulf]]&gt;0.5,vp.tbl[[#This Row],[Unknown]]=0),1,0)</f>
        <v>1</v>
      </c>
      <c r="AC914">
        <f>IF(AND(vp.tbl[[#This Row],[CrudeType]]="Crude",vp.tbl[[#This Row],[Dens]]&gt;825,vp.tbl[[#This Row],[Dens]]&lt;=900,vp.tbl[[#This Row],[Sulf]]&lt;=0.5,vp.tbl[[#This Row],[Unknown]]=0),1,0)</f>
        <v>0</v>
      </c>
      <c r="AD914">
        <f>IF(AND(vp.tbl[[#This Row],[CrudeType]]="Crude",vp.tbl[[#This Row],[Dens]]&gt;870,vp.tbl[[#This Row],[Dens]]&lt;=900,vp.tbl[[#This Row],[Sulf]]&gt;0.5,vp.tbl[[#This Row],[Unknown]]=0),1,0)</f>
        <v>0</v>
      </c>
      <c r="AE914">
        <f>IF(AND(vp.tbl[[#This Row],[CrudeType]]="Crude",vp.tbl[[#This Row],[Dens]]&gt;900,vp.tbl[[#This Row],[Sulf]]&lt;=0.5,vp.tbl[[#This Row],[Unknown]]=0),1,0)</f>
        <v>0</v>
      </c>
      <c r="AF914">
        <f>IF(AND(vp.tbl[[#This Row],[CrudeType]]="Crude",vp.tbl[[#This Row],[Dens]]&gt;900,vp.tbl[[#This Row],[Sulf]]&lt;=0.5,vp.tbl[[#This Row],[Unknown]]=0),1,0)</f>
        <v>0</v>
      </c>
      <c r="AG914" t="str">
        <f>INDEX(vp.tbl[[#Headers],[Unknown]:[Heavy_SW]],MATCH(1,vp.tbl[[#This Row],[Unknown]:[Heavy_SW]],0))</f>
        <v>Medium_LSB</v>
      </c>
      <c r="AH914" t="e">
        <f>INDEX([1]!crudeBD.lkup[Number],MATCH(vp.tbl[[#This Row],[Crude_Breakdown]],[1]!crudeBD.lkup[Crude Breakdown],0))</f>
        <v>#REF!</v>
      </c>
      <c r="AI914">
        <f>MONTH(vp.tbl[[#This Row],[SDate]])</f>
        <v>2</v>
      </c>
      <c r="AJ914" s="5">
        <f>IFERROR(vp.tbl[[#This Row],[Sulf]]*vp.tbl[[#This Row],[Net Dens]],"")</f>
        <v>70512286.811557502</v>
      </c>
      <c r="AK914" s="5">
        <f>IFERROR(vp.tbl[[#This Row],[Dens]]*vp.tbl[[#This Row],[VolumeM3]],"")</f>
        <v>79855364.452500001</v>
      </c>
      <c r="AL914" s="5">
        <f>IFERROR(vp.tbl[[#This Row],[VP]]*vp.tbl[[#This Row],[VolumeM3]],"")</f>
        <v>9418590.4176000003</v>
      </c>
      <c r="AM914" s="4">
        <f>IFERROR((vp.tbl[[#This Row],[VP]]-INDEX(crudeBD.lkup.complete[Mean_VP],MATCH(vp.tbl[[#This Row],[Crude_Breakdown]],crudeBD.lkup.complete[Crude Breakdown],0)))^2,"")</f>
        <v>303.67959342990014</v>
      </c>
      <c r="AN914" s="4">
        <f>IFERROR((vp.tbl[[#This Row],[Dens]]-INDEX(crudeBD.lkup.complete[Mean_Dens],MATCH(vp.tbl[[#This Row],[Crude_Breakdown]],crudeBD.lkup.complete[Crude Breakdown],0)))^2,"")</f>
        <v>316.54895800605374</v>
      </c>
      <c r="AO914" s="4">
        <f>IFERROR((vp.tbl[[#This Row],[Sulf]]-INDEX(crudeBD.lkup.complete[Mean_Sulf],MATCH(vp.tbl[[#This Row],[Crude_Breakdown]],crudeBD.lkup.complete[Crude Breakdown],0)))^2,"")</f>
        <v>0.32710376562837551</v>
      </c>
      <c r="AP914">
        <f>IF(AND(vp.tbl[[#This Row],[SDate]]&gt;=DATE(YEAR(vp.tbl[[#This Row],[SDate]]),5,1),vp.tbl[[#This Row],[SDate]]&lt;=DATE(YEAR(vp.tbl[[#This Row],[SDate]]),9,15)),1,0)</f>
        <v>0</v>
      </c>
      <c r="AQ914" s="15">
        <f>IF(vp.tbl[[#This Row],[SDate]]&lt;DATE(2016,12,1),0,1)</f>
        <v>1</v>
      </c>
    </row>
    <row r="915" spans="1:43" x14ac:dyDescent="0.25">
      <c r="A915">
        <v>914</v>
      </c>
      <c r="B915" t="s">
        <v>60</v>
      </c>
      <c r="C915" t="s">
        <v>60</v>
      </c>
      <c r="D915" t="s">
        <v>61</v>
      </c>
      <c r="E915" t="s">
        <v>55</v>
      </c>
      <c r="F915" s="1">
        <v>42794</v>
      </c>
      <c r="G915" s="2">
        <v>100.9</v>
      </c>
      <c r="H915" s="2">
        <v>1.1879999999999999</v>
      </c>
      <c r="I915" s="2">
        <v>1.1879999999999999</v>
      </c>
      <c r="J915" s="2">
        <v>4.4000000000000004</v>
      </c>
      <c r="K915" s="2">
        <v>-14</v>
      </c>
      <c r="L915" s="2">
        <v>839</v>
      </c>
      <c r="M915" s="2">
        <v>839</v>
      </c>
      <c r="N915" s="2">
        <f ca="1">INDEX(INDIRECT(_xlfn.CONCAT("weather.tbl[",N$1,"]")),MATCH(vp.tbl[[#This Row],[SDate]],weather.tbl[Date],0))</f>
        <v>-14.383333333333335</v>
      </c>
      <c r="O915" s="2">
        <f ca="1">INDEX(INDIRECT(_xlfn.CONCAT("weather.tbl[",O$1,"]")),MATCH(vp.tbl[[#This Row],[SDate]],weather.tbl[Date],0))</f>
        <v>-9.2404761904761905</v>
      </c>
      <c r="P915" s="2">
        <f ca="1">INDEX(INDIRECT(_xlfn.CONCAT("weather.tbl[",P$1,"]")),MATCH(vp.tbl[[#This Row],[SDate]],weather.tbl[Date],0))</f>
        <v>-14.4</v>
      </c>
      <c r="Q915" s="2">
        <f ca="1">INDEX(INDIRECT(_xlfn.CONCAT("weather.tbl[",Q$1,"]")),MATCH(vp.tbl[[#This Row],[SDate]],weather.tbl[Date],0))</f>
        <v>-12.6</v>
      </c>
      <c r="R915" s="2">
        <f ca="1">INDEX(INDIRECT(_xlfn.CONCAT("weather.tbl[",R$1,"]")),MATCH(vp.tbl[[#This Row],[SDate]],weather.tbl[Date],0))</f>
        <v>-17</v>
      </c>
      <c r="S915" s="2">
        <f ca="1">INDEX(INDIRECT(_xlfn.CONCAT("weather.tbl[",S$1,"]")),MATCH(vp.tbl[[#This Row],[SDate]],weather.tbl[Date],0))</f>
        <v>-11.7</v>
      </c>
      <c r="T915" s="2">
        <f ca="1">INDEX(INDIRECT(_xlfn.CONCAT("weather.tbl[",T$1,"]")),MATCH(vp.tbl[[#This Row],[SDate]],weather.tbl[Date],0))</f>
        <v>-16.600000000000001</v>
      </c>
      <c r="U915" s="2">
        <f ca="1">INDEX(INDIRECT(_xlfn.CONCAT("weather.tbl[",U$1,"]")),MATCH(vp.tbl[[#This Row],[SDate]],weather.tbl[Date],0))</f>
        <v>-14</v>
      </c>
      <c r="V915" s="2">
        <v>96501.951000000001</v>
      </c>
      <c r="W915" t="s">
        <v>48</v>
      </c>
      <c r="X915">
        <f>IF(OR(vp.tbl[[#This Row],[Sulf]]="",vp.tbl[[#This Row],[Dens]]=""),1,0)</f>
        <v>0</v>
      </c>
      <c r="Y915">
        <f>IF(vp.tbl[[#This Row],[CrudeType]]="C5+",1,0)</f>
        <v>0</v>
      </c>
      <c r="Z915">
        <f>IF(AND(vp.tbl[[#This Row],[CrudeType]]="Crude",vp.tbl[[#This Row],[Dens]]&lt;=825,vp.tbl[[#This Row],[Sulf]]&gt;0.5,vp.tbl[[#This Row],[Unknown]]=0),1,0)</f>
        <v>0</v>
      </c>
      <c r="AA915">
        <f>IF(AND(vp.tbl[[#This Row],[CrudeType]]="Crude",vp.tbl[[#This Row],[Dens]]&lt;=825,vp.tbl[[#This Row],[Sulf]]&lt;=0.5,vp.tbl[[#This Row],[Unknown]]=0),1,0)</f>
        <v>0</v>
      </c>
      <c r="AB915">
        <f>IF(AND(vp.tbl[[#This Row],[CrudeType]]="Crude",vp.tbl[[#This Row],[Dens]]&gt;825,vp.tbl[[#This Row],[Dens]]&lt;=870,vp.tbl[[#This Row],[Sulf]]&gt;0.5,vp.tbl[[#This Row],[Unknown]]=0),1,0)</f>
        <v>1</v>
      </c>
      <c r="AC915">
        <f>IF(AND(vp.tbl[[#This Row],[CrudeType]]="Crude",vp.tbl[[#This Row],[Dens]]&gt;825,vp.tbl[[#This Row],[Dens]]&lt;=900,vp.tbl[[#This Row],[Sulf]]&lt;=0.5,vp.tbl[[#This Row],[Unknown]]=0),1,0)</f>
        <v>0</v>
      </c>
      <c r="AD915">
        <f>IF(AND(vp.tbl[[#This Row],[CrudeType]]="Crude",vp.tbl[[#This Row],[Dens]]&gt;870,vp.tbl[[#This Row],[Dens]]&lt;=900,vp.tbl[[#This Row],[Sulf]]&gt;0.5,vp.tbl[[#This Row],[Unknown]]=0),1,0)</f>
        <v>0</v>
      </c>
      <c r="AE915">
        <f>IF(AND(vp.tbl[[#This Row],[CrudeType]]="Crude",vp.tbl[[#This Row],[Dens]]&gt;900,vp.tbl[[#This Row],[Sulf]]&lt;=0.5,vp.tbl[[#This Row],[Unknown]]=0),1,0)</f>
        <v>0</v>
      </c>
      <c r="AF915">
        <f>IF(AND(vp.tbl[[#This Row],[CrudeType]]="Crude",vp.tbl[[#This Row],[Dens]]&gt;900,vp.tbl[[#This Row],[Sulf]]&lt;=0.5,vp.tbl[[#This Row],[Unknown]]=0),1,0)</f>
        <v>0</v>
      </c>
      <c r="AG915" t="str">
        <f>INDEX(vp.tbl[[#Headers],[Unknown]:[Heavy_SW]],MATCH(1,vp.tbl[[#This Row],[Unknown]:[Heavy_SW]],0))</f>
        <v>Medium_LSB</v>
      </c>
      <c r="AH915" t="e">
        <f>INDEX([1]!crudeBD.lkup[Number],MATCH(vp.tbl[[#This Row],[Crude_Breakdown]],[1]!crudeBD.lkup[Crude Breakdown],0))</f>
        <v>#REF!</v>
      </c>
      <c r="AI915">
        <f>MONTH(vp.tbl[[#This Row],[SDate]])</f>
        <v>2</v>
      </c>
      <c r="AJ915" s="5">
        <f>IFERROR(vp.tbl[[#This Row],[Sulf]]*vp.tbl[[#This Row],[Net Dens]],"")</f>
        <v>96186582.624131992</v>
      </c>
      <c r="AK915" s="5">
        <f>IFERROR(vp.tbl[[#This Row],[Dens]]*vp.tbl[[#This Row],[VolumeM3]],"")</f>
        <v>80965136.888999999</v>
      </c>
      <c r="AL915" s="5">
        <f>IFERROR(vp.tbl[[#This Row],[VP]]*vp.tbl[[#This Row],[VolumeM3]],"")</f>
        <v>9737046.8559000008</v>
      </c>
      <c r="AM915" s="4">
        <f>IFERROR((vp.tbl[[#This Row],[VP]]-INDEX(crudeBD.lkup.complete[Mean_VP],MATCH(vp.tbl[[#This Row],[Crude_Breakdown]],crudeBD.lkup.complete[Crude Breakdown],0)))^2,"")</f>
        <v>429.58386684762235</v>
      </c>
      <c r="AN915" s="4">
        <f>IFERROR((vp.tbl[[#This Row],[Dens]]-INDEX(crudeBD.lkup.complete[Mean_Dens],MATCH(vp.tbl[[#This Row],[Crude_Breakdown]],crudeBD.lkup.complete[Crude Breakdown],0)))^2,"")</f>
        <v>39.587033955443466</v>
      </c>
      <c r="AO915" s="4">
        <f>IFERROR((vp.tbl[[#This Row],[Sulf]]-INDEX(crudeBD.lkup.complete[Mean_Sulf],MATCH(vp.tbl[[#This Row],[Crude_Breakdown]],crudeBD.lkup.complete[Crude Breakdown],0)))^2,"")</f>
        <v>7.1251550565083505E-2</v>
      </c>
      <c r="AP915">
        <f>IF(AND(vp.tbl[[#This Row],[SDate]]&gt;=DATE(YEAR(vp.tbl[[#This Row],[SDate]]),5,1),vp.tbl[[#This Row],[SDate]]&lt;=DATE(YEAR(vp.tbl[[#This Row],[SDate]]),9,15)),1,0)</f>
        <v>0</v>
      </c>
      <c r="AQ915" s="15">
        <f>IF(vp.tbl[[#This Row],[SDate]]&lt;DATE(2016,12,1),0,1)</f>
        <v>1</v>
      </c>
    </row>
    <row r="916" spans="1:43" x14ac:dyDescent="0.25">
      <c r="A916">
        <v>915</v>
      </c>
      <c r="B916" t="s">
        <v>49</v>
      </c>
      <c r="C916" t="s">
        <v>49</v>
      </c>
      <c r="D916" t="s">
        <v>78</v>
      </c>
      <c r="F916" s="1">
        <v>42795</v>
      </c>
      <c r="G916" s="2">
        <v>82.3</v>
      </c>
      <c r="H916" s="2">
        <v>0.221</v>
      </c>
      <c r="I916" s="2">
        <v>0.221</v>
      </c>
      <c r="J916" s="2">
        <v>16.7</v>
      </c>
      <c r="K916" s="2">
        <v>-15</v>
      </c>
      <c r="L916" s="2">
        <v>807.7</v>
      </c>
      <c r="M916" s="2">
        <v>807.7</v>
      </c>
      <c r="N916" s="2">
        <f ca="1">INDEX(INDIRECT(_xlfn.CONCAT("weather.tbl[",N$1,"]")),MATCH(vp.tbl[[#This Row],[SDate]],weather.tbl[Date],0))</f>
        <v>-12.733333333333334</v>
      </c>
      <c r="O916" s="2">
        <f ca="1">INDEX(INDIRECT(_xlfn.CONCAT("weather.tbl[",O$1,"]")),MATCH(vp.tbl[[#This Row],[SDate]],weather.tbl[Date],0))</f>
        <v>-10.938095238095238</v>
      </c>
      <c r="P916" s="2">
        <f ca="1">INDEX(INDIRECT(_xlfn.CONCAT("weather.tbl[",P$1,"]")),MATCH(vp.tbl[[#This Row],[SDate]],weather.tbl[Date],0))</f>
        <v>-12.5</v>
      </c>
      <c r="Q916" s="2">
        <f ca="1">INDEX(INDIRECT(_xlfn.CONCAT("weather.tbl[",Q$1,"]")),MATCH(vp.tbl[[#This Row],[SDate]],weather.tbl[Date],0))</f>
        <v>-11.6</v>
      </c>
      <c r="R916" s="2">
        <f ca="1">INDEX(INDIRECT(_xlfn.CONCAT("weather.tbl[",R$1,"]")),MATCH(vp.tbl[[#This Row],[SDate]],weather.tbl[Date],0))</f>
        <v>-14</v>
      </c>
      <c r="S916" s="2">
        <f ca="1">INDEX(INDIRECT(_xlfn.CONCAT("weather.tbl[",S$1,"]")),MATCH(vp.tbl[[#This Row],[SDate]],weather.tbl[Date],0))</f>
        <v>-10.9</v>
      </c>
      <c r="T916" s="2">
        <f ca="1">INDEX(INDIRECT(_xlfn.CONCAT("weather.tbl[",T$1,"]")),MATCH(vp.tbl[[#This Row],[SDate]],weather.tbl[Date],0))</f>
        <v>-13.9</v>
      </c>
      <c r="U916" s="2">
        <f ca="1">INDEX(INDIRECT(_xlfn.CONCAT("weather.tbl[",U$1,"]")),MATCH(vp.tbl[[#This Row],[SDate]],weather.tbl[Date],0))</f>
        <v>-13.5</v>
      </c>
      <c r="V916" s="2">
        <v>19019.342000000001</v>
      </c>
      <c r="W916" t="s">
        <v>48</v>
      </c>
      <c r="X916">
        <f>IF(OR(vp.tbl[[#This Row],[Sulf]]="",vp.tbl[[#This Row],[Dens]]=""),1,0)</f>
        <v>0</v>
      </c>
      <c r="Y916">
        <f>IF(vp.tbl[[#This Row],[CrudeType]]="C5+",1,0)</f>
        <v>0</v>
      </c>
      <c r="Z916">
        <f>IF(AND(vp.tbl[[#This Row],[CrudeType]]="Crude",vp.tbl[[#This Row],[Dens]]&lt;=825,vp.tbl[[#This Row],[Sulf]]&gt;0.5,vp.tbl[[#This Row],[Unknown]]=0),1,0)</f>
        <v>0</v>
      </c>
      <c r="AA916">
        <f>IF(AND(vp.tbl[[#This Row],[CrudeType]]="Crude",vp.tbl[[#This Row],[Dens]]&lt;=825,vp.tbl[[#This Row],[Sulf]]&lt;=0.5,vp.tbl[[#This Row],[Unknown]]=0),1,0)</f>
        <v>1</v>
      </c>
      <c r="AB916">
        <f>IF(AND(vp.tbl[[#This Row],[CrudeType]]="Crude",vp.tbl[[#This Row],[Dens]]&gt;825,vp.tbl[[#This Row],[Dens]]&lt;=870,vp.tbl[[#This Row],[Sulf]]&gt;0.5,vp.tbl[[#This Row],[Unknown]]=0),1,0)</f>
        <v>0</v>
      </c>
      <c r="AC916">
        <f>IF(AND(vp.tbl[[#This Row],[CrudeType]]="Crude",vp.tbl[[#This Row],[Dens]]&gt;825,vp.tbl[[#This Row],[Dens]]&lt;=900,vp.tbl[[#This Row],[Sulf]]&lt;=0.5,vp.tbl[[#This Row],[Unknown]]=0),1,0)</f>
        <v>0</v>
      </c>
      <c r="AD916">
        <f>IF(AND(vp.tbl[[#This Row],[CrudeType]]="Crude",vp.tbl[[#This Row],[Dens]]&gt;870,vp.tbl[[#This Row],[Dens]]&lt;=900,vp.tbl[[#This Row],[Sulf]]&gt;0.5,vp.tbl[[#This Row],[Unknown]]=0),1,0)</f>
        <v>0</v>
      </c>
      <c r="AE916">
        <f>IF(AND(vp.tbl[[#This Row],[CrudeType]]="Crude",vp.tbl[[#This Row],[Dens]]&gt;900,vp.tbl[[#This Row],[Sulf]]&lt;=0.5,vp.tbl[[#This Row],[Unknown]]=0),1,0)</f>
        <v>0</v>
      </c>
      <c r="AF916">
        <f>IF(AND(vp.tbl[[#This Row],[CrudeType]]="Crude",vp.tbl[[#This Row],[Dens]]&gt;900,vp.tbl[[#This Row],[Sulf]]&lt;=0.5,vp.tbl[[#This Row],[Unknown]]=0),1,0)</f>
        <v>0</v>
      </c>
      <c r="AG916" t="str">
        <f>INDEX(vp.tbl[[#Headers],[Unknown]:[Heavy_SW]],MATCH(1,vp.tbl[[#This Row],[Unknown]:[Heavy_SW]],0))</f>
        <v>Light_SW</v>
      </c>
      <c r="AH916" t="e">
        <f>INDEX([1]!crudeBD.lkup[Number],MATCH(vp.tbl[[#This Row],[Crude_Breakdown]],[1]!crudeBD.lkup[Crude Breakdown],0))</f>
        <v>#REF!</v>
      </c>
      <c r="AI916">
        <f>MONTH(vp.tbl[[#This Row],[SDate]])</f>
        <v>3</v>
      </c>
      <c r="AJ916" s="5">
        <f>IFERROR(vp.tbl[[#This Row],[Sulf]]*vp.tbl[[#This Row],[Net Dens]],"")</f>
        <v>3394984.8798814001</v>
      </c>
      <c r="AK916" s="5">
        <f>IFERROR(vp.tbl[[#This Row],[Dens]]*vp.tbl[[#This Row],[VolumeM3]],"")</f>
        <v>15361922.533400001</v>
      </c>
      <c r="AL916" s="5">
        <f>IFERROR(vp.tbl[[#This Row],[VP]]*vp.tbl[[#This Row],[VolumeM3]],"")</f>
        <v>1565291.8466</v>
      </c>
      <c r="AM916" s="4">
        <f>IFERROR((vp.tbl[[#This Row],[VP]]-INDEX(crudeBD.lkup.complete[Mean_VP],MATCH(vp.tbl[[#This Row],[Crude_Breakdown]],crudeBD.lkup.complete[Crude Breakdown],0)))^2,"")</f>
        <v>105.068928669766</v>
      </c>
      <c r="AN916" s="4">
        <f>IFERROR((vp.tbl[[#This Row],[Dens]]-INDEX(crudeBD.lkup.complete[Mean_Dens],MATCH(vp.tbl[[#This Row],[Crude_Breakdown]],crudeBD.lkup.complete[Crude Breakdown],0)))^2,"")</f>
        <v>0.37393011934069159</v>
      </c>
      <c r="AO916" s="4">
        <f>IFERROR((vp.tbl[[#This Row],[Sulf]]-INDEX(crudeBD.lkup.complete[Mean_Sulf],MATCH(vp.tbl[[#This Row],[Crude_Breakdown]],crudeBD.lkup.complete[Crude Breakdown],0)))^2,"")</f>
        <v>2.323128283698917E-4</v>
      </c>
      <c r="AP916">
        <f>IF(AND(vp.tbl[[#This Row],[SDate]]&gt;=DATE(YEAR(vp.tbl[[#This Row],[SDate]]),5,1),vp.tbl[[#This Row],[SDate]]&lt;=DATE(YEAR(vp.tbl[[#This Row],[SDate]]),9,15)),1,0)</f>
        <v>0</v>
      </c>
      <c r="AQ916" s="15">
        <f>IF(vp.tbl[[#This Row],[SDate]]&lt;DATE(2016,12,1),0,1)</f>
        <v>1</v>
      </c>
    </row>
    <row r="917" spans="1:43" x14ac:dyDescent="0.25">
      <c r="A917">
        <v>916</v>
      </c>
      <c r="B917" t="s">
        <v>49</v>
      </c>
      <c r="C917" t="s">
        <v>49</v>
      </c>
      <c r="D917" t="s">
        <v>92</v>
      </c>
      <c r="F917" s="1">
        <v>42795</v>
      </c>
      <c r="G917" s="2">
        <v>89.3</v>
      </c>
      <c r="H917" s="2">
        <v>0.51</v>
      </c>
      <c r="I917" s="2">
        <v>0.51</v>
      </c>
      <c r="J917" s="2">
        <v>21.3</v>
      </c>
      <c r="K917" s="2">
        <v>-15</v>
      </c>
      <c r="L917" s="2">
        <v>816.6</v>
      </c>
      <c r="M917" s="2">
        <v>816.6</v>
      </c>
      <c r="N917" s="2">
        <f ca="1">INDEX(INDIRECT(_xlfn.CONCAT("weather.tbl[",N$1,"]")),MATCH(vp.tbl[[#This Row],[SDate]],weather.tbl[Date],0))</f>
        <v>-12.733333333333334</v>
      </c>
      <c r="O917" s="2">
        <f ca="1">INDEX(INDIRECT(_xlfn.CONCAT("weather.tbl[",O$1,"]")),MATCH(vp.tbl[[#This Row],[SDate]],weather.tbl[Date],0))</f>
        <v>-10.938095238095238</v>
      </c>
      <c r="P917" s="2">
        <f ca="1">INDEX(INDIRECT(_xlfn.CONCAT("weather.tbl[",P$1,"]")),MATCH(vp.tbl[[#This Row],[SDate]],weather.tbl[Date],0))</f>
        <v>-12.5</v>
      </c>
      <c r="Q917" s="2">
        <f ca="1">INDEX(INDIRECT(_xlfn.CONCAT("weather.tbl[",Q$1,"]")),MATCH(vp.tbl[[#This Row],[SDate]],weather.tbl[Date],0))</f>
        <v>-11.6</v>
      </c>
      <c r="R917" s="2">
        <f ca="1">INDEX(INDIRECT(_xlfn.CONCAT("weather.tbl[",R$1,"]")),MATCH(vp.tbl[[#This Row],[SDate]],weather.tbl[Date],0))</f>
        <v>-14</v>
      </c>
      <c r="S917" s="2">
        <f ca="1">INDEX(INDIRECT(_xlfn.CONCAT("weather.tbl[",S$1,"]")),MATCH(vp.tbl[[#This Row],[SDate]],weather.tbl[Date],0))</f>
        <v>-10.9</v>
      </c>
      <c r="T917" s="2">
        <f ca="1">INDEX(INDIRECT(_xlfn.CONCAT("weather.tbl[",T$1,"]")),MATCH(vp.tbl[[#This Row],[SDate]],weather.tbl[Date],0))</f>
        <v>-13.9</v>
      </c>
      <c r="U917" s="2">
        <f ca="1">INDEX(INDIRECT(_xlfn.CONCAT("weather.tbl[",U$1,"]")),MATCH(vp.tbl[[#This Row],[SDate]],weather.tbl[Date],0))</f>
        <v>-13.5</v>
      </c>
      <c r="V917" s="2">
        <v>21566.571</v>
      </c>
      <c r="W917" t="s">
        <v>48</v>
      </c>
      <c r="X917">
        <f>IF(OR(vp.tbl[[#This Row],[Sulf]]="",vp.tbl[[#This Row],[Dens]]=""),1,0)</f>
        <v>0</v>
      </c>
      <c r="Y917">
        <f>IF(vp.tbl[[#This Row],[CrudeType]]="C5+",1,0)</f>
        <v>0</v>
      </c>
      <c r="Z917">
        <f>IF(AND(vp.tbl[[#This Row],[CrudeType]]="Crude",vp.tbl[[#This Row],[Dens]]&lt;=825,vp.tbl[[#This Row],[Sulf]]&gt;0.5,vp.tbl[[#This Row],[Unknown]]=0),1,0)</f>
        <v>1</v>
      </c>
      <c r="AA917">
        <f>IF(AND(vp.tbl[[#This Row],[CrudeType]]="Crude",vp.tbl[[#This Row],[Dens]]&lt;=825,vp.tbl[[#This Row],[Sulf]]&lt;=0.5,vp.tbl[[#This Row],[Unknown]]=0),1,0)</f>
        <v>0</v>
      </c>
      <c r="AB917">
        <f>IF(AND(vp.tbl[[#This Row],[CrudeType]]="Crude",vp.tbl[[#This Row],[Dens]]&gt;825,vp.tbl[[#This Row],[Dens]]&lt;=870,vp.tbl[[#This Row],[Sulf]]&gt;0.5,vp.tbl[[#This Row],[Unknown]]=0),1,0)</f>
        <v>0</v>
      </c>
      <c r="AC917">
        <f>IF(AND(vp.tbl[[#This Row],[CrudeType]]="Crude",vp.tbl[[#This Row],[Dens]]&gt;825,vp.tbl[[#This Row],[Dens]]&lt;=900,vp.tbl[[#This Row],[Sulf]]&lt;=0.5,vp.tbl[[#This Row],[Unknown]]=0),1,0)</f>
        <v>0</v>
      </c>
      <c r="AD917">
        <f>IF(AND(vp.tbl[[#This Row],[CrudeType]]="Crude",vp.tbl[[#This Row],[Dens]]&gt;870,vp.tbl[[#This Row],[Dens]]&lt;=900,vp.tbl[[#This Row],[Sulf]]&gt;0.5,vp.tbl[[#This Row],[Unknown]]=0),1,0)</f>
        <v>0</v>
      </c>
      <c r="AE917">
        <f>IF(AND(vp.tbl[[#This Row],[CrudeType]]="Crude",vp.tbl[[#This Row],[Dens]]&gt;900,vp.tbl[[#This Row],[Sulf]]&lt;=0.5,vp.tbl[[#This Row],[Unknown]]=0),1,0)</f>
        <v>0</v>
      </c>
      <c r="AF917">
        <f>IF(AND(vp.tbl[[#This Row],[CrudeType]]="Crude",vp.tbl[[#This Row],[Dens]]&gt;900,vp.tbl[[#This Row],[Sulf]]&lt;=0.5,vp.tbl[[#This Row],[Unknown]]=0),1,0)</f>
        <v>0</v>
      </c>
      <c r="AG917" t="str">
        <f>INDEX(vp.tbl[[#Headers],[Unknown]:[Heavy_SW]],MATCH(1,vp.tbl[[#This Row],[Unknown]:[Heavy_SW]],0))</f>
        <v>Light_LSB</v>
      </c>
      <c r="AH917" t="e">
        <f>INDEX([1]!crudeBD.lkup[Number],MATCH(vp.tbl[[#This Row],[Crude_Breakdown]],[1]!crudeBD.lkup[Crude Breakdown],0))</f>
        <v>#REF!</v>
      </c>
      <c r="AI917">
        <f>MONTH(vp.tbl[[#This Row],[SDate]])</f>
        <v>3</v>
      </c>
      <c r="AJ917" s="5">
        <f>IFERROR(vp.tbl[[#This Row],[Sulf]]*vp.tbl[[#This Row],[Net Dens]],"")</f>
        <v>8981743.5580860004</v>
      </c>
      <c r="AK917" s="5">
        <f>IFERROR(vp.tbl[[#This Row],[Dens]]*vp.tbl[[#This Row],[VolumeM3]],"")</f>
        <v>17611261.878600001</v>
      </c>
      <c r="AL917" s="5">
        <f>IFERROR(vp.tbl[[#This Row],[VP]]*vp.tbl[[#This Row],[VolumeM3]],"")</f>
        <v>1925894.7903</v>
      </c>
      <c r="AM917" s="4">
        <f>IFERROR((vp.tbl[[#This Row],[VP]]-INDEX(crudeBD.lkup.complete[Mean_VP],MATCH(vp.tbl[[#This Row],[Crude_Breakdown]],crudeBD.lkup.complete[Crude Breakdown],0)))^2,"")</f>
        <v>5.0453496014455768</v>
      </c>
      <c r="AN917" s="4">
        <f>IFERROR((vp.tbl[[#This Row],[Dens]]-INDEX(crudeBD.lkup.complete[Mean_Dens],MATCH(vp.tbl[[#This Row],[Crude_Breakdown]],crudeBD.lkup.complete[Crude Breakdown],0)))^2,"")</f>
        <v>3.6740063107413783</v>
      </c>
      <c r="AO917" s="4">
        <f>IFERROR((vp.tbl[[#This Row],[Sulf]]-INDEX(crudeBD.lkup.complete[Mean_Sulf],MATCH(vp.tbl[[#This Row],[Crude_Breakdown]],crudeBD.lkup.complete[Crude Breakdown],0)))^2,"")</f>
        <v>0.17054518591717246</v>
      </c>
      <c r="AP917">
        <f>IF(AND(vp.tbl[[#This Row],[SDate]]&gt;=DATE(YEAR(vp.tbl[[#This Row],[SDate]]),5,1),vp.tbl[[#This Row],[SDate]]&lt;=DATE(YEAR(vp.tbl[[#This Row],[SDate]]),9,15)),1,0)</f>
        <v>0</v>
      </c>
      <c r="AQ917" s="15">
        <f>IF(vp.tbl[[#This Row],[SDate]]&lt;DATE(2016,12,1),0,1)</f>
        <v>1</v>
      </c>
    </row>
    <row r="918" spans="1:43" x14ac:dyDescent="0.25">
      <c r="A918">
        <v>917</v>
      </c>
      <c r="B918" t="s">
        <v>49</v>
      </c>
      <c r="C918" t="s">
        <v>49</v>
      </c>
      <c r="D918" t="s">
        <v>50</v>
      </c>
      <c r="F918" s="1">
        <v>42795</v>
      </c>
      <c r="G918" s="2">
        <v>83.9</v>
      </c>
      <c r="H918" s="2">
        <v>2.8559999999999999</v>
      </c>
      <c r="I918" s="2">
        <v>2.8559999999999999</v>
      </c>
      <c r="J918" s="2">
        <v>15.3</v>
      </c>
      <c r="K918" s="2">
        <v>-15</v>
      </c>
      <c r="L918" s="2">
        <v>871</v>
      </c>
      <c r="M918" s="2">
        <v>871</v>
      </c>
      <c r="N918" s="2">
        <f ca="1">INDEX(INDIRECT(_xlfn.CONCAT("weather.tbl[",N$1,"]")),MATCH(vp.tbl[[#This Row],[SDate]],weather.tbl[Date],0))</f>
        <v>-12.733333333333334</v>
      </c>
      <c r="O918" s="2">
        <f ca="1">INDEX(INDIRECT(_xlfn.CONCAT("weather.tbl[",O$1,"]")),MATCH(vp.tbl[[#This Row],[SDate]],weather.tbl[Date],0))</f>
        <v>-10.938095238095238</v>
      </c>
      <c r="P918" s="2">
        <f ca="1">INDEX(INDIRECT(_xlfn.CONCAT("weather.tbl[",P$1,"]")),MATCH(vp.tbl[[#This Row],[SDate]],weather.tbl[Date],0))</f>
        <v>-12.5</v>
      </c>
      <c r="Q918" s="2">
        <f ca="1">INDEX(INDIRECT(_xlfn.CONCAT("weather.tbl[",Q$1,"]")),MATCH(vp.tbl[[#This Row],[SDate]],weather.tbl[Date],0))</f>
        <v>-11.6</v>
      </c>
      <c r="R918" s="2">
        <f ca="1">INDEX(INDIRECT(_xlfn.CONCAT("weather.tbl[",R$1,"]")),MATCH(vp.tbl[[#This Row],[SDate]],weather.tbl[Date],0))</f>
        <v>-14</v>
      </c>
      <c r="S918" s="2">
        <f ca="1">INDEX(INDIRECT(_xlfn.CONCAT("weather.tbl[",S$1,"]")),MATCH(vp.tbl[[#This Row],[SDate]],weather.tbl[Date],0))</f>
        <v>-10.9</v>
      </c>
      <c r="T918" s="2">
        <f ca="1">INDEX(INDIRECT(_xlfn.CONCAT("weather.tbl[",T$1,"]")),MATCH(vp.tbl[[#This Row],[SDate]],weather.tbl[Date],0))</f>
        <v>-13.9</v>
      </c>
      <c r="U918" s="2">
        <f ca="1">INDEX(INDIRECT(_xlfn.CONCAT("weather.tbl[",U$1,"]")),MATCH(vp.tbl[[#This Row],[SDate]],weather.tbl[Date],0))</f>
        <v>-13.5</v>
      </c>
      <c r="V918" s="2">
        <v>6292.7340000000004</v>
      </c>
      <c r="W918" t="s">
        <v>48</v>
      </c>
      <c r="X918">
        <f>IF(OR(vp.tbl[[#This Row],[Sulf]]="",vp.tbl[[#This Row],[Dens]]=""),1,0)</f>
        <v>0</v>
      </c>
      <c r="Y918">
        <f>IF(vp.tbl[[#This Row],[CrudeType]]="C5+",1,0)</f>
        <v>0</v>
      </c>
      <c r="Z918">
        <f>IF(AND(vp.tbl[[#This Row],[CrudeType]]="Crude",vp.tbl[[#This Row],[Dens]]&lt;=825,vp.tbl[[#This Row],[Sulf]]&gt;0.5,vp.tbl[[#This Row],[Unknown]]=0),1,0)</f>
        <v>0</v>
      </c>
      <c r="AA918">
        <f>IF(AND(vp.tbl[[#This Row],[CrudeType]]="Crude",vp.tbl[[#This Row],[Dens]]&lt;=825,vp.tbl[[#This Row],[Sulf]]&lt;=0.5,vp.tbl[[#This Row],[Unknown]]=0),1,0)</f>
        <v>0</v>
      </c>
      <c r="AB918">
        <f>IF(AND(vp.tbl[[#This Row],[CrudeType]]="Crude",vp.tbl[[#This Row],[Dens]]&gt;825,vp.tbl[[#This Row],[Dens]]&lt;=870,vp.tbl[[#This Row],[Sulf]]&gt;0.5,vp.tbl[[#This Row],[Unknown]]=0),1,0)</f>
        <v>0</v>
      </c>
      <c r="AC918">
        <f>IF(AND(vp.tbl[[#This Row],[CrudeType]]="Crude",vp.tbl[[#This Row],[Dens]]&gt;825,vp.tbl[[#This Row],[Dens]]&lt;=900,vp.tbl[[#This Row],[Sulf]]&lt;=0.5,vp.tbl[[#This Row],[Unknown]]=0),1,0)</f>
        <v>0</v>
      </c>
      <c r="AD918">
        <f>IF(AND(vp.tbl[[#This Row],[CrudeType]]="Crude",vp.tbl[[#This Row],[Dens]]&gt;870,vp.tbl[[#This Row],[Dens]]&lt;=900,vp.tbl[[#This Row],[Sulf]]&gt;0.5,vp.tbl[[#This Row],[Unknown]]=0),1,0)</f>
        <v>1</v>
      </c>
      <c r="AE918">
        <f>IF(AND(vp.tbl[[#This Row],[CrudeType]]="Crude",vp.tbl[[#This Row],[Dens]]&gt;900,vp.tbl[[#This Row],[Sulf]]&lt;=0.5,vp.tbl[[#This Row],[Unknown]]=0),1,0)</f>
        <v>0</v>
      </c>
      <c r="AF918">
        <f>IF(AND(vp.tbl[[#This Row],[CrudeType]]="Crude",vp.tbl[[#This Row],[Dens]]&gt;900,vp.tbl[[#This Row],[Sulf]]&lt;=0.5,vp.tbl[[#This Row],[Unknown]]=0),1,0)</f>
        <v>0</v>
      </c>
      <c r="AG918" t="str">
        <f>INDEX(vp.tbl[[#Headers],[Unknown]:[Heavy_SW]],MATCH(1,vp.tbl[[#This Row],[Unknown]:[Heavy_SW]],0))</f>
        <v>Midale</v>
      </c>
      <c r="AH918" t="e">
        <f>INDEX([1]!crudeBD.lkup[Number],MATCH(vp.tbl[[#This Row],[Crude_Breakdown]],[1]!crudeBD.lkup[Crude Breakdown],0))</f>
        <v>#REF!</v>
      </c>
      <c r="AI918">
        <f>MONTH(vp.tbl[[#This Row],[SDate]])</f>
        <v>3</v>
      </c>
      <c r="AJ918" s="5">
        <f>IFERROR(vp.tbl[[#This Row],[Sulf]]*vp.tbl[[#This Row],[Net Dens]],"")</f>
        <v>15653654.072783999</v>
      </c>
      <c r="AK918" s="5">
        <f>IFERROR(vp.tbl[[#This Row],[Dens]]*vp.tbl[[#This Row],[VolumeM3]],"")</f>
        <v>5480971.3140000002</v>
      </c>
      <c r="AL918" s="5">
        <f>IFERROR(vp.tbl[[#This Row],[VP]]*vp.tbl[[#This Row],[VolumeM3]],"")</f>
        <v>527960.38260000001</v>
      </c>
      <c r="AM918" s="4">
        <f>IFERROR((vp.tbl[[#This Row],[VP]]-INDEX(crudeBD.lkup.complete[Mean_VP],MATCH(vp.tbl[[#This Row],[Crude_Breakdown]],crudeBD.lkup.complete[Crude Breakdown],0)))^2,"")</f>
        <v>245.28708763370216</v>
      </c>
      <c r="AN918" s="4">
        <f>IFERROR((vp.tbl[[#This Row],[Dens]]-INDEX(crudeBD.lkup.complete[Mean_Dens],MATCH(vp.tbl[[#This Row],[Crude_Breakdown]],crudeBD.lkup.complete[Crude Breakdown],0)))^2,"")</f>
        <v>42.929422030395735</v>
      </c>
      <c r="AO918" s="4">
        <f>IFERROR((vp.tbl[[#This Row],[Sulf]]-INDEX(crudeBD.lkup.complete[Mean_Sulf],MATCH(vp.tbl[[#This Row],[Crude_Breakdown]],crudeBD.lkup.complete[Crude Breakdown],0)))^2,"")</f>
        <v>0.19418111487125264</v>
      </c>
      <c r="AP918">
        <f>IF(AND(vp.tbl[[#This Row],[SDate]]&gt;=DATE(YEAR(vp.tbl[[#This Row],[SDate]]),5,1),vp.tbl[[#This Row],[SDate]]&lt;=DATE(YEAR(vp.tbl[[#This Row],[SDate]]),9,15)),1,0)</f>
        <v>0</v>
      </c>
      <c r="AQ918" s="15">
        <f>IF(vp.tbl[[#This Row],[SDate]]&lt;DATE(2016,12,1),0,1)</f>
        <v>1</v>
      </c>
    </row>
    <row r="919" spans="1:43" x14ac:dyDescent="0.25">
      <c r="A919">
        <v>918</v>
      </c>
      <c r="B919" t="s">
        <v>51</v>
      </c>
      <c r="C919" t="s">
        <v>51</v>
      </c>
      <c r="D919" t="s">
        <v>58</v>
      </c>
      <c r="F919" s="1">
        <v>42795</v>
      </c>
      <c r="G919" s="2">
        <v>95.1</v>
      </c>
      <c r="H919" s="2"/>
      <c r="I919" s="2">
        <v>1.31</v>
      </c>
      <c r="J919" s="2">
        <v>26.5</v>
      </c>
      <c r="K919" s="2">
        <v>-15</v>
      </c>
      <c r="L919" s="2">
        <v>835.9</v>
      </c>
      <c r="M919" s="2">
        <v>835.9</v>
      </c>
      <c r="N919" s="2">
        <f ca="1">INDEX(INDIRECT(_xlfn.CONCAT("weather.tbl[",N$1,"]")),MATCH(vp.tbl[[#This Row],[SDate]],weather.tbl[Date],0))</f>
        <v>-12.733333333333334</v>
      </c>
      <c r="O919" s="2">
        <f ca="1">INDEX(INDIRECT(_xlfn.CONCAT("weather.tbl[",O$1,"]")),MATCH(vp.tbl[[#This Row],[SDate]],weather.tbl[Date],0))</f>
        <v>-10.938095238095238</v>
      </c>
      <c r="P919" s="2">
        <f ca="1">INDEX(INDIRECT(_xlfn.CONCAT("weather.tbl[",P$1,"]")),MATCH(vp.tbl[[#This Row],[SDate]],weather.tbl[Date],0))</f>
        <v>-12.5</v>
      </c>
      <c r="Q919" s="2">
        <f ca="1">INDEX(INDIRECT(_xlfn.CONCAT("weather.tbl[",Q$1,"]")),MATCH(vp.tbl[[#This Row],[SDate]],weather.tbl[Date],0))</f>
        <v>-11.6</v>
      </c>
      <c r="R919" s="2">
        <f ca="1">INDEX(INDIRECT(_xlfn.CONCAT("weather.tbl[",R$1,"]")),MATCH(vp.tbl[[#This Row],[SDate]],weather.tbl[Date],0))</f>
        <v>-14</v>
      </c>
      <c r="S919" s="2">
        <f ca="1">INDEX(INDIRECT(_xlfn.CONCAT("weather.tbl[",S$1,"]")),MATCH(vp.tbl[[#This Row],[SDate]],weather.tbl[Date],0))</f>
        <v>-10.9</v>
      </c>
      <c r="T919" s="2">
        <f ca="1">INDEX(INDIRECT(_xlfn.CONCAT("weather.tbl[",T$1,"]")),MATCH(vp.tbl[[#This Row],[SDate]],weather.tbl[Date],0))</f>
        <v>-13.9</v>
      </c>
      <c r="U919" s="2">
        <f ca="1">INDEX(INDIRECT(_xlfn.CONCAT("weather.tbl[",U$1,"]")),MATCH(vp.tbl[[#This Row],[SDate]],weather.tbl[Date],0))</f>
        <v>-13.5</v>
      </c>
      <c r="V919" s="2">
        <v>6071.2709999999997</v>
      </c>
      <c r="W919" t="s">
        <v>48</v>
      </c>
      <c r="X919">
        <f>IF(OR(vp.tbl[[#This Row],[Sulf]]="",vp.tbl[[#This Row],[Dens]]=""),1,0)</f>
        <v>0</v>
      </c>
      <c r="Y919">
        <f>IF(vp.tbl[[#This Row],[CrudeType]]="C5+",1,0)</f>
        <v>0</v>
      </c>
      <c r="Z919">
        <f>IF(AND(vp.tbl[[#This Row],[CrudeType]]="Crude",vp.tbl[[#This Row],[Dens]]&lt;=825,vp.tbl[[#This Row],[Sulf]]&gt;0.5,vp.tbl[[#This Row],[Unknown]]=0),1,0)</f>
        <v>0</v>
      </c>
      <c r="AA919">
        <f>IF(AND(vp.tbl[[#This Row],[CrudeType]]="Crude",vp.tbl[[#This Row],[Dens]]&lt;=825,vp.tbl[[#This Row],[Sulf]]&lt;=0.5,vp.tbl[[#This Row],[Unknown]]=0),1,0)</f>
        <v>0</v>
      </c>
      <c r="AB919">
        <f>IF(AND(vp.tbl[[#This Row],[CrudeType]]="Crude",vp.tbl[[#This Row],[Dens]]&gt;825,vp.tbl[[#This Row],[Dens]]&lt;=870,vp.tbl[[#This Row],[Sulf]]&gt;0.5,vp.tbl[[#This Row],[Unknown]]=0),1,0)</f>
        <v>1</v>
      </c>
      <c r="AC919">
        <f>IF(AND(vp.tbl[[#This Row],[CrudeType]]="Crude",vp.tbl[[#This Row],[Dens]]&gt;825,vp.tbl[[#This Row],[Dens]]&lt;=900,vp.tbl[[#This Row],[Sulf]]&lt;=0.5,vp.tbl[[#This Row],[Unknown]]=0),1,0)</f>
        <v>0</v>
      </c>
      <c r="AD919">
        <f>IF(AND(vp.tbl[[#This Row],[CrudeType]]="Crude",vp.tbl[[#This Row],[Dens]]&gt;870,vp.tbl[[#This Row],[Dens]]&lt;=900,vp.tbl[[#This Row],[Sulf]]&gt;0.5,vp.tbl[[#This Row],[Unknown]]=0),1,0)</f>
        <v>0</v>
      </c>
      <c r="AE919">
        <f>IF(AND(vp.tbl[[#This Row],[CrudeType]]="Crude",vp.tbl[[#This Row],[Dens]]&gt;900,vp.tbl[[#This Row],[Sulf]]&lt;=0.5,vp.tbl[[#This Row],[Unknown]]=0),1,0)</f>
        <v>0</v>
      </c>
      <c r="AF919">
        <f>IF(AND(vp.tbl[[#This Row],[CrudeType]]="Crude",vp.tbl[[#This Row],[Dens]]&gt;900,vp.tbl[[#This Row],[Sulf]]&lt;=0.5,vp.tbl[[#This Row],[Unknown]]=0),1,0)</f>
        <v>0</v>
      </c>
      <c r="AG919" t="str">
        <f>INDEX(vp.tbl[[#Headers],[Unknown]:[Heavy_SW]],MATCH(1,vp.tbl[[#This Row],[Unknown]:[Heavy_SW]],0))</f>
        <v>Medium_LSB</v>
      </c>
      <c r="AH919" t="e">
        <f>INDEX([1]!crudeBD.lkup[Number],MATCH(vp.tbl[[#This Row],[Crude_Breakdown]],[1]!crudeBD.lkup[Crude Breakdown],0))</f>
        <v>#REF!</v>
      </c>
      <c r="AI919">
        <f>MONTH(vp.tbl[[#This Row],[SDate]])</f>
        <v>3</v>
      </c>
      <c r="AJ919" s="5">
        <f>IFERROR(vp.tbl[[#This Row],[Sulf]]*vp.tbl[[#This Row],[Net Dens]],"")</f>
        <v>6648217.8118589995</v>
      </c>
      <c r="AK919" s="5">
        <f>IFERROR(vp.tbl[[#This Row],[Dens]]*vp.tbl[[#This Row],[VolumeM3]],"")</f>
        <v>5074975.4288999997</v>
      </c>
      <c r="AL919" s="5">
        <f>IFERROR(vp.tbl[[#This Row],[VP]]*vp.tbl[[#This Row],[VolumeM3]],"")</f>
        <v>577377.87209999992</v>
      </c>
      <c r="AM919" s="4">
        <f>IFERROR((vp.tbl[[#This Row],[VP]]-INDEX(crudeBD.lkup.complete[Mean_VP],MATCH(vp.tbl[[#This Row],[Crude_Breakdown]],crudeBD.lkup.complete[Crude Breakdown],0)))^2,"")</f>
        <v>222.7975681134443</v>
      </c>
      <c r="AN919" s="4">
        <f>IFERROR((vp.tbl[[#This Row],[Dens]]-INDEX(crudeBD.lkup.complete[Mean_Dens],MATCH(vp.tbl[[#This Row],[Crude_Breakdown]],crudeBD.lkup.complete[Crude Breakdown],0)))^2,"")</f>
        <v>88.206335221260574</v>
      </c>
      <c r="AO919" s="4">
        <f>IFERROR((vp.tbl[[#This Row],[Sulf]]-INDEX(crudeBD.lkup.complete[Mean_Sulf],MATCH(vp.tbl[[#This Row],[Crude_Breakdown]],crudeBD.lkup.complete[Crude Breakdown],0)))^2,"")</f>
        <v>2.1004664539766637E-2</v>
      </c>
      <c r="AP919">
        <f>IF(AND(vp.tbl[[#This Row],[SDate]]&gt;=DATE(YEAR(vp.tbl[[#This Row],[SDate]]),5,1),vp.tbl[[#This Row],[SDate]]&lt;=DATE(YEAR(vp.tbl[[#This Row],[SDate]]),9,15)),1,0)</f>
        <v>0</v>
      </c>
      <c r="AQ919" s="15">
        <f>IF(vp.tbl[[#This Row],[SDate]]&lt;DATE(2016,12,1),0,1)</f>
        <v>1</v>
      </c>
    </row>
    <row r="920" spans="1:43" x14ac:dyDescent="0.25">
      <c r="A920">
        <v>919</v>
      </c>
      <c r="B920" t="s">
        <v>56</v>
      </c>
      <c r="C920" t="s">
        <v>56</v>
      </c>
      <c r="D920" t="s">
        <v>57</v>
      </c>
      <c r="F920" s="1">
        <v>42795</v>
      </c>
      <c r="G920" s="2">
        <v>83.2</v>
      </c>
      <c r="H920" s="2"/>
      <c r="I920" s="2">
        <v>1.63</v>
      </c>
      <c r="J920" s="2">
        <v>12.1</v>
      </c>
      <c r="K920" s="2">
        <v>-15</v>
      </c>
      <c r="L920" s="2">
        <v>845.9</v>
      </c>
      <c r="M920" s="2">
        <v>845.9</v>
      </c>
      <c r="N920" s="2">
        <f ca="1">INDEX(INDIRECT(_xlfn.CONCAT("weather.tbl[",N$1,"]")),MATCH(vp.tbl[[#This Row],[SDate]],weather.tbl[Date],0))</f>
        <v>-12.733333333333334</v>
      </c>
      <c r="O920" s="2">
        <f ca="1">INDEX(INDIRECT(_xlfn.CONCAT("weather.tbl[",O$1,"]")),MATCH(vp.tbl[[#This Row],[SDate]],weather.tbl[Date],0))</f>
        <v>-10.938095238095238</v>
      </c>
      <c r="P920" s="2">
        <f ca="1">INDEX(INDIRECT(_xlfn.CONCAT("weather.tbl[",P$1,"]")),MATCH(vp.tbl[[#This Row],[SDate]],weather.tbl[Date],0))</f>
        <v>-12.5</v>
      </c>
      <c r="Q920" s="2">
        <f ca="1">INDEX(INDIRECT(_xlfn.CONCAT("weather.tbl[",Q$1,"]")),MATCH(vp.tbl[[#This Row],[SDate]],weather.tbl[Date],0))</f>
        <v>-11.6</v>
      </c>
      <c r="R920" s="2">
        <f ca="1">INDEX(INDIRECT(_xlfn.CONCAT("weather.tbl[",R$1,"]")),MATCH(vp.tbl[[#This Row],[SDate]],weather.tbl[Date],0))</f>
        <v>-14</v>
      </c>
      <c r="S920" s="2">
        <f ca="1">INDEX(INDIRECT(_xlfn.CONCAT("weather.tbl[",S$1,"]")),MATCH(vp.tbl[[#This Row],[SDate]],weather.tbl[Date],0))</f>
        <v>-10.9</v>
      </c>
      <c r="T920" s="2">
        <f ca="1">INDEX(INDIRECT(_xlfn.CONCAT("weather.tbl[",T$1,"]")),MATCH(vp.tbl[[#This Row],[SDate]],weather.tbl[Date],0))</f>
        <v>-13.9</v>
      </c>
      <c r="U920" s="2">
        <f ca="1">INDEX(INDIRECT(_xlfn.CONCAT("weather.tbl[",U$1,"]")),MATCH(vp.tbl[[#This Row],[SDate]],weather.tbl[Date],0))</f>
        <v>-13.5</v>
      </c>
      <c r="V920" s="2">
        <v>2822.4540000000002</v>
      </c>
      <c r="W920" t="s">
        <v>48</v>
      </c>
      <c r="X920">
        <f>IF(OR(vp.tbl[[#This Row],[Sulf]]="",vp.tbl[[#This Row],[Dens]]=""),1,0)</f>
        <v>0</v>
      </c>
      <c r="Y920">
        <f>IF(vp.tbl[[#This Row],[CrudeType]]="C5+",1,0)</f>
        <v>0</v>
      </c>
      <c r="Z920">
        <f>IF(AND(vp.tbl[[#This Row],[CrudeType]]="Crude",vp.tbl[[#This Row],[Dens]]&lt;=825,vp.tbl[[#This Row],[Sulf]]&gt;0.5,vp.tbl[[#This Row],[Unknown]]=0),1,0)</f>
        <v>0</v>
      </c>
      <c r="AA920">
        <f>IF(AND(vp.tbl[[#This Row],[CrudeType]]="Crude",vp.tbl[[#This Row],[Dens]]&lt;=825,vp.tbl[[#This Row],[Sulf]]&lt;=0.5,vp.tbl[[#This Row],[Unknown]]=0),1,0)</f>
        <v>0</v>
      </c>
      <c r="AB920">
        <f>IF(AND(vp.tbl[[#This Row],[CrudeType]]="Crude",vp.tbl[[#This Row],[Dens]]&gt;825,vp.tbl[[#This Row],[Dens]]&lt;=870,vp.tbl[[#This Row],[Sulf]]&gt;0.5,vp.tbl[[#This Row],[Unknown]]=0),1,0)</f>
        <v>1</v>
      </c>
      <c r="AC920">
        <f>IF(AND(vp.tbl[[#This Row],[CrudeType]]="Crude",vp.tbl[[#This Row],[Dens]]&gt;825,vp.tbl[[#This Row],[Dens]]&lt;=900,vp.tbl[[#This Row],[Sulf]]&lt;=0.5,vp.tbl[[#This Row],[Unknown]]=0),1,0)</f>
        <v>0</v>
      </c>
      <c r="AD920">
        <f>IF(AND(vp.tbl[[#This Row],[CrudeType]]="Crude",vp.tbl[[#This Row],[Dens]]&gt;870,vp.tbl[[#This Row],[Dens]]&lt;=900,vp.tbl[[#This Row],[Sulf]]&gt;0.5,vp.tbl[[#This Row],[Unknown]]=0),1,0)</f>
        <v>0</v>
      </c>
      <c r="AE920">
        <f>IF(AND(vp.tbl[[#This Row],[CrudeType]]="Crude",vp.tbl[[#This Row],[Dens]]&gt;900,vp.tbl[[#This Row],[Sulf]]&lt;=0.5,vp.tbl[[#This Row],[Unknown]]=0),1,0)</f>
        <v>0</v>
      </c>
      <c r="AF920">
        <f>IF(AND(vp.tbl[[#This Row],[CrudeType]]="Crude",vp.tbl[[#This Row],[Dens]]&gt;900,vp.tbl[[#This Row],[Sulf]]&lt;=0.5,vp.tbl[[#This Row],[Unknown]]=0),1,0)</f>
        <v>0</v>
      </c>
      <c r="AG920" t="str">
        <f>INDEX(vp.tbl[[#Headers],[Unknown]:[Heavy_SW]],MATCH(1,vp.tbl[[#This Row],[Unknown]:[Heavy_SW]],0))</f>
        <v>Medium_LSB</v>
      </c>
      <c r="AH920" t="e">
        <f>INDEX([1]!crudeBD.lkup[Number],MATCH(vp.tbl[[#This Row],[Crude_Breakdown]],[1]!crudeBD.lkup[Crude Breakdown],0))</f>
        <v>#REF!</v>
      </c>
      <c r="AI920">
        <f>MONTH(vp.tbl[[#This Row],[SDate]])</f>
        <v>3</v>
      </c>
      <c r="AJ920" s="5">
        <f>IFERROR(vp.tbl[[#This Row],[Sulf]]*vp.tbl[[#This Row],[Net Dens]],"")</f>
        <v>3891647.5569179994</v>
      </c>
      <c r="AK920" s="5">
        <f>IFERROR(vp.tbl[[#This Row],[Dens]]*vp.tbl[[#This Row],[VolumeM3]],"")</f>
        <v>2387513.8385999999</v>
      </c>
      <c r="AL920" s="5">
        <f>IFERROR(vp.tbl[[#This Row],[VP]]*vp.tbl[[#This Row],[VolumeM3]],"")</f>
        <v>234828.17280000003</v>
      </c>
      <c r="AM920" s="4">
        <f>IFERROR((vp.tbl[[#This Row],[VP]]-INDEX(crudeBD.lkup.complete[Mean_VP],MATCH(vp.tbl[[#This Row],[Crude_Breakdown]],crudeBD.lkup.complete[Crude Breakdown],0)))^2,"")</f>
        <v>9.1591276071144847</v>
      </c>
      <c r="AN920" s="4">
        <f>IFERROR((vp.tbl[[#This Row],[Dens]]-INDEX(crudeBD.lkup.complete[Mean_Dens],MATCH(vp.tbl[[#This Row],[Crude_Breakdown]],crudeBD.lkup.complete[Crude Breakdown],0)))^2,"")</f>
        <v>0.36987952507727961</v>
      </c>
      <c r="AO920" s="4">
        <f>IFERROR((vp.tbl[[#This Row],[Sulf]]-INDEX(crudeBD.lkup.complete[Mean_Sulf],MATCH(vp.tbl[[#This Row],[Crude_Breakdown]],crudeBD.lkup.complete[Crude Breakdown],0)))^2,"")</f>
        <v>3.0649553653689716E-2</v>
      </c>
      <c r="AP920">
        <f>IF(AND(vp.tbl[[#This Row],[SDate]]&gt;=DATE(YEAR(vp.tbl[[#This Row],[SDate]]),5,1),vp.tbl[[#This Row],[SDate]]&lt;=DATE(YEAR(vp.tbl[[#This Row],[SDate]]),9,15)),1,0)</f>
        <v>0</v>
      </c>
      <c r="AQ920" s="15">
        <f>IF(vp.tbl[[#This Row],[SDate]]&lt;DATE(2016,12,1),0,1)</f>
        <v>1</v>
      </c>
    </row>
    <row r="921" spans="1:43" x14ac:dyDescent="0.25">
      <c r="A921">
        <v>920</v>
      </c>
      <c r="B921" t="s">
        <v>51</v>
      </c>
      <c r="C921" t="s">
        <v>51</v>
      </c>
      <c r="D921" t="s">
        <v>126</v>
      </c>
      <c r="F921" s="1">
        <v>42795</v>
      </c>
      <c r="G921" s="2">
        <v>93.1</v>
      </c>
      <c r="H921" s="2"/>
      <c r="I921" s="2">
        <v>1.7</v>
      </c>
      <c r="J921" s="2">
        <v>21.6</v>
      </c>
      <c r="K921" s="2">
        <v>-15</v>
      </c>
      <c r="L921" s="2">
        <v>849.1</v>
      </c>
      <c r="M921" s="2">
        <v>849.1</v>
      </c>
      <c r="N921" s="2">
        <f ca="1">INDEX(INDIRECT(_xlfn.CONCAT("weather.tbl[",N$1,"]")),MATCH(vp.tbl[[#This Row],[SDate]],weather.tbl[Date],0))</f>
        <v>-12.733333333333334</v>
      </c>
      <c r="O921" s="2">
        <f ca="1">INDEX(INDIRECT(_xlfn.CONCAT("weather.tbl[",O$1,"]")),MATCH(vp.tbl[[#This Row],[SDate]],weather.tbl[Date],0))</f>
        <v>-10.938095238095238</v>
      </c>
      <c r="P921" s="2">
        <f ca="1">INDEX(INDIRECT(_xlfn.CONCAT("weather.tbl[",P$1,"]")),MATCH(vp.tbl[[#This Row],[SDate]],weather.tbl[Date],0))</f>
        <v>-12.5</v>
      </c>
      <c r="Q921" s="2">
        <f ca="1">INDEX(INDIRECT(_xlfn.CONCAT("weather.tbl[",Q$1,"]")),MATCH(vp.tbl[[#This Row],[SDate]],weather.tbl[Date],0))</f>
        <v>-11.6</v>
      </c>
      <c r="R921" s="2">
        <f ca="1">INDEX(INDIRECT(_xlfn.CONCAT("weather.tbl[",R$1,"]")),MATCH(vp.tbl[[#This Row],[SDate]],weather.tbl[Date],0))</f>
        <v>-14</v>
      </c>
      <c r="S921" s="2">
        <f ca="1">INDEX(INDIRECT(_xlfn.CONCAT("weather.tbl[",S$1,"]")),MATCH(vp.tbl[[#This Row],[SDate]],weather.tbl[Date],0))</f>
        <v>-10.9</v>
      </c>
      <c r="T921" s="2">
        <f ca="1">INDEX(INDIRECT(_xlfn.CONCAT("weather.tbl[",T$1,"]")),MATCH(vp.tbl[[#This Row],[SDate]],weather.tbl[Date],0))</f>
        <v>-13.9</v>
      </c>
      <c r="U921" s="2">
        <f ca="1">INDEX(INDIRECT(_xlfn.CONCAT("weather.tbl[",U$1,"]")),MATCH(vp.tbl[[#This Row],[SDate]],weather.tbl[Date],0))</f>
        <v>-13.5</v>
      </c>
      <c r="V921" s="2">
        <v>1107.1669999999999</v>
      </c>
      <c r="W921" t="s">
        <v>48</v>
      </c>
      <c r="X921">
        <f>IF(OR(vp.tbl[[#This Row],[Sulf]]="",vp.tbl[[#This Row],[Dens]]=""),1,0)</f>
        <v>0</v>
      </c>
      <c r="Y921">
        <f>IF(vp.tbl[[#This Row],[CrudeType]]="C5+",1,0)</f>
        <v>0</v>
      </c>
      <c r="Z921">
        <f>IF(AND(vp.tbl[[#This Row],[CrudeType]]="Crude",vp.tbl[[#This Row],[Dens]]&lt;=825,vp.tbl[[#This Row],[Sulf]]&gt;0.5,vp.tbl[[#This Row],[Unknown]]=0),1,0)</f>
        <v>0</v>
      </c>
      <c r="AA921">
        <f>IF(AND(vp.tbl[[#This Row],[CrudeType]]="Crude",vp.tbl[[#This Row],[Dens]]&lt;=825,vp.tbl[[#This Row],[Sulf]]&lt;=0.5,vp.tbl[[#This Row],[Unknown]]=0),1,0)</f>
        <v>0</v>
      </c>
      <c r="AB921">
        <f>IF(AND(vp.tbl[[#This Row],[CrudeType]]="Crude",vp.tbl[[#This Row],[Dens]]&gt;825,vp.tbl[[#This Row],[Dens]]&lt;=870,vp.tbl[[#This Row],[Sulf]]&gt;0.5,vp.tbl[[#This Row],[Unknown]]=0),1,0)</f>
        <v>1</v>
      </c>
      <c r="AC921">
        <f>IF(AND(vp.tbl[[#This Row],[CrudeType]]="Crude",vp.tbl[[#This Row],[Dens]]&gt;825,vp.tbl[[#This Row],[Dens]]&lt;=900,vp.tbl[[#This Row],[Sulf]]&lt;=0.5,vp.tbl[[#This Row],[Unknown]]=0),1,0)</f>
        <v>0</v>
      </c>
      <c r="AD921">
        <f>IF(AND(vp.tbl[[#This Row],[CrudeType]]="Crude",vp.tbl[[#This Row],[Dens]]&gt;870,vp.tbl[[#This Row],[Dens]]&lt;=900,vp.tbl[[#This Row],[Sulf]]&gt;0.5,vp.tbl[[#This Row],[Unknown]]=0),1,0)</f>
        <v>0</v>
      </c>
      <c r="AE921">
        <f>IF(AND(vp.tbl[[#This Row],[CrudeType]]="Crude",vp.tbl[[#This Row],[Dens]]&gt;900,vp.tbl[[#This Row],[Sulf]]&lt;=0.5,vp.tbl[[#This Row],[Unknown]]=0),1,0)</f>
        <v>0</v>
      </c>
      <c r="AF921">
        <f>IF(AND(vp.tbl[[#This Row],[CrudeType]]="Crude",vp.tbl[[#This Row],[Dens]]&gt;900,vp.tbl[[#This Row],[Sulf]]&lt;=0.5,vp.tbl[[#This Row],[Unknown]]=0),1,0)</f>
        <v>0</v>
      </c>
      <c r="AG921" t="str">
        <f>INDEX(vp.tbl[[#Headers],[Unknown]:[Heavy_SW]],MATCH(1,vp.tbl[[#This Row],[Unknown]:[Heavy_SW]],0))</f>
        <v>Medium_LSB</v>
      </c>
      <c r="AH921" t="e">
        <f>INDEX([1]!crudeBD.lkup[Number],MATCH(vp.tbl[[#This Row],[Crude_Breakdown]],[1]!crudeBD.lkup[Crude Breakdown],0))</f>
        <v>#REF!</v>
      </c>
      <c r="AI921">
        <f>MONTH(vp.tbl[[#This Row],[SDate]])</f>
        <v>3</v>
      </c>
      <c r="AJ921" s="5">
        <f>IFERROR(vp.tbl[[#This Row],[Sulf]]*vp.tbl[[#This Row],[Net Dens]],"")</f>
        <v>1598162.3494899999</v>
      </c>
      <c r="AK921" s="5">
        <f>IFERROR(vp.tbl[[#This Row],[Dens]]*vp.tbl[[#This Row],[VolumeM3]],"")</f>
        <v>940095.49969999993</v>
      </c>
      <c r="AL921" s="5">
        <f>IFERROR(vp.tbl[[#This Row],[VP]]*vp.tbl[[#This Row],[VolumeM3]],"")</f>
        <v>103077.24769999999</v>
      </c>
      <c r="AM921" s="4">
        <f>IFERROR((vp.tbl[[#This Row],[VP]]-INDEX(crudeBD.lkup.complete[Mean_VP],MATCH(vp.tbl[[#This Row],[Crude_Breakdown]],crudeBD.lkup.complete[Crude Breakdown],0)))^2,"")</f>
        <v>167.09194786027962</v>
      </c>
      <c r="AN921" s="4">
        <f>IFERROR((vp.tbl[[#This Row],[Dens]]-INDEX(crudeBD.lkup.complete[Mean_Dens],MATCH(vp.tbl[[#This Row],[Crude_Breakdown]],crudeBD.lkup.complete[Crude Breakdown],0)))^2,"")</f>
        <v>14.502213702298972</v>
      </c>
      <c r="AO921" s="4">
        <f>IFERROR((vp.tbl[[#This Row],[Sulf]]-INDEX(crudeBD.lkup.complete[Mean_Sulf],MATCH(vp.tbl[[#This Row],[Crude_Breakdown]],crudeBD.lkup.complete[Crude Breakdown],0)))^2,"")</f>
        <v>6.0059373147360415E-2</v>
      </c>
      <c r="AP921">
        <f>IF(AND(vp.tbl[[#This Row],[SDate]]&gt;=DATE(YEAR(vp.tbl[[#This Row],[SDate]]),5,1),vp.tbl[[#This Row],[SDate]]&lt;=DATE(YEAR(vp.tbl[[#This Row],[SDate]]),9,15)),1,0)</f>
        <v>0</v>
      </c>
      <c r="AQ921" s="15">
        <f>IF(vp.tbl[[#This Row],[SDate]]&lt;DATE(2016,12,1),0,1)</f>
        <v>1</v>
      </c>
    </row>
    <row r="922" spans="1:43" x14ac:dyDescent="0.25">
      <c r="A922">
        <v>921</v>
      </c>
      <c r="B922" t="s">
        <v>111</v>
      </c>
      <c r="C922" t="s">
        <v>111</v>
      </c>
      <c r="D922" t="s">
        <v>112</v>
      </c>
      <c r="F922" s="1">
        <v>42795</v>
      </c>
      <c r="G922" s="2">
        <v>75</v>
      </c>
      <c r="H922" s="2"/>
      <c r="I922" s="2">
        <v>1.86</v>
      </c>
      <c r="J922" s="2">
        <v>25.5</v>
      </c>
      <c r="K922" s="2">
        <v>-15</v>
      </c>
      <c r="L922" s="2">
        <v>858.9</v>
      </c>
      <c r="M922" s="2">
        <v>858.9</v>
      </c>
      <c r="N922" s="2">
        <f ca="1">INDEX(INDIRECT(_xlfn.CONCAT("weather.tbl[",N$1,"]")),MATCH(vp.tbl[[#This Row],[SDate]],weather.tbl[Date],0))</f>
        <v>-12.733333333333334</v>
      </c>
      <c r="O922" s="2">
        <f ca="1">INDEX(INDIRECT(_xlfn.CONCAT("weather.tbl[",O$1,"]")),MATCH(vp.tbl[[#This Row],[SDate]],weather.tbl[Date],0))</f>
        <v>-10.938095238095238</v>
      </c>
      <c r="P922" s="2">
        <f ca="1">INDEX(INDIRECT(_xlfn.CONCAT("weather.tbl[",P$1,"]")),MATCH(vp.tbl[[#This Row],[SDate]],weather.tbl[Date],0))</f>
        <v>-12.5</v>
      </c>
      <c r="Q922" s="2">
        <f ca="1">INDEX(INDIRECT(_xlfn.CONCAT("weather.tbl[",Q$1,"]")),MATCH(vp.tbl[[#This Row],[SDate]],weather.tbl[Date],0))</f>
        <v>-11.6</v>
      </c>
      <c r="R922" s="2">
        <f ca="1">INDEX(INDIRECT(_xlfn.CONCAT("weather.tbl[",R$1,"]")),MATCH(vp.tbl[[#This Row],[SDate]],weather.tbl[Date],0))</f>
        <v>-14</v>
      </c>
      <c r="S922" s="2">
        <f ca="1">INDEX(INDIRECT(_xlfn.CONCAT("weather.tbl[",S$1,"]")),MATCH(vp.tbl[[#This Row],[SDate]],weather.tbl[Date],0))</f>
        <v>-10.9</v>
      </c>
      <c r="T922" s="2">
        <f ca="1">INDEX(INDIRECT(_xlfn.CONCAT("weather.tbl[",T$1,"]")),MATCH(vp.tbl[[#This Row],[SDate]],weather.tbl[Date],0))</f>
        <v>-13.9</v>
      </c>
      <c r="U922" s="2">
        <f ca="1">INDEX(INDIRECT(_xlfn.CONCAT("weather.tbl[",U$1,"]")),MATCH(vp.tbl[[#This Row],[SDate]],weather.tbl[Date],0))</f>
        <v>-13.5</v>
      </c>
      <c r="V922" s="2">
        <v>7909.2460000000001</v>
      </c>
      <c r="W922" t="s">
        <v>48</v>
      </c>
      <c r="X922">
        <f>IF(OR(vp.tbl[[#This Row],[Sulf]]="",vp.tbl[[#This Row],[Dens]]=""),1,0)</f>
        <v>0</v>
      </c>
      <c r="Y922">
        <f>IF(vp.tbl[[#This Row],[CrudeType]]="C5+",1,0)</f>
        <v>0</v>
      </c>
      <c r="Z922">
        <f>IF(AND(vp.tbl[[#This Row],[CrudeType]]="Crude",vp.tbl[[#This Row],[Dens]]&lt;=825,vp.tbl[[#This Row],[Sulf]]&gt;0.5,vp.tbl[[#This Row],[Unknown]]=0),1,0)</f>
        <v>0</v>
      </c>
      <c r="AA922">
        <f>IF(AND(vp.tbl[[#This Row],[CrudeType]]="Crude",vp.tbl[[#This Row],[Dens]]&lt;=825,vp.tbl[[#This Row],[Sulf]]&lt;=0.5,vp.tbl[[#This Row],[Unknown]]=0),1,0)</f>
        <v>0</v>
      </c>
      <c r="AB922">
        <f>IF(AND(vp.tbl[[#This Row],[CrudeType]]="Crude",vp.tbl[[#This Row],[Dens]]&gt;825,vp.tbl[[#This Row],[Dens]]&lt;=870,vp.tbl[[#This Row],[Sulf]]&gt;0.5,vp.tbl[[#This Row],[Unknown]]=0),1,0)</f>
        <v>1</v>
      </c>
      <c r="AC922">
        <f>IF(AND(vp.tbl[[#This Row],[CrudeType]]="Crude",vp.tbl[[#This Row],[Dens]]&gt;825,vp.tbl[[#This Row],[Dens]]&lt;=900,vp.tbl[[#This Row],[Sulf]]&lt;=0.5,vp.tbl[[#This Row],[Unknown]]=0),1,0)</f>
        <v>0</v>
      </c>
      <c r="AD922">
        <f>IF(AND(vp.tbl[[#This Row],[CrudeType]]="Crude",vp.tbl[[#This Row],[Dens]]&gt;870,vp.tbl[[#This Row],[Dens]]&lt;=900,vp.tbl[[#This Row],[Sulf]]&gt;0.5,vp.tbl[[#This Row],[Unknown]]=0),1,0)</f>
        <v>0</v>
      </c>
      <c r="AE922">
        <f>IF(AND(vp.tbl[[#This Row],[CrudeType]]="Crude",vp.tbl[[#This Row],[Dens]]&gt;900,vp.tbl[[#This Row],[Sulf]]&lt;=0.5,vp.tbl[[#This Row],[Unknown]]=0),1,0)</f>
        <v>0</v>
      </c>
      <c r="AF922">
        <f>IF(AND(vp.tbl[[#This Row],[CrudeType]]="Crude",vp.tbl[[#This Row],[Dens]]&gt;900,vp.tbl[[#This Row],[Sulf]]&lt;=0.5,vp.tbl[[#This Row],[Unknown]]=0),1,0)</f>
        <v>0</v>
      </c>
      <c r="AG922" t="str">
        <f>INDEX(vp.tbl[[#Headers],[Unknown]:[Heavy_SW]],MATCH(1,vp.tbl[[#This Row],[Unknown]:[Heavy_SW]],0))</f>
        <v>Medium_LSB</v>
      </c>
      <c r="AH922" t="e">
        <f>INDEX([1]!crudeBD.lkup[Number],MATCH(vp.tbl[[#This Row],[Crude_Breakdown]],[1]!crudeBD.lkup[Crude Breakdown],0))</f>
        <v>#REF!</v>
      </c>
      <c r="AI922">
        <f>MONTH(vp.tbl[[#This Row],[SDate]])</f>
        <v>3</v>
      </c>
      <c r="AJ922" s="5">
        <f>IFERROR(vp.tbl[[#This Row],[Sulf]]*vp.tbl[[#This Row],[Net Dens]],"")</f>
        <v>12635447.584284</v>
      </c>
      <c r="AK922" s="5">
        <f>IFERROR(vp.tbl[[#This Row],[Dens]]*vp.tbl[[#This Row],[VolumeM3]],"")</f>
        <v>6793251.3893999998</v>
      </c>
      <c r="AL922" s="5">
        <f>IFERROR(vp.tbl[[#This Row],[VP]]*vp.tbl[[#This Row],[VolumeM3]],"")</f>
        <v>593193.44999999995</v>
      </c>
      <c r="AM922" s="4">
        <f>IFERROR((vp.tbl[[#This Row],[VP]]-INDEX(crudeBD.lkup.complete[Mean_VP],MATCH(vp.tbl[[#This Row],[Crude_Breakdown]],crudeBD.lkup.complete[Crude Breakdown],0)))^2,"")</f>
        <v>26.766084569139178</v>
      </c>
      <c r="AN922" s="4">
        <f>IFERROR((vp.tbl[[#This Row],[Dens]]-INDEX(crudeBD.lkup.complete[Mean_Dens],MATCH(vp.tbl[[#This Row],[Crude_Breakdown]],crudeBD.lkup.complete[Crude Breakdown],0)))^2,"")</f>
        <v>185.18248712003899</v>
      </c>
      <c r="AO922" s="4">
        <f>IFERROR((vp.tbl[[#This Row],[Sulf]]-INDEX(crudeBD.lkup.complete[Mean_Sulf],MATCH(vp.tbl[[#This Row],[Crude_Breakdown]],crudeBD.lkup.complete[Crude Breakdown],0)))^2,"")</f>
        <v>0.16408181770432206</v>
      </c>
      <c r="AP922">
        <f>IF(AND(vp.tbl[[#This Row],[SDate]]&gt;=DATE(YEAR(vp.tbl[[#This Row],[SDate]]),5,1),vp.tbl[[#This Row],[SDate]]&lt;=DATE(YEAR(vp.tbl[[#This Row],[SDate]]),9,15)),1,0)</f>
        <v>0</v>
      </c>
      <c r="AQ922" s="15">
        <f>IF(vp.tbl[[#This Row],[SDate]]&lt;DATE(2016,12,1),0,1)</f>
        <v>1</v>
      </c>
    </row>
    <row r="923" spans="1:43" x14ac:dyDescent="0.25">
      <c r="A923">
        <v>922</v>
      </c>
      <c r="B923" t="s">
        <v>56</v>
      </c>
      <c r="C923" t="s">
        <v>56</v>
      </c>
      <c r="D923" t="s">
        <v>94</v>
      </c>
      <c r="F923" s="1">
        <v>42795</v>
      </c>
      <c r="G923" s="2">
        <v>69.2</v>
      </c>
      <c r="H923" s="2"/>
      <c r="I923" s="2">
        <v>1.9</v>
      </c>
      <c r="J923" s="2">
        <v>19.8</v>
      </c>
      <c r="K923" s="2">
        <v>-15</v>
      </c>
      <c r="L923" s="2">
        <v>866.6</v>
      </c>
      <c r="M923" s="2">
        <v>866.6</v>
      </c>
      <c r="N923" s="2">
        <f ca="1">INDEX(INDIRECT(_xlfn.CONCAT("weather.tbl[",N$1,"]")),MATCH(vp.tbl[[#This Row],[SDate]],weather.tbl[Date],0))</f>
        <v>-12.733333333333334</v>
      </c>
      <c r="O923" s="2">
        <f ca="1">INDEX(INDIRECT(_xlfn.CONCAT("weather.tbl[",O$1,"]")),MATCH(vp.tbl[[#This Row],[SDate]],weather.tbl[Date],0))</f>
        <v>-10.938095238095238</v>
      </c>
      <c r="P923" s="2">
        <f ca="1">INDEX(INDIRECT(_xlfn.CONCAT("weather.tbl[",P$1,"]")),MATCH(vp.tbl[[#This Row],[SDate]],weather.tbl[Date],0))</f>
        <v>-12.5</v>
      </c>
      <c r="Q923" s="2">
        <f ca="1">INDEX(INDIRECT(_xlfn.CONCAT("weather.tbl[",Q$1,"]")),MATCH(vp.tbl[[#This Row],[SDate]],weather.tbl[Date],0))</f>
        <v>-11.6</v>
      </c>
      <c r="R923" s="2">
        <f ca="1">INDEX(INDIRECT(_xlfn.CONCAT("weather.tbl[",R$1,"]")),MATCH(vp.tbl[[#This Row],[SDate]],weather.tbl[Date],0))</f>
        <v>-14</v>
      </c>
      <c r="S923" s="2">
        <f ca="1">INDEX(INDIRECT(_xlfn.CONCAT("weather.tbl[",S$1,"]")),MATCH(vp.tbl[[#This Row],[SDate]],weather.tbl[Date],0))</f>
        <v>-10.9</v>
      </c>
      <c r="T923" s="2">
        <f ca="1">INDEX(INDIRECT(_xlfn.CONCAT("weather.tbl[",T$1,"]")),MATCH(vp.tbl[[#This Row],[SDate]],weather.tbl[Date],0))</f>
        <v>-13.9</v>
      </c>
      <c r="U923" s="2">
        <f ca="1">INDEX(INDIRECT(_xlfn.CONCAT("weather.tbl[",U$1,"]")),MATCH(vp.tbl[[#This Row],[SDate]],weather.tbl[Date],0))</f>
        <v>-13.5</v>
      </c>
      <c r="V923" s="2">
        <v>4141.4380000000001</v>
      </c>
      <c r="W923" t="s">
        <v>48</v>
      </c>
      <c r="X923">
        <f>IF(OR(vp.tbl[[#This Row],[Sulf]]="",vp.tbl[[#This Row],[Dens]]=""),1,0)</f>
        <v>0</v>
      </c>
      <c r="Y923">
        <f>IF(vp.tbl[[#This Row],[CrudeType]]="C5+",1,0)</f>
        <v>0</v>
      </c>
      <c r="Z923">
        <f>IF(AND(vp.tbl[[#This Row],[CrudeType]]="Crude",vp.tbl[[#This Row],[Dens]]&lt;=825,vp.tbl[[#This Row],[Sulf]]&gt;0.5,vp.tbl[[#This Row],[Unknown]]=0),1,0)</f>
        <v>0</v>
      </c>
      <c r="AA923">
        <f>IF(AND(vp.tbl[[#This Row],[CrudeType]]="Crude",vp.tbl[[#This Row],[Dens]]&lt;=825,vp.tbl[[#This Row],[Sulf]]&lt;=0.5,vp.tbl[[#This Row],[Unknown]]=0),1,0)</f>
        <v>0</v>
      </c>
      <c r="AB923">
        <f>IF(AND(vp.tbl[[#This Row],[CrudeType]]="Crude",vp.tbl[[#This Row],[Dens]]&gt;825,vp.tbl[[#This Row],[Dens]]&lt;=870,vp.tbl[[#This Row],[Sulf]]&gt;0.5,vp.tbl[[#This Row],[Unknown]]=0),1,0)</f>
        <v>1</v>
      </c>
      <c r="AC923">
        <f>IF(AND(vp.tbl[[#This Row],[CrudeType]]="Crude",vp.tbl[[#This Row],[Dens]]&gt;825,vp.tbl[[#This Row],[Dens]]&lt;=900,vp.tbl[[#This Row],[Sulf]]&lt;=0.5,vp.tbl[[#This Row],[Unknown]]=0),1,0)</f>
        <v>0</v>
      </c>
      <c r="AD923">
        <f>IF(AND(vp.tbl[[#This Row],[CrudeType]]="Crude",vp.tbl[[#This Row],[Dens]]&gt;870,vp.tbl[[#This Row],[Dens]]&lt;=900,vp.tbl[[#This Row],[Sulf]]&gt;0.5,vp.tbl[[#This Row],[Unknown]]=0),1,0)</f>
        <v>0</v>
      </c>
      <c r="AE923">
        <f>IF(AND(vp.tbl[[#This Row],[CrudeType]]="Crude",vp.tbl[[#This Row],[Dens]]&gt;900,vp.tbl[[#This Row],[Sulf]]&lt;=0.5,vp.tbl[[#This Row],[Unknown]]=0),1,0)</f>
        <v>0</v>
      </c>
      <c r="AF923">
        <f>IF(AND(vp.tbl[[#This Row],[CrudeType]]="Crude",vp.tbl[[#This Row],[Dens]]&gt;900,vp.tbl[[#This Row],[Sulf]]&lt;=0.5,vp.tbl[[#This Row],[Unknown]]=0),1,0)</f>
        <v>0</v>
      </c>
      <c r="AG923" t="str">
        <f>INDEX(vp.tbl[[#Headers],[Unknown]:[Heavy_SW]],MATCH(1,vp.tbl[[#This Row],[Unknown]:[Heavy_SW]],0))</f>
        <v>Medium_LSB</v>
      </c>
      <c r="AH923" t="e">
        <f>INDEX([1]!crudeBD.lkup[Number],MATCH(vp.tbl[[#This Row],[Crude_Breakdown]],[1]!crudeBD.lkup[Crude Breakdown],0))</f>
        <v>#REF!</v>
      </c>
      <c r="AI923">
        <f>MONTH(vp.tbl[[#This Row],[SDate]])</f>
        <v>3</v>
      </c>
      <c r="AJ923" s="5">
        <f>IFERROR(vp.tbl[[#This Row],[Sulf]]*vp.tbl[[#This Row],[Net Dens]],"")</f>
        <v>6819043.3245199993</v>
      </c>
      <c r="AK923" s="5">
        <f>IFERROR(vp.tbl[[#This Row],[Dens]]*vp.tbl[[#This Row],[VolumeM3]],"")</f>
        <v>3588970.1708</v>
      </c>
      <c r="AL923" s="5">
        <f>IFERROR(vp.tbl[[#This Row],[VP]]*vp.tbl[[#This Row],[VolumeM3]],"")</f>
        <v>286587.50959999999</v>
      </c>
      <c r="AM923" s="4">
        <f>IFERROR((vp.tbl[[#This Row],[VP]]-INDEX(crudeBD.lkup.complete[Mean_VP],MATCH(vp.tbl[[#This Row],[Crude_Breakdown]],crudeBD.lkup.complete[Crude Breakdown],0)))^2,"")</f>
        <v>120.41978583496147</v>
      </c>
      <c r="AN923" s="4">
        <f>IFERROR((vp.tbl[[#This Row],[Dens]]-INDEX(crudeBD.lkup.complete[Mean_Dens],MATCH(vp.tbl[[#This Row],[Crude_Breakdown]],crudeBD.lkup.complete[Crude Breakdown],0)))^2,"")</f>
        <v>454.03841623397977</v>
      </c>
      <c r="AO923" s="4">
        <f>IFERROR((vp.tbl[[#This Row],[Sulf]]-INDEX(crudeBD.lkup.complete[Mean_Sulf],MATCH(vp.tbl[[#This Row],[Crude_Breakdown]],crudeBD.lkup.complete[Crude Breakdown],0)))^2,"")</f>
        <v>0.19808742884356229</v>
      </c>
      <c r="AP923">
        <f>IF(AND(vp.tbl[[#This Row],[SDate]]&gt;=DATE(YEAR(vp.tbl[[#This Row],[SDate]]),5,1),vp.tbl[[#This Row],[SDate]]&lt;=DATE(YEAR(vp.tbl[[#This Row],[SDate]]),9,15)),1,0)</f>
        <v>0</v>
      </c>
      <c r="AQ923" s="15">
        <f>IF(vp.tbl[[#This Row],[SDate]]&lt;DATE(2016,12,1),0,1)</f>
        <v>1</v>
      </c>
    </row>
    <row r="924" spans="1:43" x14ac:dyDescent="0.25">
      <c r="A924">
        <v>923</v>
      </c>
      <c r="B924" t="s">
        <v>46</v>
      </c>
      <c r="C924" t="s">
        <v>46</v>
      </c>
      <c r="D924" t="s">
        <v>47</v>
      </c>
      <c r="F924" s="1">
        <v>42795</v>
      </c>
      <c r="G924" s="2">
        <v>63.1</v>
      </c>
      <c r="H924" s="2"/>
      <c r="I924" s="2">
        <v>2.38</v>
      </c>
      <c r="J924" s="2">
        <v>28.9</v>
      </c>
      <c r="K924" s="2">
        <v>-15</v>
      </c>
      <c r="L924" s="2">
        <v>867.1</v>
      </c>
      <c r="M924" s="2">
        <v>867.1</v>
      </c>
      <c r="N924" s="2">
        <f ca="1">INDEX(INDIRECT(_xlfn.CONCAT("weather.tbl[",N$1,"]")),MATCH(vp.tbl[[#This Row],[SDate]],weather.tbl[Date],0))</f>
        <v>-12.733333333333334</v>
      </c>
      <c r="O924" s="2">
        <f ca="1">INDEX(INDIRECT(_xlfn.CONCAT("weather.tbl[",O$1,"]")),MATCH(vp.tbl[[#This Row],[SDate]],weather.tbl[Date],0))</f>
        <v>-10.938095238095238</v>
      </c>
      <c r="P924" s="2">
        <f ca="1">INDEX(INDIRECT(_xlfn.CONCAT("weather.tbl[",P$1,"]")),MATCH(vp.tbl[[#This Row],[SDate]],weather.tbl[Date],0))</f>
        <v>-12.5</v>
      </c>
      <c r="Q924" s="2">
        <f ca="1">INDEX(INDIRECT(_xlfn.CONCAT("weather.tbl[",Q$1,"]")),MATCH(vp.tbl[[#This Row],[SDate]],weather.tbl[Date],0))</f>
        <v>-11.6</v>
      </c>
      <c r="R924" s="2">
        <f ca="1">INDEX(INDIRECT(_xlfn.CONCAT("weather.tbl[",R$1,"]")),MATCH(vp.tbl[[#This Row],[SDate]],weather.tbl[Date],0))</f>
        <v>-14</v>
      </c>
      <c r="S924" s="2">
        <f ca="1">INDEX(INDIRECT(_xlfn.CONCAT("weather.tbl[",S$1,"]")),MATCH(vp.tbl[[#This Row],[SDate]],weather.tbl[Date],0))</f>
        <v>-10.9</v>
      </c>
      <c r="T924" s="2">
        <f ca="1">INDEX(INDIRECT(_xlfn.CONCAT("weather.tbl[",T$1,"]")),MATCH(vp.tbl[[#This Row],[SDate]],weather.tbl[Date],0))</f>
        <v>-13.9</v>
      </c>
      <c r="U924" s="2">
        <f ca="1">INDEX(INDIRECT(_xlfn.CONCAT("weather.tbl[",U$1,"]")),MATCH(vp.tbl[[#This Row],[SDate]],weather.tbl[Date],0))</f>
        <v>-13.5</v>
      </c>
      <c r="V924" s="2">
        <v>118908.394</v>
      </c>
      <c r="W924" t="s">
        <v>48</v>
      </c>
      <c r="X924">
        <f>IF(OR(vp.tbl[[#This Row],[Sulf]]="",vp.tbl[[#This Row],[Dens]]=""),1,0)</f>
        <v>0</v>
      </c>
      <c r="Y924">
        <f>IF(vp.tbl[[#This Row],[CrudeType]]="C5+",1,0)</f>
        <v>0</v>
      </c>
      <c r="Z924">
        <f>IF(AND(vp.tbl[[#This Row],[CrudeType]]="Crude",vp.tbl[[#This Row],[Dens]]&lt;=825,vp.tbl[[#This Row],[Sulf]]&gt;0.5,vp.tbl[[#This Row],[Unknown]]=0),1,0)</f>
        <v>0</v>
      </c>
      <c r="AA924">
        <f>IF(AND(vp.tbl[[#This Row],[CrudeType]]="Crude",vp.tbl[[#This Row],[Dens]]&lt;=825,vp.tbl[[#This Row],[Sulf]]&lt;=0.5,vp.tbl[[#This Row],[Unknown]]=0),1,0)</f>
        <v>0</v>
      </c>
      <c r="AB924">
        <f>IF(AND(vp.tbl[[#This Row],[CrudeType]]="Crude",vp.tbl[[#This Row],[Dens]]&gt;825,vp.tbl[[#This Row],[Dens]]&lt;=870,vp.tbl[[#This Row],[Sulf]]&gt;0.5,vp.tbl[[#This Row],[Unknown]]=0),1,0)</f>
        <v>1</v>
      </c>
      <c r="AC924">
        <f>IF(AND(vp.tbl[[#This Row],[CrudeType]]="Crude",vp.tbl[[#This Row],[Dens]]&gt;825,vp.tbl[[#This Row],[Dens]]&lt;=900,vp.tbl[[#This Row],[Sulf]]&lt;=0.5,vp.tbl[[#This Row],[Unknown]]=0),1,0)</f>
        <v>0</v>
      </c>
      <c r="AD924">
        <f>IF(AND(vp.tbl[[#This Row],[CrudeType]]="Crude",vp.tbl[[#This Row],[Dens]]&gt;870,vp.tbl[[#This Row],[Dens]]&lt;=900,vp.tbl[[#This Row],[Sulf]]&gt;0.5,vp.tbl[[#This Row],[Unknown]]=0),1,0)</f>
        <v>0</v>
      </c>
      <c r="AE924">
        <f>IF(AND(vp.tbl[[#This Row],[CrudeType]]="Crude",vp.tbl[[#This Row],[Dens]]&gt;900,vp.tbl[[#This Row],[Sulf]]&lt;=0.5,vp.tbl[[#This Row],[Unknown]]=0),1,0)</f>
        <v>0</v>
      </c>
      <c r="AF924">
        <f>IF(AND(vp.tbl[[#This Row],[CrudeType]]="Crude",vp.tbl[[#This Row],[Dens]]&gt;900,vp.tbl[[#This Row],[Sulf]]&lt;=0.5,vp.tbl[[#This Row],[Unknown]]=0),1,0)</f>
        <v>0</v>
      </c>
      <c r="AG924" t="str">
        <f>INDEX(vp.tbl[[#Headers],[Unknown]:[Heavy_SW]],MATCH(1,vp.tbl[[#This Row],[Unknown]:[Heavy_SW]],0))</f>
        <v>Medium_LSB</v>
      </c>
      <c r="AH924" t="e">
        <f>INDEX([1]!crudeBD.lkup[Number],MATCH(vp.tbl[[#This Row],[Crude_Breakdown]],[1]!crudeBD.lkup[Crude Breakdown],0))</f>
        <v>#REF!</v>
      </c>
      <c r="AI924">
        <f>MONTH(vp.tbl[[#This Row],[SDate]])</f>
        <v>3</v>
      </c>
      <c r="AJ924" s="5">
        <f>IFERROR(vp.tbl[[#This Row],[Sulf]]*vp.tbl[[#This Row],[Net Dens]],"")</f>
        <v>245391014.88101199</v>
      </c>
      <c r="AK924" s="5">
        <f>IFERROR(vp.tbl[[#This Row],[Dens]]*vp.tbl[[#This Row],[VolumeM3]],"")</f>
        <v>103105468.4374</v>
      </c>
      <c r="AL924" s="5">
        <f>IFERROR(vp.tbl[[#This Row],[VP]]*vp.tbl[[#This Row],[VolumeM3]],"")</f>
        <v>7503119.6614000006</v>
      </c>
      <c r="AM924" s="4">
        <f>IFERROR((vp.tbl[[#This Row],[VP]]-INDEX(crudeBD.lkup.complete[Mean_VP],MATCH(vp.tbl[[#This Row],[Crude_Breakdown]],crudeBD.lkup.complete[Crude Breakdown],0)))^2,"")</f>
        <v>291.50764406280916</v>
      </c>
      <c r="AN924" s="4">
        <f>IFERROR((vp.tbl[[#This Row],[Dens]]-INDEX(crudeBD.lkup.complete[Mean_Dens],MATCH(vp.tbl[[#This Row],[Crude_Breakdown]],crudeBD.lkup.complete[Crude Breakdown],0)))^2,"")</f>
        <v>475.59659344917065</v>
      </c>
      <c r="AO924" s="4">
        <f>IFERROR((vp.tbl[[#This Row],[Sulf]]-INDEX(crudeBD.lkup.complete[Mean_Sulf],MATCH(vp.tbl[[#This Row],[Crude_Breakdown]],crudeBD.lkup.complete[Crude Breakdown],0)))^2,"")</f>
        <v>0.85575476251444682</v>
      </c>
      <c r="AP924">
        <f>IF(AND(vp.tbl[[#This Row],[SDate]]&gt;=DATE(YEAR(vp.tbl[[#This Row],[SDate]]),5,1),vp.tbl[[#This Row],[SDate]]&lt;=DATE(YEAR(vp.tbl[[#This Row],[SDate]]),9,15)),1,0)</f>
        <v>0</v>
      </c>
      <c r="AQ924" s="15">
        <f>IF(vp.tbl[[#This Row],[SDate]]&lt;DATE(2016,12,1),0,1)</f>
        <v>1</v>
      </c>
    </row>
    <row r="925" spans="1:43" x14ac:dyDescent="0.25">
      <c r="A925">
        <v>924</v>
      </c>
      <c r="B925" t="s">
        <v>51</v>
      </c>
      <c r="C925" t="s">
        <v>51</v>
      </c>
      <c r="D925" t="s">
        <v>52</v>
      </c>
      <c r="F925" s="1">
        <v>42795</v>
      </c>
      <c r="G925" s="2">
        <v>71.400000000000006</v>
      </c>
      <c r="H925" s="2"/>
      <c r="I925" s="2">
        <v>2.2999999999999998</v>
      </c>
      <c r="J925" s="2">
        <v>34.1</v>
      </c>
      <c r="K925" s="2">
        <v>-15</v>
      </c>
      <c r="L925" s="2">
        <v>870.1</v>
      </c>
      <c r="M925" s="2">
        <v>870.1</v>
      </c>
      <c r="N925" s="2">
        <f ca="1">INDEX(INDIRECT(_xlfn.CONCAT("weather.tbl[",N$1,"]")),MATCH(vp.tbl[[#This Row],[SDate]],weather.tbl[Date],0))</f>
        <v>-12.733333333333334</v>
      </c>
      <c r="O925" s="2">
        <f ca="1">INDEX(INDIRECT(_xlfn.CONCAT("weather.tbl[",O$1,"]")),MATCH(vp.tbl[[#This Row],[SDate]],weather.tbl[Date],0))</f>
        <v>-10.938095238095238</v>
      </c>
      <c r="P925" s="2">
        <f ca="1">INDEX(INDIRECT(_xlfn.CONCAT("weather.tbl[",P$1,"]")),MATCH(vp.tbl[[#This Row],[SDate]],weather.tbl[Date],0))</f>
        <v>-12.5</v>
      </c>
      <c r="Q925" s="2">
        <f ca="1">INDEX(INDIRECT(_xlfn.CONCAT("weather.tbl[",Q$1,"]")),MATCH(vp.tbl[[#This Row],[SDate]],weather.tbl[Date],0))</f>
        <v>-11.6</v>
      </c>
      <c r="R925" s="2">
        <f ca="1">INDEX(INDIRECT(_xlfn.CONCAT("weather.tbl[",R$1,"]")),MATCH(vp.tbl[[#This Row],[SDate]],weather.tbl[Date],0))</f>
        <v>-14</v>
      </c>
      <c r="S925" s="2">
        <f ca="1">INDEX(INDIRECT(_xlfn.CONCAT("weather.tbl[",S$1,"]")),MATCH(vp.tbl[[#This Row],[SDate]],weather.tbl[Date],0))</f>
        <v>-10.9</v>
      </c>
      <c r="T925" s="2">
        <f ca="1">INDEX(INDIRECT(_xlfn.CONCAT("weather.tbl[",T$1,"]")),MATCH(vp.tbl[[#This Row],[SDate]],weather.tbl[Date],0))</f>
        <v>-13.9</v>
      </c>
      <c r="U925" s="2">
        <f ca="1">INDEX(INDIRECT(_xlfn.CONCAT("weather.tbl[",U$1,"]")),MATCH(vp.tbl[[#This Row],[SDate]],weather.tbl[Date],0))</f>
        <v>-13.5</v>
      </c>
      <c r="V925" s="2">
        <v>7335.8190000000004</v>
      </c>
      <c r="W925" t="s">
        <v>48</v>
      </c>
      <c r="X925">
        <f>IF(OR(vp.tbl[[#This Row],[Sulf]]="",vp.tbl[[#This Row],[Dens]]=""),1,0)</f>
        <v>0</v>
      </c>
      <c r="Y925">
        <f>IF(vp.tbl[[#This Row],[CrudeType]]="C5+",1,0)</f>
        <v>0</v>
      </c>
      <c r="Z925">
        <f>IF(AND(vp.tbl[[#This Row],[CrudeType]]="Crude",vp.tbl[[#This Row],[Dens]]&lt;=825,vp.tbl[[#This Row],[Sulf]]&gt;0.5,vp.tbl[[#This Row],[Unknown]]=0),1,0)</f>
        <v>0</v>
      </c>
      <c r="AA925">
        <f>IF(AND(vp.tbl[[#This Row],[CrudeType]]="Crude",vp.tbl[[#This Row],[Dens]]&lt;=825,vp.tbl[[#This Row],[Sulf]]&lt;=0.5,vp.tbl[[#This Row],[Unknown]]=0),1,0)</f>
        <v>0</v>
      </c>
      <c r="AB925">
        <f>IF(AND(vp.tbl[[#This Row],[CrudeType]]="Crude",vp.tbl[[#This Row],[Dens]]&gt;825,vp.tbl[[#This Row],[Dens]]&lt;=870,vp.tbl[[#This Row],[Sulf]]&gt;0.5,vp.tbl[[#This Row],[Unknown]]=0),1,0)</f>
        <v>0</v>
      </c>
      <c r="AC925">
        <f>IF(AND(vp.tbl[[#This Row],[CrudeType]]="Crude",vp.tbl[[#This Row],[Dens]]&gt;825,vp.tbl[[#This Row],[Dens]]&lt;=900,vp.tbl[[#This Row],[Sulf]]&lt;=0.5,vp.tbl[[#This Row],[Unknown]]=0),1,0)</f>
        <v>0</v>
      </c>
      <c r="AD925">
        <f>IF(AND(vp.tbl[[#This Row],[CrudeType]]="Crude",vp.tbl[[#This Row],[Dens]]&gt;870,vp.tbl[[#This Row],[Dens]]&lt;=900,vp.tbl[[#This Row],[Sulf]]&gt;0.5,vp.tbl[[#This Row],[Unknown]]=0),1,0)</f>
        <v>1</v>
      </c>
      <c r="AE925">
        <f>IF(AND(vp.tbl[[#This Row],[CrudeType]]="Crude",vp.tbl[[#This Row],[Dens]]&gt;900,vp.tbl[[#This Row],[Sulf]]&lt;=0.5,vp.tbl[[#This Row],[Unknown]]=0),1,0)</f>
        <v>0</v>
      </c>
      <c r="AF925">
        <f>IF(AND(vp.tbl[[#This Row],[CrudeType]]="Crude",vp.tbl[[#This Row],[Dens]]&gt;900,vp.tbl[[#This Row],[Sulf]]&lt;=0.5,vp.tbl[[#This Row],[Unknown]]=0),1,0)</f>
        <v>0</v>
      </c>
      <c r="AG925" t="str">
        <f>INDEX(vp.tbl[[#Headers],[Unknown]:[Heavy_SW]],MATCH(1,vp.tbl[[#This Row],[Unknown]:[Heavy_SW]],0))</f>
        <v>Midale</v>
      </c>
      <c r="AH925" t="e">
        <f>INDEX([1]!crudeBD.lkup[Number],MATCH(vp.tbl[[#This Row],[Crude_Breakdown]],[1]!crudeBD.lkup[Crude Breakdown],0))</f>
        <v>#REF!</v>
      </c>
      <c r="AI925">
        <f>MONTH(vp.tbl[[#This Row],[SDate]])</f>
        <v>3</v>
      </c>
      <c r="AJ925" s="5">
        <f>IFERROR(vp.tbl[[#This Row],[Sulf]]*vp.tbl[[#This Row],[Net Dens]],"")</f>
        <v>14680661.057370001</v>
      </c>
      <c r="AK925" s="5">
        <f>IFERROR(vp.tbl[[#This Row],[Dens]]*vp.tbl[[#This Row],[VolumeM3]],"")</f>
        <v>6382896.1119000008</v>
      </c>
      <c r="AL925" s="5">
        <f>IFERROR(vp.tbl[[#This Row],[VP]]*vp.tbl[[#This Row],[VolumeM3]],"")</f>
        <v>523777.47660000005</v>
      </c>
      <c r="AM925" s="4">
        <f>IFERROR((vp.tbl[[#This Row],[VP]]-INDEX(crudeBD.lkup.complete[Mean_VP],MATCH(vp.tbl[[#This Row],[Crude_Breakdown]],crudeBD.lkup.complete[Crude Breakdown],0)))^2,"")</f>
        <v>9.995991743291377</v>
      </c>
      <c r="AN925" s="4">
        <f>IFERROR((vp.tbl[[#This Row],[Dens]]-INDEX(crudeBD.lkup.complete[Mean_Dens],MATCH(vp.tbl[[#This Row],[Crude_Breakdown]],crudeBD.lkup.complete[Crude Breakdown],0)))^2,"")</f>
        <v>55.533120660531836</v>
      </c>
      <c r="AO925" s="4">
        <f>IFERROR((vp.tbl[[#This Row],[Sulf]]-INDEX(crudeBD.lkup.complete[Mean_Sulf],MATCH(vp.tbl[[#This Row],[Crude_Breakdown]],crudeBD.lkup.complete[Crude Breakdown],0)))^2,"")</f>
        <v>1.3303347200018519E-2</v>
      </c>
      <c r="AP925">
        <f>IF(AND(vp.tbl[[#This Row],[SDate]]&gt;=DATE(YEAR(vp.tbl[[#This Row],[SDate]]),5,1),vp.tbl[[#This Row],[SDate]]&lt;=DATE(YEAR(vp.tbl[[#This Row],[SDate]]),9,15)),1,0)</f>
        <v>0</v>
      </c>
      <c r="AQ925" s="15">
        <f>IF(vp.tbl[[#This Row],[SDate]]&lt;DATE(2016,12,1),0,1)</f>
        <v>1</v>
      </c>
    </row>
    <row r="926" spans="1:43" x14ac:dyDescent="0.25">
      <c r="A926">
        <v>925</v>
      </c>
      <c r="B926" t="s">
        <v>64</v>
      </c>
      <c r="C926" t="s">
        <v>64</v>
      </c>
      <c r="D926" t="s">
        <v>173</v>
      </c>
      <c r="F926" s="1">
        <v>42795</v>
      </c>
      <c r="G926" s="2">
        <v>37</v>
      </c>
      <c r="H926" s="2"/>
      <c r="I926" s="2">
        <v>0.68</v>
      </c>
      <c r="J926" s="2">
        <v>33.6</v>
      </c>
      <c r="K926" s="2">
        <v>-15</v>
      </c>
      <c r="L926" s="2">
        <v>877.3</v>
      </c>
      <c r="M926" s="2">
        <v>877.3</v>
      </c>
      <c r="N926" s="2">
        <f ca="1">INDEX(INDIRECT(_xlfn.CONCAT("weather.tbl[",N$1,"]")),MATCH(vp.tbl[[#This Row],[SDate]],weather.tbl[Date],0))</f>
        <v>-12.733333333333334</v>
      </c>
      <c r="O926" s="2">
        <f ca="1">INDEX(INDIRECT(_xlfn.CONCAT("weather.tbl[",O$1,"]")),MATCH(vp.tbl[[#This Row],[SDate]],weather.tbl[Date],0))</f>
        <v>-10.938095238095238</v>
      </c>
      <c r="P926" s="2">
        <f ca="1">INDEX(INDIRECT(_xlfn.CONCAT("weather.tbl[",P$1,"]")),MATCH(vp.tbl[[#This Row],[SDate]],weather.tbl[Date],0))</f>
        <v>-12.5</v>
      </c>
      <c r="Q926" s="2">
        <f ca="1">INDEX(INDIRECT(_xlfn.CONCAT("weather.tbl[",Q$1,"]")),MATCH(vp.tbl[[#This Row],[SDate]],weather.tbl[Date],0))</f>
        <v>-11.6</v>
      </c>
      <c r="R926" s="2">
        <f ca="1">INDEX(INDIRECT(_xlfn.CONCAT("weather.tbl[",R$1,"]")),MATCH(vp.tbl[[#This Row],[SDate]],weather.tbl[Date],0))</f>
        <v>-14</v>
      </c>
      <c r="S926" s="2">
        <f ca="1">INDEX(INDIRECT(_xlfn.CONCAT("weather.tbl[",S$1,"]")),MATCH(vp.tbl[[#This Row],[SDate]],weather.tbl[Date],0))</f>
        <v>-10.9</v>
      </c>
      <c r="T926" s="2">
        <f ca="1">INDEX(INDIRECT(_xlfn.CONCAT("weather.tbl[",T$1,"]")),MATCH(vp.tbl[[#This Row],[SDate]],weather.tbl[Date],0))</f>
        <v>-13.9</v>
      </c>
      <c r="U926" s="2">
        <f ca="1">INDEX(INDIRECT(_xlfn.CONCAT("weather.tbl[",U$1,"]")),MATCH(vp.tbl[[#This Row],[SDate]],weather.tbl[Date],0))</f>
        <v>-13.5</v>
      </c>
      <c r="V926" s="2">
        <v>720.35</v>
      </c>
      <c r="W926" t="s">
        <v>48</v>
      </c>
      <c r="X926">
        <f>IF(OR(vp.tbl[[#This Row],[Sulf]]="",vp.tbl[[#This Row],[Dens]]=""),1,0)</f>
        <v>0</v>
      </c>
      <c r="Y926">
        <f>IF(vp.tbl[[#This Row],[CrudeType]]="C5+",1,0)</f>
        <v>0</v>
      </c>
      <c r="Z926">
        <f>IF(AND(vp.tbl[[#This Row],[CrudeType]]="Crude",vp.tbl[[#This Row],[Dens]]&lt;=825,vp.tbl[[#This Row],[Sulf]]&gt;0.5,vp.tbl[[#This Row],[Unknown]]=0),1,0)</f>
        <v>0</v>
      </c>
      <c r="AA926">
        <f>IF(AND(vp.tbl[[#This Row],[CrudeType]]="Crude",vp.tbl[[#This Row],[Dens]]&lt;=825,vp.tbl[[#This Row],[Sulf]]&lt;=0.5,vp.tbl[[#This Row],[Unknown]]=0),1,0)</f>
        <v>0</v>
      </c>
      <c r="AB926">
        <f>IF(AND(vp.tbl[[#This Row],[CrudeType]]="Crude",vp.tbl[[#This Row],[Dens]]&gt;825,vp.tbl[[#This Row],[Dens]]&lt;=870,vp.tbl[[#This Row],[Sulf]]&gt;0.5,vp.tbl[[#This Row],[Unknown]]=0),1,0)</f>
        <v>0</v>
      </c>
      <c r="AC926">
        <f>IF(AND(vp.tbl[[#This Row],[CrudeType]]="Crude",vp.tbl[[#This Row],[Dens]]&gt;825,vp.tbl[[#This Row],[Dens]]&lt;=900,vp.tbl[[#This Row],[Sulf]]&lt;=0.5,vp.tbl[[#This Row],[Unknown]]=0),1,0)</f>
        <v>0</v>
      </c>
      <c r="AD926">
        <f>IF(AND(vp.tbl[[#This Row],[CrudeType]]="Crude",vp.tbl[[#This Row],[Dens]]&gt;870,vp.tbl[[#This Row],[Dens]]&lt;=900,vp.tbl[[#This Row],[Sulf]]&gt;0.5,vp.tbl[[#This Row],[Unknown]]=0),1,0)</f>
        <v>1</v>
      </c>
      <c r="AE926">
        <f>IF(AND(vp.tbl[[#This Row],[CrudeType]]="Crude",vp.tbl[[#This Row],[Dens]]&gt;900,vp.tbl[[#This Row],[Sulf]]&lt;=0.5,vp.tbl[[#This Row],[Unknown]]=0),1,0)</f>
        <v>0</v>
      </c>
      <c r="AF926">
        <f>IF(AND(vp.tbl[[#This Row],[CrudeType]]="Crude",vp.tbl[[#This Row],[Dens]]&gt;900,vp.tbl[[#This Row],[Sulf]]&lt;=0.5,vp.tbl[[#This Row],[Unknown]]=0),1,0)</f>
        <v>0</v>
      </c>
      <c r="AG926" t="str">
        <f>INDEX(vp.tbl[[#Headers],[Unknown]:[Heavy_SW]],MATCH(1,vp.tbl[[#This Row],[Unknown]:[Heavy_SW]],0))</f>
        <v>Midale</v>
      </c>
      <c r="AH926" t="e">
        <f>INDEX([1]!crudeBD.lkup[Number],MATCH(vp.tbl[[#This Row],[Crude_Breakdown]],[1]!crudeBD.lkup[Crude Breakdown],0))</f>
        <v>#REF!</v>
      </c>
      <c r="AI926">
        <f>MONTH(vp.tbl[[#This Row],[SDate]])</f>
        <v>3</v>
      </c>
      <c r="AJ926" s="5">
        <f>IFERROR(vp.tbl[[#This Row],[Sulf]]*vp.tbl[[#This Row],[Net Dens]],"")</f>
        <v>429734.8774</v>
      </c>
      <c r="AK926" s="5">
        <f>IFERROR(vp.tbl[[#This Row],[Dens]]*vp.tbl[[#This Row],[VolumeM3]],"")</f>
        <v>631963.05499999993</v>
      </c>
      <c r="AL926" s="5">
        <f>IFERROR(vp.tbl[[#This Row],[VP]]*vp.tbl[[#This Row],[VolumeM3]],"")</f>
        <v>26652.95</v>
      </c>
      <c r="AM926" s="4">
        <f>IFERROR((vp.tbl[[#This Row],[VP]]-INDEX(crudeBD.lkup.complete[Mean_VP],MATCH(vp.tbl[[#This Row],[Crude_Breakdown]],crudeBD.lkup.complete[Crude Breakdown],0)))^2,"")</f>
        <v>975.83489585288123</v>
      </c>
      <c r="AN926" s="4">
        <f>IFERROR((vp.tbl[[#This Row],[Dens]]-INDEX(crudeBD.lkup.complete[Mean_Dens],MATCH(vp.tbl[[#This Row],[Crude_Breakdown]],crudeBD.lkup.complete[Crude Breakdown],0)))^2,"")</f>
        <v>6.3531619440665946E-2</v>
      </c>
      <c r="AO926" s="4">
        <f>IFERROR((vp.tbl[[#This Row],[Sulf]]-INDEX(crudeBD.lkup.complete[Mean_Sulf],MATCH(vp.tbl[[#This Row],[Crude_Breakdown]],crudeBD.lkup.complete[Crude Breakdown],0)))^2,"")</f>
        <v>3.0114053910356304</v>
      </c>
      <c r="AP926">
        <f>IF(AND(vp.tbl[[#This Row],[SDate]]&gt;=DATE(YEAR(vp.tbl[[#This Row],[SDate]]),5,1),vp.tbl[[#This Row],[SDate]]&lt;=DATE(YEAR(vp.tbl[[#This Row],[SDate]]),9,15)),1,0)</f>
        <v>0</v>
      </c>
      <c r="AQ926" s="15">
        <f>IF(vp.tbl[[#This Row],[SDate]]&lt;DATE(2016,12,1),0,1)</f>
        <v>1</v>
      </c>
    </row>
    <row r="927" spans="1:43" x14ac:dyDescent="0.25">
      <c r="A927">
        <v>926</v>
      </c>
      <c r="B927" t="s">
        <v>49</v>
      </c>
      <c r="C927" t="s">
        <v>49</v>
      </c>
      <c r="D927" t="s">
        <v>81</v>
      </c>
      <c r="F927" s="1">
        <v>42796</v>
      </c>
      <c r="G927" s="2">
        <v>86.5</v>
      </c>
      <c r="H927" s="2">
        <v>0.51500000000000001</v>
      </c>
      <c r="I927" s="2">
        <v>0.51500000000000001</v>
      </c>
      <c r="J927" s="2">
        <v>4.3</v>
      </c>
      <c r="K927" s="2">
        <v>-15</v>
      </c>
      <c r="L927" s="2">
        <v>814.9</v>
      </c>
      <c r="M927" s="2">
        <v>814.9</v>
      </c>
      <c r="N927" s="2">
        <f ca="1">INDEX(INDIRECT(_xlfn.CONCAT("weather.tbl[",N$1,"]")),MATCH(vp.tbl[[#This Row],[SDate]],weather.tbl[Date],0))</f>
        <v>-14.083333333333334</v>
      </c>
      <c r="O927" s="2">
        <f ca="1">INDEX(INDIRECT(_xlfn.CONCAT("weather.tbl[",O$1,"]")),MATCH(vp.tbl[[#This Row],[SDate]],weather.tbl[Date],0))</f>
        <v>-12.366666666666665</v>
      </c>
      <c r="P927" s="2">
        <f ca="1">INDEX(INDIRECT(_xlfn.CONCAT("weather.tbl[",P$1,"]")),MATCH(vp.tbl[[#This Row],[SDate]],weather.tbl[Date],0))</f>
        <v>-13.4</v>
      </c>
      <c r="Q927" s="2">
        <f ca="1">INDEX(INDIRECT(_xlfn.CONCAT("weather.tbl[",Q$1,"]")),MATCH(vp.tbl[[#This Row],[SDate]],weather.tbl[Date],0))</f>
        <v>-12.8</v>
      </c>
      <c r="R927" s="2">
        <f ca="1">INDEX(INDIRECT(_xlfn.CONCAT("weather.tbl[",R$1,"]")),MATCH(vp.tbl[[#This Row],[SDate]],weather.tbl[Date],0))</f>
        <v>-14</v>
      </c>
      <c r="S927" s="2">
        <f ca="1">INDEX(INDIRECT(_xlfn.CONCAT("weather.tbl[",S$1,"]")),MATCH(vp.tbl[[#This Row],[SDate]],weather.tbl[Date],0))</f>
        <v>-12.5</v>
      </c>
      <c r="T927" s="2">
        <f ca="1">INDEX(INDIRECT(_xlfn.CONCAT("weather.tbl[",T$1,"]")),MATCH(vp.tbl[[#This Row],[SDate]],weather.tbl[Date],0))</f>
        <v>-18</v>
      </c>
      <c r="U927" s="2">
        <f ca="1">INDEX(INDIRECT(_xlfn.CONCAT("weather.tbl[",U$1,"]")),MATCH(vp.tbl[[#This Row],[SDate]],weather.tbl[Date],0))</f>
        <v>-13.8</v>
      </c>
      <c r="V927" s="2">
        <v>20568.135999999999</v>
      </c>
      <c r="W927" t="s">
        <v>48</v>
      </c>
      <c r="X927">
        <f>IF(OR(vp.tbl[[#This Row],[Sulf]]="",vp.tbl[[#This Row],[Dens]]=""),1,0)</f>
        <v>0</v>
      </c>
      <c r="Y927">
        <f>IF(vp.tbl[[#This Row],[CrudeType]]="C5+",1,0)</f>
        <v>0</v>
      </c>
      <c r="Z927">
        <f>IF(AND(vp.tbl[[#This Row],[CrudeType]]="Crude",vp.tbl[[#This Row],[Dens]]&lt;=825,vp.tbl[[#This Row],[Sulf]]&gt;0.5,vp.tbl[[#This Row],[Unknown]]=0),1,0)</f>
        <v>1</v>
      </c>
      <c r="AA927">
        <f>IF(AND(vp.tbl[[#This Row],[CrudeType]]="Crude",vp.tbl[[#This Row],[Dens]]&lt;=825,vp.tbl[[#This Row],[Sulf]]&lt;=0.5,vp.tbl[[#This Row],[Unknown]]=0),1,0)</f>
        <v>0</v>
      </c>
      <c r="AB927">
        <f>IF(AND(vp.tbl[[#This Row],[CrudeType]]="Crude",vp.tbl[[#This Row],[Dens]]&gt;825,vp.tbl[[#This Row],[Dens]]&lt;=870,vp.tbl[[#This Row],[Sulf]]&gt;0.5,vp.tbl[[#This Row],[Unknown]]=0),1,0)</f>
        <v>0</v>
      </c>
      <c r="AC927">
        <f>IF(AND(vp.tbl[[#This Row],[CrudeType]]="Crude",vp.tbl[[#This Row],[Dens]]&gt;825,vp.tbl[[#This Row],[Dens]]&lt;=900,vp.tbl[[#This Row],[Sulf]]&lt;=0.5,vp.tbl[[#This Row],[Unknown]]=0),1,0)</f>
        <v>0</v>
      </c>
      <c r="AD927">
        <f>IF(AND(vp.tbl[[#This Row],[CrudeType]]="Crude",vp.tbl[[#This Row],[Dens]]&gt;870,vp.tbl[[#This Row],[Dens]]&lt;=900,vp.tbl[[#This Row],[Sulf]]&gt;0.5,vp.tbl[[#This Row],[Unknown]]=0),1,0)</f>
        <v>0</v>
      </c>
      <c r="AE927">
        <f>IF(AND(vp.tbl[[#This Row],[CrudeType]]="Crude",vp.tbl[[#This Row],[Dens]]&gt;900,vp.tbl[[#This Row],[Sulf]]&lt;=0.5,vp.tbl[[#This Row],[Unknown]]=0),1,0)</f>
        <v>0</v>
      </c>
      <c r="AF927">
        <f>IF(AND(vp.tbl[[#This Row],[CrudeType]]="Crude",vp.tbl[[#This Row],[Dens]]&gt;900,vp.tbl[[#This Row],[Sulf]]&lt;=0.5,vp.tbl[[#This Row],[Unknown]]=0),1,0)</f>
        <v>0</v>
      </c>
      <c r="AG927" t="str">
        <f>INDEX(vp.tbl[[#Headers],[Unknown]:[Heavy_SW]],MATCH(1,vp.tbl[[#This Row],[Unknown]:[Heavy_SW]],0))</f>
        <v>Light_LSB</v>
      </c>
      <c r="AH927" t="e">
        <f>INDEX([1]!crudeBD.lkup[Number],MATCH(vp.tbl[[#This Row],[Crude_Breakdown]],[1]!crudeBD.lkup[Crude Breakdown],0))</f>
        <v>#REF!</v>
      </c>
      <c r="AI927">
        <f>MONTH(vp.tbl[[#This Row],[SDate]])</f>
        <v>3</v>
      </c>
      <c r="AJ927" s="5">
        <f>IFERROR(vp.tbl[[#This Row],[Sulf]]*vp.tbl[[#This Row],[Net Dens]],"")</f>
        <v>8631901.6235959996</v>
      </c>
      <c r="AK927" s="5">
        <f>IFERROR(vp.tbl[[#This Row],[Dens]]*vp.tbl[[#This Row],[VolumeM3]],"")</f>
        <v>16760974.026399998</v>
      </c>
      <c r="AL927" s="5">
        <f>IFERROR(vp.tbl[[#This Row],[VP]]*vp.tbl[[#This Row],[VolumeM3]],"")</f>
        <v>1779143.764</v>
      </c>
      <c r="AM927" s="4">
        <f>IFERROR((vp.tbl[[#This Row],[VP]]-INDEX(crudeBD.lkup.complete[Mean_VP],MATCH(vp.tbl[[#This Row],[Crude_Breakdown]],crudeBD.lkup.complete[Crude Breakdown],0)))^2,"")</f>
        <v>25.46398877670347</v>
      </c>
      <c r="AN927" s="4">
        <f>IFERROR((vp.tbl[[#This Row],[Dens]]-INDEX(crudeBD.lkup.complete[Mean_Dens],MATCH(vp.tbl[[#This Row],[Crude_Breakdown]],crudeBD.lkup.complete[Crude Breakdown],0)))^2,"")</f>
        <v>13.081023492871147</v>
      </c>
      <c r="AO927" s="4">
        <f>IFERROR((vp.tbl[[#This Row],[Sulf]]-INDEX(crudeBD.lkup.complete[Mean_Sulf],MATCH(vp.tbl[[#This Row],[Crude_Breakdown]],crudeBD.lkup.complete[Crude Breakdown],0)))^2,"")</f>
        <v>0.16644047423332367</v>
      </c>
      <c r="AP927">
        <f>IF(AND(vp.tbl[[#This Row],[SDate]]&gt;=DATE(YEAR(vp.tbl[[#This Row],[SDate]]),5,1),vp.tbl[[#This Row],[SDate]]&lt;=DATE(YEAR(vp.tbl[[#This Row],[SDate]]),9,15)),1,0)</f>
        <v>0</v>
      </c>
      <c r="AQ927" s="15">
        <f>IF(vp.tbl[[#This Row],[SDate]]&lt;DATE(2016,12,1),0,1)</f>
        <v>1</v>
      </c>
    </row>
    <row r="928" spans="1:43" x14ac:dyDescent="0.25">
      <c r="A928">
        <v>927</v>
      </c>
      <c r="B928" t="s">
        <v>49</v>
      </c>
      <c r="C928" t="s">
        <v>49</v>
      </c>
      <c r="D928" t="s">
        <v>70</v>
      </c>
      <c r="F928" s="1">
        <v>42796</v>
      </c>
      <c r="G928" s="2">
        <v>90.1</v>
      </c>
      <c r="H928" s="2">
        <v>0.89900000000000002</v>
      </c>
      <c r="I928" s="2">
        <v>0.89900000000000002</v>
      </c>
      <c r="J928" s="2">
        <v>16.2</v>
      </c>
      <c r="K928" s="2">
        <v>-15</v>
      </c>
      <c r="L928" s="2">
        <v>825.3</v>
      </c>
      <c r="M928" s="2">
        <v>825.3</v>
      </c>
      <c r="N928" s="2">
        <f ca="1">INDEX(INDIRECT(_xlfn.CONCAT("weather.tbl[",N$1,"]")),MATCH(vp.tbl[[#This Row],[SDate]],weather.tbl[Date],0))</f>
        <v>-14.083333333333334</v>
      </c>
      <c r="O928" s="2">
        <f ca="1">INDEX(INDIRECT(_xlfn.CONCAT("weather.tbl[",O$1,"]")),MATCH(vp.tbl[[#This Row],[SDate]],weather.tbl[Date],0))</f>
        <v>-12.366666666666665</v>
      </c>
      <c r="P928" s="2">
        <f ca="1">INDEX(INDIRECT(_xlfn.CONCAT("weather.tbl[",P$1,"]")),MATCH(vp.tbl[[#This Row],[SDate]],weather.tbl[Date],0))</f>
        <v>-13.4</v>
      </c>
      <c r="Q928" s="2">
        <f ca="1">INDEX(INDIRECT(_xlfn.CONCAT("weather.tbl[",Q$1,"]")),MATCH(vp.tbl[[#This Row],[SDate]],weather.tbl[Date],0))</f>
        <v>-12.8</v>
      </c>
      <c r="R928" s="2">
        <f ca="1">INDEX(INDIRECT(_xlfn.CONCAT("weather.tbl[",R$1,"]")),MATCH(vp.tbl[[#This Row],[SDate]],weather.tbl[Date],0))</f>
        <v>-14</v>
      </c>
      <c r="S928" s="2">
        <f ca="1">INDEX(INDIRECT(_xlfn.CONCAT("weather.tbl[",S$1,"]")),MATCH(vp.tbl[[#This Row],[SDate]],weather.tbl[Date],0))</f>
        <v>-12.5</v>
      </c>
      <c r="T928" s="2">
        <f ca="1">INDEX(INDIRECT(_xlfn.CONCAT("weather.tbl[",T$1,"]")),MATCH(vp.tbl[[#This Row],[SDate]],weather.tbl[Date],0))</f>
        <v>-18</v>
      </c>
      <c r="U928" s="2">
        <f ca="1">INDEX(INDIRECT(_xlfn.CONCAT("weather.tbl[",U$1,"]")),MATCH(vp.tbl[[#This Row],[SDate]],weather.tbl[Date],0))</f>
        <v>-13.8</v>
      </c>
      <c r="V928" s="2">
        <v>2628.259</v>
      </c>
      <c r="W928" t="s">
        <v>48</v>
      </c>
      <c r="X928">
        <f>IF(OR(vp.tbl[[#This Row],[Sulf]]="",vp.tbl[[#This Row],[Dens]]=""),1,0)</f>
        <v>0</v>
      </c>
      <c r="Y928">
        <f>IF(vp.tbl[[#This Row],[CrudeType]]="C5+",1,0)</f>
        <v>0</v>
      </c>
      <c r="Z928">
        <f>IF(AND(vp.tbl[[#This Row],[CrudeType]]="Crude",vp.tbl[[#This Row],[Dens]]&lt;=825,vp.tbl[[#This Row],[Sulf]]&gt;0.5,vp.tbl[[#This Row],[Unknown]]=0),1,0)</f>
        <v>0</v>
      </c>
      <c r="AA928">
        <f>IF(AND(vp.tbl[[#This Row],[CrudeType]]="Crude",vp.tbl[[#This Row],[Dens]]&lt;=825,vp.tbl[[#This Row],[Sulf]]&lt;=0.5,vp.tbl[[#This Row],[Unknown]]=0),1,0)</f>
        <v>0</v>
      </c>
      <c r="AB928">
        <f>IF(AND(vp.tbl[[#This Row],[CrudeType]]="Crude",vp.tbl[[#This Row],[Dens]]&gt;825,vp.tbl[[#This Row],[Dens]]&lt;=870,vp.tbl[[#This Row],[Sulf]]&gt;0.5,vp.tbl[[#This Row],[Unknown]]=0),1,0)</f>
        <v>1</v>
      </c>
      <c r="AC928">
        <f>IF(AND(vp.tbl[[#This Row],[CrudeType]]="Crude",vp.tbl[[#This Row],[Dens]]&gt;825,vp.tbl[[#This Row],[Dens]]&lt;=900,vp.tbl[[#This Row],[Sulf]]&lt;=0.5,vp.tbl[[#This Row],[Unknown]]=0),1,0)</f>
        <v>0</v>
      </c>
      <c r="AD928">
        <f>IF(AND(vp.tbl[[#This Row],[CrudeType]]="Crude",vp.tbl[[#This Row],[Dens]]&gt;870,vp.tbl[[#This Row],[Dens]]&lt;=900,vp.tbl[[#This Row],[Sulf]]&gt;0.5,vp.tbl[[#This Row],[Unknown]]=0),1,0)</f>
        <v>0</v>
      </c>
      <c r="AE928">
        <f>IF(AND(vp.tbl[[#This Row],[CrudeType]]="Crude",vp.tbl[[#This Row],[Dens]]&gt;900,vp.tbl[[#This Row],[Sulf]]&lt;=0.5,vp.tbl[[#This Row],[Unknown]]=0),1,0)</f>
        <v>0</v>
      </c>
      <c r="AF928">
        <f>IF(AND(vp.tbl[[#This Row],[CrudeType]]="Crude",vp.tbl[[#This Row],[Dens]]&gt;900,vp.tbl[[#This Row],[Sulf]]&lt;=0.5,vp.tbl[[#This Row],[Unknown]]=0),1,0)</f>
        <v>0</v>
      </c>
      <c r="AG928" t="str">
        <f>INDEX(vp.tbl[[#Headers],[Unknown]:[Heavy_SW]],MATCH(1,vp.tbl[[#This Row],[Unknown]:[Heavy_SW]],0))</f>
        <v>Medium_LSB</v>
      </c>
      <c r="AH928" t="e">
        <f>INDEX([1]!crudeBD.lkup[Number],MATCH(vp.tbl[[#This Row],[Crude_Breakdown]],[1]!crudeBD.lkup[Crude Breakdown],0))</f>
        <v>#REF!</v>
      </c>
      <c r="AI928">
        <f>MONTH(vp.tbl[[#This Row],[SDate]])</f>
        <v>3</v>
      </c>
      <c r="AJ928" s="5">
        <f>IFERROR(vp.tbl[[#This Row],[Sulf]]*vp.tbl[[#This Row],[Net Dens]],"")</f>
        <v>1950022.8352773001</v>
      </c>
      <c r="AK928" s="5">
        <f>IFERROR(vp.tbl[[#This Row],[Dens]]*vp.tbl[[#This Row],[VolumeM3]],"")</f>
        <v>2169102.1527</v>
      </c>
      <c r="AL928" s="5">
        <f>IFERROR(vp.tbl[[#This Row],[VP]]*vp.tbl[[#This Row],[VolumeM3]],"")</f>
        <v>236806.13589999999</v>
      </c>
      <c r="AM928" s="4">
        <f>IFERROR((vp.tbl[[#This Row],[VP]]-INDEX(crudeBD.lkup.complete[Mean_VP],MATCH(vp.tbl[[#This Row],[Crude_Breakdown]],crudeBD.lkup.complete[Crude Breakdown],0)))^2,"")</f>
        <v>98.533517480532581</v>
      </c>
      <c r="AN928" s="4">
        <f>IFERROR((vp.tbl[[#This Row],[Dens]]-INDEX(crudeBD.lkup.complete[Mean_Dens],MATCH(vp.tbl[[#This Row],[Crude_Breakdown]],crudeBD.lkup.complete[Crude Breakdown],0)))^2,"")</f>
        <v>399.67297825921577</v>
      </c>
      <c r="AO928" s="4">
        <f>IFERROR((vp.tbl[[#This Row],[Sulf]]-INDEX(crudeBD.lkup.complete[Mean_Sulf],MATCH(vp.tbl[[#This Row],[Crude_Breakdown]],crudeBD.lkup.complete[Crude Breakdown],0)))^2,"")</f>
        <v>0.30905801008407163</v>
      </c>
      <c r="AP928">
        <f>IF(AND(vp.tbl[[#This Row],[SDate]]&gt;=DATE(YEAR(vp.tbl[[#This Row],[SDate]]),5,1),vp.tbl[[#This Row],[SDate]]&lt;=DATE(YEAR(vp.tbl[[#This Row],[SDate]]),9,15)),1,0)</f>
        <v>0</v>
      </c>
      <c r="AQ928" s="15">
        <f>IF(vp.tbl[[#This Row],[SDate]]&lt;DATE(2016,12,1),0,1)</f>
        <v>1</v>
      </c>
    </row>
    <row r="929" spans="1:43" x14ac:dyDescent="0.25">
      <c r="A929">
        <v>928</v>
      </c>
      <c r="B929" t="s">
        <v>49</v>
      </c>
      <c r="C929" t="s">
        <v>49</v>
      </c>
      <c r="D929" t="s">
        <v>59</v>
      </c>
      <c r="F929" s="1">
        <v>42796</v>
      </c>
      <c r="G929" s="2">
        <v>88.7</v>
      </c>
      <c r="H929" s="2">
        <v>1.4530000000000001</v>
      </c>
      <c r="I929" s="2">
        <v>1.4530000000000001</v>
      </c>
      <c r="J929" s="2">
        <v>25.7</v>
      </c>
      <c r="K929" s="2">
        <v>-15</v>
      </c>
      <c r="L929" s="2">
        <v>846.4</v>
      </c>
      <c r="M929" s="2">
        <v>846.4</v>
      </c>
      <c r="N929" s="2">
        <f ca="1">INDEX(INDIRECT(_xlfn.CONCAT("weather.tbl[",N$1,"]")),MATCH(vp.tbl[[#This Row],[SDate]],weather.tbl[Date],0))</f>
        <v>-14.083333333333334</v>
      </c>
      <c r="O929" s="2">
        <f ca="1">INDEX(INDIRECT(_xlfn.CONCAT("weather.tbl[",O$1,"]")),MATCH(vp.tbl[[#This Row],[SDate]],weather.tbl[Date],0))</f>
        <v>-12.366666666666665</v>
      </c>
      <c r="P929" s="2">
        <f ca="1">INDEX(INDIRECT(_xlfn.CONCAT("weather.tbl[",P$1,"]")),MATCH(vp.tbl[[#This Row],[SDate]],weather.tbl[Date],0))</f>
        <v>-13.4</v>
      </c>
      <c r="Q929" s="2">
        <f ca="1">INDEX(INDIRECT(_xlfn.CONCAT("weather.tbl[",Q$1,"]")),MATCH(vp.tbl[[#This Row],[SDate]],weather.tbl[Date],0))</f>
        <v>-12.8</v>
      </c>
      <c r="R929" s="2">
        <f ca="1">INDEX(INDIRECT(_xlfn.CONCAT("weather.tbl[",R$1,"]")),MATCH(vp.tbl[[#This Row],[SDate]],weather.tbl[Date],0))</f>
        <v>-14</v>
      </c>
      <c r="S929" s="2">
        <f ca="1">INDEX(INDIRECT(_xlfn.CONCAT("weather.tbl[",S$1,"]")),MATCH(vp.tbl[[#This Row],[SDate]],weather.tbl[Date],0))</f>
        <v>-12.5</v>
      </c>
      <c r="T929" s="2">
        <f ca="1">INDEX(INDIRECT(_xlfn.CONCAT("weather.tbl[",T$1,"]")),MATCH(vp.tbl[[#This Row],[SDate]],weather.tbl[Date],0))</f>
        <v>-18</v>
      </c>
      <c r="U929" s="2">
        <f ca="1">INDEX(INDIRECT(_xlfn.CONCAT("weather.tbl[",U$1,"]")),MATCH(vp.tbl[[#This Row],[SDate]],weather.tbl[Date],0))</f>
        <v>-13.8</v>
      </c>
      <c r="V929" s="2">
        <v>1407.9559999999999</v>
      </c>
      <c r="W929" t="s">
        <v>48</v>
      </c>
      <c r="X929">
        <f>IF(OR(vp.tbl[[#This Row],[Sulf]]="",vp.tbl[[#This Row],[Dens]]=""),1,0)</f>
        <v>0</v>
      </c>
      <c r="Y929">
        <f>IF(vp.tbl[[#This Row],[CrudeType]]="C5+",1,0)</f>
        <v>0</v>
      </c>
      <c r="Z929">
        <f>IF(AND(vp.tbl[[#This Row],[CrudeType]]="Crude",vp.tbl[[#This Row],[Dens]]&lt;=825,vp.tbl[[#This Row],[Sulf]]&gt;0.5,vp.tbl[[#This Row],[Unknown]]=0),1,0)</f>
        <v>0</v>
      </c>
      <c r="AA929">
        <f>IF(AND(vp.tbl[[#This Row],[CrudeType]]="Crude",vp.tbl[[#This Row],[Dens]]&lt;=825,vp.tbl[[#This Row],[Sulf]]&lt;=0.5,vp.tbl[[#This Row],[Unknown]]=0),1,0)</f>
        <v>0</v>
      </c>
      <c r="AB929">
        <f>IF(AND(vp.tbl[[#This Row],[CrudeType]]="Crude",vp.tbl[[#This Row],[Dens]]&gt;825,vp.tbl[[#This Row],[Dens]]&lt;=870,vp.tbl[[#This Row],[Sulf]]&gt;0.5,vp.tbl[[#This Row],[Unknown]]=0),1,0)</f>
        <v>1</v>
      </c>
      <c r="AC929">
        <f>IF(AND(vp.tbl[[#This Row],[CrudeType]]="Crude",vp.tbl[[#This Row],[Dens]]&gt;825,vp.tbl[[#This Row],[Dens]]&lt;=900,vp.tbl[[#This Row],[Sulf]]&lt;=0.5,vp.tbl[[#This Row],[Unknown]]=0),1,0)</f>
        <v>0</v>
      </c>
      <c r="AD929">
        <f>IF(AND(vp.tbl[[#This Row],[CrudeType]]="Crude",vp.tbl[[#This Row],[Dens]]&gt;870,vp.tbl[[#This Row],[Dens]]&lt;=900,vp.tbl[[#This Row],[Sulf]]&gt;0.5,vp.tbl[[#This Row],[Unknown]]=0),1,0)</f>
        <v>0</v>
      </c>
      <c r="AE929">
        <f>IF(AND(vp.tbl[[#This Row],[CrudeType]]="Crude",vp.tbl[[#This Row],[Dens]]&gt;900,vp.tbl[[#This Row],[Sulf]]&lt;=0.5,vp.tbl[[#This Row],[Unknown]]=0),1,0)</f>
        <v>0</v>
      </c>
      <c r="AF929">
        <f>IF(AND(vp.tbl[[#This Row],[CrudeType]]="Crude",vp.tbl[[#This Row],[Dens]]&gt;900,vp.tbl[[#This Row],[Sulf]]&lt;=0.5,vp.tbl[[#This Row],[Unknown]]=0),1,0)</f>
        <v>0</v>
      </c>
      <c r="AG929" t="str">
        <f>INDEX(vp.tbl[[#Headers],[Unknown]:[Heavy_SW]],MATCH(1,vp.tbl[[#This Row],[Unknown]:[Heavy_SW]],0))</f>
        <v>Medium_LSB</v>
      </c>
      <c r="AH929" t="e">
        <f>INDEX([1]!crudeBD.lkup[Number],MATCH(vp.tbl[[#This Row],[Crude_Breakdown]],[1]!crudeBD.lkup[Crude Breakdown],0))</f>
        <v>#REF!</v>
      </c>
      <c r="AI929">
        <f>MONTH(vp.tbl[[#This Row],[SDate]])</f>
        <v>3</v>
      </c>
      <c r="AJ929" s="5">
        <f>IFERROR(vp.tbl[[#This Row],[Sulf]]*vp.tbl[[#This Row],[Net Dens]],"")</f>
        <v>1731531.3215552</v>
      </c>
      <c r="AK929" s="5">
        <f>IFERROR(vp.tbl[[#This Row],[Dens]]*vp.tbl[[#This Row],[VolumeM3]],"")</f>
        <v>1191693.9583999999</v>
      </c>
      <c r="AL929" s="5">
        <f>IFERROR(vp.tbl[[#This Row],[VP]]*vp.tbl[[#This Row],[VolumeM3]],"")</f>
        <v>124885.6972</v>
      </c>
      <c r="AM929" s="4">
        <f>IFERROR((vp.tbl[[#This Row],[VP]]-INDEX(crudeBD.lkup.complete[Mean_VP],MATCH(vp.tbl[[#This Row],[Crude_Breakdown]],crudeBD.lkup.complete[Crude Breakdown],0)))^2,"")</f>
        <v>72.699583303317453</v>
      </c>
      <c r="AN929" s="4">
        <f>IFERROR((vp.tbl[[#This Row],[Dens]]-INDEX(crudeBD.lkup.complete[Mean_Dens],MATCH(vp.tbl[[#This Row],[Crude_Breakdown]],crudeBD.lkup.complete[Crude Breakdown],0)))^2,"")</f>
        <v>1.2280567402681151</v>
      </c>
      <c r="AO929" s="4">
        <f>IFERROR((vp.tbl[[#This Row],[Sulf]]-INDEX(crudeBD.lkup.complete[Mean_Sulf],MATCH(vp.tbl[[#This Row],[Crude_Breakdown]],crudeBD.lkup.complete[Crude Breakdown],0)))^2,"")</f>
        <v>3.7243625510389403E-6</v>
      </c>
      <c r="AP929">
        <f>IF(AND(vp.tbl[[#This Row],[SDate]]&gt;=DATE(YEAR(vp.tbl[[#This Row],[SDate]]),5,1),vp.tbl[[#This Row],[SDate]]&lt;=DATE(YEAR(vp.tbl[[#This Row],[SDate]]),9,15)),1,0)</f>
        <v>0</v>
      </c>
      <c r="AQ929" s="15">
        <f>IF(vp.tbl[[#This Row],[SDate]]&lt;DATE(2016,12,1),0,1)</f>
        <v>1</v>
      </c>
    </row>
    <row r="930" spans="1:43" x14ac:dyDescent="0.25">
      <c r="A930">
        <v>929</v>
      </c>
      <c r="B930" t="s">
        <v>96</v>
      </c>
      <c r="C930" t="s">
        <v>96</v>
      </c>
      <c r="D930" t="s">
        <v>97</v>
      </c>
      <c r="F930" s="1">
        <v>42796</v>
      </c>
      <c r="G930" s="2">
        <v>79.599999999999994</v>
      </c>
      <c r="H930" s="2"/>
      <c r="I930" s="2">
        <v>0.53</v>
      </c>
      <c r="J930" s="2">
        <v>29.3</v>
      </c>
      <c r="K930" s="2">
        <v>-15</v>
      </c>
      <c r="L930" s="2">
        <v>819.9</v>
      </c>
      <c r="M930" s="2">
        <v>819.9</v>
      </c>
      <c r="N930" s="2">
        <f ca="1">INDEX(INDIRECT(_xlfn.CONCAT("weather.tbl[",N$1,"]")),MATCH(vp.tbl[[#This Row],[SDate]],weather.tbl[Date],0))</f>
        <v>-14.083333333333334</v>
      </c>
      <c r="O930" s="2">
        <f ca="1">INDEX(INDIRECT(_xlfn.CONCAT("weather.tbl[",O$1,"]")),MATCH(vp.tbl[[#This Row],[SDate]],weather.tbl[Date],0))</f>
        <v>-12.366666666666665</v>
      </c>
      <c r="P930" s="2">
        <f ca="1">INDEX(INDIRECT(_xlfn.CONCAT("weather.tbl[",P$1,"]")),MATCH(vp.tbl[[#This Row],[SDate]],weather.tbl[Date],0))</f>
        <v>-13.4</v>
      </c>
      <c r="Q930" s="2">
        <f ca="1">INDEX(INDIRECT(_xlfn.CONCAT("weather.tbl[",Q$1,"]")),MATCH(vp.tbl[[#This Row],[SDate]],weather.tbl[Date],0))</f>
        <v>-12.8</v>
      </c>
      <c r="R930" s="2">
        <f ca="1">INDEX(INDIRECT(_xlfn.CONCAT("weather.tbl[",R$1,"]")),MATCH(vp.tbl[[#This Row],[SDate]],weather.tbl[Date],0))</f>
        <v>-14</v>
      </c>
      <c r="S930" s="2">
        <f ca="1">INDEX(INDIRECT(_xlfn.CONCAT("weather.tbl[",S$1,"]")),MATCH(vp.tbl[[#This Row],[SDate]],weather.tbl[Date],0))</f>
        <v>-12.5</v>
      </c>
      <c r="T930" s="2">
        <f ca="1">INDEX(INDIRECT(_xlfn.CONCAT("weather.tbl[",T$1,"]")),MATCH(vp.tbl[[#This Row],[SDate]],weather.tbl[Date],0))</f>
        <v>-18</v>
      </c>
      <c r="U930" s="2">
        <f ca="1">INDEX(INDIRECT(_xlfn.CONCAT("weather.tbl[",U$1,"]")),MATCH(vp.tbl[[#This Row],[SDate]],weather.tbl[Date],0))</f>
        <v>-13.8</v>
      </c>
      <c r="V930" s="2">
        <v>6750.8019999999997</v>
      </c>
      <c r="W930" t="s">
        <v>48</v>
      </c>
      <c r="X930">
        <f>IF(OR(vp.tbl[[#This Row],[Sulf]]="",vp.tbl[[#This Row],[Dens]]=""),1,0)</f>
        <v>0</v>
      </c>
      <c r="Y930">
        <f>IF(vp.tbl[[#This Row],[CrudeType]]="C5+",1,0)</f>
        <v>0</v>
      </c>
      <c r="Z930">
        <f>IF(AND(vp.tbl[[#This Row],[CrudeType]]="Crude",vp.tbl[[#This Row],[Dens]]&lt;=825,vp.tbl[[#This Row],[Sulf]]&gt;0.5,vp.tbl[[#This Row],[Unknown]]=0),1,0)</f>
        <v>1</v>
      </c>
      <c r="AA930">
        <f>IF(AND(vp.tbl[[#This Row],[CrudeType]]="Crude",vp.tbl[[#This Row],[Dens]]&lt;=825,vp.tbl[[#This Row],[Sulf]]&lt;=0.5,vp.tbl[[#This Row],[Unknown]]=0),1,0)</f>
        <v>0</v>
      </c>
      <c r="AB930">
        <f>IF(AND(vp.tbl[[#This Row],[CrudeType]]="Crude",vp.tbl[[#This Row],[Dens]]&gt;825,vp.tbl[[#This Row],[Dens]]&lt;=870,vp.tbl[[#This Row],[Sulf]]&gt;0.5,vp.tbl[[#This Row],[Unknown]]=0),1,0)</f>
        <v>0</v>
      </c>
      <c r="AC930">
        <f>IF(AND(vp.tbl[[#This Row],[CrudeType]]="Crude",vp.tbl[[#This Row],[Dens]]&gt;825,vp.tbl[[#This Row],[Dens]]&lt;=900,vp.tbl[[#This Row],[Sulf]]&lt;=0.5,vp.tbl[[#This Row],[Unknown]]=0),1,0)</f>
        <v>0</v>
      </c>
      <c r="AD930">
        <f>IF(AND(vp.tbl[[#This Row],[CrudeType]]="Crude",vp.tbl[[#This Row],[Dens]]&gt;870,vp.tbl[[#This Row],[Dens]]&lt;=900,vp.tbl[[#This Row],[Sulf]]&gt;0.5,vp.tbl[[#This Row],[Unknown]]=0),1,0)</f>
        <v>0</v>
      </c>
      <c r="AE930">
        <f>IF(AND(vp.tbl[[#This Row],[CrudeType]]="Crude",vp.tbl[[#This Row],[Dens]]&gt;900,vp.tbl[[#This Row],[Sulf]]&lt;=0.5,vp.tbl[[#This Row],[Unknown]]=0),1,0)</f>
        <v>0</v>
      </c>
      <c r="AF930">
        <f>IF(AND(vp.tbl[[#This Row],[CrudeType]]="Crude",vp.tbl[[#This Row],[Dens]]&gt;900,vp.tbl[[#This Row],[Sulf]]&lt;=0.5,vp.tbl[[#This Row],[Unknown]]=0),1,0)</f>
        <v>0</v>
      </c>
      <c r="AG930" t="str">
        <f>INDEX(vp.tbl[[#Headers],[Unknown]:[Heavy_SW]],MATCH(1,vp.tbl[[#This Row],[Unknown]:[Heavy_SW]],0))</f>
        <v>Light_LSB</v>
      </c>
      <c r="AH930" t="e">
        <f>INDEX([1]!crudeBD.lkup[Number],MATCH(vp.tbl[[#This Row],[Crude_Breakdown]],[1]!crudeBD.lkup[Crude Breakdown],0))</f>
        <v>#REF!</v>
      </c>
      <c r="AI930">
        <f>MONTH(vp.tbl[[#This Row],[SDate]])</f>
        <v>3</v>
      </c>
      <c r="AJ930" s="5">
        <f>IFERROR(vp.tbl[[#This Row],[Sulf]]*vp.tbl[[#This Row],[Net Dens]],"")</f>
        <v>2933540.7566940002</v>
      </c>
      <c r="AK930" s="5">
        <f>IFERROR(vp.tbl[[#This Row],[Dens]]*vp.tbl[[#This Row],[VolumeM3]],"")</f>
        <v>5534982.5597999999</v>
      </c>
      <c r="AL930" s="5">
        <f>IFERROR(vp.tbl[[#This Row],[VP]]*vp.tbl[[#This Row],[VolumeM3]],"")</f>
        <v>537363.83919999993</v>
      </c>
      <c r="AM930" s="4">
        <f>IFERROR((vp.tbl[[#This Row],[VP]]-INDEX(crudeBD.lkup.complete[Mean_VP],MATCH(vp.tbl[[#This Row],[Crude_Breakdown]],crudeBD.lkup.complete[Crude Breakdown],0)))^2,"")</f>
        <v>142.7113496014463</v>
      </c>
      <c r="AN930" s="4">
        <f>IFERROR((vp.tbl[[#This Row],[Dens]]-INDEX(crudeBD.lkup.complete[Mean_Dens],MATCH(vp.tbl[[#This Row],[Crude_Breakdown]],crudeBD.lkup.complete[Crude Breakdown],0)))^2,"")</f>
        <v>1.9133258983723416</v>
      </c>
      <c r="AO930" s="4">
        <f>IFERROR((vp.tbl[[#This Row],[Sulf]]-INDEX(crudeBD.lkup.complete[Mean_Sulf],MATCH(vp.tbl[[#This Row],[Crude_Breakdown]],crudeBD.lkup.complete[Crude Breakdown],0)))^2,"")</f>
        <v>0.15442633918177728</v>
      </c>
      <c r="AP930">
        <f>IF(AND(vp.tbl[[#This Row],[SDate]]&gt;=DATE(YEAR(vp.tbl[[#This Row],[SDate]]),5,1),vp.tbl[[#This Row],[SDate]]&lt;=DATE(YEAR(vp.tbl[[#This Row],[SDate]]),9,15)),1,0)</f>
        <v>0</v>
      </c>
      <c r="AQ930" s="15">
        <f>IF(vp.tbl[[#This Row],[SDate]]&lt;DATE(2016,12,1),0,1)</f>
        <v>1</v>
      </c>
    </row>
    <row r="931" spans="1:43" x14ac:dyDescent="0.25">
      <c r="A931">
        <v>930</v>
      </c>
      <c r="B931" t="s">
        <v>51</v>
      </c>
      <c r="C931" t="s">
        <v>51</v>
      </c>
      <c r="D931" t="s">
        <v>66</v>
      </c>
      <c r="F931" s="1">
        <v>42796</v>
      </c>
      <c r="G931" s="2">
        <v>94.3</v>
      </c>
      <c r="H931" s="2"/>
      <c r="I931" s="2">
        <v>1.36</v>
      </c>
      <c r="J931" s="2">
        <v>-3</v>
      </c>
      <c r="K931" s="2">
        <v>-15</v>
      </c>
      <c r="L931" s="2">
        <v>826.3</v>
      </c>
      <c r="M931" s="2">
        <v>826.3</v>
      </c>
      <c r="N931" s="2">
        <f ca="1">INDEX(INDIRECT(_xlfn.CONCAT("weather.tbl[",N$1,"]")),MATCH(vp.tbl[[#This Row],[SDate]],weather.tbl[Date],0))</f>
        <v>-14.083333333333334</v>
      </c>
      <c r="O931" s="2">
        <f ca="1">INDEX(INDIRECT(_xlfn.CONCAT("weather.tbl[",O$1,"]")),MATCH(vp.tbl[[#This Row],[SDate]],weather.tbl[Date],0))</f>
        <v>-12.366666666666665</v>
      </c>
      <c r="P931" s="2">
        <f ca="1">INDEX(INDIRECT(_xlfn.CONCAT("weather.tbl[",P$1,"]")),MATCH(vp.tbl[[#This Row],[SDate]],weather.tbl[Date],0))</f>
        <v>-13.4</v>
      </c>
      <c r="Q931" s="2">
        <f ca="1">INDEX(INDIRECT(_xlfn.CONCAT("weather.tbl[",Q$1,"]")),MATCH(vp.tbl[[#This Row],[SDate]],weather.tbl[Date],0))</f>
        <v>-12.8</v>
      </c>
      <c r="R931" s="2">
        <f ca="1">INDEX(INDIRECT(_xlfn.CONCAT("weather.tbl[",R$1,"]")),MATCH(vp.tbl[[#This Row],[SDate]],weather.tbl[Date],0))</f>
        <v>-14</v>
      </c>
      <c r="S931" s="2">
        <f ca="1">INDEX(INDIRECT(_xlfn.CONCAT("weather.tbl[",S$1,"]")),MATCH(vp.tbl[[#This Row],[SDate]],weather.tbl[Date],0))</f>
        <v>-12.5</v>
      </c>
      <c r="T931" s="2">
        <f ca="1">INDEX(INDIRECT(_xlfn.CONCAT("weather.tbl[",T$1,"]")),MATCH(vp.tbl[[#This Row],[SDate]],weather.tbl[Date],0))</f>
        <v>-18</v>
      </c>
      <c r="U931" s="2">
        <f ca="1">INDEX(INDIRECT(_xlfn.CONCAT("weather.tbl[",U$1,"]")),MATCH(vp.tbl[[#This Row],[SDate]],weather.tbl[Date],0))</f>
        <v>-13.8</v>
      </c>
      <c r="V931" s="2">
        <v>3482.7910000000002</v>
      </c>
      <c r="W931" t="s">
        <v>48</v>
      </c>
      <c r="X931">
        <f>IF(OR(vp.tbl[[#This Row],[Sulf]]="",vp.tbl[[#This Row],[Dens]]=""),1,0)</f>
        <v>0</v>
      </c>
      <c r="Y931">
        <f>IF(vp.tbl[[#This Row],[CrudeType]]="C5+",1,0)</f>
        <v>0</v>
      </c>
      <c r="Z931">
        <f>IF(AND(vp.tbl[[#This Row],[CrudeType]]="Crude",vp.tbl[[#This Row],[Dens]]&lt;=825,vp.tbl[[#This Row],[Sulf]]&gt;0.5,vp.tbl[[#This Row],[Unknown]]=0),1,0)</f>
        <v>0</v>
      </c>
      <c r="AA931">
        <f>IF(AND(vp.tbl[[#This Row],[CrudeType]]="Crude",vp.tbl[[#This Row],[Dens]]&lt;=825,vp.tbl[[#This Row],[Sulf]]&lt;=0.5,vp.tbl[[#This Row],[Unknown]]=0),1,0)</f>
        <v>0</v>
      </c>
      <c r="AB931">
        <f>IF(AND(vp.tbl[[#This Row],[CrudeType]]="Crude",vp.tbl[[#This Row],[Dens]]&gt;825,vp.tbl[[#This Row],[Dens]]&lt;=870,vp.tbl[[#This Row],[Sulf]]&gt;0.5,vp.tbl[[#This Row],[Unknown]]=0),1,0)</f>
        <v>1</v>
      </c>
      <c r="AC931">
        <f>IF(AND(vp.tbl[[#This Row],[CrudeType]]="Crude",vp.tbl[[#This Row],[Dens]]&gt;825,vp.tbl[[#This Row],[Dens]]&lt;=900,vp.tbl[[#This Row],[Sulf]]&lt;=0.5,vp.tbl[[#This Row],[Unknown]]=0),1,0)</f>
        <v>0</v>
      </c>
      <c r="AD931">
        <f>IF(AND(vp.tbl[[#This Row],[CrudeType]]="Crude",vp.tbl[[#This Row],[Dens]]&gt;870,vp.tbl[[#This Row],[Dens]]&lt;=900,vp.tbl[[#This Row],[Sulf]]&gt;0.5,vp.tbl[[#This Row],[Unknown]]=0),1,0)</f>
        <v>0</v>
      </c>
      <c r="AE931">
        <f>IF(AND(vp.tbl[[#This Row],[CrudeType]]="Crude",vp.tbl[[#This Row],[Dens]]&gt;900,vp.tbl[[#This Row],[Sulf]]&lt;=0.5,vp.tbl[[#This Row],[Unknown]]=0),1,0)</f>
        <v>0</v>
      </c>
      <c r="AF931">
        <f>IF(AND(vp.tbl[[#This Row],[CrudeType]]="Crude",vp.tbl[[#This Row],[Dens]]&gt;900,vp.tbl[[#This Row],[Sulf]]&lt;=0.5,vp.tbl[[#This Row],[Unknown]]=0),1,0)</f>
        <v>0</v>
      </c>
      <c r="AG931" t="str">
        <f>INDEX(vp.tbl[[#Headers],[Unknown]:[Heavy_SW]],MATCH(1,vp.tbl[[#This Row],[Unknown]:[Heavy_SW]],0))</f>
        <v>Medium_LSB</v>
      </c>
      <c r="AH931" t="e">
        <f>INDEX([1]!crudeBD.lkup[Number],MATCH(vp.tbl[[#This Row],[Crude_Breakdown]],[1]!crudeBD.lkup[Crude Breakdown],0))</f>
        <v>#REF!</v>
      </c>
      <c r="AI931">
        <f>MONTH(vp.tbl[[#This Row],[SDate]])</f>
        <v>3</v>
      </c>
      <c r="AJ931" s="5">
        <f>IFERROR(vp.tbl[[#This Row],[Sulf]]*vp.tbl[[#This Row],[Net Dens]],"")</f>
        <v>3913849.0764880003</v>
      </c>
      <c r="AK931" s="5">
        <f>IFERROR(vp.tbl[[#This Row],[Dens]]*vp.tbl[[#This Row],[VolumeM3]],"")</f>
        <v>2877830.2033000002</v>
      </c>
      <c r="AL931" s="5">
        <f>IFERROR(vp.tbl[[#This Row],[VP]]*vp.tbl[[#This Row],[VolumeM3]],"")</f>
        <v>328427.19130000001</v>
      </c>
      <c r="AM931" s="4">
        <f>IFERROR((vp.tbl[[#This Row],[VP]]-INDEX(crudeBD.lkup.complete[Mean_VP],MATCH(vp.tbl[[#This Row],[Crude_Breakdown]],crudeBD.lkup.complete[Crude Breakdown],0)))^2,"")</f>
        <v>199.5553200121785</v>
      </c>
      <c r="AN931" s="4">
        <f>IFERROR((vp.tbl[[#This Row],[Dens]]-INDEX(crudeBD.lkup.complete[Mean_Dens],MATCH(vp.tbl[[#This Row],[Crude_Breakdown]],crudeBD.lkup.complete[Crude Breakdown],0)))^2,"")</f>
        <v>360.68933268959739</v>
      </c>
      <c r="AO931" s="4">
        <f>IFERROR((vp.tbl[[#This Row],[Sulf]]-INDEX(crudeBD.lkup.complete[Mean_Sulf],MATCH(vp.tbl[[#This Row],[Crude_Breakdown]],crudeBD.lkup.complete[Crude Breakdown],0)))^2,"")</f>
        <v>9.0116784638171188E-3</v>
      </c>
      <c r="AP931">
        <f>IF(AND(vp.tbl[[#This Row],[SDate]]&gt;=DATE(YEAR(vp.tbl[[#This Row],[SDate]]),5,1),vp.tbl[[#This Row],[SDate]]&lt;=DATE(YEAR(vp.tbl[[#This Row],[SDate]]),9,15)),1,0)</f>
        <v>0</v>
      </c>
      <c r="AQ931" s="15">
        <f>IF(vp.tbl[[#This Row],[SDate]]&lt;DATE(2016,12,1),0,1)</f>
        <v>1</v>
      </c>
    </row>
    <row r="932" spans="1:43" x14ac:dyDescent="0.25">
      <c r="A932">
        <v>931</v>
      </c>
      <c r="B932" t="s">
        <v>108</v>
      </c>
      <c r="C932" t="s">
        <v>108</v>
      </c>
      <c r="D932" t="s">
        <v>109</v>
      </c>
      <c r="F932" s="1">
        <v>42796</v>
      </c>
      <c r="G932" s="2">
        <v>88.9</v>
      </c>
      <c r="H932" s="2"/>
      <c r="I932" s="2">
        <v>0.79</v>
      </c>
      <c r="J932" s="2">
        <v>25.4</v>
      </c>
      <c r="K932" s="2">
        <v>-15</v>
      </c>
      <c r="L932" s="2">
        <v>834.2</v>
      </c>
      <c r="M932" s="2">
        <v>834.2</v>
      </c>
      <c r="N932" s="2">
        <f ca="1">INDEX(INDIRECT(_xlfn.CONCAT("weather.tbl[",N$1,"]")),MATCH(vp.tbl[[#This Row],[SDate]],weather.tbl[Date],0))</f>
        <v>-14.083333333333334</v>
      </c>
      <c r="O932" s="2">
        <f ca="1">INDEX(INDIRECT(_xlfn.CONCAT("weather.tbl[",O$1,"]")),MATCH(vp.tbl[[#This Row],[SDate]],weather.tbl[Date],0))</f>
        <v>-12.366666666666665</v>
      </c>
      <c r="P932" s="2">
        <f ca="1">INDEX(INDIRECT(_xlfn.CONCAT("weather.tbl[",P$1,"]")),MATCH(vp.tbl[[#This Row],[SDate]],weather.tbl[Date],0))</f>
        <v>-13.4</v>
      </c>
      <c r="Q932" s="2">
        <f ca="1">INDEX(INDIRECT(_xlfn.CONCAT("weather.tbl[",Q$1,"]")),MATCH(vp.tbl[[#This Row],[SDate]],weather.tbl[Date],0))</f>
        <v>-12.8</v>
      </c>
      <c r="R932" s="2">
        <f ca="1">INDEX(INDIRECT(_xlfn.CONCAT("weather.tbl[",R$1,"]")),MATCH(vp.tbl[[#This Row],[SDate]],weather.tbl[Date],0))</f>
        <v>-14</v>
      </c>
      <c r="S932" s="2">
        <f ca="1">INDEX(INDIRECT(_xlfn.CONCAT("weather.tbl[",S$1,"]")),MATCH(vp.tbl[[#This Row],[SDate]],weather.tbl[Date],0))</f>
        <v>-12.5</v>
      </c>
      <c r="T932" s="2">
        <f ca="1">INDEX(INDIRECT(_xlfn.CONCAT("weather.tbl[",T$1,"]")),MATCH(vp.tbl[[#This Row],[SDate]],weather.tbl[Date],0))</f>
        <v>-18</v>
      </c>
      <c r="U932" s="2">
        <f ca="1">INDEX(INDIRECT(_xlfn.CONCAT("weather.tbl[",U$1,"]")),MATCH(vp.tbl[[#This Row],[SDate]],weather.tbl[Date],0))</f>
        <v>-13.8</v>
      </c>
      <c r="V932" s="2">
        <v>9449.0609999999997</v>
      </c>
      <c r="W932" t="s">
        <v>48</v>
      </c>
      <c r="X932">
        <f>IF(OR(vp.tbl[[#This Row],[Sulf]]="",vp.tbl[[#This Row],[Dens]]=""),1,0)</f>
        <v>0</v>
      </c>
      <c r="Y932">
        <f>IF(vp.tbl[[#This Row],[CrudeType]]="C5+",1,0)</f>
        <v>0</v>
      </c>
      <c r="Z932">
        <f>IF(AND(vp.tbl[[#This Row],[CrudeType]]="Crude",vp.tbl[[#This Row],[Dens]]&lt;=825,vp.tbl[[#This Row],[Sulf]]&gt;0.5,vp.tbl[[#This Row],[Unknown]]=0),1,0)</f>
        <v>0</v>
      </c>
      <c r="AA932">
        <f>IF(AND(vp.tbl[[#This Row],[CrudeType]]="Crude",vp.tbl[[#This Row],[Dens]]&lt;=825,vp.tbl[[#This Row],[Sulf]]&lt;=0.5,vp.tbl[[#This Row],[Unknown]]=0),1,0)</f>
        <v>0</v>
      </c>
      <c r="AB932">
        <f>IF(AND(vp.tbl[[#This Row],[CrudeType]]="Crude",vp.tbl[[#This Row],[Dens]]&gt;825,vp.tbl[[#This Row],[Dens]]&lt;=870,vp.tbl[[#This Row],[Sulf]]&gt;0.5,vp.tbl[[#This Row],[Unknown]]=0),1,0)</f>
        <v>1</v>
      </c>
      <c r="AC932">
        <f>IF(AND(vp.tbl[[#This Row],[CrudeType]]="Crude",vp.tbl[[#This Row],[Dens]]&gt;825,vp.tbl[[#This Row],[Dens]]&lt;=900,vp.tbl[[#This Row],[Sulf]]&lt;=0.5,vp.tbl[[#This Row],[Unknown]]=0),1,0)</f>
        <v>0</v>
      </c>
      <c r="AD932">
        <f>IF(AND(vp.tbl[[#This Row],[CrudeType]]="Crude",vp.tbl[[#This Row],[Dens]]&gt;870,vp.tbl[[#This Row],[Dens]]&lt;=900,vp.tbl[[#This Row],[Sulf]]&gt;0.5,vp.tbl[[#This Row],[Unknown]]=0),1,0)</f>
        <v>0</v>
      </c>
      <c r="AE932">
        <f>IF(AND(vp.tbl[[#This Row],[CrudeType]]="Crude",vp.tbl[[#This Row],[Dens]]&gt;900,vp.tbl[[#This Row],[Sulf]]&lt;=0.5,vp.tbl[[#This Row],[Unknown]]=0),1,0)</f>
        <v>0</v>
      </c>
      <c r="AF932">
        <f>IF(AND(vp.tbl[[#This Row],[CrudeType]]="Crude",vp.tbl[[#This Row],[Dens]]&gt;900,vp.tbl[[#This Row],[Sulf]]&lt;=0.5,vp.tbl[[#This Row],[Unknown]]=0),1,0)</f>
        <v>0</v>
      </c>
      <c r="AG932" t="str">
        <f>INDEX(vp.tbl[[#Headers],[Unknown]:[Heavy_SW]],MATCH(1,vp.tbl[[#This Row],[Unknown]:[Heavy_SW]],0))</f>
        <v>Medium_LSB</v>
      </c>
      <c r="AH932" t="e">
        <f>INDEX([1]!crudeBD.lkup[Number],MATCH(vp.tbl[[#This Row],[Crude_Breakdown]],[1]!crudeBD.lkup[Crude Breakdown],0))</f>
        <v>#REF!</v>
      </c>
      <c r="AI932">
        <f>MONTH(vp.tbl[[#This Row],[SDate]])</f>
        <v>3</v>
      </c>
      <c r="AJ932" s="5">
        <f>IFERROR(vp.tbl[[#This Row],[Sulf]]*vp.tbl[[#This Row],[Net Dens]],"")</f>
        <v>6227101.2820980009</v>
      </c>
      <c r="AK932" s="5">
        <f>IFERROR(vp.tbl[[#This Row],[Dens]]*vp.tbl[[#This Row],[VolumeM3]],"")</f>
        <v>7882406.6862000003</v>
      </c>
      <c r="AL932" s="5">
        <f>IFERROR(vp.tbl[[#This Row],[VP]]*vp.tbl[[#This Row],[VolumeM3]],"")</f>
        <v>840021.52289999998</v>
      </c>
      <c r="AM932" s="4">
        <f>IFERROR((vp.tbl[[#This Row],[VP]]-INDEX(crudeBD.lkup.complete[Mean_VP],MATCH(vp.tbl[[#This Row],[Crude_Breakdown]],crudeBD.lkup.complete[Crude Breakdown],0)))^2,"")</f>
        <v>76.150145328633968</v>
      </c>
      <c r="AN932" s="4">
        <f>IFERROR((vp.tbl[[#This Row],[Dens]]-INDEX(crudeBD.lkup.complete[Mean_Dens],MATCH(vp.tbl[[#This Row],[Crude_Breakdown]],crudeBD.lkup.complete[Crude Breakdown],0)))^2,"")</f>
        <v>123.02853268961022</v>
      </c>
      <c r="AO932" s="4">
        <f>IFERROR((vp.tbl[[#This Row],[Sulf]]-INDEX(crudeBD.lkup.complete[Mean_Sulf],MATCH(vp.tbl[[#This Row],[Crude_Breakdown]],crudeBD.lkup.complete[Crude Breakdown],0)))^2,"")</f>
        <v>0.44213171972964155</v>
      </c>
      <c r="AP932">
        <f>IF(AND(vp.tbl[[#This Row],[SDate]]&gt;=DATE(YEAR(vp.tbl[[#This Row],[SDate]]),5,1),vp.tbl[[#This Row],[SDate]]&lt;=DATE(YEAR(vp.tbl[[#This Row],[SDate]]),9,15)),1,0)</f>
        <v>0</v>
      </c>
      <c r="AQ932" s="15">
        <f>IF(vp.tbl[[#This Row],[SDate]]&lt;DATE(2016,12,1),0,1)</f>
        <v>1</v>
      </c>
    </row>
    <row r="933" spans="1:43" x14ac:dyDescent="0.25">
      <c r="A933">
        <v>932</v>
      </c>
      <c r="B933" t="s">
        <v>51</v>
      </c>
      <c r="C933" t="s">
        <v>51</v>
      </c>
      <c r="D933" t="s">
        <v>72</v>
      </c>
      <c r="F933" s="1">
        <v>42796</v>
      </c>
      <c r="G933" s="2">
        <v>84.6</v>
      </c>
      <c r="H933" s="2"/>
      <c r="I933" s="2">
        <v>1.08</v>
      </c>
      <c r="J933" s="2">
        <v>29.3</v>
      </c>
      <c r="K933" s="2">
        <v>-15</v>
      </c>
      <c r="L933" s="2">
        <v>837.1</v>
      </c>
      <c r="M933" s="2">
        <v>837.1</v>
      </c>
      <c r="N933" s="2">
        <f ca="1">INDEX(INDIRECT(_xlfn.CONCAT("weather.tbl[",N$1,"]")),MATCH(vp.tbl[[#This Row],[SDate]],weather.tbl[Date],0))</f>
        <v>-14.083333333333334</v>
      </c>
      <c r="O933" s="2">
        <f ca="1">INDEX(INDIRECT(_xlfn.CONCAT("weather.tbl[",O$1,"]")),MATCH(vp.tbl[[#This Row],[SDate]],weather.tbl[Date],0))</f>
        <v>-12.366666666666665</v>
      </c>
      <c r="P933" s="2">
        <f ca="1">INDEX(INDIRECT(_xlfn.CONCAT("weather.tbl[",P$1,"]")),MATCH(vp.tbl[[#This Row],[SDate]],weather.tbl[Date],0))</f>
        <v>-13.4</v>
      </c>
      <c r="Q933" s="2">
        <f ca="1">INDEX(INDIRECT(_xlfn.CONCAT("weather.tbl[",Q$1,"]")),MATCH(vp.tbl[[#This Row],[SDate]],weather.tbl[Date],0))</f>
        <v>-12.8</v>
      </c>
      <c r="R933" s="2">
        <f ca="1">INDEX(INDIRECT(_xlfn.CONCAT("weather.tbl[",R$1,"]")),MATCH(vp.tbl[[#This Row],[SDate]],weather.tbl[Date],0))</f>
        <v>-14</v>
      </c>
      <c r="S933" s="2">
        <f ca="1">INDEX(INDIRECT(_xlfn.CONCAT("weather.tbl[",S$1,"]")),MATCH(vp.tbl[[#This Row],[SDate]],weather.tbl[Date],0))</f>
        <v>-12.5</v>
      </c>
      <c r="T933" s="2">
        <f ca="1">INDEX(INDIRECT(_xlfn.CONCAT("weather.tbl[",T$1,"]")),MATCH(vp.tbl[[#This Row],[SDate]],weather.tbl[Date],0))</f>
        <v>-18</v>
      </c>
      <c r="U933" s="2">
        <f ca="1">INDEX(INDIRECT(_xlfn.CONCAT("weather.tbl[",U$1,"]")),MATCH(vp.tbl[[#This Row],[SDate]],weather.tbl[Date],0))</f>
        <v>-13.8</v>
      </c>
      <c r="V933" s="2">
        <v>13878.534</v>
      </c>
      <c r="W933" t="s">
        <v>48</v>
      </c>
      <c r="X933">
        <f>IF(OR(vp.tbl[[#This Row],[Sulf]]="",vp.tbl[[#This Row],[Dens]]=""),1,0)</f>
        <v>0</v>
      </c>
      <c r="Y933">
        <f>IF(vp.tbl[[#This Row],[CrudeType]]="C5+",1,0)</f>
        <v>0</v>
      </c>
      <c r="Z933">
        <f>IF(AND(vp.tbl[[#This Row],[CrudeType]]="Crude",vp.tbl[[#This Row],[Dens]]&lt;=825,vp.tbl[[#This Row],[Sulf]]&gt;0.5,vp.tbl[[#This Row],[Unknown]]=0),1,0)</f>
        <v>0</v>
      </c>
      <c r="AA933">
        <f>IF(AND(vp.tbl[[#This Row],[CrudeType]]="Crude",vp.tbl[[#This Row],[Dens]]&lt;=825,vp.tbl[[#This Row],[Sulf]]&lt;=0.5,vp.tbl[[#This Row],[Unknown]]=0),1,0)</f>
        <v>0</v>
      </c>
      <c r="AB933">
        <f>IF(AND(vp.tbl[[#This Row],[CrudeType]]="Crude",vp.tbl[[#This Row],[Dens]]&gt;825,vp.tbl[[#This Row],[Dens]]&lt;=870,vp.tbl[[#This Row],[Sulf]]&gt;0.5,vp.tbl[[#This Row],[Unknown]]=0),1,0)</f>
        <v>1</v>
      </c>
      <c r="AC933">
        <f>IF(AND(vp.tbl[[#This Row],[CrudeType]]="Crude",vp.tbl[[#This Row],[Dens]]&gt;825,vp.tbl[[#This Row],[Dens]]&lt;=900,vp.tbl[[#This Row],[Sulf]]&lt;=0.5,vp.tbl[[#This Row],[Unknown]]=0),1,0)</f>
        <v>0</v>
      </c>
      <c r="AD933">
        <f>IF(AND(vp.tbl[[#This Row],[CrudeType]]="Crude",vp.tbl[[#This Row],[Dens]]&gt;870,vp.tbl[[#This Row],[Dens]]&lt;=900,vp.tbl[[#This Row],[Sulf]]&gt;0.5,vp.tbl[[#This Row],[Unknown]]=0),1,0)</f>
        <v>0</v>
      </c>
      <c r="AE933">
        <f>IF(AND(vp.tbl[[#This Row],[CrudeType]]="Crude",vp.tbl[[#This Row],[Dens]]&gt;900,vp.tbl[[#This Row],[Sulf]]&lt;=0.5,vp.tbl[[#This Row],[Unknown]]=0),1,0)</f>
        <v>0</v>
      </c>
      <c r="AF933">
        <f>IF(AND(vp.tbl[[#This Row],[CrudeType]]="Crude",vp.tbl[[#This Row],[Dens]]&gt;900,vp.tbl[[#This Row],[Sulf]]&lt;=0.5,vp.tbl[[#This Row],[Unknown]]=0),1,0)</f>
        <v>0</v>
      </c>
      <c r="AG933" t="str">
        <f>INDEX(vp.tbl[[#Headers],[Unknown]:[Heavy_SW]],MATCH(1,vp.tbl[[#This Row],[Unknown]:[Heavy_SW]],0))</f>
        <v>Medium_LSB</v>
      </c>
      <c r="AH933" t="e">
        <f>INDEX([1]!crudeBD.lkup[Number],MATCH(vp.tbl[[#This Row],[Crude_Breakdown]],[1]!crudeBD.lkup[Crude Breakdown],0))</f>
        <v>#REF!</v>
      </c>
      <c r="AI933">
        <f>MONTH(vp.tbl[[#This Row],[SDate]])</f>
        <v>3</v>
      </c>
      <c r="AJ933" s="5">
        <f>IFERROR(vp.tbl[[#This Row],[Sulf]]*vp.tbl[[#This Row],[Net Dens]],"")</f>
        <v>12547138.476312</v>
      </c>
      <c r="AK933" s="5">
        <f>IFERROR(vp.tbl[[#This Row],[Dens]]*vp.tbl[[#This Row],[VolumeM3]],"")</f>
        <v>11617720.8114</v>
      </c>
      <c r="AL933" s="5">
        <f>IFERROR(vp.tbl[[#This Row],[VP]]*vp.tbl[[#This Row],[VolumeM3]],"")</f>
        <v>1174123.9763999998</v>
      </c>
      <c r="AM933" s="4">
        <f>IFERROR((vp.tbl[[#This Row],[VP]]-INDEX(crudeBD.lkup.complete[Mean_VP],MATCH(vp.tbl[[#This Row],[Crude_Breakdown]],crudeBD.lkup.complete[Crude Breakdown],0)))^2,"")</f>
        <v>19.593061784329709</v>
      </c>
      <c r="AN933" s="4">
        <f>IFERROR((vp.tbl[[#This Row],[Dens]]-INDEX(crudeBD.lkup.complete[Mean_Dens],MATCH(vp.tbl[[#This Row],[Crude_Breakdown]],crudeBD.lkup.complete[Crude Breakdown],0)))^2,"")</f>
        <v>67.105960537717834</v>
      </c>
      <c r="AO933" s="4">
        <f>IFERROR((vp.tbl[[#This Row],[Sulf]]-INDEX(crudeBD.lkup.complete[Mean_Sulf],MATCH(vp.tbl[[#This Row],[Crude_Breakdown]],crudeBD.lkup.complete[Crude Breakdown],0)))^2,"")</f>
        <v>0.14057240048913436</v>
      </c>
      <c r="AP933">
        <f>IF(AND(vp.tbl[[#This Row],[SDate]]&gt;=DATE(YEAR(vp.tbl[[#This Row],[SDate]]),5,1),vp.tbl[[#This Row],[SDate]]&lt;=DATE(YEAR(vp.tbl[[#This Row],[SDate]]),9,15)),1,0)</f>
        <v>0</v>
      </c>
      <c r="AQ933" s="15">
        <f>IF(vp.tbl[[#This Row],[SDate]]&lt;DATE(2016,12,1),0,1)</f>
        <v>1</v>
      </c>
    </row>
    <row r="934" spans="1:43" x14ac:dyDescent="0.25">
      <c r="A934">
        <v>933</v>
      </c>
      <c r="B934" t="s">
        <v>68</v>
      </c>
      <c r="C934" t="s">
        <v>68</v>
      </c>
      <c r="D934" t="s">
        <v>98</v>
      </c>
      <c r="F934" s="1">
        <v>42796</v>
      </c>
      <c r="G934" s="2">
        <v>72.2</v>
      </c>
      <c r="H934" s="2"/>
      <c r="I934" s="2">
        <v>1.21</v>
      </c>
      <c r="J934" s="2">
        <v>32.6</v>
      </c>
      <c r="K934" s="2">
        <v>-15</v>
      </c>
      <c r="L934" s="2">
        <v>854.2</v>
      </c>
      <c r="M934" s="2">
        <v>854.2</v>
      </c>
      <c r="N934" s="2">
        <f ca="1">INDEX(INDIRECT(_xlfn.CONCAT("weather.tbl[",N$1,"]")),MATCH(vp.tbl[[#This Row],[SDate]],weather.tbl[Date],0))</f>
        <v>-14.083333333333334</v>
      </c>
      <c r="O934" s="2">
        <f ca="1">INDEX(INDIRECT(_xlfn.CONCAT("weather.tbl[",O$1,"]")),MATCH(vp.tbl[[#This Row],[SDate]],weather.tbl[Date],0))</f>
        <v>-12.366666666666665</v>
      </c>
      <c r="P934" s="2">
        <f ca="1">INDEX(INDIRECT(_xlfn.CONCAT("weather.tbl[",P$1,"]")),MATCH(vp.tbl[[#This Row],[SDate]],weather.tbl[Date],0))</f>
        <v>-13.4</v>
      </c>
      <c r="Q934" s="2">
        <f ca="1">INDEX(INDIRECT(_xlfn.CONCAT("weather.tbl[",Q$1,"]")),MATCH(vp.tbl[[#This Row],[SDate]],weather.tbl[Date],0))</f>
        <v>-12.8</v>
      </c>
      <c r="R934" s="2">
        <f ca="1">INDEX(INDIRECT(_xlfn.CONCAT("weather.tbl[",R$1,"]")),MATCH(vp.tbl[[#This Row],[SDate]],weather.tbl[Date],0))</f>
        <v>-14</v>
      </c>
      <c r="S934" s="2">
        <f ca="1">INDEX(INDIRECT(_xlfn.CONCAT("weather.tbl[",S$1,"]")),MATCH(vp.tbl[[#This Row],[SDate]],weather.tbl[Date],0))</f>
        <v>-12.5</v>
      </c>
      <c r="T934" s="2">
        <f ca="1">INDEX(INDIRECT(_xlfn.CONCAT("weather.tbl[",T$1,"]")),MATCH(vp.tbl[[#This Row],[SDate]],weather.tbl[Date],0))</f>
        <v>-18</v>
      </c>
      <c r="U934" s="2">
        <f ca="1">INDEX(INDIRECT(_xlfn.CONCAT("weather.tbl[",U$1,"]")),MATCH(vp.tbl[[#This Row],[SDate]],weather.tbl[Date],0))</f>
        <v>-13.8</v>
      </c>
      <c r="V934" s="2">
        <v>4943.8360000000002</v>
      </c>
      <c r="W934" t="s">
        <v>48</v>
      </c>
      <c r="X934">
        <f>IF(OR(vp.tbl[[#This Row],[Sulf]]="",vp.tbl[[#This Row],[Dens]]=""),1,0)</f>
        <v>0</v>
      </c>
      <c r="Y934">
        <f>IF(vp.tbl[[#This Row],[CrudeType]]="C5+",1,0)</f>
        <v>0</v>
      </c>
      <c r="Z934">
        <f>IF(AND(vp.tbl[[#This Row],[CrudeType]]="Crude",vp.tbl[[#This Row],[Dens]]&lt;=825,vp.tbl[[#This Row],[Sulf]]&gt;0.5,vp.tbl[[#This Row],[Unknown]]=0),1,0)</f>
        <v>0</v>
      </c>
      <c r="AA934">
        <f>IF(AND(vp.tbl[[#This Row],[CrudeType]]="Crude",vp.tbl[[#This Row],[Dens]]&lt;=825,vp.tbl[[#This Row],[Sulf]]&lt;=0.5,vp.tbl[[#This Row],[Unknown]]=0),1,0)</f>
        <v>0</v>
      </c>
      <c r="AB934">
        <f>IF(AND(vp.tbl[[#This Row],[CrudeType]]="Crude",vp.tbl[[#This Row],[Dens]]&gt;825,vp.tbl[[#This Row],[Dens]]&lt;=870,vp.tbl[[#This Row],[Sulf]]&gt;0.5,vp.tbl[[#This Row],[Unknown]]=0),1,0)</f>
        <v>1</v>
      </c>
      <c r="AC934">
        <f>IF(AND(vp.tbl[[#This Row],[CrudeType]]="Crude",vp.tbl[[#This Row],[Dens]]&gt;825,vp.tbl[[#This Row],[Dens]]&lt;=900,vp.tbl[[#This Row],[Sulf]]&lt;=0.5,vp.tbl[[#This Row],[Unknown]]=0),1,0)</f>
        <v>0</v>
      </c>
      <c r="AD934">
        <f>IF(AND(vp.tbl[[#This Row],[CrudeType]]="Crude",vp.tbl[[#This Row],[Dens]]&gt;870,vp.tbl[[#This Row],[Dens]]&lt;=900,vp.tbl[[#This Row],[Sulf]]&gt;0.5,vp.tbl[[#This Row],[Unknown]]=0),1,0)</f>
        <v>0</v>
      </c>
      <c r="AE934">
        <f>IF(AND(vp.tbl[[#This Row],[CrudeType]]="Crude",vp.tbl[[#This Row],[Dens]]&gt;900,vp.tbl[[#This Row],[Sulf]]&lt;=0.5,vp.tbl[[#This Row],[Unknown]]=0),1,0)</f>
        <v>0</v>
      </c>
      <c r="AF934">
        <f>IF(AND(vp.tbl[[#This Row],[CrudeType]]="Crude",vp.tbl[[#This Row],[Dens]]&gt;900,vp.tbl[[#This Row],[Sulf]]&lt;=0.5,vp.tbl[[#This Row],[Unknown]]=0),1,0)</f>
        <v>0</v>
      </c>
      <c r="AG934" t="str">
        <f>INDEX(vp.tbl[[#Headers],[Unknown]:[Heavy_SW]],MATCH(1,vp.tbl[[#This Row],[Unknown]:[Heavy_SW]],0))</f>
        <v>Medium_LSB</v>
      </c>
      <c r="AH934" t="e">
        <f>INDEX([1]!crudeBD.lkup[Number],MATCH(vp.tbl[[#This Row],[Crude_Breakdown]],[1]!crudeBD.lkup[Crude Breakdown],0))</f>
        <v>#REF!</v>
      </c>
      <c r="AI934">
        <f>MONTH(vp.tbl[[#This Row],[SDate]])</f>
        <v>3</v>
      </c>
      <c r="AJ934" s="5">
        <f>IFERROR(vp.tbl[[#This Row],[Sulf]]*vp.tbl[[#This Row],[Net Dens]],"")</f>
        <v>5109859.9005520009</v>
      </c>
      <c r="AK934" s="5">
        <f>IFERROR(vp.tbl[[#This Row],[Dens]]*vp.tbl[[#This Row],[VolumeM3]],"")</f>
        <v>4223024.7112000007</v>
      </c>
      <c r="AL934" s="5">
        <f>IFERROR(vp.tbl[[#This Row],[VP]]*vp.tbl[[#This Row],[VolumeM3]],"")</f>
        <v>356944.95920000004</v>
      </c>
      <c r="AM934" s="4">
        <f>IFERROR((vp.tbl[[#This Row],[VP]]-INDEX(crudeBD.lkup.complete[Mean_VP],MATCH(vp.tbl[[#This Row],[Crude_Breakdown]],crudeBD.lkup.complete[Crude Breakdown],0)))^2,"")</f>
        <v>63.578216214708547</v>
      </c>
      <c r="AN934" s="4">
        <f>IFERROR((vp.tbl[[#This Row],[Dens]]-INDEX(crudeBD.lkup.complete[Mean_Dens],MATCH(vp.tbl[[#This Row],[Crude_Breakdown]],crudeBD.lkup.complete[Crude Breakdown],0)))^2,"")</f>
        <v>79.355621297246358</v>
      </c>
      <c r="AO934" s="4">
        <f>IFERROR((vp.tbl[[#This Row],[Sulf]]-INDEX(crudeBD.lkup.complete[Mean_Sulf],MATCH(vp.tbl[[#This Row],[Crude_Breakdown]],crudeBD.lkup.complete[Crude Breakdown],0)))^2,"")</f>
        <v>5.9990636691665704E-2</v>
      </c>
      <c r="AP934">
        <f>IF(AND(vp.tbl[[#This Row],[SDate]]&gt;=DATE(YEAR(vp.tbl[[#This Row],[SDate]]),5,1),vp.tbl[[#This Row],[SDate]]&lt;=DATE(YEAR(vp.tbl[[#This Row],[SDate]]),9,15)),1,0)</f>
        <v>0</v>
      </c>
      <c r="AQ934" s="15">
        <f>IF(vp.tbl[[#This Row],[SDate]]&lt;DATE(2016,12,1),0,1)</f>
        <v>1</v>
      </c>
    </row>
    <row r="935" spans="1:43" x14ac:dyDescent="0.25">
      <c r="A935">
        <v>934</v>
      </c>
      <c r="B935" t="s">
        <v>62</v>
      </c>
      <c r="C935" t="s">
        <v>62</v>
      </c>
      <c r="D935" t="s">
        <v>79</v>
      </c>
      <c r="F935" s="1">
        <v>42797</v>
      </c>
      <c r="G935" s="2">
        <v>100.1</v>
      </c>
      <c r="H935" s="2"/>
      <c r="I935" s="2">
        <v>0.3</v>
      </c>
      <c r="J935" s="2">
        <v>11.5</v>
      </c>
      <c r="K935" s="2">
        <v>-13</v>
      </c>
      <c r="L935" s="2">
        <v>808.1</v>
      </c>
      <c r="M935" s="2">
        <v>808.1</v>
      </c>
      <c r="N935" s="2">
        <f ca="1">INDEX(INDIRECT(_xlfn.CONCAT("weather.tbl[",N$1,"]")),MATCH(vp.tbl[[#This Row],[SDate]],weather.tbl[Date],0))</f>
        <v>-7.416666666666667</v>
      </c>
      <c r="O935" s="2">
        <f ca="1">INDEX(INDIRECT(_xlfn.CONCAT("weather.tbl[",O$1,"]")),MATCH(vp.tbl[[#This Row],[SDate]],weather.tbl[Date],0))</f>
        <v>-12.469047619047618</v>
      </c>
      <c r="P935" s="2">
        <f ca="1">INDEX(INDIRECT(_xlfn.CONCAT("weather.tbl[",P$1,"]")),MATCH(vp.tbl[[#This Row],[SDate]],weather.tbl[Date],0))</f>
        <v>-6.2</v>
      </c>
      <c r="Q935" s="2">
        <f ca="1">INDEX(INDIRECT(_xlfn.CONCAT("weather.tbl[",Q$1,"]")),MATCH(vp.tbl[[#This Row],[SDate]],weather.tbl[Date],0))</f>
        <v>-6.2</v>
      </c>
      <c r="R935" s="2">
        <f ca="1">INDEX(INDIRECT(_xlfn.CONCAT("weather.tbl[",R$1,"]")),MATCH(vp.tbl[[#This Row],[SDate]],weather.tbl[Date],0))</f>
        <v>-12.3</v>
      </c>
      <c r="S935" s="2">
        <f ca="1">INDEX(INDIRECT(_xlfn.CONCAT("weather.tbl[",S$1,"]")),MATCH(vp.tbl[[#This Row],[SDate]],weather.tbl[Date],0))</f>
        <v>-3.4</v>
      </c>
      <c r="T935" s="2">
        <f ca="1">INDEX(INDIRECT(_xlfn.CONCAT("weather.tbl[",T$1,"]")),MATCH(vp.tbl[[#This Row],[SDate]],weather.tbl[Date],0))</f>
        <v>-9.1</v>
      </c>
      <c r="U935" s="2">
        <f ca="1">INDEX(INDIRECT(_xlfn.CONCAT("weather.tbl[",U$1,"]")),MATCH(vp.tbl[[#This Row],[SDate]],weather.tbl[Date],0))</f>
        <v>-7.3</v>
      </c>
      <c r="V935" s="2">
        <v>15962.98</v>
      </c>
      <c r="W935" t="s">
        <v>48</v>
      </c>
      <c r="X935">
        <f>IF(OR(vp.tbl[[#This Row],[Sulf]]="",vp.tbl[[#This Row],[Dens]]=""),1,0)</f>
        <v>0</v>
      </c>
      <c r="Y935">
        <f>IF(vp.tbl[[#This Row],[CrudeType]]="C5+",1,0)</f>
        <v>0</v>
      </c>
      <c r="Z935">
        <f>IF(AND(vp.tbl[[#This Row],[CrudeType]]="Crude",vp.tbl[[#This Row],[Dens]]&lt;=825,vp.tbl[[#This Row],[Sulf]]&gt;0.5,vp.tbl[[#This Row],[Unknown]]=0),1,0)</f>
        <v>0</v>
      </c>
      <c r="AA935">
        <f>IF(AND(vp.tbl[[#This Row],[CrudeType]]="Crude",vp.tbl[[#This Row],[Dens]]&lt;=825,vp.tbl[[#This Row],[Sulf]]&lt;=0.5,vp.tbl[[#This Row],[Unknown]]=0),1,0)</f>
        <v>1</v>
      </c>
      <c r="AB935">
        <f>IF(AND(vp.tbl[[#This Row],[CrudeType]]="Crude",vp.tbl[[#This Row],[Dens]]&gt;825,vp.tbl[[#This Row],[Dens]]&lt;=870,vp.tbl[[#This Row],[Sulf]]&gt;0.5,vp.tbl[[#This Row],[Unknown]]=0),1,0)</f>
        <v>0</v>
      </c>
      <c r="AC935">
        <f>IF(AND(vp.tbl[[#This Row],[CrudeType]]="Crude",vp.tbl[[#This Row],[Dens]]&gt;825,vp.tbl[[#This Row],[Dens]]&lt;=900,vp.tbl[[#This Row],[Sulf]]&lt;=0.5,vp.tbl[[#This Row],[Unknown]]=0),1,0)</f>
        <v>0</v>
      </c>
      <c r="AD935">
        <f>IF(AND(vp.tbl[[#This Row],[CrudeType]]="Crude",vp.tbl[[#This Row],[Dens]]&gt;870,vp.tbl[[#This Row],[Dens]]&lt;=900,vp.tbl[[#This Row],[Sulf]]&gt;0.5,vp.tbl[[#This Row],[Unknown]]=0),1,0)</f>
        <v>0</v>
      </c>
      <c r="AE935">
        <f>IF(AND(vp.tbl[[#This Row],[CrudeType]]="Crude",vp.tbl[[#This Row],[Dens]]&gt;900,vp.tbl[[#This Row],[Sulf]]&lt;=0.5,vp.tbl[[#This Row],[Unknown]]=0),1,0)</f>
        <v>0</v>
      </c>
      <c r="AF935">
        <f>IF(AND(vp.tbl[[#This Row],[CrudeType]]="Crude",vp.tbl[[#This Row],[Dens]]&gt;900,vp.tbl[[#This Row],[Sulf]]&lt;=0.5,vp.tbl[[#This Row],[Unknown]]=0),1,0)</f>
        <v>0</v>
      </c>
      <c r="AG935" t="str">
        <f>INDEX(vp.tbl[[#Headers],[Unknown]:[Heavy_SW]],MATCH(1,vp.tbl[[#This Row],[Unknown]:[Heavy_SW]],0))</f>
        <v>Light_SW</v>
      </c>
      <c r="AH935" t="e">
        <f>INDEX([1]!crudeBD.lkup[Number],MATCH(vp.tbl[[#This Row],[Crude_Breakdown]],[1]!crudeBD.lkup[Crude Breakdown],0))</f>
        <v>#REF!</v>
      </c>
      <c r="AI935">
        <f>MONTH(vp.tbl[[#This Row],[SDate]])</f>
        <v>3</v>
      </c>
      <c r="AJ935" s="5">
        <f>IFERROR(vp.tbl[[#This Row],[Sulf]]*vp.tbl[[#This Row],[Net Dens]],"")</f>
        <v>3869905.2413999997</v>
      </c>
      <c r="AK935" s="5">
        <f>IFERROR(vp.tbl[[#This Row],[Dens]]*vp.tbl[[#This Row],[VolumeM3]],"")</f>
        <v>12899684.138</v>
      </c>
      <c r="AL935" s="5">
        <f>IFERROR(vp.tbl[[#This Row],[VP]]*vp.tbl[[#This Row],[VolumeM3]],"")</f>
        <v>1597894.298</v>
      </c>
      <c r="AM935" s="4">
        <f>IFERROR((vp.tbl[[#This Row],[VP]]-INDEX(crudeBD.lkup.complete[Mean_VP],MATCH(vp.tbl[[#This Row],[Crude_Breakdown]],crudeBD.lkup.complete[Crude Breakdown],0)))^2,"")</f>
        <v>56.997764906700695</v>
      </c>
      <c r="AN935" s="4">
        <f>IFERROR((vp.tbl[[#This Row],[Dens]]-INDEX(crudeBD.lkup.complete[Mean_Dens],MATCH(vp.tbl[[#This Row],[Crude_Breakdown]],crudeBD.lkup.complete[Crude Breakdown],0)))^2,"")</f>
        <v>4.473151306913524E-2</v>
      </c>
      <c r="AO935" s="4">
        <f>IFERROR((vp.tbl[[#This Row],[Sulf]]-INDEX(crudeBD.lkup.complete[Mean_Sulf],MATCH(vp.tbl[[#This Row],[Crude_Breakdown]],crudeBD.lkup.complete[Crude Breakdown],0)))^2,"")</f>
        <v>4.0651065565929113E-3</v>
      </c>
      <c r="AP935">
        <f>IF(AND(vp.tbl[[#This Row],[SDate]]&gt;=DATE(YEAR(vp.tbl[[#This Row],[SDate]]),5,1),vp.tbl[[#This Row],[SDate]]&lt;=DATE(YEAR(vp.tbl[[#This Row],[SDate]]),9,15)),1,0)</f>
        <v>0</v>
      </c>
      <c r="AQ935" s="15">
        <f>IF(vp.tbl[[#This Row],[SDate]]&lt;DATE(2016,12,1),0,1)</f>
        <v>1</v>
      </c>
    </row>
    <row r="936" spans="1:43" x14ac:dyDescent="0.25">
      <c r="A936">
        <v>935</v>
      </c>
      <c r="B936" t="s">
        <v>62</v>
      </c>
      <c r="C936" t="s">
        <v>62</v>
      </c>
      <c r="D936" t="s">
        <v>87</v>
      </c>
      <c r="F936" s="1">
        <v>42797</v>
      </c>
      <c r="G936" s="2">
        <v>84.7</v>
      </c>
      <c r="H936" s="2"/>
      <c r="I936" s="2">
        <v>0.17</v>
      </c>
      <c r="J936" s="2">
        <v>23.1</v>
      </c>
      <c r="K936" s="2">
        <v>-13</v>
      </c>
      <c r="L936" s="2">
        <v>809.1</v>
      </c>
      <c r="M936" s="2">
        <v>809.1</v>
      </c>
      <c r="N936" s="2">
        <f ca="1">INDEX(INDIRECT(_xlfn.CONCAT("weather.tbl[",N$1,"]")),MATCH(vp.tbl[[#This Row],[SDate]],weather.tbl[Date],0))</f>
        <v>-7.416666666666667</v>
      </c>
      <c r="O936" s="2">
        <f ca="1">INDEX(INDIRECT(_xlfn.CONCAT("weather.tbl[",O$1,"]")),MATCH(vp.tbl[[#This Row],[SDate]],weather.tbl[Date],0))</f>
        <v>-12.469047619047618</v>
      </c>
      <c r="P936" s="2">
        <f ca="1">INDEX(INDIRECT(_xlfn.CONCAT("weather.tbl[",P$1,"]")),MATCH(vp.tbl[[#This Row],[SDate]],weather.tbl[Date],0))</f>
        <v>-6.2</v>
      </c>
      <c r="Q936" s="2">
        <f ca="1">INDEX(INDIRECT(_xlfn.CONCAT("weather.tbl[",Q$1,"]")),MATCH(vp.tbl[[#This Row],[SDate]],weather.tbl[Date],0))</f>
        <v>-6.2</v>
      </c>
      <c r="R936" s="2">
        <f ca="1">INDEX(INDIRECT(_xlfn.CONCAT("weather.tbl[",R$1,"]")),MATCH(vp.tbl[[#This Row],[SDate]],weather.tbl[Date],0))</f>
        <v>-12.3</v>
      </c>
      <c r="S936" s="2">
        <f ca="1">INDEX(INDIRECT(_xlfn.CONCAT("weather.tbl[",S$1,"]")),MATCH(vp.tbl[[#This Row],[SDate]],weather.tbl[Date],0))</f>
        <v>-3.4</v>
      </c>
      <c r="T936" s="2">
        <f ca="1">INDEX(INDIRECT(_xlfn.CONCAT("weather.tbl[",T$1,"]")),MATCH(vp.tbl[[#This Row],[SDate]],weather.tbl[Date],0))</f>
        <v>-9.1</v>
      </c>
      <c r="U936" s="2">
        <f ca="1">INDEX(INDIRECT(_xlfn.CONCAT("weather.tbl[",U$1,"]")),MATCH(vp.tbl[[#This Row],[SDate]],weather.tbl[Date],0))</f>
        <v>-7.3</v>
      </c>
      <c r="V936" s="2">
        <v>7297.97</v>
      </c>
      <c r="W936" t="s">
        <v>48</v>
      </c>
      <c r="X936">
        <f>IF(OR(vp.tbl[[#This Row],[Sulf]]="",vp.tbl[[#This Row],[Dens]]=""),1,0)</f>
        <v>0</v>
      </c>
      <c r="Y936">
        <f>IF(vp.tbl[[#This Row],[CrudeType]]="C5+",1,0)</f>
        <v>0</v>
      </c>
      <c r="Z936">
        <f>IF(AND(vp.tbl[[#This Row],[CrudeType]]="Crude",vp.tbl[[#This Row],[Dens]]&lt;=825,vp.tbl[[#This Row],[Sulf]]&gt;0.5,vp.tbl[[#This Row],[Unknown]]=0),1,0)</f>
        <v>0</v>
      </c>
      <c r="AA936">
        <f>IF(AND(vp.tbl[[#This Row],[CrudeType]]="Crude",vp.tbl[[#This Row],[Dens]]&lt;=825,vp.tbl[[#This Row],[Sulf]]&lt;=0.5,vp.tbl[[#This Row],[Unknown]]=0),1,0)</f>
        <v>1</v>
      </c>
      <c r="AB936">
        <f>IF(AND(vp.tbl[[#This Row],[CrudeType]]="Crude",vp.tbl[[#This Row],[Dens]]&gt;825,vp.tbl[[#This Row],[Dens]]&lt;=870,vp.tbl[[#This Row],[Sulf]]&gt;0.5,vp.tbl[[#This Row],[Unknown]]=0),1,0)</f>
        <v>0</v>
      </c>
      <c r="AC936">
        <f>IF(AND(vp.tbl[[#This Row],[CrudeType]]="Crude",vp.tbl[[#This Row],[Dens]]&gt;825,vp.tbl[[#This Row],[Dens]]&lt;=900,vp.tbl[[#This Row],[Sulf]]&lt;=0.5,vp.tbl[[#This Row],[Unknown]]=0),1,0)</f>
        <v>0</v>
      </c>
      <c r="AD936">
        <f>IF(AND(vp.tbl[[#This Row],[CrudeType]]="Crude",vp.tbl[[#This Row],[Dens]]&gt;870,vp.tbl[[#This Row],[Dens]]&lt;=900,vp.tbl[[#This Row],[Sulf]]&gt;0.5,vp.tbl[[#This Row],[Unknown]]=0),1,0)</f>
        <v>0</v>
      </c>
      <c r="AE936">
        <f>IF(AND(vp.tbl[[#This Row],[CrudeType]]="Crude",vp.tbl[[#This Row],[Dens]]&gt;900,vp.tbl[[#This Row],[Sulf]]&lt;=0.5,vp.tbl[[#This Row],[Unknown]]=0),1,0)</f>
        <v>0</v>
      </c>
      <c r="AF936">
        <f>IF(AND(vp.tbl[[#This Row],[CrudeType]]="Crude",vp.tbl[[#This Row],[Dens]]&gt;900,vp.tbl[[#This Row],[Sulf]]&lt;=0.5,vp.tbl[[#This Row],[Unknown]]=0),1,0)</f>
        <v>0</v>
      </c>
      <c r="AG936" t="str">
        <f>INDEX(vp.tbl[[#Headers],[Unknown]:[Heavy_SW]],MATCH(1,vp.tbl[[#This Row],[Unknown]:[Heavy_SW]],0))</f>
        <v>Light_SW</v>
      </c>
      <c r="AH936" t="e">
        <f>INDEX([1]!crudeBD.lkup[Number],MATCH(vp.tbl[[#This Row],[Crude_Breakdown]],[1]!crudeBD.lkup[Crude Breakdown],0))</f>
        <v>#REF!</v>
      </c>
      <c r="AI936">
        <f>MONTH(vp.tbl[[#This Row],[SDate]])</f>
        <v>3</v>
      </c>
      <c r="AJ936" s="5">
        <f>IFERROR(vp.tbl[[#This Row],[Sulf]]*vp.tbl[[#This Row],[Net Dens]],"")</f>
        <v>1003813.8795900001</v>
      </c>
      <c r="AK936" s="5">
        <f>IFERROR(vp.tbl[[#This Row],[Dens]]*vp.tbl[[#This Row],[VolumeM3]],"")</f>
        <v>5904787.5270000007</v>
      </c>
      <c r="AL936" s="5">
        <f>IFERROR(vp.tbl[[#This Row],[VP]]*vp.tbl[[#This Row],[VolumeM3]],"")</f>
        <v>618138.05900000001</v>
      </c>
      <c r="AM936" s="4">
        <f>IFERROR((vp.tbl[[#This Row],[VP]]-INDEX(crudeBD.lkup.complete[Mean_VP],MATCH(vp.tbl[[#This Row],[Crude_Breakdown]],crudeBD.lkup.complete[Crude Breakdown],0)))^2,"")</f>
        <v>61.627423443285196</v>
      </c>
      <c r="AN936" s="4">
        <f>IFERROR((vp.tbl[[#This Row],[Dens]]-INDEX(crudeBD.lkup.complete[Mean_Dens],MATCH(vp.tbl[[#This Row],[Crude_Breakdown]],crudeBD.lkup.complete[Crude Breakdown],0)))^2,"")</f>
        <v>0.6217349973901749</v>
      </c>
      <c r="AO936" s="4">
        <f>IFERROR((vp.tbl[[#This Row],[Sulf]]-INDEX(crudeBD.lkup.complete[Mean_Sulf],MATCH(vp.tbl[[#This Row],[Crude_Breakdown]],crudeBD.lkup.complete[Crude Breakdown],0)))^2,"")</f>
        <v>4.3879776367322437E-3</v>
      </c>
      <c r="AP936">
        <f>IF(AND(vp.tbl[[#This Row],[SDate]]&gt;=DATE(YEAR(vp.tbl[[#This Row],[SDate]]),5,1),vp.tbl[[#This Row],[SDate]]&lt;=DATE(YEAR(vp.tbl[[#This Row],[SDate]]),9,15)),1,0)</f>
        <v>0</v>
      </c>
      <c r="AQ936" s="15">
        <f>IF(vp.tbl[[#This Row],[SDate]]&lt;DATE(2016,12,1),0,1)</f>
        <v>1</v>
      </c>
    </row>
    <row r="937" spans="1:43" x14ac:dyDescent="0.25">
      <c r="A937">
        <v>936</v>
      </c>
      <c r="B937" t="s">
        <v>62</v>
      </c>
      <c r="C937" t="s">
        <v>62</v>
      </c>
      <c r="D937" t="s">
        <v>93</v>
      </c>
      <c r="F937" s="1">
        <v>42797</v>
      </c>
      <c r="G937" s="2">
        <v>80.5</v>
      </c>
      <c r="H937" s="2"/>
      <c r="I937" s="2">
        <v>1.24</v>
      </c>
      <c r="J937" s="2">
        <v>6</v>
      </c>
      <c r="K937" s="2">
        <v>-13</v>
      </c>
      <c r="L937" s="2">
        <v>850.5</v>
      </c>
      <c r="M937" s="2">
        <v>850.5</v>
      </c>
      <c r="N937" s="2">
        <f ca="1">INDEX(INDIRECT(_xlfn.CONCAT("weather.tbl[",N$1,"]")),MATCH(vp.tbl[[#This Row],[SDate]],weather.tbl[Date],0))</f>
        <v>-7.416666666666667</v>
      </c>
      <c r="O937" s="2">
        <f ca="1">INDEX(INDIRECT(_xlfn.CONCAT("weather.tbl[",O$1,"]")),MATCH(vp.tbl[[#This Row],[SDate]],weather.tbl[Date],0))</f>
        <v>-12.469047619047618</v>
      </c>
      <c r="P937" s="2">
        <f ca="1">INDEX(INDIRECT(_xlfn.CONCAT("weather.tbl[",P$1,"]")),MATCH(vp.tbl[[#This Row],[SDate]],weather.tbl[Date],0))</f>
        <v>-6.2</v>
      </c>
      <c r="Q937" s="2">
        <f ca="1">INDEX(INDIRECT(_xlfn.CONCAT("weather.tbl[",Q$1,"]")),MATCH(vp.tbl[[#This Row],[SDate]],weather.tbl[Date],0))</f>
        <v>-6.2</v>
      </c>
      <c r="R937" s="2">
        <f ca="1">INDEX(INDIRECT(_xlfn.CONCAT("weather.tbl[",R$1,"]")),MATCH(vp.tbl[[#This Row],[SDate]],weather.tbl[Date],0))</f>
        <v>-12.3</v>
      </c>
      <c r="S937" s="2">
        <f ca="1">INDEX(INDIRECT(_xlfn.CONCAT("weather.tbl[",S$1,"]")),MATCH(vp.tbl[[#This Row],[SDate]],weather.tbl[Date],0))</f>
        <v>-3.4</v>
      </c>
      <c r="T937" s="2">
        <f ca="1">INDEX(INDIRECT(_xlfn.CONCAT("weather.tbl[",T$1,"]")),MATCH(vp.tbl[[#This Row],[SDate]],weather.tbl[Date],0))</f>
        <v>-9.1</v>
      </c>
      <c r="U937" s="2">
        <f ca="1">INDEX(INDIRECT(_xlfn.CONCAT("weather.tbl[",U$1,"]")),MATCH(vp.tbl[[#This Row],[SDate]],weather.tbl[Date],0))</f>
        <v>-7.3</v>
      </c>
      <c r="V937" s="2">
        <v>1068.2539999999999</v>
      </c>
      <c r="W937" t="s">
        <v>48</v>
      </c>
      <c r="X937">
        <f>IF(OR(vp.tbl[[#This Row],[Sulf]]="",vp.tbl[[#This Row],[Dens]]=""),1,0)</f>
        <v>0</v>
      </c>
      <c r="Y937">
        <f>IF(vp.tbl[[#This Row],[CrudeType]]="C5+",1,0)</f>
        <v>0</v>
      </c>
      <c r="Z937">
        <f>IF(AND(vp.tbl[[#This Row],[CrudeType]]="Crude",vp.tbl[[#This Row],[Dens]]&lt;=825,vp.tbl[[#This Row],[Sulf]]&gt;0.5,vp.tbl[[#This Row],[Unknown]]=0),1,0)</f>
        <v>0</v>
      </c>
      <c r="AA937">
        <f>IF(AND(vp.tbl[[#This Row],[CrudeType]]="Crude",vp.tbl[[#This Row],[Dens]]&lt;=825,vp.tbl[[#This Row],[Sulf]]&lt;=0.5,vp.tbl[[#This Row],[Unknown]]=0),1,0)</f>
        <v>0</v>
      </c>
      <c r="AB937">
        <f>IF(AND(vp.tbl[[#This Row],[CrudeType]]="Crude",vp.tbl[[#This Row],[Dens]]&gt;825,vp.tbl[[#This Row],[Dens]]&lt;=870,vp.tbl[[#This Row],[Sulf]]&gt;0.5,vp.tbl[[#This Row],[Unknown]]=0),1,0)</f>
        <v>1</v>
      </c>
      <c r="AC937">
        <f>IF(AND(vp.tbl[[#This Row],[CrudeType]]="Crude",vp.tbl[[#This Row],[Dens]]&gt;825,vp.tbl[[#This Row],[Dens]]&lt;=900,vp.tbl[[#This Row],[Sulf]]&lt;=0.5,vp.tbl[[#This Row],[Unknown]]=0),1,0)</f>
        <v>0</v>
      </c>
      <c r="AD937">
        <f>IF(AND(vp.tbl[[#This Row],[CrudeType]]="Crude",vp.tbl[[#This Row],[Dens]]&gt;870,vp.tbl[[#This Row],[Dens]]&lt;=900,vp.tbl[[#This Row],[Sulf]]&gt;0.5,vp.tbl[[#This Row],[Unknown]]=0),1,0)</f>
        <v>0</v>
      </c>
      <c r="AE937">
        <f>IF(AND(vp.tbl[[#This Row],[CrudeType]]="Crude",vp.tbl[[#This Row],[Dens]]&gt;900,vp.tbl[[#This Row],[Sulf]]&lt;=0.5,vp.tbl[[#This Row],[Unknown]]=0),1,0)</f>
        <v>0</v>
      </c>
      <c r="AF937">
        <f>IF(AND(vp.tbl[[#This Row],[CrudeType]]="Crude",vp.tbl[[#This Row],[Dens]]&gt;900,vp.tbl[[#This Row],[Sulf]]&lt;=0.5,vp.tbl[[#This Row],[Unknown]]=0),1,0)</f>
        <v>0</v>
      </c>
      <c r="AG937" t="str">
        <f>INDEX(vp.tbl[[#Headers],[Unknown]:[Heavy_SW]],MATCH(1,vp.tbl[[#This Row],[Unknown]:[Heavy_SW]],0))</f>
        <v>Medium_LSB</v>
      </c>
      <c r="AH937" t="e">
        <f>INDEX([1]!crudeBD.lkup[Number],MATCH(vp.tbl[[#This Row],[Crude_Breakdown]],[1]!crudeBD.lkup[Crude Breakdown],0))</f>
        <v>#REF!</v>
      </c>
      <c r="AI937">
        <f>MONTH(vp.tbl[[#This Row],[SDate]])</f>
        <v>3</v>
      </c>
      <c r="AJ937" s="5">
        <f>IFERROR(vp.tbl[[#This Row],[Sulf]]*vp.tbl[[#This Row],[Net Dens]],"")</f>
        <v>1126602.0334799998</v>
      </c>
      <c r="AK937" s="5">
        <f>IFERROR(vp.tbl[[#This Row],[Dens]]*vp.tbl[[#This Row],[VolumeM3]],"")</f>
        <v>908550.02699999989</v>
      </c>
      <c r="AL937" s="5">
        <f>IFERROR(vp.tbl[[#This Row],[VP]]*vp.tbl[[#This Row],[VolumeM3]],"")</f>
        <v>85994.446999999986</v>
      </c>
      <c r="AM937" s="4">
        <f>IFERROR((vp.tbl[[#This Row],[VP]]-INDEX(crudeBD.lkup.complete[Mean_VP],MATCH(vp.tbl[[#This Row],[Crude_Breakdown]],crudeBD.lkup.complete[Crude Breakdown],0)))^2,"")</f>
        <v>0.10654026534211669</v>
      </c>
      <c r="AN937" s="4">
        <f>IFERROR((vp.tbl[[#This Row],[Dens]]-INDEX(crudeBD.lkup.complete[Mean_Dens],MATCH(vp.tbl[[#This Row],[Crude_Breakdown]],crudeBD.lkup.complete[Crude Breakdown],0)))^2,"")</f>
        <v>27.125109904833202</v>
      </c>
      <c r="AO937" s="4">
        <f>IFERROR((vp.tbl[[#This Row],[Sulf]]-INDEX(crudeBD.lkup.complete[Mean_Sulf],MATCH(vp.tbl[[#This Row],[Crude_Breakdown]],crudeBD.lkup.complete[Crude Breakdown],0)))^2,"")</f>
        <v>4.6194845046095979E-2</v>
      </c>
      <c r="AP937">
        <f>IF(AND(vp.tbl[[#This Row],[SDate]]&gt;=DATE(YEAR(vp.tbl[[#This Row],[SDate]]),5,1),vp.tbl[[#This Row],[SDate]]&lt;=DATE(YEAR(vp.tbl[[#This Row],[SDate]]),9,15)),1,0)</f>
        <v>0</v>
      </c>
      <c r="AQ937" s="15">
        <f>IF(vp.tbl[[#This Row],[SDate]]&lt;DATE(2016,12,1),0,1)</f>
        <v>1</v>
      </c>
    </row>
    <row r="938" spans="1:43" x14ac:dyDescent="0.25">
      <c r="A938">
        <v>937</v>
      </c>
      <c r="B938" t="s">
        <v>49</v>
      </c>
      <c r="C938" t="s">
        <v>49</v>
      </c>
      <c r="D938" t="s">
        <v>80</v>
      </c>
      <c r="F938" s="1">
        <v>42799</v>
      </c>
      <c r="G938" s="2">
        <v>88.3</v>
      </c>
      <c r="H938" s="2">
        <v>0.49299999999999999</v>
      </c>
      <c r="I938" s="2">
        <v>0.49299999999999999</v>
      </c>
      <c r="J938" s="2">
        <v>16.2</v>
      </c>
      <c r="K938" s="2">
        <v>4</v>
      </c>
      <c r="L938" s="2">
        <v>816</v>
      </c>
      <c r="M938" s="2">
        <v>816</v>
      </c>
      <c r="N938" s="2">
        <f ca="1">INDEX(INDIRECT(_xlfn.CONCAT("weather.tbl[",N$1,"]")),MATCH(vp.tbl[[#This Row],[SDate]],weather.tbl[Date],0))</f>
        <v>-4.9999999999999968E-2</v>
      </c>
      <c r="O938" s="2">
        <f ca="1">INDEX(INDIRECT(_xlfn.CONCAT("weather.tbl[",O$1,"]")),MATCH(vp.tbl[[#This Row],[SDate]],weather.tbl[Date],0))</f>
        <v>-9.1476190476190471</v>
      </c>
      <c r="P938" s="2">
        <f ca="1">INDEX(INDIRECT(_xlfn.CONCAT("weather.tbl[",P$1,"]")),MATCH(vp.tbl[[#This Row],[SDate]],weather.tbl[Date],0))</f>
        <v>0.8</v>
      </c>
      <c r="Q938" s="2">
        <f ca="1">INDEX(INDIRECT(_xlfn.CONCAT("weather.tbl[",Q$1,"]")),MATCH(vp.tbl[[#This Row],[SDate]],weather.tbl[Date],0))</f>
        <v>-0.5</v>
      </c>
      <c r="R938" s="2">
        <f ca="1">INDEX(INDIRECT(_xlfn.CONCAT("weather.tbl[",R$1,"]")),MATCH(vp.tbl[[#This Row],[SDate]],weather.tbl[Date],0))</f>
        <v>-1.8</v>
      </c>
      <c r="S938" s="2">
        <f ca="1">INDEX(INDIRECT(_xlfn.CONCAT("weather.tbl[",S$1,"]")),MATCH(vp.tbl[[#This Row],[SDate]],weather.tbl[Date],0))</f>
        <v>1.1000000000000001</v>
      </c>
      <c r="T938" s="2">
        <f ca="1">INDEX(INDIRECT(_xlfn.CONCAT("weather.tbl[",T$1,"]")),MATCH(vp.tbl[[#This Row],[SDate]],weather.tbl[Date],0))</f>
        <v>-0.7</v>
      </c>
      <c r="U938" s="2">
        <f ca="1">INDEX(INDIRECT(_xlfn.CONCAT("weather.tbl[",U$1,"]")),MATCH(vp.tbl[[#This Row],[SDate]],weather.tbl[Date],0))</f>
        <v>0.8</v>
      </c>
      <c r="V938" s="2">
        <v>23623.538</v>
      </c>
      <c r="W938" t="s">
        <v>48</v>
      </c>
      <c r="X938">
        <f>IF(OR(vp.tbl[[#This Row],[Sulf]]="",vp.tbl[[#This Row],[Dens]]=""),1,0)</f>
        <v>0</v>
      </c>
      <c r="Y938">
        <f>IF(vp.tbl[[#This Row],[CrudeType]]="C5+",1,0)</f>
        <v>0</v>
      </c>
      <c r="Z938">
        <f>IF(AND(vp.tbl[[#This Row],[CrudeType]]="Crude",vp.tbl[[#This Row],[Dens]]&lt;=825,vp.tbl[[#This Row],[Sulf]]&gt;0.5,vp.tbl[[#This Row],[Unknown]]=0),1,0)</f>
        <v>0</v>
      </c>
      <c r="AA938">
        <f>IF(AND(vp.tbl[[#This Row],[CrudeType]]="Crude",vp.tbl[[#This Row],[Dens]]&lt;=825,vp.tbl[[#This Row],[Sulf]]&lt;=0.5,vp.tbl[[#This Row],[Unknown]]=0),1,0)</f>
        <v>1</v>
      </c>
      <c r="AB938">
        <f>IF(AND(vp.tbl[[#This Row],[CrudeType]]="Crude",vp.tbl[[#This Row],[Dens]]&gt;825,vp.tbl[[#This Row],[Dens]]&lt;=870,vp.tbl[[#This Row],[Sulf]]&gt;0.5,vp.tbl[[#This Row],[Unknown]]=0),1,0)</f>
        <v>0</v>
      </c>
      <c r="AC938">
        <f>IF(AND(vp.tbl[[#This Row],[CrudeType]]="Crude",vp.tbl[[#This Row],[Dens]]&gt;825,vp.tbl[[#This Row],[Dens]]&lt;=900,vp.tbl[[#This Row],[Sulf]]&lt;=0.5,vp.tbl[[#This Row],[Unknown]]=0),1,0)</f>
        <v>0</v>
      </c>
      <c r="AD938">
        <f>IF(AND(vp.tbl[[#This Row],[CrudeType]]="Crude",vp.tbl[[#This Row],[Dens]]&gt;870,vp.tbl[[#This Row],[Dens]]&lt;=900,vp.tbl[[#This Row],[Sulf]]&gt;0.5,vp.tbl[[#This Row],[Unknown]]=0),1,0)</f>
        <v>0</v>
      </c>
      <c r="AE938">
        <f>IF(AND(vp.tbl[[#This Row],[CrudeType]]="Crude",vp.tbl[[#This Row],[Dens]]&gt;900,vp.tbl[[#This Row],[Sulf]]&lt;=0.5,vp.tbl[[#This Row],[Unknown]]=0),1,0)</f>
        <v>0</v>
      </c>
      <c r="AF938">
        <f>IF(AND(vp.tbl[[#This Row],[CrudeType]]="Crude",vp.tbl[[#This Row],[Dens]]&gt;900,vp.tbl[[#This Row],[Sulf]]&lt;=0.5,vp.tbl[[#This Row],[Unknown]]=0),1,0)</f>
        <v>0</v>
      </c>
      <c r="AG938" t="str">
        <f>INDEX(vp.tbl[[#Headers],[Unknown]:[Heavy_SW]],MATCH(1,vp.tbl[[#This Row],[Unknown]:[Heavy_SW]],0))</f>
        <v>Light_SW</v>
      </c>
      <c r="AH938" t="e">
        <f>INDEX([1]!crudeBD.lkup[Number],MATCH(vp.tbl[[#This Row],[Crude_Breakdown]],[1]!crudeBD.lkup[Crude Breakdown],0))</f>
        <v>#REF!</v>
      </c>
      <c r="AI938">
        <f>MONTH(vp.tbl[[#This Row],[SDate]])</f>
        <v>3</v>
      </c>
      <c r="AJ938" s="5">
        <f>IFERROR(vp.tbl[[#This Row],[Sulf]]*vp.tbl[[#This Row],[Net Dens]],"")</f>
        <v>9503465.854944</v>
      </c>
      <c r="AK938" s="5">
        <f>IFERROR(vp.tbl[[#This Row],[Dens]]*vp.tbl[[#This Row],[VolumeM3]],"")</f>
        <v>19276807.008000001</v>
      </c>
      <c r="AL938" s="5">
        <f>IFERROR(vp.tbl[[#This Row],[VP]]*vp.tbl[[#This Row],[VolumeM3]],"")</f>
        <v>2085958.4054</v>
      </c>
      <c r="AM938" s="4">
        <f>IFERROR((vp.tbl[[#This Row],[VP]]-INDEX(crudeBD.lkup.complete[Mean_VP],MATCH(vp.tbl[[#This Row],[Crude_Breakdown]],crudeBD.lkup.complete[Crude Breakdown],0)))^2,"")</f>
        <v>18.065165603564221</v>
      </c>
      <c r="AN938" s="4">
        <f>IFERROR((vp.tbl[[#This Row],[Dens]]-INDEX(crudeBD.lkup.complete[Mean_Dens],MATCH(vp.tbl[[#This Row],[Crude_Breakdown]],crudeBD.lkup.complete[Crude Breakdown],0)))^2,"")</f>
        <v>59.113059039204998</v>
      </c>
      <c r="AO938" s="4">
        <f>IFERROR((vp.tbl[[#This Row],[Sulf]]-INDEX(crudeBD.lkup.complete[Mean_Sulf],MATCH(vp.tbl[[#This Row],[Crude_Breakdown]],crudeBD.lkup.complete[Crude Breakdown],0)))^2,"")</f>
        <v>6.5924767183770674E-2</v>
      </c>
      <c r="AP938">
        <f>IF(AND(vp.tbl[[#This Row],[SDate]]&gt;=DATE(YEAR(vp.tbl[[#This Row],[SDate]]),5,1),vp.tbl[[#This Row],[SDate]]&lt;=DATE(YEAR(vp.tbl[[#This Row],[SDate]]),9,15)),1,0)</f>
        <v>0</v>
      </c>
      <c r="AQ938" s="15">
        <f>IF(vp.tbl[[#This Row],[SDate]]&lt;DATE(2016,12,1),0,1)</f>
        <v>1</v>
      </c>
    </row>
    <row r="939" spans="1:43" x14ac:dyDescent="0.25">
      <c r="A939">
        <v>938</v>
      </c>
      <c r="B939" t="s">
        <v>49</v>
      </c>
      <c r="C939" t="s">
        <v>49</v>
      </c>
      <c r="D939" t="s">
        <v>67</v>
      </c>
      <c r="F939" s="1">
        <v>42799</v>
      </c>
      <c r="G939" s="2">
        <v>103</v>
      </c>
      <c r="H939" s="2">
        <v>0.60499999999999998</v>
      </c>
      <c r="I939" s="2">
        <v>0.60499999999999998</v>
      </c>
      <c r="J939" s="2"/>
      <c r="K939" s="2">
        <v>4</v>
      </c>
      <c r="L939" s="2">
        <v>814.4</v>
      </c>
      <c r="M939" s="2">
        <v>814.4</v>
      </c>
      <c r="N939" s="2">
        <f ca="1">INDEX(INDIRECT(_xlfn.CONCAT("weather.tbl[",N$1,"]")),MATCH(vp.tbl[[#This Row],[SDate]],weather.tbl[Date],0))</f>
        <v>-4.9999999999999968E-2</v>
      </c>
      <c r="O939" s="2">
        <f ca="1">INDEX(INDIRECT(_xlfn.CONCAT("weather.tbl[",O$1,"]")),MATCH(vp.tbl[[#This Row],[SDate]],weather.tbl[Date],0))</f>
        <v>-9.1476190476190471</v>
      </c>
      <c r="P939" s="2">
        <f ca="1">INDEX(INDIRECT(_xlfn.CONCAT("weather.tbl[",P$1,"]")),MATCH(vp.tbl[[#This Row],[SDate]],weather.tbl[Date],0))</f>
        <v>0.8</v>
      </c>
      <c r="Q939" s="2">
        <f ca="1">INDEX(INDIRECT(_xlfn.CONCAT("weather.tbl[",Q$1,"]")),MATCH(vp.tbl[[#This Row],[SDate]],weather.tbl[Date],0))</f>
        <v>-0.5</v>
      </c>
      <c r="R939" s="2">
        <f ca="1">INDEX(INDIRECT(_xlfn.CONCAT("weather.tbl[",R$1,"]")),MATCH(vp.tbl[[#This Row],[SDate]],weather.tbl[Date],0))</f>
        <v>-1.8</v>
      </c>
      <c r="S939" s="2">
        <f ca="1">INDEX(INDIRECT(_xlfn.CONCAT("weather.tbl[",S$1,"]")),MATCH(vp.tbl[[#This Row],[SDate]],weather.tbl[Date],0))</f>
        <v>1.1000000000000001</v>
      </c>
      <c r="T939" s="2">
        <f ca="1">INDEX(INDIRECT(_xlfn.CONCAT("weather.tbl[",T$1,"]")),MATCH(vp.tbl[[#This Row],[SDate]],weather.tbl[Date],0))</f>
        <v>-0.7</v>
      </c>
      <c r="U939" s="2">
        <f ca="1">INDEX(INDIRECT(_xlfn.CONCAT("weather.tbl[",U$1,"]")),MATCH(vp.tbl[[#This Row],[SDate]],weather.tbl[Date],0))</f>
        <v>0.8</v>
      </c>
      <c r="V939" s="2">
        <v>132627.41099999999</v>
      </c>
      <c r="W939" t="s">
        <v>48</v>
      </c>
      <c r="X939">
        <f>IF(OR(vp.tbl[[#This Row],[Sulf]]="",vp.tbl[[#This Row],[Dens]]=""),1,0)</f>
        <v>0</v>
      </c>
      <c r="Y939">
        <f>IF(vp.tbl[[#This Row],[CrudeType]]="C5+",1,0)</f>
        <v>0</v>
      </c>
      <c r="Z939">
        <f>IF(AND(vp.tbl[[#This Row],[CrudeType]]="Crude",vp.tbl[[#This Row],[Dens]]&lt;=825,vp.tbl[[#This Row],[Sulf]]&gt;0.5,vp.tbl[[#This Row],[Unknown]]=0),1,0)</f>
        <v>1</v>
      </c>
      <c r="AA939">
        <f>IF(AND(vp.tbl[[#This Row],[CrudeType]]="Crude",vp.tbl[[#This Row],[Dens]]&lt;=825,vp.tbl[[#This Row],[Sulf]]&lt;=0.5,vp.tbl[[#This Row],[Unknown]]=0),1,0)</f>
        <v>0</v>
      </c>
      <c r="AB939">
        <f>IF(AND(vp.tbl[[#This Row],[CrudeType]]="Crude",vp.tbl[[#This Row],[Dens]]&gt;825,vp.tbl[[#This Row],[Dens]]&lt;=870,vp.tbl[[#This Row],[Sulf]]&gt;0.5,vp.tbl[[#This Row],[Unknown]]=0),1,0)</f>
        <v>0</v>
      </c>
      <c r="AC939">
        <f>IF(AND(vp.tbl[[#This Row],[CrudeType]]="Crude",vp.tbl[[#This Row],[Dens]]&gt;825,vp.tbl[[#This Row],[Dens]]&lt;=900,vp.tbl[[#This Row],[Sulf]]&lt;=0.5,vp.tbl[[#This Row],[Unknown]]=0),1,0)</f>
        <v>0</v>
      </c>
      <c r="AD939">
        <f>IF(AND(vp.tbl[[#This Row],[CrudeType]]="Crude",vp.tbl[[#This Row],[Dens]]&gt;870,vp.tbl[[#This Row],[Dens]]&lt;=900,vp.tbl[[#This Row],[Sulf]]&gt;0.5,vp.tbl[[#This Row],[Unknown]]=0),1,0)</f>
        <v>0</v>
      </c>
      <c r="AE939">
        <f>IF(AND(vp.tbl[[#This Row],[CrudeType]]="Crude",vp.tbl[[#This Row],[Dens]]&gt;900,vp.tbl[[#This Row],[Sulf]]&lt;=0.5,vp.tbl[[#This Row],[Unknown]]=0),1,0)</f>
        <v>0</v>
      </c>
      <c r="AF939">
        <f>IF(AND(vp.tbl[[#This Row],[CrudeType]]="Crude",vp.tbl[[#This Row],[Dens]]&gt;900,vp.tbl[[#This Row],[Sulf]]&lt;=0.5,vp.tbl[[#This Row],[Unknown]]=0),1,0)</f>
        <v>0</v>
      </c>
      <c r="AG939" t="str">
        <f>INDEX(vp.tbl[[#Headers],[Unknown]:[Heavy_SW]],MATCH(1,vp.tbl[[#This Row],[Unknown]:[Heavy_SW]],0))</f>
        <v>Light_LSB</v>
      </c>
      <c r="AH939" t="e">
        <f>INDEX([1]!crudeBD.lkup[Number],MATCH(vp.tbl[[#This Row],[Crude_Breakdown]],[1]!crudeBD.lkup[Crude Breakdown],0))</f>
        <v>#REF!</v>
      </c>
      <c r="AI939">
        <f>MONTH(vp.tbl[[#This Row],[SDate]])</f>
        <v>3</v>
      </c>
      <c r="AJ939" s="5">
        <f>IFERROR(vp.tbl[[#This Row],[Sulf]]*vp.tbl[[#This Row],[Net Dens]],"")</f>
        <v>65347116.928631999</v>
      </c>
      <c r="AK939" s="5">
        <f>IFERROR(vp.tbl[[#This Row],[Dens]]*vp.tbl[[#This Row],[VolumeM3]],"")</f>
        <v>108011763.5184</v>
      </c>
      <c r="AL939" s="5">
        <f>IFERROR(vp.tbl[[#This Row],[VP]]*vp.tbl[[#This Row],[VolumeM3]],"")</f>
        <v>13660623.332999999</v>
      </c>
      <c r="AM939" s="4">
        <f>IFERROR((vp.tbl[[#This Row],[VP]]-INDEX(crudeBD.lkup.complete[Mean_VP],MATCH(vp.tbl[[#This Row],[Crude_Breakdown]],crudeBD.lkup.complete[Crude Breakdown],0)))^2,"")</f>
        <v>131.18986506536223</v>
      </c>
      <c r="AN939" s="4">
        <f>IFERROR((vp.tbl[[#This Row],[Dens]]-INDEX(crudeBD.lkup.complete[Mean_Dens],MATCH(vp.tbl[[#This Row],[Crude_Breakdown]],crudeBD.lkup.complete[Crude Breakdown],0)))^2,"")</f>
        <v>16.947793252321027</v>
      </c>
      <c r="AO939" s="4">
        <f>IFERROR((vp.tbl[[#This Row],[Sulf]]-INDEX(crudeBD.lkup.complete[Mean_Sulf],MATCH(vp.tbl[[#This Row],[Crude_Breakdown]],crudeBD.lkup.complete[Crude Breakdown],0)))^2,"")</f>
        <v>0.10110566392404538</v>
      </c>
      <c r="AP939">
        <f>IF(AND(vp.tbl[[#This Row],[SDate]]&gt;=DATE(YEAR(vp.tbl[[#This Row],[SDate]]),5,1),vp.tbl[[#This Row],[SDate]]&lt;=DATE(YEAR(vp.tbl[[#This Row],[SDate]]),9,15)),1,0)</f>
        <v>0</v>
      </c>
      <c r="AQ939" s="15">
        <f>IF(vp.tbl[[#This Row],[SDate]]&lt;DATE(2016,12,1),0,1)</f>
        <v>1</v>
      </c>
    </row>
    <row r="940" spans="1:43" x14ac:dyDescent="0.25">
      <c r="A940">
        <v>939</v>
      </c>
      <c r="B940" t="s">
        <v>49</v>
      </c>
      <c r="C940" t="s">
        <v>49</v>
      </c>
      <c r="D940" t="s">
        <v>100</v>
      </c>
      <c r="F940" s="1">
        <v>42799</v>
      </c>
      <c r="G940" s="2">
        <v>92.1</v>
      </c>
      <c r="H940" s="2">
        <v>0.65400000000000003</v>
      </c>
      <c r="I940" s="2">
        <v>0.65400000000000003</v>
      </c>
      <c r="J940" s="2">
        <v>17</v>
      </c>
      <c r="K940" s="2">
        <v>4</v>
      </c>
      <c r="L940" s="2">
        <v>820.8</v>
      </c>
      <c r="M940" s="2">
        <v>820.8</v>
      </c>
      <c r="N940" s="2">
        <f ca="1">INDEX(INDIRECT(_xlfn.CONCAT("weather.tbl[",N$1,"]")),MATCH(vp.tbl[[#This Row],[SDate]],weather.tbl[Date],0))</f>
        <v>-4.9999999999999968E-2</v>
      </c>
      <c r="O940" s="2">
        <f ca="1">INDEX(INDIRECT(_xlfn.CONCAT("weather.tbl[",O$1,"]")),MATCH(vp.tbl[[#This Row],[SDate]],weather.tbl[Date],0))</f>
        <v>-9.1476190476190471</v>
      </c>
      <c r="P940" s="2">
        <f ca="1">INDEX(INDIRECT(_xlfn.CONCAT("weather.tbl[",P$1,"]")),MATCH(vp.tbl[[#This Row],[SDate]],weather.tbl[Date],0))</f>
        <v>0.8</v>
      </c>
      <c r="Q940" s="2">
        <f ca="1">INDEX(INDIRECT(_xlfn.CONCAT("weather.tbl[",Q$1,"]")),MATCH(vp.tbl[[#This Row],[SDate]],weather.tbl[Date],0))</f>
        <v>-0.5</v>
      </c>
      <c r="R940" s="2">
        <f ca="1">INDEX(INDIRECT(_xlfn.CONCAT("weather.tbl[",R$1,"]")),MATCH(vp.tbl[[#This Row],[SDate]],weather.tbl[Date],0))</f>
        <v>-1.8</v>
      </c>
      <c r="S940" s="2">
        <f ca="1">INDEX(INDIRECT(_xlfn.CONCAT("weather.tbl[",S$1,"]")),MATCH(vp.tbl[[#This Row],[SDate]],weather.tbl[Date],0))</f>
        <v>1.1000000000000001</v>
      </c>
      <c r="T940" s="2">
        <f ca="1">INDEX(INDIRECT(_xlfn.CONCAT("weather.tbl[",T$1,"]")),MATCH(vp.tbl[[#This Row],[SDate]],weather.tbl[Date],0))</f>
        <v>-0.7</v>
      </c>
      <c r="U940" s="2">
        <f ca="1">INDEX(INDIRECT(_xlfn.CONCAT("weather.tbl[",U$1,"]")),MATCH(vp.tbl[[#This Row],[SDate]],weather.tbl[Date],0))</f>
        <v>0.8</v>
      </c>
      <c r="V940" s="2">
        <v>10867.904</v>
      </c>
      <c r="W940" t="s">
        <v>48</v>
      </c>
      <c r="X940">
        <f>IF(OR(vp.tbl[[#This Row],[Sulf]]="",vp.tbl[[#This Row],[Dens]]=""),1,0)</f>
        <v>0</v>
      </c>
      <c r="Y940">
        <f>IF(vp.tbl[[#This Row],[CrudeType]]="C5+",1,0)</f>
        <v>0</v>
      </c>
      <c r="Z940">
        <f>IF(AND(vp.tbl[[#This Row],[CrudeType]]="Crude",vp.tbl[[#This Row],[Dens]]&lt;=825,vp.tbl[[#This Row],[Sulf]]&gt;0.5,vp.tbl[[#This Row],[Unknown]]=0),1,0)</f>
        <v>1</v>
      </c>
      <c r="AA940">
        <f>IF(AND(vp.tbl[[#This Row],[CrudeType]]="Crude",vp.tbl[[#This Row],[Dens]]&lt;=825,vp.tbl[[#This Row],[Sulf]]&lt;=0.5,vp.tbl[[#This Row],[Unknown]]=0),1,0)</f>
        <v>0</v>
      </c>
      <c r="AB940">
        <f>IF(AND(vp.tbl[[#This Row],[CrudeType]]="Crude",vp.tbl[[#This Row],[Dens]]&gt;825,vp.tbl[[#This Row],[Dens]]&lt;=870,vp.tbl[[#This Row],[Sulf]]&gt;0.5,vp.tbl[[#This Row],[Unknown]]=0),1,0)</f>
        <v>0</v>
      </c>
      <c r="AC940">
        <f>IF(AND(vp.tbl[[#This Row],[CrudeType]]="Crude",vp.tbl[[#This Row],[Dens]]&gt;825,vp.tbl[[#This Row],[Dens]]&lt;=900,vp.tbl[[#This Row],[Sulf]]&lt;=0.5,vp.tbl[[#This Row],[Unknown]]=0),1,0)</f>
        <v>0</v>
      </c>
      <c r="AD940">
        <f>IF(AND(vp.tbl[[#This Row],[CrudeType]]="Crude",vp.tbl[[#This Row],[Dens]]&gt;870,vp.tbl[[#This Row],[Dens]]&lt;=900,vp.tbl[[#This Row],[Sulf]]&gt;0.5,vp.tbl[[#This Row],[Unknown]]=0),1,0)</f>
        <v>0</v>
      </c>
      <c r="AE940">
        <f>IF(AND(vp.tbl[[#This Row],[CrudeType]]="Crude",vp.tbl[[#This Row],[Dens]]&gt;900,vp.tbl[[#This Row],[Sulf]]&lt;=0.5,vp.tbl[[#This Row],[Unknown]]=0),1,0)</f>
        <v>0</v>
      </c>
      <c r="AF940">
        <f>IF(AND(vp.tbl[[#This Row],[CrudeType]]="Crude",vp.tbl[[#This Row],[Dens]]&gt;900,vp.tbl[[#This Row],[Sulf]]&lt;=0.5,vp.tbl[[#This Row],[Unknown]]=0),1,0)</f>
        <v>0</v>
      </c>
      <c r="AG940" t="str">
        <f>INDEX(vp.tbl[[#Headers],[Unknown]:[Heavy_SW]],MATCH(1,vp.tbl[[#This Row],[Unknown]:[Heavy_SW]],0))</f>
        <v>Light_LSB</v>
      </c>
      <c r="AH940" t="e">
        <f>INDEX([1]!crudeBD.lkup[Number],MATCH(vp.tbl[[#This Row],[Crude_Breakdown]],[1]!crudeBD.lkup[Crude Breakdown],0))</f>
        <v>#REF!</v>
      </c>
      <c r="AI940">
        <f>MONTH(vp.tbl[[#This Row],[SDate]])</f>
        <v>3</v>
      </c>
      <c r="AJ940" s="5">
        <f>IFERROR(vp.tbl[[#This Row],[Sulf]]*vp.tbl[[#This Row],[Net Dens]],"")</f>
        <v>5833925.6444928003</v>
      </c>
      <c r="AK940" s="5">
        <f>IFERROR(vp.tbl[[#This Row],[Dens]]*vp.tbl[[#This Row],[VolumeM3]],"")</f>
        <v>8920375.6031999998</v>
      </c>
      <c r="AL940" s="5">
        <f>IFERROR(vp.tbl[[#This Row],[VP]]*vp.tbl[[#This Row],[VolumeM3]],"")</f>
        <v>1000933.9584</v>
      </c>
      <c r="AM940" s="4">
        <f>IFERROR((vp.tbl[[#This Row],[VP]]-INDEX(crudeBD.lkup.complete[Mean_VP],MATCH(vp.tbl[[#This Row],[Crude_Breakdown]],crudeBD.lkup.complete[Crude Breakdown],0)))^2,"")</f>
        <v>0.30671042618765187</v>
      </c>
      <c r="AN940" s="4">
        <f>IFERROR((vp.tbl[[#This Row],[Dens]]-INDEX(crudeBD.lkup.complete[Mean_Dens],MATCH(vp.tbl[[#This Row],[Crude_Breakdown]],crudeBD.lkup.complete[Crude Breakdown],0)))^2,"")</f>
        <v>5.2131403313624531</v>
      </c>
      <c r="AO940" s="4">
        <f>IFERROR((vp.tbl[[#This Row],[Sulf]]-INDEX(crudeBD.lkup.complete[Mean_Sulf],MATCH(vp.tbl[[#This Row],[Crude_Breakdown]],crudeBD.lkup.complete[Crude Breakdown],0)))^2,"")</f>
        <v>7.2345489422327172E-2</v>
      </c>
      <c r="AP940">
        <f>IF(AND(vp.tbl[[#This Row],[SDate]]&gt;=DATE(YEAR(vp.tbl[[#This Row],[SDate]]),5,1),vp.tbl[[#This Row],[SDate]]&lt;=DATE(YEAR(vp.tbl[[#This Row],[SDate]]),9,15)),1,0)</f>
        <v>0</v>
      </c>
      <c r="AQ940" s="15">
        <f>IF(vp.tbl[[#This Row],[SDate]]&lt;DATE(2016,12,1),0,1)</f>
        <v>1</v>
      </c>
    </row>
    <row r="941" spans="1:43" x14ac:dyDescent="0.25">
      <c r="A941">
        <v>940</v>
      </c>
      <c r="B941" t="s">
        <v>49</v>
      </c>
      <c r="C941" t="s">
        <v>49</v>
      </c>
      <c r="D941" t="s">
        <v>89</v>
      </c>
      <c r="F941" s="1">
        <v>42799</v>
      </c>
      <c r="G941" s="2">
        <v>91</v>
      </c>
      <c r="H941" s="2">
        <v>0.69099999999999995</v>
      </c>
      <c r="I941" s="2">
        <v>0.69099999999999995</v>
      </c>
      <c r="J941" s="2">
        <v>6.5</v>
      </c>
      <c r="K941" s="2">
        <v>4</v>
      </c>
      <c r="L941" s="2">
        <v>817.3</v>
      </c>
      <c r="M941" s="2">
        <v>817.3</v>
      </c>
      <c r="N941" s="2">
        <f ca="1">INDEX(INDIRECT(_xlfn.CONCAT("weather.tbl[",N$1,"]")),MATCH(vp.tbl[[#This Row],[SDate]],weather.tbl[Date],0))</f>
        <v>-4.9999999999999968E-2</v>
      </c>
      <c r="O941" s="2">
        <f ca="1">INDEX(INDIRECT(_xlfn.CONCAT("weather.tbl[",O$1,"]")),MATCH(vp.tbl[[#This Row],[SDate]],weather.tbl[Date],0))</f>
        <v>-9.1476190476190471</v>
      </c>
      <c r="P941" s="2">
        <f ca="1">INDEX(INDIRECT(_xlfn.CONCAT("weather.tbl[",P$1,"]")),MATCH(vp.tbl[[#This Row],[SDate]],weather.tbl[Date],0))</f>
        <v>0.8</v>
      </c>
      <c r="Q941" s="2">
        <f ca="1">INDEX(INDIRECT(_xlfn.CONCAT("weather.tbl[",Q$1,"]")),MATCH(vp.tbl[[#This Row],[SDate]],weather.tbl[Date],0))</f>
        <v>-0.5</v>
      </c>
      <c r="R941" s="2">
        <f ca="1">INDEX(INDIRECT(_xlfn.CONCAT("weather.tbl[",R$1,"]")),MATCH(vp.tbl[[#This Row],[SDate]],weather.tbl[Date],0))</f>
        <v>-1.8</v>
      </c>
      <c r="S941" s="2">
        <f ca="1">INDEX(INDIRECT(_xlfn.CONCAT("weather.tbl[",S$1,"]")),MATCH(vp.tbl[[#This Row],[SDate]],weather.tbl[Date],0))</f>
        <v>1.1000000000000001</v>
      </c>
      <c r="T941" s="2">
        <f ca="1">INDEX(INDIRECT(_xlfn.CONCAT("weather.tbl[",T$1,"]")),MATCH(vp.tbl[[#This Row],[SDate]],weather.tbl[Date],0))</f>
        <v>-0.7</v>
      </c>
      <c r="U941" s="2">
        <f ca="1">INDEX(INDIRECT(_xlfn.CONCAT("weather.tbl[",U$1,"]")),MATCH(vp.tbl[[#This Row],[SDate]],weather.tbl[Date],0))</f>
        <v>0.8</v>
      </c>
      <c r="V941" s="2">
        <v>6514.0349999999999</v>
      </c>
      <c r="W941" t="s">
        <v>48</v>
      </c>
      <c r="X941">
        <f>IF(OR(vp.tbl[[#This Row],[Sulf]]="",vp.tbl[[#This Row],[Dens]]=""),1,0)</f>
        <v>0</v>
      </c>
      <c r="Y941">
        <f>IF(vp.tbl[[#This Row],[CrudeType]]="C5+",1,0)</f>
        <v>0</v>
      </c>
      <c r="Z941">
        <f>IF(AND(vp.tbl[[#This Row],[CrudeType]]="Crude",vp.tbl[[#This Row],[Dens]]&lt;=825,vp.tbl[[#This Row],[Sulf]]&gt;0.5,vp.tbl[[#This Row],[Unknown]]=0),1,0)</f>
        <v>1</v>
      </c>
      <c r="AA941">
        <f>IF(AND(vp.tbl[[#This Row],[CrudeType]]="Crude",vp.tbl[[#This Row],[Dens]]&lt;=825,vp.tbl[[#This Row],[Sulf]]&lt;=0.5,vp.tbl[[#This Row],[Unknown]]=0),1,0)</f>
        <v>0</v>
      </c>
      <c r="AB941">
        <f>IF(AND(vp.tbl[[#This Row],[CrudeType]]="Crude",vp.tbl[[#This Row],[Dens]]&gt;825,vp.tbl[[#This Row],[Dens]]&lt;=870,vp.tbl[[#This Row],[Sulf]]&gt;0.5,vp.tbl[[#This Row],[Unknown]]=0),1,0)</f>
        <v>0</v>
      </c>
      <c r="AC941">
        <f>IF(AND(vp.tbl[[#This Row],[CrudeType]]="Crude",vp.tbl[[#This Row],[Dens]]&gt;825,vp.tbl[[#This Row],[Dens]]&lt;=900,vp.tbl[[#This Row],[Sulf]]&lt;=0.5,vp.tbl[[#This Row],[Unknown]]=0),1,0)</f>
        <v>0</v>
      </c>
      <c r="AD941">
        <f>IF(AND(vp.tbl[[#This Row],[CrudeType]]="Crude",vp.tbl[[#This Row],[Dens]]&gt;870,vp.tbl[[#This Row],[Dens]]&lt;=900,vp.tbl[[#This Row],[Sulf]]&gt;0.5,vp.tbl[[#This Row],[Unknown]]=0),1,0)</f>
        <v>0</v>
      </c>
      <c r="AE941">
        <f>IF(AND(vp.tbl[[#This Row],[CrudeType]]="Crude",vp.tbl[[#This Row],[Dens]]&gt;900,vp.tbl[[#This Row],[Sulf]]&lt;=0.5,vp.tbl[[#This Row],[Unknown]]=0),1,0)</f>
        <v>0</v>
      </c>
      <c r="AF941">
        <f>IF(AND(vp.tbl[[#This Row],[CrudeType]]="Crude",vp.tbl[[#This Row],[Dens]]&gt;900,vp.tbl[[#This Row],[Sulf]]&lt;=0.5,vp.tbl[[#This Row],[Unknown]]=0),1,0)</f>
        <v>0</v>
      </c>
      <c r="AG941" t="str">
        <f>INDEX(vp.tbl[[#Headers],[Unknown]:[Heavy_SW]],MATCH(1,vp.tbl[[#This Row],[Unknown]:[Heavy_SW]],0))</f>
        <v>Light_LSB</v>
      </c>
      <c r="AH941" t="e">
        <f>INDEX([1]!crudeBD.lkup[Number],MATCH(vp.tbl[[#This Row],[Crude_Breakdown]],[1]!crudeBD.lkup[Crude Breakdown],0))</f>
        <v>#REF!</v>
      </c>
      <c r="AI941">
        <f>MONTH(vp.tbl[[#This Row],[SDate]])</f>
        <v>3</v>
      </c>
      <c r="AJ941" s="5">
        <f>IFERROR(vp.tbl[[#This Row],[Sulf]]*vp.tbl[[#This Row],[Net Dens]],"")</f>
        <v>3678829.2766004996</v>
      </c>
      <c r="AK941" s="5">
        <f>IFERROR(vp.tbl[[#This Row],[Dens]]*vp.tbl[[#This Row],[VolumeM3]],"")</f>
        <v>5323920.8054999998</v>
      </c>
      <c r="AL941" s="5">
        <f>IFERROR(vp.tbl[[#This Row],[VP]]*vp.tbl[[#This Row],[VolumeM3]],"")</f>
        <v>592777.18499999994</v>
      </c>
      <c r="AM941" s="4">
        <f>IFERROR((vp.tbl[[#This Row],[VP]]-INDEX(crudeBD.lkup.complete[Mean_VP],MATCH(vp.tbl[[#This Row],[Crude_Breakdown]],crudeBD.lkup.complete[Crude Breakdown],0)))^2,"")</f>
        <v>0.29831867361040704</v>
      </c>
      <c r="AN941" s="4">
        <f>IFERROR((vp.tbl[[#This Row],[Dens]]-INDEX(crudeBD.lkup.complete[Mean_Dens],MATCH(vp.tbl[[#This Row],[Crude_Breakdown]],crudeBD.lkup.complete[Crude Breakdown],0)))^2,"")</f>
        <v>1.4805286475117752</v>
      </c>
      <c r="AO941" s="4">
        <f>IFERROR((vp.tbl[[#This Row],[Sulf]]-INDEX(crudeBD.lkup.complete[Mean_Sulf],MATCH(vp.tbl[[#This Row],[Crude_Breakdown]],crudeBD.lkup.complete[Crude Breakdown],0)))^2,"")</f>
        <v>5.3810622961846126E-2</v>
      </c>
      <c r="AP941">
        <f>IF(AND(vp.tbl[[#This Row],[SDate]]&gt;=DATE(YEAR(vp.tbl[[#This Row],[SDate]]),5,1),vp.tbl[[#This Row],[SDate]]&lt;=DATE(YEAR(vp.tbl[[#This Row],[SDate]]),9,15)),1,0)</f>
        <v>0</v>
      </c>
      <c r="AQ941" s="15">
        <f>IF(vp.tbl[[#This Row],[SDate]]&lt;DATE(2016,12,1),0,1)</f>
        <v>1</v>
      </c>
    </row>
    <row r="942" spans="1:43" x14ac:dyDescent="0.25">
      <c r="A942">
        <v>941</v>
      </c>
      <c r="B942" t="s">
        <v>49</v>
      </c>
      <c r="C942" t="s">
        <v>49</v>
      </c>
      <c r="D942" t="s">
        <v>81</v>
      </c>
      <c r="F942" s="1">
        <v>42803</v>
      </c>
      <c r="G942" s="2">
        <v>88.5</v>
      </c>
      <c r="H942" s="2">
        <v>0.55400000000000005</v>
      </c>
      <c r="I942" s="2">
        <v>0.55400000000000005</v>
      </c>
      <c r="J942" s="2">
        <v>3.1</v>
      </c>
      <c r="K942" s="2">
        <v>-25</v>
      </c>
      <c r="L942" s="2">
        <v>821.4</v>
      </c>
      <c r="M942" s="2">
        <v>821.4</v>
      </c>
      <c r="N942" s="2">
        <f ca="1">INDEX(INDIRECT(_xlfn.CONCAT("weather.tbl[",N$1,"]")),MATCH(vp.tbl[[#This Row],[SDate]],weather.tbl[Date],0))</f>
        <v>-19.099999999999998</v>
      </c>
      <c r="O942" s="2">
        <f ca="1">INDEX(INDIRECT(_xlfn.CONCAT("weather.tbl[",O$1,"]")),MATCH(vp.tbl[[#This Row],[SDate]],weather.tbl[Date],0))</f>
        <v>-8.6976190476190478</v>
      </c>
      <c r="P942" s="2">
        <f ca="1">INDEX(INDIRECT(_xlfn.CONCAT("weather.tbl[",P$1,"]")),MATCH(vp.tbl[[#This Row],[SDate]],weather.tbl[Date],0))</f>
        <v>-19</v>
      </c>
      <c r="Q942" s="2">
        <f ca="1">INDEX(INDIRECT(_xlfn.CONCAT("weather.tbl[",Q$1,"]")),MATCH(vp.tbl[[#This Row],[SDate]],weather.tbl[Date],0))</f>
        <v>-18.899999999999999</v>
      </c>
      <c r="R942" s="2">
        <f ca="1">INDEX(INDIRECT(_xlfn.CONCAT("weather.tbl[",R$1,"]")),MATCH(vp.tbl[[#This Row],[SDate]],weather.tbl[Date],0))</f>
        <v>-18</v>
      </c>
      <c r="S942" s="2">
        <f ca="1">INDEX(INDIRECT(_xlfn.CONCAT("weather.tbl[",S$1,"]")),MATCH(vp.tbl[[#This Row],[SDate]],weather.tbl[Date],0))</f>
        <v>-18.2</v>
      </c>
      <c r="T942" s="2">
        <f ca="1">INDEX(INDIRECT(_xlfn.CONCAT("weather.tbl[",T$1,"]")),MATCH(vp.tbl[[#This Row],[SDate]],weather.tbl[Date],0))</f>
        <v>-21.2</v>
      </c>
      <c r="U942" s="2">
        <f ca="1">INDEX(INDIRECT(_xlfn.CONCAT("weather.tbl[",U$1,"]")),MATCH(vp.tbl[[#This Row],[SDate]],weather.tbl[Date],0))</f>
        <v>-19.3</v>
      </c>
      <c r="V942" s="2">
        <v>20568.135999999999</v>
      </c>
      <c r="W942" t="s">
        <v>48</v>
      </c>
      <c r="X942">
        <f>IF(OR(vp.tbl[[#This Row],[Sulf]]="",vp.tbl[[#This Row],[Dens]]=""),1,0)</f>
        <v>0</v>
      </c>
      <c r="Y942">
        <f>IF(vp.tbl[[#This Row],[CrudeType]]="C5+",1,0)</f>
        <v>0</v>
      </c>
      <c r="Z942">
        <f>IF(AND(vp.tbl[[#This Row],[CrudeType]]="Crude",vp.tbl[[#This Row],[Dens]]&lt;=825,vp.tbl[[#This Row],[Sulf]]&gt;0.5,vp.tbl[[#This Row],[Unknown]]=0),1,0)</f>
        <v>1</v>
      </c>
      <c r="AA942">
        <f>IF(AND(vp.tbl[[#This Row],[CrudeType]]="Crude",vp.tbl[[#This Row],[Dens]]&lt;=825,vp.tbl[[#This Row],[Sulf]]&lt;=0.5,vp.tbl[[#This Row],[Unknown]]=0),1,0)</f>
        <v>0</v>
      </c>
      <c r="AB942">
        <f>IF(AND(vp.tbl[[#This Row],[CrudeType]]="Crude",vp.tbl[[#This Row],[Dens]]&gt;825,vp.tbl[[#This Row],[Dens]]&lt;=870,vp.tbl[[#This Row],[Sulf]]&gt;0.5,vp.tbl[[#This Row],[Unknown]]=0),1,0)</f>
        <v>0</v>
      </c>
      <c r="AC942">
        <f>IF(AND(vp.tbl[[#This Row],[CrudeType]]="Crude",vp.tbl[[#This Row],[Dens]]&gt;825,vp.tbl[[#This Row],[Dens]]&lt;=900,vp.tbl[[#This Row],[Sulf]]&lt;=0.5,vp.tbl[[#This Row],[Unknown]]=0),1,0)</f>
        <v>0</v>
      </c>
      <c r="AD942">
        <f>IF(AND(vp.tbl[[#This Row],[CrudeType]]="Crude",vp.tbl[[#This Row],[Dens]]&gt;870,vp.tbl[[#This Row],[Dens]]&lt;=900,vp.tbl[[#This Row],[Sulf]]&gt;0.5,vp.tbl[[#This Row],[Unknown]]=0),1,0)</f>
        <v>0</v>
      </c>
      <c r="AE942">
        <f>IF(AND(vp.tbl[[#This Row],[CrudeType]]="Crude",vp.tbl[[#This Row],[Dens]]&gt;900,vp.tbl[[#This Row],[Sulf]]&lt;=0.5,vp.tbl[[#This Row],[Unknown]]=0),1,0)</f>
        <v>0</v>
      </c>
      <c r="AF942">
        <f>IF(AND(vp.tbl[[#This Row],[CrudeType]]="Crude",vp.tbl[[#This Row],[Dens]]&gt;900,vp.tbl[[#This Row],[Sulf]]&lt;=0.5,vp.tbl[[#This Row],[Unknown]]=0),1,0)</f>
        <v>0</v>
      </c>
      <c r="AG942" t="str">
        <f>INDEX(vp.tbl[[#Headers],[Unknown]:[Heavy_SW]],MATCH(1,vp.tbl[[#This Row],[Unknown]:[Heavy_SW]],0))</f>
        <v>Light_LSB</v>
      </c>
      <c r="AH942" t="e">
        <f>INDEX([1]!crudeBD.lkup[Number],MATCH(vp.tbl[[#This Row],[Crude_Breakdown]],[1]!crudeBD.lkup[Crude Breakdown],0))</f>
        <v>#REF!</v>
      </c>
      <c r="AI942">
        <f>MONTH(vp.tbl[[#This Row],[SDate]])</f>
        <v>3</v>
      </c>
      <c r="AJ942" s="5">
        <f>IFERROR(vp.tbl[[#This Row],[Sulf]]*vp.tbl[[#This Row],[Net Dens]],"")</f>
        <v>9359645.4683616012</v>
      </c>
      <c r="AK942" s="5">
        <f>IFERROR(vp.tbl[[#This Row],[Dens]]*vp.tbl[[#This Row],[VolumeM3]],"")</f>
        <v>16894666.910399999</v>
      </c>
      <c r="AL942" s="5">
        <f>IFERROR(vp.tbl[[#This Row],[VP]]*vp.tbl[[#This Row],[VolumeM3]],"")</f>
        <v>1820280.0359999998</v>
      </c>
      <c r="AM942" s="4">
        <f>IFERROR((vp.tbl[[#This Row],[VP]]-INDEX(crudeBD.lkup.complete[Mean_VP],MATCH(vp.tbl[[#This Row],[Crude_Breakdown]],crudeBD.lkup.complete[Crude Breakdown],0)))^2,"")</f>
        <v>9.2792465086621085</v>
      </c>
      <c r="AN942" s="4">
        <f>IFERROR((vp.tbl[[#This Row],[Dens]]-INDEX(crudeBD.lkup.complete[Mean_Dens],MATCH(vp.tbl[[#This Row],[Crude_Breakdown]],crudeBD.lkup.complete[Crude Breakdown],0)))^2,"")</f>
        <v>8.3130166200227009</v>
      </c>
      <c r="AO942" s="4">
        <f>IFERROR((vp.tbl[[#This Row],[Sulf]]-INDEX(crudeBD.lkup.complete[Mean_Sulf],MATCH(vp.tbl[[#This Row],[Crude_Breakdown]],crudeBD.lkup.complete[Crude Breakdown],0)))^2,"")</f>
        <v>0.13613972309930306</v>
      </c>
      <c r="AP942">
        <f>IF(AND(vp.tbl[[#This Row],[SDate]]&gt;=DATE(YEAR(vp.tbl[[#This Row],[SDate]]),5,1),vp.tbl[[#This Row],[SDate]]&lt;=DATE(YEAR(vp.tbl[[#This Row],[SDate]]),9,15)),1,0)</f>
        <v>0</v>
      </c>
      <c r="AQ942" s="15">
        <f>IF(vp.tbl[[#This Row],[SDate]]&lt;DATE(2016,12,1),0,1)</f>
        <v>1</v>
      </c>
    </row>
    <row r="943" spans="1:43" x14ac:dyDescent="0.25">
      <c r="A943">
        <v>942</v>
      </c>
      <c r="B943" t="s">
        <v>49</v>
      </c>
      <c r="C943" t="s">
        <v>49</v>
      </c>
      <c r="D943" t="s">
        <v>100</v>
      </c>
      <c r="F943" s="1">
        <v>42803</v>
      </c>
      <c r="G943" s="2">
        <v>90.1</v>
      </c>
      <c r="H943" s="2">
        <v>0.59699999999999998</v>
      </c>
      <c r="I943" s="2">
        <v>0.59699999999999998</v>
      </c>
      <c r="J943" s="2">
        <v>8.3000000000000007</v>
      </c>
      <c r="K943" s="2">
        <v>-25</v>
      </c>
      <c r="L943" s="2">
        <v>815.9</v>
      </c>
      <c r="M943" s="2">
        <v>815.9</v>
      </c>
      <c r="N943" s="2">
        <f ca="1">INDEX(INDIRECT(_xlfn.CONCAT("weather.tbl[",N$1,"]")),MATCH(vp.tbl[[#This Row],[SDate]],weather.tbl[Date],0))</f>
        <v>-19.099999999999998</v>
      </c>
      <c r="O943" s="2">
        <f ca="1">INDEX(INDIRECT(_xlfn.CONCAT("weather.tbl[",O$1,"]")),MATCH(vp.tbl[[#This Row],[SDate]],weather.tbl[Date],0))</f>
        <v>-8.6976190476190478</v>
      </c>
      <c r="P943" s="2">
        <f ca="1">INDEX(INDIRECT(_xlfn.CONCAT("weather.tbl[",P$1,"]")),MATCH(vp.tbl[[#This Row],[SDate]],weather.tbl[Date],0))</f>
        <v>-19</v>
      </c>
      <c r="Q943" s="2">
        <f ca="1">INDEX(INDIRECT(_xlfn.CONCAT("weather.tbl[",Q$1,"]")),MATCH(vp.tbl[[#This Row],[SDate]],weather.tbl[Date],0))</f>
        <v>-18.899999999999999</v>
      </c>
      <c r="R943" s="2">
        <f ca="1">INDEX(INDIRECT(_xlfn.CONCAT("weather.tbl[",R$1,"]")),MATCH(vp.tbl[[#This Row],[SDate]],weather.tbl[Date],0))</f>
        <v>-18</v>
      </c>
      <c r="S943" s="2">
        <f ca="1">INDEX(INDIRECT(_xlfn.CONCAT("weather.tbl[",S$1,"]")),MATCH(vp.tbl[[#This Row],[SDate]],weather.tbl[Date],0))</f>
        <v>-18.2</v>
      </c>
      <c r="T943" s="2">
        <f ca="1">INDEX(INDIRECT(_xlfn.CONCAT("weather.tbl[",T$1,"]")),MATCH(vp.tbl[[#This Row],[SDate]],weather.tbl[Date],0))</f>
        <v>-21.2</v>
      </c>
      <c r="U943" s="2">
        <f ca="1">INDEX(INDIRECT(_xlfn.CONCAT("weather.tbl[",U$1,"]")),MATCH(vp.tbl[[#This Row],[SDate]],weather.tbl[Date],0))</f>
        <v>-19.3</v>
      </c>
      <c r="V943" s="2">
        <v>10867.904</v>
      </c>
      <c r="W943" t="s">
        <v>48</v>
      </c>
      <c r="X943">
        <f>IF(OR(vp.tbl[[#This Row],[Sulf]]="",vp.tbl[[#This Row],[Dens]]=""),1,0)</f>
        <v>0</v>
      </c>
      <c r="Y943">
        <f>IF(vp.tbl[[#This Row],[CrudeType]]="C5+",1,0)</f>
        <v>0</v>
      </c>
      <c r="Z943">
        <f>IF(AND(vp.tbl[[#This Row],[CrudeType]]="Crude",vp.tbl[[#This Row],[Dens]]&lt;=825,vp.tbl[[#This Row],[Sulf]]&gt;0.5,vp.tbl[[#This Row],[Unknown]]=0),1,0)</f>
        <v>1</v>
      </c>
      <c r="AA943">
        <f>IF(AND(vp.tbl[[#This Row],[CrudeType]]="Crude",vp.tbl[[#This Row],[Dens]]&lt;=825,vp.tbl[[#This Row],[Sulf]]&lt;=0.5,vp.tbl[[#This Row],[Unknown]]=0),1,0)</f>
        <v>0</v>
      </c>
      <c r="AB943">
        <f>IF(AND(vp.tbl[[#This Row],[CrudeType]]="Crude",vp.tbl[[#This Row],[Dens]]&gt;825,vp.tbl[[#This Row],[Dens]]&lt;=870,vp.tbl[[#This Row],[Sulf]]&gt;0.5,vp.tbl[[#This Row],[Unknown]]=0),1,0)</f>
        <v>0</v>
      </c>
      <c r="AC943">
        <f>IF(AND(vp.tbl[[#This Row],[CrudeType]]="Crude",vp.tbl[[#This Row],[Dens]]&gt;825,vp.tbl[[#This Row],[Dens]]&lt;=900,vp.tbl[[#This Row],[Sulf]]&lt;=0.5,vp.tbl[[#This Row],[Unknown]]=0),1,0)</f>
        <v>0</v>
      </c>
      <c r="AD943">
        <f>IF(AND(vp.tbl[[#This Row],[CrudeType]]="Crude",vp.tbl[[#This Row],[Dens]]&gt;870,vp.tbl[[#This Row],[Dens]]&lt;=900,vp.tbl[[#This Row],[Sulf]]&gt;0.5,vp.tbl[[#This Row],[Unknown]]=0),1,0)</f>
        <v>0</v>
      </c>
      <c r="AE943">
        <f>IF(AND(vp.tbl[[#This Row],[CrudeType]]="Crude",vp.tbl[[#This Row],[Dens]]&gt;900,vp.tbl[[#This Row],[Sulf]]&lt;=0.5,vp.tbl[[#This Row],[Unknown]]=0),1,0)</f>
        <v>0</v>
      </c>
      <c r="AF943">
        <f>IF(AND(vp.tbl[[#This Row],[CrudeType]]="Crude",vp.tbl[[#This Row],[Dens]]&gt;900,vp.tbl[[#This Row],[Sulf]]&lt;=0.5,vp.tbl[[#This Row],[Unknown]]=0),1,0)</f>
        <v>0</v>
      </c>
      <c r="AG943" t="str">
        <f>INDEX(vp.tbl[[#Headers],[Unknown]:[Heavy_SW]],MATCH(1,vp.tbl[[#This Row],[Unknown]:[Heavy_SW]],0))</f>
        <v>Light_LSB</v>
      </c>
      <c r="AH943" t="e">
        <f>INDEX([1]!crudeBD.lkup[Number],MATCH(vp.tbl[[#This Row],[Crude_Breakdown]],[1]!crudeBD.lkup[Crude Breakdown],0))</f>
        <v>#REF!</v>
      </c>
      <c r="AI943">
        <f>MONTH(vp.tbl[[#This Row],[SDate]])</f>
        <v>3</v>
      </c>
      <c r="AJ943" s="5">
        <f>IFERROR(vp.tbl[[#This Row],[Sulf]]*vp.tbl[[#This Row],[Net Dens]],"")</f>
        <v>5293672.3555391999</v>
      </c>
      <c r="AK943" s="5">
        <f>IFERROR(vp.tbl[[#This Row],[Dens]]*vp.tbl[[#This Row],[VolumeM3]],"")</f>
        <v>8867122.8736000005</v>
      </c>
      <c r="AL943" s="5">
        <f>IFERROR(vp.tbl[[#This Row],[VP]]*vp.tbl[[#This Row],[VolumeM3]],"")</f>
        <v>979198.15039999993</v>
      </c>
      <c r="AM943" s="4">
        <f>IFERROR((vp.tbl[[#This Row],[VP]]-INDEX(crudeBD.lkup.complete[Mean_VP],MATCH(vp.tbl[[#This Row],[Crude_Breakdown]],crudeBD.lkup.complete[Crude Breakdown],0)))^2,"")</f>
        <v>2.0914526942290363</v>
      </c>
      <c r="AN943" s="4">
        <f>IFERROR((vp.tbl[[#This Row],[Dens]]-INDEX(crudeBD.lkup.complete[Mean_Dens],MATCH(vp.tbl[[#This Row],[Crude_Breakdown]],crudeBD.lkup.complete[Crude Breakdown],0)))^2,"")</f>
        <v>6.8474839739713849</v>
      </c>
      <c r="AO943" s="4">
        <f>IFERROR((vp.tbl[[#This Row],[Sulf]]-INDEX(crudeBD.lkup.complete[Mean_Sulf],MATCH(vp.tbl[[#This Row],[Crude_Breakdown]],crudeBD.lkup.complete[Crude Breakdown],0)))^2,"")</f>
        <v>0.10625720261820346</v>
      </c>
      <c r="AP943">
        <f>IF(AND(vp.tbl[[#This Row],[SDate]]&gt;=DATE(YEAR(vp.tbl[[#This Row],[SDate]]),5,1),vp.tbl[[#This Row],[SDate]]&lt;=DATE(YEAR(vp.tbl[[#This Row],[SDate]]),9,15)),1,0)</f>
        <v>0</v>
      </c>
      <c r="AQ943" s="15">
        <f>IF(vp.tbl[[#This Row],[SDate]]&lt;DATE(2016,12,1),0,1)</f>
        <v>1</v>
      </c>
    </row>
    <row r="944" spans="1:43" x14ac:dyDescent="0.25">
      <c r="A944">
        <v>943</v>
      </c>
      <c r="B944" t="s">
        <v>49</v>
      </c>
      <c r="C944" t="s">
        <v>49</v>
      </c>
      <c r="D944" t="s">
        <v>89</v>
      </c>
      <c r="F944" s="1">
        <v>42803</v>
      </c>
      <c r="G944" s="2">
        <v>97.8</v>
      </c>
      <c r="H944" s="2">
        <v>0.746</v>
      </c>
      <c r="I944" s="2">
        <v>0.746</v>
      </c>
      <c r="J944" s="2">
        <v>2.5</v>
      </c>
      <c r="K944" s="2">
        <v>-25</v>
      </c>
      <c r="L944" s="2">
        <v>818.9</v>
      </c>
      <c r="M944" s="2">
        <v>818.9</v>
      </c>
      <c r="N944" s="2">
        <f ca="1">INDEX(INDIRECT(_xlfn.CONCAT("weather.tbl[",N$1,"]")),MATCH(vp.tbl[[#This Row],[SDate]],weather.tbl[Date],0))</f>
        <v>-19.099999999999998</v>
      </c>
      <c r="O944" s="2">
        <f ca="1">INDEX(INDIRECT(_xlfn.CONCAT("weather.tbl[",O$1,"]")),MATCH(vp.tbl[[#This Row],[SDate]],weather.tbl[Date],0))</f>
        <v>-8.6976190476190478</v>
      </c>
      <c r="P944" s="2">
        <f ca="1">INDEX(INDIRECT(_xlfn.CONCAT("weather.tbl[",P$1,"]")),MATCH(vp.tbl[[#This Row],[SDate]],weather.tbl[Date],0))</f>
        <v>-19</v>
      </c>
      <c r="Q944" s="2">
        <f ca="1">INDEX(INDIRECT(_xlfn.CONCAT("weather.tbl[",Q$1,"]")),MATCH(vp.tbl[[#This Row],[SDate]],weather.tbl[Date],0))</f>
        <v>-18.899999999999999</v>
      </c>
      <c r="R944" s="2">
        <f ca="1">INDEX(INDIRECT(_xlfn.CONCAT("weather.tbl[",R$1,"]")),MATCH(vp.tbl[[#This Row],[SDate]],weather.tbl[Date],0))</f>
        <v>-18</v>
      </c>
      <c r="S944" s="2">
        <f ca="1">INDEX(INDIRECT(_xlfn.CONCAT("weather.tbl[",S$1,"]")),MATCH(vp.tbl[[#This Row],[SDate]],weather.tbl[Date],0))</f>
        <v>-18.2</v>
      </c>
      <c r="T944" s="2">
        <f ca="1">INDEX(INDIRECT(_xlfn.CONCAT("weather.tbl[",T$1,"]")),MATCH(vp.tbl[[#This Row],[SDate]],weather.tbl[Date],0))</f>
        <v>-21.2</v>
      </c>
      <c r="U944" s="2">
        <f ca="1">INDEX(INDIRECT(_xlfn.CONCAT("weather.tbl[",U$1,"]")),MATCH(vp.tbl[[#This Row],[SDate]],weather.tbl[Date],0))</f>
        <v>-19.3</v>
      </c>
      <c r="V944" s="2">
        <v>6514.0349999999999</v>
      </c>
      <c r="W944" t="s">
        <v>48</v>
      </c>
      <c r="X944">
        <f>IF(OR(vp.tbl[[#This Row],[Sulf]]="",vp.tbl[[#This Row],[Dens]]=""),1,0)</f>
        <v>0</v>
      </c>
      <c r="Y944">
        <f>IF(vp.tbl[[#This Row],[CrudeType]]="C5+",1,0)</f>
        <v>0</v>
      </c>
      <c r="Z944">
        <f>IF(AND(vp.tbl[[#This Row],[CrudeType]]="Crude",vp.tbl[[#This Row],[Dens]]&lt;=825,vp.tbl[[#This Row],[Sulf]]&gt;0.5,vp.tbl[[#This Row],[Unknown]]=0),1,0)</f>
        <v>1</v>
      </c>
      <c r="AA944">
        <f>IF(AND(vp.tbl[[#This Row],[CrudeType]]="Crude",vp.tbl[[#This Row],[Dens]]&lt;=825,vp.tbl[[#This Row],[Sulf]]&lt;=0.5,vp.tbl[[#This Row],[Unknown]]=0),1,0)</f>
        <v>0</v>
      </c>
      <c r="AB944">
        <f>IF(AND(vp.tbl[[#This Row],[CrudeType]]="Crude",vp.tbl[[#This Row],[Dens]]&gt;825,vp.tbl[[#This Row],[Dens]]&lt;=870,vp.tbl[[#This Row],[Sulf]]&gt;0.5,vp.tbl[[#This Row],[Unknown]]=0),1,0)</f>
        <v>0</v>
      </c>
      <c r="AC944">
        <f>IF(AND(vp.tbl[[#This Row],[CrudeType]]="Crude",vp.tbl[[#This Row],[Dens]]&gt;825,vp.tbl[[#This Row],[Dens]]&lt;=900,vp.tbl[[#This Row],[Sulf]]&lt;=0.5,vp.tbl[[#This Row],[Unknown]]=0),1,0)</f>
        <v>0</v>
      </c>
      <c r="AD944">
        <f>IF(AND(vp.tbl[[#This Row],[CrudeType]]="Crude",vp.tbl[[#This Row],[Dens]]&gt;870,vp.tbl[[#This Row],[Dens]]&lt;=900,vp.tbl[[#This Row],[Sulf]]&gt;0.5,vp.tbl[[#This Row],[Unknown]]=0),1,0)</f>
        <v>0</v>
      </c>
      <c r="AE944">
        <f>IF(AND(vp.tbl[[#This Row],[CrudeType]]="Crude",vp.tbl[[#This Row],[Dens]]&gt;900,vp.tbl[[#This Row],[Sulf]]&lt;=0.5,vp.tbl[[#This Row],[Unknown]]=0),1,0)</f>
        <v>0</v>
      </c>
      <c r="AF944">
        <f>IF(AND(vp.tbl[[#This Row],[CrudeType]]="Crude",vp.tbl[[#This Row],[Dens]]&gt;900,vp.tbl[[#This Row],[Sulf]]&lt;=0.5,vp.tbl[[#This Row],[Unknown]]=0),1,0)</f>
        <v>0</v>
      </c>
      <c r="AG944" t="str">
        <f>INDEX(vp.tbl[[#Headers],[Unknown]:[Heavy_SW]],MATCH(1,vp.tbl[[#This Row],[Unknown]:[Heavy_SW]],0))</f>
        <v>Light_LSB</v>
      </c>
      <c r="AH944" t="e">
        <f>INDEX([1]!crudeBD.lkup[Number],MATCH(vp.tbl[[#This Row],[Crude_Breakdown]],[1]!crudeBD.lkup[Crude Breakdown],0))</f>
        <v>#REF!</v>
      </c>
      <c r="AI944">
        <f>MONTH(vp.tbl[[#This Row],[SDate]])</f>
        <v>3</v>
      </c>
      <c r="AJ944" s="5">
        <f>IFERROR(vp.tbl[[#This Row],[Sulf]]*vp.tbl[[#This Row],[Net Dens]],"")</f>
        <v>3979420.0730790002</v>
      </c>
      <c r="AK944" s="5">
        <f>IFERROR(vp.tbl[[#This Row],[Dens]]*vp.tbl[[#This Row],[VolumeM3]],"")</f>
        <v>5334343.2615</v>
      </c>
      <c r="AL944" s="5">
        <f>IFERROR(vp.tbl[[#This Row],[VP]]*vp.tbl[[#This Row],[VolumeM3]],"")</f>
        <v>637072.62300000002</v>
      </c>
      <c r="AM944" s="4">
        <f>IFERROR((vp.tbl[[#This Row],[VP]]-INDEX(crudeBD.lkup.complete[Mean_VP],MATCH(vp.tbl[[#This Row],[Crude_Breakdown]],crudeBD.lkup.complete[Crude Breakdown],0)))^2,"")</f>
        <v>39.110194962269745</v>
      </c>
      <c r="AN944" s="4">
        <f>IFERROR((vp.tbl[[#This Row],[Dens]]-INDEX(crudeBD.lkup.complete[Mean_Dens],MATCH(vp.tbl[[#This Row],[Crude_Breakdown]],crudeBD.lkup.complete[Crude Breakdown],0)))^2,"")</f>
        <v>0.14686541727210251</v>
      </c>
      <c r="AO944" s="4">
        <f>IFERROR((vp.tbl[[#This Row],[Sulf]]-INDEX(crudeBD.lkup.complete[Mean_Sulf],MATCH(vp.tbl[[#This Row],[Crude_Breakdown]],crudeBD.lkup.complete[Crude Breakdown],0)))^2,"")</f>
        <v>3.1318794439509363E-2</v>
      </c>
      <c r="AP944">
        <f>IF(AND(vp.tbl[[#This Row],[SDate]]&gt;=DATE(YEAR(vp.tbl[[#This Row],[SDate]]),5,1),vp.tbl[[#This Row],[SDate]]&lt;=DATE(YEAR(vp.tbl[[#This Row],[SDate]]),9,15)),1,0)</f>
        <v>0</v>
      </c>
      <c r="AQ944" s="15">
        <f>IF(vp.tbl[[#This Row],[SDate]]&lt;DATE(2016,12,1),0,1)</f>
        <v>1</v>
      </c>
    </row>
    <row r="945" spans="1:43" x14ac:dyDescent="0.25">
      <c r="A945">
        <v>944</v>
      </c>
      <c r="B945" t="s">
        <v>51</v>
      </c>
      <c r="C945" t="s">
        <v>51</v>
      </c>
      <c r="D945" t="s">
        <v>72</v>
      </c>
      <c r="F945" s="1">
        <v>42803</v>
      </c>
      <c r="G945" s="2">
        <v>100.5</v>
      </c>
      <c r="H945" s="2"/>
      <c r="I945" s="2">
        <v>1.08</v>
      </c>
      <c r="J945" s="2">
        <v>20.9</v>
      </c>
      <c r="K945" s="2">
        <v>-25</v>
      </c>
      <c r="L945" s="2">
        <v>828.9</v>
      </c>
      <c r="M945" s="2">
        <v>828.9</v>
      </c>
      <c r="N945" s="2">
        <f ca="1">INDEX(INDIRECT(_xlfn.CONCAT("weather.tbl[",N$1,"]")),MATCH(vp.tbl[[#This Row],[SDate]],weather.tbl[Date],0))</f>
        <v>-19.099999999999998</v>
      </c>
      <c r="O945" s="2">
        <f ca="1">INDEX(INDIRECT(_xlfn.CONCAT("weather.tbl[",O$1,"]")),MATCH(vp.tbl[[#This Row],[SDate]],weather.tbl[Date],0))</f>
        <v>-8.6976190476190478</v>
      </c>
      <c r="P945" s="2">
        <f ca="1">INDEX(INDIRECT(_xlfn.CONCAT("weather.tbl[",P$1,"]")),MATCH(vp.tbl[[#This Row],[SDate]],weather.tbl[Date],0))</f>
        <v>-19</v>
      </c>
      <c r="Q945" s="2">
        <f ca="1">INDEX(INDIRECT(_xlfn.CONCAT("weather.tbl[",Q$1,"]")),MATCH(vp.tbl[[#This Row],[SDate]],weather.tbl[Date],0))</f>
        <v>-18.899999999999999</v>
      </c>
      <c r="R945" s="2">
        <f ca="1">INDEX(INDIRECT(_xlfn.CONCAT("weather.tbl[",R$1,"]")),MATCH(vp.tbl[[#This Row],[SDate]],weather.tbl[Date],0))</f>
        <v>-18</v>
      </c>
      <c r="S945" s="2">
        <f ca="1">INDEX(INDIRECT(_xlfn.CONCAT("weather.tbl[",S$1,"]")),MATCH(vp.tbl[[#This Row],[SDate]],weather.tbl[Date],0))</f>
        <v>-18.2</v>
      </c>
      <c r="T945" s="2">
        <f ca="1">INDEX(INDIRECT(_xlfn.CONCAT("weather.tbl[",T$1,"]")),MATCH(vp.tbl[[#This Row],[SDate]],weather.tbl[Date],0))</f>
        <v>-21.2</v>
      </c>
      <c r="U945" s="2">
        <f ca="1">INDEX(INDIRECT(_xlfn.CONCAT("weather.tbl[",U$1,"]")),MATCH(vp.tbl[[#This Row],[SDate]],weather.tbl[Date],0))</f>
        <v>-19.3</v>
      </c>
      <c r="V945" s="2">
        <v>13878.534</v>
      </c>
      <c r="W945" t="s">
        <v>48</v>
      </c>
      <c r="X945">
        <f>IF(OR(vp.tbl[[#This Row],[Sulf]]="",vp.tbl[[#This Row],[Dens]]=""),1,0)</f>
        <v>0</v>
      </c>
      <c r="Y945">
        <f>IF(vp.tbl[[#This Row],[CrudeType]]="C5+",1,0)</f>
        <v>0</v>
      </c>
      <c r="Z945">
        <f>IF(AND(vp.tbl[[#This Row],[CrudeType]]="Crude",vp.tbl[[#This Row],[Dens]]&lt;=825,vp.tbl[[#This Row],[Sulf]]&gt;0.5,vp.tbl[[#This Row],[Unknown]]=0),1,0)</f>
        <v>0</v>
      </c>
      <c r="AA945">
        <f>IF(AND(vp.tbl[[#This Row],[CrudeType]]="Crude",vp.tbl[[#This Row],[Dens]]&lt;=825,vp.tbl[[#This Row],[Sulf]]&lt;=0.5,vp.tbl[[#This Row],[Unknown]]=0),1,0)</f>
        <v>0</v>
      </c>
      <c r="AB945">
        <f>IF(AND(vp.tbl[[#This Row],[CrudeType]]="Crude",vp.tbl[[#This Row],[Dens]]&gt;825,vp.tbl[[#This Row],[Dens]]&lt;=870,vp.tbl[[#This Row],[Sulf]]&gt;0.5,vp.tbl[[#This Row],[Unknown]]=0),1,0)</f>
        <v>1</v>
      </c>
      <c r="AC945">
        <f>IF(AND(vp.tbl[[#This Row],[CrudeType]]="Crude",vp.tbl[[#This Row],[Dens]]&gt;825,vp.tbl[[#This Row],[Dens]]&lt;=900,vp.tbl[[#This Row],[Sulf]]&lt;=0.5,vp.tbl[[#This Row],[Unknown]]=0),1,0)</f>
        <v>0</v>
      </c>
      <c r="AD945">
        <f>IF(AND(vp.tbl[[#This Row],[CrudeType]]="Crude",vp.tbl[[#This Row],[Dens]]&gt;870,vp.tbl[[#This Row],[Dens]]&lt;=900,vp.tbl[[#This Row],[Sulf]]&gt;0.5,vp.tbl[[#This Row],[Unknown]]=0),1,0)</f>
        <v>0</v>
      </c>
      <c r="AE945">
        <f>IF(AND(vp.tbl[[#This Row],[CrudeType]]="Crude",vp.tbl[[#This Row],[Dens]]&gt;900,vp.tbl[[#This Row],[Sulf]]&lt;=0.5,vp.tbl[[#This Row],[Unknown]]=0),1,0)</f>
        <v>0</v>
      </c>
      <c r="AF945">
        <f>IF(AND(vp.tbl[[#This Row],[CrudeType]]="Crude",vp.tbl[[#This Row],[Dens]]&gt;900,vp.tbl[[#This Row],[Sulf]]&lt;=0.5,vp.tbl[[#This Row],[Unknown]]=0),1,0)</f>
        <v>0</v>
      </c>
      <c r="AG945" t="str">
        <f>INDEX(vp.tbl[[#Headers],[Unknown]:[Heavy_SW]],MATCH(1,vp.tbl[[#This Row],[Unknown]:[Heavy_SW]],0))</f>
        <v>Medium_LSB</v>
      </c>
      <c r="AH945" t="e">
        <f>INDEX([1]!crudeBD.lkup[Number],MATCH(vp.tbl[[#This Row],[Crude_Breakdown]],[1]!crudeBD.lkup[Crude Breakdown],0))</f>
        <v>#REF!</v>
      </c>
      <c r="AI945">
        <f>MONTH(vp.tbl[[#This Row],[SDate]])</f>
        <v>3</v>
      </c>
      <c r="AJ945" s="5">
        <f>IFERROR(vp.tbl[[#This Row],[Sulf]]*vp.tbl[[#This Row],[Net Dens]],"")</f>
        <v>12424230.179207999</v>
      </c>
      <c r="AK945" s="5">
        <f>IFERROR(vp.tbl[[#This Row],[Dens]]*vp.tbl[[#This Row],[VolumeM3]],"")</f>
        <v>11503916.832599999</v>
      </c>
      <c r="AL945" s="5">
        <f>IFERROR(vp.tbl[[#This Row],[VP]]*vp.tbl[[#This Row],[VolumeM3]],"")</f>
        <v>1394792.6669999999</v>
      </c>
      <c r="AM945" s="4">
        <f>IFERROR((vp.tbl[[#This Row],[VP]]-INDEX(crudeBD.lkup.complete[Mean_VP],MATCH(vp.tbl[[#This Row],[Crude_Breakdown]],crudeBD.lkup.complete[Crude Breakdown],0)))^2,"")</f>
        <v>413.16274279698916</v>
      </c>
      <c r="AN945" s="4">
        <f>IFERROR((vp.tbl[[#This Row],[Dens]]-INDEX(crudeBD.lkup.complete[Mean_Dens],MATCH(vp.tbl[[#This Row],[Crude_Breakdown]],crudeBD.lkup.complete[Crude Breakdown],0)))^2,"")</f>
        <v>268.69185420858889</v>
      </c>
      <c r="AO945" s="4">
        <f>IFERROR((vp.tbl[[#This Row],[Sulf]]-INDEX(crudeBD.lkup.complete[Mean_Sulf],MATCH(vp.tbl[[#This Row],[Crude_Breakdown]],crudeBD.lkup.complete[Crude Breakdown],0)))^2,"")</f>
        <v>0.14057240048913436</v>
      </c>
      <c r="AP945">
        <f>IF(AND(vp.tbl[[#This Row],[SDate]]&gt;=DATE(YEAR(vp.tbl[[#This Row],[SDate]]),5,1),vp.tbl[[#This Row],[SDate]]&lt;=DATE(YEAR(vp.tbl[[#This Row],[SDate]]),9,15)),1,0)</f>
        <v>0</v>
      </c>
      <c r="AQ945" s="15">
        <f>IF(vp.tbl[[#This Row],[SDate]]&lt;DATE(2016,12,1),0,1)</f>
        <v>1</v>
      </c>
    </row>
    <row r="946" spans="1:43" x14ac:dyDescent="0.25">
      <c r="A946">
        <v>945</v>
      </c>
      <c r="B946" t="s">
        <v>62</v>
      </c>
      <c r="C946" t="s">
        <v>62</v>
      </c>
      <c r="D946" t="s">
        <v>93</v>
      </c>
      <c r="F946" s="1">
        <v>42803</v>
      </c>
      <c r="G946" s="2">
        <v>108</v>
      </c>
      <c r="H946" s="2"/>
      <c r="I946" s="2">
        <v>1.24</v>
      </c>
      <c r="J946" s="2">
        <v>-2</v>
      </c>
      <c r="K946" s="2">
        <v>-25</v>
      </c>
      <c r="L946" s="2">
        <v>839.2</v>
      </c>
      <c r="M946" s="2">
        <v>839.2</v>
      </c>
      <c r="N946" s="2">
        <f ca="1">INDEX(INDIRECT(_xlfn.CONCAT("weather.tbl[",N$1,"]")),MATCH(vp.tbl[[#This Row],[SDate]],weather.tbl[Date],0))</f>
        <v>-19.099999999999998</v>
      </c>
      <c r="O946" s="2">
        <f ca="1">INDEX(INDIRECT(_xlfn.CONCAT("weather.tbl[",O$1,"]")),MATCH(vp.tbl[[#This Row],[SDate]],weather.tbl[Date],0))</f>
        <v>-8.6976190476190478</v>
      </c>
      <c r="P946" s="2">
        <f ca="1">INDEX(INDIRECT(_xlfn.CONCAT("weather.tbl[",P$1,"]")),MATCH(vp.tbl[[#This Row],[SDate]],weather.tbl[Date],0))</f>
        <v>-19</v>
      </c>
      <c r="Q946" s="2">
        <f ca="1">INDEX(INDIRECT(_xlfn.CONCAT("weather.tbl[",Q$1,"]")),MATCH(vp.tbl[[#This Row],[SDate]],weather.tbl[Date],0))</f>
        <v>-18.899999999999999</v>
      </c>
      <c r="R946" s="2">
        <f ca="1">INDEX(INDIRECT(_xlfn.CONCAT("weather.tbl[",R$1,"]")),MATCH(vp.tbl[[#This Row],[SDate]],weather.tbl[Date],0))</f>
        <v>-18</v>
      </c>
      <c r="S946" s="2">
        <f ca="1">INDEX(INDIRECT(_xlfn.CONCAT("weather.tbl[",S$1,"]")),MATCH(vp.tbl[[#This Row],[SDate]],weather.tbl[Date],0))</f>
        <v>-18.2</v>
      </c>
      <c r="T946" s="2">
        <f ca="1">INDEX(INDIRECT(_xlfn.CONCAT("weather.tbl[",T$1,"]")),MATCH(vp.tbl[[#This Row],[SDate]],weather.tbl[Date],0))</f>
        <v>-21.2</v>
      </c>
      <c r="U946" s="2">
        <f ca="1">INDEX(INDIRECT(_xlfn.CONCAT("weather.tbl[",U$1,"]")),MATCH(vp.tbl[[#This Row],[SDate]],weather.tbl[Date],0))</f>
        <v>-19.3</v>
      </c>
      <c r="V946" s="2">
        <v>1068.2539999999999</v>
      </c>
      <c r="W946" t="s">
        <v>48</v>
      </c>
      <c r="X946">
        <f>IF(OR(vp.tbl[[#This Row],[Sulf]]="",vp.tbl[[#This Row],[Dens]]=""),1,0)</f>
        <v>0</v>
      </c>
      <c r="Y946">
        <f>IF(vp.tbl[[#This Row],[CrudeType]]="C5+",1,0)</f>
        <v>0</v>
      </c>
      <c r="Z946">
        <f>IF(AND(vp.tbl[[#This Row],[CrudeType]]="Crude",vp.tbl[[#This Row],[Dens]]&lt;=825,vp.tbl[[#This Row],[Sulf]]&gt;0.5,vp.tbl[[#This Row],[Unknown]]=0),1,0)</f>
        <v>0</v>
      </c>
      <c r="AA946">
        <f>IF(AND(vp.tbl[[#This Row],[CrudeType]]="Crude",vp.tbl[[#This Row],[Dens]]&lt;=825,vp.tbl[[#This Row],[Sulf]]&lt;=0.5,vp.tbl[[#This Row],[Unknown]]=0),1,0)</f>
        <v>0</v>
      </c>
      <c r="AB946">
        <f>IF(AND(vp.tbl[[#This Row],[CrudeType]]="Crude",vp.tbl[[#This Row],[Dens]]&gt;825,vp.tbl[[#This Row],[Dens]]&lt;=870,vp.tbl[[#This Row],[Sulf]]&gt;0.5,vp.tbl[[#This Row],[Unknown]]=0),1,0)</f>
        <v>1</v>
      </c>
      <c r="AC946">
        <f>IF(AND(vp.tbl[[#This Row],[CrudeType]]="Crude",vp.tbl[[#This Row],[Dens]]&gt;825,vp.tbl[[#This Row],[Dens]]&lt;=900,vp.tbl[[#This Row],[Sulf]]&lt;=0.5,vp.tbl[[#This Row],[Unknown]]=0),1,0)</f>
        <v>0</v>
      </c>
      <c r="AD946">
        <f>IF(AND(vp.tbl[[#This Row],[CrudeType]]="Crude",vp.tbl[[#This Row],[Dens]]&gt;870,vp.tbl[[#This Row],[Dens]]&lt;=900,vp.tbl[[#This Row],[Sulf]]&gt;0.5,vp.tbl[[#This Row],[Unknown]]=0),1,0)</f>
        <v>0</v>
      </c>
      <c r="AE946">
        <f>IF(AND(vp.tbl[[#This Row],[CrudeType]]="Crude",vp.tbl[[#This Row],[Dens]]&gt;900,vp.tbl[[#This Row],[Sulf]]&lt;=0.5,vp.tbl[[#This Row],[Unknown]]=0),1,0)</f>
        <v>0</v>
      </c>
      <c r="AF946">
        <f>IF(AND(vp.tbl[[#This Row],[CrudeType]]="Crude",vp.tbl[[#This Row],[Dens]]&gt;900,vp.tbl[[#This Row],[Sulf]]&lt;=0.5,vp.tbl[[#This Row],[Unknown]]=0),1,0)</f>
        <v>0</v>
      </c>
      <c r="AG946" t="str">
        <f>INDEX(vp.tbl[[#Headers],[Unknown]:[Heavy_SW]],MATCH(1,vp.tbl[[#This Row],[Unknown]:[Heavy_SW]],0))</f>
        <v>Medium_LSB</v>
      </c>
      <c r="AH946" t="e">
        <f>INDEX([1]!crudeBD.lkup[Number],MATCH(vp.tbl[[#This Row],[Crude_Breakdown]],[1]!crudeBD.lkup[Crude Breakdown],0))</f>
        <v>#REF!</v>
      </c>
      <c r="AI946">
        <f>MONTH(vp.tbl[[#This Row],[SDate]])</f>
        <v>3</v>
      </c>
      <c r="AJ946" s="5">
        <f>IFERROR(vp.tbl[[#This Row],[Sulf]]*vp.tbl[[#This Row],[Net Dens]],"")</f>
        <v>1111633.6584319999</v>
      </c>
      <c r="AK946" s="5">
        <f>IFERROR(vp.tbl[[#This Row],[Dens]]*vp.tbl[[#This Row],[VolumeM3]],"")</f>
        <v>896478.75679999997</v>
      </c>
      <c r="AL946" s="5">
        <f>IFERROR(vp.tbl[[#This Row],[VP]]*vp.tbl[[#This Row],[VolumeM3]],"")</f>
        <v>115371.43199999999</v>
      </c>
      <c r="AM946" s="4">
        <f>IFERROR((vp.tbl[[#This Row],[VP]]-INDEX(crudeBD.lkup.complete[Mean_VP],MATCH(vp.tbl[[#This Row],[Crude_Breakdown]],crudeBD.lkup.complete[Crude Breakdown],0)))^2,"")</f>
        <v>774.30881874635679</v>
      </c>
      <c r="AN946" s="4">
        <f>IFERROR((vp.tbl[[#This Row],[Dens]]-INDEX(crudeBD.lkup.complete[Mean_Dens],MATCH(vp.tbl[[#This Row],[Crude_Breakdown]],crudeBD.lkup.complete[Crude Breakdown],0)))^2,"")</f>
        <v>37.110304841519252</v>
      </c>
      <c r="AO946" s="4">
        <f>IFERROR((vp.tbl[[#This Row],[Sulf]]-INDEX(crudeBD.lkup.complete[Mean_Sulf],MATCH(vp.tbl[[#This Row],[Crude_Breakdown]],crudeBD.lkup.complete[Crude Breakdown],0)))^2,"")</f>
        <v>4.6194845046095979E-2</v>
      </c>
      <c r="AP946">
        <f>IF(AND(vp.tbl[[#This Row],[SDate]]&gt;=DATE(YEAR(vp.tbl[[#This Row],[SDate]]),5,1),vp.tbl[[#This Row],[SDate]]&lt;=DATE(YEAR(vp.tbl[[#This Row],[SDate]]),9,15)),1,0)</f>
        <v>0</v>
      </c>
      <c r="AQ946" s="15">
        <f>IF(vp.tbl[[#This Row],[SDate]]&lt;DATE(2016,12,1),0,1)</f>
        <v>1</v>
      </c>
    </row>
    <row r="947" spans="1:43" x14ac:dyDescent="0.25">
      <c r="A947">
        <v>946</v>
      </c>
      <c r="B947" t="s">
        <v>68</v>
      </c>
      <c r="C947" t="s">
        <v>68</v>
      </c>
      <c r="D947" t="s">
        <v>110</v>
      </c>
      <c r="F947" s="1">
        <v>42803</v>
      </c>
      <c r="G947" s="2">
        <v>70.2</v>
      </c>
      <c r="H947" s="2"/>
      <c r="I947" s="2">
        <v>1.41</v>
      </c>
      <c r="J947" s="2">
        <v>28.2</v>
      </c>
      <c r="K947" s="2">
        <v>-25</v>
      </c>
      <c r="L947" s="2">
        <v>852.1</v>
      </c>
      <c r="M947" s="2">
        <v>852.1</v>
      </c>
      <c r="N947" s="2">
        <f ca="1">INDEX(INDIRECT(_xlfn.CONCAT("weather.tbl[",N$1,"]")),MATCH(vp.tbl[[#This Row],[SDate]],weather.tbl[Date],0))</f>
        <v>-19.099999999999998</v>
      </c>
      <c r="O947" s="2">
        <f ca="1">INDEX(INDIRECT(_xlfn.CONCAT("weather.tbl[",O$1,"]")),MATCH(vp.tbl[[#This Row],[SDate]],weather.tbl[Date],0))</f>
        <v>-8.6976190476190478</v>
      </c>
      <c r="P947" s="2">
        <f ca="1">INDEX(INDIRECT(_xlfn.CONCAT("weather.tbl[",P$1,"]")),MATCH(vp.tbl[[#This Row],[SDate]],weather.tbl[Date],0))</f>
        <v>-19</v>
      </c>
      <c r="Q947" s="2">
        <f ca="1">INDEX(INDIRECT(_xlfn.CONCAT("weather.tbl[",Q$1,"]")),MATCH(vp.tbl[[#This Row],[SDate]],weather.tbl[Date],0))</f>
        <v>-18.899999999999999</v>
      </c>
      <c r="R947" s="2">
        <f ca="1">INDEX(INDIRECT(_xlfn.CONCAT("weather.tbl[",R$1,"]")),MATCH(vp.tbl[[#This Row],[SDate]],weather.tbl[Date],0))</f>
        <v>-18</v>
      </c>
      <c r="S947" s="2">
        <f ca="1">INDEX(INDIRECT(_xlfn.CONCAT("weather.tbl[",S$1,"]")),MATCH(vp.tbl[[#This Row],[SDate]],weather.tbl[Date],0))</f>
        <v>-18.2</v>
      </c>
      <c r="T947" s="2">
        <f ca="1">INDEX(INDIRECT(_xlfn.CONCAT("weather.tbl[",T$1,"]")),MATCH(vp.tbl[[#This Row],[SDate]],weather.tbl[Date],0))</f>
        <v>-21.2</v>
      </c>
      <c r="U947" s="2">
        <f ca="1">INDEX(INDIRECT(_xlfn.CONCAT("weather.tbl[",U$1,"]")),MATCH(vp.tbl[[#This Row],[SDate]],weather.tbl[Date],0))</f>
        <v>-19.3</v>
      </c>
      <c r="V947" s="2">
        <v>4854.1400000000003</v>
      </c>
      <c r="W947" t="s">
        <v>48</v>
      </c>
      <c r="X947">
        <f>IF(OR(vp.tbl[[#This Row],[Sulf]]="",vp.tbl[[#This Row],[Dens]]=""),1,0)</f>
        <v>0</v>
      </c>
      <c r="Y947">
        <f>IF(vp.tbl[[#This Row],[CrudeType]]="C5+",1,0)</f>
        <v>0</v>
      </c>
      <c r="Z947">
        <f>IF(AND(vp.tbl[[#This Row],[CrudeType]]="Crude",vp.tbl[[#This Row],[Dens]]&lt;=825,vp.tbl[[#This Row],[Sulf]]&gt;0.5,vp.tbl[[#This Row],[Unknown]]=0),1,0)</f>
        <v>0</v>
      </c>
      <c r="AA947">
        <f>IF(AND(vp.tbl[[#This Row],[CrudeType]]="Crude",vp.tbl[[#This Row],[Dens]]&lt;=825,vp.tbl[[#This Row],[Sulf]]&lt;=0.5,vp.tbl[[#This Row],[Unknown]]=0),1,0)</f>
        <v>0</v>
      </c>
      <c r="AB947">
        <f>IF(AND(vp.tbl[[#This Row],[CrudeType]]="Crude",vp.tbl[[#This Row],[Dens]]&gt;825,vp.tbl[[#This Row],[Dens]]&lt;=870,vp.tbl[[#This Row],[Sulf]]&gt;0.5,vp.tbl[[#This Row],[Unknown]]=0),1,0)</f>
        <v>1</v>
      </c>
      <c r="AC947">
        <f>IF(AND(vp.tbl[[#This Row],[CrudeType]]="Crude",vp.tbl[[#This Row],[Dens]]&gt;825,vp.tbl[[#This Row],[Dens]]&lt;=900,vp.tbl[[#This Row],[Sulf]]&lt;=0.5,vp.tbl[[#This Row],[Unknown]]=0),1,0)</f>
        <v>0</v>
      </c>
      <c r="AD947">
        <f>IF(AND(vp.tbl[[#This Row],[CrudeType]]="Crude",vp.tbl[[#This Row],[Dens]]&gt;870,vp.tbl[[#This Row],[Dens]]&lt;=900,vp.tbl[[#This Row],[Sulf]]&gt;0.5,vp.tbl[[#This Row],[Unknown]]=0),1,0)</f>
        <v>0</v>
      </c>
      <c r="AE947">
        <f>IF(AND(vp.tbl[[#This Row],[CrudeType]]="Crude",vp.tbl[[#This Row],[Dens]]&gt;900,vp.tbl[[#This Row],[Sulf]]&lt;=0.5,vp.tbl[[#This Row],[Unknown]]=0),1,0)</f>
        <v>0</v>
      </c>
      <c r="AF947">
        <f>IF(AND(vp.tbl[[#This Row],[CrudeType]]="Crude",vp.tbl[[#This Row],[Dens]]&gt;900,vp.tbl[[#This Row],[Sulf]]&lt;=0.5,vp.tbl[[#This Row],[Unknown]]=0),1,0)</f>
        <v>0</v>
      </c>
      <c r="AG947" t="str">
        <f>INDEX(vp.tbl[[#Headers],[Unknown]:[Heavy_SW]],MATCH(1,vp.tbl[[#This Row],[Unknown]:[Heavy_SW]],0))</f>
        <v>Medium_LSB</v>
      </c>
      <c r="AH947" t="e">
        <f>INDEX([1]!crudeBD.lkup[Number],MATCH(vp.tbl[[#This Row],[Crude_Breakdown]],[1]!crudeBD.lkup[Crude Breakdown],0))</f>
        <v>#REF!</v>
      </c>
      <c r="AI947">
        <f>MONTH(vp.tbl[[#This Row],[SDate]])</f>
        <v>3</v>
      </c>
      <c r="AJ947" s="5">
        <f>IFERROR(vp.tbl[[#This Row],[Sulf]]*vp.tbl[[#This Row],[Net Dens]],"")</f>
        <v>5832059.8985400004</v>
      </c>
      <c r="AK947" s="5">
        <f>IFERROR(vp.tbl[[#This Row],[Dens]]*vp.tbl[[#This Row],[VolumeM3]],"")</f>
        <v>4136212.6940000006</v>
      </c>
      <c r="AL947" s="5">
        <f>IFERROR(vp.tbl[[#This Row],[VP]]*vp.tbl[[#This Row],[VolumeM3]],"")</f>
        <v>340760.62800000003</v>
      </c>
      <c r="AM947" s="4">
        <f>IFERROR((vp.tbl[[#This Row],[VP]]-INDEX(crudeBD.lkup.complete[Mean_VP],MATCH(vp.tbl[[#This Row],[Crude_Breakdown]],crudeBD.lkup.complete[Crude Breakdown],0)))^2,"")</f>
        <v>99.472595961543831</v>
      </c>
      <c r="AN947" s="4">
        <f>IFERROR((vp.tbl[[#This Row],[Dens]]-INDEX(crudeBD.lkup.complete[Mean_Dens],MATCH(vp.tbl[[#This Row],[Crude_Breakdown]],crudeBD.lkup.complete[Crude Breakdown],0)))^2,"")</f>
        <v>46.351276993444259</v>
      </c>
      <c r="AO947" s="4">
        <f>IFERROR((vp.tbl[[#This Row],[Sulf]]-INDEX(crudeBD.lkup.complete[Mean_Sulf],MATCH(vp.tbl[[#This Row],[Crude_Breakdown]],crudeBD.lkup.complete[Crude Breakdown],0)))^2,"")</f>
        <v>2.0186923878676294E-3</v>
      </c>
      <c r="AP947">
        <f>IF(AND(vp.tbl[[#This Row],[SDate]]&gt;=DATE(YEAR(vp.tbl[[#This Row],[SDate]]),5,1),vp.tbl[[#This Row],[SDate]]&lt;=DATE(YEAR(vp.tbl[[#This Row],[SDate]]),9,15)),1,0)</f>
        <v>0</v>
      </c>
      <c r="AQ947" s="15">
        <f>IF(vp.tbl[[#This Row],[SDate]]&lt;DATE(2016,12,1),0,1)</f>
        <v>1</v>
      </c>
    </row>
    <row r="948" spans="1:43" x14ac:dyDescent="0.25">
      <c r="A948">
        <v>947</v>
      </c>
      <c r="B948" t="s">
        <v>68</v>
      </c>
      <c r="C948" t="s">
        <v>68</v>
      </c>
      <c r="D948" t="s">
        <v>98</v>
      </c>
      <c r="F948" s="1">
        <v>42803</v>
      </c>
      <c r="G948" s="2">
        <v>63.6</v>
      </c>
      <c r="H948" s="2"/>
      <c r="I948" s="2">
        <v>1.21</v>
      </c>
      <c r="J948" s="2">
        <v>28.7</v>
      </c>
      <c r="K948" s="2">
        <v>-25</v>
      </c>
      <c r="L948" s="2">
        <v>853.5</v>
      </c>
      <c r="M948" s="2">
        <v>853.5</v>
      </c>
      <c r="N948" s="2">
        <f ca="1">INDEX(INDIRECT(_xlfn.CONCAT("weather.tbl[",N$1,"]")),MATCH(vp.tbl[[#This Row],[SDate]],weather.tbl[Date],0))</f>
        <v>-19.099999999999998</v>
      </c>
      <c r="O948" s="2">
        <f ca="1">INDEX(INDIRECT(_xlfn.CONCAT("weather.tbl[",O$1,"]")),MATCH(vp.tbl[[#This Row],[SDate]],weather.tbl[Date],0))</f>
        <v>-8.6976190476190478</v>
      </c>
      <c r="P948" s="2">
        <f ca="1">INDEX(INDIRECT(_xlfn.CONCAT("weather.tbl[",P$1,"]")),MATCH(vp.tbl[[#This Row],[SDate]],weather.tbl[Date],0))</f>
        <v>-19</v>
      </c>
      <c r="Q948" s="2">
        <f ca="1">INDEX(INDIRECT(_xlfn.CONCAT("weather.tbl[",Q$1,"]")),MATCH(vp.tbl[[#This Row],[SDate]],weather.tbl[Date],0))</f>
        <v>-18.899999999999999</v>
      </c>
      <c r="R948" s="2">
        <f ca="1">INDEX(INDIRECT(_xlfn.CONCAT("weather.tbl[",R$1,"]")),MATCH(vp.tbl[[#This Row],[SDate]],weather.tbl[Date],0))</f>
        <v>-18</v>
      </c>
      <c r="S948" s="2">
        <f ca="1">INDEX(INDIRECT(_xlfn.CONCAT("weather.tbl[",S$1,"]")),MATCH(vp.tbl[[#This Row],[SDate]],weather.tbl[Date],0))</f>
        <v>-18.2</v>
      </c>
      <c r="T948" s="2">
        <f ca="1">INDEX(INDIRECT(_xlfn.CONCAT("weather.tbl[",T$1,"]")),MATCH(vp.tbl[[#This Row],[SDate]],weather.tbl[Date],0))</f>
        <v>-21.2</v>
      </c>
      <c r="U948" s="2">
        <f ca="1">INDEX(INDIRECT(_xlfn.CONCAT("weather.tbl[",U$1,"]")),MATCH(vp.tbl[[#This Row],[SDate]],weather.tbl[Date],0))</f>
        <v>-19.3</v>
      </c>
      <c r="V948" s="2">
        <v>4943.8360000000002</v>
      </c>
      <c r="W948" t="s">
        <v>48</v>
      </c>
      <c r="X948">
        <f>IF(OR(vp.tbl[[#This Row],[Sulf]]="",vp.tbl[[#This Row],[Dens]]=""),1,0)</f>
        <v>0</v>
      </c>
      <c r="Y948">
        <f>IF(vp.tbl[[#This Row],[CrudeType]]="C5+",1,0)</f>
        <v>0</v>
      </c>
      <c r="Z948">
        <f>IF(AND(vp.tbl[[#This Row],[CrudeType]]="Crude",vp.tbl[[#This Row],[Dens]]&lt;=825,vp.tbl[[#This Row],[Sulf]]&gt;0.5,vp.tbl[[#This Row],[Unknown]]=0),1,0)</f>
        <v>0</v>
      </c>
      <c r="AA948">
        <f>IF(AND(vp.tbl[[#This Row],[CrudeType]]="Crude",vp.tbl[[#This Row],[Dens]]&lt;=825,vp.tbl[[#This Row],[Sulf]]&lt;=0.5,vp.tbl[[#This Row],[Unknown]]=0),1,0)</f>
        <v>0</v>
      </c>
      <c r="AB948">
        <f>IF(AND(vp.tbl[[#This Row],[CrudeType]]="Crude",vp.tbl[[#This Row],[Dens]]&gt;825,vp.tbl[[#This Row],[Dens]]&lt;=870,vp.tbl[[#This Row],[Sulf]]&gt;0.5,vp.tbl[[#This Row],[Unknown]]=0),1,0)</f>
        <v>1</v>
      </c>
      <c r="AC948">
        <f>IF(AND(vp.tbl[[#This Row],[CrudeType]]="Crude",vp.tbl[[#This Row],[Dens]]&gt;825,vp.tbl[[#This Row],[Dens]]&lt;=900,vp.tbl[[#This Row],[Sulf]]&lt;=0.5,vp.tbl[[#This Row],[Unknown]]=0),1,0)</f>
        <v>0</v>
      </c>
      <c r="AD948">
        <f>IF(AND(vp.tbl[[#This Row],[CrudeType]]="Crude",vp.tbl[[#This Row],[Dens]]&gt;870,vp.tbl[[#This Row],[Dens]]&lt;=900,vp.tbl[[#This Row],[Sulf]]&gt;0.5,vp.tbl[[#This Row],[Unknown]]=0),1,0)</f>
        <v>0</v>
      </c>
      <c r="AE948">
        <f>IF(AND(vp.tbl[[#This Row],[CrudeType]]="Crude",vp.tbl[[#This Row],[Dens]]&gt;900,vp.tbl[[#This Row],[Sulf]]&lt;=0.5,vp.tbl[[#This Row],[Unknown]]=0),1,0)</f>
        <v>0</v>
      </c>
      <c r="AF948">
        <f>IF(AND(vp.tbl[[#This Row],[CrudeType]]="Crude",vp.tbl[[#This Row],[Dens]]&gt;900,vp.tbl[[#This Row],[Sulf]]&lt;=0.5,vp.tbl[[#This Row],[Unknown]]=0),1,0)</f>
        <v>0</v>
      </c>
      <c r="AG948" t="str">
        <f>INDEX(vp.tbl[[#Headers],[Unknown]:[Heavy_SW]],MATCH(1,vp.tbl[[#This Row],[Unknown]:[Heavy_SW]],0))</f>
        <v>Medium_LSB</v>
      </c>
      <c r="AH948" t="e">
        <f>INDEX([1]!crudeBD.lkup[Number],MATCH(vp.tbl[[#This Row],[Crude_Breakdown]],[1]!crudeBD.lkup[Crude Breakdown],0))</f>
        <v>#REF!</v>
      </c>
      <c r="AI948">
        <f>MONTH(vp.tbl[[#This Row],[SDate]])</f>
        <v>3</v>
      </c>
      <c r="AJ948" s="5">
        <f>IFERROR(vp.tbl[[#This Row],[Sulf]]*vp.tbl[[#This Row],[Net Dens]],"")</f>
        <v>5105672.4714600006</v>
      </c>
      <c r="AK948" s="5">
        <f>IFERROR(vp.tbl[[#This Row],[Dens]]*vp.tbl[[#This Row],[VolumeM3]],"")</f>
        <v>4219564.0260000005</v>
      </c>
      <c r="AL948" s="5">
        <f>IFERROR(vp.tbl[[#This Row],[VP]]*vp.tbl[[#This Row],[VolumeM3]],"")</f>
        <v>314427.96960000001</v>
      </c>
      <c r="AM948" s="4">
        <f>IFERROR((vp.tbl[[#This Row],[VP]]-INDEX(crudeBD.lkup.complete[Mean_VP],MATCH(vp.tbl[[#This Row],[Crude_Breakdown]],crudeBD.lkup.complete[Crude Breakdown],0)))^2,"")</f>
        <v>274.68404912610032</v>
      </c>
      <c r="AN948" s="4">
        <f>IFERROR((vp.tbl[[#This Row],[Dens]]-INDEX(crudeBD.lkup.complete[Mean_Dens],MATCH(vp.tbl[[#This Row],[Crude_Breakdown]],crudeBD.lkup.complete[Crude Breakdown],0)))^2,"")</f>
        <v>67.374173195978344</v>
      </c>
      <c r="AO948" s="4">
        <f>IFERROR((vp.tbl[[#This Row],[Sulf]]-INDEX(crudeBD.lkup.complete[Mean_Sulf],MATCH(vp.tbl[[#This Row],[Crude_Breakdown]],crudeBD.lkup.complete[Crude Breakdown],0)))^2,"")</f>
        <v>5.9990636691665704E-2</v>
      </c>
      <c r="AP948">
        <f>IF(AND(vp.tbl[[#This Row],[SDate]]&gt;=DATE(YEAR(vp.tbl[[#This Row],[SDate]]),5,1),vp.tbl[[#This Row],[SDate]]&lt;=DATE(YEAR(vp.tbl[[#This Row],[SDate]]),9,15)),1,0)</f>
        <v>0</v>
      </c>
      <c r="AQ948" s="15">
        <f>IF(vp.tbl[[#This Row],[SDate]]&lt;DATE(2016,12,1),0,1)</f>
        <v>1</v>
      </c>
    </row>
    <row r="949" spans="1:43" x14ac:dyDescent="0.25">
      <c r="A949">
        <v>948</v>
      </c>
      <c r="B949" t="s">
        <v>51</v>
      </c>
      <c r="C949" t="s">
        <v>51</v>
      </c>
      <c r="D949" t="s">
        <v>95</v>
      </c>
      <c r="F949" s="1">
        <v>42803</v>
      </c>
      <c r="G949" s="2">
        <v>82.5</v>
      </c>
      <c r="H949" s="2"/>
      <c r="I949" s="2">
        <v>1.2</v>
      </c>
      <c r="J949" s="2">
        <v>12.4</v>
      </c>
      <c r="K949" s="2">
        <v>-25</v>
      </c>
      <c r="L949" s="2"/>
      <c r="M949" s="2">
        <v>842.3</v>
      </c>
      <c r="N949" s="2">
        <f ca="1">INDEX(INDIRECT(_xlfn.CONCAT("weather.tbl[",N$1,"]")),MATCH(vp.tbl[[#This Row],[SDate]],weather.tbl[Date],0))</f>
        <v>-19.099999999999998</v>
      </c>
      <c r="O949" s="2">
        <f ca="1">INDEX(INDIRECT(_xlfn.CONCAT("weather.tbl[",O$1,"]")),MATCH(vp.tbl[[#This Row],[SDate]],weather.tbl[Date],0))</f>
        <v>-8.6976190476190478</v>
      </c>
      <c r="P949" s="2">
        <f ca="1">INDEX(INDIRECT(_xlfn.CONCAT("weather.tbl[",P$1,"]")),MATCH(vp.tbl[[#This Row],[SDate]],weather.tbl[Date],0))</f>
        <v>-19</v>
      </c>
      <c r="Q949" s="2">
        <f ca="1">INDEX(INDIRECT(_xlfn.CONCAT("weather.tbl[",Q$1,"]")),MATCH(vp.tbl[[#This Row],[SDate]],weather.tbl[Date],0))</f>
        <v>-18.899999999999999</v>
      </c>
      <c r="R949" s="2">
        <f ca="1">INDEX(INDIRECT(_xlfn.CONCAT("weather.tbl[",R$1,"]")),MATCH(vp.tbl[[#This Row],[SDate]],weather.tbl[Date],0))</f>
        <v>-18</v>
      </c>
      <c r="S949" s="2">
        <f ca="1">INDEX(INDIRECT(_xlfn.CONCAT("weather.tbl[",S$1,"]")),MATCH(vp.tbl[[#This Row],[SDate]],weather.tbl[Date],0))</f>
        <v>-18.2</v>
      </c>
      <c r="T949" s="2">
        <f ca="1">INDEX(INDIRECT(_xlfn.CONCAT("weather.tbl[",T$1,"]")),MATCH(vp.tbl[[#This Row],[SDate]],weather.tbl[Date],0))</f>
        <v>-21.2</v>
      </c>
      <c r="U949" s="2">
        <f ca="1">INDEX(INDIRECT(_xlfn.CONCAT("weather.tbl[",U$1,"]")),MATCH(vp.tbl[[#This Row],[SDate]],weather.tbl[Date],0))</f>
        <v>-19.3</v>
      </c>
      <c r="V949" s="2">
        <v>5390.0870000000004</v>
      </c>
      <c r="W949" t="s">
        <v>48</v>
      </c>
      <c r="X949">
        <f>IF(OR(vp.tbl[[#This Row],[Sulf]]="",vp.tbl[[#This Row],[Dens]]=""),1,0)</f>
        <v>0</v>
      </c>
      <c r="Y949">
        <f>IF(vp.tbl[[#This Row],[CrudeType]]="C5+",1,0)</f>
        <v>0</v>
      </c>
      <c r="Z949">
        <f>IF(AND(vp.tbl[[#This Row],[CrudeType]]="Crude",vp.tbl[[#This Row],[Dens]]&lt;=825,vp.tbl[[#This Row],[Sulf]]&gt;0.5,vp.tbl[[#This Row],[Unknown]]=0),1,0)</f>
        <v>0</v>
      </c>
      <c r="AA949">
        <f>IF(AND(vp.tbl[[#This Row],[CrudeType]]="Crude",vp.tbl[[#This Row],[Dens]]&lt;=825,vp.tbl[[#This Row],[Sulf]]&lt;=0.5,vp.tbl[[#This Row],[Unknown]]=0),1,0)</f>
        <v>0</v>
      </c>
      <c r="AB949">
        <f>IF(AND(vp.tbl[[#This Row],[CrudeType]]="Crude",vp.tbl[[#This Row],[Dens]]&gt;825,vp.tbl[[#This Row],[Dens]]&lt;=870,vp.tbl[[#This Row],[Sulf]]&gt;0.5,vp.tbl[[#This Row],[Unknown]]=0),1,0)</f>
        <v>1</v>
      </c>
      <c r="AC949">
        <f>IF(AND(vp.tbl[[#This Row],[CrudeType]]="Crude",vp.tbl[[#This Row],[Dens]]&gt;825,vp.tbl[[#This Row],[Dens]]&lt;=900,vp.tbl[[#This Row],[Sulf]]&lt;=0.5,vp.tbl[[#This Row],[Unknown]]=0),1,0)</f>
        <v>0</v>
      </c>
      <c r="AD949">
        <f>IF(AND(vp.tbl[[#This Row],[CrudeType]]="Crude",vp.tbl[[#This Row],[Dens]]&gt;870,vp.tbl[[#This Row],[Dens]]&lt;=900,vp.tbl[[#This Row],[Sulf]]&gt;0.5,vp.tbl[[#This Row],[Unknown]]=0),1,0)</f>
        <v>0</v>
      </c>
      <c r="AE949">
        <f>IF(AND(vp.tbl[[#This Row],[CrudeType]]="Crude",vp.tbl[[#This Row],[Dens]]&gt;900,vp.tbl[[#This Row],[Sulf]]&lt;=0.5,vp.tbl[[#This Row],[Unknown]]=0),1,0)</f>
        <v>0</v>
      </c>
      <c r="AF949">
        <f>IF(AND(vp.tbl[[#This Row],[CrudeType]]="Crude",vp.tbl[[#This Row],[Dens]]&gt;900,vp.tbl[[#This Row],[Sulf]]&lt;=0.5,vp.tbl[[#This Row],[Unknown]]=0),1,0)</f>
        <v>0</v>
      </c>
      <c r="AG949" t="str">
        <f>INDEX(vp.tbl[[#Headers],[Unknown]:[Heavy_SW]],MATCH(1,vp.tbl[[#This Row],[Unknown]:[Heavy_SW]],0))</f>
        <v>Medium_LSB</v>
      </c>
      <c r="AH949" t="e">
        <f>INDEX([1]!crudeBD.lkup[Number],MATCH(vp.tbl[[#This Row],[Crude_Breakdown]],[1]!crudeBD.lkup[Crude Breakdown],0))</f>
        <v>#REF!</v>
      </c>
      <c r="AI949">
        <f>MONTH(vp.tbl[[#This Row],[SDate]])</f>
        <v>3</v>
      </c>
      <c r="AJ949" s="5">
        <f>IFERROR(vp.tbl[[#This Row],[Sulf]]*vp.tbl[[#This Row],[Net Dens]],"")</f>
        <v>5448084.3361200001</v>
      </c>
      <c r="AK949" s="5">
        <f>IFERROR(vp.tbl[[#This Row],[Dens]]*vp.tbl[[#This Row],[VolumeM3]],"")</f>
        <v>4540070.2801000001</v>
      </c>
      <c r="AL949" s="5">
        <f>IFERROR(vp.tbl[[#This Row],[VP]]*vp.tbl[[#This Row],[VolumeM3]],"")</f>
        <v>444682.17750000005</v>
      </c>
      <c r="AM949" s="4">
        <f>IFERROR((vp.tbl[[#This Row],[VP]]-INDEX(crudeBD.lkup.complete[Mean_VP],MATCH(vp.tbl[[#This Row],[Crude_Breakdown]],crudeBD.lkup.complete[Crude Breakdown],0)))^2,"")</f>
        <v>5.4121605185068216</v>
      </c>
      <c r="AN949" s="4">
        <f>IFERROR((vp.tbl[[#This Row],[Dens]]-INDEX(crudeBD.lkup.complete[Mean_Dens],MATCH(vp.tbl[[#This Row],[Crude_Breakdown]],crudeBD.lkup.complete[Crude Breakdown],0)))^2,"")</f>
        <v>8.9510035757034014</v>
      </c>
      <c r="AO949" s="4">
        <f>IFERROR((vp.tbl[[#This Row],[Sulf]]-INDEX(crudeBD.lkup.complete[Mean_Sulf],MATCH(vp.tbl[[#This Row],[Crude_Breakdown]],crudeBD.lkup.complete[Crude Breakdown],0)))^2,"")</f>
        <v>6.4989233906855612E-2</v>
      </c>
      <c r="AP949">
        <f>IF(AND(vp.tbl[[#This Row],[SDate]]&gt;=DATE(YEAR(vp.tbl[[#This Row],[SDate]]),5,1),vp.tbl[[#This Row],[SDate]]&lt;=DATE(YEAR(vp.tbl[[#This Row],[SDate]]),9,15)),1,0)</f>
        <v>0</v>
      </c>
      <c r="AQ949" s="15">
        <f>IF(vp.tbl[[#This Row],[SDate]]&lt;DATE(2016,12,1),0,1)</f>
        <v>1</v>
      </c>
    </row>
    <row r="950" spans="1:43" x14ac:dyDescent="0.25">
      <c r="A950">
        <v>949</v>
      </c>
      <c r="B950" t="s">
        <v>60</v>
      </c>
      <c r="C950" t="s">
        <v>60</v>
      </c>
      <c r="D950" t="s">
        <v>61</v>
      </c>
      <c r="E950" t="s">
        <v>73</v>
      </c>
      <c r="F950" s="1">
        <v>42803</v>
      </c>
      <c r="G950" s="2">
        <v>79.599999999999994</v>
      </c>
      <c r="H950" s="2">
        <v>1.2589999999999999</v>
      </c>
      <c r="I950" s="2">
        <v>1.2589999999999999</v>
      </c>
      <c r="J950" s="2">
        <v>4.3</v>
      </c>
      <c r="K950" s="2">
        <v>-25</v>
      </c>
      <c r="L950" s="2">
        <v>845.1</v>
      </c>
      <c r="M950" s="2">
        <v>845.1</v>
      </c>
      <c r="N950" s="2">
        <f ca="1">INDEX(INDIRECT(_xlfn.CONCAT("weather.tbl[",N$1,"]")),MATCH(vp.tbl[[#This Row],[SDate]],weather.tbl[Date],0))</f>
        <v>-19.099999999999998</v>
      </c>
      <c r="O950" s="2">
        <f ca="1">INDEX(INDIRECT(_xlfn.CONCAT("weather.tbl[",O$1,"]")),MATCH(vp.tbl[[#This Row],[SDate]],weather.tbl[Date],0))</f>
        <v>-8.6976190476190478</v>
      </c>
      <c r="P950" s="2">
        <f ca="1">INDEX(INDIRECT(_xlfn.CONCAT("weather.tbl[",P$1,"]")),MATCH(vp.tbl[[#This Row],[SDate]],weather.tbl[Date],0))</f>
        <v>-19</v>
      </c>
      <c r="Q950" s="2">
        <f ca="1">INDEX(INDIRECT(_xlfn.CONCAT("weather.tbl[",Q$1,"]")),MATCH(vp.tbl[[#This Row],[SDate]],weather.tbl[Date],0))</f>
        <v>-18.899999999999999</v>
      </c>
      <c r="R950" s="2">
        <f ca="1">INDEX(INDIRECT(_xlfn.CONCAT("weather.tbl[",R$1,"]")),MATCH(vp.tbl[[#This Row],[SDate]],weather.tbl[Date],0))</f>
        <v>-18</v>
      </c>
      <c r="S950" s="2">
        <f ca="1">INDEX(INDIRECT(_xlfn.CONCAT("weather.tbl[",S$1,"]")),MATCH(vp.tbl[[#This Row],[SDate]],weather.tbl[Date],0))</f>
        <v>-18.2</v>
      </c>
      <c r="T950" s="2">
        <f ca="1">INDEX(INDIRECT(_xlfn.CONCAT("weather.tbl[",T$1,"]")),MATCH(vp.tbl[[#This Row],[SDate]],weather.tbl[Date],0))</f>
        <v>-21.2</v>
      </c>
      <c r="U950" s="2">
        <f ca="1">INDEX(INDIRECT(_xlfn.CONCAT("weather.tbl[",U$1,"]")),MATCH(vp.tbl[[#This Row],[SDate]],weather.tbl[Date],0))</f>
        <v>-19.3</v>
      </c>
      <c r="V950" s="2">
        <v>106074.851</v>
      </c>
      <c r="W950" t="s">
        <v>48</v>
      </c>
      <c r="X950">
        <f>IF(OR(vp.tbl[[#This Row],[Sulf]]="",vp.tbl[[#This Row],[Dens]]=""),1,0)</f>
        <v>0</v>
      </c>
      <c r="Y950">
        <f>IF(vp.tbl[[#This Row],[CrudeType]]="C5+",1,0)</f>
        <v>0</v>
      </c>
      <c r="Z950">
        <f>IF(AND(vp.tbl[[#This Row],[CrudeType]]="Crude",vp.tbl[[#This Row],[Dens]]&lt;=825,vp.tbl[[#This Row],[Sulf]]&gt;0.5,vp.tbl[[#This Row],[Unknown]]=0),1,0)</f>
        <v>0</v>
      </c>
      <c r="AA950">
        <f>IF(AND(vp.tbl[[#This Row],[CrudeType]]="Crude",vp.tbl[[#This Row],[Dens]]&lt;=825,vp.tbl[[#This Row],[Sulf]]&lt;=0.5,vp.tbl[[#This Row],[Unknown]]=0),1,0)</f>
        <v>0</v>
      </c>
      <c r="AB950">
        <f>IF(AND(vp.tbl[[#This Row],[CrudeType]]="Crude",vp.tbl[[#This Row],[Dens]]&gt;825,vp.tbl[[#This Row],[Dens]]&lt;=870,vp.tbl[[#This Row],[Sulf]]&gt;0.5,vp.tbl[[#This Row],[Unknown]]=0),1,0)</f>
        <v>1</v>
      </c>
      <c r="AC950">
        <f>IF(AND(vp.tbl[[#This Row],[CrudeType]]="Crude",vp.tbl[[#This Row],[Dens]]&gt;825,vp.tbl[[#This Row],[Dens]]&lt;=900,vp.tbl[[#This Row],[Sulf]]&lt;=0.5,vp.tbl[[#This Row],[Unknown]]=0),1,0)</f>
        <v>0</v>
      </c>
      <c r="AD950">
        <f>IF(AND(vp.tbl[[#This Row],[CrudeType]]="Crude",vp.tbl[[#This Row],[Dens]]&gt;870,vp.tbl[[#This Row],[Dens]]&lt;=900,vp.tbl[[#This Row],[Sulf]]&gt;0.5,vp.tbl[[#This Row],[Unknown]]=0),1,0)</f>
        <v>0</v>
      </c>
      <c r="AE950">
        <f>IF(AND(vp.tbl[[#This Row],[CrudeType]]="Crude",vp.tbl[[#This Row],[Dens]]&gt;900,vp.tbl[[#This Row],[Sulf]]&lt;=0.5,vp.tbl[[#This Row],[Unknown]]=0),1,0)</f>
        <v>0</v>
      </c>
      <c r="AF950">
        <f>IF(AND(vp.tbl[[#This Row],[CrudeType]]="Crude",vp.tbl[[#This Row],[Dens]]&gt;900,vp.tbl[[#This Row],[Sulf]]&lt;=0.5,vp.tbl[[#This Row],[Unknown]]=0),1,0)</f>
        <v>0</v>
      </c>
      <c r="AG950" t="str">
        <f>INDEX(vp.tbl[[#Headers],[Unknown]:[Heavy_SW]],MATCH(1,vp.tbl[[#This Row],[Unknown]:[Heavy_SW]],0))</f>
        <v>Medium_LSB</v>
      </c>
      <c r="AH950" t="e">
        <f>INDEX([1]!crudeBD.lkup[Number],MATCH(vp.tbl[[#This Row],[Crude_Breakdown]],[1]!crudeBD.lkup[Crude Breakdown],0))</f>
        <v>#REF!</v>
      </c>
      <c r="AI950">
        <f>MONTH(vp.tbl[[#This Row],[SDate]])</f>
        <v>3</v>
      </c>
      <c r="AJ950" s="5">
        <f>IFERROR(vp.tbl[[#This Row],[Sulf]]*vp.tbl[[#This Row],[Net Dens]],"")</f>
        <v>112861615.43434589</v>
      </c>
      <c r="AK950" s="5">
        <f>IFERROR(vp.tbl[[#This Row],[Dens]]*vp.tbl[[#This Row],[VolumeM3]],"")</f>
        <v>89643856.5801</v>
      </c>
      <c r="AL950" s="5">
        <f>IFERROR(vp.tbl[[#This Row],[VP]]*vp.tbl[[#This Row],[VolumeM3]],"")</f>
        <v>8443558.1395999994</v>
      </c>
      <c r="AM950" s="4">
        <f>IFERROR((vp.tbl[[#This Row],[VP]]-INDEX(crudeBD.lkup.complete[Mean_VP],MATCH(vp.tbl[[#This Row],[Crude_Breakdown]],crudeBD.lkup.complete[Crude Breakdown],0)))^2,"")</f>
        <v>0.32901115141800619</v>
      </c>
      <c r="AN950" s="4">
        <f>IFERROR((vp.tbl[[#This Row],[Dens]]-INDEX(crudeBD.lkup.complete[Mean_Dens],MATCH(vp.tbl[[#This Row],[Crude_Breakdown]],crudeBD.lkup.complete[Crude Breakdown],0)))^2,"")</f>
        <v>3.6795980771925647E-2</v>
      </c>
      <c r="AO950" s="4">
        <f>IFERROR((vp.tbl[[#This Row],[Sulf]]-INDEX(crudeBD.lkup.complete[Mean_Sulf],MATCH(vp.tbl[[#This Row],[Crude_Breakdown]],crudeBD.lkup.complete[Crude Breakdown],0)))^2,"")</f>
        <v>3.8388510337235199E-2</v>
      </c>
      <c r="AP950">
        <f>IF(AND(vp.tbl[[#This Row],[SDate]]&gt;=DATE(YEAR(vp.tbl[[#This Row],[SDate]]),5,1),vp.tbl[[#This Row],[SDate]]&lt;=DATE(YEAR(vp.tbl[[#This Row],[SDate]]),9,15)),1,0)</f>
        <v>0</v>
      </c>
      <c r="AQ950" s="15">
        <f>IF(vp.tbl[[#This Row],[SDate]]&lt;DATE(2016,12,1),0,1)</f>
        <v>1</v>
      </c>
    </row>
    <row r="951" spans="1:43" x14ac:dyDescent="0.25">
      <c r="A951">
        <v>950</v>
      </c>
      <c r="B951" t="s">
        <v>60</v>
      </c>
      <c r="C951" t="s">
        <v>60</v>
      </c>
      <c r="D951" t="s">
        <v>61</v>
      </c>
      <c r="E951" t="s">
        <v>55</v>
      </c>
      <c r="F951" s="1">
        <v>42803</v>
      </c>
      <c r="G951" s="2">
        <v>104.1</v>
      </c>
      <c r="H951" s="2">
        <v>1.1000000000000001</v>
      </c>
      <c r="I951" s="2">
        <v>1.1000000000000001</v>
      </c>
      <c r="J951" s="2">
        <v>1.5</v>
      </c>
      <c r="K951" s="2">
        <v>-25</v>
      </c>
      <c r="L951" s="2">
        <v>829.8</v>
      </c>
      <c r="M951" s="2">
        <v>829.8</v>
      </c>
      <c r="N951" s="2">
        <f ca="1">INDEX(INDIRECT(_xlfn.CONCAT("weather.tbl[",N$1,"]")),MATCH(vp.tbl[[#This Row],[SDate]],weather.tbl[Date],0))</f>
        <v>-19.099999999999998</v>
      </c>
      <c r="O951" s="2">
        <f ca="1">INDEX(INDIRECT(_xlfn.CONCAT("weather.tbl[",O$1,"]")),MATCH(vp.tbl[[#This Row],[SDate]],weather.tbl[Date],0))</f>
        <v>-8.6976190476190478</v>
      </c>
      <c r="P951" s="2">
        <f ca="1">INDEX(INDIRECT(_xlfn.CONCAT("weather.tbl[",P$1,"]")),MATCH(vp.tbl[[#This Row],[SDate]],weather.tbl[Date],0))</f>
        <v>-19</v>
      </c>
      <c r="Q951" s="2">
        <f ca="1">INDEX(INDIRECT(_xlfn.CONCAT("weather.tbl[",Q$1,"]")),MATCH(vp.tbl[[#This Row],[SDate]],weather.tbl[Date],0))</f>
        <v>-18.899999999999999</v>
      </c>
      <c r="R951" s="2">
        <f ca="1">INDEX(INDIRECT(_xlfn.CONCAT("weather.tbl[",R$1,"]")),MATCH(vp.tbl[[#This Row],[SDate]],weather.tbl[Date],0))</f>
        <v>-18</v>
      </c>
      <c r="S951" s="2">
        <f ca="1">INDEX(INDIRECT(_xlfn.CONCAT("weather.tbl[",S$1,"]")),MATCH(vp.tbl[[#This Row],[SDate]],weather.tbl[Date],0))</f>
        <v>-18.2</v>
      </c>
      <c r="T951" s="2">
        <f ca="1">INDEX(INDIRECT(_xlfn.CONCAT("weather.tbl[",T$1,"]")),MATCH(vp.tbl[[#This Row],[SDate]],weather.tbl[Date],0))</f>
        <v>-21.2</v>
      </c>
      <c r="U951" s="2">
        <f ca="1">INDEX(INDIRECT(_xlfn.CONCAT("weather.tbl[",U$1,"]")),MATCH(vp.tbl[[#This Row],[SDate]],weather.tbl[Date],0))</f>
        <v>-19.3</v>
      </c>
      <c r="V951" s="2">
        <v>106074.851</v>
      </c>
      <c r="W951" t="s">
        <v>48</v>
      </c>
      <c r="X951">
        <f>IF(OR(vp.tbl[[#This Row],[Sulf]]="",vp.tbl[[#This Row],[Dens]]=""),1,0)</f>
        <v>0</v>
      </c>
      <c r="Y951">
        <f>IF(vp.tbl[[#This Row],[CrudeType]]="C5+",1,0)</f>
        <v>0</v>
      </c>
      <c r="Z951">
        <f>IF(AND(vp.tbl[[#This Row],[CrudeType]]="Crude",vp.tbl[[#This Row],[Dens]]&lt;=825,vp.tbl[[#This Row],[Sulf]]&gt;0.5,vp.tbl[[#This Row],[Unknown]]=0),1,0)</f>
        <v>0</v>
      </c>
      <c r="AA951">
        <f>IF(AND(vp.tbl[[#This Row],[CrudeType]]="Crude",vp.tbl[[#This Row],[Dens]]&lt;=825,vp.tbl[[#This Row],[Sulf]]&lt;=0.5,vp.tbl[[#This Row],[Unknown]]=0),1,0)</f>
        <v>0</v>
      </c>
      <c r="AB951">
        <f>IF(AND(vp.tbl[[#This Row],[CrudeType]]="Crude",vp.tbl[[#This Row],[Dens]]&gt;825,vp.tbl[[#This Row],[Dens]]&lt;=870,vp.tbl[[#This Row],[Sulf]]&gt;0.5,vp.tbl[[#This Row],[Unknown]]=0),1,0)</f>
        <v>1</v>
      </c>
      <c r="AC951">
        <f>IF(AND(vp.tbl[[#This Row],[CrudeType]]="Crude",vp.tbl[[#This Row],[Dens]]&gt;825,vp.tbl[[#This Row],[Dens]]&lt;=900,vp.tbl[[#This Row],[Sulf]]&lt;=0.5,vp.tbl[[#This Row],[Unknown]]=0),1,0)</f>
        <v>0</v>
      </c>
      <c r="AD951">
        <f>IF(AND(vp.tbl[[#This Row],[CrudeType]]="Crude",vp.tbl[[#This Row],[Dens]]&gt;870,vp.tbl[[#This Row],[Dens]]&lt;=900,vp.tbl[[#This Row],[Sulf]]&gt;0.5,vp.tbl[[#This Row],[Unknown]]=0),1,0)</f>
        <v>0</v>
      </c>
      <c r="AE951">
        <f>IF(AND(vp.tbl[[#This Row],[CrudeType]]="Crude",vp.tbl[[#This Row],[Dens]]&gt;900,vp.tbl[[#This Row],[Sulf]]&lt;=0.5,vp.tbl[[#This Row],[Unknown]]=0),1,0)</f>
        <v>0</v>
      </c>
      <c r="AF951">
        <f>IF(AND(vp.tbl[[#This Row],[CrudeType]]="Crude",vp.tbl[[#This Row],[Dens]]&gt;900,vp.tbl[[#This Row],[Sulf]]&lt;=0.5,vp.tbl[[#This Row],[Unknown]]=0),1,0)</f>
        <v>0</v>
      </c>
      <c r="AG951" t="str">
        <f>INDEX(vp.tbl[[#Headers],[Unknown]:[Heavy_SW]],MATCH(1,vp.tbl[[#This Row],[Unknown]:[Heavy_SW]],0))</f>
        <v>Medium_LSB</v>
      </c>
      <c r="AH951" t="e">
        <f>INDEX([1]!crudeBD.lkup[Number],MATCH(vp.tbl[[#This Row],[Crude_Breakdown]],[1]!crudeBD.lkup[Crude Breakdown],0))</f>
        <v>#REF!</v>
      </c>
      <c r="AI951">
        <f>MONTH(vp.tbl[[#This Row],[SDate]])</f>
        <v>3</v>
      </c>
      <c r="AJ951" s="5">
        <f>IFERROR(vp.tbl[[#This Row],[Sulf]]*vp.tbl[[#This Row],[Net Dens]],"")</f>
        <v>96823002.495780006</v>
      </c>
      <c r="AK951" s="5">
        <f>IFERROR(vp.tbl[[#This Row],[Dens]]*vp.tbl[[#This Row],[VolumeM3]],"")</f>
        <v>88020911.359799996</v>
      </c>
      <c r="AL951" s="5">
        <f>IFERROR(vp.tbl[[#This Row],[VP]]*vp.tbl[[#This Row],[VolumeM3]],"")</f>
        <v>11042391.989099998</v>
      </c>
      <c r="AM951" s="4">
        <f>IFERROR((vp.tbl[[#This Row],[VP]]-INDEX(crudeBD.lkup.complete[Mean_VP],MATCH(vp.tbl[[#This Row],[Crude_Breakdown]],crudeBD.lkup.complete[Crude Breakdown],0)))^2,"")</f>
        <v>572.47285925268534</v>
      </c>
      <c r="AN951" s="4">
        <f>IFERROR((vp.tbl[[#This Row],[Dens]]-INDEX(crudeBD.lkup.complete[Mean_Dens],MATCH(vp.tbl[[#This Row],[Crude_Breakdown]],crudeBD.lkup.complete[Crude Breakdown],0)))^2,"")</f>
        <v>239.99657319593308</v>
      </c>
      <c r="AO951" s="4">
        <f>IFERROR((vp.tbl[[#This Row],[Sulf]]-INDEX(crudeBD.lkup.complete[Mean_Sulf],MATCH(vp.tbl[[#This Row],[Crude_Breakdown]],crudeBD.lkup.complete[Crude Breakdown],0)))^2,"")</f>
        <v>0.12597520605875456</v>
      </c>
      <c r="AP951">
        <f>IF(AND(vp.tbl[[#This Row],[SDate]]&gt;=DATE(YEAR(vp.tbl[[#This Row],[SDate]]),5,1),vp.tbl[[#This Row],[SDate]]&lt;=DATE(YEAR(vp.tbl[[#This Row],[SDate]]),9,15)),1,0)</f>
        <v>0</v>
      </c>
      <c r="AQ951" s="15">
        <f>IF(vp.tbl[[#This Row],[SDate]]&lt;DATE(2016,12,1),0,1)</f>
        <v>1</v>
      </c>
    </row>
    <row r="952" spans="1:43" x14ac:dyDescent="0.25">
      <c r="A952">
        <v>951</v>
      </c>
      <c r="B952" t="s">
        <v>53</v>
      </c>
      <c r="C952" t="s">
        <v>53</v>
      </c>
      <c r="D952" t="s">
        <v>54</v>
      </c>
      <c r="E952" t="s">
        <v>73</v>
      </c>
      <c r="F952" s="1">
        <v>42804</v>
      </c>
      <c r="G952" s="2">
        <v>90.5</v>
      </c>
      <c r="H952" s="2"/>
      <c r="I952" s="2">
        <v>1.32</v>
      </c>
      <c r="J952" s="2">
        <v>2.2999999999999998</v>
      </c>
      <c r="K952" s="2">
        <v>-25</v>
      </c>
      <c r="L952" s="2">
        <v>826</v>
      </c>
      <c r="M952" s="2">
        <v>826</v>
      </c>
      <c r="N952" s="2">
        <f ca="1">INDEX(INDIRECT(_xlfn.CONCAT("weather.tbl[",N$1,"]")),MATCH(vp.tbl[[#This Row],[SDate]],weather.tbl[Date],0))</f>
        <v>-21.283333333333335</v>
      </c>
      <c r="O952" s="2">
        <f ca="1">INDEX(INDIRECT(_xlfn.CONCAT("weather.tbl[",O$1,"]")),MATCH(vp.tbl[[#This Row],[SDate]],weather.tbl[Date],0))</f>
        <v>-10.678571428571429</v>
      </c>
      <c r="P952" s="2">
        <f ca="1">INDEX(INDIRECT(_xlfn.CONCAT("weather.tbl[",P$1,"]")),MATCH(vp.tbl[[#This Row],[SDate]],weather.tbl[Date],0))</f>
        <v>-20.8</v>
      </c>
      <c r="Q952" s="2">
        <f ca="1">INDEX(INDIRECT(_xlfn.CONCAT("weather.tbl[",Q$1,"]")),MATCH(vp.tbl[[#This Row],[SDate]],weather.tbl[Date],0))</f>
        <v>-20.5</v>
      </c>
      <c r="R952" s="2">
        <f ca="1">INDEX(INDIRECT(_xlfn.CONCAT("weather.tbl[",R$1,"]")),MATCH(vp.tbl[[#This Row],[SDate]],weather.tbl[Date],0))</f>
        <v>-22</v>
      </c>
      <c r="S952" s="2">
        <f ca="1">INDEX(INDIRECT(_xlfn.CONCAT("weather.tbl[",S$1,"]")),MATCH(vp.tbl[[#This Row],[SDate]],weather.tbl[Date],0))</f>
        <v>-19.600000000000001</v>
      </c>
      <c r="T952" s="2">
        <f ca="1">INDEX(INDIRECT(_xlfn.CONCAT("weather.tbl[",T$1,"]")),MATCH(vp.tbl[[#This Row],[SDate]],weather.tbl[Date],0))</f>
        <v>-23.3</v>
      </c>
      <c r="U952" s="2">
        <f ca="1">INDEX(INDIRECT(_xlfn.CONCAT("weather.tbl[",U$1,"]")),MATCH(vp.tbl[[#This Row],[SDate]],weather.tbl[Date],0))</f>
        <v>-21.5</v>
      </c>
      <c r="V952" s="2">
        <v>9106.7160000000003</v>
      </c>
      <c r="W952" t="s">
        <v>48</v>
      </c>
      <c r="X952">
        <f>IF(OR(vp.tbl[[#This Row],[Sulf]]="",vp.tbl[[#This Row],[Dens]]=""),1,0)</f>
        <v>0</v>
      </c>
      <c r="Y952">
        <f>IF(vp.tbl[[#This Row],[CrudeType]]="C5+",1,0)</f>
        <v>0</v>
      </c>
      <c r="Z952">
        <f>IF(AND(vp.tbl[[#This Row],[CrudeType]]="Crude",vp.tbl[[#This Row],[Dens]]&lt;=825,vp.tbl[[#This Row],[Sulf]]&gt;0.5,vp.tbl[[#This Row],[Unknown]]=0),1,0)</f>
        <v>0</v>
      </c>
      <c r="AA952">
        <f>IF(AND(vp.tbl[[#This Row],[CrudeType]]="Crude",vp.tbl[[#This Row],[Dens]]&lt;=825,vp.tbl[[#This Row],[Sulf]]&lt;=0.5,vp.tbl[[#This Row],[Unknown]]=0),1,0)</f>
        <v>0</v>
      </c>
      <c r="AB952">
        <f>IF(AND(vp.tbl[[#This Row],[CrudeType]]="Crude",vp.tbl[[#This Row],[Dens]]&gt;825,vp.tbl[[#This Row],[Dens]]&lt;=870,vp.tbl[[#This Row],[Sulf]]&gt;0.5,vp.tbl[[#This Row],[Unknown]]=0),1,0)</f>
        <v>1</v>
      </c>
      <c r="AC952">
        <f>IF(AND(vp.tbl[[#This Row],[CrudeType]]="Crude",vp.tbl[[#This Row],[Dens]]&gt;825,vp.tbl[[#This Row],[Dens]]&lt;=900,vp.tbl[[#This Row],[Sulf]]&lt;=0.5,vp.tbl[[#This Row],[Unknown]]=0),1,0)</f>
        <v>0</v>
      </c>
      <c r="AD952">
        <f>IF(AND(vp.tbl[[#This Row],[CrudeType]]="Crude",vp.tbl[[#This Row],[Dens]]&gt;870,vp.tbl[[#This Row],[Dens]]&lt;=900,vp.tbl[[#This Row],[Sulf]]&gt;0.5,vp.tbl[[#This Row],[Unknown]]=0),1,0)</f>
        <v>0</v>
      </c>
      <c r="AE952">
        <f>IF(AND(vp.tbl[[#This Row],[CrudeType]]="Crude",vp.tbl[[#This Row],[Dens]]&gt;900,vp.tbl[[#This Row],[Sulf]]&lt;=0.5,vp.tbl[[#This Row],[Unknown]]=0),1,0)</f>
        <v>0</v>
      </c>
      <c r="AF952">
        <f>IF(AND(vp.tbl[[#This Row],[CrudeType]]="Crude",vp.tbl[[#This Row],[Dens]]&gt;900,vp.tbl[[#This Row],[Sulf]]&lt;=0.5,vp.tbl[[#This Row],[Unknown]]=0),1,0)</f>
        <v>0</v>
      </c>
      <c r="AG952" t="str">
        <f>INDEX(vp.tbl[[#Headers],[Unknown]:[Heavy_SW]],MATCH(1,vp.tbl[[#This Row],[Unknown]:[Heavy_SW]],0))</f>
        <v>Medium_LSB</v>
      </c>
      <c r="AH952" t="e">
        <f>INDEX([1]!crudeBD.lkup[Number],MATCH(vp.tbl[[#This Row],[Crude_Breakdown]],[1]!crudeBD.lkup[Crude Breakdown],0))</f>
        <v>#REF!</v>
      </c>
      <c r="AI952">
        <f>MONTH(vp.tbl[[#This Row],[SDate]])</f>
        <v>3</v>
      </c>
      <c r="AJ952" s="5">
        <f>IFERROR(vp.tbl[[#This Row],[Sulf]]*vp.tbl[[#This Row],[Net Dens]],"")</f>
        <v>9929234.5891200006</v>
      </c>
      <c r="AK952" s="5">
        <f>IFERROR(vp.tbl[[#This Row],[Dens]]*vp.tbl[[#This Row],[VolumeM3]],"")</f>
        <v>7522147.4160000002</v>
      </c>
      <c r="AL952" s="5">
        <f>IFERROR(vp.tbl[[#This Row],[VP]]*vp.tbl[[#This Row],[VolumeM3]],"")</f>
        <v>824157.79800000007</v>
      </c>
      <c r="AM952" s="4">
        <f>IFERROR((vp.tbl[[#This Row],[VP]]-INDEX(crudeBD.lkup.complete[Mean_VP],MATCH(vp.tbl[[#This Row],[Crude_Breakdown]],crudeBD.lkup.complete[Crude Breakdown],0)))^2,"")</f>
        <v>106.63464153116564</v>
      </c>
      <c r="AN952" s="4">
        <f>IFERROR((vp.tbl[[#This Row],[Dens]]-INDEX(crudeBD.lkup.complete[Mean_Dens],MATCH(vp.tbl[[#This Row],[Crude_Breakdown]],crudeBD.lkup.complete[Crude Breakdown],0)))^2,"")</f>
        <v>372.17442636048116</v>
      </c>
      <c r="AO952" s="4">
        <f>IFERROR((vp.tbl[[#This Row],[Sulf]]-INDEX(crudeBD.lkup.complete[Mean_Sulf],MATCH(vp.tbl[[#This Row],[Crude_Breakdown]],crudeBD.lkup.complete[Crude Breakdown],0)))^2,"")</f>
        <v>1.8206067324576733E-2</v>
      </c>
      <c r="AP952">
        <f>IF(AND(vp.tbl[[#This Row],[SDate]]&gt;=DATE(YEAR(vp.tbl[[#This Row],[SDate]]),5,1),vp.tbl[[#This Row],[SDate]]&lt;=DATE(YEAR(vp.tbl[[#This Row],[SDate]]),9,15)),1,0)</f>
        <v>0</v>
      </c>
      <c r="AQ952" s="15">
        <f>IF(vp.tbl[[#This Row],[SDate]]&lt;DATE(2016,12,1),0,1)</f>
        <v>1</v>
      </c>
    </row>
    <row r="953" spans="1:43" x14ac:dyDescent="0.25">
      <c r="A953">
        <v>952</v>
      </c>
      <c r="B953" t="s">
        <v>49</v>
      </c>
      <c r="C953" t="s">
        <v>49</v>
      </c>
      <c r="D953" t="s">
        <v>92</v>
      </c>
      <c r="F953" s="1">
        <v>42804</v>
      </c>
      <c r="G953" s="2">
        <v>83.7</v>
      </c>
      <c r="H953" s="2">
        <v>0.27500000000000002</v>
      </c>
      <c r="I953" s="2">
        <v>0.27500000000000002</v>
      </c>
      <c r="J953" s="2">
        <v>15.1</v>
      </c>
      <c r="K953" s="2">
        <v>-25</v>
      </c>
      <c r="L953" s="2">
        <v>809.8</v>
      </c>
      <c r="M953" s="2">
        <v>809.8</v>
      </c>
      <c r="N953" s="2">
        <f ca="1">INDEX(INDIRECT(_xlfn.CONCAT("weather.tbl[",N$1,"]")),MATCH(vp.tbl[[#This Row],[SDate]],weather.tbl[Date],0))</f>
        <v>-21.283333333333335</v>
      </c>
      <c r="O953" s="2">
        <f ca="1">INDEX(INDIRECT(_xlfn.CONCAT("weather.tbl[",O$1,"]")),MATCH(vp.tbl[[#This Row],[SDate]],weather.tbl[Date],0))</f>
        <v>-10.678571428571429</v>
      </c>
      <c r="P953" s="2">
        <f ca="1">INDEX(INDIRECT(_xlfn.CONCAT("weather.tbl[",P$1,"]")),MATCH(vp.tbl[[#This Row],[SDate]],weather.tbl[Date],0))</f>
        <v>-20.8</v>
      </c>
      <c r="Q953" s="2">
        <f ca="1">INDEX(INDIRECT(_xlfn.CONCAT("weather.tbl[",Q$1,"]")),MATCH(vp.tbl[[#This Row],[SDate]],weather.tbl[Date],0))</f>
        <v>-20.5</v>
      </c>
      <c r="R953" s="2">
        <f ca="1">INDEX(INDIRECT(_xlfn.CONCAT("weather.tbl[",R$1,"]")),MATCH(vp.tbl[[#This Row],[SDate]],weather.tbl[Date],0))</f>
        <v>-22</v>
      </c>
      <c r="S953" s="2">
        <f ca="1">INDEX(INDIRECT(_xlfn.CONCAT("weather.tbl[",S$1,"]")),MATCH(vp.tbl[[#This Row],[SDate]],weather.tbl[Date],0))</f>
        <v>-19.600000000000001</v>
      </c>
      <c r="T953" s="2">
        <f ca="1">INDEX(INDIRECT(_xlfn.CONCAT("weather.tbl[",T$1,"]")),MATCH(vp.tbl[[#This Row],[SDate]],weather.tbl[Date],0))</f>
        <v>-23.3</v>
      </c>
      <c r="U953" s="2">
        <f ca="1">INDEX(INDIRECT(_xlfn.CONCAT("weather.tbl[",U$1,"]")),MATCH(vp.tbl[[#This Row],[SDate]],weather.tbl[Date],0))</f>
        <v>-21.5</v>
      </c>
      <c r="V953" s="2">
        <v>21566.571</v>
      </c>
      <c r="W953" t="s">
        <v>48</v>
      </c>
      <c r="X953">
        <f>IF(OR(vp.tbl[[#This Row],[Sulf]]="",vp.tbl[[#This Row],[Dens]]=""),1,0)</f>
        <v>0</v>
      </c>
      <c r="Y953">
        <f>IF(vp.tbl[[#This Row],[CrudeType]]="C5+",1,0)</f>
        <v>0</v>
      </c>
      <c r="Z953">
        <f>IF(AND(vp.tbl[[#This Row],[CrudeType]]="Crude",vp.tbl[[#This Row],[Dens]]&lt;=825,vp.tbl[[#This Row],[Sulf]]&gt;0.5,vp.tbl[[#This Row],[Unknown]]=0),1,0)</f>
        <v>0</v>
      </c>
      <c r="AA953">
        <f>IF(AND(vp.tbl[[#This Row],[CrudeType]]="Crude",vp.tbl[[#This Row],[Dens]]&lt;=825,vp.tbl[[#This Row],[Sulf]]&lt;=0.5,vp.tbl[[#This Row],[Unknown]]=0),1,0)</f>
        <v>1</v>
      </c>
      <c r="AB953">
        <f>IF(AND(vp.tbl[[#This Row],[CrudeType]]="Crude",vp.tbl[[#This Row],[Dens]]&gt;825,vp.tbl[[#This Row],[Dens]]&lt;=870,vp.tbl[[#This Row],[Sulf]]&gt;0.5,vp.tbl[[#This Row],[Unknown]]=0),1,0)</f>
        <v>0</v>
      </c>
      <c r="AC953">
        <f>IF(AND(vp.tbl[[#This Row],[CrudeType]]="Crude",vp.tbl[[#This Row],[Dens]]&gt;825,vp.tbl[[#This Row],[Dens]]&lt;=900,vp.tbl[[#This Row],[Sulf]]&lt;=0.5,vp.tbl[[#This Row],[Unknown]]=0),1,0)</f>
        <v>0</v>
      </c>
      <c r="AD953">
        <f>IF(AND(vp.tbl[[#This Row],[CrudeType]]="Crude",vp.tbl[[#This Row],[Dens]]&gt;870,vp.tbl[[#This Row],[Dens]]&lt;=900,vp.tbl[[#This Row],[Sulf]]&gt;0.5,vp.tbl[[#This Row],[Unknown]]=0),1,0)</f>
        <v>0</v>
      </c>
      <c r="AE953">
        <f>IF(AND(vp.tbl[[#This Row],[CrudeType]]="Crude",vp.tbl[[#This Row],[Dens]]&gt;900,vp.tbl[[#This Row],[Sulf]]&lt;=0.5,vp.tbl[[#This Row],[Unknown]]=0),1,0)</f>
        <v>0</v>
      </c>
      <c r="AF953">
        <f>IF(AND(vp.tbl[[#This Row],[CrudeType]]="Crude",vp.tbl[[#This Row],[Dens]]&gt;900,vp.tbl[[#This Row],[Sulf]]&lt;=0.5,vp.tbl[[#This Row],[Unknown]]=0),1,0)</f>
        <v>0</v>
      </c>
      <c r="AG953" t="str">
        <f>INDEX(vp.tbl[[#Headers],[Unknown]:[Heavy_SW]],MATCH(1,vp.tbl[[#This Row],[Unknown]:[Heavy_SW]],0))</f>
        <v>Light_SW</v>
      </c>
      <c r="AH953" t="e">
        <f>INDEX([1]!crudeBD.lkup[Number],MATCH(vp.tbl[[#This Row],[Crude_Breakdown]],[1]!crudeBD.lkup[Crude Breakdown],0))</f>
        <v>#REF!</v>
      </c>
      <c r="AI953">
        <f>MONTH(vp.tbl[[#This Row],[SDate]])</f>
        <v>3</v>
      </c>
      <c r="AJ953" s="5">
        <f>IFERROR(vp.tbl[[#This Row],[Sulf]]*vp.tbl[[#This Row],[Net Dens]],"")</f>
        <v>4802767.5288450001</v>
      </c>
      <c r="AK953" s="5">
        <f>IFERROR(vp.tbl[[#This Row],[Dens]]*vp.tbl[[#This Row],[VolumeM3]],"")</f>
        <v>17464609.195799999</v>
      </c>
      <c r="AL953" s="5">
        <f>IFERROR(vp.tbl[[#This Row],[VP]]*vp.tbl[[#This Row],[VolumeM3]],"")</f>
        <v>1805121.9927000001</v>
      </c>
      <c r="AM953" s="4">
        <f>IFERROR((vp.tbl[[#This Row],[VP]]-INDEX(crudeBD.lkup.complete[Mean_VP],MATCH(vp.tbl[[#This Row],[Crude_Breakdown]],crudeBD.lkup.complete[Crude Breakdown],0)))^2,"")</f>
        <v>78.328050620985479</v>
      </c>
      <c r="AN953" s="4">
        <f>IFERROR((vp.tbl[[#This Row],[Dens]]-INDEX(crudeBD.lkup.complete[Mean_Dens],MATCH(vp.tbl[[#This Row],[Crude_Breakdown]],crudeBD.lkup.complete[Crude Breakdown],0)))^2,"")</f>
        <v>2.2156374364146996</v>
      </c>
      <c r="AO953" s="4">
        <f>IFERROR((vp.tbl[[#This Row],[Sulf]]-INDEX(crudeBD.lkup.complete[Mean_Sulf],MATCH(vp.tbl[[#This Row],[Crude_Breakdown]],crudeBD.lkup.complete[Crude Breakdown],0)))^2,"")</f>
        <v>1.5021971489274013E-3</v>
      </c>
      <c r="AP953">
        <f>IF(AND(vp.tbl[[#This Row],[SDate]]&gt;=DATE(YEAR(vp.tbl[[#This Row],[SDate]]),5,1),vp.tbl[[#This Row],[SDate]]&lt;=DATE(YEAR(vp.tbl[[#This Row],[SDate]]),9,15)),1,0)</f>
        <v>0</v>
      </c>
      <c r="AQ953" s="15">
        <f>IF(vp.tbl[[#This Row],[SDate]]&lt;DATE(2016,12,1),0,1)</f>
        <v>1</v>
      </c>
    </row>
    <row r="954" spans="1:43" x14ac:dyDescent="0.25">
      <c r="A954">
        <v>953</v>
      </c>
      <c r="B954" t="s">
        <v>49</v>
      </c>
      <c r="C954" t="s">
        <v>49</v>
      </c>
      <c r="D954" t="s">
        <v>80</v>
      </c>
      <c r="F954" s="1">
        <v>42804</v>
      </c>
      <c r="G954" s="2">
        <v>96.8</v>
      </c>
      <c r="H954" s="2">
        <v>0.54400000000000004</v>
      </c>
      <c r="I954" s="2">
        <v>0.54400000000000004</v>
      </c>
      <c r="J954" s="2">
        <v>12.4</v>
      </c>
      <c r="K954" s="2">
        <v>-25</v>
      </c>
      <c r="L954" s="2">
        <v>812.6</v>
      </c>
      <c r="M954" s="2">
        <v>812.6</v>
      </c>
      <c r="N954" s="2">
        <f ca="1">INDEX(INDIRECT(_xlfn.CONCAT("weather.tbl[",N$1,"]")),MATCH(vp.tbl[[#This Row],[SDate]],weather.tbl[Date],0))</f>
        <v>-21.283333333333335</v>
      </c>
      <c r="O954" s="2">
        <f ca="1">INDEX(INDIRECT(_xlfn.CONCAT("weather.tbl[",O$1,"]")),MATCH(vp.tbl[[#This Row],[SDate]],weather.tbl[Date],0))</f>
        <v>-10.678571428571429</v>
      </c>
      <c r="P954" s="2">
        <f ca="1">INDEX(INDIRECT(_xlfn.CONCAT("weather.tbl[",P$1,"]")),MATCH(vp.tbl[[#This Row],[SDate]],weather.tbl[Date],0))</f>
        <v>-20.8</v>
      </c>
      <c r="Q954" s="2">
        <f ca="1">INDEX(INDIRECT(_xlfn.CONCAT("weather.tbl[",Q$1,"]")),MATCH(vp.tbl[[#This Row],[SDate]],weather.tbl[Date],0))</f>
        <v>-20.5</v>
      </c>
      <c r="R954" s="2">
        <f ca="1">INDEX(INDIRECT(_xlfn.CONCAT("weather.tbl[",R$1,"]")),MATCH(vp.tbl[[#This Row],[SDate]],weather.tbl[Date],0))</f>
        <v>-22</v>
      </c>
      <c r="S954" s="2">
        <f ca="1">INDEX(INDIRECT(_xlfn.CONCAT("weather.tbl[",S$1,"]")),MATCH(vp.tbl[[#This Row],[SDate]],weather.tbl[Date],0))</f>
        <v>-19.600000000000001</v>
      </c>
      <c r="T954" s="2">
        <f ca="1">INDEX(INDIRECT(_xlfn.CONCAT("weather.tbl[",T$1,"]")),MATCH(vp.tbl[[#This Row],[SDate]],weather.tbl[Date],0))</f>
        <v>-23.3</v>
      </c>
      <c r="U954" s="2">
        <f ca="1">INDEX(INDIRECT(_xlfn.CONCAT("weather.tbl[",U$1,"]")),MATCH(vp.tbl[[#This Row],[SDate]],weather.tbl[Date],0))</f>
        <v>-21.5</v>
      </c>
      <c r="V954" s="2">
        <v>23623.538</v>
      </c>
      <c r="W954" t="s">
        <v>48</v>
      </c>
      <c r="X954">
        <f>IF(OR(vp.tbl[[#This Row],[Sulf]]="",vp.tbl[[#This Row],[Dens]]=""),1,0)</f>
        <v>0</v>
      </c>
      <c r="Y954">
        <f>IF(vp.tbl[[#This Row],[CrudeType]]="C5+",1,0)</f>
        <v>0</v>
      </c>
      <c r="Z954">
        <f>IF(AND(vp.tbl[[#This Row],[CrudeType]]="Crude",vp.tbl[[#This Row],[Dens]]&lt;=825,vp.tbl[[#This Row],[Sulf]]&gt;0.5,vp.tbl[[#This Row],[Unknown]]=0),1,0)</f>
        <v>1</v>
      </c>
      <c r="AA954">
        <f>IF(AND(vp.tbl[[#This Row],[CrudeType]]="Crude",vp.tbl[[#This Row],[Dens]]&lt;=825,vp.tbl[[#This Row],[Sulf]]&lt;=0.5,vp.tbl[[#This Row],[Unknown]]=0),1,0)</f>
        <v>0</v>
      </c>
      <c r="AB954">
        <f>IF(AND(vp.tbl[[#This Row],[CrudeType]]="Crude",vp.tbl[[#This Row],[Dens]]&gt;825,vp.tbl[[#This Row],[Dens]]&lt;=870,vp.tbl[[#This Row],[Sulf]]&gt;0.5,vp.tbl[[#This Row],[Unknown]]=0),1,0)</f>
        <v>0</v>
      </c>
      <c r="AC954">
        <f>IF(AND(vp.tbl[[#This Row],[CrudeType]]="Crude",vp.tbl[[#This Row],[Dens]]&gt;825,vp.tbl[[#This Row],[Dens]]&lt;=900,vp.tbl[[#This Row],[Sulf]]&lt;=0.5,vp.tbl[[#This Row],[Unknown]]=0),1,0)</f>
        <v>0</v>
      </c>
      <c r="AD954">
        <f>IF(AND(vp.tbl[[#This Row],[CrudeType]]="Crude",vp.tbl[[#This Row],[Dens]]&gt;870,vp.tbl[[#This Row],[Dens]]&lt;=900,vp.tbl[[#This Row],[Sulf]]&gt;0.5,vp.tbl[[#This Row],[Unknown]]=0),1,0)</f>
        <v>0</v>
      </c>
      <c r="AE954">
        <f>IF(AND(vp.tbl[[#This Row],[CrudeType]]="Crude",vp.tbl[[#This Row],[Dens]]&gt;900,vp.tbl[[#This Row],[Sulf]]&lt;=0.5,vp.tbl[[#This Row],[Unknown]]=0),1,0)</f>
        <v>0</v>
      </c>
      <c r="AF954">
        <f>IF(AND(vp.tbl[[#This Row],[CrudeType]]="Crude",vp.tbl[[#This Row],[Dens]]&gt;900,vp.tbl[[#This Row],[Sulf]]&lt;=0.5,vp.tbl[[#This Row],[Unknown]]=0),1,0)</f>
        <v>0</v>
      </c>
      <c r="AG954" t="str">
        <f>INDEX(vp.tbl[[#Headers],[Unknown]:[Heavy_SW]],MATCH(1,vp.tbl[[#This Row],[Unknown]:[Heavy_SW]],0))</f>
        <v>Light_LSB</v>
      </c>
      <c r="AH954" t="e">
        <f>INDEX([1]!crudeBD.lkup[Number],MATCH(vp.tbl[[#This Row],[Crude_Breakdown]],[1]!crudeBD.lkup[Crude Breakdown],0))</f>
        <v>#REF!</v>
      </c>
      <c r="AI954">
        <f>MONTH(vp.tbl[[#This Row],[SDate]])</f>
        <v>3</v>
      </c>
      <c r="AJ954" s="5">
        <f>IFERROR(vp.tbl[[#This Row],[Sulf]]*vp.tbl[[#This Row],[Net Dens]],"")</f>
        <v>10442888.916467203</v>
      </c>
      <c r="AK954" s="5">
        <f>IFERROR(vp.tbl[[#This Row],[Dens]]*vp.tbl[[#This Row],[VolumeM3]],"")</f>
        <v>19196486.978800002</v>
      </c>
      <c r="AL954" s="5">
        <f>IFERROR(vp.tbl[[#This Row],[VP]]*vp.tbl[[#This Row],[VolumeM3]],"")</f>
        <v>2286758.4783999999</v>
      </c>
      <c r="AM954" s="4">
        <f>IFERROR((vp.tbl[[#This Row],[VP]]-INDEX(crudeBD.lkup.complete[Mean_VP],MATCH(vp.tbl[[#This Row],[Crude_Breakdown]],crudeBD.lkup.complete[Crude Breakdown],0)))^2,"")</f>
        <v>27.602566096290428</v>
      </c>
      <c r="AN954" s="4">
        <f>IFERROR((vp.tbl[[#This Row],[Dens]]-INDEX(crudeBD.lkup.complete[Mean_Dens],MATCH(vp.tbl[[#This Row],[Crude_Breakdown]],crudeBD.lkup.complete[Crude Breakdown],0)))^2,"")</f>
        <v>35.008164386340056</v>
      </c>
      <c r="AO954" s="4">
        <f>IFERROR((vp.tbl[[#This Row],[Sulf]]-INDEX(crudeBD.lkup.complete[Mean_Sulf],MATCH(vp.tbl[[#This Row],[Crude_Breakdown]],crudeBD.lkup.complete[Crude Breakdown],0)))^2,"")</f>
        <v>0.14361914646700064</v>
      </c>
      <c r="AP954">
        <f>IF(AND(vp.tbl[[#This Row],[SDate]]&gt;=DATE(YEAR(vp.tbl[[#This Row],[SDate]]),5,1),vp.tbl[[#This Row],[SDate]]&lt;=DATE(YEAR(vp.tbl[[#This Row],[SDate]]),9,15)),1,0)</f>
        <v>0</v>
      </c>
      <c r="AQ954" s="15">
        <f>IF(vp.tbl[[#This Row],[SDate]]&lt;DATE(2016,12,1),0,1)</f>
        <v>1</v>
      </c>
    </row>
    <row r="955" spans="1:43" x14ac:dyDescent="0.25">
      <c r="A955">
        <v>954</v>
      </c>
      <c r="B955" t="s">
        <v>49</v>
      </c>
      <c r="C955" t="s">
        <v>49</v>
      </c>
      <c r="D955" t="s">
        <v>196</v>
      </c>
      <c r="F955" s="1">
        <v>42804</v>
      </c>
      <c r="G955" s="2">
        <v>83.9</v>
      </c>
      <c r="H955" s="2">
        <v>1.819</v>
      </c>
      <c r="I955" s="2">
        <v>1.819</v>
      </c>
      <c r="J955" s="2">
        <v>-8</v>
      </c>
      <c r="K955" s="2">
        <v>-25</v>
      </c>
      <c r="L955" s="2">
        <v>856.4</v>
      </c>
      <c r="M955" s="2">
        <v>856.4</v>
      </c>
      <c r="N955" s="2">
        <f ca="1">INDEX(INDIRECT(_xlfn.CONCAT("weather.tbl[",N$1,"]")),MATCH(vp.tbl[[#This Row],[SDate]],weather.tbl[Date],0))</f>
        <v>-21.283333333333335</v>
      </c>
      <c r="O955" s="2">
        <f ca="1">INDEX(INDIRECT(_xlfn.CONCAT("weather.tbl[",O$1,"]")),MATCH(vp.tbl[[#This Row],[SDate]],weather.tbl[Date],0))</f>
        <v>-10.678571428571429</v>
      </c>
      <c r="P955" s="2">
        <f ca="1">INDEX(INDIRECT(_xlfn.CONCAT("weather.tbl[",P$1,"]")),MATCH(vp.tbl[[#This Row],[SDate]],weather.tbl[Date],0))</f>
        <v>-20.8</v>
      </c>
      <c r="Q955" s="2">
        <f ca="1">INDEX(INDIRECT(_xlfn.CONCAT("weather.tbl[",Q$1,"]")),MATCH(vp.tbl[[#This Row],[SDate]],weather.tbl[Date],0))</f>
        <v>-20.5</v>
      </c>
      <c r="R955" s="2">
        <f ca="1">INDEX(INDIRECT(_xlfn.CONCAT("weather.tbl[",R$1,"]")),MATCH(vp.tbl[[#This Row],[SDate]],weather.tbl[Date],0))</f>
        <v>-22</v>
      </c>
      <c r="S955" s="2">
        <f ca="1">INDEX(INDIRECT(_xlfn.CONCAT("weather.tbl[",S$1,"]")),MATCH(vp.tbl[[#This Row],[SDate]],weather.tbl[Date],0))</f>
        <v>-19.600000000000001</v>
      </c>
      <c r="T955" s="2">
        <f ca="1">INDEX(INDIRECT(_xlfn.CONCAT("weather.tbl[",T$1,"]")),MATCH(vp.tbl[[#This Row],[SDate]],weather.tbl[Date],0))</f>
        <v>-23.3</v>
      </c>
      <c r="U955" s="2">
        <f ca="1">INDEX(INDIRECT(_xlfn.CONCAT("weather.tbl[",U$1,"]")),MATCH(vp.tbl[[#This Row],[SDate]],weather.tbl[Date],0))</f>
        <v>-21.5</v>
      </c>
      <c r="V955" s="2">
        <v>335.488</v>
      </c>
      <c r="W955" t="s">
        <v>48</v>
      </c>
      <c r="X955">
        <f>IF(OR(vp.tbl[[#This Row],[Sulf]]="",vp.tbl[[#This Row],[Dens]]=""),1,0)</f>
        <v>0</v>
      </c>
      <c r="Y955">
        <f>IF(vp.tbl[[#This Row],[CrudeType]]="C5+",1,0)</f>
        <v>0</v>
      </c>
      <c r="Z955">
        <f>IF(AND(vp.tbl[[#This Row],[CrudeType]]="Crude",vp.tbl[[#This Row],[Dens]]&lt;=825,vp.tbl[[#This Row],[Sulf]]&gt;0.5,vp.tbl[[#This Row],[Unknown]]=0),1,0)</f>
        <v>0</v>
      </c>
      <c r="AA955">
        <f>IF(AND(vp.tbl[[#This Row],[CrudeType]]="Crude",vp.tbl[[#This Row],[Dens]]&lt;=825,vp.tbl[[#This Row],[Sulf]]&lt;=0.5,vp.tbl[[#This Row],[Unknown]]=0),1,0)</f>
        <v>0</v>
      </c>
      <c r="AB955">
        <f>IF(AND(vp.tbl[[#This Row],[CrudeType]]="Crude",vp.tbl[[#This Row],[Dens]]&gt;825,vp.tbl[[#This Row],[Dens]]&lt;=870,vp.tbl[[#This Row],[Sulf]]&gt;0.5,vp.tbl[[#This Row],[Unknown]]=0),1,0)</f>
        <v>1</v>
      </c>
      <c r="AC955">
        <f>IF(AND(vp.tbl[[#This Row],[CrudeType]]="Crude",vp.tbl[[#This Row],[Dens]]&gt;825,vp.tbl[[#This Row],[Dens]]&lt;=900,vp.tbl[[#This Row],[Sulf]]&lt;=0.5,vp.tbl[[#This Row],[Unknown]]=0),1,0)</f>
        <v>0</v>
      </c>
      <c r="AD955">
        <f>IF(AND(vp.tbl[[#This Row],[CrudeType]]="Crude",vp.tbl[[#This Row],[Dens]]&gt;870,vp.tbl[[#This Row],[Dens]]&lt;=900,vp.tbl[[#This Row],[Sulf]]&gt;0.5,vp.tbl[[#This Row],[Unknown]]=0),1,0)</f>
        <v>0</v>
      </c>
      <c r="AE955">
        <f>IF(AND(vp.tbl[[#This Row],[CrudeType]]="Crude",vp.tbl[[#This Row],[Dens]]&gt;900,vp.tbl[[#This Row],[Sulf]]&lt;=0.5,vp.tbl[[#This Row],[Unknown]]=0),1,0)</f>
        <v>0</v>
      </c>
      <c r="AF955">
        <f>IF(AND(vp.tbl[[#This Row],[CrudeType]]="Crude",vp.tbl[[#This Row],[Dens]]&gt;900,vp.tbl[[#This Row],[Sulf]]&lt;=0.5,vp.tbl[[#This Row],[Unknown]]=0),1,0)</f>
        <v>0</v>
      </c>
      <c r="AG955" t="str">
        <f>INDEX(vp.tbl[[#Headers],[Unknown]:[Heavy_SW]],MATCH(1,vp.tbl[[#This Row],[Unknown]:[Heavy_SW]],0))</f>
        <v>Medium_LSB</v>
      </c>
      <c r="AH955" t="e">
        <f>INDEX([1]!crudeBD.lkup[Number],MATCH(vp.tbl[[#This Row],[Crude_Breakdown]],[1]!crudeBD.lkup[Crude Breakdown],0))</f>
        <v>#REF!</v>
      </c>
      <c r="AI955">
        <f>MONTH(vp.tbl[[#This Row],[SDate]])</f>
        <v>3</v>
      </c>
      <c r="AJ955" s="5">
        <f>IFERROR(vp.tbl[[#This Row],[Sulf]]*vp.tbl[[#This Row],[Net Dens]],"")</f>
        <v>522620.3883008</v>
      </c>
      <c r="AK955" s="5">
        <f>IFERROR(vp.tbl[[#This Row],[Dens]]*vp.tbl[[#This Row],[VolumeM3]],"")</f>
        <v>287311.92320000002</v>
      </c>
      <c r="AL955" s="5">
        <f>IFERROR(vp.tbl[[#This Row],[VP]]*vp.tbl[[#This Row],[VolumeM3]],"")</f>
        <v>28147.443200000002</v>
      </c>
      <c r="AM955" s="4">
        <f>IFERROR((vp.tbl[[#This Row],[VP]]-INDEX(crudeBD.lkup.complete[Mean_VP],MATCH(vp.tbl[[#This Row],[Crude_Breakdown]],crudeBD.lkup.complete[Crude Breakdown],0)))^2,"")</f>
        <v>13.886094695722157</v>
      </c>
      <c r="AN955" s="4">
        <f>IFERROR((vp.tbl[[#This Row],[Dens]]-INDEX(crudeBD.lkup.complete[Mean_Dens],MATCH(vp.tbl[[#This Row],[Crude_Breakdown]],crudeBD.lkup.complete[Crude Breakdown],0)))^2,"")</f>
        <v>123.39160104408482</v>
      </c>
      <c r="AO955" s="4">
        <f>IFERROR((vp.tbl[[#This Row],[Sulf]]-INDEX(crudeBD.lkup.complete[Mean_Sulf],MATCH(vp.tbl[[#This Row],[Crude_Breakdown]],crudeBD.lkup.complete[Crude Breakdown],0)))^2,"")</f>
        <v>0.13254706628660054</v>
      </c>
      <c r="AP955">
        <f>IF(AND(vp.tbl[[#This Row],[SDate]]&gt;=DATE(YEAR(vp.tbl[[#This Row],[SDate]]),5,1),vp.tbl[[#This Row],[SDate]]&lt;=DATE(YEAR(vp.tbl[[#This Row],[SDate]]),9,15)),1,0)</f>
        <v>0</v>
      </c>
      <c r="AQ955" s="15">
        <f>IF(vp.tbl[[#This Row],[SDate]]&lt;DATE(2016,12,1),0,1)</f>
        <v>1</v>
      </c>
    </row>
    <row r="956" spans="1:43" x14ac:dyDescent="0.25">
      <c r="A956">
        <v>955</v>
      </c>
      <c r="B956" t="s">
        <v>62</v>
      </c>
      <c r="C956" t="s">
        <v>62</v>
      </c>
      <c r="D956" t="s">
        <v>87</v>
      </c>
      <c r="F956" s="1">
        <v>42804</v>
      </c>
      <c r="G956" s="2">
        <v>85.6</v>
      </c>
      <c r="H956" s="2"/>
      <c r="I956" s="2">
        <v>0.17</v>
      </c>
      <c r="J956" s="2">
        <v>21.4</v>
      </c>
      <c r="K956" s="2">
        <v>-25</v>
      </c>
      <c r="L956" s="2">
        <v>809.3</v>
      </c>
      <c r="M956" s="2">
        <v>809.3</v>
      </c>
      <c r="N956" s="2">
        <f ca="1">INDEX(INDIRECT(_xlfn.CONCAT("weather.tbl[",N$1,"]")),MATCH(vp.tbl[[#This Row],[SDate]],weather.tbl[Date],0))</f>
        <v>-21.283333333333335</v>
      </c>
      <c r="O956" s="2">
        <f ca="1">INDEX(INDIRECT(_xlfn.CONCAT("weather.tbl[",O$1,"]")),MATCH(vp.tbl[[#This Row],[SDate]],weather.tbl[Date],0))</f>
        <v>-10.678571428571429</v>
      </c>
      <c r="P956" s="2">
        <f ca="1">INDEX(INDIRECT(_xlfn.CONCAT("weather.tbl[",P$1,"]")),MATCH(vp.tbl[[#This Row],[SDate]],weather.tbl[Date],0))</f>
        <v>-20.8</v>
      </c>
      <c r="Q956" s="2">
        <f ca="1">INDEX(INDIRECT(_xlfn.CONCAT("weather.tbl[",Q$1,"]")),MATCH(vp.tbl[[#This Row],[SDate]],weather.tbl[Date],0))</f>
        <v>-20.5</v>
      </c>
      <c r="R956" s="2">
        <f ca="1">INDEX(INDIRECT(_xlfn.CONCAT("weather.tbl[",R$1,"]")),MATCH(vp.tbl[[#This Row],[SDate]],weather.tbl[Date],0))</f>
        <v>-22</v>
      </c>
      <c r="S956" s="2">
        <f ca="1">INDEX(INDIRECT(_xlfn.CONCAT("weather.tbl[",S$1,"]")),MATCH(vp.tbl[[#This Row],[SDate]],weather.tbl[Date],0))</f>
        <v>-19.600000000000001</v>
      </c>
      <c r="T956" s="2">
        <f ca="1">INDEX(INDIRECT(_xlfn.CONCAT("weather.tbl[",T$1,"]")),MATCH(vp.tbl[[#This Row],[SDate]],weather.tbl[Date],0))</f>
        <v>-23.3</v>
      </c>
      <c r="U956" s="2">
        <f ca="1">INDEX(INDIRECT(_xlfn.CONCAT("weather.tbl[",U$1,"]")),MATCH(vp.tbl[[#This Row],[SDate]],weather.tbl[Date],0))</f>
        <v>-21.5</v>
      </c>
      <c r="V956" s="2">
        <v>7297.97</v>
      </c>
      <c r="W956" t="s">
        <v>48</v>
      </c>
      <c r="X956">
        <f>IF(OR(vp.tbl[[#This Row],[Sulf]]="",vp.tbl[[#This Row],[Dens]]=""),1,0)</f>
        <v>0</v>
      </c>
      <c r="Y956">
        <f>IF(vp.tbl[[#This Row],[CrudeType]]="C5+",1,0)</f>
        <v>0</v>
      </c>
      <c r="Z956">
        <f>IF(AND(vp.tbl[[#This Row],[CrudeType]]="Crude",vp.tbl[[#This Row],[Dens]]&lt;=825,vp.tbl[[#This Row],[Sulf]]&gt;0.5,vp.tbl[[#This Row],[Unknown]]=0),1,0)</f>
        <v>0</v>
      </c>
      <c r="AA956">
        <f>IF(AND(vp.tbl[[#This Row],[CrudeType]]="Crude",vp.tbl[[#This Row],[Dens]]&lt;=825,vp.tbl[[#This Row],[Sulf]]&lt;=0.5,vp.tbl[[#This Row],[Unknown]]=0),1,0)</f>
        <v>1</v>
      </c>
      <c r="AB956">
        <f>IF(AND(vp.tbl[[#This Row],[CrudeType]]="Crude",vp.tbl[[#This Row],[Dens]]&gt;825,vp.tbl[[#This Row],[Dens]]&lt;=870,vp.tbl[[#This Row],[Sulf]]&gt;0.5,vp.tbl[[#This Row],[Unknown]]=0),1,0)</f>
        <v>0</v>
      </c>
      <c r="AC956">
        <f>IF(AND(vp.tbl[[#This Row],[CrudeType]]="Crude",vp.tbl[[#This Row],[Dens]]&gt;825,vp.tbl[[#This Row],[Dens]]&lt;=900,vp.tbl[[#This Row],[Sulf]]&lt;=0.5,vp.tbl[[#This Row],[Unknown]]=0),1,0)</f>
        <v>0</v>
      </c>
      <c r="AD956">
        <f>IF(AND(vp.tbl[[#This Row],[CrudeType]]="Crude",vp.tbl[[#This Row],[Dens]]&gt;870,vp.tbl[[#This Row],[Dens]]&lt;=900,vp.tbl[[#This Row],[Sulf]]&gt;0.5,vp.tbl[[#This Row],[Unknown]]=0),1,0)</f>
        <v>0</v>
      </c>
      <c r="AE956">
        <f>IF(AND(vp.tbl[[#This Row],[CrudeType]]="Crude",vp.tbl[[#This Row],[Dens]]&gt;900,vp.tbl[[#This Row],[Sulf]]&lt;=0.5,vp.tbl[[#This Row],[Unknown]]=0),1,0)</f>
        <v>0</v>
      </c>
      <c r="AF956">
        <f>IF(AND(vp.tbl[[#This Row],[CrudeType]]="Crude",vp.tbl[[#This Row],[Dens]]&gt;900,vp.tbl[[#This Row],[Sulf]]&lt;=0.5,vp.tbl[[#This Row],[Unknown]]=0),1,0)</f>
        <v>0</v>
      </c>
      <c r="AG956" t="str">
        <f>INDEX(vp.tbl[[#Headers],[Unknown]:[Heavy_SW]],MATCH(1,vp.tbl[[#This Row],[Unknown]:[Heavy_SW]],0))</f>
        <v>Light_SW</v>
      </c>
      <c r="AH956" t="e">
        <f>INDEX([1]!crudeBD.lkup[Number],MATCH(vp.tbl[[#This Row],[Crude_Breakdown]],[1]!crudeBD.lkup[Crude Breakdown],0))</f>
        <v>#REF!</v>
      </c>
      <c r="AI956">
        <f>MONTH(vp.tbl[[#This Row],[SDate]])</f>
        <v>3</v>
      </c>
      <c r="AJ956" s="5">
        <f>IFERROR(vp.tbl[[#This Row],[Sulf]]*vp.tbl[[#This Row],[Net Dens]],"")</f>
        <v>1004062.0105700002</v>
      </c>
      <c r="AK956" s="5">
        <f>IFERROR(vp.tbl[[#This Row],[Dens]]*vp.tbl[[#This Row],[VolumeM3]],"")</f>
        <v>5906247.1210000003</v>
      </c>
      <c r="AL956" s="5">
        <f>IFERROR(vp.tbl[[#This Row],[VP]]*vp.tbl[[#This Row],[VolumeM3]],"")</f>
        <v>624706.23199999996</v>
      </c>
      <c r="AM956" s="4">
        <f>IFERROR((vp.tbl[[#This Row],[VP]]-INDEX(crudeBD.lkup.complete[Mean_VP],MATCH(vp.tbl[[#This Row],[Crude_Breakdown]],crudeBD.lkup.complete[Crude Breakdown],0)))^2,"")</f>
        <v>48.306858983355056</v>
      </c>
      <c r="AN956" s="4">
        <f>IFERROR((vp.tbl[[#This Row],[Dens]]-INDEX(crudeBD.lkup.complete[Mean_Dens],MATCH(vp.tbl[[#This Row],[Crude_Breakdown]],crudeBD.lkup.complete[Crude Breakdown],0)))^2,"")</f>
        <v>0.97713569425424796</v>
      </c>
      <c r="AO956" s="4">
        <f>IFERROR((vp.tbl[[#This Row],[Sulf]]-INDEX(crudeBD.lkup.complete[Mean_Sulf],MATCH(vp.tbl[[#This Row],[Crude_Breakdown]],crudeBD.lkup.complete[Crude Breakdown],0)))^2,"")</f>
        <v>4.3879776367322437E-3</v>
      </c>
      <c r="AP956">
        <f>IF(AND(vp.tbl[[#This Row],[SDate]]&gt;=DATE(YEAR(vp.tbl[[#This Row],[SDate]]),5,1),vp.tbl[[#This Row],[SDate]]&lt;=DATE(YEAR(vp.tbl[[#This Row],[SDate]]),9,15)),1,0)</f>
        <v>0</v>
      </c>
      <c r="AQ956" s="15">
        <f>IF(vp.tbl[[#This Row],[SDate]]&lt;DATE(2016,12,1),0,1)</f>
        <v>1</v>
      </c>
    </row>
    <row r="957" spans="1:43" x14ac:dyDescent="0.25">
      <c r="A957">
        <v>956</v>
      </c>
      <c r="B957" t="s">
        <v>51</v>
      </c>
      <c r="C957" t="s">
        <v>51</v>
      </c>
      <c r="D957" t="s">
        <v>58</v>
      </c>
      <c r="F957" s="1">
        <v>42804</v>
      </c>
      <c r="G957" s="2">
        <v>110.4</v>
      </c>
      <c r="H957" s="2"/>
      <c r="I957" s="2">
        <v>1.31</v>
      </c>
      <c r="J957" s="2">
        <v>18.100000000000001</v>
      </c>
      <c r="K957" s="2">
        <v>-25</v>
      </c>
      <c r="L957" s="2">
        <v>817.4</v>
      </c>
      <c r="M957" s="2">
        <v>817.4</v>
      </c>
      <c r="N957" s="2">
        <f ca="1">INDEX(INDIRECT(_xlfn.CONCAT("weather.tbl[",N$1,"]")),MATCH(vp.tbl[[#This Row],[SDate]],weather.tbl[Date],0))</f>
        <v>-21.283333333333335</v>
      </c>
      <c r="O957" s="2">
        <f ca="1">INDEX(INDIRECT(_xlfn.CONCAT("weather.tbl[",O$1,"]")),MATCH(vp.tbl[[#This Row],[SDate]],weather.tbl[Date],0))</f>
        <v>-10.678571428571429</v>
      </c>
      <c r="P957" s="2">
        <f ca="1">INDEX(INDIRECT(_xlfn.CONCAT("weather.tbl[",P$1,"]")),MATCH(vp.tbl[[#This Row],[SDate]],weather.tbl[Date],0))</f>
        <v>-20.8</v>
      </c>
      <c r="Q957" s="2">
        <f ca="1">INDEX(INDIRECT(_xlfn.CONCAT("weather.tbl[",Q$1,"]")),MATCH(vp.tbl[[#This Row],[SDate]],weather.tbl[Date],0))</f>
        <v>-20.5</v>
      </c>
      <c r="R957" s="2">
        <f ca="1">INDEX(INDIRECT(_xlfn.CONCAT("weather.tbl[",R$1,"]")),MATCH(vp.tbl[[#This Row],[SDate]],weather.tbl[Date],0))</f>
        <v>-22</v>
      </c>
      <c r="S957" s="2">
        <f ca="1">INDEX(INDIRECT(_xlfn.CONCAT("weather.tbl[",S$1,"]")),MATCH(vp.tbl[[#This Row],[SDate]],weather.tbl[Date],0))</f>
        <v>-19.600000000000001</v>
      </c>
      <c r="T957" s="2">
        <f ca="1">INDEX(INDIRECT(_xlfn.CONCAT("weather.tbl[",T$1,"]")),MATCH(vp.tbl[[#This Row],[SDate]],weather.tbl[Date],0))</f>
        <v>-23.3</v>
      </c>
      <c r="U957" s="2">
        <f ca="1">INDEX(INDIRECT(_xlfn.CONCAT("weather.tbl[",U$1,"]")),MATCH(vp.tbl[[#This Row],[SDate]],weather.tbl[Date],0))</f>
        <v>-21.5</v>
      </c>
      <c r="V957" s="2">
        <v>6071.2709999999997</v>
      </c>
      <c r="W957" t="s">
        <v>48</v>
      </c>
      <c r="X957">
        <f>IF(OR(vp.tbl[[#This Row],[Sulf]]="",vp.tbl[[#This Row],[Dens]]=""),1,0)</f>
        <v>0</v>
      </c>
      <c r="Y957">
        <f>IF(vp.tbl[[#This Row],[CrudeType]]="C5+",1,0)</f>
        <v>0</v>
      </c>
      <c r="Z957">
        <f>IF(AND(vp.tbl[[#This Row],[CrudeType]]="Crude",vp.tbl[[#This Row],[Dens]]&lt;=825,vp.tbl[[#This Row],[Sulf]]&gt;0.5,vp.tbl[[#This Row],[Unknown]]=0),1,0)</f>
        <v>1</v>
      </c>
      <c r="AA957">
        <f>IF(AND(vp.tbl[[#This Row],[CrudeType]]="Crude",vp.tbl[[#This Row],[Dens]]&lt;=825,vp.tbl[[#This Row],[Sulf]]&lt;=0.5,vp.tbl[[#This Row],[Unknown]]=0),1,0)</f>
        <v>0</v>
      </c>
      <c r="AB957">
        <f>IF(AND(vp.tbl[[#This Row],[CrudeType]]="Crude",vp.tbl[[#This Row],[Dens]]&gt;825,vp.tbl[[#This Row],[Dens]]&lt;=870,vp.tbl[[#This Row],[Sulf]]&gt;0.5,vp.tbl[[#This Row],[Unknown]]=0),1,0)</f>
        <v>0</v>
      </c>
      <c r="AC957">
        <f>IF(AND(vp.tbl[[#This Row],[CrudeType]]="Crude",vp.tbl[[#This Row],[Dens]]&gt;825,vp.tbl[[#This Row],[Dens]]&lt;=900,vp.tbl[[#This Row],[Sulf]]&lt;=0.5,vp.tbl[[#This Row],[Unknown]]=0),1,0)</f>
        <v>0</v>
      </c>
      <c r="AD957">
        <f>IF(AND(vp.tbl[[#This Row],[CrudeType]]="Crude",vp.tbl[[#This Row],[Dens]]&gt;870,vp.tbl[[#This Row],[Dens]]&lt;=900,vp.tbl[[#This Row],[Sulf]]&gt;0.5,vp.tbl[[#This Row],[Unknown]]=0),1,0)</f>
        <v>0</v>
      </c>
      <c r="AE957">
        <f>IF(AND(vp.tbl[[#This Row],[CrudeType]]="Crude",vp.tbl[[#This Row],[Dens]]&gt;900,vp.tbl[[#This Row],[Sulf]]&lt;=0.5,vp.tbl[[#This Row],[Unknown]]=0),1,0)</f>
        <v>0</v>
      </c>
      <c r="AF957">
        <f>IF(AND(vp.tbl[[#This Row],[CrudeType]]="Crude",vp.tbl[[#This Row],[Dens]]&gt;900,vp.tbl[[#This Row],[Sulf]]&lt;=0.5,vp.tbl[[#This Row],[Unknown]]=0),1,0)</f>
        <v>0</v>
      </c>
      <c r="AG957" t="str">
        <f>INDEX(vp.tbl[[#Headers],[Unknown]:[Heavy_SW]],MATCH(1,vp.tbl[[#This Row],[Unknown]:[Heavy_SW]],0))</f>
        <v>Light_LSB</v>
      </c>
      <c r="AH957" t="e">
        <f>INDEX([1]!crudeBD.lkup[Number],MATCH(vp.tbl[[#This Row],[Crude_Breakdown]],[1]!crudeBD.lkup[Crude Breakdown],0))</f>
        <v>#REF!</v>
      </c>
      <c r="AI957">
        <f>MONTH(vp.tbl[[#This Row],[SDate]])</f>
        <v>3</v>
      </c>
      <c r="AJ957" s="5">
        <f>IFERROR(vp.tbl[[#This Row],[Sulf]]*vp.tbl[[#This Row],[Net Dens]],"")</f>
        <v>6501080.5591739994</v>
      </c>
      <c r="AK957" s="5">
        <f>IFERROR(vp.tbl[[#This Row],[Dens]]*vp.tbl[[#This Row],[VolumeM3]],"")</f>
        <v>4962656.9153999994</v>
      </c>
      <c r="AL957" s="5">
        <f>IFERROR(vp.tbl[[#This Row],[VP]]*vp.tbl[[#This Row],[VolumeM3]],"")</f>
        <v>670268.31839999999</v>
      </c>
      <c r="AM957" s="4">
        <f>IFERROR((vp.tbl[[#This Row],[VP]]-INDEX(crudeBD.lkup.complete[Mean_VP],MATCH(vp.tbl[[#This Row],[Crude_Breakdown]],crudeBD.lkup.complete[Crude Breakdown],0)))^2,"")</f>
        <v>355.46631867360941</v>
      </c>
      <c r="AN957" s="4">
        <f>IFERROR((vp.tbl[[#This Row],[Dens]]-INDEX(crudeBD.lkup.complete[Mean_Dens],MATCH(vp.tbl[[#This Row],[Crude_Breakdown]],crudeBD.lkup.complete[Crude Breakdown],0)))^2,"")</f>
        <v>1.2471746956217438</v>
      </c>
      <c r="AO957" s="4">
        <f>IFERROR((vp.tbl[[#This Row],[Sulf]]-INDEX(crudeBD.lkup.complete[Mean_Sulf],MATCH(vp.tbl[[#This Row],[Crude_Breakdown]],crudeBD.lkup.complete[Crude Breakdown],0)))^2,"")</f>
        <v>0.14979131650136537</v>
      </c>
      <c r="AP957">
        <f>IF(AND(vp.tbl[[#This Row],[SDate]]&gt;=DATE(YEAR(vp.tbl[[#This Row],[SDate]]),5,1),vp.tbl[[#This Row],[SDate]]&lt;=DATE(YEAR(vp.tbl[[#This Row],[SDate]]),9,15)),1,0)</f>
        <v>0</v>
      </c>
      <c r="AQ957" s="15">
        <f>IF(vp.tbl[[#This Row],[SDate]]&lt;DATE(2016,12,1),0,1)</f>
        <v>1</v>
      </c>
    </row>
    <row r="958" spans="1:43" x14ac:dyDescent="0.25">
      <c r="A958">
        <v>957</v>
      </c>
      <c r="B958" t="s">
        <v>51</v>
      </c>
      <c r="C958" t="s">
        <v>51</v>
      </c>
      <c r="D958" t="s">
        <v>71</v>
      </c>
      <c r="F958" s="1">
        <v>42804</v>
      </c>
      <c r="G958" s="2">
        <v>93.1</v>
      </c>
      <c r="H958" s="2"/>
      <c r="I958" s="2">
        <v>1.62</v>
      </c>
      <c r="J958" s="2">
        <v>7.5</v>
      </c>
      <c r="K958" s="2">
        <v>-25</v>
      </c>
      <c r="L958" s="2">
        <v>830.2</v>
      </c>
      <c r="M958" s="2">
        <v>830.2</v>
      </c>
      <c r="N958" s="2">
        <f ca="1">INDEX(INDIRECT(_xlfn.CONCAT("weather.tbl[",N$1,"]")),MATCH(vp.tbl[[#This Row],[SDate]],weather.tbl[Date],0))</f>
        <v>-21.283333333333335</v>
      </c>
      <c r="O958" s="2">
        <f ca="1">INDEX(INDIRECT(_xlfn.CONCAT("weather.tbl[",O$1,"]")),MATCH(vp.tbl[[#This Row],[SDate]],weather.tbl[Date],0))</f>
        <v>-10.678571428571429</v>
      </c>
      <c r="P958" s="2">
        <f ca="1">INDEX(INDIRECT(_xlfn.CONCAT("weather.tbl[",P$1,"]")),MATCH(vp.tbl[[#This Row],[SDate]],weather.tbl[Date],0))</f>
        <v>-20.8</v>
      </c>
      <c r="Q958" s="2">
        <f ca="1">INDEX(INDIRECT(_xlfn.CONCAT("weather.tbl[",Q$1,"]")),MATCH(vp.tbl[[#This Row],[SDate]],weather.tbl[Date],0))</f>
        <v>-20.5</v>
      </c>
      <c r="R958" s="2">
        <f ca="1">INDEX(INDIRECT(_xlfn.CONCAT("weather.tbl[",R$1,"]")),MATCH(vp.tbl[[#This Row],[SDate]],weather.tbl[Date],0))</f>
        <v>-22</v>
      </c>
      <c r="S958" s="2">
        <f ca="1">INDEX(INDIRECT(_xlfn.CONCAT("weather.tbl[",S$1,"]")),MATCH(vp.tbl[[#This Row],[SDate]],weather.tbl[Date],0))</f>
        <v>-19.600000000000001</v>
      </c>
      <c r="T958" s="2">
        <f ca="1">INDEX(INDIRECT(_xlfn.CONCAT("weather.tbl[",T$1,"]")),MATCH(vp.tbl[[#This Row],[SDate]],weather.tbl[Date],0))</f>
        <v>-23.3</v>
      </c>
      <c r="U958" s="2">
        <f ca="1">INDEX(INDIRECT(_xlfn.CONCAT("weather.tbl[",U$1,"]")),MATCH(vp.tbl[[#This Row],[SDate]],weather.tbl[Date],0))</f>
        <v>-21.5</v>
      </c>
      <c r="V958" s="2">
        <v>7995.5450000000001</v>
      </c>
      <c r="W958" t="s">
        <v>48</v>
      </c>
      <c r="X958">
        <f>IF(OR(vp.tbl[[#This Row],[Sulf]]="",vp.tbl[[#This Row],[Dens]]=""),1,0)</f>
        <v>0</v>
      </c>
      <c r="Y958">
        <f>IF(vp.tbl[[#This Row],[CrudeType]]="C5+",1,0)</f>
        <v>0</v>
      </c>
      <c r="Z958">
        <f>IF(AND(vp.tbl[[#This Row],[CrudeType]]="Crude",vp.tbl[[#This Row],[Dens]]&lt;=825,vp.tbl[[#This Row],[Sulf]]&gt;0.5,vp.tbl[[#This Row],[Unknown]]=0),1,0)</f>
        <v>0</v>
      </c>
      <c r="AA958">
        <f>IF(AND(vp.tbl[[#This Row],[CrudeType]]="Crude",vp.tbl[[#This Row],[Dens]]&lt;=825,vp.tbl[[#This Row],[Sulf]]&lt;=0.5,vp.tbl[[#This Row],[Unknown]]=0),1,0)</f>
        <v>0</v>
      </c>
      <c r="AB958">
        <f>IF(AND(vp.tbl[[#This Row],[CrudeType]]="Crude",vp.tbl[[#This Row],[Dens]]&gt;825,vp.tbl[[#This Row],[Dens]]&lt;=870,vp.tbl[[#This Row],[Sulf]]&gt;0.5,vp.tbl[[#This Row],[Unknown]]=0),1,0)</f>
        <v>1</v>
      </c>
      <c r="AC958">
        <f>IF(AND(vp.tbl[[#This Row],[CrudeType]]="Crude",vp.tbl[[#This Row],[Dens]]&gt;825,vp.tbl[[#This Row],[Dens]]&lt;=900,vp.tbl[[#This Row],[Sulf]]&lt;=0.5,vp.tbl[[#This Row],[Unknown]]=0),1,0)</f>
        <v>0</v>
      </c>
      <c r="AD958">
        <f>IF(AND(vp.tbl[[#This Row],[CrudeType]]="Crude",vp.tbl[[#This Row],[Dens]]&gt;870,vp.tbl[[#This Row],[Dens]]&lt;=900,vp.tbl[[#This Row],[Sulf]]&gt;0.5,vp.tbl[[#This Row],[Unknown]]=0),1,0)</f>
        <v>0</v>
      </c>
      <c r="AE958">
        <f>IF(AND(vp.tbl[[#This Row],[CrudeType]]="Crude",vp.tbl[[#This Row],[Dens]]&gt;900,vp.tbl[[#This Row],[Sulf]]&lt;=0.5,vp.tbl[[#This Row],[Unknown]]=0),1,0)</f>
        <v>0</v>
      </c>
      <c r="AF958">
        <f>IF(AND(vp.tbl[[#This Row],[CrudeType]]="Crude",vp.tbl[[#This Row],[Dens]]&gt;900,vp.tbl[[#This Row],[Sulf]]&lt;=0.5,vp.tbl[[#This Row],[Unknown]]=0),1,0)</f>
        <v>0</v>
      </c>
      <c r="AG958" t="str">
        <f>INDEX(vp.tbl[[#Headers],[Unknown]:[Heavy_SW]],MATCH(1,vp.tbl[[#This Row],[Unknown]:[Heavy_SW]],0))</f>
        <v>Medium_LSB</v>
      </c>
      <c r="AH958" t="e">
        <f>INDEX([1]!crudeBD.lkup[Number],MATCH(vp.tbl[[#This Row],[Crude_Breakdown]],[1]!crudeBD.lkup[Crude Breakdown],0))</f>
        <v>#REF!</v>
      </c>
      <c r="AI958">
        <f>MONTH(vp.tbl[[#This Row],[SDate]])</f>
        <v>3</v>
      </c>
      <c r="AJ958" s="5">
        <f>IFERROR(vp.tbl[[#This Row],[Sulf]]*vp.tbl[[#This Row],[Net Dens]],"")</f>
        <v>10753400.363580002</v>
      </c>
      <c r="AK958" s="5">
        <f>IFERROR(vp.tbl[[#This Row],[Dens]]*vp.tbl[[#This Row],[VolumeM3]],"")</f>
        <v>6637901.4590000007</v>
      </c>
      <c r="AL958" s="5">
        <f>IFERROR(vp.tbl[[#This Row],[VP]]*vp.tbl[[#This Row],[VolumeM3]],"")</f>
        <v>744385.23949999991</v>
      </c>
      <c r="AM958" s="4">
        <f>IFERROR((vp.tbl[[#This Row],[VP]]-INDEX(crudeBD.lkup.complete[Mean_VP],MATCH(vp.tbl[[#This Row],[Crude_Breakdown]],crudeBD.lkup.complete[Crude Breakdown],0)))^2,"")</f>
        <v>167.09194786027962</v>
      </c>
      <c r="AN958" s="4">
        <f>IFERROR((vp.tbl[[#This Row],[Dens]]-INDEX(crudeBD.lkup.complete[Mean_Dens],MATCH(vp.tbl[[#This Row],[Crude_Breakdown]],crudeBD.lkup.complete[Crude Breakdown],0)))^2,"")</f>
        <v>227.76311496808299</v>
      </c>
      <c r="AO958" s="4">
        <f>IFERROR((vp.tbl[[#This Row],[Sulf]]-INDEX(crudeBD.lkup.complete[Mean_Sulf],MATCH(vp.tbl[[#This Row],[Crude_Breakdown]],crudeBD.lkup.complete[Crude Breakdown],0)))^2,"")</f>
        <v>2.7248150868879693E-2</v>
      </c>
      <c r="AP958">
        <f>IF(AND(vp.tbl[[#This Row],[SDate]]&gt;=DATE(YEAR(vp.tbl[[#This Row],[SDate]]),5,1),vp.tbl[[#This Row],[SDate]]&lt;=DATE(YEAR(vp.tbl[[#This Row],[SDate]]),9,15)),1,0)</f>
        <v>0</v>
      </c>
      <c r="AQ958" s="15">
        <f>IF(vp.tbl[[#This Row],[SDate]]&lt;DATE(2016,12,1),0,1)</f>
        <v>1</v>
      </c>
    </row>
    <row r="959" spans="1:43" x14ac:dyDescent="0.25">
      <c r="A959">
        <v>958</v>
      </c>
      <c r="B959" t="s">
        <v>51</v>
      </c>
      <c r="C959" t="s">
        <v>51</v>
      </c>
      <c r="D959" t="s">
        <v>197</v>
      </c>
      <c r="F959" s="1">
        <v>42804</v>
      </c>
      <c r="G959" s="2">
        <v>68.3</v>
      </c>
      <c r="H959" s="2"/>
      <c r="I959" s="2">
        <v>1.78</v>
      </c>
      <c r="J959" s="2">
        <v>-3</v>
      </c>
      <c r="K959" s="2">
        <v>-25</v>
      </c>
      <c r="L959" s="2">
        <v>857.1</v>
      </c>
      <c r="M959" s="2">
        <v>857.1</v>
      </c>
      <c r="N959" s="2">
        <f ca="1">INDEX(INDIRECT(_xlfn.CONCAT("weather.tbl[",N$1,"]")),MATCH(vp.tbl[[#This Row],[SDate]],weather.tbl[Date],0))</f>
        <v>-21.283333333333335</v>
      </c>
      <c r="O959" s="2">
        <f ca="1">INDEX(INDIRECT(_xlfn.CONCAT("weather.tbl[",O$1,"]")),MATCH(vp.tbl[[#This Row],[SDate]],weather.tbl[Date],0))</f>
        <v>-10.678571428571429</v>
      </c>
      <c r="P959" s="2">
        <f ca="1">INDEX(INDIRECT(_xlfn.CONCAT("weather.tbl[",P$1,"]")),MATCH(vp.tbl[[#This Row],[SDate]],weather.tbl[Date],0))</f>
        <v>-20.8</v>
      </c>
      <c r="Q959" s="2">
        <f ca="1">INDEX(INDIRECT(_xlfn.CONCAT("weather.tbl[",Q$1,"]")),MATCH(vp.tbl[[#This Row],[SDate]],weather.tbl[Date],0))</f>
        <v>-20.5</v>
      </c>
      <c r="R959" s="2">
        <f ca="1">INDEX(INDIRECT(_xlfn.CONCAT("weather.tbl[",R$1,"]")),MATCH(vp.tbl[[#This Row],[SDate]],weather.tbl[Date],0))</f>
        <v>-22</v>
      </c>
      <c r="S959" s="2">
        <f ca="1">INDEX(INDIRECT(_xlfn.CONCAT("weather.tbl[",S$1,"]")),MATCH(vp.tbl[[#This Row],[SDate]],weather.tbl[Date],0))</f>
        <v>-19.600000000000001</v>
      </c>
      <c r="T959" s="2">
        <f ca="1">INDEX(INDIRECT(_xlfn.CONCAT("weather.tbl[",T$1,"]")),MATCH(vp.tbl[[#This Row],[SDate]],weather.tbl[Date],0))</f>
        <v>-23.3</v>
      </c>
      <c r="U959" s="2">
        <f ca="1">INDEX(INDIRECT(_xlfn.CONCAT("weather.tbl[",U$1,"]")),MATCH(vp.tbl[[#This Row],[SDate]],weather.tbl[Date],0))</f>
        <v>-21.5</v>
      </c>
      <c r="V959" s="2">
        <v>69.569999999999993</v>
      </c>
      <c r="W959" t="s">
        <v>48</v>
      </c>
      <c r="X959">
        <f>IF(OR(vp.tbl[[#This Row],[Sulf]]="",vp.tbl[[#This Row],[Dens]]=""),1,0)</f>
        <v>0</v>
      </c>
      <c r="Y959">
        <f>IF(vp.tbl[[#This Row],[CrudeType]]="C5+",1,0)</f>
        <v>0</v>
      </c>
      <c r="Z959">
        <f>IF(AND(vp.tbl[[#This Row],[CrudeType]]="Crude",vp.tbl[[#This Row],[Dens]]&lt;=825,vp.tbl[[#This Row],[Sulf]]&gt;0.5,vp.tbl[[#This Row],[Unknown]]=0),1,0)</f>
        <v>0</v>
      </c>
      <c r="AA959">
        <f>IF(AND(vp.tbl[[#This Row],[CrudeType]]="Crude",vp.tbl[[#This Row],[Dens]]&lt;=825,vp.tbl[[#This Row],[Sulf]]&lt;=0.5,vp.tbl[[#This Row],[Unknown]]=0),1,0)</f>
        <v>0</v>
      </c>
      <c r="AB959">
        <f>IF(AND(vp.tbl[[#This Row],[CrudeType]]="Crude",vp.tbl[[#This Row],[Dens]]&gt;825,vp.tbl[[#This Row],[Dens]]&lt;=870,vp.tbl[[#This Row],[Sulf]]&gt;0.5,vp.tbl[[#This Row],[Unknown]]=0),1,0)</f>
        <v>1</v>
      </c>
      <c r="AC959">
        <f>IF(AND(vp.tbl[[#This Row],[CrudeType]]="Crude",vp.tbl[[#This Row],[Dens]]&gt;825,vp.tbl[[#This Row],[Dens]]&lt;=900,vp.tbl[[#This Row],[Sulf]]&lt;=0.5,vp.tbl[[#This Row],[Unknown]]=0),1,0)</f>
        <v>0</v>
      </c>
      <c r="AD959">
        <f>IF(AND(vp.tbl[[#This Row],[CrudeType]]="Crude",vp.tbl[[#This Row],[Dens]]&gt;870,vp.tbl[[#This Row],[Dens]]&lt;=900,vp.tbl[[#This Row],[Sulf]]&gt;0.5,vp.tbl[[#This Row],[Unknown]]=0),1,0)</f>
        <v>0</v>
      </c>
      <c r="AE959">
        <f>IF(AND(vp.tbl[[#This Row],[CrudeType]]="Crude",vp.tbl[[#This Row],[Dens]]&gt;900,vp.tbl[[#This Row],[Sulf]]&lt;=0.5,vp.tbl[[#This Row],[Unknown]]=0),1,0)</f>
        <v>0</v>
      </c>
      <c r="AF959">
        <f>IF(AND(vp.tbl[[#This Row],[CrudeType]]="Crude",vp.tbl[[#This Row],[Dens]]&gt;900,vp.tbl[[#This Row],[Sulf]]&lt;=0.5,vp.tbl[[#This Row],[Unknown]]=0),1,0)</f>
        <v>0</v>
      </c>
      <c r="AG959" t="str">
        <f>INDEX(vp.tbl[[#Headers],[Unknown]:[Heavy_SW]],MATCH(1,vp.tbl[[#This Row],[Unknown]:[Heavy_SW]],0))</f>
        <v>Medium_LSB</v>
      </c>
      <c r="AH959" t="e">
        <f>INDEX([1]!crudeBD.lkup[Number],MATCH(vp.tbl[[#This Row],[Crude_Breakdown]],[1]!crudeBD.lkup[Crude Breakdown],0))</f>
        <v>#REF!</v>
      </c>
      <c r="AI959">
        <f>MONTH(vp.tbl[[#This Row],[SDate]])</f>
        <v>3</v>
      </c>
      <c r="AJ959" s="5">
        <f>IFERROR(vp.tbl[[#This Row],[Sulf]]*vp.tbl[[#This Row],[Net Dens]],"")</f>
        <v>106138.63565999999</v>
      </c>
      <c r="AK959" s="5">
        <f>IFERROR(vp.tbl[[#This Row],[Dens]]*vp.tbl[[#This Row],[VolumeM3]],"")</f>
        <v>59628.446999999993</v>
      </c>
      <c r="AL959" s="5">
        <f>IFERROR(vp.tbl[[#This Row],[VP]]*vp.tbl[[#This Row],[VolumeM3]],"")</f>
        <v>4751.6309999999994</v>
      </c>
      <c r="AM959" s="4">
        <f>IFERROR((vp.tbl[[#This Row],[VP]]-INDEX(crudeBD.lkup.complete[Mean_VP],MATCH(vp.tbl[[#This Row],[Crude_Breakdown]],crudeBD.lkup.complete[Crude Breakdown],0)))^2,"")</f>
        <v>140.98225672103749</v>
      </c>
      <c r="AN959" s="4">
        <f>IFERROR((vp.tbl[[#This Row],[Dens]]-INDEX(crudeBD.lkup.complete[Mean_Dens],MATCH(vp.tbl[[#This Row],[Crude_Breakdown]],crudeBD.lkup.complete[Crude Breakdown],0)))^2,"")</f>
        <v>139.43304914535307</v>
      </c>
      <c r="AO959" s="4">
        <f>IFERROR((vp.tbl[[#This Row],[Sulf]]-INDEX(crudeBD.lkup.complete[Mean_Sulf],MATCH(vp.tbl[[#This Row],[Crude_Breakdown]],crudeBD.lkup.complete[Crude Breakdown],0)))^2,"")</f>
        <v>0.10567059542584123</v>
      </c>
      <c r="AP959">
        <f>IF(AND(vp.tbl[[#This Row],[SDate]]&gt;=DATE(YEAR(vp.tbl[[#This Row],[SDate]]),5,1),vp.tbl[[#This Row],[SDate]]&lt;=DATE(YEAR(vp.tbl[[#This Row],[SDate]]),9,15)),1,0)</f>
        <v>0</v>
      </c>
      <c r="AQ959" s="15">
        <f>IF(vp.tbl[[#This Row],[SDate]]&lt;DATE(2016,12,1),0,1)</f>
        <v>1</v>
      </c>
    </row>
    <row r="960" spans="1:43" x14ac:dyDescent="0.25">
      <c r="A960">
        <v>959</v>
      </c>
      <c r="B960" t="s">
        <v>134</v>
      </c>
      <c r="C960" t="s">
        <v>134</v>
      </c>
      <c r="D960" t="s">
        <v>198</v>
      </c>
      <c r="F960" s="1">
        <v>42804</v>
      </c>
      <c r="G960" s="2">
        <v>81.599999999999994</v>
      </c>
      <c r="H960" s="2"/>
      <c r="I960" s="2">
        <v>1.93</v>
      </c>
      <c r="J960" s="2">
        <v>-1.1000000000000001</v>
      </c>
      <c r="K960" s="2">
        <v>-25</v>
      </c>
      <c r="L960" s="2">
        <v>858</v>
      </c>
      <c r="M960" s="2">
        <v>858</v>
      </c>
      <c r="N960" s="2">
        <f ca="1">INDEX(INDIRECT(_xlfn.CONCAT("weather.tbl[",N$1,"]")),MATCH(vp.tbl[[#This Row],[SDate]],weather.tbl[Date],0))</f>
        <v>-21.283333333333335</v>
      </c>
      <c r="O960" s="2">
        <f ca="1">INDEX(INDIRECT(_xlfn.CONCAT("weather.tbl[",O$1,"]")),MATCH(vp.tbl[[#This Row],[SDate]],weather.tbl[Date],0))</f>
        <v>-10.678571428571429</v>
      </c>
      <c r="P960" s="2">
        <f ca="1">INDEX(INDIRECT(_xlfn.CONCAT("weather.tbl[",P$1,"]")),MATCH(vp.tbl[[#This Row],[SDate]],weather.tbl[Date],0))</f>
        <v>-20.8</v>
      </c>
      <c r="Q960" s="2">
        <f ca="1">INDEX(INDIRECT(_xlfn.CONCAT("weather.tbl[",Q$1,"]")),MATCH(vp.tbl[[#This Row],[SDate]],weather.tbl[Date],0))</f>
        <v>-20.5</v>
      </c>
      <c r="R960" s="2">
        <f ca="1">INDEX(INDIRECT(_xlfn.CONCAT("weather.tbl[",R$1,"]")),MATCH(vp.tbl[[#This Row],[SDate]],weather.tbl[Date],0))</f>
        <v>-22</v>
      </c>
      <c r="S960" s="2">
        <f ca="1">INDEX(INDIRECT(_xlfn.CONCAT("weather.tbl[",S$1,"]")),MATCH(vp.tbl[[#This Row],[SDate]],weather.tbl[Date],0))</f>
        <v>-19.600000000000001</v>
      </c>
      <c r="T960" s="2">
        <f ca="1">INDEX(INDIRECT(_xlfn.CONCAT("weather.tbl[",T$1,"]")),MATCH(vp.tbl[[#This Row],[SDate]],weather.tbl[Date],0))</f>
        <v>-23.3</v>
      </c>
      <c r="U960" s="2">
        <f ca="1">INDEX(INDIRECT(_xlfn.CONCAT("weather.tbl[",U$1,"]")),MATCH(vp.tbl[[#This Row],[SDate]],weather.tbl[Date],0))</f>
        <v>-21.5</v>
      </c>
      <c r="V960" s="2">
        <v>425.87700000000001</v>
      </c>
      <c r="W960" t="s">
        <v>48</v>
      </c>
      <c r="X960">
        <f>IF(OR(vp.tbl[[#This Row],[Sulf]]="",vp.tbl[[#This Row],[Dens]]=""),1,0)</f>
        <v>0</v>
      </c>
      <c r="Y960">
        <f>IF(vp.tbl[[#This Row],[CrudeType]]="C5+",1,0)</f>
        <v>0</v>
      </c>
      <c r="Z960">
        <f>IF(AND(vp.tbl[[#This Row],[CrudeType]]="Crude",vp.tbl[[#This Row],[Dens]]&lt;=825,vp.tbl[[#This Row],[Sulf]]&gt;0.5,vp.tbl[[#This Row],[Unknown]]=0),1,0)</f>
        <v>0</v>
      </c>
      <c r="AA960">
        <f>IF(AND(vp.tbl[[#This Row],[CrudeType]]="Crude",vp.tbl[[#This Row],[Dens]]&lt;=825,vp.tbl[[#This Row],[Sulf]]&lt;=0.5,vp.tbl[[#This Row],[Unknown]]=0),1,0)</f>
        <v>0</v>
      </c>
      <c r="AB960">
        <f>IF(AND(vp.tbl[[#This Row],[CrudeType]]="Crude",vp.tbl[[#This Row],[Dens]]&gt;825,vp.tbl[[#This Row],[Dens]]&lt;=870,vp.tbl[[#This Row],[Sulf]]&gt;0.5,vp.tbl[[#This Row],[Unknown]]=0),1,0)</f>
        <v>1</v>
      </c>
      <c r="AC960">
        <f>IF(AND(vp.tbl[[#This Row],[CrudeType]]="Crude",vp.tbl[[#This Row],[Dens]]&gt;825,vp.tbl[[#This Row],[Dens]]&lt;=900,vp.tbl[[#This Row],[Sulf]]&lt;=0.5,vp.tbl[[#This Row],[Unknown]]=0),1,0)</f>
        <v>0</v>
      </c>
      <c r="AD960">
        <f>IF(AND(vp.tbl[[#This Row],[CrudeType]]="Crude",vp.tbl[[#This Row],[Dens]]&gt;870,vp.tbl[[#This Row],[Dens]]&lt;=900,vp.tbl[[#This Row],[Sulf]]&gt;0.5,vp.tbl[[#This Row],[Unknown]]=0),1,0)</f>
        <v>0</v>
      </c>
      <c r="AE960">
        <f>IF(AND(vp.tbl[[#This Row],[CrudeType]]="Crude",vp.tbl[[#This Row],[Dens]]&gt;900,vp.tbl[[#This Row],[Sulf]]&lt;=0.5,vp.tbl[[#This Row],[Unknown]]=0),1,0)</f>
        <v>0</v>
      </c>
      <c r="AF960">
        <f>IF(AND(vp.tbl[[#This Row],[CrudeType]]="Crude",vp.tbl[[#This Row],[Dens]]&gt;900,vp.tbl[[#This Row],[Sulf]]&lt;=0.5,vp.tbl[[#This Row],[Unknown]]=0),1,0)</f>
        <v>0</v>
      </c>
      <c r="AG960" t="str">
        <f>INDEX(vp.tbl[[#Headers],[Unknown]:[Heavy_SW]],MATCH(1,vp.tbl[[#This Row],[Unknown]:[Heavy_SW]],0))</f>
        <v>Medium_LSB</v>
      </c>
      <c r="AH960" t="e">
        <f>INDEX([1]!crudeBD.lkup[Number],MATCH(vp.tbl[[#This Row],[Crude_Breakdown]],[1]!crudeBD.lkup[Crude Breakdown],0))</f>
        <v>#REF!</v>
      </c>
      <c r="AI960">
        <f>MONTH(vp.tbl[[#This Row],[SDate]])</f>
        <v>3</v>
      </c>
      <c r="AJ960" s="5">
        <f>IFERROR(vp.tbl[[#This Row],[Sulf]]*vp.tbl[[#This Row],[Net Dens]],"")</f>
        <v>705226.75938000006</v>
      </c>
      <c r="AK960" s="5">
        <f>IFERROR(vp.tbl[[#This Row],[Dens]]*vp.tbl[[#This Row],[VolumeM3]],"")</f>
        <v>365402.46600000001</v>
      </c>
      <c r="AL960" s="5">
        <f>IFERROR(vp.tbl[[#This Row],[VP]]*vp.tbl[[#This Row],[VolumeM3]],"")</f>
        <v>34751.563199999997</v>
      </c>
      <c r="AM960" s="4">
        <f>IFERROR((vp.tbl[[#This Row],[VP]]-INDEX(crudeBD.lkup.complete[Mean_VP],MATCH(vp.tbl[[#This Row],[Crude_Breakdown]],crudeBD.lkup.complete[Crude Breakdown],0)))^2,"")</f>
        <v>2.0346314045826879</v>
      </c>
      <c r="AN960" s="4">
        <f>IFERROR((vp.tbl[[#This Row],[Dens]]-INDEX(crudeBD.lkup.complete[Mean_Dens],MATCH(vp.tbl[[#This Row],[Crude_Breakdown]],crudeBD.lkup.complete[Crude Breakdown],0)))^2,"")</f>
        <v>161.49776813269608</v>
      </c>
      <c r="AO960" s="4">
        <f>IFERROR((vp.tbl[[#This Row],[Sulf]]-INDEX(crudeBD.lkup.complete[Mean_Sulf],MATCH(vp.tbl[[#This Row],[Crude_Breakdown]],crudeBD.lkup.complete[Crude Breakdown],0)))^2,"")</f>
        <v>0.2256916371979926</v>
      </c>
      <c r="AP960">
        <f>IF(AND(vp.tbl[[#This Row],[SDate]]&gt;=DATE(YEAR(vp.tbl[[#This Row],[SDate]]),5,1),vp.tbl[[#This Row],[SDate]]&lt;=DATE(YEAR(vp.tbl[[#This Row],[SDate]]),9,15)),1,0)</f>
        <v>0</v>
      </c>
      <c r="AQ960" s="15">
        <f>IF(vp.tbl[[#This Row],[SDate]]&lt;DATE(2016,12,1),0,1)</f>
        <v>1</v>
      </c>
    </row>
    <row r="961" spans="1:43" x14ac:dyDescent="0.25">
      <c r="A961">
        <v>960</v>
      </c>
      <c r="B961" t="s">
        <v>56</v>
      </c>
      <c r="C961" t="s">
        <v>56</v>
      </c>
      <c r="D961" t="s">
        <v>94</v>
      </c>
      <c r="F961" s="1">
        <v>42804</v>
      </c>
      <c r="G961" s="2">
        <v>81.400000000000006</v>
      </c>
      <c r="H961" s="2"/>
      <c r="I961" s="2">
        <v>1.9</v>
      </c>
      <c r="J961" s="2">
        <v>15.9</v>
      </c>
      <c r="K961" s="2">
        <v>-25</v>
      </c>
      <c r="L961" s="2">
        <v>860.6</v>
      </c>
      <c r="M961" s="2">
        <v>860.6</v>
      </c>
      <c r="N961" s="2">
        <f ca="1">INDEX(INDIRECT(_xlfn.CONCAT("weather.tbl[",N$1,"]")),MATCH(vp.tbl[[#This Row],[SDate]],weather.tbl[Date],0))</f>
        <v>-21.283333333333335</v>
      </c>
      <c r="O961" s="2">
        <f ca="1">INDEX(INDIRECT(_xlfn.CONCAT("weather.tbl[",O$1,"]")),MATCH(vp.tbl[[#This Row],[SDate]],weather.tbl[Date],0))</f>
        <v>-10.678571428571429</v>
      </c>
      <c r="P961" s="2">
        <f ca="1">INDEX(INDIRECT(_xlfn.CONCAT("weather.tbl[",P$1,"]")),MATCH(vp.tbl[[#This Row],[SDate]],weather.tbl[Date],0))</f>
        <v>-20.8</v>
      </c>
      <c r="Q961" s="2">
        <f ca="1">INDEX(INDIRECT(_xlfn.CONCAT("weather.tbl[",Q$1,"]")),MATCH(vp.tbl[[#This Row],[SDate]],weather.tbl[Date],0))</f>
        <v>-20.5</v>
      </c>
      <c r="R961" s="2">
        <f ca="1">INDEX(INDIRECT(_xlfn.CONCAT("weather.tbl[",R$1,"]")),MATCH(vp.tbl[[#This Row],[SDate]],weather.tbl[Date],0))</f>
        <v>-22</v>
      </c>
      <c r="S961" s="2">
        <f ca="1">INDEX(INDIRECT(_xlfn.CONCAT("weather.tbl[",S$1,"]")),MATCH(vp.tbl[[#This Row],[SDate]],weather.tbl[Date],0))</f>
        <v>-19.600000000000001</v>
      </c>
      <c r="T961" s="2">
        <f ca="1">INDEX(INDIRECT(_xlfn.CONCAT("weather.tbl[",T$1,"]")),MATCH(vp.tbl[[#This Row],[SDate]],weather.tbl[Date],0))</f>
        <v>-23.3</v>
      </c>
      <c r="U961" s="2">
        <f ca="1">INDEX(INDIRECT(_xlfn.CONCAT("weather.tbl[",U$1,"]")),MATCH(vp.tbl[[#This Row],[SDate]],weather.tbl[Date],0))</f>
        <v>-21.5</v>
      </c>
      <c r="V961" s="2">
        <v>4141.4380000000001</v>
      </c>
      <c r="W961" t="s">
        <v>48</v>
      </c>
      <c r="X961">
        <f>IF(OR(vp.tbl[[#This Row],[Sulf]]="",vp.tbl[[#This Row],[Dens]]=""),1,0)</f>
        <v>0</v>
      </c>
      <c r="Y961">
        <f>IF(vp.tbl[[#This Row],[CrudeType]]="C5+",1,0)</f>
        <v>0</v>
      </c>
      <c r="Z961">
        <f>IF(AND(vp.tbl[[#This Row],[CrudeType]]="Crude",vp.tbl[[#This Row],[Dens]]&lt;=825,vp.tbl[[#This Row],[Sulf]]&gt;0.5,vp.tbl[[#This Row],[Unknown]]=0),1,0)</f>
        <v>0</v>
      </c>
      <c r="AA961">
        <f>IF(AND(vp.tbl[[#This Row],[CrudeType]]="Crude",vp.tbl[[#This Row],[Dens]]&lt;=825,vp.tbl[[#This Row],[Sulf]]&lt;=0.5,vp.tbl[[#This Row],[Unknown]]=0),1,0)</f>
        <v>0</v>
      </c>
      <c r="AB961">
        <f>IF(AND(vp.tbl[[#This Row],[CrudeType]]="Crude",vp.tbl[[#This Row],[Dens]]&gt;825,vp.tbl[[#This Row],[Dens]]&lt;=870,vp.tbl[[#This Row],[Sulf]]&gt;0.5,vp.tbl[[#This Row],[Unknown]]=0),1,0)</f>
        <v>1</v>
      </c>
      <c r="AC961">
        <f>IF(AND(vp.tbl[[#This Row],[CrudeType]]="Crude",vp.tbl[[#This Row],[Dens]]&gt;825,vp.tbl[[#This Row],[Dens]]&lt;=900,vp.tbl[[#This Row],[Sulf]]&lt;=0.5,vp.tbl[[#This Row],[Unknown]]=0),1,0)</f>
        <v>0</v>
      </c>
      <c r="AD961">
        <f>IF(AND(vp.tbl[[#This Row],[CrudeType]]="Crude",vp.tbl[[#This Row],[Dens]]&gt;870,vp.tbl[[#This Row],[Dens]]&lt;=900,vp.tbl[[#This Row],[Sulf]]&gt;0.5,vp.tbl[[#This Row],[Unknown]]=0),1,0)</f>
        <v>0</v>
      </c>
      <c r="AE961">
        <f>IF(AND(vp.tbl[[#This Row],[CrudeType]]="Crude",vp.tbl[[#This Row],[Dens]]&gt;900,vp.tbl[[#This Row],[Sulf]]&lt;=0.5,vp.tbl[[#This Row],[Unknown]]=0),1,0)</f>
        <v>0</v>
      </c>
      <c r="AF961">
        <f>IF(AND(vp.tbl[[#This Row],[CrudeType]]="Crude",vp.tbl[[#This Row],[Dens]]&gt;900,vp.tbl[[#This Row],[Sulf]]&lt;=0.5,vp.tbl[[#This Row],[Unknown]]=0),1,0)</f>
        <v>0</v>
      </c>
      <c r="AG961" t="str">
        <f>INDEX(vp.tbl[[#Headers],[Unknown]:[Heavy_SW]],MATCH(1,vp.tbl[[#This Row],[Unknown]:[Heavy_SW]],0))</f>
        <v>Medium_LSB</v>
      </c>
      <c r="AH961" t="e">
        <f>INDEX([1]!crudeBD.lkup[Number],MATCH(vp.tbl[[#This Row],[Crude_Breakdown]],[1]!crudeBD.lkup[Crude Breakdown],0))</f>
        <v>#REF!</v>
      </c>
      <c r="AI961">
        <f>MONTH(vp.tbl[[#This Row],[SDate]])</f>
        <v>3</v>
      </c>
      <c r="AJ961" s="5">
        <f>IFERROR(vp.tbl[[#This Row],[Sulf]]*vp.tbl[[#This Row],[Net Dens]],"")</f>
        <v>6771830.9313200004</v>
      </c>
      <c r="AK961" s="5">
        <f>IFERROR(vp.tbl[[#This Row],[Dens]]*vp.tbl[[#This Row],[VolumeM3]],"")</f>
        <v>3564121.5428000004</v>
      </c>
      <c r="AL961" s="5">
        <f>IFERROR(vp.tbl[[#This Row],[VP]]*vp.tbl[[#This Row],[VolumeM3]],"")</f>
        <v>337113.05320000002</v>
      </c>
      <c r="AM961" s="4">
        <f>IFERROR((vp.tbl[[#This Row],[VP]]-INDEX(crudeBD.lkup.complete[Mean_VP],MATCH(vp.tbl[[#This Row],[Crude_Breakdown]],crudeBD.lkup.complete[Crude Breakdown],0)))^2,"")</f>
        <v>1.5040693792662476</v>
      </c>
      <c r="AN961" s="4">
        <f>IFERROR((vp.tbl[[#This Row],[Dens]]-INDEX(crudeBD.lkup.complete[Mean_Dens],MATCH(vp.tbl[[#This Row],[Crude_Breakdown]],crudeBD.lkup.complete[Crude Breakdown],0)))^2,"")</f>
        <v>234.34028965168923</v>
      </c>
      <c r="AO961" s="4">
        <f>IFERROR((vp.tbl[[#This Row],[Sulf]]-INDEX(crudeBD.lkup.complete[Mean_Sulf],MATCH(vp.tbl[[#This Row],[Crude_Breakdown]],crudeBD.lkup.complete[Crude Breakdown],0)))^2,"")</f>
        <v>0.19808742884356229</v>
      </c>
      <c r="AP961">
        <f>IF(AND(vp.tbl[[#This Row],[SDate]]&gt;=DATE(YEAR(vp.tbl[[#This Row],[SDate]]),5,1),vp.tbl[[#This Row],[SDate]]&lt;=DATE(YEAR(vp.tbl[[#This Row],[SDate]]),9,15)),1,0)</f>
        <v>0</v>
      </c>
      <c r="AQ961" s="15">
        <f>IF(vp.tbl[[#This Row],[SDate]]&lt;DATE(2016,12,1),0,1)</f>
        <v>1</v>
      </c>
    </row>
    <row r="962" spans="1:43" x14ac:dyDescent="0.25">
      <c r="A962">
        <v>961</v>
      </c>
      <c r="B962" t="s">
        <v>51</v>
      </c>
      <c r="C962" t="s">
        <v>51</v>
      </c>
      <c r="D962" t="s">
        <v>199</v>
      </c>
      <c r="F962" s="1">
        <v>42804</v>
      </c>
      <c r="G962" s="2">
        <v>79.900000000000006</v>
      </c>
      <c r="H962" s="2"/>
      <c r="I962" s="2">
        <v>1.9</v>
      </c>
      <c r="J962" s="2">
        <v>8.6</v>
      </c>
      <c r="K962" s="2">
        <v>-25</v>
      </c>
      <c r="L962" s="2">
        <v>862.2</v>
      </c>
      <c r="M962" s="2">
        <v>862.2</v>
      </c>
      <c r="N962" s="2">
        <f ca="1">INDEX(INDIRECT(_xlfn.CONCAT("weather.tbl[",N$1,"]")),MATCH(vp.tbl[[#This Row],[SDate]],weather.tbl[Date],0))</f>
        <v>-21.283333333333335</v>
      </c>
      <c r="O962" s="2">
        <f ca="1">INDEX(INDIRECT(_xlfn.CONCAT("weather.tbl[",O$1,"]")),MATCH(vp.tbl[[#This Row],[SDate]],weather.tbl[Date],0))</f>
        <v>-10.678571428571429</v>
      </c>
      <c r="P962" s="2">
        <f ca="1">INDEX(INDIRECT(_xlfn.CONCAT("weather.tbl[",P$1,"]")),MATCH(vp.tbl[[#This Row],[SDate]],weather.tbl[Date],0))</f>
        <v>-20.8</v>
      </c>
      <c r="Q962" s="2">
        <f ca="1">INDEX(INDIRECT(_xlfn.CONCAT("weather.tbl[",Q$1,"]")),MATCH(vp.tbl[[#This Row],[SDate]],weather.tbl[Date],0))</f>
        <v>-20.5</v>
      </c>
      <c r="R962" s="2">
        <f ca="1">INDEX(INDIRECT(_xlfn.CONCAT("weather.tbl[",R$1,"]")),MATCH(vp.tbl[[#This Row],[SDate]],weather.tbl[Date],0))</f>
        <v>-22</v>
      </c>
      <c r="S962" s="2">
        <f ca="1">INDEX(INDIRECT(_xlfn.CONCAT("weather.tbl[",S$1,"]")),MATCH(vp.tbl[[#This Row],[SDate]],weather.tbl[Date],0))</f>
        <v>-19.600000000000001</v>
      </c>
      <c r="T962" s="2">
        <f ca="1">INDEX(INDIRECT(_xlfn.CONCAT("weather.tbl[",T$1,"]")),MATCH(vp.tbl[[#This Row],[SDate]],weather.tbl[Date],0))</f>
        <v>-23.3</v>
      </c>
      <c r="U962" s="2">
        <f ca="1">INDEX(INDIRECT(_xlfn.CONCAT("weather.tbl[",U$1,"]")),MATCH(vp.tbl[[#This Row],[SDate]],weather.tbl[Date],0))</f>
        <v>-21.5</v>
      </c>
      <c r="V962" s="2">
        <v>658.12599999999998</v>
      </c>
      <c r="W962" t="s">
        <v>48</v>
      </c>
      <c r="X962">
        <f>IF(OR(vp.tbl[[#This Row],[Sulf]]="",vp.tbl[[#This Row],[Dens]]=""),1,0)</f>
        <v>0</v>
      </c>
      <c r="Y962">
        <f>IF(vp.tbl[[#This Row],[CrudeType]]="C5+",1,0)</f>
        <v>0</v>
      </c>
      <c r="Z962">
        <f>IF(AND(vp.tbl[[#This Row],[CrudeType]]="Crude",vp.tbl[[#This Row],[Dens]]&lt;=825,vp.tbl[[#This Row],[Sulf]]&gt;0.5,vp.tbl[[#This Row],[Unknown]]=0),1,0)</f>
        <v>0</v>
      </c>
      <c r="AA962">
        <f>IF(AND(vp.tbl[[#This Row],[CrudeType]]="Crude",vp.tbl[[#This Row],[Dens]]&lt;=825,vp.tbl[[#This Row],[Sulf]]&lt;=0.5,vp.tbl[[#This Row],[Unknown]]=0),1,0)</f>
        <v>0</v>
      </c>
      <c r="AB962">
        <f>IF(AND(vp.tbl[[#This Row],[CrudeType]]="Crude",vp.tbl[[#This Row],[Dens]]&gt;825,vp.tbl[[#This Row],[Dens]]&lt;=870,vp.tbl[[#This Row],[Sulf]]&gt;0.5,vp.tbl[[#This Row],[Unknown]]=0),1,0)</f>
        <v>1</v>
      </c>
      <c r="AC962">
        <f>IF(AND(vp.tbl[[#This Row],[CrudeType]]="Crude",vp.tbl[[#This Row],[Dens]]&gt;825,vp.tbl[[#This Row],[Dens]]&lt;=900,vp.tbl[[#This Row],[Sulf]]&lt;=0.5,vp.tbl[[#This Row],[Unknown]]=0),1,0)</f>
        <v>0</v>
      </c>
      <c r="AD962">
        <f>IF(AND(vp.tbl[[#This Row],[CrudeType]]="Crude",vp.tbl[[#This Row],[Dens]]&gt;870,vp.tbl[[#This Row],[Dens]]&lt;=900,vp.tbl[[#This Row],[Sulf]]&gt;0.5,vp.tbl[[#This Row],[Unknown]]=0),1,0)</f>
        <v>0</v>
      </c>
      <c r="AE962">
        <f>IF(AND(vp.tbl[[#This Row],[CrudeType]]="Crude",vp.tbl[[#This Row],[Dens]]&gt;900,vp.tbl[[#This Row],[Sulf]]&lt;=0.5,vp.tbl[[#This Row],[Unknown]]=0),1,0)</f>
        <v>0</v>
      </c>
      <c r="AF962">
        <f>IF(AND(vp.tbl[[#This Row],[CrudeType]]="Crude",vp.tbl[[#This Row],[Dens]]&gt;900,vp.tbl[[#This Row],[Sulf]]&lt;=0.5,vp.tbl[[#This Row],[Unknown]]=0),1,0)</f>
        <v>0</v>
      </c>
      <c r="AG962" t="str">
        <f>INDEX(vp.tbl[[#Headers],[Unknown]:[Heavy_SW]],MATCH(1,vp.tbl[[#This Row],[Unknown]:[Heavy_SW]],0))</f>
        <v>Medium_LSB</v>
      </c>
      <c r="AH962" t="e">
        <f>INDEX([1]!crudeBD.lkup[Number],MATCH(vp.tbl[[#This Row],[Crude_Breakdown]],[1]!crudeBD.lkup[Crude Breakdown],0))</f>
        <v>#REF!</v>
      </c>
      <c r="AI962">
        <f>MONTH(vp.tbl[[#This Row],[SDate]])</f>
        <v>3</v>
      </c>
      <c r="AJ962" s="5">
        <f>IFERROR(vp.tbl[[#This Row],[Sulf]]*vp.tbl[[#This Row],[Net Dens]],"")</f>
        <v>1078128.8506799999</v>
      </c>
      <c r="AK962" s="5">
        <f>IFERROR(vp.tbl[[#This Row],[Dens]]*vp.tbl[[#This Row],[VolumeM3]],"")</f>
        <v>567436.23719999997</v>
      </c>
      <c r="AL962" s="5">
        <f>IFERROR(vp.tbl[[#This Row],[VP]]*vp.tbl[[#This Row],[VolumeM3]],"")</f>
        <v>52584.267400000004</v>
      </c>
      <c r="AM962" s="4">
        <f>IFERROR((vp.tbl[[#This Row],[VP]]-INDEX(crudeBD.lkup.complete[Mean_VP],MATCH(vp.tbl[[#This Row],[Crude_Breakdown]],crudeBD.lkup.complete[Crude Breakdown],0)))^2,"")</f>
        <v>7.4854189392702233E-2</v>
      </c>
      <c r="AN962" s="4">
        <f>IFERROR((vp.tbl[[#This Row],[Dens]]-INDEX(crudeBD.lkup.complete[Mean_Dens],MATCH(vp.tbl[[#This Row],[Crude_Breakdown]],crudeBD.lkup.complete[Crude Breakdown],0)))^2,"")</f>
        <v>285.88645674030084</v>
      </c>
      <c r="AO962" s="4">
        <f>IFERROR((vp.tbl[[#This Row],[Sulf]]-INDEX(crudeBD.lkup.complete[Mean_Sulf],MATCH(vp.tbl[[#This Row],[Crude_Breakdown]],crudeBD.lkup.complete[Crude Breakdown],0)))^2,"")</f>
        <v>0.19808742884356229</v>
      </c>
      <c r="AP962">
        <f>IF(AND(vp.tbl[[#This Row],[SDate]]&gt;=DATE(YEAR(vp.tbl[[#This Row],[SDate]]),5,1),vp.tbl[[#This Row],[SDate]]&lt;=DATE(YEAR(vp.tbl[[#This Row],[SDate]]),9,15)),1,0)</f>
        <v>0</v>
      </c>
      <c r="AQ962" s="15">
        <f>IF(vp.tbl[[#This Row],[SDate]]&lt;DATE(2016,12,1),0,1)</f>
        <v>1</v>
      </c>
    </row>
    <row r="963" spans="1:43" x14ac:dyDescent="0.25">
      <c r="A963">
        <v>962</v>
      </c>
      <c r="B963" t="s">
        <v>64</v>
      </c>
      <c r="C963" t="s">
        <v>64</v>
      </c>
      <c r="D963" t="s">
        <v>65</v>
      </c>
      <c r="F963" s="1">
        <v>42804</v>
      </c>
      <c r="G963" s="2">
        <v>48.6</v>
      </c>
      <c r="H963" s="2"/>
      <c r="I963" s="2">
        <v>2.09</v>
      </c>
      <c r="J963" s="2">
        <v>30.4</v>
      </c>
      <c r="K963" s="2">
        <v>-25</v>
      </c>
      <c r="L963" s="2">
        <v>877.6</v>
      </c>
      <c r="M963" s="2">
        <v>877.6</v>
      </c>
      <c r="N963" s="2">
        <f ca="1">INDEX(INDIRECT(_xlfn.CONCAT("weather.tbl[",N$1,"]")),MATCH(vp.tbl[[#This Row],[SDate]],weather.tbl[Date],0))</f>
        <v>-21.283333333333335</v>
      </c>
      <c r="O963" s="2">
        <f ca="1">INDEX(INDIRECT(_xlfn.CONCAT("weather.tbl[",O$1,"]")),MATCH(vp.tbl[[#This Row],[SDate]],weather.tbl[Date],0))</f>
        <v>-10.678571428571429</v>
      </c>
      <c r="P963" s="2">
        <f ca="1">INDEX(INDIRECT(_xlfn.CONCAT("weather.tbl[",P$1,"]")),MATCH(vp.tbl[[#This Row],[SDate]],weather.tbl[Date],0))</f>
        <v>-20.8</v>
      </c>
      <c r="Q963" s="2">
        <f ca="1">INDEX(INDIRECT(_xlfn.CONCAT("weather.tbl[",Q$1,"]")),MATCH(vp.tbl[[#This Row],[SDate]],weather.tbl[Date],0))</f>
        <v>-20.5</v>
      </c>
      <c r="R963" s="2">
        <f ca="1">INDEX(INDIRECT(_xlfn.CONCAT("weather.tbl[",R$1,"]")),MATCH(vp.tbl[[#This Row],[SDate]],weather.tbl[Date],0))</f>
        <v>-22</v>
      </c>
      <c r="S963" s="2">
        <f ca="1">INDEX(INDIRECT(_xlfn.CONCAT("weather.tbl[",S$1,"]")),MATCH(vp.tbl[[#This Row],[SDate]],weather.tbl[Date],0))</f>
        <v>-19.600000000000001</v>
      </c>
      <c r="T963" s="2">
        <f ca="1">INDEX(INDIRECT(_xlfn.CONCAT("weather.tbl[",T$1,"]")),MATCH(vp.tbl[[#This Row],[SDate]],weather.tbl[Date],0))</f>
        <v>-23.3</v>
      </c>
      <c r="U963" s="2">
        <f ca="1">INDEX(INDIRECT(_xlfn.CONCAT("weather.tbl[",U$1,"]")),MATCH(vp.tbl[[#This Row],[SDate]],weather.tbl[Date],0))</f>
        <v>-21.5</v>
      </c>
      <c r="V963" s="2">
        <v>22323.207999999999</v>
      </c>
      <c r="W963" t="s">
        <v>48</v>
      </c>
      <c r="X963">
        <f>IF(OR(vp.tbl[[#This Row],[Sulf]]="",vp.tbl[[#This Row],[Dens]]=""),1,0)</f>
        <v>0</v>
      </c>
      <c r="Y963">
        <f>IF(vp.tbl[[#This Row],[CrudeType]]="C5+",1,0)</f>
        <v>0</v>
      </c>
      <c r="Z963">
        <f>IF(AND(vp.tbl[[#This Row],[CrudeType]]="Crude",vp.tbl[[#This Row],[Dens]]&lt;=825,vp.tbl[[#This Row],[Sulf]]&gt;0.5,vp.tbl[[#This Row],[Unknown]]=0),1,0)</f>
        <v>0</v>
      </c>
      <c r="AA963">
        <f>IF(AND(vp.tbl[[#This Row],[CrudeType]]="Crude",vp.tbl[[#This Row],[Dens]]&lt;=825,vp.tbl[[#This Row],[Sulf]]&lt;=0.5,vp.tbl[[#This Row],[Unknown]]=0),1,0)</f>
        <v>0</v>
      </c>
      <c r="AB963">
        <f>IF(AND(vp.tbl[[#This Row],[CrudeType]]="Crude",vp.tbl[[#This Row],[Dens]]&gt;825,vp.tbl[[#This Row],[Dens]]&lt;=870,vp.tbl[[#This Row],[Sulf]]&gt;0.5,vp.tbl[[#This Row],[Unknown]]=0),1,0)</f>
        <v>0</v>
      </c>
      <c r="AC963">
        <f>IF(AND(vp.tbl[[#This Row],[CrudeType]]="Crude",vp.tbl[[#This Row],[Dens]]&gt;825,vp.tbl[[#This Row],[Dens]]&lt;=900,vp.tbl[[#This Row],[Sulf]]&lt;=0.5,vp.tbl[[#This Row],[Unknown]]=0),1,0)</f>
        <v>0</v>
      </c>
      <c r="AD963">
        <f>IF(AND(vp.tbl[[#This Row],[CrudeType]]="Crude",vp.tbl[[#This Row],[Dens]]&gt;870,vp.tbl[[#This Row],[Dens]]&lt;=900,vp.tbl[[#This Row],[Sulf]]&gt;0.5,vp.tbl[[#This Row],[Unknown]]=0),1,0)</f>
        <v>1</v>
      </c>
      <c r="AE963">
        <f>IF(AND(vp.tbl[[#This Row],[CrudeType]]="Crude",vp.tbl[[#This Row],[Dens]]&gt;900,vp.tbl[[#This Row],[Sulf]]&lt;=0.5,vp.tbl[[#This Row],[Unknown]]=0),1,0)</f>
        <v>0</v>
      </c>
      <c r="AF963">
        <f>IF(AND(vp.tbl[[#This Row],[CrudeType]]="Crude",vp.tbl[[#This Row],[Dens]]&gt;900,vp.tbl[[#This Row],[Sulf]]&lt;=0.5,vp.tbl[[#This Row],[Unknown]]=0),1,0)</f>
        <v>0</v>
      </c>
      <c r="AG963" t="str">
        <f>INDEX(vp.tbl[[#Headers],[Unknown]:[Heavy_SW]],MATCH(1,vp.tbl[[#This Row],[Unknown]:[Heavy_SW]],0))</f>
        <v>Midale</v>
      </c>
      <c r="AH963" t="e">
        <f>INDEX([1]!crudeBD.lkup[Number],MATCH(vp.tbl[[#This Row],[Crude_Breakdown]],[1]!crudeBD.lkup[Crude Breakdown],0))</f>
        <v>#REF!</v>
      </c>
      <c r="AI963">
        <f>MONTH(vp.tbl[[#This Row],[SDate]])</f>
        <v>3</v>
      </c>
      <c r="AJ963" s="5">
        <f>IFERROR(vp.tbl[[#This Row],[Sulf]]*vp.tbl[[#This Row],[Net Dens]],"")</f>
        <v>40944870.942271993</v>
      </c>
      <c r="AK963" s="5">
        <f>IFERROR(vp.tbl[[#This Row],[Dens]]*vp.tbl[[#This Row],[VolumeM3]],"")</f>
        <v>19590847.340799998</v>
      </c>
      <c r="AL963" s="5">
        <f>IFERROR(vp.tbl[[#This Row],[VP]]*vp.tbl[[#This Row],[VolumeM3]],"")</f>
        <v>1084907.9087999999</v>
      </c>
      <c r="AM963" s="4">
        <f>IFERROR((vp.tbl[[#This Row],[VP]]-INDEX(crudeBD.lkup.complete[Mean_VP],MATCH(vp.tbl[[#This Row],[Crude_Breakdown]],crudeBD.lkup.complete[Crude Breakdown],0)))^2,"")</f>
        <v>385.66503283918229</v>
      </c>
      <c r="AN963" s="4">
        <f>IFERROR((vp.tbl[[#This Row],[Dens]]-INDEX(crudeBD.lkup.complete[Mean_Dens],MATCH(vp.tbl[[#This Row],[Crude_Breakdown]],crudeBD.lkup.complete[Crude Breakdown],0)))^2,"")</f>
        <v>2.2987427284980903E-3</v>
      </c>
      <c r="AO963" s="4">
        <f>IFERROR((vp.tbl[[#This Row],[Sulf]]-INDEX(crudeBD.lkup.complete[Mean_Sulf],MATCH(vp.tbl[[#This Row],[Crude_Breakdown]],crudeBD.lkup.complete[Crude Breakdown],0)))^2,"")</f>
        <v>0.10584620473426462</v>
      </c>
      <c r="AP963">
        <f>IF(AND(vp.tbl[[#This Row],[SDate]]&gt;=DATE(YEAR(vp.tbl[[#This Row],[SDate]]),5,1),vp.tbl[[#This Row],[SDate]]&lt;=DATE(YEAR(vp.tbl[[#This Row],[SDate]]),9,15)),1,0)</f>
        <v>0</v>
      </c>
      <c r="AQ963" s="15">
        <f>IF(vp.tbl[[#This Row],[SDate]]&lt;DATE(2016,12,1),0,1)</f>
        <v>1</v>
      </c>
    </row>
    <row r="964" spans="1:43" x14ac:dyDescent="0.25">
      <c r="A964">
        <v>963</v>
      </c>
      <c r="B964" t="s">
        <v>60</v>
      </c>
      <c r="C964" t="s">
        <v>60</v>
      </c>
      <c r="D964" t="s">
        <v>61</v>
      </c>
      <c r="E964" t="s">
        <v>73</v>
      </c>
      <c r="F964" s="1">
        <v>42804</v>
      </c>
      <c r="G964" s="2">
        <v>79</v>
      </c>
      <c r="H964" s="2"/>
      <c r="I964" s="2">
        <v>1.1399999999999999</v>
      </c>
      <c r="J964" s="2">
        <v>4.3</v>
      </c>
      <c r="K964" s="2">
        <v>-25</v>
      </c>
      <c r="L964" s="2">
        <v>845.1</v>
      </c>
      <c r="M964" s="2">
        <v>845.1</v>
      </c>
      <c r="N964" s="2">
        <f ca="1">INDEX(INDIRECT(_xlfn.CONCAT("weather.tbl[",N$1,"]")),MATCH(vp.tbl[[#This Row],[SDate]],weather.tbl[Date],0))</f>
        <v>-21.283333333333335</v>
      </c>
      <c r="O964" s="2">
        <f ca="1">INDEX(INDIRECT(_xlfn.CONCAT("weather.tbl[",O$1,"]")),MATCH(vp.tbl[[#This Row],[SDate]],weather.tbl[Date],0))</f>
        <v>-10.678571428571429</v>
      </c>
      <c r="P964" s="2">
        <f ca="1">INDEX(INDIRECT(_xlfn.CONCAT("weather.tbl[",P$1,"]")),MATCH(vp.tbl[[#This Row],[SDate]],weather.tbl[Date],0))</f>
        <v>-20.8</v>
      </c>
      <c r="Q964" s="2">
        <f ca="1">INDEX(INDIRECT(_xlfn.CONCAT("weather.tbl[",Q$1,"]")),MATCH(vp.tbl[[#This Row],[SDate]],weather.tbl[Date],0))</f>
        <v>-20.5</v>
      </c>
      <c r="R964" s="2">
        <f ca="1">INDEX(INDIRECT(_xlfn.CONCAT("weather.tbl[",R$1,"]")),MATCH(vp.tbl[[#This Row],[SDate]],weather.tbl[Date],0))</f>
        <v>-22</v>
      </c>
      <c r="S964" s="2">
        <f ca="1">INDEX(INDIRECT(_xlfn.CONCAT("weather.tbl[",S$1,"]")),MATCH(vp.tbl[[#This Row],[SDate]],weather.tbl[Date],0))</f>
        <v>-19.600000000000001</v>
      </c>
      <c r="T964" s="2">
        <f ca="1">INDEX(INDIRECT(_xlfn.CONCAT("weather.tbl[",T$1,"]")),MATCH(vp.tbl[[#This Row],[SDate]],weather.tbl[Date],0))</f>
        <v>-23.3</v>
      </c>
      <c r="U964" s="2">
        <f ca="1">INDEX(INDIRECT(_xlfn.CONCAT("weather.tbl[",U$1,"]")),MATCH(vp.tbl[[#This Row],[SDate]],weather.tbl[Date],0))</f>
        <v>-21.5</v>
      </c>
      <c r="V964" s="2">
        <v>106074.851</v>
      </c>
      <c r="W964" t="s">
        <v>48</v>
      </c>
      <c r="X964">
        <f>IF(OR(vp.tbl[[#This Row],[Sulf]]="",vp.tbl[[#This Row],[Dens]]=""),1,0)</f>
        <v>0</v>
      </c>
      <c r="Y964">
        <f>IF(vp.tbl[[#This Row],[CrudeType]]="C5+",1,0)</f>
        <v>0</v>
      </c>
      <c r="Z964">
        <f>IF(AND(vp.tbl[[#This Row],[CrudeType]]="Crude",vp.tbl[[#This Row],[Dens]]&lt;=825,vp.tbl[[#This Row],[Sulf]]&gt;0.5,vp.tbl[[#This Row],[Unknown]]=0),1,0)</f>
        <v>0</v>
      </c>
      <c r="AA964">
        <f>IF(AND(vp.tbl[[#This Row],[CrudeType]]="Crude",vp.tbl[[#This Row],[Dens]]&lt;=825,vp.tbl[[#This Row],[Sulf]]&lt;=0.5,vp.tbl[[#This Row],[Unknown]]=0),1,0)</f>
        <v>0</v>
      </c>
      <c r="AB964">
        <f>IF(AND(vp.tbl[[#This Row],[CrudeType]]="Crude",vp.tbl[[#This Row],[Dens]]&gt;825,vp.tbl[[#This Row],[Dens]]&lt;=870,vp.tbl[[#This Row],[Sulf]]&gt;0.5,vp.tbl[[#This Row],[Unknown]]=0),1,0)</f>
        <v>1</v>
      </c>
      <c r="AC964">
        <f>IF(AND(vp.tbl[[#This Row],[CrudeType]]="Crude",vp.tbl[[#This Row],[Dens]]&gt;825,vp.tbl[[#This Row],[Dens]]&lt;=900,vp.tbl[[#This Row],[Sulf]]&lt;=0.5,vp.tbl[[#This Row],[Unknown]]=0),1,0)</f>
        <v>0</v>
      </c>
      <c r="AD964">
        <f>IF(AND(vp.tbl[[#This Row],[CrudeType]]="Crude",vp.tbl[[#This Row],[Dens]]&gt;870,vp.tbl[[#This Row],[Dens]]&lt;=900,vp.tbl[[#This Row],[Sulf]]&gt;0.5,vp.tbl[[#This Row],[Unknown]]=0),1,0)</f>
        <v>0</v>
      </c>
      <c r="AE964">
        <f>IF(AND(vp.tbl[[#This Row],[CrudeType]]="Crude",vp.tbl[[#This Row],[Dens]]&gt;900,vp.tbl[[#This Row],[Sulf]]&lt;=0.5,vp.tbl[[#This Row],[Unknown]]=0),1,0)</f>
        <v>0</v>
      </c>
      <c r="AF964">
        <f>IF(AND(vp.tbl[[#This Row],[CrudeType]]="Crude",vp.tbl[[#This Row],[Dens]]&gt;900,vp.tbl[[#This Row],[Sulf]]&lt;=0.5,vp.tbl[[#This Row],[Unknown]]=0),1,0)</f>
        <v>0</v>
      </c>
      <c r="AG964" t="str">
        <f>INDEX(vp.tbl[[#Headers],[Unknown]:[Heavy_SW]],MATCH(1,vp.tbl[[#This Row],[Unknown]:[Heavy_SW]],0))</f>
        <v>Medium_LSB</v>
      </c>
      <c r="AH964" t="e">
        <f>INDEX([1]!crudeBD.lkup[Number],MATCH(vp.tbl[[#This Row],[Crude_Breakdown]],[1]!crudeBD.lkup[Crude Breakdown],0))</f>
        <v>#REF!</v>
      </c>
      <c r="AI964">
        <f>MONTH(vp.tbl[[#This Row],[SDate]])</f>
        <v>3</v>
      </c>
      <c r="AJ964" s="5">
        <f>IFERROR(vp.tbl[[#This Row],[Sulf]]*vp.tbl[[#This Row],[Net Dens]],"")</f>
        <v>102193996.50131398</v>
      </c>
      <c r="AK964" s="5">
        <f>IFERROR(vp.tbl[[#This Row],[Dens]]*vp.tbl[[#This Row],[VolumeM3]],"")</f>
        <v>89643856.5801</v>
      </c>
      <c r="AL964" s="5">
        <f>IFERROR(vp.tbl[[#This Row],[VP]]*vp.tbl[[#This Row],[VolumeM3]],"")</f>
        <v>8379913.2289999994</v>
      </c>
      <c r="AM964" s="4">
        <f>IFERROR((vp.tbl[[#This Row],[VP]]-INDEX(crudeBD.lkup.complete[Mean_VP],MATCH(vp.tbl[[#This Row],[Crude_Breakdown]],crudeBD.lkup.complete[Crude Breakdown],0)))^2,"")</f>
        <v>1.3773250754685884</v>
      </c>
      <c r="AN964" s="4">
        <f>IFERROR((vp.tbl[[#This Row],[Dens]]-INDEX(crudeBD.lkup.complete[Mean_Dens],MATCH(vp.tbl[[#This Row],[Crude_Breakdown]],crudeBD.lkup.complete[Crude Breakdown],0)))^2,"")</f>
        <v>3.6795980771925647E-2</v>
      </c>
      <c r="AO964" s="4">
        <f>IFERROR((vp.tbl[[#This Row],[Sulf]]-INDEX(crudeBD.lkup.complete[Mean_Sulf],MATCH(vp.tbl[[#This Row],[Crude_Breakdown]],crudeBD.lkup.complete[Crude Breakdown],0)))^2,"")</f>
        <v>9.9180817197995069E-2</v>
      </c>
      <c r="AP964">
        <f>IF(AND(vp.tbl[[#This Row],[SDate]]&gt;=DATE(YEAR(vp.tbl[[#This Row],[SDate]]),5,1),vp.tbl[[#This Row],[SDate]]&lt;=DATE(YEAR(vp.tbl[[#This Row],[SDate]]),9,15)),1,0)</f>
        <v>0</v>
      </c>
      <c r="AQ964" s="15">
        <f>IF(vp.tbl[[#This Row],[SDate]]&lt;DATE(2016,12,1),0,1)</f>
        <v>1</v>
      </c>
    </row>
    <row r="965" spans="1:43" x14ac:dyDescent="0.25">
      <c r="A965">
        <v>964</v>
      </c>
      <c r="B965" t="s">
        <v>60</v>
      </c>
      <c r="C965" t="s">
        <v>60</v>
      </c>
      <c r="D965" t="s">
        <v>61</v>
      </c>
      <c r="E965" t="s">
        <v>55</v>
      </c>
      <c r="F965" s="1">
        <v>42804</v>
      </c>
      <c r="G965" s="2">
        <v>104.3</v>
      </c>
      <c r="H965" s="2"/>
      <c r="I965" s="2">
        <v>1.1399999999999999</v>
      </c>
      <c r="J965" s="2">
        <v>1.5</v>
      </c>
      <c r="K965" s="2">
        <v>-25</v>
      </c>
      <c r="L965" s="2">
        <v>829.8</v>
      </c>
      <c r="M965" s="2">
        <v>829.8</v>
      </c>
      <c r="N965" s="2">
        <f ca="1">INDEX(INDIRECT(_xlfn.CONCAT("weather.tbl[",N$1,"]")),MATCH(vp.tbl[[#This Row],[SDate]],weather.tbl[Date],0))</f>
        <v>-21.283333333333335</v>
      </c>
      <c r="O965" s="2">
        <f ca="1">INDEX(INDIRECT(_xlfn.CONCAT("weather.tbl[",O$1,"]")),MATCH(vp.tbl[[#This Row],[SDate]],weather.tbl[Date],0))</f>
        <v>-10.678571428571429</v>
      </c>
      <c r="P965" s="2">
        <f ca="1">INDEX(INDIRECT(_xlfn.CONCAT("weather.tbl[",P$1,"]")),MATCH(vp.tbl[[#This Row],[SDate]],weather.tbl[Date],0))</f>
        <v>-20.8</v>
      </c>
      <c r="Q965" s="2">
        <f ca="1">INDEX(INDIRECT(_xlfn.CONCAT("weather.tbl[",Q$1,"]")),MATCH(vp.tbl[[#This Row],[SDate]],weather.tbl[Date],0))</f>
        <v>-20.5</v>
      </c>
      <c r="R965" s="2">
        <f ca="1">INDEX(INDIRECT(_xlfn.CONCAT("weather.tbl[",R$1,"]")),MATCH(vp.tbl[[#This Row],[SDate]],weather.tbl[Date],0))</f>
        <v>-22</v>
      </c>
      <c r="S965" s="2">
        <f ca="1">INDEX(INDIRECT(_xlfn.CONCAT("weather.tbl[",S$1,"]")),MATCH(vp.tbl[[#This Row],[SDate]],weather.tbl[Date],0))</f>
        <v>-19.600000000000001</v>
      </c>
      <c r="T965" s="2">
        <f ca="1">INDEX(INDIRECT(_xlfn.CONCAT("weather.tbl[",T$1,"]")),MATCH(vp.tbl[[#This Row],[SDate]],weather.tbl[Date],0))</f>
        <v>-23.3</v>
      </c>
      <c r="U965" s="2">
        <f ca="1">INDEX(INDIRECT(_xlfn.CONCAT("weather.tbl[",U$1,"]")),MATCH(vp.tbl[[#This Row],[SDate]],weather.tbl[Date],0))</f>
        <v>-21.5</v>
      </c>
      <c r="V965" s="2">
        <v>106074.851</v>
      </c>
      <c r="W965" t="s">
        <v>48</v>
      </c>
      <c r="X965">
        <f>IF(OR(vp.tbl[[#This Row],[Sulf]]="",vp.tbl[[#This Row],[Dens]]=""),1,0)</f>
        <v>0</v>
      </c>
      <c r="Y965">
        <f>IF(vp.tbl[[#This Row],[CrudeType]]="C5+",1,0)</f>
        <v>0</v>
      </c>
      <c r="Z965">
        <f>IF(AND(vp.tbl[[#This Row],[CrudeType]]="Crude",vp.tbl[[#This Row],[Dens]]&lt;=825,vp.tbl[[#This Row],[Sulf]]&gt;0.5,vp.tbl[[#This Row],[Unknown]]=0),1,0)</f>
        <v>0</v>
      </c>
      <c r="AA965">
        <f>IF(AND(vp.tbl[[#This Row],[CrudeType]]="Crude",vp.tbl[[#This Row],[Dens]]&lt;=825,vp.tbl[[#This Row],[Sulf]]&lt;=0.5,vp.tbl[[#This Row],[Unknown]]=0),1,0)</f>
        <v>0</v>
      </c>
      <c r="AB965">
        <f>IF(AND(vp.tbl[[#This Row],[CrudeType]]="Crude",vp.tbl[[#This Row],[Dens]]&gt;825,vp.tbl[[#This Row],[Dens]]&lt;=870,vp.tbl[[#This Row],[Sulf]]&gt;0.5,vp.tbl[[#This Row],[Unknown]]=0),1,0)</f>
        <v>1</v>
      </c>
      <c r="AC965">
        <f>IF(AND(vp.tbl[[#This Row],[CrudeType]]="Crude",vp.tbl[[#This Row],[Dens]]&gt;825,vp.tbl[[#This Row],[Dens]]&lt;=900,vp.tbl[[#This Row],[Sulf]]&lt;=0.5,vp.tbl[[#This Row],[Unknown]]=0),1,0)</f>
        <v>0</v>
      </c>
      <c r="AD965">
        <f>IF(AND(vp.tbl[[#This Row],[CrudeType]]="Crude",vp.tbl[[#This Row],[Dens]]&gt;870,vp.tbl[[#This Row],[Dens]]&lt;=900,vp.tbl[[#This Row],[Sulf]]&gt;0.5,vp.tbl[[#This Row],[Unknown]]=0),1,0)</f>
        <v>0</v>
      </c>
      <c r="AE965">
        <f>IF(AND(vp.tbl[[#This Row],[CrudeType]]="Crude",vp.tbl[[#This Row],[Dens]]&gt;900,vp.tbl[[#This Row],[Sulf]]&lt;=0.5,vp.tbl[[#This Row],[Unknown]]=0),1,0)</f>
        <v>0</v>
      </c>
      <c r="AF965">
        <f>IF(AND(vp.tbl[[#This Row],[CrudeType]]="Crude",vp.tbl[[#This Row],[Dens]]&gt;900,vp.tbl[[#This Row],[Sulf]]&lt;=0.5,vp.tbl[[#This Row],[Unknown]]=0),1,0)</f>
        <v>0</v>
      </c>
      <c r="AG965" t="str">
        <f>INDEX(vp.tbl[[#Headers],[Unknown]:[Heavy_SW]],MATCH(1,vp.tbl[[#This Row],[Unknown]:[Heavy_SW]],0))</f>
        <v>Medium_LSB</v>
      </c>
      <c r="AH965" t="e">
        <f>INDEX([1]!crudeBD.lkup[Number],MATCH(vp.tbl[[#This Row],[Crude_Breakdown]],[1]!crudeBD.lkup[Crude Breakdown],0))</f>
        <v>#REF!</v>
      </c>
      <c r="AI965">
        <f>MONTH(vp.tbl[[#This Row],[SDate]])</f>
        <v>3</v>
      </c>
      <c r="AJ965" s="5">
        <f>IFERROR(vp.tbl[[#This Row],[Sulf]]*vp.tbl[[#This Row],[Net Dens]],"")</f>
        <v>100343838.95017199</v>
      </c>
      <c r="AK965" s="5">
        <f>IFERROR(vp.tbl[[#This Row],[Dens]]*vp.tbl[[#This Row],[VolumeM3]],"")</f>
        <v>88020911.359799996</v>
      </c>
      <c r="AL965" s="5">
        <f>IFERROR(vp.tbl[[#This Row],[VP]]*vp.tbl[[#This Row],[VolumeM3]],"")</f>
        <v>11063606.959299998</v>
      </c>
      <c r="AM965" s="4">
        <f>IFERROR((vp.tbl[[#This Row],[VP]]-INDEX(crudeBD.lkup.complete[Mean_VP],MATCH(vp.tbl[[#This Row],[Crude_Breakdown]],crudeBD.lkup.complete[Crude Breakdown],0)))^2,"")</f>
        <v>582.08342127800199</v>
      </c>
      <c r="AN965" s="4">
        <f>IFERROR((vp.tbl[[#This Row],[Dens]]-INDEX(crudeBD.lkup.complete[Mean_Dens],MATCH(vp.tbl[[#This Row],[Crude_Breakdown]],crudeBD.lkup.complete[Crude Breakdown],0)))^2,"")</f>
        <v>239.99657319593308</v>
      </c>
      <c r="AO965" s="4">
        <f>IFERROR((vp.tbl[[#This Row],[Sulf]]-INDEX(crudeBD.lkup.complete[Mean_Sulf],MATCH(vp.tbl[[#This Row],[Crude_Breakdown]],crudeBD.lkup.complete[Crude Breakdown],0)))^2,"")</f>
        <v>9.9180817197995069E-2</v>
      </c>
      <c r="AP965">
        <f>IF(AND(vp.tbl[[#This Row],[SDate]]&gt;=DATE(YEAR(vp.tbl[[#This Row],[SDate]]),5,1),vp.tbl[[#This Row],[SDate]]&lt;=DATE(YEAR(vp.tbl[[#This Row],[SDate]]),9,15)),1,0)</f>
        <v>0</v>
      </c>
      <c r="AQ965" s="15">
        <f>IF(vp.tbl[[#This Row],[SDate]]&lt;DATE(2016,12,1),0,1)</f>
        <v>1</v>
      </c>
    </row>
    <row r="966" spans="1:43" x14ac:dyDescent="0.25">
      <c r="A966">
        <v>965</v>
      </c>
      <c r="B966" t="s">
        <v>49</v>
      </c>
      <c r="C966" t="s">
        <v>49</v>
      </c>
      <c r="D966" t="s">
        <v>67</v>
      </c>
      <c r="F966" s="1">
        <v>42805</v>
      </c>
      <c r="G966" s="2">
        <v>107.3</v>
      </c>
      <c r="H966" s="2">
        <v>0.59099999999999997</v>
      </c>
      <c r="I966" s="2">
        <v>0.59099999999999997</v>
      </c>
      <c r="J966" s="2">
        <v>2</v>
      </c>
      <c r="K966" s="2">
        <v>-17</v>
      </c>
      <c r="L966" s="2">
        <v>817.5</v>
      </c>
      <c r="M966" s="2">
        <v>817.5</v>
      </c>
      <c r="N966" s="2">
        <f ca="1">INDEX(INDIRECT(_xlfn.CONCAT("weather.tbl[",N$1,"]")),MATCH(vp.tbl[[#This Row],[SDate]],weather.tbl[Date],0))</f>
        <v>-18</v>
      </c>
      <c r="O966" s="2">
        <f ca="1">INDEX(INDIRECT(_xlfn.CONCAT("weather.tbl[",O$1,"]")),MATCH(vp.tbl[[#This Row],[SDate]],weather.tbl[Date],0))</f>
        <v>-13.185714285714285</v>
      </c>
      <c r="P966" s="2">
        <f ca="1">INDEX(INDIRECT(_xlfn.CONCAT("weather.tbl[",P$1,"]")),MATCH(vp.tbl[[#This Row],[SDate]],weather.tbl[Date],0))</f>
        <v>-17.7</v>
      </c>
      <c r="Q966" s="2">
        <f ca="1">INDEX(INDIRECT(_xlfn.CONCAT("weather.tbl[",Q$1,"]")),MATCH(vp.tbl[[#This Row],[SDate]],weather.tbl[Date],0))</f>
        <v>-18.100000000000001</v>
      </c>
      <c r="R966" s="2">
        <f ca="1">INDEX(INDIRECT(_xlfn.CONCAT("weather.tbl[",R$1,"]")),MATCH(vp.tbl[[#This Row],[SDate]],weather.tbl[Date],0))</f>
        <v>-18.5</v>
      </c>
      <c r="S966" s="2">
        <f ca="1">INDEX(INDIRECT(_xlfn.CONCAT("weather.tbl[",S$1,"]")),MATCH(vp.tbl[[#This Row],[SDate]],weather.tbl[Date],0))</f>
        <v>-17.600000000000001</v>
      </c>
      <c r="T966" s="2">
        <f ca="1">INDEX(INDIRECT(_xlfn.CONCAT("weather.tbl[",T$1,"]")),MATCH(vp.tbl[[#This Row],[SDate]],weather.tbl[Date],0))</f>
        <v>-18.100000000000001</v>
      </c>
      <c r="U966" s="2">
        <f ca="1">INDEX(INDIRECT(_xlfn.CONCAT("weather.tbl[",U$1,"]")),MATCH(vp.tbl[[#This Row],[SDate]],weather.tbl[Date],0))</f>
        <v>-18</v>
      </c>
      <c r="V966" s="2">
        <v>132627.41099999999</v>
      </c>
      <c r="W966" t="s">
        <v>48</v>
      </c>
      <c r="X966">
        <f>IF(OR(vp.tbl[[#This Row],[Sulf]]="",vp.tbl[[#This Row],[Dens]]=""),1,0)</f>
        <v>0</v>
      </c>
      <c r="Y966">
        <f>IF(vp.tbl[[#This Row],[CrudeType]]="C5+",1,0)</f>
        <v>0</v>
      </c>
      <c r="Z966">
        <f>IF(AND(vp.tbl[[#This Row],[CrudeType]]="Crude",vp.tbl[[#This Row],[Dens]]&lt;=825,vp.tbl[[#This Row],[Sulf]]&gt;0.5,vp.tbl[[#This Row],[Unknown]]=0),1,0)</f>
        <v>1</v>
      </c>
      <c r="AA966">
        <f>IF(AND(vp.tbl[[#This Row],[CrudeType]]="Crude",vp.tbl[[#This Row],[Dens]]&lt;=825,vp.tbl[[#This Row],[Sulf]]&lt;=0.5,vp.tbl[[#This Row],[Unknown]]=0),1,0)</f>
        <v>0</v>
      </c>
      <c r="AB966">
        <f>IF(AND(vp.tbl[[#This Row],[CrudeType]]="Crude",vp.tbl[[#This Row],[Dens]]&gt;825,vp.tbl[[#This Row],[Dens]]&lt;=870,vp.tbl[[#This Row],[Sulf]]&gt;0.5,vp.tbl[[#This Row],[Unknown]]=0),1,0)</f>
        <v>0</v>
      </c>
      <c r="AC966">
        <f>IF(AND(vp.tbl[[#This Row],[CrudeType]]="Crude",vp.tbl[[#This Row],[Dens]]&gt;825,vp.tbl[[#This Row],[Dens]]&lt;=900,vp.tbl[[#This Row],[Sulf]]&lt;=0.5,vp.tbl[[#This Row],[Unknown]]=0),1,0)</f>
        <v>0</v>
      </c>
      <c r="AD966">
        <f>IF(AND(vp.tbl[[#This Row],[CrudeType]]="Crude",vp.tbl[[#This Row],[Dens]]&gt;870,vp.tbl[[#This Row],[Dens]]&lt;=900,vp.tbl[[#This Row],[Sulf]]&gt;0.5,vp.tbl[[#This Row],[Unknown]]=0),1,0)</f>
        <v>0</v>
      </c>
      <c r="AE966">
        <f>IF(AND(vp.tbl[[#This Row],[CrudeType]]="Crude",vp.tbl[[#This Row],[Dens]]&gt;900,vp.tbl[[#This Row],[Sulf]]&lt;=0.5,vp.tbl[[#This Row],[Unknown]]=0),1,0)</f>
        <v>0</v>
      </c>
      <c r="AF966">
        <f>IF(AND(vp.tbl[[#This Row],[CrudeType]]="Crude",vp.tbl[[#This Row],[Dens]]&gt;900,vp.tbl[[#This Row],[Sulf]]&lt;=0.5,vp.tbl[[#This Row],[Unknown]]=0),1,0)</f>
        <v>0</v>
      </c>
      <c r="AG966" t="str">
        <f>INDEX(vp.tbl[[#Headers],[Unknown]:[Heavy_SW]],MATCH(1,vp.tbl[[#This Row],[Unknown]:[Heavy_SW]],0))</f>
        <v>Light_LSB</v>
      </c>
      <c r="AH966" t="e">
        <f>INDEX([1]!crudeBD.lkup[Number],MATCH(vp.tbl[[#This Row],[Crude_Breakdown]],[1]!crudeBD.lkup[Crude Breakdown],0))</f>
        <v>#REF!</v>
      </c>
      <c r="AI966">
        <f>MONTH(vp.tbl[[#This Row],[SDate]])</f>
        <v>3</v>
      </c>
      <c r="AJ966" s="5">
        <f>IFERROR(vp.tbl[[#This Row],[Sulf]]*vp.tbl[[#This Row],[Net Dens]],"")</f>
        <v>64077938.919067495</v>
      </c>
      <c r="AK966" s="5">
        <f>IFERROR(vp.tbl[[#This Row],[Dens]]*vp.tbl[[#This Row],[VolumeM3]],"")</f>
        <v>108422908.49249999</v>
      </c>
      <c r="AL966" s="5">
        <f>IFERROR(vp.tbl[[#This Row],[VP]]*vp.tbl[[#This Row],[VolumeM3]],"")</f>
        <v>14230921.200299999</v>
      </c>
      <c r="AM966" s="4">
        <f>IFERROR((vp.tbl[[#This Row],[VP]]-INDEX(crudeBD.lkup.complete[Mean_VP],MATCH(vp.tbl[[#This Row],[Crude_Breakdown]],crudeBD.lkup.complete[Crude Breakdown],0)))^2,"")</f>
        <v>248.18266918907321</v>
      </c>
      <c r="AN966" s="4">
        <f>IFERROR((vp.tbl[[#This Row],[Dens]]-INDEX(crudeBD.lkup.complete[Mean_Dens],MATCH(vp.tbl[[#This Row],[Crude_Breakdown]],crudeBD.lkup.complete[Crude Breakdown],0)))^2,"")</f>
        <v>1.0338207437317215</v>
      </c>
      <c r="AO966" s="4">
        <f>IFERROR((vp.tbl[[#This Row],[Sulf]]-INDEX(crudeBD.lkup.complete[Mean_Sulf],MATCH(vp.tbl[[#This Row],[Crude_Breakdown]],crudeBD.lkup.complete[Crude Breakdown],0)))^2,"")</f>
        <v>0.11020485663882201</v>
      </c>
      <c r="AP966">
        <f>IF(AND(vp.tbl[[#This Row],[SDate]]&gt;=DATE(YEAR(vp.tbl[[#This Row],[SDate]]),5,1),vp.tbl[[#This Row],[SDate]]&lt;=DATE(YEAR(vp.tbl[[#This Row],[SDate]]),9,15)),1,0)</f>
        <v>0</v>
      </c>
      <c r="AQ966" s="15">
        <f>IF(vp.tbl[[#This Row],[SDate]]&lt;DATE(2016,12,1),0,1)</f>
        <v>1</v>
      </c>
    </row>
    <row r="967" spans="1:43" x14ac:dyDescent="0.25">
      <c r="A967">
        <v>966</v>
      </c>
      <c r="B967" t="s">
        <v>51</v>
      </c>
      <c r="C967" t="s">
        <v>51</v>
      </c>
      <c r="D967" t="s">
        <v>58</v>
      </c>
      <c r="F967" s="1">
        <v>42805</v>
      </c>
      <c r="G967" s="2">
        <v>113.4</v>
      </c>
      <c r="H967" s="2"/>
      <c r="I967" s="2">
        <v>1.31</v>
      </c>
      <c r="J967" s="2">
        <v>19.7</v>
      </c>
      <c r="K967" s="2">
        <v>-17</v>
      </c>
      <c r="L967" s="2">
        <v>819</v>
      </c>
      <c r="M967" s="2">
        <v>819</v>
      </c>
      <c r="N967" s="2">
        <f ca="1">INDEX(INDIRECT(_xlfn.CONCAT("weather.tbl[",N$1,"]")),MATCH(vp.tbl[[#This Row],[SDate]],weather.tbl[Date],0))</f>
        <v>-18</v>
      </c>
      <c r="O967" s="2">
        <f ca="1">INDEX(INDIRECT(_xlfn.CONCAT("weather.tbl[",O$1,"]")),MATCH(vp.tbl[[#This Row],[SDate]],weather.tbl[Date],0))</f>
        <v>-13.185714285714285</v>
      </c>
      <c r="P967" s="2">
        <f ca="1">INDEX(INDIRECT(_xlfn.CONCAT("weather.tbl[",P$1,"]")),MATCH(vp.tbl[[#This Row],[SDate]],weather.tbl[Date],0))</f>
        <v>-17.7</v>
      </c>
      <c r="Q967" s="2">
        <f ca="1">INDEX(INDIRECT(_xlfn.CONCAT("weather.tbl[",Q$1,"]")),MATCH(vp.tbl[[#This Row],[SDate]],weather.tbl[Date],0))</f>
        <v>-18.100000000000001</v>
      </c>
      <c r="R967" s="2">
        <f ca="1">INDEX(INDIRECT(_xlfn.CONCAT("weather.tbl[",R$1,"]")),MATCH(vp.tbl[[#This Row],[SDate]],weather.tbl[Date],0))</f>
        <v>-18.5</v>
      </c>
      <c r="S967" s="2">
        <f ca="1">INDEX(INDIRECT(_xlfn.CONCAT("weather.tbl[",S$1,"]")),MATCH(vp.tbl[[#This Row],[SDate]],weather.tbl[Date],0))</f>
        <v>-17.600000000000001</v>
      </c>
      <c r="T967" s="2">
        <f ca="1">INDEX(INDIRECT(_xlfn.CONCAT("weather.tbl[",T$1,"]")),MATCH(vp.tbl[[#This Row],[SDate]],weather.tbl[Date],0))</f>
        <v>-18.100000000000001</v>
      </c>
      <c r="U967" s="2">
        <f ca="1">INDEX(INDIRECT(_xlfn.CONCAT("weather.tbl[",U$1,"]")),MATCH(vp.tbl[[#This Row],[SDate]],weather.tbl[Date],0))</f>
        <v>-18</v>
      </c>
      <c r="V967" s="2">
        <v>6071.2709999999997</v>
      </c>
      <c r="W967" t="s">
        <v>48</v>
      </c>
      <c r="X967">
        <f>IF(OR(vp.tbl[[#This Row],[Sulf]]="",vp.tbl[[#This Row],[Dens]]=""),1,0)</f>
        <v>0</v>
      </c>
      <c r="Y967">
        <f>IF(vp.tbl[[#This Row],[CrudeType]]="C5+",1,0)</f>
        <v>0</v>
      </c>
      <c r="Z967">
        <f>IF(AND(vp.tbl[[#This Row],[CrudeType]]="Crude",vp.tbl[[#This Row],[Dens]]&lt;=825,vp.tbl[[#This Row],[Sulf]]&gt;0.5,vp.tbl[[#This Row],[Unknown]]=0),1,0)</f>
        <v>1</v>
      </c>
      <c r="AA967">
        <f>IF(AND(vp.tbl[[#This Row],[CrudeType]]="Crude",vp.tbl[[#This Row],[Dens]]&lt;=825,vp.tbl[[#This Row],[Sulf]]&lt;=0.5,vp.tbl[[#This Row],[Unknown]]=0),1,0)</f>
        <v>0</v>
      </c>
      <c r="AB967">
        <f>IF(AND(vp.tbl[[#This Row],[CrudeType]]="Crude",vp.tbl[[#This Row],[Dens]]&gt;825,vp.tbl[[#This Row],[Dens]]&lt;=870,vp.tbl[[#This Row],[Sulf]]&gt;0.5,vp.tbl[[#This Row],[Unknown]]=0),1,0)</f>
        <v>0</v>
      </c>
      <c r="AC967">
        <f>IF(AND(vp.tbl[[#This Row],[CrudeType]]="Crude",vp.tbl[[#This Row],[Dens]]&gt;825,vp.tbl[[#This Row],[Dens]]&lt;=900,vp.tbl[[#This Row],[Sulf]]&lt;=0.5,vp.tbl[[#This Row],[Unknown]]=0),1,0)</f>
        <v>0</v>
      </c>
      <c r="AD967">
        <f>IF(AND(vp.tbl[[#This Row],[CrudeType]]="Crude",vp.tbl[[#This Row],[Dens]]&gt;870,vp.tbl[[#This Row],[Dens]]&lt;=900,vp.tbl[[#This Row],[Sulf]]&gt;0.5,vp.tbl[[#This Row],[Unknown]]=0),1,0)</f>
        <v>0</v>
      </c>
      <c r="AE967">
        <f>IF(AND(vp.tbl[[#This Row],[CrudeType]]="Crude",vp.tbl[[#This Row],[Dens]]&gt;900,vp.tbl[[#This Row],[Sulf]]&lt;=0.5,vp.tbl[[#This Row],[Unknown]]=0),1,0)</f>
        <v>0</v>
      </c>
      <c r="AF967">
        <f>IF(AND(vp.tbl[[#This Row],[CrudeType]]="Crude",vp.tbl[[#This Row],[Dens]]&gt;900,vp.tbl[[#This Row],[Sulf]]&lt;=0.5,vp.tbl[[#This Row],[Unknown]]=0),1,0)</f>
        <v>0</v>
      </c>
      <c r="AG967" t="str">
        <f>INDEX(vp.tbl[[#Headers],[Unknown]:[Heavy_SW]],MATCH(1,vp.tbl[[#This Row],[Unknown]:[Heavy_SW]],0))</f>
        <v>Light_LSB</v>
      </c>
      <c r="AH967" t="e">
        <f>INDEX([1]!crudeBD.lkup[Number],MATCH(vp.tbl[[#This Row],[Crude_Breakdown]],[1]!crudeBD.lkup[Crude Breakdown],0))</f>
        <v>#REF!</v>
      </c>
      <c r="AI967">
        <f>MONTH(vp.tbl[[#This Row],[SDate]])</f>
        <v>3</v>
      </c>
      <c r="AJ967" s="5">
        <f>IFERROR(vp.tbl[[#This Row],[Sulf]]*vp.tbl[[#This Row],[Net Dens]],"")</f>
        <v>6513805.94319</v>
      </c>
      <c r="AK967" s="5">
        <f>IFERROR(vp.tbl[[#This Row],[Dens]]*vp.tbl[[#This Row],[VolumeM3]],"")</f>
        <v>4972370.949</v>
      </c>
      <c r="AL967" s="5">
        <f>IFERROR(vp.tbl[[#This Row],[VP]]*vp.tbl[[#This Row],[VolumeM3]],"")</f>
        <v>688482.13139999995</v>
      </c>
      <c r="AM967" s="4">
        <f>IFERROR((vp.tbl[[#This Row],[VP]]-INDEX(crudeBD.lkup.complete[Mean_VP],MATCH(vp.tbl[[#This Row],[Crude_Breakdown]],crudeBD.lkup.complete[Crude Breakdown],0)))^2,"")</f>
        <v>477.58920527154743</v>
      </c>
      <c r="AN967" s="4">
        <f>IFERROR((vp.tbl[[#This Row],[Dens]]-INDEX(crudeBD.lkup.complete[Mean_Dens],MATCH(vp.tbl[[#This Row],[Crude_Breakdown]],crudeBD.lkup.complete[Crude Breakdown],0)))^2,"")</f>
        <v>0.2335114653821484</v>
      </c>
      <c r="AO967" s="4">
        <f>IFERROR((vp.tbl[[#This Row],[Sulf]]-INDEX(crudeBD.lkup.complete[Mean_Sulf],MATCH(vp.tbl[[#This Row],[Crude_Breakdown]],crudeBD.lkup.complete[Crude Breakdown],0)))^2,"")</f>
        <v>0.14979131650136537</v>
      </c>
      <c r="AP967">
        <f>IF(AND(vp.tbl[[#This Row],[SDate]]&gt;=DATE(YEAR(vp.tbl[[#This Row],[SDate]]),5,1),vp.tbl[[#This Row],[SDate]]&lt;=DATE(YEAR(vp.tbl[[#This Row],[SDate]]),9,15)),1,0)</f>
        <v>0</v>
      </c>
      <c r="AQ967" s="15">
        <f>IF(vp.tbl[[#This Row],[SDate]]&lt;DATE(2016,12,1),0,1)</f>
        <v>1</v>
      </c>
    </row>
    <row r="968" spans="1:43" x14ac:dyDescent="0.25">
      <c r="A968">
        <v>967</v>
      </c>
      <c r="B968" t="s">
        <v>51</v>
      </c>
      <c r="C968" t="s">
        <v>51</v>
      </c>
      <c r="D968" t="s">
        <v>72</v>
      </c>
      <c r="F968" s="1">
        <v>42805</v>
      </c>
      <c r="G968" s="2">
        <v>104.1</v>
      </c>
      <c r="H968" s="2"/>
      <c r="I968" s="2">
        <v>1.08</v>
      </c>
      <c r="J968" s="2">
        <v>20.3</v>
      </c>
      <c r="K968" s="2">
        <v>-17</v>
      </c>
      <c r="L968" s="2">
        <v>828.9</v>
      </c>
      <c r="M968" s="2">
        <v>828.9</v>
      </c>
      <c r="N968" s="2">
        <f ca="1">INDEX(INDIRECT(_xlfn.CONCAT("weather.tbl[",N$1,"]")),MATCH(vp.tbl[[#This Row],[SDate]],weather.tbl[Date],0))</f>
        <v>-18</v>
      </c>
      <c r="O968" s="2">
        <f ca="1">INDEX(INDIRECT(_xlfn.CONCAT("weather.tbl[",O$1,"]")),MATCH(vp.tbl[[#This Row],[SDate]],weather.tbl[Date],0))</f>
        <v>-13.185714285714285</v>
      </c>
      <c r="P968" s="2">
        <f ca="1">INDEX(INDIRECT(_xlfn.CONCAT("weather.tbl[",P$1,"]")),MATCH(vp.tbl[[#This Row],[SDate]],weather.tbl[Date],0))</f>
        <v>-17.7</v>
      </c>
      <c r="Q968" s="2">
        <f ca="1">INDEX(INDIRECT(_xlfn.CONCAT("weather.tbl[",Q$1,"]")),MATCH(vp.tbl[[#This Row],[SDate]],weather.tbl[Date],0))</f>
        <v>-18.100000000000001</v>
      </c>
      <c r="R968" s="2">
        <f ca="1">INDEX(INDIRECT(_xlfn.CONCAT("weather.tbl[",R$1,"]")),MATCH(vp.tbl[[#This Row],[SDate]],weather.tbl[Date],0))</f>
        <v>-18.5</v>
      </c>
      <c r="S968" s="2">
        <f ca="1">INDEX(INDIRECT(_xlfn.CONCAT("weather.tbl[",S$1,"]")),MATCH(vp.tbl[[#This Row],[SDate]],weather.tbl[Date],0))</f>
        <v>-17.600000000000001</v>
      </c>
      <c r="T968" s="2">
        <f ca="1">INDEX(INDIRECT(_xlfn.CONCAT("weather.tbl[",T$1,"]")),MATCH(vp.tbl[[#This Row],[SDate]],weather.tbl[Date],0))</f>
        <v>-18.100000000000001</v>
      </c>
      <c r="U968" s="2">
        <f ca="1">INDEX(INDIRECT(_xlfn.CONCAT("weather.tbl[",U$1,"]")),MATCH(vp.tbl[[#This Row],[SDate]],weather.tbl[Date],0))</f>
        <v>-18</v>
      </c>
      <c r="V968" s="2">
        <v>13878.534</v>
      </c>
      <c r="W968" t="s">
        <v>48</v>
      </c>
      <c r="X968">
        <f>IF(OR(vp.tbl[[#This Row],[Sulf]]="",vp.tbl[[#This Row],[Dens]]=""),1,0)</f>
        <v>0</v>
      </c>
      <c r="Y968">
        <f>IF(vp.tbl[[#This Row],[CrudeType]]="C5+",1,0)</f>
        <v>0</v>
      </c>
      <c r="Z968">
        <f>IF(AND(vp.tbl[[#This Row],[CrudeType]]="Crude",vp.tbl[[#This Row],[Dens]]&lt;=825,vp.tbl[[#This Row],[Sulf]]&gt;0.5,vp.tbl[[#This Row],[Unknown]]=0),1,0)</f>
        <v>0</v>
      </c>
      <c r="AA968">
        <f>IF(AND(vp.tbl[[#This Row],[CrudeType]]="Crude",vp.tbl[[#This Row],[Dens]]&lt;=825,vp.tbl[[#This Row],[Sulf]]&lt;=0.5,vp.tbl[[#This Row],[Unknown]]=0),1,0)</f>
        <v>0</v>
      </c>
      <c r="AB968">
        <f>IF(AND(vp.tbl[[#This Row],[CrudeType]]="Crude",vp.tbl[[#This Row],[Dens]]&gt;825,vp.tbl[[#This Row],[Dens]]&lt;=870,vp.tbl[[#This Row],[Sulf]]&gt;0.5,vp.tbl[[#This Row],[Unknown]]=0),1,0)</f>
        <v>1</v>
      </c>
      <c r="AC968">
        <f>IF(AND(vp.tbl[[#This Row],[CrudeType]]="Crude",vp.tbl[[#This Row],[Dens]]&gt;825,vp.tbl[[#This Row],[Dens]]&lt;=900,vp.tbl[[#This Row],[Sulf]]&lt;=0.5,vp.tbl[[#This Row],[Unknown]]=0),1,0)</f>
        <v>0</v>
      </c>
      <c r="AD968">
        <f>IF(AND(vp.tbl[[#This Row],[CrudeType]]="Crude",vp.tbl[[#This Row],[Dens]]&gt;870,vp.tbl[[#This Row],[Dens]]&lt;=900,vp.tbl[[#This Row],[Sulf]]&gt;0.5,vp.tbl[[#This Row],[Unknown]]=0),1,0)</f>
        <v>0</v>
      </c>
      <c r="AE968">
        <f>IF(AND(vp.tbl[[#This Row],[CrudeType]]="Crude",vp.tbl[[#This Row],[Dens]]&gt;900,vp.tbl[[#This Row],[Sulf]]&lt;=0.5,vp.tbl[[#This Row],[Unknown]]=0),1,0)</f>
        <v>0</v>
      </c>
      <c r="AF968">
        <f>IF(AND(vp.tbl[[#This Row],[CrudeType]]="Crude",vp.tbl[[#This Row],[Dens]]&gt;900,vp.tbl[[#This Row],[Sulf]]&lt;=0.5,vp.tbl[[#This Row],[Unknown]]=0),1,0)</f>
        <v>0</v>
      </c>
      <c r="AG968" t="str">
        <f>INDEX(vp.tbl[[#Headers],[Unknown]:[Heavy_SW]],MATCH(1,vp.tbl[[#This Row],[Unknown]:[Heavy_SW]],0))</f>
        <v>Medium_LSB</v>
      </c>
      <c r="AH968" t="e">
        <f>INDEX([1]!crudeBD.lkup[Number],MATCH(vp.tbl[[#This Row],[Crude_Breakdown]],[1]!crudeBD.lkup[Crude Breakdown],0))</f>
        <v>#REF!</v>
      </c>
      <c r="AI968">
        <f>MONTH(vp.tbl[[#This Row],[SDate]])</f>
        <v>3</v>
      </c>
      <c r="AJ968" s="5">
        <f>IFERROR(vp.tbl[[#This Row],[Sulf]]*vp.tbl[[#This Row],[Net Dens]],"")</f>
        <v>12424230.179207999</v>
      </c>
      <c r="AK968" s="5">
        <f>IFERROR(vp.tbl[[#This Row],[Dens]]*vp.tbl[[#This Row],[VolumeM3]],"")</f>
        <v>11503916.832599999</v>
      </c>
      <c r="AL968" s="5">
        <f>IFERROR(vp.tbl[[#This Row],[VP]]*vp.tbl[[#This Row],[VolumeM3]],"")</f>
        <v>1444755.3894</v>
      </c>
      <c r="AM968" s="4">
        <f>IFERROR((vp.tbl[[#This Row],[VP]]-INDEX(crudeBD.lkup.complete[Mean_VP],MATCH(vp.tbl[[#This Row],[Crude_Breakdown]],crudeBD.lkup.complete[Crude Breakdown],0)))^2,"")</f>
        <v>572.47285925268534</v>
      </c>
      <c r="AN968" s="4">
        <f>IFERROR((vp.tbl[[#This Row],[Dens]]-INDEX(crudeBD.lkup.complete[Mean_Dens],MATCH(vp.tbl[[#This Row],[Crude_Breakdown]],crudeBD.lkup.complete[Crude Breakdown],0)))^2,"")</f>
        <v>268.69185420858889</v>
      </c>
      <c r="AO968" s="4">
        <f>IFERROR((vp.tbl[[#This Row],[Sulf]]-INDEX(crudeBD.lkup.complete[Mean_Sulf],MATCH(vp.tbl[[#This Row],[Crude_Breakdown]],crudeBD.lkup.complete[Crude Breakdown],0)))^2,"")</f>
        <v>0.14057240048913436</v>
      </c>
      <c r="AP968">
        <f>IF(AND(vp.tbl[[#This Row],[SDate]]&gt;=DATE(YEAR(vp.tbl[[#This Row],[SDate]]),5,1),vp.tbl[[#This Row],[SDate]]&lt;=DATE(YEAR(vp.tbl[[#This Row],[SDate]]),9,15)),1,0)</f>
        <v>0</v>
      </c>
      <c r="AQ968" s="15">
        <f>IF(vp.tbl[[#This Row],[SDate]]&lt;DATE(2016,12,1),0,1)</f>
        <v>1</v>
      </c>
    </row>
    <row r="969" spans="1:43" x14ac:dyDescent="0.25">
      <c r="A969">
        <v>968</v>
      </c>
      <c r="B969" t="s">
        <v>62</v>
      </c>
      <c r="C969" t="s">
        <v>62</v>
      </c>
      <c r="D969" t="s">
        <v>63</v>
      </c>
      <c r="F969" s="1">
        <v>42805</v>
      </c>
      <c r="G969" s="2">
        <v>95.1</v>
      </c>
      <c r="H969" s="2"/>
      <c r="I969" s="2">
        <v>1.74</v>
      </c>
      <c r="J969" s="2">
        <v>9.6999999999999993</v>
      </c>
      <c r="K969" s="2">
        <v>-17</v>
      </c>
      <c r="L969" s="2">
        <v>838.3</v>
      </c>
      <c r="M969" s="2">
        <v>838.3</v>
      </c>
      <c r="N969" s="2">
        <f ca="1">INDEX(INDIRECT(_xlfn.CONCAT("weather.tbl[",N$1,"]")),MATCH(vp.tbl[[#This Row],[SDate]],weather.tbl[Date],0))</f>
        <v>-18</v>
      </c>
      <c r="O969" s="2">
        <f ca="1">INDEX(INDIRECT(_xlfn.CONCAT("weather.tbl[",O$1,"]")),MATCH(vp.tbl[[#This Row],[SDate]],weather.tbl[Date],0))</f>
        <v>-13.185714285714285</v>
      </c>
      <c r="P969" s="2">
        <f ca="1">INDEX(INDIRECT(_xlfn.CONCAT("weather.tbl[",P$1,"]")),MATCH(vp.tbl[[#This Row],[SDate]],weather.tbl[Date],0))</f>
        <v>-17.7</v>
      </c>
      <c r="Q969" s="2">
        <f ca="1">INDEX(INDIRECT(_xlfn.CONCAT("weather.tbl[",Q$1,"]")),MATCH(vp.tbl[[#This Row],[SDate]],weather.tbl[Date],0))</f>
        <v>-18.100000000000001</v>
      </c>
      <c r="R969" s="2">
        <f ca="1">INDEX(INDIRECT(_xlfn.CONCAT("weather.tbl[",R$1,"]")),MATCH(vp.tbl[[#This Row],[SDate]],weather.tbl[Date],0))</f>
        <v>-18.5</v>
      </c>
      <c r="S969" s="2">
        <f ca="1">INDEX(INDIRECT(_xlfn.CONCAT("weather.tbl[",S$1,"]")),MATCH(vp.tbl[[#This Row],[SDate]],weather.tbl[Date],0))</f>
        <v>-17.600000000000001</v>
      </c>
      <c r="T969" s="2">
        <f ca="1">INDEX(INDIRECT(_xlfn.CONCAT("weather.tbl[",T$1,"]")),MATCH(vp.tbl[[#This Row],[SDate]],weather.tbl[Date],0))</f>
        <v>-18.100000000000001</v>
      </c>
      <c r="U969" s="2">
        <f ca="1">INDEX(INDIRECT(_xlfn.CONCAT("weather.tbl[",U$1,"]")),MATCH(vp.tbl[[#This Row],[SDate]],weather.tbl[Date],0))</f>
        <v>-18</v>
      </c>
      <c r="V969" s="2">
        <v>6959.2520000000004</v>
      </c>
      <c r="W969" t="s">
        <v>48</v>
      </c>
      <c r="X969">
        <f>IF(OR(vp.tbl[[#This Row],[Sulf]]="",vp.tbl[[#This Row],[Dens]]=""),1,0)</f>
        <v>0</v>
      </c>
      <c r="Y969">
        <f>IF(vp.tbl[[#This Row],[CrudeType]]="C5+",1,0)</f>
        <v>0</v>
      </c>
      <c r="Z969">
        <f>IF(AND(vp.tbl[[#This Row],[CrudeType]]="Crude",vp.tbl[[#This Row],[Dens]]&lt;=825,vp.tbl[[#This Row],[Sulf]]&gt;0.5,vp.tbl[[#This Row],[Unknown]]=0),1,0)</f>
        <v>0</v>
      </c>
      <c r="AA969">
        <f>IF(AND(vp.tbl[[#This Row],[CrudeType]]="Crude",vp.tbl[[#This Row],[Dens]]&lt;=825,vp.tbl[[#This Row],[Sulf]]&lt;=0.5,vp.tbl[[#This Row],[Unknown]]=0),1,0)</f>
        <v>0</v>
      </c>
      <c r="AB969">
        <f>IF(AND(vp.tbl[[#This Row],[CrudeType]]="Crude",vp.tbl[[#This Row],[Dens]]&gt;825,vp.tbl[[#This Row],[Dens]]&lt;=870,vp.tbl[[#This Row],[Sulf]]&gt;0.5,vp.tbl[[#This Row],[Unknown]]=0),1,0)</f>
        <v>1</v>
      </c>
      <c r="AC969">
        <f>IF(AND(vp.tbl[[#This Row],[CrudeType]]="Crude",vp.tbl[[#This Row],[Dens]]&gt;825,vp.tbl[[#This Row],[Dens]]&lt;=900,vp.tbl[[#This Row],[Sulf]]&lt;=0.5,vp.tbl[[#This Row],[Unknown]]=0),1,0)</f>
        <v>0</v>
      </c>
      <c r="AD969">
        <f>IF(AND(vp.tbl[[#This Row],[CrudeType]]="Crude",vp.tbl[[#This Row],[Dens]]&gt;870,vp.tbl[[#This Row],[Dens]]&lt;=900,vp.tbl[[#This Row],[Sulf]]&gt;0.5,vp.tbl[[#This Row],[Unknown]]=0),1,0)</f>
        <v>0</v>
      </c>
      <c r="AE969">
        <f>IF(AND(vp.tbl[[#This Row],[CrudeType]]="Crude",vp.tbl[[#This Row],[Dens]]&gt;900,vp.tbl[[#This Row],[Sulf]]&lt;=0.5,vp.tbl[[#This Row],[Unknown]]=0),1,0)</f>
        <v>0</v>
      </c>
      <c r="AF969">
        <f>IF(AND(vp.tbl[[#This Row],[CrudeType]]="Crude",vp.tbl[[#This Row],[Dens]]&gt;900,vp.tbl[[#This Row],[Sulf]]&lt;=0.5,vp.tbl[[#This Row],[Unknown]]=0),1,0)</f>
        <v>0</v>
      </c>
      <c r="AG969" t="str">
        <f>INDEX(vp.tbl[[#Headers],[Unknown]:[Heavy_SW]],MATCH(1,vp.tbl[[#This Row],[Unknown]:[Heavy_SW]],0))</f>
        <v>Medium_LSB</v>
      </c>
      <c r="AH969" t="e">
        <f>INDEX([1]!crudeBD.lkup[Number],MATCH(vp.tbl[[#This Row],[Crude_Breakdown]],[1]!crudeBD.lkup[Crude Breakdown],0))</f>
        <v>#REF!</v>
      </c>
      <c r="AI969">
        <f>MONTH(vp.tbl[[#This Row],[SDate]])</f>
        <v>3</v>
      </c>
      <c r="AJ969" s="5">
        <f>IFERROR(vp.tbl[[#This Row],[Sulf]]*vp.tbl[[#This Row],[Net Dens]],"")</f>
        <v>10151057.255784001</v>
      </c>
      <c r="AK969" s="5">
        <f>IFERROR(vp.tbl[[#This Row],[Dens]]*vp.tbl[[#This Row],[VolumeM3]],"")</f>
        <v>5833940.9516000003</v>
      </c>
      <c r="AL969" s="5">
        <f>IFERROR(vp.tbl[[#This Row],[VP]]*vp.tbl[[#This Row],[VolumeM3]],"")</f>
        <v>661824.8652</v>
      </c>
      <c r="AM969" s="4">
        <f>IFERROR((vp.tbl[[#This Row],[VP]]-INDEX(crudeBD.lkup.complete[Mean_VP],MATCH(vp.tbl[[#This Row],[Crude_Breakdown]],crudeBD.lkup.complete[Crude Breakdown],0)))^2,"")</f>
        <v>222.7975681134443</v>
      </c>
      <c r="AN969" s="4">
        <f>IFERROR((vp.tbl[[#This Row],[Dens]]-INDEX(crudeBD.lkup.complete[Mean_Dens],MATCH(vp.tbl[[#This Row],[Crude_Breakdown]],crudeBD.lkup.complete[Crude Breakdown],0)))^2,"")</f>
        <v>48.885585854176902</v>
      </c>
      <c r="AO969" s="4">
        <f>IFERROR((vp.tbl[[#This Row],[Sulf]]-INDEX(crudeBD.lkup.complete[Mean_Sulf],MATCH(vp.tbl[[#This Row],[Crude_Breakdown]],crudeBD.lkup.complete[Crude Breakdown],0)))^2,"")</f>
        <v>8.1264984286600811E-2</v>
      </c>
      <c r="AP969">
        <f>IF(AND(vp.tbl[[#This Row],[SDate]]&gt;=DATE(YEAR(vp.tbl[[#This Row],[SDate]]),5,1),vp.tbl[[#This Row],[SDate]]&lt;=DATE(YEAR(vp.tbl[[#This Row],[SDate]]),9,15)),1,0)</f>
        <v>0</v>
      </c>
      <c r="AQ969" s="15">
        <f>IF(vp.tbl[[#This Row],[SDate]]&lt;DATE(2016,12,1),0,1)</f>
        <v>1</v>
      </c>
    </row>
    <row r="970" spans="1:43" x14ac:dyDescent="0.25">
      <c r="A970">
        <v>969</v>
      </c>
      <c r="B970" t="s">
        <v>62</v>
      </c>
      <c r="C970" t="s">
        <v>62</v>
      </c>
      <c r="D970" t="s">
        <v>93</v>
      </c>
      <c r="F970" s="1">
        <v>42805</v>
      </c>
      <c r="G970" s="2">
        <v>112.4</v>
      </c>
      <c r="H970" s="2"/>
      <c r="I970" s="2">
        <v>1.24</v>
      </c>
      <c r="J970" s="2">
        <v>1.8</v>
      </c>
      <c r="K970" s="2">
        <v>-17</v>
      </c>
      <c r="L970" s="2">
        <v>840.3</v>
      </c>
      <c r="M970" s="2">
        <v>840.3</v>
      </c>
      <c r="N970" s="2">
        <f ca="1">INDEX(INDIRECT(_xlfn.CONCAT("weather.tbl[",N$1,"]")),MATCH(vp.tbl[[#This Row],[SDate]],weather.tbl[Date],0))</f>
        <v>-18</v>
      </c>
      <c r="O970" s="2">
        <f ca="1">INDEX(INDIRECT(_xlfn.CONCAT("weather.tbl[",O$1,"]")),MATCH(vp.tbl[[#This Row],[SDate]],weather.tbl[Date],0))</f>
        <v>-13.185714285714285</v>
      </c>
      <c r="P970" s="2">
        <f ca="1">INDEX(INDIRECT(_xlfn.CONCAT("weather.tbl[",P$1,"]")),MATCH(vp.tbl[[#This Row],[SDate]],weather.tbl[Date],0))</f>
        <v>-17.7</v>
      </c>
      <c r="Q970" s="2">
        <f ca="1">INDEX(INDIRECT(_xlfn.CONCAT("weather.tbl[",Q$1,"]")),MATCH(vp.tbl[[#This Row],[SDate]],weather.tbl[Date],0))</f>
        <v>-18.100000000000001</v>
      </c>
      <c r="R970" s="2">
        <f ca="1">INDEX(INDIRECT(_xlfn.CONCAT("weather.tbl[",R$1,"]")),MATCH(vp.tbl[[#This Row],[SDate]],weather.tbl[Date],0))</f>
        <v>-18.5</v>
      </c>
      <c r="S970" s="2">
        <f ca="1">INDEX(INDIRECT(_xlfn.CONCAT("weather.tbl[",S$1,"]")),MATCH(vp.tbl[[#This Row],[SDate]],weather.tbl[Date],0))</f>
        <v>-17.600000000000001</v>
      </c>
      <c r="T970" s="2">
        <f ca="1">INDEX(INDIRECT(_xlfn.CONCAT("weather.tbl[",T$1,"]")),MATCH(vp.tbl[[#This Row],[SDate]],weather.tbl[Date],0))</f>
        <v>-18.100000000000001</v>
      </c>
      <c r="U970" s="2">
        <f ca="1">INDEX(INDIRECT(_xlfn.CONCAT("weather.tbl[",U$1,"]")),MATCH(vp.tbl[[#This Row],[SDate]],weather.tbl[Date],0))</f>
        <v>-18</v>
      </c>
      <c r="V970" s="2">
        <v>1068.2539999999999</v>
      </c>
      <c r="W970" t="s">
        <v>48</v>
      </c>
      <c r="X970">
        <f>IF(OR(vp.tbl[[#This Row],[Sulf]]="",vp.tbl[[#This Row],[Dens]]=""),1,0)</f>
        <v>0</v>
      </c>
      <c r="Y970">
        <f>IF(vp.tbl[[#This Row],[CrudeType]]="C5+",1,0)</f>
        <v>0</v>
      </c>
      <c r="Z970">
        <f>IF(AND(vp.tbl[[#This Row],[CrudeType]]="Crude",vp.tbl[[#This Row],[Dens]]&lt;=825,vp.tbl[[#This Row],[Sulf]]&gt;0.5,vp.tbl[[#This Row],[Unknown]]=0),1,0)</f>
        <v>0</v>
      </c>
      <c r="AA970">
        <f>IF(AND(vp.tbl[[#This Row],[CrudeType]]="Crude",vp.tbl[[#This Row],[Dens]]&lt;=825,vp.tbl[[#This Row],[Sulf]]&lt;=0.5,vp.tbl[[#This Row],[Unknown]]=0),1,0)</f>
        <v>0</v>
      </c>
      <c r="AB970">
        <f>IF(AND(vp.tbl[[#This Row],[CrudeType]]="Crude",vp.tbl[[#This Row],[Dens]]&gt;825,vp.tbl[[#This Row],[Dens]]&lt;=870,vp.tbl[[#This Row],[Sulf]]&gt;0.5,vp.tbl[[#This Row],[Unknown]]=0),1,0)</f>
        <v>1</v>
      </c>
      <c r="AC970">
        <f>IF(AND(vp.tbl[[#This Row],[CrudeType]]="Crude",vp.tbl[[#This Row],[Dens]]&gt;825,vp.tbl[[#This Row],[Dens]]&lt;=900,vp.tbl[[#This Row],[Sulf]]&lt;=0.5,vp.tbl[[#This Row],[Unknown]]=0),1,0)</f>
        <v>0</v>
      </c>
      <c r="AD970">
        <f>IF(AND(vp.tbl[[#This Row],[CrudeType]]="Crude",vp.tbl[[#This Row],[Dens]]&gt;870,vp.tbl[[#This Row],[Dens]]&lt;=900,vp.tbl[[#This Row],[Sulf]]&gt;0.5,vp.tbl[[#This Row],[Unknown]]=0),1,0)</f>
        <v>0</v>
      </c>
      <c r="AE970">
        <f>IF(AND(vp.tbl[[#This Row],[CrudeType]]="Crude",vp.tbl[[#This Row],[Dens]]&gt;900,vp.tbl[[#This Row],[Sulf]]&lt;=0.5,vp.tbl[[#This Row],[Unknown]]=0),1,0)</f>
        <v>0</v>
      </c>
      <c r="AF970">
        <f>IF(AND(vp.tbl[[#This Row],[CrudeType]]="Crude",vp.tbl[[#This Row],[Dens]]&gt;900,vp.tbl[[#This Row],[Sulf]]&lt;=0.5,vp.tbl[[#This Row],[Unknown]]=0),1,0)</f>
        <v>0</v>
      </c>
      <c r="AG970" t="str">
        <f>INDEX(vp.tbl[[#Headers],[Unknown]:[Heavy_SW]],MATCH(1,vp.tbl[[#This Row],[Unknown]:[Heavy_SW]],0))</f>
        <v>Medium_LSB</v>
      </c>
      <c r="AH970" t="e">
        <f>INDEX([1]!crudeBD.lkup[Number],MATCH(vp.tbl[[#This Row],[Crude_Breakdown]],[1]!crudeBD.lkup[Crude Breakdown],0))</f>
        <v>#REF!</v>
      </c>
      <c r="AI970">
        <f>MONTH(vp.tbl[[#This Row],[SDate]])</f>
        <v>3</v>
      </c>
      <c r="AJ970" s="5">
        <f>IFERROR(vp.tbl[[#This Row],[Sulf]]*vp.tbl[[#This Row],[Net Dens]],"")</f>
        <v>1113090.7568879998</v>
      </c>
      <c r="AK970" s="5">
        <f>IFERROR(vp.tbl[[#This Row],[Dens]]*vp.tbl[[#This Row],[VolumeM3]],"")</f>
        <v>897653.8361999999</v>
      </c>
      <c r="AL970" s="5">
        <f>IFERROR(vp.tbl[[#This Row],[VP]]*vp.tbl[[#This Row],[VolumeM3]],"")</f>
        <v>120071.7496</v>
      </c>
      <c r="AM970" s="4">
        <f>IFERROR((vp.tbl[[#This Row],[VP]]-INDEX(crudeBD.lkup.complete[Mean_VP],MATCH(vp.tbl[[#This Row],[Crude_Breakdown]],crudeBD.lkup.complete[Crude Breakdown],0)))^2,"")</f>
        <v>1038.5411833033195</v>
      </c>
      <c r="AN970" s="4">
        <f>IFERROR((vp.tbl[[#This Row],[Dens]]-INDEX(crudeBD.lkup.complete[Mean_Dens],MATCH(vp.tbl[[#This Row],[Crude_Breakdown]],crudeBD.lkup.complete[Crude Breakdown],0)))^2,"")</f>
        <v>24.918294714940149</v>
      </c>
      <c r="AO970" s="4">
        <f>IFERROR((vp.tbl[[#This Row],[Sulf]]-INDEX(crudeBD.lkup.complete[Mean_Sulf],MATCH(vp.tbl[[#This Row],[Crude_Breakdown]],crudeBD.lkup.complete[Crude Breakdown],0)))^2,"")</f>
        <v>4.6194845046095979E-2</v>
      </c>
      <c r="AP970">
        <f>IF(AND(vp.tbl[[#This Row],[SDate]]&gt;=DATE(YEAR(vp.tbl[[#This Row],[SDate]]),5,1),vp.tbl[[#This Row],[SDate]]&lt;=DATE(YEAR(vp.tbl[[#This Row],[SDate]]),9,15)),1,0)</f>
        <v>0</v>
      </c>
      <c r="AQ970" s="15">
        <f>IF(vp.tbl[[#This Row],[SDate]]&lt;DATE(2016,12,1),0,1)</f>
        <v>1</v>
      </c>
    </row>
    <row r="971" spans="1:43" x14ac:dyDescent="0.25">
      <c r="A971">
        <v>970</v>
      </c>
      <c r="B971" t="s">
        <v>60</v>
      </c>
      <c r="C971" t="s">
        <v>60</v>
      </c>
      <c r="D971" t="s">
        <v>61</v>
      </c>
      <c r="E971" t="s">
        <v>73</v>
      </c>
      <c r="F971" s="1">
        <v>42805</v>
      </c>
      <c r="G971" s="2">
        <v>89.5</v>
      </c>
      <c r="H971" s="2">
        <v>1.0309999999999999</v>
      </c>
      <c r="I971" s="2">
        <v>1.0309999999999999</v>
      </c>
      <c r="J971" s="2">
        <v>4.5</v>
      </c>
      <c r="K971" s="2">
        <v>-17</v>
      </c>
      <c r="L971" s="2">
        <v>843.9</v>
      </c>
      <c r="M971" s="2">
        <v>843.9</v>
      </c>
      <c r="N971" s="2">
        <f ca="1">INDEX(INDIRECT(_xlfn.CONCAT("weather.tbl[",N$1,"]")),MATCH(vp.tbl[[#This Row],[SDate]],weather.tbl[Date],0))</f>
        <v>-18</v>
      </c>
      <c r="O971" s="2">
        <f ca="1">INDEX(INDIRECT(_xlfn.CONCAT("weather.tbl[",O$1,"]")),MATCH(vp.tbl[[#This Row],[SDate]],weather.tbl[Date],0))</f>
        <v>-13.185714285714285</v>
      </c>
      <c r="P971" s="2">
        <f ca="1">INDEX(INDIRECT(_xlfn.CONCAT("weather.tbl[",P$1,"]")),MATCH(vp.tbl[[#This Row],[SDate]],weather.tbl[Date],0))</f>
        <v>-17.7</v>
      </c>
      <c r="Q971" s="2">
        <f ca="1">INDEX(INDIRECT(_xlfn.CONCAT("weather.tbl[",Q$1,"]")),MATCH(vp.tbl[[#This Row],[SDate]],weather.tbl[Date],0))</f>
        <v>-18.100000000000001</v>
      </c>
      <c r="R971" s="2">
        <f ca="1">INDEX(INDIRECT(_xlfn.CONCAT("weather.tbl[",R$1,"]")),MATCH(vp.tbl[[#This Row],[SDate]],weather.tbl[Date],0))</f>
        <v>-18.5</v>
      </c>
      <c r="S971" s="2">
        <f ca="1">INDEX(INDIRECT(_xlfn.CONCAT("weather.tbl[",S$1,"]")),MATCH(vp.tbl[[#This Row],[SDate]],weather.tbl[Date],0))</f>
        <v>-17.600000000000001</v>
      </c>
      <c r="T971" s="2">
        <f ca="1">INDEX(INDIRECT(_xlfn.CONCAT("weather.tbl[",T$1,"]")),MATCH(vp.tbl[[#This Row],[SDate]],weather.tbl[Date],0))</f>
        <v>-18.100000000000001</v>
      </c>
      <c r="U971" s="2">
        <f ca="1">INDEX(INDIRECT(_xlfn.CONCAT("weather.tbl[",U$1,"]")),MATCH(vp.tbl[[#This Row],[SDate]],weather.tbl[Date],0))</f>
        <v>-18</v>
      </c>
      <c r="V971" s="2">
        <v>106074.851</v>
      </c>
      <c r="W971" t="s">
        <v>48</v>
      </c>
      <c r="X971">
        <f>IF(OR(vp.tbl[[#This Row],[Sulf]]="",vp.tbl[[#This Row],[Dens]]=""),1,0)</f>
        <v>0</v>
      </c>
      <c r="Y971">
        <f>IF(vp.tbl[[#This Row],[CrudeType]]="C5+",1,0)</f>
        <v>0</v>
      </c>
      <c r="Z971">
        <f>IF(AND(vp.tbl[[#This Row],[CrudeType]]="Crude",vp.tbl[[#This Row],[Dens]]&lt;=825,vp.tbl[[#This Row],[Sulf]]&gt;0.5,vp.tbl[[#This Row],[Unknown]]=0),1,0)</f>
        <v>0</v>
      </c>
      <c r="AA971">
        <f>IF(AND(vp.tbl[[#This Row],[CrudeType]]="Crude",vp.tbl[[#This Row],[Dens]]&lt;=825,vp.tbl[[#This Row],[Sulf]]&lt;=0.5,vp.tbl[[#This Row],[Unknown]]=0),1,0)</f>
        <v>0</v>
      </c>
      <c r="AB971">
        <f>IF(AND(vp.tbl[[#This Row],[CrudeType]]="Crude",vp.tbl[[#This Row],[Dens]]&gt;825,vp.tbl[[#This Row],[Dens]]&lt;=870,vp.tbl[[#This Row],[Sulf]]&gt;0.5,vp.tbl[[#This Row],[Unknown]]=0),1,0)</f>
        <v>1</v>
      </c>
      <c r="AC971">
        <f>IF(AND(vp.tbl[[#This Row],[CrudeType]]="Crude",vp.tbl[[#This Row],[Dens]]&gt;825,vp.tbl[[#This Row],[Dens]]&lt;=900,vp.tbl[[#This Row],[Sulf]]&lt;=0.5,vp.tbl[[#This Row],[Unknown]]=0),1,0)</f>
        <v>0</v>
      </c>
      <c r="AD971">
        <f>IF(AND(vp.tbl[[#This Row],[CrudeType]]="Crude",vp.tbl[[#This Row],[Dens]]&gt;870,vp.tbl[[#This Row],[Dens]]&lt;=900,vp.tbl[[#This Row],[Sulf]]&gt;0.5,vp.tbl[[#This Row],[Unknown]]=0),1,0)</f>
        <v>0</v>
      </c>
      <c r="AE971">
        <f>IF(AND(vp.tbl[[#This Row],[CrudeType]]="Crude",vp.tbl[[#This Row],[Dens]]&gt;900,vp.tbl[[#This Row],[Sulf]]&lt;=0.5,vp.tbl[[#This Row],[Unknown]]=0),1,0)</f>
        <v>0</v>
      </c>
      <c r="AF971">
        <f>IF(AND(vp.tbl[[#This Row],[CrudeType]]="Crude",vp.tbl[[#This Row],[Dens]]&gt;900,vp.tbl[[#This Row],[Sulf]]&lt;=0.5,vp.tbl[[#This Row],[Unknown]]=0),1,0)</f>
        <v>0</v>
      </c>
      <c r="AG971" t="str">
        <f>INDEX(vp.tbl[[#Headers],[Unknown]:[Heavy_SW]],MATCH(1,vp.tbl[[#This Row],[Unknown]:[Heavy_SW]],0))</f>
        <v>Medium_LSB</v>
      </c>
      <c r="AH971" t="e">
        <f>INDEX([1]!crudeBD.lkup[Number],MATCH(vp.tbl[[#This Row],[Crude_Breakdown]],[1]!crudeBD.lkup[Crude Breakdown],0))</f>
        <v>#REF!</v>
      </c>
      <c r="AI971">
        <f>MONTH(vp.tbl[[#This Row],[SDate]])</f>
        <v>3</v>
      </c>
      <c r="AJ971" s="5">
        <f>IFERROR(vp.tbl[[#This Row],[Sulf]]*vp.tbl[[#This Row],[Net Dens]],"")</f>
        <v>92291580.328425884</v>
      </c>
      <c r="AK971" s="5">
        <f>IFERROR(vp.tbl[[#This Row],[Dens]]*vp.tbl[[#This Row],[VolumeM3]],"")</f>
        <v>89516566.758899987</v>
      </c>
      <c r="AL971" s="5">
        <f>IFERROR(vp.tbl[[#This Row],[VP]]*vp.tbl[[#This Row],[VolumeM3]],"")</f>
        <v>9493699.1645</v>
      </c>
      <c r="AM971" s="4">
        <f>IFERROR((vp.tbl[[#This Row],[VP]]-INDEX(crudeBD.lkup.complete[Mean_VP],MATCH(vp.tbl[[#This Row],[Crude_Breakdown]],crudeBD.lkup.complete[Crude Breakdown],0)))^2,"")</f>
        <v>86.981831404583289</v>
      </c>
      <c r="AN971" s="4">
        <f>IFERROR((vp.tbl[[#This Row],[Dens]]-INDEX(crudeBD.lkup.complete[Mean_Dens],MATCH(vp.tbl[[#This Row],[Crude_Breakdown]],crudeBD.lkup.complete[Crude Breakdown],0)))^2,"")</f>
        <v>1.9371706643139384</v>
      </c>
      <c r="AO971" s="4">
        <f>IFERROR((vp.tbl[[#This Row],[Sulf]]-INDEX(crudeBD.lkup.complete[Mean_Sulf],MATCH(vp.tbl[[#This Row],[Crude_Breakdown]],crudeBD.lkup.complete[Crude Breakdown],0)))^2,"")</f>
        <v>0.17971652684356501</v>
      </c>
      <c r="AP971">
        <f>IF(AND(vp.tbl[[#This Row],[SDate]]&gt;=DATE(YEAR(vp.tbl[[#This Row],[SDate]]),5,1),vp.tbl[[#This Row],[SDate]]&lt;=DATE(YEAR(vp.tbl[[#This Row],[SDate]]),9,15)),1,0)</f>
        <v>0</v>
      </c>
      <c r="AQ971" s="15">
        <f>IF(vp.tbl[[#This Row],[SDate]]&lt;DATE(2016,12,1),0,1)</f>
        <v>1</v>
      </c>
    </row>
    <row r="972" spans="1:43" x14ac:dyDescent="0.25">
      <c r="A972">
        <v>971</v>
      </c>
      <c r="B972" t="s">
        <v>60</v>
      </c>
      <c r="C972" t="s">
        <v>60</v>
      </c>
      <c r="D972" t="s">
        <v>61</v>
      </c>
      <c r="E972" t="s">
        <v>55</v>
      </c>
      <c r="F972" s="1">
        <v>42805</v>
      </c>
      <c r="G972" s="2">
        <v>101.3</v>
      </c>
      <c r="H972" s="2">
        <v>1.0589999999999999</v>
      </c>
      <c r="I972" s="2">
        <v>1.0589999999999999</v>
      </c>
      <c r="J972" s="2">
        <v>2.6</v>
      </c>
      <c r="K972" s="2">
        <v>-17</v>
      </c>
      <c r="L972" s="2">
        <v>833.9</v>
      </c>
      <c r="M972" s="2">
        <v>833.9</v>
      </c>
      <c r="N972" s="2">
        <f ca="1">INDEX(INDIRECT(_xlfn.CONCAT("weather.tbl[",N$1,"]")),MATCH(vp.tbl[[#This Row],[SDate]],weather.tbl[Date],0))</f>
        <v>-18</v>
      </c>
      <c r="O972" s="2">
        <f ca="1">INDEX(INDIRECT(_xlfn.CONCAT("weather.tbl[",O$1,"]")),MATCH(vp.tbl[[#This Row],[SDate]],weather.tbl[Date],0))</f>
        <v>-13.185714285714285</v>
      </c>
      <c r="P972" s="2">
        <f ca="1">INDEX(INDIRECT(_xlfn.CONCAT("weather.tbl[",P$1,"]")),MATCH(vp.tbl[[#This Row],[SDate]],weather.tbl[Date],0))</f>
        <v>-17.7</v>
      </c>
      <c r="Q972" s="2">
        <f ca="1">INDEX(INDIRECT(_xlfn.CONCAT("weather.tbl[",Q$1,"]")),MATCH(vp.tbl[[#This Row],[SDate]],weather.tbl[Date],0))</f>
        <v>-18.100000000000001</v>
      </c>
      <c r="R972" s="2">
        <f ca="1">INDEX(INDIRECT(_xlfn.CONCAT("weather.tbl[",R$1,"]")),MATCH(vp.tbl[[#This Row],[SDate]],weather.tbl[Date],0))</f>
        <v>-18.5</v>
      </c>
      <c r="S972" s="2">
        <f ca="1">INDEX(INDIRECT(_xlfn.CONCAT("weather.tbl[",S$1,"]")),MATCH(vp.tbl[[#This Row],[SDate]],weather.tbl[Date],0))</f>
        <v>-17.600000000000001</v>
      </c>
      <c r="T972" s="2">
        <f ca="1">INDEX(INDIRECT(_xlfn.CONCAT("weather.tbl[",T$1,"]")),MATCH(vp.tbl[[#This Row],[SDate]],weather.tbl[Date],0))</f>
        <v>-18.100000000000001</v>
      </c>
      <c r="U972" s="2">
        <f ca="1">INDEX(INDIRECT(_xlfn.CONCAT("weather.tbl[",U$1,"]")),MATCH(vp.tbl[[#This Row],[SDate]],weather.tbl[Date],0))</f>
        <v>-18</v>
      </c>
      <c r="V972" s="2">
        <v>106074.851</v>
      </c>
      <c r="W972" t="s">
        <v>48</v>
      </c>
      <c r="X972">
        <f>IF(OR(vp.tbl[[#This Row],[Sulf]]="",vp.tbl[[#This Row],[Dens]]=""),1,0)</f>
        <v>0</v>
      </c>
      <c r="Y972">
        <f>IF(vp.tbl[[#This Row],[CrudeType]]="C5+",1,0)</f>
        <v>0</v>
      </c>
      <c r="Z972">
        <f>IF(AND(vp.tbl[[#This Row],[CrudeType]]="Crude",vp.tbl[[#This Row],[Dens]]&lt;=825,vp.tbl[[#This Row],[Sulf]]&gt;0.5,vp.tbl[[#This Row],[Unknown]]=0),1,0)</f>
        <v>0</v>
      </c>
      <c r="AA972">
        <f>IF(AND(vp.tbl[[#This Row],[CrudeType]]="Crude",vp.tbl[[#This Row],[Dens]]&lt;=825,vp.tbl[[#This Row],[Sulf]]&lt;=0.5,vp.tbl[[#This Row],[Unknown]]=0),1,0)</f>
        <v>0</v>
      </c>
      <c r="AB972">
        <f>IF(AND(vp.tbl[[#This Row],[CrudeType]]="Crude",vp.tbl[[#This Row],[Dens]]&gt;825,vp.tbl[[#This Row],[Dens]]&lt;=870,vp.tbl[[#This Row],[Sulf]]&gt;0.5,vp.tbl[[#This Row],[Unknown]]=0),1,0)</f>
        <v>1</v>
      </c>
      <c r="AC972">
        <f>IF(AND(vp.tbl[[#This Row],[CrudeType]]="Crude",vp.tbl[[#This Row],[Dens]]&gt;825,vp.tbl[[#This Row],[Dens]]&lt;=900,vp.tbl[[#This Row],[Sulf]]&lt;=0.5,vp.tbl[[#This Row],[Unknown]]=0),1,0)</f>
        <v>0</v>
      </c>
      <c r="AD972">
        <f>IF(AND(vp.tbl[[#This Row],[CrudeType]]="Crude",vp.tbl[[#This Row],[Dens]]&gt;870,vp.tbl[[#This Row],[Dens]]&lt;=900,vp.tbl[[#This Row],[Sulf]]&gt;0.5,vp.tbl[[#This Row],[Unknown]]=0),1,0)</f>
        <v>0</v>
      </c>
      <c r="AE972">
        <f>IF(AND(vp.tbl[[#This Row],[CrudeType]]="Crude",vp.tbl[[#This Row],[Dens]]&gt;900,vp.tbl[[#This Row],[Sulf]]&lt;=0.5,vp.tbl[[#This Row],[Unknown]]=0),1,0)</f>
        <v>0</v>
      </c>
      <c r="AF972">
        <f>IF(AND(vp.tbl[[#This Row],[CrudeType]]="Crude",vp.tbl[[#This Row],[Dens]]&gt;900,vp.tbl[[#This Row],[Sulf]]&lt;=0.5,vp.tbl[[#This Row],[Unknown]]=0),1,0)</f>
        <v>0</v>
      </c>
      <c r="AG972" t="str">
        <f>INDEX(vp.tbl[[#Headers],[Unknown]:[Heavy_SW]],MATCH(1,vp.tbl[[#This Row],[Unknown]:[Heavy_SW]],0))</f>
        <v>Medium_LSB</v>
      </c>
      <c r="AH972" t="e">
        <f>INDEX([1]!crudeBD.lkup[Number],MATCH(vp.tbl[[#This Row],[Crude_Breakdown]],[1]!crudeBD.lkup[Crude Breakdown],0))</f>
        <v>#REF!</v>
      </c>
      <c r="AI972">
        <f>MONTH(vp.tbl[[#This Row],[SDate]])</f>
        <v>3</v>
      </c>
      <c r="AJ972" s="5">
        <f>IFERROR(vp.tbl[[#This Row],[Sulf]]*vp.tbl[[#This Row],[Net Dens]],"")</f>
        <v>93674711.525585085</v>
      </c>
      <c r="AK972" s="5">
        <f>IFERROR(vp.tbl[[#This Row],[Dens]]*vp.tbl[[#This Row],[VolumeM3]],"")</f>
        <v>88455818.248899996</v>
      </c>
      <c r="AL972" s="5">
        <f>IFERROR(vp.tbl[[#This Row],[VP]]*vp.tbl[[#This Row],[VolumeM3]],"")</f>
        <v>10745382.406299999</v>
      </c>
      <c r="AM972" s="4">
        <f>IFERROR((vp.tbl[[#This Row],[VP]]-INDEX(crudeBD.lkup.complete[Mean_VP],MATCH(vp.tbl[[#This Row],[Crude_Breakdown]],crudeBD.lkup.complete[Crude Breakdown],0)))^2,"")</f>
        <v>446.3249908982549</v>
      </c>
      <c r="AN972" s="4">
        <f>IFERROR((vp.tbl[[#This Row],[Dens]]-INDEX(crudeBD.lkup.complete[Mean_Dens],MATCH(vp.tbl[[#This Row],[Crude_Breakdown]],crudeBD.lkup.complete[Crude Breakdown],0)))^2,"")</f>
        <v>129.77362636049722</v>
      </c>
      <c r="AO972" s="4">
        <f>IFERROR((vp.tbl[[#This Row],[Sulf]]-INDEX(crudeBD.lkup.complete[Mean_Sulf],MATCH(vp.tbl[[#This Row],[Crude_Breakdown]],crudeBD.lkup.complete[Crude Breakdown],0)))^2,"")</f>
        <v>0.15676045464103328</v>
      </c>
      <c r="AP972">
        <f>IF(AND(vp.tbl[[#This Row],[SDate]]&gt;=DATE(YEAR(vp.tbl[[#This Row],[SDate]]),5,1),vp.tbl[[#This Row],[SDate]]&lt;=DATE(YEAR(vp.tbl[[#This Row],[SDate]]),9,15)),1,0)</f>
        <v>0</v>
      </c>
      <c r="AQ972" s="15">
        <f>IF(vp.tbl[[#This Row],[SDate]]&lt;DATE(2016,12,1),0,1)</f>
        <v>1</v>
      </c>
    </row>
    <row r="973" spans="1:43" x14ac:dyDescent="0.25">
      <c r="A973">
        <v>972</v>
      </c>
      <c r="B973" t="s">
        <v>49</v>
      </c>
      <c r="C973" t="s">
        <v>49</v>
      </c>
      <c r="D973" t="s">
        <v>75</v>
      </c>
      <c r="F973" s="1">
        <v>42806</v>
      </c>
      <c r="G973" s="2">
        <v>98.4</v>
      </c>
      <c r="H973" s="2">
        <v>0.183</v>
      </c>
      <c r="I973" s="2">
        <v>0.183</v>
      </c>
      <c r="J973" s="2">
        <v>23</v>
      </c>
      <c r="K973" s="2">
        <v>-14</v>
      </c>
      <c r="L973" s="2">
        <v>801.2</v>
      </c>
      <c r="M973" s="2">
        <v>801.2</v>
      </c>
      <c r="N973" s="2">
        <f ca="1">INDEX(INDIRECT(_xlfn.CONCAT("weather.tbl[",N$1,"]")),MATCH(vp.tbl[[#This Row],[SDate]],weather.tbl[Date],0))</f>
        <v>-17.216666666666669</v>
      </c>
      <c r="O973" s="2">
        <f ca="1">INDEX(INDIRECT(_xlfn.CONCAT("weather.tbl[",O$1,"]")),MATCH(vp.tbl[[#This Row],[SDate]],weather.tbl[Date],0))</f>
        <v>-15.638095238095238</v>
      </c>
      <c r="P973" s="2">
        <f ca="1">INDEX(INDIRECT(_xlfn.CONCAT("weather.tbl[",P$1,"]")),MATCH(vp.tbl[[#This Row],[SDate]],weather.tbl[Date],0))</f>
        <v>-17.3</v>
      </c>
      <c r="Q973" s="2">
        <f ca="1">INDEX(INDIRECT(_xlfn.CONCAT("weather.tbl[",Q$1,"]")),MATCH(vp.tbl[[#This Row],[SDate]],weather.tbl[Date],0))</f>
        <v>-17.3</v>
      </c>
      <c r="R973" s="2">
        <f ca="1">INDEX(INDIRECT(_xlfn.CONCAT("weather.tbl[",R$1,"]")),MATCH(vp.tbl[[#This Row],[SDate]],weather.tbl[Date],0))</f>
        <v>-17</v>
      </c>
      <c r="S973" s="2">
        <f ca="1">INDEX(INDIRECT(_xlfn.CONCAT("weather.tbl[",S$1,"]")),MATCH(vp.tbl[[#This Row],[SDate]],weather.tbl[Date],0))</f>
        <v>-16.8</v>
      </c>
      <c r="T973" s="2">
        <f ca="1">INDEX(INDIRECT(_xlfn.CONCAT("weather.tbl[",T$1,"]")),MATCH(vp.tbl[[#This Row],[SDate]],weather.tbl[Date],0))</f>
        <v>-18.899999999999999</v>
      </c>
      <c r="U973" s="2">
        <f ca="1">INDEX(INDIRECT(_xlfn.CONCAT("weather.tbl[",U$1,"]")),MATCH(vp.tbl[[#This Row],[SDate]],weather.tbl[Date],0))</f>
        <v>-16</v>
      </c>
      <c r="V973" s="2">
        <v>1638.6679999999999</v>
      </c>
      <c r="W973" t="s">
        <v>48</v>
      </c>
      <c r="X973">
        <f>IF(OR(vp.tbl[[#This Row],[Sulf]]="",vp.tbl[[#This Row],[Dens]]=""),1,0)</f>
        <v>0</v>
      </c>
      <c r="Y973">
        <f>IF(vp.tbl[[#This Row],[CrudeType]]="C5+",1,0)</f>
        <v>0</v>
      </c>
      <c r="Z973">
        <f>IF(AND(vp.tbl[[#This Row],[CrudeType]]="Crude",vp.tbl[[#This Row],[Dens]]&lt;=825,vp.tbl[[#This Row],[Sulf]]&gt;0.5,vp.tbl[[#This Row],[Unknown]]=0),1,0)</f>
        <v>0</v>
      </c>
      <c r="AA973">
        <f>IF(AND(vp.tbl[[#This Row],[CrudeType]]="Crude",vp.tbl[[#This Row],[Dens]]&lt;=825,vp.tbl[[#This Row],[Sulf]]&lt;=0.5,vp.tbl[[#This Row],[Unknown]]=0),1,0)</f>
        <v>1</v>
      </c>
      <c r="AB973">
        <f>IF(AND(vp.tbl[[#This Row],[CrudeType]]="Crude",vp.tbl[[#This Row],[Dens]]&gt;825,vp.tbl[[#This Row],[Dens]]&lt;=870,vp.tbl[[#This Row],[Sulf]]&gt;0.5,vp.tbl[[#This Row],[Unknown]]=0),1,0)</f>
        <v>0</v>
      </c>
      <c r="AC973">
        <f>IF(AND(vp.tbl[[#This Row],[CrudeType]]="Crude",vp.tbl[[#This Row],[Dens]]&gt;825,vp.tbl[[#This Row],[Dens]]&lt;=900,vp.tbl[[#This Row],[Sulf]]&lt;=0.5,vp.tbl[[#This Row],[Unknown]]=0),1,0)</f>
        <v>0</v>
      </c>
      <c r="AD973">
        <f>IF(AND(vp.tbl[[#This Row],[CrudeType]]="Crude",vp.tbl[[#This Row],[Dens]]&gt;870,vp.tbl[[#This Row],[Dens]]&lt;=900,vp.tbl[[#This Row],[Sulf]]&gt;0.5,vp.tbl[[#This Row],[Unknown]]=0),1,0)</f>
        <v>0</v>
      </c>
      <c r="AE973">
        <f>IF(AND(vp.tbl[[#This Row],[CrudeType]]="Crude",vp.tbl[[#This Row],[Dens]]&gt;900,vp.tbl[[#This Row],[Sulf]]&lt;=0.5,vp.tbl[[#This Row],[Unknown]]=0),1,0)</f>
        <v>0</v>
      </c>
      <c r="AF973">
        <f>IF(AND(vp.tbl[[#This Row],[CrudeType]]="Crude",vp.tbl[[#This Row],[Dens]]&gt;900,vp.tbl[[#This Row],[Sulf]]&lt;=0.5,vp.tbl[[#This Row],[Unknown]]=0),1,0)</f>
        <v>0</v>
      </c>
      <c r="AG973" t="str">
        <f>INDEX(vp.tbl[[#Headers],[Unknown]:[Heavy_SW]],MATCH(1,vp.tbl[[#This Row],[Unknown]:[Heavy_SW]],0))</f>
        <v>Light_SW</v>
      </c>
      <c r="AH973" t="e">
        <f>INDEX([1]!crudeBD.lkup[Number],MATCH(vp.tbl[[#This Row],[Crude_Breakdown]],[1]!crudeBD.lkup[Crude Breakdown],0))</f>
        <v>#REF!</v>
      </c>
      <c r="AI973">
        <f>MONTH(vp.tbl[[#This Row],[SDate]])</f>
        <v>3</v>
      </c>
      <c r="AJ973" s="5">
        <f>IFERROR(vp.tbl[[#This Row],[Sulf]]*vp.tbl[[#This Row],[Net Dens]],"")</f>
        <v>240260.84669279997</v>
      </c>
      <c r="AK973" s="5">
        <f>IFERROR(vp.tbl[[#This Row],[Dens]]*vp.tbl[[#This Row],[VolumeM3]],"")</f>
        <v>1312900.8015999999</v>
      </c>
      <c r="AL973" s="5">
        <f>IFERROR(vp.tbl[[#This Row],[VP]]*vp.tbl[[#This Row],[VolumeM3]],"")</f>
        <v>161244.93119999999</v>
      </c>
      <c r="AM973" s="4">
        <f>IFERROR((vp.tbl[[#This Row],[VP]]-INDEX(crudeBD.lkup.complete[Mean_VP],MATCH(vp.tbl[[#This Row],[Crude_Breakdown]],crudeBD.lkup.complete[Crude Breakdown],0)))^2,"")</f>
        <v>34.218831108791342</v>
      </c>
      <c r="AN973" s="4">
        <f>IFERROR((vp.tbl[[#This Row],[Dens]]-INDEX(crudeBD.lkup.complete[Mean_Dens],MATCH(vp.tbl[[#This Row],[Crude_Breakdown]],crudeBD.lkup.complete[Crude Breakdown],0)))^2,"")</f>
        <v>50.573407471253638</v>
      </c>
      <c r="AO973" s="4">
        <f>IFERROR((vp.tbl[[#This Row],[Sulf]]-INDEX(crudeBD.lkup.complete[Mean_Sulf],MATCH(vp.tbl[[#This Row],[Crude_Breakdown]],crudeBD.lkup.complete[Crude Breakdown],0)))^2,"")</f>
        <v>2.8346905287183126E-3</v>
      </c>
      <c r="AP973">
        <f>IF(AND(vp.tbl[[#This Row],[SDate]]&gt;=DATE(YEAR(vp.tbl[[#This Row],[SDate]]),5,1),vp.tbl[[#This Row],[SDate]]&lt;=DATE(YEAR(vp.tbl[[#This Row],[SDate]]),9,15)),1,0)</f>
        <v>0</v>
      </c>
      <c r="AQ973" s="15">
        <f>IF(vp.tbl[[#This Row],[SDate]]&lt;DATE(2016,12,1),0,1)</f>
        <v>1</v>
      </c>
    </row>
    <row r="974" spans="1:43" x14ac:dyDescent="0.25">
      <c r="A974">
        <v>973</v>
      </c>
      <c r="B974" t="s">
        <v>49</v>
      </c>
      <c r="C974" t="s">
        <v>49</v>
      </c>
      <c r="D974" t="s">
        <v>78</v>
      </c>
      <c r="F974" s="1">
        <v>42806</v>
      </c>
      <c r="G974" s="2">
        <v>86.1</v>
      </c>
      <c r="H974" s="2">
        <v>0.189</v>
      </c>
      <c r="I974" s="2">
        <v>0.189</v>
      </c>
      <c r="J974" s="2">
        <v>19</v>
      </c>
      <c r="K974" s="2">
        <v>-14</v>
      </c>
      <c r="L974" s="2">
        <v>807.5</v>
      </c>
      <c r="M974" s="2">
        <v>807.5</v>
      </c>
      <c r="N974" s="2">
        <f ca="1">INDEX(INDIRECT(_xlfn.CONCAT("weather.tbl[",N$1,"]")),MATCH(vp.tbl[[#This Row],[SDate]],weather.tbl[Date],0))</f>
        <v>-17.216666666666669</v>
      </c>
      <c r="O974" s="2">
        <f ca="1">INDEX(INDIRECT(_xlfn.CONCAT("weather.tbl[",O$1,"]")),MATCH(vp.tbl[[#This Row],[SDate]],weather.tbl[Date],0))</f>
        <v>-15.638095238095238</v>
      </c>
      <c r="P974" s="2">
        <f ca="1">INDEX(INDIRECT(_xlfn.CONCAT("weather.tbl[",P$1,"]")),MATCH(vp.tbl[[#This Row],[SDate]],weather.tbl[Date],0))</f>
        <v>-17.3</v>
      </c>
      <c r="Q974" s="2">
        <f ca="1">INDEX(INDIRECT(_xlfn.CONCAT("weather.tbl[",Q$1,"]")),MATCH(vp.tbl[[#This Row],[SDate]],weather.tbl[Date],0))</f>
        <v>-17.3</v>
      </c>
      <c r="R974" s="2">
        <f ca="1">INDEX(INDIRECT(_xlfn.CONCAT("weather.tbl[",R$1,"]")),MATCH(vp.tbl[[#This Row],[SDate]],weather.tbl[Date],0))</f>
        <v>-17</v>
      </c>
      <c r="S974" s="2">
        <f ca="1">INDEX(INDIRECT(_xlfn.CONCAT("weather.tbl[",S$1,"]")),MATCH(vp.tbl[[#This Row],[SDate]],weather.tbl[Date],0))</f>
        <v>-16.8</v>
      </c>
      <c r="T974" s="2">
        <f ca="1">INDEX(INDIRECT(_xlfn.CONCAT("weather.tbl[",T$1,"]")),MATCH(vp.tbl[[#This Row],[SDate]],weather.tbl[Date],0))</f>
        <v>-18.899999999999999</v>
      </c>
      <c r="U974" s="2">
        <f ca="1">INDEX(INDIRECT(_xlfn.CONCAT("weather.tbl[",U$1,"]")),MATCH(vp.tbl[[#This Row],[SDate]],weather.tbl[Date],0))</f>
        <v>-16</v>
      </c>
      <c r="V974" s="2">
        <v>19019.342000000001</v>
      </c>
      <c r="W974" t="s">
        <v>48</v>
      </c>
      <c r="X974">
        <f>IF(OR(vp.tbl[[#This Row],[Sulf]]="",vp.tbl[[#This Row],[Dens]]=""),1,0)</f>
        <v>0</v>
      </c>
      <c r="Y974">
        <f>IF(vp.tbl[[#This Row],[CrudeType]]="C5+",1,0)</f>
        <v>0</v>
      </c>
      <c r="Z974">
        <f>IF(AND(vp.tbl[[#This Row],[CrudeType]]="Crude",vp.tbl[[#This Row],[Dens]]&lt;=825,vp.tbl[[#This Row],[Sulf]]&gt;0.5,vp.tbl[[#This Row],[Unknown]]=0),1,0)</f>
        <v>0</v>
      </c>
      <c r="AA974">
        <f>IF(AND(vp.tbl[[#This Row],[CrudeType]]="Crude",vp.tbl[[#This Row],[Dens]]&lt;=825,vp.tbl[[#This Row],[Sulf]]&lt;=0.5,vp.tbl[[#This Row],[Unknown]]=0),1,0)</f>
        <v>1</v>
      </c>
      <c r="AB974">
        <f>IF(AND(vp.tbl[[#This Row],[CrudeType]]="Crude",vp.tbl[[#This Row],[Dens]]&gt;825,vp.tbl[[#This Row],[Dens]]&lt;=870,vp.tbl[[#This Row],[Sulf]]&gt;0.5,vp.tbl[[#This Row],[Unknown]]=0),1,0)</f>
        <v>0</v>
      </c>
      <c r="AC974">
        <f>IF(AND(vp.tbl[[#This Row],[CrudeType]]="Crude",vp.tbl[[#This Row],[Dens]]&gt;825,vp.tbl[[#This Row],[Dens]]&lt;=900,vp.tbl[[#This Row],[Sulf]]&lt;=0.5,vp.tbl[[#This Row],[Unknown]]=0),1,0)</f>
        <v>0</v>
      </c>
      <c r="AD974">
        <f>IF(AND(vp.tbl[[#This Row],[CrudeType]]="Crude",vp.tbl[[#This Row],[Dens]]&gt;870,vp.tbl[[#This Row],[Dens]]&lt;=900,vp.tbl[[#This Row],[Sulf]]&gt;0.5,vp.tbl[[#This Row],[Unknown]]=0),1,0)</f>
        <v>0</v>
      </c>
      <c r="AE974">
        <f>IF(AND(vp.tbl[[#This Row],[CrudeType]]="Crude",vp.tbl[[#This Row],[Dens]]&gt;900,vp.tbl[[#This Row],[Sulf]]&lt;=0.5,vp.tbl[[#This Row],[Unknown]]=0),1,0)</f>
        <v>0</v>
      </c>
      <c r="AF974">
        <f>IF(AND(vp.tbl[[#This Row],[CrudeType]]="Crude",vp.tbl[[#This Row],[Dens]]&gt;900,vp.tbl[[#This Row],[Sulf]]&lt;=0.5,vp.tbl[[#This Row],[Unknown]]=0),1,0)</f>
        <v>0</v>
      </c>
      <c r="AG974" t="str">
        <f>INDEX(vp.tbl[[#Headers],[Unknown]:[Heavy_SW]],MATCH(1,vp.tbl[[#This Row],[Unknown]:[Heavy_SW]],0))</f>
        <v>Light_SW</v>
      </c>
      <c r="AH974" t="e">
        <f>INDEX([1]!crudeBD.lkup[Number],MATCH(vp.tbl[[#This Row],[Crude_Breakdown]],[1]!crudeBD.lkup[Crude Breakdown],0))</f>
        <v>#REF!</v>
      </c>
      <c r="AI974">
        <f>MONTH(vp.tbl[[#This Row],[SDate]])</f>
        <v>3</v>
      </c>
      <c r="AJ974" s="5">
        <f>IFERROR(vp.tbl[[#This Row],[Sulf]]*vp.tbl[[#This Row],[Net Dens]],"")</f>
        <v>2902684.427685</v>
      </c>
      <c r="AK974" s="5">
        <f>IFERROR(vp.tbl[[#This Row],[Dens]]*vp.tbl[[#This Row],[VolumeM3]],"")</f>
        <v>15358118.665000001</v>
      </c>
      <c r="AL974" s="5">
        <f>IFERROR(vp.tbl[[#This Row],[VP]]*vp.tbl[[#This Row],[VolumeM3]],"")</f>
        <v>1637565.3462</v>
      </c>
      <c r="AM974" s="4">
        <f>IFERROR((vp.tbl[[#This Row],[VP]]-INDEX(crudeBD.lkup.complete[Mean_VP],MATCH(vp.tbl[[#This Row],[Crude_Breakdown]],crudeBD.lkup.complete[Crude Breakdown],0)))^2,"")</f>
        <v>41.606545394504906</v>
      </c>
      <c r="AN974" s="4">
        <f>IFERROR((vp.tbl[[#This Row],[Dens]]-INDEX(crudeBD.lkup.complete[Mean_Dens],MATCH(vp.tbl[[#This Row],[Crude_Breakdown]],crudeBD.lkup.complete[Crude Breakdown],0)))^2,"")</f>
        <v>0.65852942247654833</v>
      </c>
      <c r="AO974" s="4">
        <f>IFERROR((vp.tbl[[#This Row],[Sulf]]-INDEX(crudeBD.lkup.complete[Mean_Sulf],MATCH(vp.tbl[[#This Row],[Crude_Breakdown]],crudeBD.lkup.complete[Crude Breakdown],0)))^2,"")</f>
        <v>2.231788786558035E-3</v>
      </c>
      <c r="AP974">
        <f>IF(AND(vp.tbl[[#This Row],[SDate]]&gt;=DATE(YEAR(vp.tbl[[#This Row],[SDate]]),5,1),vp.tbl[[#This Row],[SDate]]&lt;=DATE(YEAR(vp.tbl[[#This Row],[SDate]]),9,15)),1,0)</f>
        <v>0</v>
      </c>
      <c r="AQ974" s="15">
        <f>IF(vp.tbl[[#This Row],[SDate]]&lt;DATE(2016,12,1),0,1)</f>
        <v>1</v>
      </c>
    </row>
    <row r="975" spans="1:43" x14ac:dyDescent="0.25">
      <c r="A975">
        <v>974</v>
      </c>
      <c r="B975" t="s">
        <v>49</v>
      </c>
      <c r="C975" t="s">
        <v>49</v>
      </c>
      <c r="D975" t="s">
        <v>67</v>
      </c>
      <c r="F975" s="1">
        <v>42806</v>
      </c>
      <c r="G975" s="2">
        <v>106.2</v>
      </c>
      <c r="H975" s="2">
        <v>0.56599999999999995</v>
      </c>
      <c r="I975" s="2">
        <v>0.56599999999999995</v>
      </c>
      <c r="J975" s="2">
        <v>2.4</v>
      </c>
      <c r="K975" s="2">
        <v>-14</v>
      </c>
      <c r="L975" s="2">
        <v>818.3</v>
      </c>
      <c r="M975" s="2">
        <v>818.3</v>
      </c>
      <c r="N975" s="2">
        <f ca="1">INDEX(INDIRECT(_xlfn.CONCAT("weather.tbl[",N$1,"]")),MATCH(vp.tbl[[#This Row],[SDate]],weather.tbl[Date],0))</f>
        <v>-17.216666666666669</v>
      </c>
      <c r="O975" s="2">
        <f ca="1">INDEX(INDIRECT(_xlfn.CONCAT("weather.tbl[",O$1,"]")),MATCH(vp.tbl[[#This Row],[SDate]],weather.tbl[Date],0))</f>
        <v>-15.638095238095238</v>
      </c>
      <c r="P975" s="2">
        <f ca="1">INDEX(INDIRECT(_xlfn.CONCAT("weather.tbl[",P$1,"]")),MATCH(vp.tbl[[#This Row],[SDate]],weather.tbl[Date],0))</f>
        <v>-17.3</v>
      </c>
      <c r="Q975" s="2">
        <f ca="1">INDEX(INDIRECT(_xlfn.CONCAT("weather.tbl[",Q$1,"]")),MATCH(vp.tbl[[#This Row],[SDate]],weather.tbl[Date],0))</f>
        <v>-17.3</v>
      </c>
      <c r="R975" s="2">
        <f ca="1">INDEX(INDIRECT(_xlfn.CONCAT("weather.tbl[",R$1,"]")),MATCH(vp.tbl[[#This Row],[SDate]],weather.tbl[Date],0))</f>
        <v>-17</v>
      </c>
      <c r="S975" s="2">
        <f ca="1">INDEX(INDIRECT(_xlfn.CONCAT("weather.tbl[",S$1,"]")),MATCH(vp.tbl[[#This Row],[SDate]],weather.tbl[Date],0))</f>
        <v>-16.8</v>
      </c>
      <c r="T975" s="2">
        <f ca="1">INDEX(INDIRECT(_xlfn.CONCAT("weather.tbl[",T$1,"]")),MATCH(vp.tbl[[#This Row],[SDate]],weather.tbl[Date],0))</f>
        <v>-18.899999999999999</v>
      </c>
      <c r="U975" s="2">
        <f ca="1">INDEX(INDIRECT(_xlfn.CONCAT("weather.tbl[",U$1,"]")),MATCH(vp.tbl[[#This Row],[SDate]],weather.tbl[Date],0))</f>
        <v>-16</v>
      </c>
      <c r="V975" s="2">
        <v>132627.41099999999</v>
      </c>
      <c r="W975" t="s">
        <v>48</v>
      </c>
      <c r="X975">
        <f>IF(OR(vp.tbl[[#This Row],[Sulf]]="",vp.tbl[[#This Row],[Dens]]=""),1,0)</f>
        <v>0</v>
      </c>
      <c r="Y975">
        <f>IF(vp.tbl[[#This Row],[CrudeType]]="C5+",1,0)</f>
        <v>0</v>
      </c>
      <c r="Z975">
        <f>IF(AND(vp.tbl[[#This Row],[CrudeType]]="Crude",vp.tbl[[#This Row],[Dens]]&lt;=825,vp.tbl[[#This Row],[Sulf]]&gt;0.5,vp.tbl[[#This Row],[Unknown]]=0),1,0)</f>
        <v>1</v>
      </c>
      <c r="AA975">
        <f>IF(AND(vp.tbl[[#This Row],[CrudeType]]="Crude",vp.tbl[[#This Row],[Dens]]&lt;=825,vp.tbl[[#This Row],[Sulf]]&lt;=0.5,vp.tbl[[#This Row],[Unknown]]=0),1,0)</f>
        <v>0</v>
      </c>
      <c r="AB975">
        <f>IF(AND(vp.tbl[[#This Row],[CrudeType]]="Crude",vp.tbl[[#This Row],[Dens]]&gt;825,vp.tbl[[#This Row],[Dens]]&lt;=870,vp.tbl[[#This Row],[Sulf]]&gt;0.5,vp.tbl[[#This Row],[Unknown]]=0),1,0)</f>
        <v>0</v>
      </c>
      <c r="AC975">
        <f>IF(AND(vp.tbl[[#This Row],[CrudeType]]="Crude",vp.tbl[[#This Row],[Dens]]&gt;825,vp.tbl[[#This Row],[Dens]]&lt;=900,vp.tbl[[#This Row],[Sulf]]&lt;=0.5,vp.tbl[[#This Row],[Unknown]]=0),1,0)</f>
        <v>0</v>
      </c>
      <c r="AD975">
        <f>IF(AND(vp.tbl[[#This Row],[CrudeType]]="Crude",vp.tbl[[#This Row],[Dens]]&gt;870,vp.tbl[[#This Row],[Dens]]&lt;=900,vp.tbl[[#This Row],[Sulf]]&gt;0.5,vp.tbl[[#This Row],[Unknown]]=0),1,0)</f>
        <v>0</v>
      </c>
      <c r="AE975">
        <f>IF(AND(vp.tbl[[#This Row],[CrudeType]]="Crude",vp.tbl[[#This Row],[Dens]]&gt;900,vp.tbl[[#This Row],[Sulf]]&lt;=0.5,vp.tbl[[#This Row],[Unknown]]=0),1,0)</f>
        <v>0</v>
      </c>
      <c r="AF975">
        <f>IF(AND(vp.tbl[[#This Row],[CrudeType]]="Crude",vp.tbl[[#This Row],[Dens]]&gt;900,vp.tbl[[#This Row],[Sulf]]&lt;=0.5,vp.tbl[[#This Row],[Unknown]]=0),1,0)</f>
        <v>0</v>
      </c>
      <c r="AG975" t="str">
        <f>INDEX(vp.tbl[[#Headers],[Unknown]:[Heavy_SW]],MATCH(1,vp.tbl[[#This Row],[Unknown]:[Heavy_SW]],0))</f>
        <v>Light_LSB</v>
      </c>
      <c r="AH975" t="e">
        <f>INDEX([1]!crudeBD.lkup[Number],MATCH(vp.tbl[[#This Row],[Crude_Breakdown]],[1]!crudeBD.lkup[Crude Breakdown],0))</f>
        <v>#REF!</v>
      </c>
      <c r="AI975">
        <f>MONTH(vp.tbl[[#This Row],[SDate]])</f>
        <v>3</v>
      </c>
      <c r="AJ975" s="5">
        <f>IFERROR(vp.tbl[[#This Row],[Sulf]]*vp.tbl[[#This Row],[Net Dens]],"")</f>
        <v>61427419.898455791</v>
      </c>
      <c r="AK975" s="5">
        <f>IFERROR(vp.tbl[[#This Row],[Dens]]*vp.tbl[[#This Row],[VolumeM3]],"")</f>
        <v>108529010.42129999</v>
      </c>
      <c r="AL975" s="5">
        <f>IFERROR(vp.tbl[[#This Row],[VP]]*vp.tbl[[#This Row],[VolumeM3]],"")</f>
        <v>14085031.0482</v>
      </c>
      <c r="AM975" s="4">
        <f>IFERROR((vp.tbl[[#This Row],[VP]]-INDEX(crudeBD.lkup.complete[Mean_VP],MATCH(vp.tbl[[#This Row],[Crude_Breakdown]],crudeBD.lkup.complete[Crude Breakdown],0)))^2,"")</f>
        <v>214.73427743649614</v>
      </c>
      <c r="AN975" s="4">
        <f>IFERROR((vp.tbl[[#This Row],[Dens]]-INDEX(crudeBD.lkup.complete[Mean_Dens],MATCH(vp.tbl[[#This Row],[Crude_Breakdown]],crudeBD.lkup.complete[Crude Breakdown],0)))^2,"")</f>
        <v>4.698912861196889E-2</v>
      </c>
      <c r="AO975" s="4">
        <f>IFERROR((vp.tbl[[#This Row],[Sulf]]-INDEX(crudeBD.lkup.complete[Mean_Sulf],MATCH(vp.tbl[[#This Row],[Crude_Breakdown]],crudeBD.lkup.complete[Crude Breakdown],0)))^2,"")</f>
        <v>0.12742841505806601</v>
      </c>
      <c r="AP975">
        <f>IF(AND(vp.tbl[[#This Row],[SDate]]&gt;=DATE(YEAR(vp.tbl[[#This Row],[SDate]]),5,1),vp.tbl[[#This Row],[SDate]]&lt;=DATE(YEAR(vp.tbl[[#This Row],[SDate]]),9,15)),1,0)</f>
        <v>0</v>
      </c>
      <c r="AQ975" s="15">
        <f>IF(vp.tbl[[#This Row],[SDate]]&lt;DATE(2016,12,1),0,1)</f>
        <v>1</v>
      </c>
    </row>
    <row r="976" spans="1:43" x14ac:dyDescent="0.25">
      <c r="A976">
        <v>975</v>
      </c>
      <c r="B976" t="s">
        <v>49</v>
      </c>
      <c r="C976" t="s">
        <v>49</v>
      </c>
      <c r="D976" t="s">
        <v>70</v>
      </c>
      <c r="F976" s="1">
        <v>42806</v>
      </c>
      <c r="G976" s="2">
        <v>96.5</v>
      </c>
      <c r="H976" s="2">
        <v>0.88800000000000001</v>
      </c>
      <c r="I976" s="2">
        <v>0.88800000000000001</v>
      </c>
      <c r="J976" s="2">
        <v>5.0999999999999996</v>
      </c>
      <c r="K976" s="2">
        <v>-14</v>
      </c>
      <c r="L976" s="2">
        <v>821.9</v>
      </c>
      <c r="M976" s="2">
        <v>821.9</v>
      </c>
      <c r="N976" s="2">
        <f ca="1">INDEX(INDIRECT(_xlfn.CONCAT("weather.tbl[",N$1,"]")),MATCH(vp.tbl[[#This Row],[SDate]],weather.tbl[Date],0))</f>
        <v>-17.216666666666669</v>
      </c>
      <c r="O976" s="2">
        <f ca="1">INDEX(INDIRECT(_xlfn.CONCAT("weather.tbl[",O$1,"]")),MATCH(vp.tbl[[#This Row],[SDate]],weather.tbl[Date],0))</f>
        <v>-15.638095238095238</v>
      </c>
      <c r="P976" s="2">
        <f ca="1">INDEX(INDIRECT(_xlfn.CONCAT("weather.tbl[",P$1,"]")),MATCH(vp.tbl[[#This Row],[SDate]],weather.tbl[Date],0))</f>
        <v>-17.3</v>
      </c>
      <c r="Q976" s="2">
        <f ca="1">INDEX(INDIRECT(_xlfn.CONCAT("weather.tbl[",Q$1,"]")),MATCH(vp.tbl[[#This Row],[SDate]],weather.tbl[Date],0))</f>
        <v>-17.3</v>
      </c>
      <c r="R976" s="2">
        <f ca="1">INDEX(INDIRECT(_xlfn.CONCAT("weather.tbl[",R$1,"]")),MATCH(vp.tbl[[#This Row],[SDate]],weather.tbl[Date],0))</f>
        <v>-17</v>
      </c>
      <c r="S976" s="2">
        <f ca="1">INDEX(INDIRECT(_xlfn.CONCAT("weather.tbl[",S$1,"]")),MATCH(vp.tbl[[#This Row],[SDate]],weather.tbl[Date],0))</f>
        <v>-16.8</v>
      </c>
      <c r="T976" s="2">
        <f ca="1">INDEX(INDIRECT(_xlfn.CONCAT("weather.tbl[",T$1,"]")),MATCH(vp.tbl[[#This Row],[SDate]],weather.tbl[Date],0))</f>
        <v>-18.899999999999999</v>
      </c>
      <c r="U976" s="2">
        <f ca="1">INDEX(INDIRECT(_xlfn.CONCAT("weather.tbl[",U$1,"]")),MATCH(vp.tbl[[#This Row],[SDate]],weather.tbl[Date],0))</f>
        <v>-16</v>
      </c>
      <c r="V976" s="2">
        <v>2628.259</v>
      </c>
      <c r="W976" t="s">
        <v>48</v>
      </c>
      <c r="X976">
        <f>IF(OR(vp.tbl[[#This Row],[Sulf]]="",vp.tbl[[#This Row],[Dens]]=""),1,0)</f>
        <v>0</v>
      </c>
      <c r="Y976">
        <f>IF(vp.tbl[[#This Row],[CrudeType]]="C5+",1,0)</f>
        <v>0</v>
      </c>
      <c r="Z976">
        <f>IF(AND(vp.tbl[[#This Row],[CrudeType]]="Crude",vp.tbl[[#This Row],[Dens]]&lt;=825,vp.tbl[[#This Row],[Sulf]]&gt;0.5,vp.tbl[[#This Row],[Unknown]]=0),1,0)</f>
        <v>1</v>
      </c>
      <c r="AA976">
        <f>IF(AND(vp.tbl[[#This Row],[CrudeType]]="Crude",vp.tbl[[#This Row],[Dens]]&lt;=825,vp.tbl[[#This Row],[Sulf]]&lt;=0.5,vp.tbl[[#This Row],[Unknown]]=0),1,0)</f>
        <v>0</v>
      </c>
      <c r="AB976">
        <f>IF(AND(vp.tbl[[#This Row],[CrudeType]]="Crude",vp.tbl[[#This Row],[Dens]]&gt;825,vp.tbl[[#This Row],[Dens]]&lt;=870,vp.tbl[[#This Row],[Sulf]]&gt;0.5,vp.tbl[[#This Row],[Unknown]]=0),1,0)</f>
        <v>0</v>
      </c>
      <c r="AC976">
        <f>IF(AND(vp.tbl[[#This Row],[CrudeType]]="Crude",vp.tbl[[#This Row],[Dens]]&gt;825,vp.tbl[[#This Row],[Dens]]&lt;=900,vp.tbl[[#This Row],[Sulf]]&lt;=0.5,vp.tbl[[#This Row],[Unknown]]=0),1,0)</f>
        <v>0</v>
      </c>
      <c r="AD976">
        <f>IF(AND(vp.tbl[[#This Row],[CrudeType]]="Crude",vp.tbl[[#This Row],[Dens]]&gt;870,vp.tbl[[#This Row],[Dens]]&lt;=900,vp.tbl[[#This Row],[Sulf]]&gt;0.5,vp.tbl[[#This Row],[Unknown]]=0),1,0)</f>
        <v>0</v>
      </c>
      <c r="AE976">
        <f>IF(AND(vp.tbl[[#This Row],[CrudeType]]="Crude",vp.tbl[[#This Row],[Dens]]&gt;900,vp.tbl[[#This Row],[Sulf]]&lt;=0.5,vp.tbl[[#This Row],[Unknown]]=0),1,0)</f>
        <v>0</v>
      </c>
      <c r="AF976">
        <f>IF(AND(vp.tbl[[#This Row],[CrudeType]]="Crude",vp.tbl[[#This Row],[Dens]]&gt;900,vp.tbl[[#This Row],[Sulf]]&lt;=0.5,vp.tbl[[#This Row],[Unknown]]=0),1,0)</f>
        <v>0</v>
      </c>
      <c r="AG976" t="str">
        <f>INDEX(vp.tbl[[#Headers],[Unknown]:[Heavy_SW]],MATCH(1,vp.tbl[[#This Row],[Unknown]:[Heavy_SW]],0))</f>
        <v>Light_LSB</v>
      </c>
      <c r="AH976" t="e">
        <f>INDEX([1]!crudeBD.lkup[Number],MATCH(vp.tbl[[#This Row],[Crude_Breakdown]],[1]!crudeBD.lkup[Crude Breakdown],0))</f>
        <v>#REF!</v>
      </c>
      <c r="AI976">
        <f>MONTH(vp.tbl[[#This Row],[SDate]])</f>
        <v>3</v>
      </c>
      <c r="AJ976" s="5">
        <f>IFERROR(vp.tbl[[#This Row],[Sulf]]*vp.tbl[[#This Row],[Net Dens]],"")</f>
        <v>1918227.4720248</v>
      </c>
      <c r="AK976" s="5">
        <f>IFERROR(vp.tbl[[#This Row],[Dens]]*vp.tbl[[#This Row],[VolumeM3]],"")</f>
        <v>2160166.0721</v>
      </c>
      <c r="AL976" s="5">
        <f>IFERROR(vp.tbl[[#This Row],[VP]]*vp.tbl[[#This Row],[VolumeM3]],"")</f>
        <v>253626.99350000001</v>
      </c>
      <c r="AM976" s="4">
        <f>IFERROR((vp.tbl[[#This Row],[VP]]-INDEX(crudeBD.lkup.complete[Mean_VP],MATCH(vp.tbl[[#This Row],[Crude_Breakdown]],crudeBD.lkup.complete[Crude Breakdown],0)))^2,"")</f>
        <v>24.540277436496662</v>
      </c>
      <c r="AN976" s="4">
        <f>IFERROR((vp.tbl[[#This Row],[Dens]]-INDEX(crudeBD.lkup.complete[Mean_Dens],MATCH(vp.tbl[[#This Row],[Crude_Breakdown]],crudeBD.lkup.complete[Crude Breakdown],0)))^2,"")</f>
        <v>11.44624686057282</v>
      </c>
      <c r="AO976" s="4">
        <f>IFERROR((vp.tbl[[#This Row],[Sulf]]-INDEX(crudeBD.lkup.complete[Mean_Sulf],MATCH(vp.tbl[[#This Row],[Crude_Breakdown]],crudeBD.lkup.complete[Crude Breakdown],0)))^2,"")</f>
        <v>1.2229826182035925E-3</v>
      </c>
      <c r="AP976">
        <f>IF(AND(vp.tbl[[#This Row],[SDate]]&gt;=DATE(YEAR(vp.tbl[[#This Row],[SDate]]),5,1),vp.tbl[[#This Row],[SDate]]&lt;=DATE(YEAR(vp.tbl[[#This Row],[SDate]]),9,15)),1,0)</f>
        <v>0</v>
      </c>
      <c r="AQ976" s="15">
        <f>IF(vp.tbl[[#This Row],[SDate]]&lt;DATE(2016,12,1),0,1)</f>
        <v>1</v>
      </c>
    </row>
    <row r="977" spans="1:43" x14ac:dyDescent="0.25">
      <c r="A977">
        <v>976</v>
      </c>
      <c r="B977" t="s">
        <v>49</v>
      </c>
      <c r="C977" t="s">
        <v>49</v>
      </c>
      <c r="D977" t="s">
        <v>90</v>
      </c>
      <c r="F977" s="1">
        <v>42806</v>
      </c>
      <c r="G977" s="2">
        <v>81.900000000000006</v>
      </c>
      <c r="H977" s="2">
        <v>1.2649999999999999</v>
      </c>
      <c r="I977" s="2">
        <v>1.2649999999999999</v>
      </c>
      <c r="J977" s="2">
        <v>25</v>
      </c>
      <c r="K977" s="2">
        <v>-14</v>
      </c>
      <c r="L977" s="2">
        <v>845.1</v>
      </c>
      <c r="M977" s="2">
        <v>845.1</v>
      </c>
      <c r="N977" s="2">
        <f ca="1">INDEX(INDIRECT(_xlfn.CONCAT("weather.tbl[",N$1,"]")),MATCH(vp.tbl[[#This Row],[SDate]],weather.tbl[Date],0))</f>
        <v>-17.216666666666669</v>
      </c>
      <c r="O977" s="2">
        <f ca="1">INDEX(INDIRECT(_xlfn.CONCAT("weather.tbl[",O$1,"]")),MATCH(vp.tbl[[#This Row],[SDate]],weather.tbl[Date],0))</f>
        <v>-15.638095238095238</v>
      </c>
      <c r="P977" s="2">
        <f ca="1">INDEX(INDIRECT(_xlfn.CONCAT("weather.tbl[",P$1,"]")),MATCH(vp.tbl[[#This Row],[SDate]],weather.tbl[Date],0))</f>
        <v>-17.3</v>
      </c>
      <c r="Q977" s="2">
        <f ca="1">INDEX(INDIRECT(_xlfn.CONCAT("weather.tbl[",Q$1,"]")),MATCH(vp.tbl[[#This Row],[SDate]],weather.tbl[Date],0))</f>
        <v>-17.3</v>
      </c>
      <c r="R977" s="2">
        <f ca="1">INDEX(INDIRECT(_xlfn.CONCAT("weather.tbl[",R$1,"]")),MATCH(vp.tbl[[#This Row],[SDate]],weather.tbl[Date],0))</f>
        <v>-17</v>
      </c>
      <c r="S977" s="2">
        <f ca="1">INDEX(INDIRECT(_xlfn.CONCAT("weather.tbl[",S$1,"]")),MATCH(vp.tbl[[#This Row],[SDate]],weather.tbl[Date],0))</f>
        <v>-16.8</v>
      </c>
      <c r="T977" s="2">
        <f ca="1">INDEX(INDIRECT(_xlfn.CONCAT("weather.tbl[",T$1,"]")),MATCH(vp.tbl[[#This Row],[SDate]],weather.tbl[Date],0))</f>
        <v>-18.899999999999999</v>
      </c>
      <c r="U977" s="2">
        <f ca="1">INDEX(INDIRECT(_xlfn.CONCAT("weather.tbl[",U$1,"]")),MATCH(vp.tbl[[#This Row],[SDate]],weather.tbl[Date],0))</f>
        <v>-16</v>
      </c>
      <c r="V977" s="2">
        <v>4661.3360000000002</v>
      </c>
      <c r="W977" t="s">
        <v>48</v>
      </c>
      <c r="X977">
        <f>IF(OR(vp.tbl[[#This Row],[Sulf]]="",vp.tbl[[#This Row],[Dens]]=""),1,0)</f>
        <v>0</v>
      </c>
      <c r="Y977">
        <f>IF(vp.tbl[[#This Row],[CrudeType]]="C5+",1,0)</f>
        <v>0</v>
      </c>
      <c r="Z977">
        <f>IF(AND(vp.tbl[[#This Row],[CrudeType]]="Crude",vp.tbl[[#This Row],[Dens]]&lt;=825,vp.tbl[[#This Row],[Sulf]]&gt;0.5,vp.tbl[[#This Row],[Unknown]]=0),1,0)</f>
        <v>0</v>
      </c>
      <c r="AA977">
        <f>IF(AND(vp.tbl[[#This Row],[CrudeType]]="Crude",vp.tbl[[#This Row],[Dens]]&lt;=825,vp.tbl[[#This Row],[Sulf]]&lt;=0.5,vp.tbl[[#This Row],[Unknown]]=0),1,0)</f>
        <v>0</v>
      </c>
      <c r="AB977">
        <f>IF(AND(vp.tbl[[#This Row],[CrudeType]]="Crude",vp.tbl[[#This Row],[Dens]]&gt;825,vp.tbl[[#This Row],[Dens]]&lt;=870,vp.tbl[[#This Row],[Sulf]]&gt;0.5,vp.tbl[[#This Row],[Unknown]]=0),1,0)</f>
        <v>1</v>
      </c>
      <c r="AC977">
        <f>IF(AND(vp.tbl[[#This Row],[CrudeType]]="Crude",vp.tbl[[#This Row],[Dens]]&gt;825,vp.tbl[[#This Row],[Dens]]&lt;=900,vp.tbl[[#This Row],[Sulf]]&lt;=0.5,vp.tbl[[#This Row],[Unknown]]=0),1,0)</f>
        <v>0</v>
      </c>
      <c r="AD977">
        <f>IF(AND(vp.tbl[[#This Row],[CrudeType]]="Crude",vp.tbl[[#This Row],[Dens]]&gt;870,vp.tbl[[#This Row],[Dens]]&lt;=900,vp.tbl[[#This Row],[Sulf]]&gt;0.5,vp.tbl[[#This Row],[Unknown]]=0),1,0)</f>
        <v>0</v>
      </c>
      <c r="AE977">
        <f>IF(AND(vp.tbl[[#This Row],[CrudeType]]="Crude",vp.tbl[[#This Row],[Dens]]&gt;900,vp.tbl[[#This Row],[Sulf]]&lt;=0.5,vp.tbl[[#This Row],[Unknown]]=0),1,0)</f>
        <v>0</v>
      </c>
      <c r="AF977">
        <f>IF(AND(vp.tbl[[#This Row],[CrudeType]]="Crude",vp.tbl[[#This Row],[Dens]]&gt;900,vp.tbl[[#This Row],[Sulf]]&lt;=0.5,vp.tbl[[#This Row],[Unknown]]=0),1,0)</f>
        <v>0</v>
      </c>
      <c r="AG977" t="str">
        <f>INDEX(vp.tbl[[#Headers],[Unknown]:[Heavy_SW]],MATCH(1,vp.tbl[[#This Row],[Unknown]:[Heavy_SW]],0))</f>
        <v>Medium_LSB</v>
      </c>
      <c r="AH977" t="e">
        <f>INDEX([1]!crudeBD.lkup[Number],MATCH(vp.tbl[[#This Row],[Crude_Breakdown]],[1]!crudeBD.lkup[Crude Breakdown],0))</f>
        <v>#REF!</v>
      </c>
      <c r="AI977">
        <f>MONTH(vp.tbl[[#This Row],[SDate]])</f>
        <v>3</v>
      </c>
      <c r="AJ977" s="5">
        <f>IFERROR(vp.tbl[[#This Row],[Sulf]]*vp.tbl[[#This Row],[Net Dens]],"")</f>
        <v>4983208.2428040002</v>
      </c>
      <c r="AK977" s="5">
        <f>IFERROR(vp.tbl[[#This Row],[Dens]]*vp.tbl[[#This Row],[VolumeM3]],"")</f>
        <v>3939295.0536000002</v>
      </c>
      <c r="AL977" s="5">
        <f>IFERROR(vp.tbl[[#This Row],[VP]]*vp.tbl[[#This Row],[VolumeM3]],"")</f>
        <v>381763.41840000002</v>
      </c>
      <c r="AM977" s="4">
        <f>IFERROR((vp.tbl[[#This Row],[VP]]-INDEX(crudeBD.lkup.complete[Mean_VP],MATCH(vp.tbl[[#This Row],[Crude_Breakdown]],crudeBD.lkup.complete[Crude Breakdown],0)))^2,"")</f>
        <v>2.9804744425574294</v>
      </c>
      <c r="AN977" s="4">
        <f>IFERROR((vp.tbl[[#This Row],[Dens]]-INDEX(crudeBD.lkup.complete[Mean_Dens],MATCH(vp.tbl[[#This Row],[Crude_Breakdown]],crudeBD.lkup.complete[Crude Breakdown],0)))^2,"")</f>
        <v>3.6795980771925647E-2</v>
      </c>
      <c r="AO977" s="4">
        <f>IFERROR((vp.tbl[[#This Row],[Sulf]]-INDEX(crudeBD.lkup.complete[Mean_Sulf],MATCH(vp.tbl[[#This Row],[Crude_Breakdown]],crudeBD.lkup.complete[Crude Breakdown],0)))^2,"")</f>
        <v>3.6073352008121257E-2</v>
      </c>
      <c r="AP977">
        <f>IF(AND(vp.tbl[[#This Row],[SDate]]&gt;=DATE(YEAR(vp.tbl[[#This Row],[SDate]]),5,1),vp.tbl[[#This Row],[SDate]]&lt;=DATE(YEAR(vp.tbl[[#This Row],[SDate]]),9,15)),1,0)</f>
        <v>0</v>
      </c>
      <c r="AQ977" s="15">
        <f>IF(vp.tbl[[#This Row],[SDate]]&lt;DATE(2016,12,1),0,1)</f>
        <v>1</v>
      </c>
    </row>
    <row r="978" spans="1:43" x14ac:dyDescent="0.25">
      <c r="A978">
        <v>977</v>
      </c>
      <c r="B978" t="s">
        <v>49</v>
      </c>
      <c r="C978" t="s">
        <v>49</v>
      </c>
      <c r="D978" t="s">
        <v>59</v>
      </c>
      <c r="F978" s="1">
        <v>42806</v>
      </c>
      <c r="G978" s="2">
        <v>95.8</v>
      </c>
      <c r="H978" s="2">
        <v>1.518</v>
      </c>
      <c r="I978" s="2">
        <v>1.518</v>
      </c>
      <c r="J978" s="2">
        <v>12</v>
      </c>
      <c r="K978" s="2">
        <v>-14</v>
      </c>
      <c r="L978" s="2">
        <v>848.2</v>
      </c>
      <c r="M978" s="2">
        <v>848.2</v>
      </c>
      <c r="N978" s="2">
        <f ca="1">INDEX(INDIRECT(_xlfn.CONCAT("weather.tbl[",N$1,"]")),MATCH(vp.tbl[[#This Row],[SDate]],weather.tbl[Date],0))</f>
        <v>-17.216666666666669</v>
      </c>
      <c r="O978" s="2">
        <f ca="1">INDEX(INDIRECT(_xlfn.CONCAT("weather.tbl[",O$1,"]")),MATCH(vp.tbl[[#This Row],[SDate]],weather.tbl[Date],0))</f>
        <v>-15.638095238095238</v>
      </c>
      <c r="P978" s="2">
        <f ca="1">INDEX(INDIRECT(_xlfn.CONCAT("weather.tbl[",P$1,"]")),MATCH(vp.tbl[[#This Row],[SDate]],weather.tbl[Date],0))</f>
        <v>-17.3</v>
      </c>
      <c r="Q978" s="2">
        <f ca="1">INDEX(INDIRECT(_xlfn.CONCAT("weather.tbl[",Q$1,"]")),MATCH(vp.tbl[[#This Row],[SDate]],weather.tbl[Date],0))</f>
        <v>-17.3</v>
      </c>
      <c r="R978" s="2">
        <f ca="1">INDEX(INDIRECT(_xlfn.CONCAT("weather.tbl[",R$1,"]")),MATCH(vp.tbl[[#This Row],[SDate]],weather.tbl[Date],0))</f>
        <v>-17</v>
      </c>
      <c r="S978" s="2">
        <f ca="1">INDEX(INDIRECT(_xlfn.CONCAT("weather.tbl[",S$1,"]")),MATCH(vp.tbl[[#This Row],[SDate]],weather.tbl[Date],0))</f>
        <v>-16.8</v>
      </c>
      <c r="T978" s="2">
        <f ca="1">INDEX(INDIRECT(_xlfn.CONCAT("weather.tbl[",T$1,"]")),MATCH(vp.tbl[[#This Row],[SDate]],weather.tbl[Date],0))</f>
        <v>-18.899999999999999</v>
      </c>
      <c r="U978" s="2">
        <f ca="1">INDEX(INDIRECT(_xlfn.CONCAT("weather.tbl[",U$1,"]")),MATCH(vp.tbl[[#This Row],[SDate]],weather.tbl[Date],0))</f>
        <v>-16</v>
      </c>
      <c r="V978" s="2">
        <v>1407.9559999999999</v>
      </c>
      <c r="W978" t="s">
        <v>48</v>
      </c>
      <c r="X978">
        <f>IF(OR(vp.tbl[[#This Row],[Sulf]]="",vp.tbl[[#This Row],[Dens]]=""),1,0)</f>
        <v>0</v>
      </c>
      <c r="Y978">
        <f>IF(vp.tbl[[#This Row],[CrudeType]]="C5+",1,0)</f>
        <v>0</v>
      </c>
      <c r="Z978">
        <f>IF(AND(vp.tbl[[#This Row],[CrudeType]]="Crude",vp.tbl[[#This Row],[Dens]]&lt;=825,vp.tbl[[#This Row],[Sulf]]&gt;0.5,vp.tbl[[#This Row],[Unknown]]=0),1,0)</f>
        <v>0</v>
      </c>
      <c r="AA978">
        <f>IF(AND(vp.tbl[[#This Row],[CrudeType]]="Crude",vp.tbl[[#This Row],[Dens]]&lt;=825,vp.tbl[[#This Row],[Sulf]]&lt;=0.5,vp.tbl[[#This Row],[Unknown]]=0),1,0)</f>
        <v>0</v>
      </c>
      <c r="AB978">
        <f>IF(AND(vp.tbl[[#This Row],[CrudeType]]="Crude",vp.tbl[[#This Row],[Dens]]&gt;825,vp.tbl[[#This Row],[Dens]]&lt;=870,vp.tbl[[#This Row],[Sulf]]&gt;0.5,vp.tbl[[#This Row],[Unknown]]=0),1,0)</f>
        <v>1</v>
      </c>
      <c r="AC978">
        <f>IF(AND(vp.tbl[[#This Row],[CrudeType]]="Crude",vp.tbl[[#This Row],[Dens]]&gt;825,vp.tbl[[#This Row],[Dens]]&lt;=900,vp.tbl[[#This Row],[Sulf]]&lt;=0.5,vp.tbl[[#This Row],[Unknown]]=0),1,0)</f>
        <v>0</v>
      </c>
      <c r="AD978">
        <f>IF(AND(vp.tbl[[#This Row],[CrudeType]]="Crude",vp.tbl[[#This Row],[Dens]]&gt;870,vp.tbl[[#This Row],[Dens]]&lt;=900,vp.tbl[[#This Row],[Sulf]]&gt;0.5,vp.tbl[[#This Row],[Unknown]]=0),1,0)</f>
        <v>0</v>
      </c>
      <c r="AE978">
        <f>IF(AND(vp.tbl[[#This Row],[CrudeType]]="Crude",vp.tbl[[#This Row],[Dens]]&gt;900,vp.tbl[[#This Row],[Sulf]]&lt;=0.5,vp.tbl[[#This Row],[Unknown]]=0),1,0)</f>
        <v>0</v>
      </c>
      <c r="AF978">
        <f>IF(AND(vp.tbl[[#This Row],[CrudeType]]="Crude",vp.tbl[[#This Row],[Dens]]&gt;900,vp.tbl[[#This Row],[Sulf]]&lt;=0.5,vp.tbl[[#This Row],[Unknown]]=0),1,0)</f>
        <v>0</v>
      </c>
      <c r="AG978" t="str">
        <f>INDEX(vp.tbl[[#Headers],[Unknown]:[Heavy_SW]],MATCH(1,vp.tbl[[#This Row],[Unknown]:[Heavy_SW]],0))</f>
        <v>Medium_LSB</v>
      </c>
      <c r="AH978" t="e">
        <f>INDEX([1]!crudeBD.lkup[Number],MATCH(vp.tbl[[#This Row],[Crude_Breakdown]],[1]!crudeBD.lkup[Crude Breakdown],0))</f>
        <v>#REF!</v>
      </c>
      <c r="AI978">
        <f>MONTH(vp.tbl[[#This Row],[SDate]])</f>
        <v>3</v>
      </c>
      <c r="AJ978" s="5">
        <f>IFERROR(vp.tbl[[#This Row],[Sulf]]*vp.tbl[[#This Row],[Net Dens]],"")</f>
        <v>1812838.5278256</v>
      </c>
      <c r="AK978" s="5">
        <f>IFERROR(vp.tbl[[#This Row],[Dens]]*vp.tbl[[#This Row],[VolumeM3]],"")</f>
        <v>1194228.2792</v>
      </c>
      <c r="AL978" s="5">
        <f>IFERROR(vp.tbl[[#This Row],[VP]]*vp.tbl[[#This Row],[VolumeM3]],"")</f>
        <v>134882.18479999999</v>
      </c>
      <c r="AM978" s="4">
        <f>IFERROR((vp.tbl[[#This Row],[VP]]-INDEX(crudeBD.lkup.complete[Mean_VP],MATCH(vp.tbl[[#This Row],[Crude_Breakdown]],crudeBD.lkup.complete[Crude Breakdown],0)))^2,"")</f>
        <v>244.18453520205202</v>
      </c>
      <c r="AN978" s="4">
        <f>IFERROR((vp.tbl[[#This Row],[Dens]]-INDEX(crudeBD.lkup.complete[Mean_Dens],MATCH(vp.tbl[[#This Row],[Crude_Breakdown]],crudeBD.lkup.complete[Crude Breakdown],0)))^2,"")</f>
        <v>8.4574947149555193</v>
      </c>
      <c r="AO978" s="4">
        <f>IFERROR((vp.tbl[[#This Row],[Sulf]]-INDEX(crudeBD.lkup.complete[Mean_Sulf],MATCH(vp.tbl[[#This Row],[Crude_Breakdown]],crudeBD.lkup.complete[Crude Breakdown],0)))^2,"")</f>
        <v>3.9778424638166714E-3</v>
      </c>
      <c r="AP978">
        <f>IF(AND(vp.tbl[[#This Row],[SDate]]&gt;=DATE(YEAR(vp.tbl[[#This Row],[SDate]]),5,1),vp.tbl[[#This Row],[SDate]]&lt;=DATE(YEAR(vp.tbl[[#This Row],[SDate]]),9,15)),1,0)</f>
        <v>0</v>
      </c>
      <c r="AQ978" s="15">
        <f>IF(vp.tbl[[#This Row],[SDate]]&lt;DATE(2016,12,1),0,1)</f>
        <v>1</v>
      </c>
    </row>
    <row r="979" spans="1:43" x14ac:dyDescent="0.25">
      <c r="A979">
        <v>978</v>
      </c>
      <c r="B979" t="s">
        <v>49</v>
      </c>
      <c r="C979" t="s">
        <v>49</v>
      </c>
      <c r="D979" t="s">
        <v>50</v>
      </c>
      <c r="F979" s="1">
        <v>42806</v>
      </c>
      <c r="G979" s="2">
        <v>77.7</v>
      </c>
      <c r="H979" s="2">
        <v>2.8730000000000002</v>
      </c>
      <c r="I979" s="2">
        <v>2.8730000000000002</v>
      </c>
      <c r="J979" s="2">
        <v>12</v>
      </c>
      <c r="K979" s="2">
        <v>-14</v>
      </c>
      <c r="L979" s="2">
        <v>871.9</v>
      </c>
      <c r="M979" s="2">
        <v>871.9</v>
      </c>
      <c r="N979" s="2">
        <f ca="1">INDEX(INDIRECT(_xlfn.CONCAT("weather.tbl[",N$1,"]")),MATCH(vp.tbl[[#This Row],[SDate]],weather.tbl[Date],0))</f>
        <v>-17.216666666666669</v>
      </c>
      <c r="O979" s="2">
        <f ca="1">INDEX(INDIRECT(_xlfn.CONCAT("weather.tbl[",O$1,"]")),MATCH(vp.tbl[[#This Row],[SDate]],weather.tbl[Date],0))</f>
        <v>-15.638095238095238</v>
      </c>
      <c r="P979" s="2">
        <f ca="1">INDEX(INDIRECT(_xlfn.CONCAT("weather.tbl[",P$1,"]")),MATCH(vp.tbl[[#This Row],[SDate]],weather.tbl[Date],0))</f>
        <v>-17.3</v>
      </c>
      <c r="Q979" s="2">
        <f ca="1">INDEX(INDIRECT(_xlfn.CONCAT("weather.tbl[",Q$1,"]")),MATCH(vp.tbl[[#This Row],[SDate]],weather.tbl[Date],0))</f>
        <v>-17.3</v>
      </c>
      <c r="R979" s="2">
        <f ca="1">INDEX(INDIRECT(_xlfn.CONCAT("weather.tbl[",R$1,"]")),MATCH(vp.tbl[[#This Row],[SDate]],weather.tbl[Date],0))</f>
        <v>-17</v>
      </c>
      <c r="S979" s="2">
        <f ca="1">INDEX(INDIRECT(_xlfn.CONCAT("weather.tbl[",S$1,"]")),MATCH(vp.tbl[[#This Row],[SDate]],weather.tbl[Date],0))</f>
        <v>-16.8</v>
      </c>
      <c r="T979" s="2">
        <f ca="1">INDEX(INDIRECT(_xlfn.CONCAT("weather.tbl[",T$1,"]")),MATCH(vp.tbl[[#This Row],[SDate]],weather.tbl[Date],0))</f>
        <v>-18.899999999999999</v>
      </c>
      <c r="U979" s="2">
        <f ca="1">INDEX(INDIRECT(_xlfn.CONCAT("weather.tbl[",U$1,"]")),MATCH(vp.tbl[[#This Row],[SDate]],weather.tbl[Date],0))</f>
        <v>-16</v>
      </c>
      <c r="V979" s="2">
        <v>6292.7340000000004</v>
      </c>
      <c r="W979" t="s">
        <v>48</v>
      </c>
      <c r="X979">
        <f>IF(OR(vp.tbl[[#This Row],[Sulf]]="",vp.tbl[[#This Row],[Dens]]=""),1,0)</f>
        <v>0</v>
      </c>
      <c r="Y979">
        <f>IF(vp.tbl[[#This Row],[CrudeType]]="C5+",1,0)</f>
        <v>0</v>
      </c>
      <c r="Z979">
        <f>IF(AND(vp.tbl[[#This Row],[CrudeType]]="Crude",vp.tbl[[#This Row],[Dens]]&lt;=825,vp.tbl[[#This Row],[Sulf]]&gt;0.5,vp.tbl[[#This Row],[Unknown]]=0),1,0)</f>
        <v>0</v>
      </c>
      <c r="AA979">
        <f>IF(AND(vp.tbl[[#This Row],[CrudeType]]="Crude",vp.tbl[[#This Row],[Dens]]&lt;=825,vp.tbl[[#This Row],[Sulf]]&lt;=0.5,vp.tbl[[#This Row],[Unknown]]=0),1,0)</f>
        <v>0</v>
      </c>
      <c r="AB979">
        <f>IF(AND(vp.tbl[[#This Row],[CrudeType]]="Crude",vp.tbl[[#This Row],[Dens]]&gt;825,vp.tbl[[#This Row],[Dens]]&lt;=870,vp.tbl[[#This Row],[Sulf]]&gt;0.5,vp.tbl[[#This Row],[Unknown]]=0),1,0)</f>
        <v>0</v>
      </c>
      <c r="AC979">
        <f>IF(AND(vp.tbl[[#This Row],[CrudeType]]="Crude",vp.tbl[[#This Row],[Dens]]&gt;825,vp.tbl[[#This Row],[Dens]]&lt;=900,vp.tbl[[#This Row],[Sulf]]&lt;=0.5,vp.tbl[[#This Row],[Unknown]]=0),1,0)</f>
        <v>0</v>
      </c>
      <c r="AD979">
        <f>IF(AND(vp.tbl[[#This Row],[CrudeType]]="Crude",vp.tbl[[#This Row],[Dens]]&gt;870,vp.tbl[[#This Row],[Dens]]&lt;=900,vp.tbl[[#This Row],[Sulf]]&gt;0.5,vp.tbl[[#This Row],[Unknown]]=0),1,0)</f>
        <v>1</v>
      </c>
      <c r="AE979">
        <f>IF(AND(vp.tbl[[#This Row],[CrudeType]]="Crude",vp.tbl[[#This Row],[Dens]]&gt;900,vp.tbl[[#This Row],[Sulf]]&lt;=0.5,vp.tbl[[#This Row],[Unknown]]=0),1,0)</f>
        <v>0</v>
      </c>
      <c r="AF979">
        <f>IF(AND(vp.tbl[[#This Row],[CrudeType]]="Crude",vp.tbl[[#This Row],[Dens]]&gt;900,vp.tbl[[#This Row],[Sulf]]&lt;=0.5,vp.tbl[[#This Row],[Unknown]]=0),1,0)</f>
        <v>0</v>
      </c>
      <c r="AG979" t="str">
        <f>INDEX(vp.tbl[[#Headers],[Unknown]:[Heavy_SW]],MATCH(1,vp.tbl[[#This Row],[Unknown]:[Heavy_SW]],0))</f>
        <v>Midale</v>
      </c>
      <c r="AH979" t="e">
        <f>INDEX([1]!crudeBD.lkup[Number],MATCH(vp.tbl[[#This Row],[Crude_Breakdown]],[1]!crudeBD.lkup[Crude Breakdown],0))</f>
        <v>#REF!</v>
      </c>
      <c r="AI979">
        <f>MONTH(vp.tbl[[#This Row],[SDate]])</f>
        <v>3</v>
      </c>
      <c r="AJ979" s="5">
        <f>IFERROR(vp.tbl[[#This Row],[Sulf]]*vp.tbl[[#This Row],[Net Dens]],"")</f>
        <v>15763101.707425801</v>
      </c>
      <c r="AK979" s="5">
        <f>IFERROR(vp.tbl[[#This Row],[Dens]]*vp.tbl[[#This Row],[VolumeM3]],"")</f>
        <v>5486634.7746000001</v>
      </c>
      <c r="AL979" s="5">
        <f>IFERROR(vp.tbl[[#This Row],[VP]]*vp.tbl[[#This Row],[VolumeM3]],"")</f>
        <v>488945.43180000002</v>
      </c>
      <c r="AM979" s="4">
        <f>IFERROR((vp.tbl[[#This Row],[VP]]-INDEX(crudeBD.lkup.complete[Mean_VP],MATCH(vp.tbl[[#This Row],[Crude_Breakdown]],crudeBD.lkup.complete[Crude Breakdown],0)))^2,"")</f>
        <v>89.522704072058346</v>
      </c>
      <c r="AN979" s="4">
        <f>IFERROR((vp.tbl[[#This Row],[Dens]]-INDEX(crudeBD.lkup.complete[Mean_Dens],MATCH(vp.tbl[[#This Row],[Crude_Breakdown]],crudeBD.lkup.complete[Crude Breakdown],0)))^2,"")</f>
        <v>31.945723400259549</v>
      </c>
      <c r="AO979" s="4">
        <f>IFERROR((vp.tbl[[#This Row],[Sulf]]-INDEX(crudeBD.lkup.complete[Mean_Sulf],MATCH(vp.tbl[[#This Row],[Crude_Breakdown]],crudeBD.lkup.complete[Crude Breakdown],0)))^2,"")</f>
        <v>0.20945255021371872</v>
      </c>
      <c r="AP979">
        <f>IF(AND(vp.tbl[[#This Row],[SDate]]&gt;=DATE(YEAR(vp.tbl[[#This Row],[SDate]]),5,1),vp.tbl[[#This Row],[SDate]]&lt;=DATE(YEAR(vp.tbl[[#This Row],[SDate]]),9,15)),1,0)</f>
        <v>0</v>
      </c>
      <c r="AQ979" s="15">
        <f>IF(vp.tbl[[#This Row],[SDate]]&lt;DATE(2016,12,1),0,1)</f>
        <v>1</v>
      </c>
    </row>
    <row r="980" spans="1:43" x14ac:dyDescent="0.25">
      <c r="A980">
        <v>979</v>
      </c>
      <c r="B980" t="s">
        <v>62</v>
      </c>
      <c r="C980" t="s">
        <v>62</v>
      </c>
      <c r="D980" t="s">
        <v>79</v>
      </c>
      <c r="F980" s="1">
        <v>42806</v>
      </c>
      <c r="G980" s="2">
        <v>107.5</v>
      </c>
      <c r="H980" s="2"/>
      <c r="I980" s="2">
        <v>0.3</v>
      </c>
      <c r="J980" s="2">
        <v>11</v>
      </c>
      <c r="K980" s="2">
        <v>-14</v>
      </c>
      <c r="L980" s="2">
        <v>805.7</v>
      </c>
      <c r="M980" s="2">
        <v>805.7</v>
      </c>
      <c r="N980" s="2">
        <f ca="1">INDEX(INDIRECT(_xlfn.CONCAT("weather.tbl[",N$1,"]")),MATCH(vp.tbl[[#This Row],[SDate]],weather.tbl[Date],0))</f>
        <v>-17.216666666666669</v>
      </c>
      <c r="O980" s="2">
        <f ca="1">INDEX(INDIRECT(_xlfn.CONCAT("weather.tbl[",O$1,"]")),MATCH(vp.tbl[[#This Row],[SDate]],weather.tbl[Date],0))</f>
        <v>-15.638095238095238</v>
      </c>
      <c r="P980" s="2">
        <f ca="1">INDEX(INDIRECT(_xlfn.CONCAT("weather.tbl[",P$1,"]")),MATCH(vp.tbl[[#This Row],[SDate]],weather.tbl[Date],0))</f>
        <v>-17.3</v>
      </c>
      <c r="Q980" s="2">
        <f ca="1">INDEX(INDIRECT(_xlfn.CONCAT("weather.tbl[",Q$1,"]")),MATCH(vp.tbl[[#This Row],[SDate]],weather.tbl[Date],0))</f>
        <v>-17.3</v>
      </c>
      <c r="R980" s="2">
        <f ca="1">INDEX(INDIRECT(_xlfn.CONCAT("weather.tbl[",R$1,"]")),MATCH(vp.tbl[[#This Row],[SDate]],weather.tbl[Date],0))</f>
        <v>-17</v>
      </c>
      <c r="S980" s="2">
        <f ca="1">INDEX(INDIRECT(_xlfn.CONCAT("weather.tbl[",S$1,"]")),MATCH(vp.tbl[[#This Row],[SDate]],weather.tbl[Date],0))</f>
        <v>-16.8</v>
      </c>
      <c r="T980" s="2">
        <f ca="1">INDEX(INDIRECT(_xlfn.CONCAT("weather.tbl[",T$1,"]")),MATCH(vp.tbl[[#This Row],[SDate]],weather.tbl[Date],0))</f>
        <v>-18.899999999999999</v>
      </c>
      <c r="U980" s="2">
        <f ca="1">INDEX(INDIRECT(_xlfn.CONCAT("weather.tbl[",U$1,"]")),MATCH(vp.tbl[[#This Row],[SDate]],weather.tbl[Date],0))</f>
        <v>-16</v>
      </c>
      <c r="V980" s="2">
        <v>15962.98</v>
      </c>
      <c r="W980" t="s">
        <v>48</v>
      </c>
      <c r="X980">
        <f>IF(OR(vp.tbl[[#This Row],[Sulf]]="",vp.tbl[[#This Row],[Dens]]=""),1,0)</f>
        <v>0</v>
      </c>
      <c r="Y980">
        <f>IF(vp.tbl[[#This Row],[CrudeType]]="C5+",1,0)</f>
        <v>0</v>
      </c>
      <c r="Z980">
        <f>IF(AND(vp.tbl[[#This Row],[CrudeType]]="Crude",vp.tbl[[#This Row],[Dens]]&lt;=825,vp.tbl[[#This Row],[Sulf]]&gt;0.5,vp.tbl[[#This Row],[Unknown]]=0),1,0)</f>
        <v>0</v>
      </c>
      <c r="AA980">
        <f>IF(AND(vp.tbl[[#This Row],[CrudeType]]="Crude",vp.tbl[[#This Row],[Dens]]&lt;=825,vp.tbl[[#This Row],[Sulf]]&lt;=0.5,vp.tbl[[#This Row],[Unknown]]=0),1,0)</f>
        <v>1</v>
      </c>
      <c r="AB980">
        <f>IF(AND(vp.tbl[[#This Row],[CrudeType]]="Crude",vp.tbl[[#This Row],[Dens]]&gt;825,vp.tbl[[#This Row],[Dens]]&lt;=870,vp.tbl[[#This Row],[Sulf]]&gt;0.5,vp.tbl[[#This Row],[Unknown]]=0),1,0)</f>
        <v>0</v>
      </c>
      <c r="AC980">
        <f>IF(AND(vp.tbl[[#This Row],[CrudeType]]="Crude",vp.tbl[[#This Row],[Dens]]&gt;825,vp.tbl[[#This Row],[Dens]]&lt;=900,vp.tbl[[#This Row],[Sulf]]&lt;=0.5,vp.tbl[[#This Row],[Unknown]]=0),1,0)</f>
        <v>0</v>
      </c>
      <c r="AD980">
        <f>IF(AND(vp.tbl[[#This Row],[CrudeType]]="Crude",vp.tbl[[#This Row],[Dens]]&gt;870,vp.tbl[[#This Row],[Dens]]&lt;=900,vp.tbl[[#This Row],[Sulf]]&gt;0.5,vp.tbl[[#This Row],[Unknown]]=0),1,0)</f>
        <v>0</v>
      </c>
      <c r="AE980">
        <f>IF(AND(vp.tbl[[#This Row],[CrudeType]]="Crude",vp.tbl[[#This Row],[Dens]]&gt;900,vp.tbl[[#This Row],[Sulf]]&lt;=0.5,vp.tbl[[#This Row],[Unknown]]=0),1,0)</f>
        <v>0</v>
      </c>
      <c r="AF980">
        <f>IF(AND(vp.tbl[[#This Row],[CrudeType]]="Crude",vp.tbl[[#This Row],[Dens]]&gt;900,vp.tbl[[#This Row],[Sulf]]&lt;=0.5,vp.tbl[[#This Row],[Unknown]]=0),1,0)</f>
        <v>0</v>
      </c>
      <c r="AG980" t="str">
        <f>INDEX(vp.tbl[[#Headers],[Unknown]:[Heavy_SW]],MATCH(1,vp.tbl[[#This Row],[Unknown]:[Heavy_SW]],0))</f>
        <v>Light_SW</v>
      </c>
      <c r="AH980" t="e">
        <f>INDEX([1]!crudeBD.lkup[Number],MATCH(vp.tbl[[#This Row],[Crude_Breakdown]],[1]!crudeBD.lkup[Crude Breakdown],0))</f>
        <v>#REF!</v>
      </c>
      <c r="AI980">
        <f>MONTH(vp.tbl[[#This Row],[SDate]])</f>
        <v>3</v>
      </c>
      <c r="AJ980" s="5">
        <f>IFERROR(vp.tbl[[#This Row],[Sulf]]*vp.tbl[[#This Row],[Net Dens]],"")</f>
        <v>3858411.8957999996</v>
      </c>
      <c r="AK980" s="5">
        <f>IFERROR(vp.tbl[[#This Row],[Dens]]*vp.tbl[[#This Row],[VolumeM3]],"")</f>
        <v>12861372.986</v>
      </c>
      <c r="AL980" s="5">
        <f>IFERROR(vp.tbl[[#This Row],[VP]]*vp.tbl[[#This Row],[VolumeM3]],"")</f>
        <v>1716020.3499999999</v>
      </c>
      <c r="AM980" s="4">
        <f>IFERROR((vp.tbl[[#This Row],[VP]]-INDEX(crudeBD.lkup.complete[Mean_VP],MATCH(vp.tbl[[#This Row],[Crude_Breakdown]],crudeBD.lkup.complete[Crude Breakdown],0)))^2,"")</f>
        <v>223.49312379171863</v>
      </c>
      <c r="AN980" s="4">
        <f>IFERROR((vp.tbl[[#This Row],[Dens]]-INDEX(crudeBD.lkup.complete[Mean_Dens],MATCH(vp.tbl[[#This Row],[Crude_Breakdown]],crudeBD.lkup.complete[Crude Breakdown],0)))^2,"")</f>
        <v>6.8199231506985214</v>
      </c>
      <c r="AO980" s="4">
        <f>IFERROR((vp.tbl[[#This Row],[Sulf]]-INDEX(crudeBD.lkup.complete[Mean_Sulf],MATCH(vp.tbl[[#This Row],[Crude_Breakdown]],crudeBD.lkup.complete[Crude Breakdown],0)))^2,"")</f>
        <v>4.0651065565929113E-3</v>
      </c>
      <c r="AP980">
        <f>IF(AND(vp.tbl[[#This Row],[SDate]]&gt;=DATE(YEAR(vp.tbl[[#This Row],[SDate]]),5,1),vp.tbl[[#This Row],[SDate]]&lt;=DATE(YEAR(vp.tbl[[#This Row],[SDate]]),9,15)),1,0)</f>
        <v>0</v>
      </c>
      <c r="AQ980" s="15">
        <f>IF(vp.tbl[[#This Row],[SDate]]&lt;DATE(2016,12,1),0,1)</f>
        <v>1</v>
      </c>
    </row>
    <row r="981" spans="1:43" x14ac:dyDescent="0.25">
      <c r="A981">
        <v>980</v>
      </c>
      <c r="B981" t="s">
        <v>62</v>
      </c>
      <c r="C981" t="s">
        <v>62</v>
      </c>
      <c r="D981" t="s">
        <v>83</v>
      </c>
      <c r="F981" s="1">
        <v>42806</v>
      </c>
      <c r="G981" s="2">
        <v>93.2</v>
      </c>
      <c r="H981" s="2"/>
      <c r="I981" s="2">
        <v>0.19</v>
      </c>
      <c r="J981" s="2">
        <v>-3</v>
      </c>
      <c r="K981" s="2">
        <v>-14</v>
      </c>
      <c r="L981" s="2">
        <v>807.8</v>
      </c>
      <c r="M981" s="2">
        <v>807.8</v>
      </c>
      <c r="N981" s="2">
        <f ca="1">INDEX(INDIRECT(_xlfn.CONCAT("weather.tbl[",N$1,"]")),MATCH(vp.tbl[[#This Row],[SDate]],weather.tbl[Date],0))</f>
        <v>-17.216666666666669</v>
      </c>
      <c r="O981" s="2">
        <f ca="1">INDEX(INDIRECT(_xlfn.CONCAT("weather.tbl[",O$1,"]")),MATCH(vp.tbl[[#This Row],[SDate]],weather.tbl[Date],0))</f>
        <v>-15.638095238095238</v>
      </c>
      <c r="P981" s="2">
        <f ca="1">INDEX(INDIRECT(_xlfn.CONCAT("weather.tbl[",P$1,"]")),MATCH(vp.tbl[[#This Row],[SDate]],weather.tbl[Date],0))</f>
        <v>-17.3</v>
      </c>
      <c r="Q981" s="2">
        <f ca="1">INDEX(INDIRECT(_xlfn.CONCAT("weather.tbl[",Q$1,"]")),MATCH(vp.tbl[[#This Row],[SDate]],weather.tbl[Date],0))</f>
        <v>-17.3</v>
      </c>
      <c r="R981" s="2">
        <f ca="1">INDEX(INDIRECT(_xlfn.CONCAT("weather.tbl[",R$1,"]")),MATCH(vp.tbl[[#This Row],[SDate]],weather.tbl[Date],0))</f>
        <v>-17</v>
      </c>
      <c r="S981" s="2">
        <f ca="1">INDEX(INDIRECT(_xlfn.CONCAT("weather.tbl[",S$1,"]")),MATCH(vp.tbl[[#This Row],[SDate]],weather.tbl[Date],0))</f>
        <v>-16.8</v>
      </c>
      <c r="T981" s="2">
        <f ca="1">INDEX(INDIRECT(_xlfn.CONCAT("weather.tbl[",T$1,"]")),MATCH(vp.tbl[[#This Row],[SDate]],weather.tbl[Date],0))</f>
        <v>-18.899999999999999</v>
      </c>
      <c r="U981" s="2">
        <f ca="1">INDEX(INDIRECT(_xlfn.CONCAT("weather.tbl[",U$1,"]")),MATCH(vp.tbl[[#This Row],[SDate]],weather.tbl[Date],0))</f>
        <v>-16</v>
      </c>
      <c r="V981" s="2">
        <v>6312.9459999999999</v>
      </c>
      <c r="W981" t="s">
        <v>48</v>
      </c>
      <c r="X981">
        <f>IF(OR(vp.tbl[[#This Row],[Sulf]]="",vp.tbl[[#This Row],[Dens]]=""),1,0)</f>
        <v>0</v>
      </c>
      <c r="Y981">
        <f>IF(vp.tbl[[#This Row],[CrudeType]]="C5+",1,0)</f>
        <v>0</v>
      </c>
      <c r="Z981">
        <f>IF(AND(vp.tbl[[#This Row],[CrudeType]]="Crude",vp.tbl[[#This Row],[Dens]]&lt;=825,vp.tbl[[#This Row],[Sulf]]&gt;0.5,vp.tbl[[#This Row],[Unknown]]=0),1,0)</f>
        <v>0</v>
      </c>
      <c r="AA981">
        <f>IF(AND(vp.tbl[[#This Row],[CrudeType]]="Crude",vp.tbl[[#This Row],[Dens]]&lt;=825,vp.tbl[[#This Row],[Sulf]]&lt;=0.5,vp.tbl[[#This Row],[Unknown]]=0),1,0)</f>
        <v>1</v>
      </c>
      <c r="AB981">
        <f>IF(AND(vp.tbl[[#This Row],[CrudeType]]="Crude",vp.tbl[[#This Row],[Dens]]&gt;825,vp.tbl[[#This Row],[Dens]]&lt;=870,vp.tbl[[#This Row],[Sulf]]&gt;0.5,vp.tbl[[#This Row],[Unknown]]=0),1,0)</f>
        <v>0</v>
      </c>
      <c r="AC981">
        <f>IF(AND(vp.tbl[[#This Row],[CrudeType]]="Crude",vp.tbl[[#This Row],[Dens]]&gt;825,vp.tbl[[#This Row],[Dens]]&lt;=900,vp.tbl[[#This Row],[Sulf]]&lt;=0.5,vp.tbl[[#This Row],[Unknown]]=0),1,0)</f>
        <v>0</v>
      </c>
      <c r="AD981">
        <f>IF(AND(vp.tbl[[#This Row],[CrudeType]]="Crude",vp.tbl[[#This Row],[Dens]]&gt;870,vp.tbl[[#This Row],[Dens]]&lt;=900,vp.tbl[[#This Row],[Sulf]]&gt;0.5,vp.tbl[[#This Row],[Unknown]]=0),1,0)</f>
        <v>0</v>
      </c>
      <c r="AE981">
        <f>IF(AND(vp.tbl[[#This Row],[CrudeType]]="Crude",vp.tbl[[#This Row],[Dens]]&gt;900,vp.tbl[[#This Row],[Sulf]]&lt;=0.5,vp.tbl[[#This Row],[Unknown]]=0),1,0)</f>
        <v>0</v>
      </c>
      <c r="AF981">
        <f>IF(AND(vp.tbl[[#This Row],[CrudeType]]="Crude",vp.tbl[[#This Row],[Dens]]&gt;900,vp.tbl[[#This Row],[Sulf]]&lt;=0.5,vp.tbl[[#This Row],[Unknown]]=0),1,0)</f>
        <v>0</v>
      </c>
      <c r="AG981" t="str">
        <f>INDEX(vp.tbl[[#Headers],[Unknown]:[Heavy_SW]],MATCH(1,vp.tbl[[#This Row],[Unknown]:[Heavy_SW]],0))</f>
        <v>Light_SW</v>
      </c>
      <c r="AH981" t="e">
        <f>INDEX([1]!crudeBD.lkup[Number],MATCH(vp.tbl[[#This Row],[Crude_Breakdown]],[1]!crudeBD.lkup[Crude Breakdown],0))</f>
        <v>#REF!</v>
      </c>
      <c r="AI981">
        <f>MONTH(vp.tbl[[#This Row],[SDate]])</f>
        <v>3</v>
      </c>
      <c r="AJ981" s="5">
        <f>IFERROR(vp.tbl[[#This Row],[Sulf]]*vp.tbl[[#This Row],[Net Dens]],"")</f>
        <v>968923.57797199988</v>
      </c>
      <c r="AK981" s="5">
        <f>IFERROR(vp.tbl[[#This Row],[Dens]]*vp.tbl[[#This Row],[VolumeM3]],"")</f>
        <v>5099597.7787999995</v>
      </c>
      <c r="AL981" s="5">
        <f>IFERROR(vp.tbl[[#This Row],[VP]]*vp.tbl[[#This Row],[VolumeM3]],"")</f>
        <v>588366.56720000005</v>
      </c>
      <c r="AM981" s="4">
        <f>IFERROR((vp.tbl[[#This Row],[VP]]-INDEX(crudeBD.lkup.complete[Mean_VP],MATCH(vp.tbl[[#This Row],[Crude_Breakdown]],crudeBD.lkup.complete[Crude Breakdown],0)))^2,"")</f>
        <v>0.42209243283278253</v>
      </c>
      <c r="AN981" s="4">
        <f>IFERROR((vp.tbl[[#This Row],[Dens]]-INDEX(crudeBD.lkup.complete[Mean_Dens],MATCH(vp.tbl[[#This Row],[Crude_Breakdown]],crudeBD.lkup.complete[Crude Breakdown],0)))^2,"")</f>
        <v>0.26163046777289312</v>
      </c>
      <c r="AO981" s="4">
        <f>IFERROR((vp.tbl[[#This Row],[Sulf]]-INDEX(crudeBD.lkup.complete[Mean_Sulf],MATCH(vp.tbl[[#This Row],[Crude_Breakdown]],crudeBD.lkup.complete[Crude Breakdown],0)))^2,"")</f>
        <v>2.1383051628646554E-3</v>
      </c>
      <c r="AP981">
        <f>IF(AND(vp.tbl[[#This Row],[SDate]]&gt;=DATE(YEAR(vp.tbl[[#This Row],[SDate]]),5,1),vp.tbl[[#This Row],[SDate]]&lt;=DATE(YEAR(vp.tbl[[#This Row],[SDate]]),9,15)),1,0)</f>
        <v>0</v>
      </c>
      <c r="AQ981" s="15">
        <f>IF(vp.tbl[[#This Row],[SDate]]&lt;DATE(2016,12,1),0,1)</f>
        <v>1</v>
      </c>
    </row>
    <row r="982" spans="1:43" x14ac:dyDescent="0.25">
      <c r="A982">
        <v>981</v>
      </c>
      <c r="B982" t="s">
        <v>96</v>
      </c>
      <c r="C982" t="s">
        <v>96</v>
      </c>
      <c r="D982" t="s">
        <v>97</v>
      </c>
      <c r="F982" s="1">
        <v>42806</v>
      </c>
      <c r="G982" s="2">
        <v>90.9</v>
      </c>
      <c r="H982" s="2"/>
      <c r="I982" s="2">
        <v>0.53</v>
      </c>
      <c r="J982" s="2">
        <v>21</v>
      </c>
      <c r="K982" s="2">
        <v>-14</v>
      </c>
      <c r="L982" s="2">
        <v>817.5</v>
      </c>
      <c r="M982" s="2">
        <v>817.5</v>
      </c>
      <c r="N982" s="2">
        <f ca="1">INDEX(INDIRECT(_xlfn.CONCAT("weather.tbl[",N$1,"]")),MATCH(vp.tbl[[#This Row],[SDate]],weather.tbl[Date],0))</f>
        <v>-17.216666666666669</v>
      </c>
      <c r="O982" s="2">
        <f ca="1">INDEX(INDIRECT(_xlfn.CONCAT("weather.tbl[",O$1,"]")),MATCH(vp.tbl[[#This Row],[SDate]],weather.tbl[Date],0))</f>
        <v>-15.638095238095238</v>
      </c>
      <c r="P982" s="2">
        <f ca="1">INDEX(INDIRECT(_xlfn.CONCAT("weather.tbl[",P$1,"]")),MATCH(vp.tbl[[#This Row],[SDate]],weather.tbl[Date],0))</f>
        <v>-17.3</v>
      </c>
      <c r="Q982" s="2">
        <f ca="1">INDEX(INDIRECT(_xlfn.CONCAT("weather.tbl[",Q$1,"]")),MATCH(vp.tbl[[#This Row],[SDate]],weather.tbl[Date],0))</f>
        <v>-17.3</v>
      </c>
      <c r="R982" s="2">
        <f ca="1">INDEX(INDIRECT(_xlfn.CONCAT("weather.tbl[",R$1,"]")),MATCH(vp.tbl[[#This Row],[SDate]],weather.tbl[Date],0))</f>
        <v>-17</v>
      </c>
      <c r="S982" s="2">
        <f ca="1">INDEX(INDIRECT(_xlfn.CONCAT("weather.tbl[",S$1,"]")),MATCH(vp.tbl[[#This Row],[SDate]],weather.tbl[Date],0))</f>
        <v>-16.8</v>
      </c>
      <c r="T982" s="2">
        <f ca="1">INDEX(INDIRECT(_xlfn.CONCAT("weather.tbl[",T$1,"]")),MATCH(vp.tbl[[#This Row],[SDate]],weather.tbl[Date],0))</f>
        <v>-18.899999999999999</v>
      </c>
      <c r="U982" s="2">
        <f ca="1">INDEX(INDIRECT(_xlfn.CONCAT("weather.tbl[",U$1,"]")),MATCH(vp.tbl[[#This Row],[SDate]],weather.tbl[Date],0))</f>
        <v>-16</v>
      </c>
      <c r="V982" s="2">
        <v>6750.8019999999997</v>
      </c>
      <c r="W982" t="s">
        <v>48</v>
      </c>
      <c r="X982">
        <f>IF(OR(vp.tbl[[#This Row],[Sulf]]="",vp.tbl[[#This Row],[Dens]]=""),1,0)</f>
        <v>0</v>
      </c>
      <c r="Y982">
        <f>IF(vp.tbl[[#This Row],[CrudeType]]="C5+",1,0)</f>
        <v>0</v>
      </c>
      <c r="Z982">
        <f>IF(AND(vp.tbl[[#This Row],[CrudeType]]="Crude",vp.tbl[[#This Row],[Dens]]&lt;=825,vp.tbl[[#This Row],[Sulf]]&gt;0.5,vp.tbl[[#This Row],[Unknown]]=0),1,0)</f>
        <v>1</v>
      </c>
      <c r="AA982">
        <f>IF(AND(vp.tbl[[#This Row],[CrudeType]]="Crude",vp.tbl[[#This Row],[Dens]]&lt;=825,vp.tbl[[#This Row],[Sulf]]&lt;=0.5,vp.tbl[[#This Row],[Unknown]]=0),1,0)</f>
        <v>0</v>
      </c>
      <c r="AB982">
        <f>IF(AND(vp.tbl[[#This Row],[CrudeType]]="Crude",vp.tbl[[#This Row],[Dens]]&gt;825,vp.tbl[[#This Row],[Dens]]&lt;=870,vp.tbl[[#This Row],[Sulf]]&gt;0.5,vp.tbl[[#This Row],[Unknown]]=0),1,0)</f>
        <v>0</v>
      </c>
      <c r="AC982">
        <f>IF(AND(vp.tbl[[#This Row],[CrudeType]]="Crude",vp.tbl[[#This Row],[Dens]]&gt;825,vp.tbl[[#This Row],[Dens]]&lt;=900,vp.tbl[[#This Row],[Sulf]]&lt;=0.5,vp.tbl[[#This Row],[Unknown]]=0),1,0)</f>
        <v>0</v>
      </c>
      <c r="AD982">
        <f>IF(AND(vp.tbl[[#This Row],[CrudeType]]="Crude",vp.tbl[[#This Row],[Dens]]&gt;870,vp.tbl[[#This Row],[Dens]]&lt;=900,vp.tbl[[#This Row],[Sulf]]&gt;0.5,vp.tbl[[#This Row],[Unknown]]=0),1,0)</f>
        <v>0</v>
      </c>
      <c r="AE982">
        <f>IF(AND(vp.tbl[[#This Row],[CrudeType]]="Crude",vp.tbl[[#This Row],[Dens]]&gt;900,vp.tbl[[#This Row],[Sulf]]&lt;=0.5,vp.tbl[[#This Row],[Unknown]]=0),1,0)</f>
        <v>0</v>
      </c>
      <c r="AF982">
        <f>IF(AND(vp.tbl[[#This Row],[CrudeType]]="Crude",vp.tbl[[#This Row],[Dens]]&gt;900,vp.tbl[[#This Row],[Sulf]]&lt;=0.5,vp.tbl[[#This Row],[Unknown]]=0),1,0)</f>
        <v>0</v>
      </c>
      <c r="AG982" t="str">
        <f>INDEX(vp.tbl[[#Headers],[Unknown]:[Heavy_SW]],MATCH(1,vp.tbl[[#This Row],[Unknown]:[Heavy_SW]],0))</f>
        <v>Light_LSB</v>
      </c>
      <c r="AH982" t="e">
        <f>INDEX([1]!crudeBD.lkup[Number],MATCH(vp.tbl[[#This Row],[Crude_Breakdown]],[1]!crudeBD.lkup[Crude Breakdown],0))</f>
        <v>#REF!</v>
      </c>
      <c r="AI982">
        <f>MONTH(vp.tbl[[#This Row],[SDate]])</f>
        <v>3</v>
      </c>
      <c r="AJ982" s="5">
        <f>IFERROR(vp.tbl[[#This Row],[Sulf]]*vp.tbl[[#This Row],[Net Dens]],"")</f>
        <v>2924953.73655</v>
      </c>
      <c r="AK982" s="5">
        <f>IFERROR(vp.tbl[[#This Row],[Dens]]*vp.tbl[[#This Row],[VolumeM3]],"")</f>
        <v>5518780.6349999998</v>
      </c>
      <c r="AL982" s="5">
        <f>IFERROR(vp.tbl[[#This Row],[VP]]*vp.tbl[[#This Row],[VolumeM3]],"")</f>
        <v>613647.90179999999</v>
      </c>
      <c r="AM982" s="4">
        <f>IFERROR((vp.tbl[[#This Row],[VP]]-INDEX(crudeBD.lkup.complete[Mean_VP],MATCH(vp.tbl[[#This Row],[Crude_Breakdown]],crudeBD.lkup.complete[Crude Breakdown],0)))^2,"")</f>
        <v>0.41755578701246776</v>
      </c>
      <c r="AN982" s="4">
        <f>IFERROR((vp.tbl[[#This Row],[Dens]]-INDEX(crudeBD.lkup.complete[Mean_Dens],MATCH(vp.tbl[[#This Row],[Crude_Breakdown]],crudeBD.lkup.complete[Crude Breakdown],0)))^2,"")</f>
        <v>1.0338207437317215</v>
      </c>
      <c r="AO982" s="4">
        <f>IFERROR((vp.tbl[[#This Row],[Sulf]]-INDEX(crudeBD.lkup.complete[Mean_Sulf],MATCH(vp.tbl[[#This Row],[Crude_Breakdown]],crudeBD.lkup.complete[Crude Breakdown],0)))^2,"")</f>
        <v>0.15442633918177728</v>
      </c>
      <c r="AP982">
        <f>IF(AND(vp.tbl[[#This Row],[SDate]]&gt;=DATE(YEAR(vp.tbl[[#This Row],[SDate]]),5,1),vp.tbl[[#This Row],[SDate]]&lt;=DATE(YEAR(vp.tbl[[#This Row],[SDate]]),9,15)),1,0)</f>
        <v>0</v>
      </c>
      <c r="AQ982" s="15">
        <f>IF(vp.tbl[[#This Row],[SDate]]&lt;DATE(2016,12,1),0,1)</f>
        <v>1</v>
      </c>
    </row>
    <row r="983" spans="1:43" x14ac:dyDescent="0.25">
      <c r="A983">
        <v>982</v>
      </c>
      <c r="B983" t="s">
        <v>51</v>
      </c>
      <c r="C983" t="s">
        <v>51</v>
      </c>
      <c r="D983" t="s">
        <v>66</v>
      </c>
      <c r="F983" s="1">
        <v>42806</v>
      </c>
      <c r="G983" s="2">
        <v>81.099999999999994</v>
      </c>
      <c r="H983" s="2"/>
      <c r="I983" s="2">
        <v>1.36</v>
      </c>
      <c r="J983" s="2">
        <v>-5.0999999999999996</v>
      </c>
      <c r="K983" s="2">
        <v>-14</v>
      </c>
      <c r="L983" s="2">
        <v>825.3</v>
      </c>
      <c r="M983" s="2">
        <v>825.3</v>
      </c>
      <c r="N983" s="2">
        <f ca="1">INDEX(INDIRECT(_xlfn.CONCAT("weather.tbl[",N$1,"]")),MATCH(vp.tbl[[#This Row],[SDate]],weather.tbl[Date],0))</f>
        <v>-17.216666666666669</v>
      </c>
      <c r="O983" s="2">
        <f ca="1">INDEX(INDIRECT(_xlfn.CONCAT("weather.tbl[",O$1,"]")),MATCH(vp.tbl[[#This Row],[SDate]],weather.tbl[Date],0))</f>
        <v>-15.638095238095238</v>
      </c>
      <c r="P983" s="2">
        <f ca="1">INDEX(INDIRECT(_xlfn.CONCAT("weather.tbl[",P$1,"]")),MATCH(vp.tbl[[#This Row],[SDate]],weather.tbl[Date],0))</f>
        <v>-17.3</v>
      </c>
      <c r="Q983" s="2">
        <f ca="1">INDEX(INDIRECT(_xlfn.CONCAT("weather.tbl[",Q$1,"]")),MATCH(vp.tbl[[#This Row],[SDate]],weather.tbl[Date],0))</f>
        <v>-17.3</v>
      </c>
      <c r="R983" s="2">
        <f ca="1">INDEX(INDIRECT(_xlfn.CONCAT("weather.tbl[",R$1,"]")),MATCH(vp.tbl[[#This Row],[SDate]],weather.tbl[Date],0))</f>
        <v>-17</v>
      </c>
      <c r="S983" s="2">
        <f ca="1">INDEX(INDIRECT(_xlfn.CONCAT("weather.tbl[",S$1,"]")),MATCH(vp.tbl[[#This Row],[SDate]],weather.tbl[Date],0))</f>
        <v>-16.8</v>
      </c>
      <c r="T983" s="2">
        <f ca="1">INDEX(INDIRECT(_xlfn.CONCAT("weather.tbl[",T$1,"]")),MATCH(vp.tbl[[#This Row],[SDate]],weather.tbl[Date],0))</f>
        <v>-18.899999999999999</v>
      </c>
      <c r="U983" s="2">
        <f ca="1">INDEX(INDIRECT(_xlfn.CONCAT("weather.tbl[",U$1,"]")),MATCH(vp.tbl[[#This Row],[SDate]],weather.tbl[Date],0))</f>
        <v>-16</v>
      </c>
      <c r="V983" s="2">
        <v>3482.7910000000002</v>
      </c>
      <c r="W983" t="s">
        <v>48</v>
      </c>
      <c r="X983">
        <f>IF(OR(vp.tbl[[#This Row],[Sulf]]="",vp.tbl[[#This Row],[Dens]]=""),1,0)</f>
        <v>0</v>
      </c>
      <c r="Y983">
        <f>IF(vp.tbl[[#This Row],[CrudeType]]="C5+",1,0)</f>
        <v>0</v>
      </c>
      <c r="Z983">
        <f>IF(AND(vp.tbl[[#This Row],[CrudeType]]="Crude",vp.tbl[[#This Row],[Dens]]&lt;=825,vp.tbl[[#This Row],[Sulf]]&gt;0.5,vp.tbl[[#This Row],[Unknown]]=0),1,0)</f>
        <v>0</v>
      </c>
      <c r="AA983">
        <f>IF(AND(vp.tbl[[#This Row],[CrudeType]]="Crude",vp.tbl[[#This Row],[Dens]]&lt;=825,vp.tbl[[#This Row],[Sulf]]&lt;=0.5,vp.tbl[[#This Row],[Unknown]]=0),1,0)</f>
        <v>0</v>
      </c>
      <c r="AB983">
        <f>IF(AND(vp.tbl[[#This Row],[CrudeType]]="Crude",vp.tbl[[#This Row],[Dens]]&gt;825,vp.tbl[[#This Row],[Dens]]&lt;=870,vp.tbl[[#This Row],[Sulf]]&gt;0.5,vp.tbl[[#This Row],[Unknown]]=0),1,0)</f>
        <v>1</v>
      </c>
      <c r="AC983">
        <f>IF(AND(vp.tbl[[#This Row],[CrudeType]]="Crude",vp.tbl[[#This Row],[Dens]]&gt;825,vp.tbl[[#This Row],[Dens]]&lt;=900,vp.tbl[[#This Row],[Sulf]]&lt;=0.5,vp.tbl[[#This Row],[Unknown]]=0),1,0)</f>
        <v>0</v>
      </c>
      <c r="AD983">
        <f>IF(AND(vp.tbl[[#This Row],[CrudeType]]="Crude",vp.tbl[[#This Row],[Dens]]&gt;870,vp.tbl[[#This Row],[Dens]]&lt;=900,vp.tbl[[#This Row],[Sulf]]&gt;0.5,vp.tbl[[#This Row],[Unknown]]=0),1,0)</f>
        <v>0</v>
      </c>
      <c r="AE983">
        <f>IF(AND(vp.tbl[[#This Row],[CrudeType]]="Crude",vp.tbl[[#This Row],[Dens]]&gt;900,vp.tbl[[#This Row],[Sulf]]&lt;=0.5,vp.tbl[[#This Row],[Unknown]]=0),1,0)</f>
        <v>0</v>
      </c>
      <c r="AF983">
        <f>IF(AND(vp.tbl[[#This Row],[CrudeType]]="Crude",vp.tbl[[#This Row],[Dens]]&gt;900,vp.tbl[[#This Row],[Sulf]]&lt;=0.5,vp.tbl[[#This Row],[Unknown]]=0),1,0)</f>
        <v>0</v>
      </c>
      <c r="AG983" t="str">
        <f>INDEX(vp.tbl[[#Headers],[Unknown]:[Heavy_SW]],MATCH(1,vp.tbl[[#This Row],[Unknown]:[Heavy_SW]],0))</f>
        <v>Medium_LSB</v>
      </c>
      <c r="AH983" t="e">
        <f>INDEX([1]!crudeBD.lkup[Number],MATCH(vp.tbl[[#This Row],[Crude_Breakdown]],[1]!crudeBD.lkup[Crude Breakdown],0))</f>
        <v>#REF!</v>
      </c>
      <c r="AI983">
        <f>MONTH(vp.tbl[[#This Row],[SDate]])</f>
        <v>3</v>
      </c>
      <c r="AJ983" s="5">
        <f>IFERROR(vp.tbl[[#This Row],[Sulf]]*vp.tbl[[#This Row],[Net Dens]],"")</f>
        <v>3909112.4807280004</v>
      </c>
      <c r="AK983" s="5">
        <f>IFERROR(vp.tbl[[#This Row],[Dens]]*vp.tbl[[#This Row],[VolumeM3]],"")</f>
        <v>2874347.4123</v>
      </c>
      <c r="AL983" s="5">
        <f>IFERROR(vp.tbl[[#This Row],[VP]]*vp.tbl[[#This Row],[VolumeM3]],"")</f>
        <v>282454.35009999998</v>
      </c>
      <c r="AM983" s="4">
        <f>IFERROR((vp.tbl[[#This Row],[VP]]-INDEX(crudeBD.lkup.complete[Mean_VP],MATCH(vp.tbl[[#This Row],[Crude_Breakdown]],crudeBD.lkup.complete[Crude Breakdown],0)))^2,"")</f>
        <v>0.85822634129151754</v>
      </c>
      <c r="AN983" s="4">
        <f>IFERROR((vp.tbl[[#This Row],[Dens]]-INDEX(crudeBD.lkup.complete[Mean_Dens],MATCH(vp.tbl[[#This Row],[Crude_Breakdown]],crudeBD.lkup.complete[Crude Breakdown],0)))^2,"")</f>
        <v>399.67297825921577</v>
      </c>
      <c r="AO983" s="4">
        <f>IFERROR((vp.tbl[[#This Row],[Sulf]]-INDEX(crudeBD.lkup.complete[Mean_Sulf],MATCH(vp.tbl[[#This Row],[Crude_Breakdown]],crudeBD.lkup.complete[Crude Breakdown],0)))^2,"")</f>
        <v>9.0116784638171188E-3</v>
      </c>
      <c r="AP983">
        <f>IF(AND(vp.tbl[[#This Row],[SDate]]&gt;=DATE(YEAR(vp.tbl[[#This Row],[SDate]]),5,1),vp.tbl[[#This Row],[SDate]]&lt;=DATE(YEAR(vp.tbl[[#This Row],[SDate]]),9,15)),1,0)</f>
        <v>0</v>
      </c>
      <c r="AQ983" s="15">
        <f>IF(vp.tbl[[#This Row],[SDate]]&lt;DATE(2016,12,1),0,1)</f>
        <v>1</v>
      </c>
    </row>
    <row r="984" spans="1:43" x14ac:dyDescent="0.25">
      <c r="A984">
        <v>983</v>
      </c>
      <c r="B984" t="s">
        <v>51</v>
      </c>
      <c r="C984" t="s">
        <v>51</v>
      </c>
      <c r="D984" t="s">
        <v>72</v>
      </c>
      <c r="F984" s="1">
        <v>42806</v>
      </c>
      <c r="G984" s="2">
        <v>103.3</v>
      </c>
      <c r="H984" s="2"/>
      <c r="I984" s="2">
        <v>1.08</v>
      </c>
      <c r="J984" s="2">
        <v>22</v>
      </c>
      <c r="K984" s="2">
        <v>-14</v>
      </c>
      <c r="L984" s="2">
        <v>829.2</v>
      </c>
      <c r="M984" s="2">
        <v>829.2</v>
      </c>
      <c r="N984" s="2">
        <f ca="1">INDEX(INDIRECT(_xlfn.CONCAT("weather.tbl[",N$1,"]")),MATCH(vp.tbl[[#This Row],[SDate]],weather.tbl[Date],0))</f>
        <v>-17.216666666666669</v>
      </c>
      <c r="O984" s="2">
        <f ca="1">INDEX(INDIRECT(_xlfn.CONCAT("weather.tbl[",O$1,"]")),MATCH(vp.tbl[[#This Row],[SDate]],weather.tbl[Date],0))</f>
        <v>-15.638095238095238</v>
      </c>
      <c r="P984" s="2">
        <f ca="1">INDEX(INDIRECT(_xlfn.CONCAT("weather.tbl[",P$1,"]")),MATCH(vp.tbl[[#This Row],[SDate]],weather.tbl[Date],0))</f>
        <v>-17.3</v>
      </c>
      <c r="Q984" s="2">
        <f ca="1">INDEX(INDIRECT(_xlfn.CONCAT("weather.tbl[",Q$1,"]")),MATCH(vp.tbl[[#This Row],[SDate]],weather.tbl[Date],0))</f>
        <v>-17.3</v>
      </c>
      <c r="R984" s="2">
        <f ca="1">INDEX(INDIRECT(_xlfn.CONCAT("weather.tbl[",R$1,"]")),MATCH(vp.tbl[[#This Row],[SDate]],weather.tbl[Date],0))</f>
        <v>-17</v>
      </c>
      <c r="S984" s="2">
        <f ca="1">INDEX(INDIRECT(_xlfn.CONCAT("weather.tbl[",S$1,"]")),MATCH(vp.tbl[[#This Row],[SDate]],weather.tbl[Date],0))</f>
        <v>-16.8</v>
      </c>
      <c r="T984" s="2">
        <f ca="1">INDEX(INDIRECT(_xlfn.CONCAT("weather.tbl[",T$1,"]")),MATCH(vp.tbl[[#This Row],[SDate]],weather.tbl[Date],0))</f>
        <v>-18.899999999999999</v>
      </c>
      <c r="U984" s="2">
        <f ca="1">INDEX(INDIRECT(_xlfn.CONCAT("weather.tbl[",U$1,"]")),MATCH(vp.tbl[[#This Row],[SDate]],weather.tbl[Date],0))</f>
        <v>-16</v>
      </c>
      <c r="V984" s="2">
        <v>13878.534</v>
      </c>
      <c r="W984" t="s">
        <v>48</v>
      </c>
      <c r="X984">
        <f>IF(OR(vp.tbl[[#This Row],[Sulf]]="",vp.tbl[[#This Row],[Dens]]=""),1,0)</f>
        <v>0</v>
      </c>
      <c r="Y984">
        <f>IF(vp.tbl[[#This Row],[CrudeType]]="C5+",1,0)</f>
        <v>0</v>
      </c>
      <c r="Z984">
        <f>IF(AND(vp.tbl[[#This Row],[CrudeType]]="Crude",vp.tbl[[#This Row],[Dens]]&lt;=825,vp.tbl[[#This Row],[Sulf]]&gt;0.5,vp.tbl[[#This Row],[Unknown]]=0),1,0)</f>
        <v>0</v>
      </c>
      <c r="AA984">
        <f>IF(AND(vp.tbl[[#This Row],[CrudeType]]="Crude",vp.tbl[[#This Row],[Dens]]&lt;=825,vp.tbl[[#This Row],[Sulf]]&lt;=0.5,vp.tbl[[#This Row],[Unknown]]=0),1,0)</f>
        <v>0</v>
      </c>
      <c r="AB984">
        <f>IF(AND(vp.tbl[[#This Row],[CrudeType]]="Crude",vp.tbl[[#This Row],[Dens]]&gt;825,vp.tbl[[#This Row],[Dens]]&lt;=870,vp.tbl[[#This Row],[Sulf]]&gt;0.5,vp.tbl[[#This Row],[Unknown]]=0),1,0)</f>
        <v>1</v>
      </c>
      <c r="AC984">
        <f>IF(AND(vp.tbl[[#This Row],[CrudeType]]="Crude",vp.tbl[[#This Row],[Dens]]&gt;825,vp.tbl[[#This Row],[Dens]]&lt;=900,vp.tbl[[#This Row],[Sulf]]&lt;=0.5,vp.tbl[[#This Row],[Unknown]]=0),1,0)</f>
        <v>0</v>
      </c>
      <c r="AD984">
        <f>IF(AND(vp.tbl[[#This Row],[CrudeType]]="Crude",vp.tbl[[#This Row],[Dens]]&gt;870,vp.tbl[[#This Row],[Dens]]&lt;=900,vp.tbl[[#This Row],[Sulf]]&gt;0.5,vp.tbl[[#This Row],[Unknown]]=0),1,0)</f>
        <v>0</v>
      </c>
      <c r="AE984">
        <f>IF(AND(vp.tbl[[#This Row],[CrudeType]]="Crude",vp.tbl[[#This Row],[Dens]]&gt;900,vp.tbl[[#This Row],[Sulf]]&lt;=0.5,vp.tbl[[#This Row],[Unknown]]=0),1,0)</f>
        <v>0</v>
      </c>
      <c r="AF984">
        <f>IF(AND(vp.tbl[[#This Row],[CrudeType]]="Crude",vp.tbl[[#This Row],[Dens]]&gt;900,vp.tbl[[#This Row],[Sulf]]&lt;=0.5,vp.tbl[[#This Row],[Unknown]]=0),1,0)</f>
        <v>0</v>
      </c>
      <c r="AG984" t="str">
        <f>INDEX(vp.tbl[[#Headers],[Unknown]:[Heavy_SW]],MATCH(1,vp.tbl[[#This Row],[Unknown]:[Heavy_SW]],0))</f>
        <v>Medium_LSB</v>
      </c>
      <c r="AH984" t="e">
        <f>INDEX([1]!crudeBD.lkup[Number],MATCH(vp.tbl[[#This Row],[Crude_Breakdown]],[1]!crudeBD.lkup[Crude Breakdown],0))</f>
        <v>#REF!</v>
      </c>
      <c r="AI984">
        <f>MONTH(vp.tbl[[#This Row],[SDate]])</f>
        <v>3</v>
      </c>
      <c r="AJ984" s="5">
        <f>IFERROR(vp.tbl[[#This Row],[Sulf]]*vp.tbl[[#This Row],[Net Dens]],"")</f>
        <v>12428726.824224001</v>
      </c>
      <c r="AK984" s="5">
        <f>IFERROR(vp.tbl[[#This Row],[Dens]]*vp.tbl[[#This Row],[VolumeM3]],"")</f>
        <v>11508080.3928</v>
      </c>
      <c r="AL984" s="5">
        <f>IFERROR(vp.tbl[[#This Row],[VP]]*vp.tbl[[#This Row],[VolumeM3]],"")</f>
        <v>1433652.5621999998</v>
      </c>
      <c r="AM984" s="4">
        <f>IFERROR((vp.tbl[[#This Row],[VP]]-INDEX(crudeBD.lkup.complete[Mean_VP],MATCH(vp.tbl[[#This Row],[Crude_Breakdown]],crudeBD.lkup.complete[Crude Breakdown],0)))^2,"")</f>
        <v>534.83061115141959</v>
      </c>
      <c r="AN984" s="4">
        <f>IFERROR((vp.tbl[[#This Row],[Dens]]-INDEX(crudeBD.lkup.complete[Mean_Dens],MATCH(vp.tbl[[#This Row],[Crude_Breakdown]],crudeBD.lkup.complete[Crude Breakdown],0)))^2,"")</f>
        <v>258.94676053770121</v>
      </c>
      <c r="AO984" s="4">
        <f>IFERROR((vp.tbl[[#This Row],[Sulf]]-INDEX(crudeBD.lkup.complete[Mean_Sulf],MATCH(vp.tbl[[#This Row],[Crude_Breakdown]],crudeBD.lkup.complete[Crude Breakdown],0)))^2,"")</f>
        <v>0.14057240048913436</v>
      </c>
      <c r="AP984">
        <f>IF(AND(vp.tbl[[#This Row],[SDate]]&gt;=DATE(YEAR(vp.tbl[[#This Row],[SDate]]),5,1),vp.tbl[[#This Row],[SDate]]&lt;=DATE(YEAR(vp.tbl[[#This Row],[SDate]]),9,15)),1,0)</f>
        <v>0</v>
      </c>
      <c r="AQ984" s="15">
        <f>IF(vp.tbl[[#This Row],[SDate]]&lt;DATE(2016,12,1),0,1)</f>
        <v>1</v>
      </c>
    </row>
    <row r="985" spans="1:43" x14ac:dyDescent="0.25">
      <c r="A985">
        <v>984</v>
      </c>
      <c r="B985" t="s">
        <v>51</v>
      </c>
      <c r="C985" t="s">
        <v>51</v>
      </c>
      <c r="D985" t="s">
        <v>58</v>
      </c>
      <c r="F985" s="1">
        <v>42806</v>
      </c>
      <c r="G985" s="2">
        <v>107</v>
      </c>
      <c r="H985" s="2"/>
      <c r="I985" s="2">
        <v>1.31</v>
      </c>
      <c r="J985" s="2">
        <v>21</v>
      </c>
      <c r="K985" s="2">
        <v>-14</v>
      </c>
      <c r="L985" s="2">
        <v>830.1</v>
      </c>
      <c r="M985" s="2">
        <v>830.1</v>
      </c>
      <c r="N985" s="2">
        <f ca="1">INDEX(INDIRECT(_xlfn.CONCAT("weather.tbl[",N$1,"]")),MATCH(vp.tbl[[#This Row],[SDate]],weather.tbl[Date],0))</f>
        <v>-17.216666666666669</v>
      </c>
      <c r="O985" s="2">
        <f ca="1">INDEX(INDIRECT(_xlfn.CONCAT("weather.tbl[",O$1,"]")),MATCH(vp.tbl[[#This Row],[SDate]],weather.tbl[Date],0))</f>
        <v>-15.638095238095238</v>
      </c>
      <c r="P985" s="2">
        <f ca="1">INDEX(INDIRECT(_xlfn.CONCAT("weather.tbl[",P$1,"]")),MATCH(vp.tbl[[#This Row],[SDate]],weather.tbl[Date],0))</f>
        <v>-17.3</v>
      </c>
      <c r="Q985" s="2">
        <f ca="1">INDEX(INDIRECT(_xlfn.CONCAT("weather.tbl[",Q$1,"]")),MATCH(vp.tbl[[#This Row],[SDate]],weather.tbl[Date],0))</f>
        <v>-17.3</v>
      </c>
      <c r="R985" s="2">
        <f ca="1">INDEX(INDIRECT(_xlfn.CONCAT("weather.tbl[",R$1,"]")),MATCH(vp.tbl[[#This Row],[SDate]],weather.tbl[Date],0))</f>
        <v>-17</v>
      </c>
      <c r="S985" s="2">
        <f ca="1">INDEX(INDIRECT(_xlfn.CONCAT("weather.tbl[",S$1,"]")),MATCH(vp.tbl[[#This Row],[SDate]],weather.tbl[Date],0))</f>
        <v>-16.8</v>
      </c>
      <c r="T985" s="2">
        <f ca="1">INDEX(INDIRECT(_xlfn.CONCAT("weather.tbl[",T$1,"]")),MATCH(vp.tbl[[#This Row],[SDate]],weather.tbl[Date],0))</f>
        <v>-18.899999999999999</v>
      </c>
      <c r="U985" s="2">
        <f ca="1">INDEX(INDIRECT(_xlfn.CONCAT("weather.tbl[",U$1,"]")),MATCH(vp.tbl[[#This Row],[SDate]],weather.tbl[Date],0))</f>
        <v>-16</v>
      </c>
      <c r="V985" s="2">
        <v>6071.2709999999997</v>
      </c>
      <c r="W985" t="s">
        <v>48</v>
      </c>
      <c r="X985">
        <f>IF(OR(vp.tbl[[#This Row],[Sulf]]="",vp.tbl[[#This Row],[Dens]]=""),1,0)</f>
        <v>0</v>
      </c>
      <c r="Y985">
        <f>IF(vp.tbl[[#This Row],[CrudeType]]="C5+",1,0)</f>
        <v>0</v>
      </c>
      <c r="Z985">
        <f>IF(AND(vp.tbl[[#This Row],[CrudeType]]="Crude",vp.tbl[[#This Row],[Dens]]&lt;=825,vp.tbl[[#This Row],[Sulf]]&gt;0.5,vp.tbl[[#This Row],[Unknown]]=0),1,0)</f>
        <v>0</v>
      </c>
      <c r="AA985">
        <f>IF(AND(vp.tbl[[#This Row],[CrudeType]]="Crude",vp.tbl[[#This Row],[Dens]]&lt;=825,vp.tbl[[#This Row],[Sulf]]&lt;=0.5,vp.tbl[[#This Row],[Unknown]]=0),1,0)</f>
        <v>0</v>
      </c>
      <c r="AB985">
        <f>IF(AND(vp.tbl[[#This Row],[CrudeType]]="Crude",vp.tbl[[#This Row],[Dens]]&gt;825,vp.tbl[[#This Row],[Dens]]&lt;=870,vp.tbl[[#This Row],[Sulf]]&gt;0.5,vp.tbl[[#This Row],[Unknown]]=0),1,0)</f>
        <v>1</v>
      </c>
      <c r="AC985">
        <f>IF(AND(vp.tbl[[#This Row],[CrudeType]]="Crude",vp.tbl[[#This Row],[Dens]]&gt;825,vp.tbl[[#This Row],[Dens]]&lt;=900,vp.tbl[[#This Row],[Sulf]]&lt;=0.5,vp.tbl[[#This Row],[Unknown]]=0),1,0)</f>
        <v>0</v>
      </c>
      <c r="AD985">
        <f>IF(AND(vp.tbl[[#This Row],[CrudeType]]="Crude",vp.tbl[[#This Row],[Dens]]&gt;870,vp.tbl[[#This Row],[Dens]]&lt;=900,vp.tbl[[#This Row],[Sulf]]&gt;0.5,vp.tbl[[#This Row],[Unknown]]=0),1,0)</f>
        <v>0</v>
      </c>
      <c r="AE985">
        <f>IF(AND(vp.tbl[[#This Row],[CrudeType]]="Crude",vp.tbl[[#This Row],[Dens]]&gt;900,vp.tbl[[#This Row],[Sulf]]&lt;=0.5,vp.tbl[[#This Row],[Unknown]]=0),1,0)</f>
        <v>0</v>
      </c>
      <c r="AF985">
        <f>IF(AND(vp.tbl[[#This Row],[CrudeType]]="Crude",vp.tbl[[#This Row],[Dens]]&gt;900,vp.tbl[[#This Row],[Sulf]]&lt;=0.5,vp.tbl[[#This Row],[Unknown]]=0),1,0)</f>
        <v>0</v>
      </c>
      <c r="AG985" t="str">
        <f>INDEX(vp.tbl[[#Headers],[Unknown]:[Heavy_SW]],MATCH(1,vp.tbl[[#This Row],[Unknown]:[Heavy_SW]],0))</f>
        <v>Medium_LSB</v>
      </c>
      <c r="AH985" t="e">
        <f>INDEX([1]!crudeBD.lkup[Number],MATCH(vp.tbl[[#This Row],[Crude_Breakdown]],[1]!crudeBD.lkup[Crude Breakdown],0))</f>
        <v>#REF!</v>
      </c>
      <c r="AI985">
        <f>MONTH(vp.tbl[[#This Row],[SDate]])</f>
        <v>3</v>
      </c>
      <c r="AJ985" s="5">
        <f>IFERROR(vp.tbl[[#This Row],[Sulf]]*vp.tbl[[#This Row],[Net Dens]],"")</f>
        <v>6602088.2948010005</v>
      </c>
      <c r="AK985" s="5">
        <f>IFERROR(vp.tbl[[#This Row],[Dens]]*vp.tbl[[#This Row],[VolumeM3]],"")</f>
        <v>5039762.0570999999</v>
      </c>
      <c r="AL985" s="5">
        <f>IFERROR(vp.tbl[[#This Row],[VP]]*vp.tbl[[#This Row],[VolumeM3]],"")</f>
        <v>649625.99699999997</v>
      </c>
      <c r="AM985" s="4">
        <f>IFERROR((vp.tbl[[#This Row],[VP]]-INDEX(crudeBD.lkup.complete[Mean_VP],MATCH(vp.tbl[[#This Row],[Crude_Breakdown]],crudeBD.lkup.complete[Crude Breakdown],0)))^2,"")</f>
        <v>719.65600861977441</v>
      </c>
      <c r="AN985" s="4">
        <f>IFERROR((vp.tbl[[#This Row],[Dens]]-INDEX(crudeBD.lkup.complete[Mean_Dens],MATCH(vp.tbl[[#This Row],[Crude_Breakdown]],crudeBD.lkup.complete[Crude Breakdown],0)))^2,"")</f>
        <v>230.7914795250455</v>
      </c>
      <c r="AO985" s="4">
        <f>IFERROR((vp.tbl[[#This Row],[Sulf]]-INDEX(crudeBD.lkup.complete[Mean_Sulf],MATCH(vp.tbl[[#This Row],[Crude_Breakdown]],crudeBD.lkup.complete[Crude Breakdown],0)))^2,"")</f>
        <v>2.1004664539766637E-2</v>
      </c>
      <c r="AP985">
        <f>IF(AND(vp.tbl[[#This Row],[SDate]]&gt;=DATE(YEAR(vp.tbl[[#This Row],[SDate]]),5,1),vp.tbl[[#This Row],[SDate]]&lt;=DATE(YEAR(vp.tbl[[#This Row],[SDate]]),9,15)),1,0)</f>
        <v>0</v>
      </c>
      <c r="AQ985" s="15">
        <f>IF(vp.tbl[[#This Row],[SDate]]&lt;DATE(2016,12,1),0,1)</f>
        <v>1</v>
      </c>
    </row>
    <row r="986" spans="1:43" x14ac:dyDescent="0.25">
      <c r="A986">
        <v>985</v>
      </c>
      <c r="B986" t="s">
        <v>108</v>
      </c>
      <c r="C986" t="s">
        <v>108</v>
      </c>
      <c r="D986" t="s">
        <v>109</v>
      </c>
      <c r="F986" s="1">
        <v>42806</v>
      </c>
      <c r="G986" s="2">
        <v>93</v>
      </c>
      <c r="H986" s="2"/>
      <c r="I986" s="2">
        <v>0.79</v>
      </c>
      <c r="J986" s="2">
        <v>21</v>
      </c>
      <c r="K986" s="2">
        <v>-14</v>
      </c>
      <c r="L986" s="2">
        <v>834</v>
      </c>
      <c r="M986" s="2">
        <v>834</v>
      </c>
      <c r="N986" s="2">
        <f ca="1">INDEX(INDIRECT(_xlfn.CONCAT("weather.tbl[",N$1,"]")),MATCH(vp.tbl[[#This Row],[SDate]],weather.tbl[Date],0))</f>
        <v>-17.216666666666669</v>
      </c>
      <c r="O986" s="2">
        <f ca="1">INDEX(INDIRECT(_xlfn.CONCAT("weather.tbl[",O$1,"]")),MATCH(vp.tbl[[#This Row],[SDate]],weather.tbl[Date],0))</f>
        <v>-15.638095238095238</v>
      </c>
      <c r="P986" s="2">
        <f ca="1">INDEX(INDIRECT(_xlfn.CONCAT("weather.tbl[",P$1,"]")),MATCH(vp.tbl[[#This Row],[SDate]],weather.tbl[Date],0))</f>
        <v>-17.3</v>
      </c>
      <c r="Q986" s="2">
        <f ca="1">INDEX(INDIRECT(_xlfn.CONCAT("weather.tbl[",Q$1,"]")),MATCH(vp.tbl[[#This Row],[SDate]],weather.tbl[Date],0))</f>
        <v>-17.3</v>
      </c>
      <c r="R986" s="2">
        <f ca="1">INDEX(INDIRECT(_xlfn.CONCAT("weather.tbl[",R$1,"]")),MATCH(vp.tbl[[#This Row],[SDate]],weather.tbl[Date],0))</f>
        <v>-17</v>
      </c>
      <c r="S986" s="2">
        <f ca="1">INDEX(INDIRECT(_xlfn.CONCAT("weather.tbl[",S$1,"]")),MATCH(vp.tbl[[#This Row],[SDate]],weather.tbl[Date],0))</f>
        <v>-16.8</v>
      </c>
      <c r="T986" s="2">
        <f ca="1">INDEX(INDIRECT(_xlfn.CONCAT("weather.tbl[",T$1,"]")),MATCH(vp.tbl[[#This Row],[SDate]],weather.tbl[Date],0))</f>
        <v>-18.899999999999999</v>
      </c>
      <c r="U986" s="2">
        <f ca="1">INDEX(INDIRECT(_xlfn.CONCAT("weather.tbl[",U$1,"]")),MATCH(vp.tbl[[#This Row],[SDate]],weather.tbl[Date],0))</f>
        <v>-16</v>
      </c>
      <c r="V986" s="2">
        <v>9449.0609999999997</v>
      </c>
      <c r="W986" t="s">
        <v>48</v>
      </c>
      <c r="X986">
        <f>IF(OR(vp.tbl[[#This Row],[Sulf]]="",vp.tbl[[#This Row],[Dens]]=""),1,0)</f>
        <v>0</v>
      </c>
      <c r="Y986">
        <f>IF(vp.tbl[[#This Row],[CrudeType]]="C5+",1,0)</f>
        <v>0</v>
      </c>
      <c r="Z986">
        <f>IF(AND(vp.tbl[[#This Row],[CrudeType]]="Crude",vp.tbl[[#This Row],[Dens]]&lt;=825,vp.tbl[[#This Row],[Sulf]]&gt;0.5,vp.tbl[[#This Row],[Unknown]]=0),1,0)</f>
        <v>0</v>
      </c>
      <c r="AA986">
        <f>IF(AND(vp.tbl[[#This Row],[CrudeType]]="Crude",vp.tbl[[#This Row],[Dens]]&lt;=825,vp.tbl[[#This Row],[Sulf]]&lt;=0.5,vp.tbl[[#This Row],[Unknown]]=0),1,0)</f>
        <v>0</v>
      </c>
      <c r="AB986">
        <f>IF(AND(vp.tbl[[#This Row],[CrudeType]]="Crude",vp.tbl[[#This Row],[Dens]]&gt;825,vp.tbl[[#This Row],[Dens]]&lt;=870,vp.tbl[[#This Row],[Sulf]]&gt;0.5,vp.tbl[[#This Row],[Unknown]]=0),1,0)</f>
        <v>1</v>
      </c>
      <c r="AC986">
        <f>IF(AND(vp.tbl[[#This Row],[CrudeType]]="Crude",vp.tbl[[#This Row],[Dens]]&gt;825,vp.tbl[[#This Row],[Dens]]&lt;=900,vp.tbl[[#This Row],[Sulf]]&lt;=0.5,vp.tbl[[#This Row],[Unknown]]=0),1,0)</f>
        <v>0</v>
      </c>
      <c r="AD986">
        <f>IF(AND(vp.tbl[[#This Row],[CrudeType]]="Crude",vp.tbl[[#This Row],[Dens]]&gt;870,vp.tbl[[#This Row],[Dens]]&lt;=900,vp.tbl[[#This Row],[Sulf]]&gt;0.5,vp.tbl[[#This Row],[Unknown]]=0),1,0)</f>
        <v>0</v>
      </c>
      <c r="AE986">
        <f>IF(AND(vp.tbl[[#This Row],[CrudeType]]="Crude",vp.tbl[[#This Row],[Dens]]&gt;900,vp.tbl[[#This Row],[Sulf]]&lt;=0.5,vp.tbl[[#This Row],[Unknown]]=0),1,0)</f>
        <v>0</v>
      </c>
      <c r="AF986">
        <f>IF(AND(vp.tbl[[#This Row],[CrudeType]]="Crude",vp.tbl[[#This Row],[Dens]]&gt;900,vp.tbl[[#This Row],[Sulf]]&lt;=0.5,vp.tbl[[#This Row],[Unknown]]=0),1,0)</f>
        <v>0</v>
      </c>
      <c r="AG986" t="str">
        <f>INDEX(vp.tbl[[#Headers],[Unknown]:[Heavy_SW]],MATCH(1,vp.tbl[[#This Row],[Unknown]:[Heavy_SW]],0))</f>
        <v>Medium_LSB</v>
      </c>
      <c r="AH986" t="e">
        <f>INDEX([1]!crudeBD.lkup[Number],MATCH(vp.tbl[[#This Row],[Crude_Breakdown]],[1]!crudeBD.lkup[Crude Breakdown],0))</f>
        <v>#REF!</v>
      </c>
      <c r="AI986">
        <f>MONTH(vp.tbl[[#This Row],[SDate]])</f>
        <v>3</v>
      </c>
      <c r="AJ986" s="5">
        <f>IFERROR(vp.tbl[[#This Row],[Sulf]]*vp.tbl[[#This Row],[Net Dens]],"")</f>
        <v>6225608.3304599999</v>
      </c>
      <c r="AK986" s="5">
        <f>IFERROR(vp.tbl[[#This Row],[Dens]]*vp.tbl[[#This Row],[VolumeM3]],"")</f>
        <v>7880516.8739999998</v>
      </c>
      <c r="AL986" s="5">
        <f>IFERROR(vp.tbl[[#This Row],[VP]]*vp.tbl[[#This Row],[VolumeM3]],"")</f>
        <v>878762.67299999995</v>
      </c>
      <c r="AM986" s="4">
        <f>IFERROR((vp.tbl[[#This Row],[VP]]-INDEX(crudeBD.lkup.complete[Mean_VP],MATCH(vp.tbl[[#This Row],[Crude_Breakdown]],crudeBD.lkup.complete[Crude Breakdown],0)))^2,"")</f>
        <v>164.51666684762151</v>
      </c>
      <c r="AN986" s="4">
        <f>IFERROR((vp.tbl[[#This Row],[Dens]]-INDEX(crudeBD.lkup.complete[Mean_Dens],MATCH(vp.tbl[[#This Row],[Crude_Breakdown]],crudeBD.lkup.complete[Crude Breakdown],0)))^2,"")</f>
        <v>127.50526180353488</v>
      </c>
      <c r="AO986" s="4">
        <f>IFERROR((vp.tbl[[#This Row],[Sulf]]-INDEX(crudeBD.lkup.complete[Mean_Sulf],MATCH(vp.tbl[[#This Row],[Crude_Breakdown]],crudeBD.lkup.complete[Crude Breakdown],0)))^2,"")</f>
        <v>0.44213171972964155</v>
      </c>
      <c r="AP986">
        <f>IF(AND(vp.tbl[[#This Row],[SDate]]&gt;=DATE(YEAR(vp.tbl[[#This Row],[SDate]]),5,1),vp.tbl[[#This Row],[SDate]]&lt;=DATE(YEAR(vp.tbl[[#This Row],[SDate]]),9,15)),1,0)</f>
        <v>0</v>
      </c>
      <c r="AQ986" s="15">
        <f>IF(vp.tbl[[#This Row],[SDate]]&lt;DATE(2016,12,1),0,1)</f>
        <v>1</v>
      </c>
    </row>
    <row r="987" spans="1:43" x14ac:dyDescent="0.25">
      <c r="A987">
        <v>986</v>
      </c>
      <c r="B987" t="s">
        <v>53</v>
      </c>
      <c r="C987" t="s">
        <v>53</v>
      </c>
      <c r="D987" t="s">
        <v>54</v>
      </c>
      <c r="F987" s="1">
        <v>42806</v>
      </c>
      <c r="G987" s="2">
        <v>90.4</v>
      </c>
      <c r="H987" s="2"/>
      <c r="I987" s="2">
        <v>1.32</v>
      </c>
      <c r="J987" s="2">
        <v>0</v>
      </c>
      <c r="K987" s="2">
        <v>-14</v>
      </c>
      <c r="L987" s="2">
        <v>835.6</v>
      </c>
      <c r="M987" s="2">
        <v>835.6</v>
      </c>
      <c r="N987" s="2">
        <f ca="1">INDEX(INDIRECT(_xlfn.CONCAT("weather.tbl[",N$1,"]")),MATCH(vp.tbl[[#This Row],[SDate]],weather.tbl[Date],0))</f>
        <v>-17.216666666666669</v>
      </c>
      <c r="O987" s="2">
        <f ca="1">INDEX(INDIRECT(_xlfn.CONCAT("weather.tbl[",O$1,"]")),MATCH(vp.tbl[[#This Row],[SDate]],weather.tbl[Date],0))</f>
        <v>-15.638095238095238</v>
      </c>
      <c r="P987" s="2">
        <f ca="1">INDEX(INDIRECT(_xlfn.CONCAT("weather.tbl[",P$1,"]")),MATCH(vp.tbl[[#This Row],[SDate]],weather.tbl[Date],0))</f>
        <v>-17.3</v>
      </c>
      <c r="Q987" s="2">
        <f ca="1">INDEX(INDIRECT(_xlfn.CONCAT("weather.tbl[",Q$1,"]")),MATCH(vp.tbl[[#This Row],[SDate]],weather.tbl[Date],0))</f>
        <v>-17.3</v>
      </c>
      <c r="R987" s="2">
        <f ca="1">INDEX(INDIRECT(_xlfn.CONCAT("weather.tbl[",R$1,"]")),MATCH(vp.tbl[[#This Row],[SDate]],weather.tbl[Date],0))</f>
        <v>-17</v>
      </c>
      <c r="S987" s="2">
        <f ca="1">INDEX(INDIRECT(_xlfn.CONCAT("weather.tbl[",S$1,"]")),MATCH(vp.tbl[[#This Row],[SDate]],weather.tbl[Date],0))</f>
        <v>-16.8</v>
      </c>
      <c r="T987" s="2">
        <f ca="1">INDEX(INDIRECT(_xlfn.CONCAT("weather.tbl[",T$1,"]")),MATCH(vp.tbl[[#This Row],[SDate]],weather.tbl[Date],0))</f>
        <v>-18.899999999999999</v>
      </c>
      <c r="U987" s="2">
        <f ca="1">INDEX(INDIRECT(_xlfn.CONCAT("weather.tbl[",U$1,"]")),MATCH(vp.tbl[[#This Row],[SDate]],weather.tbl[Date],0))</f>
        <v>-16</v>
      </c>
      <c r="V987" s="2">
        <v>9106.7160000000003</v>
      </c>
      <c r="W987" t="s">
        <v>48</v>
      </c>
      <c r="X987">
        <f>IF(OR(vp.tbl[[#This Row],[Sulf]]="",vp.tbl[[#This Row],[Dens]]=""),1,0)</f>
        <v>0</v>
      </c>
      <c r="Y987">
        <f>IF(vp.tbl[[#This Row],[CrudeType]]="C5+",1,0)</f>
        <v>0</v>
      </c>
      <c r="Z987">
        <f>IF(AND(vp.tbl[[#This Row],[CrudeType]]="Crude",vp.tbl[[#This Row],[Dens]]&lt;=825,vp.tbl[[#This Row],[Sulf]]&gt;0.5,vp.tbl[[#This Row],[Unknown]]=0),1,0)</f>
        <v>0</v>
      </c>
      <c r="AA987">
        <f>IF(AND(vp.tbl[[#This Row],[CrudeType]]="Crude",vp.tbl[[#This Row],[Dens]]&lt;=825,vp.tbl[[#This Row],[Sulf]]&lt;=0.5,vp.tbl[[#This Row],[Unknown]]=0),1,0)</f>
        <v>0</v>
      </c>
      <c r="AB987">
        <f>IF(AND(vp.tbl[[#This Row],[CrudeType]]="Crude",vp.tbl[[#This Row],[Dens]]&gt;825,vp.tbl[[#This Row],[Dens]]&lt;=870,vp.tbl[[#This Row],[Sulf]]&gt;0.5,vp.tbl[[#This Row],[Unknown]]=0),1,0)</f>
        <v>1</v>
      </c>
      <c r="AC987">
        <f>IF(AND(vp.tbl[[#This Row],[CrudeType]]="Crude",vp.tbl[[#This Row],[Dens]]&gt;825,vp.tbl[[#This Row],[Dens]]&lt;=900,vp.tbl[[#This Row],[Sulf]]&lt;=0.5,vp.tbl[[#This Row],[Unknown]]=0),1,0)</f>
        <v>0</v>
      </c>
      <c r="AD987">
        <f>IF(AND(vp.tbl[[#This Row],[CrudeType]]="Crude",vp.tbl[[#This Row],[Dens]]&gt;870,vp.tbl[[#This Row],[Dens]]&lt;=900,vp.tbl[[#This Row],[Sulf]]&gt;0.5,vp.tbl[[#This Row],[Unknown]]=0),1,0)</f>
        <v>0</v>
      </c>
      <c r="AE987">
        <f>IF(AND(vp.tbl[[#This Row],[CrudeType]]="Crude",vp.tbl[[#This Row],[Dens]]&gt;900,vp.tbl[[#This Row],[Sulf]]&lt;=0.5,vp.tbl[[#This Row],[Unknown]]=0),1,0)</f>
        <v>0</v>
      </c>
      <c r="AF987">
        <f>IF(AND(vp.tbl[[#This Row],[CrudeType]]="Crude",vp.tbl[[#This Row],[Dens]]&gt;900,vp.tbl[[#This Row],[Sulf]]&lt;=0.5,vp.tbl[[#This Row],[Unknown]]=0),1,0)</f>
        <v>0</v>
      </c>
      <c r="AG987" t="str">
        <f>INDEX(vp.tbl[[#Headers],[Unknown]:[Heavy_SW]],MATCH(1,vp.tbl[[#This Row],[Unknown]:[Heavy_SW]],0))</f>
        <v>Medium_LSB</v>
      </c>
      <c r="AH987" t="e">
        <f>INDEX([1]!crudeBD.lkup[Number],MATCH(vp.tbl[[#This Row],[Crude_Breakdown]],[1]!crudeBD.lkup[Crude Breakdown],0))</f>
        <v>#REF!</v>
      </c>
      <c r="AI987">
        <f>MONTH(vp.tbl[[#This Row],[SDate]])</f>
        <v>3</v>
      </c>
      <c r="AJ987" s="5">
        <f>IFERROR(vp.tbl[[#This Row],[Sulf]]*vp.tbl[[#This Row],[Net Dens]],"")</f>
        <v>10044634.894272001</v>
      </c>
      <c r="AK987" s="5">
        <f>IFERROR(vp.tbl[[#This Row],[Dens]]*vp.tbl[[#This Row],[VolumeM3]],"")</f>
        <v>7609571.8896000003</v>
      </c>
      <c r="AL987" s="5">
        <f>IFERROR(vp.tbl[[#This Row],[VP]]*vp.tbl[[#This Row],[VolumeM3]],"")</f>
        <v>823247.12640000007</v>
      </c>
      <c r="AM987" s="4">
        <f>IFERROR((vp.tbl[[#This Row],[VP]]-INDEX(crudeBD.lkup.complete[Mean_VP],MATCH(vp.tbl[[#This Row],[Crude_Breakdown]],crudeBD.lkup.complete[Crude Breakdown],0)))^2,"")</f>
        <v>104.57936051850751</v>
      </c>
      <c r="AN987" s="4">
        <f>IFERROR((vp.tbl[[#This Row],[Dens]]-INDEX(crudeBD.lkup.complete[Mean_Dens],MATCH(vp.tbl[[#This Row],[Crude_Breakdown]],crudeBD.lkup.complete[Crude Breakdown],0)))^2,"")</f>
        <v>93.931428892145192</v>
      </c>
      <c r="AO987" s="4">
        <f>IFERROR((vp.tbl[[#This Row],[Sulf]]-INDEX(crudeBD.lkup.complete[Mean_Sulf],MATCH(vp.tbl[[#This Row],[Crude_Breakdown]],crudeBD.lkup.complete[Crude Breakdown],0)))^2,"")</f>
        <v>1.8206067324576733E-2</v>
      </c>
      <c r="AP987">
        <f>IF(AND(vp.tbl[[#This Row],[SDate]]&gt;=DATE(YEAR(vp.tbl[[#This Row],[SDate]]),5,1),vp.tbl[[#This Row],[SDate]]&lt;=DATE(YEAR(vp.tbl[[#This Row],[SDate]]),9,15)),1,0)</f>
        <v>0</v>
      </c>
      <c r="AQ987" s="15">
        <f>IF(vp.tbl[[#This Row],[SDate]]&lt;DATE(2016,12,1),0,1)</f>
        <v>1</v>
      </c>
    </row>
    <row r="988" spans="1:43" x14ac:dyDescent="0.25">
      <c r="A988">
        <v>987</v>
      </c>
      <c r="B988" t="s">
        <v>62</v>
      </c>
      <c r="C988" t="s">
        <v>62</v>
      </c>
      <c r="D988" t="s">
        <v>63</v>
      </c>
      <c r="F988" s="1">
        <v>42806</v>
      </c>
      <c r="G988" s="2">
        <v>89.5</v>
      </c>
      <c r="H988" s="2"/>
      <c r="I988" s="2">
        <v>1.74</v>
      </c>
      <c r="J988" s="2">
        <v>8</v>
      </c>
      <c r="K988" s="2">
        <v>-14</v>
      </c>
      <c r="L988" s="2">
        <v>841</v>
      </c>
      <c r="M988" s="2">
        <v>841</v>
      </c>
      <c r="N988" s="2">
        <f ca="1">INDEX(INDIRECT(_xlfn.CONCAT("weather.tbl[",N$1,"]")),MATCH(vp.tbl[[#This Row],[SDate]],weather.tbl[Date],0))</f>
        <v>-17.216666666666669</v>
      </c>
      <c r="O988" s="2">
        <f ca="1">INDEX(INDIRECT(_xlfn.CONCAT("weather.tbl[",O$1,"]")),MATCH(vp.tbl[[#This Row],[SDate]],weather.tbl[Date],0))</f>
        <v>-15.638095238095238</v>
      </c>
      <c r="P988" s="2">
        <f ca="1">INDEX(INDIRECT(_xlfn.CONCAT("weather.tbl[",P$1,"]")),MATCH(vp.tbl[[#This Row],[SDate]],weather.tbl[Date],0))</f>
        <v>-17.3</v>
      </c>
      <c r="Q988" s="2">
        <f ca="1">INDEX(INDIRECT(_xlfn.CONCAT("weather.tbl[",Q$1,"]")),MATCH(vp.tbl[[#This Row],[SDate]],weather.tbl[Date],0))</f>
        <v>-17.3</v>
      </c>
      <c r="R988" s="2">
        <f ca="1">INDEX(INDIRECT(_xlfn.CONCAT("weather.tbl[",R$1,"]")),MATCH(vp.tbl[[#This Row],[SDate]],weather.tbl[Date],0))</f>
        <v>-17</v>
      </c>
      <c r="S988" s="2">
        <f ca="1">INDEX(INDIRECT(_xlfn.CONCAT("weather.tbl[",S$1,"]")),MATCH(vp.tbl[[#This Row],[SDate]],weather.tbl[Date],0))</f>
        <v>-16.8</v>
      </c>
      <c r="T988" s="2">
        <f ca="1">INDEX(INDIRECT(_xlfn.CONCAT("weather.tbl[",T$1,"]")),MATCH(vp.tbl[[#This Row],[SDate]],weather.tbl[Date],0))</f>
        <v>-18.899999999999999</v>
      </c>
      <c r="U988" s="2">
        <f ca="1">INDEX(INDIRECT(_xlfn.CONCAT("weather.tbl[",U$1,"]")),MATCH(vp.tbl[[#This Row],[SDate]],weather.tbl[Date],0))</f>
        <v>-16</v>
      </c>
      <c r="V988" s="2">
        <v>6959.2520000000004</v>
      </c>
      <c r="W988" t="s">
        <v>48</v>
      </c>
      <c r="X988">
        <f>IF(OR(vp.tbl[[#This Row],[Sulf]]="",vp.tbl[[#This Row],[Dens]]=""),1,0)</f>
        <v>0</v>
      </c>
      <c r="Y988">
        <f>IF(vp.tbl[[#This Row],[CrudeType]]="C5+",1,0)</f>
        <v>0</v>
      </c>
      <c r="Z988">
        <f>IF(AND(vp.tbl[[#This Row],[CrudeType]]="Crude",vp.tbl[[#This Row],[Dens]]&lt;=825,vp.tbl[[#This Row],[Sulf]]&gt;0.5,vp.tbl[[#This Row],[Unknown]]=0),1,0)</f>
        <v>0</v>
      </c>
      <c r="AA988">
        <f>IF(AND(vp.tbl[[#This Row],[CrudeType]]="Crude",vp.tbl[[#This Row],[Dens]]&lt;=825,vp.tbl[[#This Row],[Sulf]]&lt;=0.5,vp.tbl[[#This Row],[Unknown]]=0),1,0)</f>
        <v>0</v>
      </c>
      <c r="AB988">
        <f>IF(AND(vp.tbl[[#This Row],[CrudeType]]="Crude",vp.tbl[[#This Row],[Dens]]&gt;825,vp.tbl[[#This Row],[Dens]]&lt;=870,vp.tbl[[#This Row],[Sulf]]&gt;0.5,vp.tbl[[#This Row],[Unknown]]=0),1,0)</f>
        <v>1</v>
      </c>
      <c r="AC988">
        <f>IF(AND(vp.tbl[[#This Row],[CrudeType]]="Crude",vp.tbl[[#This Row],[Dens]]&gt;825,vp.tbl[[#This Row],[Dens]]&lt;=900,vp.tbl[[#This Row],[Sulf]]&lt;=0.5,vp.tbl[[#This Row],[Unknown]]=0),1,0)</f>
        <v>0</v>
      </c>
      <c r="AD988">
        <f>IF(AND(vp.tbl[[#This Row],[CrudeType]]="Crude",vp.tbl[[#This Row],[Dens]]&gt;870,vp.tbl[[#This Row],[Dens]]&lt;=900,vp.tbl[[#This Row],[Sulf]]&gt;0.5,vp.tbl[[#This Row],[Unknown]]=0),1,0)</f>
        <v>0</v>
      </c>
      <c r="AE988">
        <f>IF(AND(vp.tbl[[#This Row],[CrudeType]]="Crude",vp.tbl[[#This Row],[Dens]]&gt;900,vp.tbl[[#This Row],[Sulf]]&lt;=0.5,vp.tbl[[#This Row],[Unknown]]=0),1,0)</f>
        <v>0</v>
      </c>
      <c r="AF988">
        <f>IF(AND(vp.tbl[[#This Row],[CrudeType]]="Crude",vp.tbl[[#This Row],[Dens]]&gt;900,vp.tbl[[#This Row],[Sulf]]&lt;=0.5,vp.tbl[[#This Row],[Unknown]]=0),1,0)</f>
        <v>0</v>
      </c>
      <c r="AG988" t="str">
        <f>INDEX(vp.tbl[[#Headers],[Unknown]:[Heavy_SW]],MATCH(1,vp.tbl[[#This Row],[Unknown]:[Heavy_SW]],0))</f>
        <v>Medium_LSB</v>
      </c>
      <c r="AH988" t="e">
        <f>INDEX([1]!crudeBD.lkup[Number],MATCH(vp.tbl[[#This Row],[Crude_Breakdown]],[1]!crudeBD.lkup[Crude Breakdown],0))</f>
        <v>#REF!</v>
      </c>
      <c r="AI988">
        <f>MONTH(vp.tbl[[#This Row],[SDate]])</f>
        <v>3</v>
      </c>
      <c r="AJ988" s="5">
        <f>IFERROR(vp.tbl[[#This Row],[Sulf]]*vp.tbl[[#This Row],[Net Dens]],"")</f>
        <v>10183751.82168</v>
      </c>
      <c r="AK988" s="5">
        <f>IFERROR(vp.tbl[[#This Row],[Dens]]*vp.tbl[[#This Row],[VolumeM3]],"")</f>
        <v>5852730.932</v>
      </c>
      <c r="AL988" s="5">
        <f>IFERROR(vp.tbl[[#This Row],[VP]]*vp.tbl[[#This Row],[VolumeM3]],"")</f>
        <v>622853.054</v>
      </c>
      <c r="AM988" s="4">
        <f>IFERROR((vp.tbl[[#This Row],[VP]]-INDEX(crudeBD.lkup.complete[Mean_VP],MATCH(vp.tbl[[#This Row],[Crude_Breakdown]],crudeBD.lkup.complete[Crude Breakdown],0)))^2,"")</f>
        <v>86.981831404583289</v>
      </c>
      <c r="AN988" s="4">
        <f>IFERROR((vp.tbl[[#This Row],[Dens]]-INDEX(crudeBD.lkup.complete[Mean_Dens],MATCH(vp.tbl[[#This Row],[Crude_Breakdown]],crudeBD.lkup.complete[Crude Breakdown],0)))^2,"")</f>
        <v>18.419742816206899</v>
      </c>
      <c r="AO988" s="4">
        <f>IFERROR((vp.tbl[[#This Row],[Sulf]]-INDEX(crudeBD.lkup.complete[Mean_Sulf],MATCH(vp.tbl[[#This Row],[Crude_Breakdown]],crudeBD.lkup.complete[Crude Breakdown],0)))^2,"")</f>
        <v>8.1264984286600811E-2</v>
      </c>
      <c r="AP988">
        <f>IF(AND(vp.tbl[[#This Row],[SDate]]&gt;=DATE(YEAR(vp.tbl[[#This Row],[SDate]]),5,1),vp.tbl[[#This Row],[SDate]]&lt;=DATE(YEAR(vp.tbl[[#This Row],[SDate]]),9,15)),1,0)</f>
        <v>0</v>
      </c>
      <c r="AQ988" s="15">
        <f>IF(vp.tbl[[#This Row],[SDate]]&lt;DATE(2016,12,1),0,1)</f>
        <v>1</v>
      </c>
    </row>
    <row r="989" spans="1:43" x14ac:dyDescent="0.25">
      <c r="A989">
        <v>988</v>
      </c>
      <c r="B989" t="s">
        <v>111</v>
      </c>
      <c r="C989" t="s">
        <v>111</v>
      </c>
      <c r="D989" t="s">
        <v>112</v>
      </c>
      <c r="F989" s="1">
        <v>42806</v>
      </c>
      <c r="G989" s="2">
        <v>77.3</v>
      </c>
      <c r="H989" s="2"/>
      <c r="I989" s="2">
        <v>1.86</v>
      </c>
      <c r="J989" s="2">
        <v>26.3</v>
      </c>
      <c r="K989" s="2">
        <v>-14</v>
      </c>
      <c r="L989" s="2">
        <v>856.1</v>
      </c>
      <c r="M989" s="2">
        <v>856.1</v>
      </c>
      <c r="N989" s="2">
        <f ca="1">INDEX(INDIRECT(_xlfn.CONCAT("weather.tbl[",N$1,"]")),MATCH(vp.tbl[[#This Row],[SDate]],weather.tbl[Date],0))</f>
        <v>-17.216666666666669</v>
      </c>
      <c r="O989" s="2">
        <f ca="1">INDEX(INDIRECT(_xlfn.CONCAT("weather.tbl[",O$1,"]")),MATCH(vp.tbl[[#This Row],[SDate]],weather.tbl[Date],0))</f>
        <v>-15.638095238095238</v>
      </c>
      <c r="P989" s="2">
        <f ca="1">INDEX(INDIRECT(_xlfn.CONCAT("weather.tbl[",P$1,"]")),MATCH(vp.tbl[[#This Row],[SDate]],weather.tbl[Date],0))</f>
        <v>-17.3</v>
      </c>
      <c r="Q989" s="2">
        <f ca="1">INDEX(INDIRECT(_xlfn.CONCAT("weather.tbl[",Q$1,"]")),MATCH(vp.tbl[[#This Row],[SDate]],weather.tbl[Date],0))</f>
        <v>-17.3</v>
      </c>
      <c r="R989" s="2">
        <f ca="1">INDEX(INDIRECT(_xlfn.CONCAT("weather.tbl[",R$1,"]")),MATCH(vp.tbl[[#This Row],[SDate]],weather.tbl[Date],0))</f>
        <v>-17</v>
      </c>
      <c r="S989" s="2">
        <f ca="1">INDEX(INDIRECT(_xlfn.CONCAT("weather.tbl[",S$1,"]")),MATCH(vp.tbl[[#This Row],[SDate]],weather.tbl[Date],0))</f>
        <v>-16.8</v>
      </c>
      <c r="T989" s="2">
        <f ca="1">INDEX(INDIRECT(_xlfn.CONCAT("weather.tbl[",T$1,"]")),MATCH(vp.tbl[[#This Row],[SDate]],weather.tbl[Date],0))</f>
        <v>-18.899999999999999</v>
      </c>
      <c r="U989" s="2">
        <f ca="1">INDEX(INDIRECT(_xlfn.CONCAT("weather.tbl[",U$1,"]")),MATCH(vp.tbl[[#This Row],[SDate]],weather.tbl[Date],0))</f>
        <v>-16</v>
      </c>
      <c r="V989" s="2">
        <v>7909.2460000000001</v>
      </c>
      <c r="W989" t="s">
        <v>48</v>
      </c>
      <c r="X989">
        <f>IF(OR(vp.tbl[[#This Row],[Sulf]]="",vp.tbl[[#This Row],[Dens]]=""),1,0)</f>
        <v>0</v>
      </c>
      <c r="Y989">
        <f>IF(vp.tbl[[#This Row],[CrudeType]]="C5+",1,0)</f>
        <v>0</v>
      </c>
      <c r="Z989">
        <f>IF(AND(vp.tbl[[#This Row],[CrudeType]]="Crude",vp.tbl[[#This Row],[Dens]]&lt;=825,vp.tbl[[#This Row],[Sulf]]&gt;0.5,vp.tbl[[#This Row],[Unknown]]=0),1,0)</f>
        <v>0</v>
      </c>
      <c r="AA989">
        <f>IF(AND(vp.tbl[[#This Row],[CrudeType]]="Crude",vp.tbl[[#This Row],[Dens]]&lt;=825,vp.tbl[[#This Row],[Sulf]]&lt;=0.5,vp.tbl[[#This Row],[Unknown]]=0),1,0)</f>
        <v>0</v>
      </c>
      <c r="AB989">
        <f>IF(AND(vp.tbl[[#This Row],[CrudeType]]="Crude",vp.tbl[[#This Row],[Dens]]&gt;825,vp.tbl[[#This Row],[Dens]]&lt;=870,vp.tbl[[#This Row],[Sulf]]&gt;0.5,vp.tbl[[#This Row],[Unknown]]=0),1,0)</f>
        <v>1</v>
      </c>
      <c r="AC989">
        <f>IF(AND(vp.tbl[[#This Row],[CrudeType]]="Crude",vp.tbl[[#This Row],[Dens]]&gt;825,vp.tbl[[#This Row],[Dens]]&lt;=900,vp.tbl[[#This Row],[Sulf]]&lt;=0.5,vp.tbl[[#This Row],[Unknown]]=0),1,0)</f>
        <v>0</v>
      </c>
      <c r="AD989">
        <f>IF(AND(vp.tbl[[#This Row],[CrudeType]]="Crude",vp.tbl[[#This Row],[Dens]]&gt;870,vp.tbl[[#This Row],[Dens]]&lt;=900,vp.tbl[[#This Row],[Sulf]]&gt;0.5,vp.tbl[[#This Row],[Unknown]]=0),1,0)</f>
        <v>0</v>
      </c>
      <c r="AE989">
        <f>IF(AND(vp.tbl[[#This Row],[CrudeType]]="Crude",vp.tbl[[#This Row],[Dens]]&gt;900,vp.tbl[[#This Row],[Sulf]]&lt;=0.5,vp.tbl[[#This Row],[Unknown]]=0),1,0)</f>
        <v>0</v>
      </c>
      <c r="AF989">
        <f>IF(AND(vp.tbl[[#This Row],[CrudeType]]="Crude",vp.tbl[[#This Row],[Dens]]&gt;900,vp.tbl[[#This Row],[Sulf]]&lt;=0.5,vp.tbl[[#This Row],[Unknown]]=0),1,0)</f>
        <v>0</v>
      </c>
      <c r="AG989" t="str">
        <f>INDEX(vp.tbl[[#Headers],[Unknown]:[Heavy_SW]],MATCH(1,vp.tbl[[#This Row],[Unknown]:[Heavy_SW]],0))</f>
        <v>Medium_LSB</v>
      </c>
      <c r="AH989" t="e">
        <f>INDEX([1]!crudeBD.lkup[Number],MATCH(vp.tbl[[#This Row],[Crude_Breakdown]],[1]!crudeBD.lkup[Crude Breakdown],0))</f>
        <v>#REF!</v>
      </c>
      <c r="AI989">
        <f>MONTH(vp.tbl[[#This Row],[SDate]])</f>
        <v>3</v>
      </c>
      <c r="AJ989" s="5">
        <f>IFERROR(vp.tbl[[#This Row],[Sulf]]*vp.tbl[[#This Row],[Net Dens]],"")</f>
        <v>12594256.231116001</v>
      </c>
      <c r="AK989" s="5">
        <f>IFERROR(vp.tbl[[#This Row],[Dens]]*vp.tbl[[#This Row],[VolumeM3]],"")</f>
        <v>6771105.5005999999</v>
      </c>
      <c r="AL989" s="5">
        <f>IFERROR(vp.tbl[[#This Row],[VP]]*vp.tbl[[#This Row],[VolumeM3]],"")</f>
        <v>611384.71580000001</v>
      </c>
      <c r="AM989" s="4">
        <f>IFERROR((vp.tbl[[#This Row],[VP]]-INDEX(crudeBD.lkup.complete[Mean_VP],MATCH(vp.tbl[[#This Row],[Crude_Breakdown]],crudeBD.lkup.complete[Crude Breakdown],0)))^2,"")</f>
        <v>8.2575478602786063</v>
      </c>
      <c r="AN989" s="4">
        <f>IFERROR((vp.tbl[[#This Row],[Dens]]-INDEX(crudeBD.lkup.complete[Mean_Dens],MATCH(vp.tbl[[#This Row],[Crude_Breakdown]],crudeBD.lkup.complete[Crude Breakdown],0)))^2,"")</f>
        <v>116.81669471497131</v>
      </c>
      <c r="AO989" s="4">
        <f>IFERROR((vp.tbl[[#This Row],[Sulf]]-INDEX(crudeBD.lkup.complete[Mean_Sulf],MATCH(vp.tbl[[#This Row],[Crude_Breakdown]],crudeBD.lkup.complete[Crude Breakdown],0)))^2,"")</f>
        <v>0.16408181770432206</v>
      </c>
      <c r="AP989">
        <f>IF(AND(vp.tbl[[#This Row],[SDate]]&gt;=DATE(YEAR(vp.tbl[[#This Row],[SDate]]),5,1),vp.tbl[[#This Row],[SDate]]&lt;=DATE(YEAR(vp.tbl[[#This Row],[SDate]]),9,15)),1,0)</f>
        <v>0</v>
      </c>
      <c r="AQ989" s="15">
        <f>IF(vp.tbl[[#This Row],[SDate]]&lt;DATE(2016,12,1),0,1)</f>
        <v>1</v>
      </c>
    </row>
    <row r="990" spans="1:43" x14ac:dyDescent="0.25">
      <c r="A990">
        <v>989</v>
      </c>
      <c r="B990" t="s">
        <v>68</v>
      </c>
      <c r="C990" t="s">
        <v>68</v>
      </c>
      <c r="D990" t="s">
        <v>69</v>
      </c>
      <c r="F990" s="1">
        <v>42806</v>
      </c>
      <c r="G990" s="2">
        <v>79.2</v>
      </c>
      <c r="H990" s="2"/>
      <c r="I990" s="2">
        <v>1.7</v>
      </c>
      <c r="J990" s="2">
        <v>15</v>
      </c>
      <c r="K990" s="2">
        <v>-14</v>
      </c>
      <c r="L990" s="2">
        <v>859</v>
      </c>
      <c r="M990" s="2">
        <v>859</v>
      </c>
      <c r="N990" s="2">
        <f ca="1">INDEX(INDIRECT(_xlfn.CONCAT("weather.tbl[",N$1,"]")),MATCH(vp.tbl[[#This Row],[SDate]],weather.tbl[Date],0))</f>
        <v>-17.216666666666669</v>
      </c>
      <c r="O990" s="2">
        <f ca="1">INDEX(INDIRECT(_xlfn.CONCAT("weather.tbl[",O$1,"]")),MATCH(vp.tbl[[#This Row],[SDate]],weather.tbl[Date],0))</f>
        <v>-15.638095238095238</v>
      </c>
      <c r="P990" s="2">
        <f ca="1">INDEX(INDIRECT(_xlfn.CONCAT("weather.tbl[",P$1,"]")),MATCH(vp.tbl[[#This Row],[SDate]],weather.tbl[Date],0))</f>
        <v>-17.3</v>
      </c>
      <c r="Q990" s="2">
        <f ca="1">INDEX(INDIRECT(_xlfn.CONCAT("weather.tbl[",Q$1,"]")),MATCH(vp.tbl[[#This Row],[SDate]],weather.tbl[Date],0))</f>
        <v>-17.3</v>
      </c>
      <c r="R990" s="2">
        <f ca="1">INDEX(INDIRECT(_xlfn.CONCAT("weather.tbl[",R$1,"]")),MATCH(vp.tbl[[#This Row],[SDate]],weather.tbl[Date],0))</f>
        <v>-17</v>
      </c>
      <c r="S990" s="2">
        <f ca="1">INDEX(INDIRECT(_xlfn.CONCAT("weather.tbl[",S$1,"]")),MATCH(vp.tbl[[#This Row],[SDate]],weather.tbl[Date],0))</f>
        <v>-16.8</v>
      </c>
      <c r="T990" s="2">
        <f ca="1">INDEX(INDIRECT(_xlfn.CONCAT("weather.tbl[",T$1,"]")),MATCH(vp.tbl[[#This Row],[SDate]],weather.tbl[Date],0))</f>
        <v>-18.899999999999999</v>
      </c>
      <c r="U990" s="2">
        <f ca="1">INDEX(INDIRECT(_xlfn.CONCAT("weather.tbl[",U$1,"]")),MATCH(vp.tbl[[#This Row],[SDate]],weather.tbl[Date],0))</f>
        <v>-16</v>
      </c>
      <c r="V990" s="2">
        <v>1425.6389999999999</v>
      </c>
      <c r="W990" t="s">
        <v>48</v>
      </c>
      <c r="X990">
        <f>IF(OR(vp.tbl[[#This Row],[Sulf]]="",vp.tbl[[#This Row],[Dens]]=""),1,0)</f>
        <v>0</v>
      </c>
      <c r="Y990">
        <f>IF(vp.tbl[[#This Row],[CrudeType]]="C5+",1,0)</f>
        <v>0</v>
      </c>
      <c r="Z990">
        <f>IF(AND(vp.tbl[[#This Row],[CrudeType]]="Crude",vp.tbl[[#This Row],[Dens]]&lt;=825,vp.tbl[[#This Row],[Sulf]]&gt;0.5,vp.tbl[[#This Row],[Unknown]]=0),1,0)</f>
        <v>0</v>
      </c>
      <c r="AA990">
        <f>IF(AND(vp.tbl[[#This Row],[CrudeType]]="Crude",vp.tbl[[#This Row],[Dens]]&lt;=825,vp.tbl[[#This Row],[Sulf]]&lt;=0.5,vp.tbl[[#This Row],[Unknown]]=0),1,0)</f>
        <v>0</v>
      </c>
      <c r="AB990">
        <f>IF(AND(vp.tbl[[#This Row],[CrudeType]]="Crude",vp.tbl[[#This Row],[Dens]]&gt;825,vp.tbl[[#This Row],[Dens]]&lt;=870,vp.tbl[[#This Row],[Sulf]]&gt;0.5,vp.tbl[[#This Row],[Unknown]]=0),1,0)</f>
        <v>1</v>
      </c>
      <c r="AC990">
        <f>IF(AND(vp.tbl[[#This Row],[CrudeType]]="Crude",vp.tbl[[#This Row],[Dens]]&gt;825,vp.tbl[[#This Row],[Dens]]&lt;=900,vp.tbl[[#This Row],[Sulf]]&lt;=0.5,vp.tbl[[#This Row],[Unknown]]=0),1,0)</f>
        <v>0</v>
      </c>
      <c r="AD990">
        <f>IF(AND(vp.tbl[[#This Row],[CrudeType]]="Crude",vp.tbl[[#This Row],[Dens]]&gt;870,vp.tbl[[#This Row],[Dens]]&lt;=900,vp.tbl[[#This Row],[Sulf]]&gt;0.5,vp.tbl[[#This Row],[Unknown]]=0),1,0)</f>
        <v>0</v>
      </c>
      <c r="AE990">
        <f>IF(AND(vp.tbl[[#This Row],[CrudeType]]="Crude",vp.tbl[[#This Row],[Dens]]&gt;900,vp.tbl[[#This Row],[Sulf]]&lt;=0.5,vp.tbl[[#This Row],[Unknown]]=0),1,0)</f>
        <v>0</v>
      </c>
      <c r="AF990">
        <f>IF(AND(vp.tbl[[#This Row],[CrudeType]]="Crude",vp.tbl[[#This Row],[Dens]]&gt;900,vp.tbl[[#This Row],[Sulf]]&lt;=0.5,vp.tbl[[#This Row],[Unknown]]=0),1,0)</f>
        <v>0</v>
      </c>
      <c r="AG990" t="str">
        <f>INDEX(vp.tbl[[#Headers],[Unknown]:[Heavy_SW]],MATCH(1,vp.tbl[[#This Row],[Unknown]:[Heavy_SW]],0))</f>
        <v>Medium_LSB</v>
      </c>
      <c r="AH990" t="e">
        <f>INDEX([1]!crudeBD.lkup[Number],MATCH(vp.tbl[[#This Row],[Crude_Breakdown]],[1]!crudeBD.lkup[Crude Breakdown],0))</f>
        <v>#REF!</v>
      </c>
      <c r="AI990">
        <f>MONTH(vp.tbl[[#This Row],[SDate]])</f>
        <v>3</v>
      </c>
      <c r="AJ990" s="5">
        <f>IFERROR(vp.tbl[[#This Row],[Sulf]]*vp.tbl[[#This Row],[Net Dens]],"")</f>
        <v>2081860.6316999996</v>
      </c>
      <c r="AK990" s="5">
        <f>IFERROR(vp.tbl[[#This Row],[Dens]]*vp.tbl[[#This Row],[VolumeM3]],"")</f>
        <v>1224623.9009999998</v>
      </c>
      <c r="AL990" s="5">
        <f>IFERROR(vp.tbl[[#This Row],[VP]]*vp.tbl[[#This Row],[VolumeM3]],"")</f>
        <v>112910.6088</v>
      </c>
      <c r="AM990" s="4">
        <f>IFERROR((vp.tbl[[#This Row],[VP]]-INDEX(crudeBD.lkup.complete[Mean_VP],MATCH(vp.tbl[[#This Row],[Crude_Breakdown]],crudeBD.lkup.complete[Crude Breakdown],0)))^2,"")</f>
        <v>0.94788710078505323</v>
      </c>
      <c r="AN990" s="4">
        <f>IFERROR((vp.tbl[[#This Row],[Dens]]-INDEX(crudeBD.lkup.complete[Mean_Dens],MATCH(vp.tbl[[#This Row],[Crude_Breakdown]],crudeBD.lkup.complete[Crude Breakdown],0)))^2,"")</f>
        <v>187.9141225630778</v>
      </c>
      <c r="AO990" s="4">
        <f>IFERROR((vp.tbl[[#This Row],[Sulf]]-INDEX(crudeBD.lkup.complete[Mean_Sulf],MATCH(vp.tbl[[#This Row],[Crude_Breakdown]],crudeBD.lkup.complete[Crude Breakdown],0)))^2,"")</f>
        <v>6.0059373147360415E-2</v>
      </c>
      <c r="AP990">
        <f>IF(AND(vp.tbl[[#This Row],[SDate]]&gt;=DATE(YEAR(vp.tbl[[#This Row],[SDate]]),5,1),vp.tbl[[#This Row],[SDate]]&lt;=DATE(YEAR(vp.tbl[[#This Row],[SDate]]),9,15)),1,0)</f>
        <v>0</v>
      </c>
      <c r="AQ990" s="15">
        <f>IF(vp.tbl[[#This Row],[SDate]]&lt;DATE(2016,12,1),0,1)</f>
        <v>1</v>
      </c>
    </row>
    <row r="991" spans="1:43" x14ac:dyDescent="0.25">
      <c r="A991">
        <v>990</v>
      </c>
      <c r="B991" t="s">
        <v>46</v>
      </c>
      <c r="C991" t="s">
        <v>46</v>
      </c>
      <c r="D991" t="s">
        <v>47</v>
      </c>
      <c r="F991" s="1">
        <v>42806</v>
      </c>
      <c r="G991" s="2">
        <v>68.8</v>
      </c>
      <c r="H991" s="2"/>
      <c r="I991" s="2">
        <v>2.38</v>
      </c>
      <c r="J991" s="2">
        <v>26.5</v>
      </c>
      <c r="K991" s="2">
        <v>-14</v>
      </c>
      <c r="L991" s="2">
        <v>866.7</v>
      </c>
      <c r="M991" s="2">
        <v>866.7</v>
      </c>
      <c r="N991" s="2">
        <f ca="1">INDEX(INDIRECT(_xlfn.CONCAT("weather.tbl[",N$1,"]")),MATCH(vp.tbl[[#This Row],[SDate]],weather.tbl[Date],0))</f>
        <v>-17.216666666666669</v>
      </c>
      <c r="O991" s="2">
        <f ca="1">INDEX(INDIRECT(_xlfn.CONCAT("weather.tbl[",O$1,"]")),MATCH(vp.tbl[[#This Row],[SDate]],weather.tbl[Date],0))</f>
        <v>-15.638095238095238</v>
      </c>
      <c r="P991" s="2">
        <f ca="1">INDEX(INDIRECT(_xlfn.CONCAT("weather.tbl[",P$1,"]")),MATCH(vp.tbl[[#This Row],[SDate]],weather.tbl[Date],0))</f>
        <v>-17.3</v>
      </c>
      <c r="Q991" s="2">
        <f ca="1">INDEX(INDIRECT(_xlfn.CONCAT("weather.tbl[",Q$1,"]")),MATCH(vp.tbl[[#This Row],[SDate]],weather.tbl[Date],0))</f>
        <v>-17.3</v>
      </c>
      <c r="R991" s="2">
        <f ca="1">INDEX(INDIRECT(_xlfn.CONCAT("weather.tbl[",R$1,"]")),MATCH(vp.tbl[[#This Row],[SDate]],weather.tbl[Date],0))</f>
        <v>-17</v>
      </c>
      <c r="S991" s="2">
        <f ca="1">INDEX(INDIRECT(_xlfn.CONCAT("weather.tbl[",S$1,"]")),MATCH(vp.tbl[[#This Row],[SDate]],weather.tbl[Date],0))</f>
        <v>-16.8</v>
      </c>
      <c r="T991" s="2">
        <f ca="1">INDEX(INDIRECT(_xlfn.CONCAT("weather.tbl[",T$1,"]")),MATCH(vp.tbl[[#This Row],[SDate]],weather.tbl[Date],0))</f>
        <v>-18.899999999999999</v>
      </c>
      <c r="U991" s="2">
        <f ca="1">INDEX(INDIRECT(_xlfn.CONCAT("weather.tbl[",U$1,"]")),MATCH(vp.tbl[[#This Row],[SDate]],weather.tbl[Date],0))</f>
        <v>-16</v>
      </c>
      <c r="V991" s="2">
        <v>118908.394</v>
      </c>
      <c r="W991" t="s">
        <v>48</v>
      </c>
      <c r="X991">
        <f>IF(OR(vp.tbl[[#This Row],[Sulf]]="",vp.tbl[[#This Row],[Dens]]=""),1,0)</f>
        <v>0</v>
      </c>
      <c r="Y991">
        <f>IF(vp.tbl[[#This Row],[CrudeType]]="C5+",1,0)</f>
        <v>0</v>
      </c>
      <c r="Z991">
        <f>IF(AND(vp.tbl[[#This Row],[CrudeType]]="Crude",vp.tbl[[#This Row],[Dens]]&lt;=825,vp.tbl[[#This Row],[Sulf]]&gt;0.5,vp.tbl[[#This Row],[Unknown]]=0),1,0)</f>
        <v>0</v>
      </c>
      <c r="AA991">
        <f>IF(AND(vp.tbl[[#This Row],[CrudeType]]="Crude",vp.tbl[[#This Row],[Dens]]&lt;=825,vp.tbl[[#This Row],[Sulf]]&lt;=0.5,vp.tbl[[#This Row],[Unknown]]=0),1,0)</f>
        <v>0</v>
      </c>
      <c r="AB991">
        <f>IF(AND(vp.tbl[[#This Row],[CrudeType]]="Crude",vp.tbl[[#This Row],[Dens]]&gt;825,vp.tbl[[#This Row],[Dens]]&lt;=870,vp.tbl[[#This Row],[Sulf]]&gt;0.5,vp.tbl[[#This Row],[Unknown]]=0),1,0)</f>
        <v>1</v>
      </c>
      <c r="AC991">
        <f>IF(AND(vp.tbl[[#This Row],[CrudeType]]="Crude",vp.tbl[[#This Row],[Dens]]&gt;825,vp.tbl[[#This Row],[Dens]]&lt;=900,vp.tbl[[#This Row],[Sulf]]&lt;=0.5,vp.tbl[[#This Row],[Unknown]]=0),1,0)</f>
        <v>0</v>
      </c>
      <c r="AD991">
        <f>IF(AND(vp.tbl[[#This Row],[CrudeType]]="Crude",vp.tbl[[#This Row],[Dens]]&gt;870,vp.tbl[[#This Row],[Dens]]&lt;=900,vp.tbl[[#This Row],[Sulf]]&gt;0.5,vp.tbl[[#This Row],[Unknown]]=0),1,0)</f>
        <v>0</v>
      </c>
      <c r="AE991">
        <f>IF(AND(vp.tbl[[#This Row],[CrudeType]]="Crude",vp.tbl[[#This Row],[Dens]]&gt;900,vp.tbl[[#This Row],[Sulf]]&lt;=0.5,vp.tbl[[#This Row],[Unknown]]=0),1,0)</f>
        <v>0</v>
      </c>
      <c r="AF991">
        <f>IF(AND(vp.tbl[[#This Row],[CrudeType]]="Crude",vp.tbl[[#This Row],[Dens]]&gt;900,vp.tbl[[#This Row],[Sulf]]&lt;=0.5,vp.tbl[[#This Row],[Unknown]]=0),1,0)</f>
        <v>0</v>
      </c>
      <c r="AG991" t="str">
        <f>INDEX(vp.tbl[[#Headers],[Unknown]:[Heavy_SW]],MATCH(1,vp.tbl[[#This Row],[Unknown]:[Heavy_SW]],0))</f>
        <v>Medium_LSB</v>
      </c>
      <c r="AH991" t="e">
        <f>INDEX([1]!crudeBD.lkup[Number],MATCH(vp.tbl[[#This Row],[Crude_Breakdown]],[1]!crudeBD.lkup[Crude Breakdown],0))</f>
        <v>#REF!</v>
      </c>
      <c r="AI991">
        <f>MONTH(vp.tbl[[#This Row],[SDate]])</f>
        <v>3</v>
      </c>
      <c r="AJ991" s="5">
        <f>IFERROR(vp.tbl[[#This Row],[Sulf]]*vp.tbl[[#This Row],[Net Dens]],"")</f>
        <v>245277814.08992401</v>
      </c>
      <c r="AK991" s="5">
        <f>IFERROR(vp.tbl[[#This Row],[Dens]]*vp.tbl[[#This Row],[VolumeM3]],"")</f>
        <v>103057905.07980001</v>
      </c>
      <c r="AL991" s="5">
        <f>IFERROR(vp.tbl[[#This Row],[VP]]*vp.tbl[[#This Row],[VolumeM3]],"")</f>
        <v>8180897.5071999999</v>
      </c>
      <c r="AM991" s="4">
        <f>IFERROR((vp.tbl[[#This Row],[VP]]-INDEX(crudeBD.lkup.complete[Mean_VP],MATCH(vp.tbl[[#This Row],[Crude_Breakdown]],crudeBD.lkup.complete[Crude Breakdown],0)))^2,"")</f>
        <v>129.35866178432866</v>
      </c>
      <c r="AN991" s="4">
        <f>IFERROR((vp.tbl[[#This Row],[Dens]]-INDEX(crudeBD.lkup.complete[Mean_Dens],MATCH(vp.tbl[[#This Row],[Crude_Breakdown]],crudeBD.lkup.complete[Crude Breakdown],0)))^2,"")</f>
        <v>458.31005167701898</v>
      </c>
      <c r="AO991" s="4">
        <f>IFERROR((vp.tbl[[#This Row],[Sulf]]-INDEX(crudeBD.lkup.complete[Mean_Sulf],MATCH(vp.tbl[[#This Row],[Crude_Breakdown]],crudeBD.lkup.complete[Crude Breakdown],0)))^2,"")</f>
        <v>0.85575476251444682</v>
      </c>
      <c r="AP991">
        <f>IF(AND(vp.tbl[[#This Row],[SDate]]&gt;=DATE(YEAR(vp.tbl[[#This Row],[SDate]]),5,1),vp.tbl[[#This Row],[SDate]]&lt;=DATE(YEAR(vp.tbl[[#This Row],[SDate]]),9,15)),1,0)</f>
        <v>0</v>
      </c>
      <c r="AQ991" s="15">
        <f>IF(vp.tbl[[#This Row],[SDate]]&lt;DATE(2016,12,1),0,1)</f>
        <v>1</v>
      </c>
    </row>
    <row r="992" spans="1:43" x14ac:dyDescent="0.25">
      <c r="A992">
        <v>991</v>
      </c>
      <c r="B992" t="s">
        <v>51</v>
      </c>
      <c r="C992" t="s">
        <v>51</v>
      </c>
      <c r="D992" t="s">
        <v>52</v>
      </c>
      <c r="F992" s="1">
        <v>42806</v>
      </c>
      <c r="G992" s="2">
        <v>85.9</v>
      </c>
      <c r="H992" s="2"/>
      <c r="I992" s="2">
        <v>2.2999999999999998</v>
      </c>
      <c r="J992" s="2">
        <v>28</v>
      </c>
      <c r="K992" s="2">
        <v>-14</v>
      </c>
      <c r="L992" s="2">
        <v>867.9</v>
      </c>
      <c r="M992" s="2">
        <v>867.9</v>
      </c>
      <c r="N992" s="2">
        <f ca="1">INDEX(INDIRECT(_xlfn.CONCAT("weather.tbl[",N$1,"]")),MATCH(vp.tbl[[#This Row],[SDate]],weather.tbl[Date],0))</f>
        <v>-17.216666666666669</v>
      </c>
      <c r="O992" s="2">
        <f ca="1">INDEX(INDIRECT(_xlfn.CONCAT("weather.tbl[",O$1,"]")),MATCH(vp.tbl[[#This Row],[SDate]],weather.tbl[Date],0))</f>
        <v>-15.638095238095238</v>
      </c>
      <c r="P992" s="2">
        <f ca="1">INDEX(INDIRECT(_xlfn.CONCAT("weather.tbl[",P$1,"]")),MATCH(vp.tbl[[#This Row],[SDate]],weather.tbl[Date],0))</f>
        <v>-17.3</v>
      </c>
      <c r="Q992" s="2">
        <f ca="1">INDEX(INDIRECT(_xlfn.CONCAT("weather.tbl[",Q$1,"]")),MATCH(vp.tbl[[#This Row],[SDate]],weather.tbl[Date],0))</f>
        <v>-17.3</v>
      </c>
      <c r="R992" s="2">
        <f ca="1">INDEX(INDIRECT(_xlfn.CONCAT("weather.tbl[",R$1,"]")),MATCH(vp.tbl[[#This Row],[SDate]],weather.tbl[Date],0))</f>
        <v>-17</v>
      </c>
      <c r="S992" s="2">
        <f ca="1">INDEX(INDIRECT(_xlfn.CONCAT("weather.tbl[",S$1,"]")),MATCH(vp.tbl[[#This Row],[SDate]],weather.tbl[Date],0))</f>
        <v>-16.8</v>
      </c>
      <c r="T992" s="2">
        <f ca="1">INDEX(INDIRECT(_xlfn.CONCAT("weather.tbl[",T$1,"]")),MATCH(vp.tbl[[#This Row],[SDate]],weather.tbl[Date],0))</f>
        <v>-18.899999999999999</v>
      </c>
      <c r="U992" s="2">
        <f ca="1">INDEX(INDIRECT(_xlfn.CONCAT("weather.tbl[",U$1,"]")),MATCH(vp.tbl[[#This Row],[SDate]],weather.tbl[Date],0))</f>
        <v>-16</v>
      </c>
      <c r="V992" s="2">
        <v>7335.8190000000004</v>
      </c>
      <c r="W992" t="s">
        <v>48</v>
      </c>
      <c r="X992">
        <f>IF(OR(vp.tbl[[#This Row],[Sulf]]="",vp.tbl[[#This Row],[Dens]]=""),1,0)</f>
        <v>0</v>
      </c>
      <c r="Y992">
        <f>IF(vp.tbl[[#This Row],[CrudeType]]="C5+",1,0)</f>
        <v>0</v>
      </c>
      <c r="Z992">
        <f>IF(AND(vp.tbl[[#This Row],[CrudeType]]="Crude",vp.tbl[[#This Row],[Dens]]&lt;=825,vp.tbl[[#This Row],[Sulf]]&gt;0.5,vp.tbl[[#This Row],[Unknown]]=0),1,0)</f>
        <v>0</v>
      </c>
      <c r="AA992">
        <f>IF(AND(vp.tbl[[#This Row],[CrudeType]]="Crude",vp.tbl[[#This Row],[Dens]]&lt;=825,vp.tbl[[#This Row],[Sulf]]&lt;=0.5,vp.tbl[[#This Row],[Unknown]]=0),1,0)</f>
        <v>0</v>
      </c>
      <c r="AB992">
        <f>IF(AND(vp.tbl[[#This Row],[CrudeType]]="Crude",vp.tbl[[#This Row],[Dens]]&gt;825,vp.tbl[[#This Row],[Dens]]&lt;=870,vp.tbl[[#This Row],[Sulf]]&gt;0.5,vp.tbl[[#This Row],[Unknown]]=0),1,0)</f>
        <v>1</v>
      </c>
      <c r="AC992">
        <f>IF(AND(vp.tbl[[#This Row],[CrudeType]]="Crude",vp.tbl[[#This Row],[Dens]]&gt;825,vp.tbl[[#This Row],[Dens]]&lt;=900,vp.tbl[[#This Row],[Sulf]]&lt;=0.5,vp.tbl[[#This Row],[Unknown]]=0),1,0)</f>
        <v>0</v>
      </c>
      <c r="AD992">
        <f>IF(AND(vp.tbl[[#This Row],[CrudeType]]="Crude",vp.tbl[[#This Row],[Dens]]&gt;870,vp.tbl[[#This Row],[Dens]]&lt;=900,vp.tbl[[#This Row],[Sulf]]&gt;0.5,vp.tbl[[#This Row],[Unknown]]=0),1,0)</f>
        <v>0</v>
      </c>
      <c r="AE992">
        <f>IF(AND(vp.tbl[[#This Row],[CrudeType]]="Crude",vp.tbl[[#This Row],[Dens]]&gt;900,vp.tbl[[#This Row],[Sulf]]&lt;=0.5,vp.tbl[[#This Row],[Unknown]]=0),1,0)</f>
        <v>0</v>
      </c>
      <c r="AF992">
        <f>IF(AND(vp.tbl[[#This Row],[CrudeType]]="Crude",vp.tbl[[#This Row],[Dens]]&gt;900,vp.tbl[[#This Row],[Sulf]]&lt;=0.5,vp.tbl[[#This Row],[Unknown]]=0),1,0)</f>
        <v>0</v>
      </c>
      <c r="AG992" t="str">
        <f>INDEX(vp.tbl[[#Headers],[Unknown]:[Heavy_SW]],MATCH(1,vp.tbl[[#This Row],[Unknown]:[Heavy_SW]],0))</f>
        <v>Medium_LSB</v>
      </c>
      <c r="AH992" t="e">
        <f>INDEX([1]!crudeBD.lkup[Number],MATCH(vp.tbl[[#This Row],[Crude_Breakdown]],[1]!crudeBD.lkup[Crude Breakdown],0))</f>
        <v>#REF!</v>
      </c>
      <c r="AI992">
        <f>MONTH(vp.tbl[[#This Row],[SDate]])</f>
        <v>3</v>
      </c>
      <c r="AJ992" s="5">
        <f>IFERROR(vp.tbl[[#This Row],[Sulf]]*vp.tbl[[#This Row],[Net Dens]],"")</f>
        <v>14643541.81323</v>
      </c>
      <c r="AK992" s="5">
        <f>IFERROR(vp.tbl[[#This Row],[Dens]]*vp.tbl[[#This Row],[VolumeM3]],"")</f>
        <v>6366757.3101000004</v>
      </c>
      <c r="AL992" s="5">
        <f>IFERROR(vp.tbl[[#This Row],[VP]]*vp.tbl[[#This Row],[VolumeM3]],"")</f>
        <v>630146.85210000013</v>
      </c>
      <c r="AM992" s="4">
        <f>IFERROR((vp.tbl[[#This Row],[VP]]-INDEX(crudeBD.lkup.complete[Mean_VP],MATCH(vp.tbl[[#This Row],[Crude_Breakdown]],crudeBD.lkup.complete[Crude Breakdown],0)))^2,"")</f>
        <v>32.791714948886884</v>
      </c>
      <c r="AN992" s="4">
        <f>IFERROR((vp.tbl[[#This Row],[Dens]]-INDEX(crudeBD.lkup.complete[Mean_Dens],MATCH(vp.tbl[[#This Row],[Crude_Breakdown]],crudeBD.lkup.complete[Crude Breakdown],0)))^2,"")</f>
        <v>511.12967699347405</v>
      </c>
      <c r="AO992" s="4">
        <f>IFERROR((vp.tbl[[#This Row],[Sulf]]-INDEX(crudeBD.lkup.complete[Mean_Sulf],MATCH(vp.tbl[[#This Row],[Crude_Breakdown]],crudeBD.lkup.complete[Crude Breakdown],0)))^2,"")</f>
        <v>0.71414354023596593</v>
      </c>
      <c r="AP992">
        <f>IF(AND(vp.tbl[[#This Row],[SDate]]&gt;=DATE(YEAR(vp.tbl[[#This Row],[SDate]]),5,1),vp.tbl[[#This Row],[SDate]]&lt;=DATE(YEAR(vp.tbl[[#This Row],[SDate]]),9,15)),1,0)</f>
        <v>0</v>
      </c>
      <c r="AQ992" s="15">
        <f>IF(vp.tbl[[#This Row],[SDate]]&lt;DATE(2016,12,1),0,1)</f>
        <v>1</v>
      </c>
    </row>
    <row r="993" spans="1:43" x14ac:dyDescent="0.25">
      <c r="A993">
        <v>992</v>
      </c>
      <c r="B993" t="s">
        <v>49</v>
      </c>
      <c r="C993" t="s">
        <v>49</v>
      </c>
      <c r="D993" t="s">
        <v>75</v>
      </c>
      <c r="F993" s="1">
        <v>42807</v>
      </c>
      <c r="G993" s="2">
        <v>85.3</v>
      </c>
      <c r="H993" s="2">
        <v>0.16800000000000001</v>
      </c>
      <c r="I993" s="2">
        <v>0.16800000000000001</v>
      </c>
      <c r="J993" s="2">
        <v>29.7</v>
      </c>
      <c r="K993" s="2">
        <v>-18</v>
      </c>
      <c r="L993" s="2">
        <v>802.6</v>
      </c>
      <c r="M993" s="2">
        <v>802.6</v>
      </c>
      <c r="N993" s="2">
        <f ca="1">INDEX(INDIRECT(_xlfn.CONCAT("weather.tbl[",N$1,"]")),MATCH(vp.tbl[[#This Row],[SDate]],weather.tbl[Date],0))</f>
        <v>-17.566666666666666</v>
      </c>
      <c r="O993" s="2">
        <f ca="1">INDEX(INDIRECT(_xlfn.CONCAT("weather.tbl[",O$1,"]")),MATCH(vp.tbl[[#This Row],[SDate]],weather.tbl[Date],0))</f>
        <v>-17.119047619047617</v>
      </c>
      <c r="P993" s="2">
        <f ca="1">INDEX(INDIRECT(_xlfn.CONCAT("weather.tbl[",P$1,"]")),MATCH(vp.tbl[[#This Row],[SDate]],weather.tbl[Date],0))</f>
        <v>-17.399999999999999</v>
      </c>
      <c r="Q993" s="2">
        <f ca="1">INDEX(INDIRECT(_xlfn.CONCAT("weather.tbl[",Q$1,"]")),MATCH(vp.tbl[[#This Row],[SDate]],weather.tbl[Date],0))</f>
        <v>-16.7</v>
      </c>
      <c r="R993" s="2">
        <f ca="1">INDEX(INDIRECT(_xlfn.CONCAT("weather.tbl[",R$1,"]")),MATCH(vp.tbl[[#This Row],[SDate]],weather.tbl[Date],0))</f>
        <v>-17</v>
      </c>
      <c r="S993" s="2">
        <f ca="1">INDEX(INDIRECT(_xlfn.CONCAT("weather.tbl[",S$1,"]")),MATCH(vp.tbl[[#This Row],[SDate]],weather.tbl[Date],0))</f>
        <v>-16.5</v>
      </c>
      <c r="T993" s="2">
        <f ca="1">INDEX(INDIRECT(_xlfn.CONCAT("weather.tbl[",T$1,"]")),MATCH(vp.tbl[[#This Row],[SDate]],weather.tbl[Date],0))</f>
        <v>-20</v>
      </c>
      <c r="U993" s="2">
        <f ca="1">INDEX(INDIRECT(_xlfn.CONCAT("weather.tbl[",U$1,"]")),MATCH(vp.tbl[[#This Row],[SDate]],weather.tbl[Date],0))</f>
        <v>-17.8</v>
      </c>
      <c r="V993" s="2">
        <v>1638.6679999999999</v>
      </c>
      <c r="W993" t="s">
        <v>48</v>
      </c>
      <c r="X993">
        <f>IF(OR(vp.tbl[[#This Row],[Sulf]]="",vp.tbl[[#This Row],[Dens]]=""),1,0)</f>
        <v>0</v>
      </c>
      <c r="Y993">
        <f>IF(vp.tbl[[#This Row],[CrudeType]]="C5+",1,0)</f>
        <v>0</v>
      </c>
      <c r="Z993">
        <f>IF(AND(vp.tbl[[#This Row],[CrudeType]]="Crude",vp.tbl[[#This Row],[Dens]]&lt;=825,vp.tbl[[#This Row],[Sulf]]&gt;0.5,vp.tbl[[#This Row],[Unknown]]=0),1,0)</f>
        <v>0</v>
      </c>
      <c r="AA993">
        <f>IF(AND(vp.tbl[[#This Row],[CrudeType]]="Crude",vp.tbl[[#This Row],[Dens]]&lt;=825,vp.tbl[[#This Row],[Sulf]]&lt;=0.5,vp.tbl[[#This Row],[Unknown]]=0),1,0)</f>
        <v>1</v>
      </c>
      <c r="AB993">
        <f>IF(AND(vp.tbl[[#This Row],[CrudeType]]="Crude",vp.tbl[[#This Row],[Dens]]&gt;825,vp.tbl[[#This Row],[Dens]]&lt;=870,vp.tbl[[#This Row],[Sulf]]&gt;0.5,vp.tbl[[#This Row],[Unknown]]=0),1,0)</f>
        <v>0</v>
      </c>
      <c r="AC993">
        <f>IF(AND(vp.tbl[[#This Row],[CrudeType]]="Crude",vp.tbl[[#This Row],[Dens]]&gt;825,vp.tbl[[#This Row],[Dens]]&lt;=900,vp.tbl[[#This Row],[Sulf]]&lt;=0.5,vp.tbl[[#This Row],[Unknown]]=0),1,0)</f>
        <v>0</v>
      </c>
      <c r="AD993">
        <f>IF(AND(vp.tbl[[#This Row],[CrudeType]]="Crude",vp.tbl[[#This Row],[Dens]]&gt;870,vp.tbl[[#This Row],[Dens]]&lt;=900,vp.tbl[[#This Row],[Sulf]]&gt;0.5,vp.tbl[[#This Row],[Unknown]]=0),1,0)</f>
        <v>0</v>
      </c>
      <c r="AE993">
        <f>IF(AND(vp.tbl[[#This Row],[CrudeType]]="Crude",vp.tbl[[#This Row],[Dens]]&gt;900,vp.tbl[[#This Row],[Sulf]]&lt;=0.5,vp.tbl[[#This Row],[Unknown]]=0),1,0)</f>
        <v>0</v>
      </c>
      <c r="AF993">
        <f>IF(AND(vp.tbl[[#This Row],[CrudeType]]="Crude",vp.tbl[[#This Row],[Dens]]&gt;900,vp.tbl[[#This Row],[Sulf]]&lt;=0.5,vp.tbl[[#This Row],[Unknown]]=0),1,0)</f>
        <v>0</v>
      </c>
      <c r="AG993" t="str">
        <f>INDEX(vp.tbl[[#Headers],[Unknown]:[Heavy_SW]],MATCH(1,vp.tbl[[#This Row],[Unknown]:[Heavy_SW]],0))</f>
        <v>Light_SW</v>
      </c>
      <c r="AH993" t="e">
        <f>INDEX([1]!crudeBD.lkup[Number],MATCH(vp.tbl[[#This Row],[Crude_Breakdown]],[1]!crudeBD.lkup[Crude Breakdown],0))</f>
        <v>#REF!</v>
      </c>
      <c r="AI993">
        <f>MONTH(vp.tbl[[#This Row],[SDate]])</f>
        <v>3</v>
      </c>
      <c r="AJ993" s="5">
        <f>IFERROR(vp.tbl[[#This Row],[Sulf]]*vp.tbl[[#This Row],[Net Dens]],"")</f>
        <v>220952.74938240001</v>
      </c>
      <c r="AK993" s="5">
        <f>IFERROR(vp.tbl[[#This Row],[Dens]]*vp.tbl[[#This Row],[VolumeM3]],"")</f>
        <v>1315194.9368</v>
      </c>
      <c r="AL993" s="5">
        <f>IFERROR(vp.tbl[[#This Row],[VP]]*vp.tbl[[#This Row],[VolumeM3]],"")</f>
        <v>139778.38039999999</v>
      </c>
      <c r="AM993" s="4">
        <f>IFERROR((vp.tbl[[#This Row],[VP]]-INDEX(crudeBD.lkup.complete[Mean_VP],MATCH(vp.tbl[[#This Row],[Crude_Breakdown]],crudeBD.lkup.complete[Crude Breakdown],0)))^2,"")</f>
        <v>52.567047136665103</v>
      </c>
      <c r="AN993" s="4">
        <f>IFERROR((vp.tbl[[#This Row],[Dens]]-INDEX(crudeBD.lkup.complete[Mean_Dens],MATCH(vp.tbl[[#This Row],[Crude_Breakdown]],crudeBD.lkup.complete[Crude Breakdown],0)))^2,"")</f>
        <v>32.62121234930342</v>
      </c>
      <c r="AO993" s="4">
        <f>IFERROR((vp.tbl[[#This Row],[Sulf]]-INDEX(crudeBD.lkup.complete[Mean_Sulf],MATCH(vp.tbl[[#This Row],[Crude_Breakdown]],crudeBD.lkup.complete[Crude Breakdown],0)))^2,"")</f>
        <v>4.6569448841190034E-3</v>
      </c>
      <c r="AP993">
        <f>IF(AND(vp.tbl[[#This Row],[SDate]]&gt;=DATE(YEAR(vp.tbl[[#This Row],[SDate]]),5,1),vp.tbl[[#This Row],[SDate]]&lt;=DATE(YEAR(vp.tbl[[#This Row],[SDate]]),9,15)),1,0)</f>
        <v>0</v>
      </c>
      <c r="AQ993" s="15">
        <f>IF(vp.tbl[[#This Row],[SDate]]&lt;DATE(2016,12,1),0,1)</f>
        <v>1</v>
      </c>
    </row>
    <row r="994" spans="1:43" x14ac:dyDescent="0.25">
      <c r="A994">
        <v>993</v>
      </c>
      <c r="B994" t="s">
        <v>49</v>
      </c>
      <c r="C994" t="s">
        <v>49</v>
      </c>
      <c r="D994" t="s">
        <v>78</v>
      </c>
      <c r="F994" s="1">
        <v>42807</v>
      </c>
      <c r="G994" s="2">
        <v>88.8</v>
      </c>
      <c r="H994" s="2">
        <v>0.217</v>
      </c>
      <c r="I994" s="2">
        <v>0.217</v>
      </c>
      <c r="J994" s="2">
        <v>15.4</v>
      </c>
      <c r="K994" s="2">
        <v>-18</v>
      </c>
      <c r="L994" s="2">
        <v>805.85</v>
      </c>
      <c r="M994" s="2">
        <v>805.85</v>
      </c>
      <c r="N994" s="2">
        <f ca="1">INDEX(INDIRECT(_xlfn.CONCAT("weather.tbl[",N$1,"]")),MATCH(vp.tbl[[#This Row],[SDate]],weather.tbl[Date],0))</f>
        <v>-17.566666666666666</v>
      </c>
      <c r="O994" s="2">
        <f ca="1">INDEX(INDIRECT(_xlfn.CONCAT("weather.tbl[",O$1,"]")),MATCH(vp.tbl[[#This Row],[SDate]],weather.tbl[Date],0))</f>
        <v>-17.119047619047617</v>
      </c>
      <c r="P994" s="2">
        <f ca="1">INDEX(INDIRECT(_xlfn.CONCAT("weather.tbl[",P$1,"]")),MATCH(vp.tbl[[#This Row],[SDate]],weather.tbl[Date],0))</f>
        <v>-17.399999999999999</v>
      </c>
      <c r="Q994" s="2">
        <f ca="1">INDEX(INDIRECT(_xlfn.CONCAT("weather.tbl[",Q$1,"]")),MATCH(vp.tbl[[#This Row],[SDate]],weather.tbl[Date],0))</f>
        <v>-16.7</v>
      </c>
      <c r="R994" s="2">
        <f ca="1">INDEX(INDIRECT(_xlfn.CONCAT("weather.tbl[",R$1,"]")),MATCH(vp.tbl[[#This Row],[SDate]],weather.tbl[Date],0))</f>
        <v>-17</v>
      </c>
      <c r="S994" s="2">
        <f ca="1">INDEX(INDIRECT(_xlfn.CONCAT("weather.tbl[",S$1,"]")),MATCH(vp.tbl[[#This Row],[SDate]],weather.tbl[Date],0))</f>
        <v>-16.5</v>
      </c>
      <c r="T994" s="2">
        <f ca="1">INDEX(INDIRECT(_xlfn.CONCAT("weather.tbl[",T$1,"]")),MATCH(vp.tbl[[#This Row],[SDate]],weather.tbl[Date],0))</f>
        <v>-20</v>
      </c>
      <c r="U994" s="2">
        <f ca="1">INDEX(INDIRECT(_xlfn.CONCAT("weather.tbl[",U$1,"]")),MATCH(vp.tbl[[#This Row],[SDate]],weather.tbl[Date],0))</f>
        <v>-17.8</v>
      </c>
      <c r="V994" s="2">
        <v>19019.342000000001</v>
      </c>
      <c r="W994" t="s">
        <v>48</v>
      </c>
      <c r="X994">
        <f>IF(OR(vp.tbl[[#This Row],[Sulf]]="",vp.tbl[[#This Row],[Dens]]=""),1,0)</f>
        <v>0</v>
      </c>
      <c r="Y994">
        <f>IF(vp.tbl[[#This Row],[CrudeType]]="C5+",1,0)</f>
        <v>0</v>
      </c>
      <c r="Z994">
        <f>IF(AND(vp.tbl[[#This Row],[CrudeType]]="Crude",vp.tbl[[#This Row],[Dens]]&lt;=825,vp.tbl[[#This Row],[Sulf]]&gt;0.5,vp.tbl[[#This Row],[Unknown]]=0),1,0)</f>
        <v>0</v>
      </c>
      <c r="AA994">
        <f>IF(AND(vp.tbl[[#This Row],[CrudeType]]="Crude",vp.tbl[[#This Row],[Dens]]&lt;=825,vp.tbl[[#This Row],[Sulf]]&lt;=0.5,vp.tbl[[#This Row],[Unknown]]=0),1,0)</f>
        <v>1</v>
      </c>
      <c r="AB994">
        <f>IF(AND(vp.tbl[[#This Row],[CrudeType]]="Crude",vp.tbl[[#This Row],[Dens]]&gt;825,vp.tbl[[#This Row],[Dens]]&lt;=870,vp.tbl[[#This Row],[Sulf]]&gt;0.5,vp.tbl[[#This Row],[Unknown]]=0),1,0)</f>
        <v>0</v>
      </c>
      <c r="AC994">
        <f>IF(AND(vp.tbl[[#This Row],[CrudeType]]="Crude",vp.tbl[[#This Row],[Dens]]&gt;825,vp.tbl[[#This Row],[Dens]]&lt;=900,vp.tbl[[#This Row],[Sulf]]&lt;=0.5,vp.tbl[[#This Row],[Unknown]]=0),1,0)</f>
        <v>0</v>
      </c>
      <c r="AD994">
        <f>IF(AND(vp.tbl[[#This Row],[CrudeType]]="Crude",vp.tbl[[#This Row],[Dens]]&gt;870,vp.tbl[[#This Row],[Dens]]&lt;=900,vp.tbl[[#This Row],[Sulf]]&gt;0.5,vp.tbl[[#This Row],[Unknown]]=0),1,0)</f>
        <v>0</v>
      </c>
      <c r="AE994">
        <f>IF(AND(vp.tbl[[#This Row],[CrudeType]]="Crude",vp.tbl[[#This Row],[Dens]]&gt;900,vp.tbl[[#This Row],[Sulf]]&lt;=0.5,vp.tbl[[#This Row],[Unknown]]=0),1,0)</f>
        <v>0</v>
      </c>
      <c r="AF994">
        <f>IF(AND(vp.tbl[[#This Row],[CrudeType]]="Crude",vp.tbl[[#This Row],[Dens]]&gt;900,vp.tbl[[#This Row],[Sulf]]&lt;=0.5,vp.tbl[[#This Row],[Unknown]]=0),1,0)</f>
        <v>0</v>
      </c>
      <c r="AG994" t="str">
        <f>INDEX(vp.tbl[[#Headers],[Unknown]:[Heavy_SW]],MATCH(1,vp.tbl[[#This Row],[Unknown]:[Heavy_SW]],0))</f>
        <v>Light_SW</v>
      </c>
      <c r="AH994" t="e">
        <f>INDEX([1]!crudeBD.lkup[Number],MATCH(vp.tbl[[#This Row],[Crude_Breakdown]],[1]!crudeBD.lkup[Crude Breakdown],0))</f>
        <v>#REF!</v>
      </c>
      <c r="AI994">
        <f>MONTH(vp.tbl[[#This Row],[SDate]])</f>
        <v>3</v>
      </c>
      <c r="AJ994" s="5">
        <f>IFERROR(vp.tbl[[#This Row],[Sulf]]*vp.tbl[[#This Row],[Net Dens]],"")</f>
        <v>3325901.8749019001</v>
      </c>
      <c r="AK994" s="5">
        <f>IFERROR(vp.tbl[[#This Row],[Dens]]*vp.tbl[[#This Row],[VolumeM3]],"")</f>
        <v>15326736.750700001</v>
      </c>
      <c r="AL994" s="5">
        <f>IFERROR(vp.tbl[[#This Row],[VP]]*vp.tbl[[#This Row],[VolumeM3]],"")</f>
        <v>1688917.5696</v>
      </c>
      <c r="AM994" s="4">
        <f>IFERROR((vp.tbl[[#This Row],[VP]]-INDEX(crudeBD.lkup.complete[Mean_VP],MATCH(vp.tbl[[#This Row],[Crude_Breakdown]],crudeBD.lkup.complete[Crude Breakdown],0)))^2,"")</f>
        <v>14.064852014714074</v>
      </c>
      <c r="AN994" s="4">
        <f>IFERROR((vp.tbl[[#This Row],[Dens]]-INDEX(crudeBD.lkup.complete[Mean_Dens],MATCH(vp.tbl[[#This Row],[Crude_Breakdown]],crudeBD.lkup.complete[Crude Breakdown],0)))^2,"")</f>
        <v>6.058973673346796</v>
      </c>
      <c r="AO994" s="4">
        <f>IFERROR((vp.tbl[[#This Row],[Sulf]]-INDEX(crudeBD.lkup.complete[Mean_Sulf],MATCH(vp.tbl[[#This Row],[Crude_Breakdown]],crudeBD.lkup.complete[Crude Breakdown],0)))^2,"")</f>
        <v>3.7024732314340974E-4</v>
      </c>
      <c r="AP994">
        <f>IF(AND(vp.tbl[[#This Row],[SDate]]&gt;=DATE(YEAR(vp.tbl[[#This Row],[SDate]]),5,1),vp.tbl[[#This Row],[SDate]]&lt;=DATE(YEAR(vp.tbl[[#This Row],[SDate]]),9,15)),1,0)</f>
        <v>0</v>
      </c>
      <c r="AQ994" s="15">
        <f>IF(vp.tbl[[#This Row],[SDate]]&lt;DATE(2016,12,1),0,1)</f>
        <v>1</v>
      </c>
    </row>
    <row r="995" spans="1:43" x14ac:dyDescent="0.25">
      <c r="A995">
        <v>994</v>
      </c>
      <c r="B995" t="s">
        <v>49</v>
      </c>
      <c r="C995" t="s">
        <v>49</v>
      </c>
      <c r="D995" t="s">
        <v>67</v>
      </c>
      <c r="F995" s="1">
        <v>42807</v>
      </c>
      <c r="G995" s="2">
        <v>106.4</v>
      </c>
      <c r="H995" s="2">
        <v>0.48499999999999999</v>
      </c>
      <c r="I995" s="2">
        <v>0.48499999999999999</v>
      </c>
      <c r="J995" s="2">
        <v>3.4</v>
      </c>
      <c r="K995" s="2">
        <v>-18</v>
      </c>
      <c r="L995" s="2">
        <v>815.3</v>
      </c>
      <c r="M995" s="2">
        <v>815.3</v>
      </c>
      <c r="N995" s="2">
        <f ca="1">INDEX(INDIRECT(_xlfn.CONCAT("weather.tbl[",N$1,"]")),MATCH(vp.tbl[[#This Row],[SDate]],weather.tbl[Date],0))</f>
        <v>-17.566666666666666</v>
      </c>
      <c r="O995" s="2">
        <f ca="1">INDEX(INDIRECT(_xlfn.CONCAT("weather.tbl[",O$1,"]")),MATCH(vp.tbl[[#This Row],[SDate]],weather.tbl[Date],0))</f>
        <v>-17.119047619047617</v>
      </c>
      <c r="P995" s="2">
        <f ca="1">INDEX(INDIRECT(_xlfn.CONCAT("weather.tbl[",P$1,"]")),MATCH(vp.tbl[[#This Row],[SDate]],weather.tbl[Date],0))</f>
        <v>-17.399999999999999</v>
      </c>
      <c r="Q995" s="2">
        <f ca="1">INDEX(INDIRECT(_xlfn.CONCAT("weather.tbl[",Q$1,"]")),MATCH(vp.tbl[[#This Row],[SDate]],weather.tbl[Date],0))</f>
        <v>-16.7</v>
      </c>
      <c r="R995" s="2">
        <f ca="1">INDEX(INDIRECT(_xlfn.CONCAT("weather.tbl[",R$1,"]")),MATCH(vp.tbl[[#This Row],[SDate]],weather.tbl[Date],0))</f>
        <v>-17</v>
      </c>
      <c r="S995" s="2">
        <f ca="1">INDEX(INDIRECT(_xlfn.CONCAT("weather.tbl[",S$1,"]")),MATCH(vp.tbl[[#This Row],[SDate]],weather.tbl[Date],0))</f>
        <v>-16.5</v>
      </c>
      <c r="T995" s="2">
        <f ca="1">INDEX(INDIRECT(_xlfn.CONCAT("weather.tbl[",T$1,"]")),MATCH(vp.tbl[[#This Row],[SDate]],weather.tbl[Date],0))</f>
        <v>-20</v>
      </c>
      <c r="U995" s="2">
        <f ca="1">INDEX(INDIRECT(_xlfn.CONCAT("weather.tbl[",U$1,"]")),MATCH(vp.tbl[[#This Row],[SDate]],weather.tbl[Date],0))</f>
        <v>-17.8</v>
      </c>
      <c r="V995" s="2">
        <v>132627.41099999999</v>
      </c>
      <c r="W995" t="s">
        <v>48</v>
      </c>
      <c r="X995">
        <f>IF(OR(vp.tbl[[#This Row],[Sulf]]="",vp.tbl[[#This Row],[Dens]]=""),1,0)</f>
        <v>0</v>
      </c>
      <c r="Y995">
        <f>IF(vp.tbl[[#This Row],[CrudeType]]="C5+",1,0)</f>
        <v>0</v>
      </c>
      <c r="Z995">
        <f>IF(AND(vp.tbl[[#This Row],[CrudeType]]="Crude",vp.tbl[[#This Row],[Dens]]&lt;=825,vp.tbl[[#This Row],[Sulf]]&gt;0.5,vp.tbl[[#This Row],[Unknown]]=0),1,0)</f>
        <v>0</v>
      </c>
      <c r="AA995">
        <f>IF(AND(vp.tbl[[#This Row],[CrudeType]]="Crude",vp.tbl[[#This Row],[Dens]]&lt;=825,vp.tbl[[#This Row],[Sulf]]&lt;=0.5,vp.tbl[[#This Row],[Unknown]]=0),1,0)</f>
        <v>1</v>
      </c>
      <c r="AB995">
        <f>IF(AND(vp.tbl[[#This Row],[CrudeType]]="Crude",vp.tbl[[#This Row],[Dens]]&gt;825,vp.tbl[[#This Row],[Dens]]&lt;=870,vp.tbl[[#This Row],[Sulf]]&gt;0.5,vp.tbl[[#This Row],[Unknown]]=0),1,0)</f>
        <v>0</v>
      </c>
      <c r="AC995">
        <f>IF(AND(vp.tbl[[#This Row],[CrudeType]]="Crude",vp.tbl[[#This Row],[Dens]]&gt;825,vp.tbl[[#This Row],[Dens]]&lt;=900,vp.tbl[[#This Row],[Sulf]]&lt;=0.5,vp.tbl[[#This Row],[Unknown]]=0),1,0)</f>
        <v>0</v>
      </c>
      <c r="AD995">
        <f>IF(AND(vp.tbl[[#This Row],[CrudeType]]="Crude",vp.tbl[[#This Row],[Dens]]&gt;870,vp.tbl[[#This Row],[Dens]]&lt;=900,vp.tbl[[#This Row],[Sulf]]&gt;0.5,vp.tbl[[#This Row],[Unknown]]=0),1,0)</f>
        <v>0</v>
      </c>
      <c r="AE995">
        <f>IF(AND(vp.tbl[[#This Row],[CrudeType]]="Crude",vp.tbl[[#This Row],[Dens]]&gt;900,vp.tbl[[#This Row],[Sulf]]&lt;=0.5,vp.tbl[[#This Row],[Unknown]]=0),1,0)</f>
        <v>0</v>
      </c>
      <c r="AF995">
        <f>IF(AND(vp.tbl[[#This Row],[CrudeType]]="Crude",vp.tbl[[#This Row],[Dens]]&gt;900,vp.tbl[[#This Row],[Sulf]]&lt;=0.5,vp.tbl[[#This Row],[Unknown]]=0),1,0)</f>
        <v>0</v>
      </c>
      <c r="AG995" t="str">
        <f>INDEX(vp.tbl[[#Headers],[Unknown]:[Heavy_SW]],MATCH(1,vp.tbl[[#This Row],[Unknown]:[Heavy_SW]],0))</f>
        <v>Light_SW</v>
      </c>
      <c r="AH995" t="e">
        <f>INDEX([1]!crudeBD.lkup[Number],MATCH(vp.tbl[[#This Row],[Crude_Breakdown]],[1]!crudeBD.lkup[Crude Breakdown],0))</f>
        <v>#REF!</v>
      </c>
      <c r="AI995">
        <f>MONTH(vp.tbl[[#This Row],[SDate]])</f>
        <v>3</v>
      </c>
      <c r="AJ995" s="5">
        <f>IFERROR(vp.tbl[[#This Row],[Sulf]]*vp.tbl[[#This Row],[Net Dens]],"")</f>
        <v>52443597.17132549</v>
      </c>
      <c r="AK995" s="5">
        <f>IFERROR(vp.tbl[[#This Row],[Dens]]*vp.tbl[[#This Row],[VolumeM3]],"")</f>
        <v>108131128.18829998</v>
      </c>
      <c r="AL995" s="5">
        <f>IFERROR(vp.tbl[[#This Row],[VP]]*vp.tbl[[#This Row],[VolumeM3]],"")</f>
        <v>14111556.530400001</v>
      </c>
      <c r="AM995" s="4">
        <f>IFERROR((vp.tbl[[#This Row],[VP]]-INDEX(crudeBD.lkup.complete[Mean_VP],MATCH(vp.tbl[[#This Row],[Crude_Breakdown]],crudeBD.lkup.complete[Crude Breakdown],0)))^2,"")</f>
        <v>191.81381368718911</v>
      </c>
      <c r="AN995" s="4">
        <f>IFERROR((vp.tbl[[#This Row],[Dens]]-INDEX(crudeBD.lkup.complete[Mean_Dens],MATCH(vp.tbl[[#This Row],[Crude_Breakdown]],crudeBD.lkup.complete[Crude Breakdown],0)))^2,"")</f>
        <v>48.83915660017967</v>
      </c>
      <c r="AO995" s="4">
        <f>IFERROR((vp.tbl[[#This Row],[Sulf]]-INDEX(crudeBD.lkup.complete[Mean_Sulf],MATCH(vp.tbl[[#This Row],[Crude_Breakdown]],crudeBD.lkup.complete[Crude Breakdown],0)))^2,"")</f>
        <v>6.1880636173317703E-2</v>
      </c>
      <c r="AP995">
        <f>IF(AND(vp.tbl[[#This Row],[SDate]]&gt;=DATE(YEAR(vp.tbl[[#This Row],[SDate]]),5,1),vp.tbl[[#This Row],[SDate]]&lt;=DATE(YEAR(vp.tbl[[#This Row],[SDate]]),9,15)),1,0)</f>
        <v>0</v>
      </c>
      <c r="AQ995" s="15">
        <f>IF(vp.tbl[[#This Row],[SDate]]&lt;DATE(2016,12,1),0,1)</f>
        <v>1</v>
      </c>
    </row>
    <row r="996" spans="1:43" x14ac:dyDescent="0.25">
      <c r="A996">
        <v>995</v>
      </c>
      <c r="B996" t="s">
        <v>49</v>
      </c>
      <c r="C996" t="s">
        <v>49</v>
      </c>
      <c r="D996" t="s">
        <v>80</v>
      </c>
      <c r="F996" s="1">
        <v>42807</v>
      </c>
      <c r="G996" s="2">
        <v>94.7</v>
      </c>
      <c r="H996" s="2">
        <v>0.499</v>
      </c>
      <c r="I996" s="2">
        <v>0.499</v>
      </c>
      <c r="J996" s="2">
        <v>9.1999999999999993</v>
      </c>
      <c r="K996" s="2">
        <v>-18</v>
      </c>
      <c r="L996" s="2">
        <v>812.3</v>
      </c>
      <c r="M996" s="2">
        <v>812.3</v>
      </c>
      <c r="N996" s="2">
        <f ca="1">INDEX(INDIRECT(_xlfn.CONCAT("weather.tbl[",N$1,"]")),MATCH(vp.tbl[[#This Row],[SDate]],weather.tbl[Date],0))</f>
        <v>-17.566666666666666</v>
      </c>
      <c r="O996" s="2">
        <f ca="1">INDEX(INDIRECT(_xlfn.CONCAT("weather.tbl[",O$1,"]")),MATCH(vp.tbl[[#This Row],[SDate]],weather.tbl[Date],0))</f>
        <v>-17.119047619047617</v>
      </c>
      <c r="P996" s="2">
        <f ca="1">INDEX(INDIRECT(_xlfn.CONCAT("weather.tbl[",P$1,"]")),MATCH(vp.tbl[[#This Row],[SDate]],weather.tbl[Date],0))</f>
        <v>-17.399999999999999</v>
      </c>
      <c r="Q996" s="2">
        <f ca="1">INDEX(INDIRECT(_xlfn.CONCAT("weather.tbl[",Q$1,"]")),MATCH(vp.tbl[[#This Row],[SDate]],weather.tbl[Date],0))</f>
        <v>-16.7</v>
      </c>
      <c r="R996" s="2">
        <f ca="1">INDEX(INDIRECT(_xlfn.CONCAT("weather.tbl[",R$1,"]")),MATCH(vp.tbl[[#This Row],[SDate]],weather.tbl[Date],0))</f>
        <v>-17</v>
      </c>
      <c r="S996" s="2">
        <f ca="1">INDEX(INDIRECT(_xlfn.CONCAT("weather.tbl[",S$1,"]")),MATCH(vp.tbl[[#This Row],[SDate]],weather.tbl[Date],0))</f>
        <v>-16.5</v>
      </c>
      <c r="T996" s="2">
        <f ca="1">INDEX(INDIRECT(_xlfn.CONCAT("weather.tbl[",T$1,"]")),MATCH(vp.tbl[[#This Row],[SDate]],weather.tbl[Date],0))</f>
        <v>-20</v>
      </c>
      <c r="U996" s="2">
        <f ca="1">INDEX(INDIRECT(_xlfn.CONCAT("weather.tbl[",U$1,"]")),MATCH(vp.tbl[[#This Row],[SDate]],weather.tbl[Date],0))</f>
        <v>-17.8</v>
      </c>
      <c r="V996" s="2">
        <v>23623.538</v>
      </c>
      <c r="W996" t="s">
        <v>48</v>
      </c>
      <c r="X996">
        <f>IF(OR(vp.tbl[[#This Row],[Sulf]]="",vp.tbl[[#This Row],[Dens]]=""),1,0)</f>
        <v>0</v>
      </c>
      <c r="Y996">
        <f>IF(vp.tbl[[#This Row],[CrudeType]]="C5+",1,0)</f>
        <v>0</v>
      </c>
      <c r="Z996">
        <f>IF(AND(vp.tbl[[#This Row],[CrudeType]]="Crude",vp.tbl[[#This Row],[Dens]]&lt;=825,vp.tbl[[#This Row],[Sulf]]&gt;0.5,vp.tbl[[#This Row],[Unknown]]=0),1,0)</f>
        <v>0</v>
      </c>
      <c r="AA996">
        <f>IF(AND(vp.tbl[[#This Row],[CrudeType]]="Crude",vp.tbl[[#This Row],[Dens]]&lt;=825,vp.tbl[[#This Row],[Sulf]]&lt;=0.5,vp.tbl[[#This Row],[Unknown]]=0),1,0)</f>
        <v>1</v>
      </c>
      <c r="AB996">
        <f>IF(AND(vp.tbl[[#This Row],[CrudeType]]="Crude",vp.tbl[[#This Row],[Dens]]&gt;825,vp.tbl[[#This Row],[Dens]]&lt;=870,vp.tbl[[#This Row],[Sulf]]&gt;0.5,vp.tbl[[#This Row],[Unknown]]=0),1,0)</f>
        <v>0</v>
      </c>
      <c r="AC996">
        <f>IF(AND(vp.tbl[[#This Row],[CrudeType]]="Crude",vp.tbl[[#This Row],[Dens]]&gt;825,vp.tbl[[#This Row],[Dens]]&lt;=900,vp.tbl[[#This Row],[Sulf]]&lt;=0.5,vp.tbl[[#This Row],[Unknown]]=0),1,0)</f>
        <v>0</v>
      </c>
      <c r="AD996">
        <f>IF(AND(vp.tbl[[#This Row],[CrudeType]]="Crude",vp.tbl[[#This Row],[Dens]]&gt;870,vp.tbl[[#This Row],[Dens]]&lt;=900,vp.tbl[[#This Row],[Sulf]]&gt;0.5,vp.tbl[[#This Row],[Unknown]]=0),1,0)</f>
        <v>0</v>
      </c>
      <c r="AE996">
        <f>IF(AND(vp.tbl[[#This Row],[CrudeType]]="Crude",vp.tbl[[#This Row],[Dens]]&gt;900,vp.tbl[[#This Row],[Sulf]]&lt;=0.5,vp.tbl[[#This Row],[Unknown]]=0),1,0)</f>
        <v>0</v>
      </c>
      <c r="AF996">
        <f>IF(AND(vp.tbl[[#This Row],[CrudeType]]="Crude",vp.tbl[[#This Row],[Dens]]&gt;900,vp.tbl[[#This Row],[Sulf]]&lt;=0.5,vp.tbl[[#This Row],[Unknown]]=0),1,0)</f>
        <v>0</v>
      </c>
      <c r="AG996" t="str">
        <f>INDEX(vp.tbl[[#Headers],[Unknown]:[Heavy_SW]],MATCH(1,vp.tbl[[#This Row],[Unknown]:[Heavy_SW]],0))</f>
        <v>Light_SW</v>
      </c>
      <c r="AH996" t="e">
        <f>INDEX([1]!crudeBD.lkup[Number],MATCH(vp.tbl[[#This Row],[Crude_Breakdown]],[1]!crudeBD.lkup[Crude Breakdown],0))</f>
        <v>#REF!</v>
      </c>
      <c r="AI996">
        <f>MONTH(vp.tbl[[#This Row],[SDate]])</f>
        <v>3</v>
      </c>
      <c r="AJ996" s="5">
        <f>IFERROR(vp.tbl[[#This Row],[Sulf]]*vp.tbl[[#This Row],[Net Dens]],"")</f>
        <v>9575510.5587825999</v>
      </c>
      <c r="AK996" s="5">
        <f>IFERROR(vp.tbl[[#This Row],[Dens]]*vp.tbl[[#This Row],[VolumeM3]],"")</f>
        <v>19189399.917399999</v>
      </c>
      <c r="AL996" s="5">
        <f>IFERROR(vp.tbl[[#This Row],[VP]]*vp.tbl[[#This Row],[VolumeM3]],"")</f>
        <v>2237149.0486000003</v>
      </c>
      <c r="AM996" s="4">
        <f>IFERROR((vp.tbl[[#This Row],[VP]]-INDEX(crudeBD.lkup.complete[Mean_VP],MATCH(vp.tbl[[#This Row],[Crude_Breakdown]],crudeBD.lkup.complete[Crude Breakdown],0)))^2,"")</f>
        <v>4.6211516662823566</v>
      </c>
      <c r="AN996" s="4">
        <f>IFERROR((vp.tbl[[#This Row],[Dens]]-INDEX(crudeBD.lkup.complete[Mean_Dens],MATCH(vp.tbl[[#This Row],[Crude_Breakdown]],crudeBD.lkup.complete[Crude Breakdown],0)))^2,"")</f>
        <v>15.908146147216957</v>
      </c>
      <c r="AO996" s="4">
        <f>IFERROR((vp.tbl[[#This Row],[Sulf]]-INDEX(crudeBD.lkup.complete[Mean_Sulf],MATCH(vp.tbl[[#This Row],[Crude_Breakdown]],crudeBD.lkup.complete[Crude Breakdown],0)))^2,"")</f>
        <v>6.9041865441610395E-2</v>
      </c>
      <c r="AP996">
        <f>IF(AND(vp.tbl[[#This Row],[SDate]]&gt;=DATE(YEAR(vp.tbl[[#This Row],[SDate]]),5,1),vp.tbl[[#This Row],[SDate]]&lt;=DATE(YEAR(vp.tbl[[#This Row],[SDate]]),9,15)),1,0)</f>
        <v>0</v>
      </c>
      <c r="AQ996" s="15">
        <f>IF(vp.tbl[[#This Row],[SDate]]&lt;DATE(2016,12,1),0,1)</f>
        <v>1</v>
      </c>
    </row>
    <row r="997" spans="1:43" x14ac:dyDescent="0.25">
      <c r="A997">
        <v>996</v>
      </c>
      <c r="B997" t="s">
        <v>49</v>
      </c>
      <c r="C997" t="s">
        <v>49</v>
      </c>
      <c r="D997" t="s">
        <v>81</v>
      </c>
      <c r="F997" s="1">
        <v>42807</v>
      </c>
      <c r="G997" s="2">
        <v>87.3</v>
      </c>
      <c r="H997" s="2">
        <v>0.51900000000000002</v>
      </c>
      <c r="I997" s="2">
        <v>0.51900000000000002</v>
      </c>
      <c r="J997" s="2">
        <v>2.8</v>
      </c>
      <c r="K997" s="2">
        <v>-18</v>
      </c>
      <c r="L997" s="2">
        <v>818.7</v>
      </c>
      <c r="M997" s="2">
        <v>818.7</v>
      </c>
      <c r="N997" s="2">
        <f ca="1">INDEX(INDIRECT(_xlfn.CONCAT("weather.tbl[",N$1,"]")),MATCH(vp.tbl[[#This Row],[SDate]],weather.tbl[Date],0))</f>
        <v>-17.566666666666666</v>
      </c>
      <c r="O997" s="2">
        <f ca="1">INDEX(INDIRECT(_xlfn.CONCAT("weather.tbl[",O$1,"]")),MATCH(vp.tbl[[#This Row],[SDate]],weather.tbl[Date],0))</f>
        <v>-17.119047619047617</v>
      </c>
      <c r="P997" s="2">
        <f ca="1">INDEX(INDIRECT(_xlfn.CONCAT("weather.tbl[",P$1,"]")),MATCH(vp.tbl[[#This Row],[SDate]],weather.tbl[Date],0))</f>
        <v>-17.399999999999999</v>
      </c>
      <c r="Q997" s="2">
        <f ca="1">INDEX(INDIRECT(_xlfn.CONCAT("weather.tbl[",Q$1,"]")),MATCH(vp.tbl[[#This Row],[SDate]],weather.tbl[Date],0))</f>
        <v>-16.7</v>
      </c>
      <c r="R997" s="2">
        <f ca="1">INDEX(INDIRECT(_xlfn.CONCAT("weather.tbl[",R$1,"]")),MATCH(vp.tbl[[#This Row],[SDate]],weather.tbl[Date],0))</f>
        <v>-17</v>
      </c>
      <c r="S997" s="2">
        <f ca="1">INDEX(INDIRECT(_xlfn.CONCAT("weather.tbl[",S$1,"]")),MATCH(vp.tbl[[#This Row],[SDate]],weather.tbl[Date],0))</f>
        <v>-16.5</v>
      </c>
      <c r="T997" s="2">
        <f ca="1">INDEX(INDIRECT(_xlfn.CONCAT("weather.tbl[",T$1,"]")),MATCH(vp.tbl[[#This Row],[SDate]],weather.tbl[Date],0))</f>
        <v>-20</v>
      </c>
      <c r="U997" s="2">
        <f ca="1">INDEX(INDIRECT(_xlfn.CONCAT("weather.tbl[",U$1,"]")),MATCH(vp.tbl[[#This Row],[SDate]],weather.tbl[Date],0))</f>
        <v>-17.8</v>
      </c>
      <c r="V997" s="2">
        <v>20568.135999999999</v>
      </c>
      <c r="W997" t="s">
        <v>48</v>
      </c>
      <c r="X997">
        <f>IF(OR(vp.tbl[[#This Row],[Sulf]]="",vp.tbl[[#This Row],[Dens]]=""),1,0)</f>
        <v>0</v>
      </c>
      <c r="Y997">
        <f>IF(vp.tbl[[#This Row],[CrudeType]]="C5+",1,0)</f>
        <v>0</v>
      </c>
      <c r="Z997">
        <f>IF(AND(vp.tbl[[#This Row],[CrudeType]]="Crude",vp.tbl[[#This Row],[Dens]]&lt;=825,vp.tbl[[#This Row],[Sulf]]&gt;0.5,vp.tbl[[#This Row],[Unknown]]=0),1,0)</f>
        <v>1</v>
      </c>
      <c r="AA997">
        <f>IF(AND(vp.tbl[[#This Row],[CrudeType]]="Crude",vp.tbl[[#This Row],[Dens]]&lt;=825,vp.tbl[[#This Row],[Sulf]]&lt;=0.5,vp.tbl[[#This Row],[Unknown]]=0),1,0)</f>
        <v>0</v>
      </c>
      <c r="AB997">
        <f>IF(AND(vp.tbl[[#This Row],[CrudeType]]="Crude",vp.tbl[[#This Row],[Dens]]&gt;825,vp.tbl[[#This Row],[Dens]]&lt;=870,vp.tbl[[#This Row],[Sulf]]&gt;0.5,vp.tbl[[#This Row],[Unknown]]=0),1,0)</f>
        <v>0</v>
      </c>
      <c r="AC997">
        <f>IF(AND(vp.tbl[[#This Row],[CrudeType]]="Crude",vp.tbl[[#This Row],[Dens]]&gt;825,vp.tbl[[#This Row],[Dens]]&lt;=900,vp.tbl[[#This Row],[Sulf]]&lt;=0.5,vp.tbl[[#This Row],[Unknown]]=0),1,0)</f>
        <v>0</v>
      </c>
      <c r="AD997">
        <f>IF(AND(vp.tbl[[#This Row],[CrudeType]]="Crude",vp.tbl[[#This Row],[Dens]]&gt;870,vp.tbl[[#This Row],[Dens]]&lt;=900,vp.tbl[[#This Row],[Sulf]]&gt;0.5,vp.tbl[[#This Row],[Unknown]]=0),1,0)</f>
        <v>0</v>
      </c>
      <c r="AE997">
        <f>IF(AND(vp.tbl[[#This Row],[CrudeType]]="Crude",vp.tbl[[#This Row],[Dens]]&gt;900,vp.tbl[[#This Row],[Sulf]]&lt;=0.5,vp.tbl[[#This Row],[Unknown]]=0),1,0)</f>
        <v>0</v>
      </c>
      <c r="AF997">
        <f>IF(AND(vp.tbl[[#This Row],[CrudeType]]="Crude",vp.tbl[[#This Row],[Dens]]&gt;900,vp.tbl[[#This Row],[Sulf]]&lt;=0.5,vp.tbl[[#This Row],[Unknown]]=0),1,0)</f>
        <v>0</v>
      </c>
      <c r="AG997" t="str">
        <f>INDEX(vp.tbl[[#Headers],[Unknown]:[Heavy_SW]],MATCH(1,vp.tbl[[#This Row],[Unknown]:[Heavy_SW]],0))</f>
        <v>Light_LSB</v>
      </c>
      <c r="AH997" t="e">
        <f>INDEX([1]!crudeBD.lkup[Number],MATCH(vp.tbl[[#This Row],[Crude_Breakdown]],[1]!crudeBD.lkup[Crude Breakdown],0))</f>
        <v>#REF!</v>
      </c>
      <c r="AI997">
        <f>MONTH(vp.tbl[[#This Row],[SDate]])</f>
        <v>3</v>
      </c>
      <c r="AJ997" s="5">
        <f>IFERROR(vp.tbl[[#This Row],[Sulf]]*vp.tbl[[#This Row],[Net Dens]],"")</f>
        <v>8739509.9975208007</v>
      </c>
      <c r="AK997" s="5">
        <f>IFERROR(vp.tbl[[#This Row],[Dens]]*vp.tbl[[#This Row],[VolumeM3]],"")</f>
        <v>16839132.9432</v>
      </c>
      <c r="AL997" s="5">
        <f>IFERROR(vp.tbl[[#This Row],[VP]]*vp.tbl[[#This Row],[VolumeM3]],"")</f>
        <v>1795598.2727999999</v>
      </c>
      <c r="AM997" s="4">
        <f>IFERROR((vp.tbl[[#This Row],[VP]]-INDEX(crudeBD.lkup.complete[Mean_VP],MATCH(vp.tbl[[#This Row],[Crude_Breakdown]],crudeBD.lkup.complete[Crude Breakdown],0)))^2,"")</f>
        <v>18.030091869486949</v>
      </c>
      <c r="AN997" s="4">
        <f>IFERROR((vp.tbl[[#This Row],[Dens]]-INDEX(crudeBD.lkup.complete[Mean_Dens],MATCH(vp.tbl[[#This Row],[Crude_Breakdown]],crudeBD.lkup.complete[Crude Breakdown],0)))^2,"")</f>
        <v>3.3573321052079677E-2</v>
      </c>
      <c r="AO997" s="4">
        <f>IFERROR((vp.tbl[[#This Row],[Sulf]]-INDEX(crudeBD.lkup.complete[Mean_Sulf],MATCH(vp.tbl[[#This Row],[Crude_Breakdown]],crudeBD.lkup.complete[Crude Breakdown],0)))^2,"")</f>
        <v>0.16319270488624463</v>
      </c>
      <c r="AP997">
        <f>IF(AND(vp.tbl[[#This Row],[SDate]]&gt;=DATE(YEAR(vp.tbl[[#This Row],[SDate]]),5,1),vp.tbl[[#This Row],[SDate]]&lt;=DATE(YEAR(vp.tbl[[#This Row],[SDate]]),9,15)),1,0)</f>
        <v>0</v>
      </c>
      <c r="AQ997" s="15">
        <f>IF(vp.tbl[[#This Row],[SDate]]&lt;DATE(2016,12,1),0,1)</f>
        <v>1</v>
      </c>
    </row>
    <row r="998" spans="1:43" x14ac:dyDescent="0.25">
      <c r="A998">
        <v>997</v>
      </c>
      <c r="B998" t="s">
        <v>49</v>
      </c>
      <c r="C998" t="s">
        <v>49</v>
      </c>
      <c r="D998" t="s">
        <v>92</v>
      </c>
      <c r="F998" s="1">
        <v>42807</v>
      </c>
      <c r="G998" s="2">
        <v>104.93</v>
      </c>
      <c r="H998" s="2">
        <v>0.57599999999999996</v>
      </c>
      <c r="I998" s="2">
        <v>0.57599999999999996</v>
      </c>
      <c r="J998" s="2">
        <v>13.4</v>
      </c>
      <c r="K998" s="2">
        <v>-18</v>
      </c>
      <c r="L998" s="2">
        <v>819.8</v>
      </c>
      <c r="M998" s="2">
        <v>819.8</v>
      </c>
      <c r="N998" s="2">
        <f ca="1">INDEX(INDIRECT(_xlfn.CONCAT("weather.tbl[",N$1,"]")),MATCH(vp.tbl[[#This Row],[SDate]],weather.tbl[Date],0))</f>
        <v>-17.566666666666666</v>
      </c>
      <c r="O998" s="2">
        <f ca="1">INDEX(INDIRECT(_xlfn.CONCAT("weather.tbl[",O$1,"]")),MATCH(vp.tbl[[#This Row],[SDate]],weather.tbl[Date],0))</f>
        <v>-17.119047619047617</v>
      </c>
      <c r="P998" s="2">
        <f ca="1">INDEX(INDIRECT(_xlfn.CONCAT("weather.tbl[",P$1,"]")),MATCH(vp.tbl[[#This Row],[SDate]],weather.tbl[Date],0))</f>
        <v>-17.399999999999999</v>
      </c>
      <c r="Q998" s="2">
        <f ca="1">INDEX(INDIRECT(_xlfn.CONCAT("weather.tbl[",Q$1,"]")),MATCH(vp.tbl[[#This Row],[SDate]],weather.tbl[Date],0))</f>
        <v>-16.7</v>
      </c>
      <c r="R998" s="2">
        <f ca="1">INDEX(INDIRECT(_xlfn.CONCAT("weather.tbl[",R$1,"]")),MATCH(vp.tbl[[#This Row],[SDate]],weather.tbl[Date],0))</f>
        <v>-17</v>
      </c>
      <c r="S998" s="2">
        <f ca="1">INDEX(INDIRECT(_xlfn.CONCAT("weather.tbl[",S$1,"]")),MATCH(vp.tbl[[#This Row],[SDate]],weather.tbl[Date],0))</f>
        <v>-16.5</v>
      </c>
      <c r="T998" s="2">
        <f ca="1">INDEX(INDIRECT(_xlfn.CONCAT("weather.tbl[",T$1,"]")),MATCH(vp.tbl[[#This Row],[SDate]],weather.tbl[Date],0))</f>
        <v>-20</v>
      </c>
      <c r="U998" s="2">
        <f ca="1">INDEX(INDIRECT(_xlfn.CONCAT("weather.tbl[",U$1,"]")),MATCH(vp.tbl[[#This Row],[SDate]],weather.tbl[Date],0))</f>
        <v>-17.8</v>
      </c>
      <c r="V998" s="2">
        <v>21566.571</v>
      </c>
      <c r="W998" t="s">
        <v>48</v>
      </c>
      <c r="X998">
        <f>IF(OR(vp.tbl[[#This Row],[Sulf]]="",vp.tbl[[#This Row],[Dens]]=""),1,0)</f>
        <v>0</v>
      </c>
      <c r="Y998">
        <f>IF(vp.tbl[[#This Row],[CrudeType]]="C5+",1,0)</f>
        <v>0</v>
      </c>
      <c r="Z998">
        <f>IF(AND(vp.tbl[[#This Row],[CrudeType]]="Crude",vp.tbl[[#This Row],[Dens]]&lt;=825,vp.tbl[[#This Row],[Sulf]]&gt;0.5,vp.tbl[[#This Row],[Unknown]]=0),1,0)</f>
        <v>1</v>
      </c>
      <c r="AA998">
        <f>IF(AND(vp.tbl[[#This Row],[CrudeType]]="Crude",vp.tbl[[#This Row],[Dens]]&lt;=825,vp.tbl[[#This Row],[Sulf]]&lt;=0.5,vp.tbl[[#This Row],[Unknown]]=0),1,0)</f>
        <v>0</v>
      </c>
      <c r="AB998">
        <f>IF(AND(vp.tbl[[#This Row],[CrudeType]]="Crude",vp.tbl[[#This Row],[Dens]]&gt;825,vp.tbl[[#This Row],[Dens]]&lt;=870,vp.tbl[[#This Row],[Sulf]]&gt;0.5,vp.tbl[[#This Row],[Unknown]]=0),1,0)</f>
        <v>0</v>
      </c>
      <c r="AC998">
        <f>IF(AND(vp.tbl[[#This Row],[CrudeType]]="Crude",vp.tbl[[#This Row],[Dens]]&gt;825,vp.tbl[[#This Row],[Dens]]&lt;=900,vp.tbl[[#This Row],[Sulf]]&lt;=0.5,vp.tbl[[#This Row],[Unknown]]=0),1,0)</f>
        <v>0</v>
      </c>
      <c r="AD998">
        <f>IF(AND(vp.tbl[[#This Row],[CrudeType]]="Crude",vp.tbl[[#This Row],[Dens]]&gt;870,vp.tbl[[#This Row],[Dens]]&lt;=900,vp.tbl[[#This Row],[Sulf]]&gt;0.5,vp.tbl[[#This Row],[Unknown]]=0),1,0)</f>
        <v>0</v>
      </c>
      <c r="AE998">
        <f>IF(AND(vp.tbl[[#This Row],[CrudeType]]="Crude",vp.tbl[[#This Row],[Dens]]&gt;900,vp.tbl[[#This Row],[Sulf]]&lt;=0.5,vp.tbl[[#This Row],[Unknown]]=0),1,0)</f>
        <v>0</v>
      </c>
      <c r="AF998">
        <f>IF(AND(vp.tbl[[#This Row],[CrudeType]]="Crude",vp.tbl[[#This Row],[Dens]]&gt;900,vp.tbl[[#This Row],[Sulf]]&lt;=0.5,vp.tbl[[#This Row],[Unknown]]=0),1,0)</f>
        <v>0</v>
      </c>
      <c r="AG998" t="str">
        <f>INDEX(vp.tbl[[#Headers],[Unknown]:[Heavy_SW]],MATCH(1,vp.tbl[[#This Row],[Unknown]:[Heavy_SW]],0))</f>
        <v>Light_LSB</v>
      </c>
      <c r="AH998" t="e">
        <f>INDEX([1]!crudeBD.lkup[Number],MATCH(vp.tbl[[#This Row],[Crude_Breakdown]],[1]!crudeBD.lkup[Crude Breakdown],0))</f>
        <v>#REF!</v>
      </c>
      <c r="AI998">
        <f>MONTH(vp.tbl[[#This Row],[SDate]])</f>
        <v>3</v>
      </c>
      <c r="AJ998" s="5">
        <f>IFERROR(vp.tbl[[#This Row],[Sulf]]*vp.tbl[[#This Row],[Net Dens]],"")</f>
        <v>10183838.345740799</v>
      </c>
      <c r="AK998" s="5">
        <f>IFERROR(vp.tbl[[#This Row],[Dens]]*vp.tbl[[#This Row],[VolumeM3]],"")</f>
        <v>17680274.9058</v>
      </c>
      <c r="AL998" s="5">
        <f>IFERROR(vp.tbl[[#This Row],[VP]]*vp.tbl[[#This Row],[VolumeM3]],"")</f>
        <v>2262980.2950300002</v>
      </c>
      <c r="AM998" s="4">
        <f>IFERROR((vp.tbl[[#This Row],[VP]]-INDEX(crudeBD.lkup.complete[Mean_VP],MATCH(vp.tbl[[#This Row],[Crude_Breakdown]],crudeBD.lkup.complete[Crude Breakdown],0)))^2,"")</f>
        <v>179.1264887767025</v>
      </c>
      <c r="AN998" s="4">
        <f>IFERROR((vp.tbl[[#This Row],[Dens]]-INDEX(crudeBD.lkup.complete[Mean_Dens],MATCH(vp.tbl[[#This Row],[Crude_Breakdown]],crudeBD.lkup.complete[Crude Breakdown],0)))^2,"")</f>
        <v>1.6466798502622593</v>
      </c>
      <c r="AO998" s="4">
        <f>IFERROR((vp.tbl[[#This Row],[Sulf]]-INDEX(crudeBD.lkup.complete[Mean_Sulf],MATCH(vp.tbl[[#This Row],[Crude_Breakdown]],crudeBD.lkup.complete[Crude Breakdown],0)))^2,"")</f>
        <v>0.12038899169036842</v>
      </c>
      <c r="AP998">
        <f>IF(AND(vp.tbl[[#This Row],[SDate]]&gt;=DATE(YEAR(vp.tbl[[#This Row],[SDate]]),5,1),vp.tbl[[#This Row],[SDate]]&lt;=DATE(YEAR(vp.tbl[[#This Row],[SDate]]),9,15)),1,0)</f>
        <v>0</v>
      </c>
      <c r="AQ998" s="15">
        <f>IF(vp.tbl[[#This Row],[SDate]]&lt;DATE(2016,12,1),0,1)</f>
        <v>1</v>
      </c>
    </row>
    <row r="999" spans="1:43" x14ac:dyDescent="0.25">
      <c r="A999">
        <v>998</v>
      </c>
      <c r="B999" t="s">
        <v>49</v>
      </c>
      <c r="C999" t="s">
        <v>49</v>
      </c>
      <c r="D999" t="s">
        <v>100</v>
      </c>
      <c r="F999" s="1">
        <v>42807</v>
      </c>
      <c r="G999" s="2">
        <v>86.9</v>
      </c>
      <c r="H999" s="2">
        <v>0.59599999999999997</v>
      </c>
      <c r="I999" s="2">
        <v>0.59599999999999997</v>
      </c>
      <c r="J999" s="2">
        <v>-2</v>
      </c>
      <c r="K999" s="2">
        <v>-18</v>
      </c>
      <c r="L999" s="2">
        <v>817</v>
      </c>
      <c r="M999" s="2">
        <v>817</v>
      </c>
      <c r="N999" s="2">
        <f ca="1">INDEX(INDIRECT(_xlfn.CONCAT("weather.tbl[",N$1,"]")),MATCH(vp.tbl[[#This Row],[SDate]],weather.tbl[Date],0))</f>
        <v>-17.566666666666666</v>
      </c>
      <c r="O999" s="2">
        <f ca="1">INDEX(INDIRECT(_xlfn.CONCAT("weather.tbl[",O$1,"]")),MATCH(vp.tbl[[#This Row],[SDate]],weather.tbl[Date],0))</f>
        <v>-17.119047619047617</v>
      </c>
      <c r="P999" s="2">
        <f ca="1">INDEX(INDIRECT(_xlfn.CONCAT("weather.tbl[",P$1,"]")),MATCH(vp.tbl[[#This Row],[SDate]],weather.tbl[Date],0))</f>
        <v>-17.399999999999999</v>
      </c>
      <c r="Q999" s="2">
        <f ca="1">INDEX(INDIRECT(_xlfn.CONCAT("weather.tbl[",Q$1,"]")),MATCH(vp.tbl[[#This Row],[SDate]],weather.tbl[Date],0))</f>
        <v>-16.7</v>
      </c>
      <c r="R999" s="2">
        <f ca="1">INDEX(INDIRECT(_xlfn.CONCAT("weather.tbl[",R$1,"]")),MATCH(vp.tbl[[#This Row],[SDate]],weather.tbl[Date],0))</f>
        <v>-17</v>
      </c>
      <c r="S999" s="2">
        <f ca="1">INDEX(INDIRECT(_xlfn.CONCAT("weather.tbl[",S$1,"]")),MATCH(vp.tbl[[#This Row],[SDate]],weather.tbl[Date],0))</f>
        <v>-16.5</v>
      </c>
      <c r="T999" s="2">
        <f ca="1">INDEX(INDIRECT(_xlfn.CONCAT("weather.tbl[",T$1,"]")),MATCH(vp.tbl[[#This Row],[SDate]],weather.tbl[Date],0))</f>
        <v>-20</v>
      </c>
      <c r="U999" s="2">
        <f ca="1">INDEX(INDIRECT(_xlfn.CONCAT("weather.tbl[",U$1,"]")),MATCH(vp.tbl[[#This Row],[SDate]],weather.tbl[Date],0))</f>
        <v>-17.8</v>
      </c>
      <c r="V999" s="2">
        <v>10867.904</v>
      </c>
      <c r="W999" t="s">
        <v>48</v>
      </c>
      <c r="X999">
        <f>IF(OR(vp.tbl[[#This Row],[Sulf]]="",vp.tbl[[#This Row],[Dens]]=""),1,0)</f>
        <v>0</v>
      </c>
      <c r="Y999">
        <f>IF(vp.tbl[[#This Row],[CrudeType]]="C5+",1,0)</f>
        <v>0</v>
      </c>
      <c r="Z999">
        <f>IF(AND(vp.tbl[[#This Row],[CrudeType]]="Crude",vp.tbl[[#This Row],[Dens]]&lt;=825,vp.tbl[[#This Row],[Sulf]]&gt;0.5,vp.tbl[[#This Row],[Unknown]]=0),1,0)</f>
        <v>1</v>
      </c>
      <c r="AA999">
        <f>IF(AND(vp.tbl[[#This Row],[CrudeType]]="Crude",vp.tbl[[#This Row],[Dens]]&lt;=825,vp.tbl[[#This Row],[Sulf]]&lt;=0.5,vp.tbl[[#This Row],[Unknown]]=0),1,0)</f>
        <v>0</v>
      </c>
      <c r="AB999">
        <f>IF(AND(vp.tbl[[#This Row],[CrudeType]]="Crude",vp.tbl[[#This Row],[Dens]]&gt;825,vp.tbl[[#This Row],[Dens]]&lt;=870,vp.tbl[[#This Row],[Sulf]]&gt;0.5,vp.tbl[[#This Row],[Unknown]]=0),1,0)</f>
        <v>0</v>
      </c>
      <c r="AC999">
        <f>IF(AND(vp.tbl[[#This Row],[CrudeType]]="Crude",vp.tbl[[#This Row],[Dens]]&gt;825,vp.tbl[[#This Row],[Dens]]&lt;=900,vp.tbl[[#This Row],[Sulf]]&lt;=0.5,vp.tbl[[#This Row],[Unknown]]=0),1,0)</f>
        <v>0</v>
      </c>
      <c r="AD999">
        <f>IF(AND(vp.tbl[[#This Row],[CrudeType]]="Crude",vp.tbl[[#This Row],[Dens]]&gt;870,vp.tbl[[#This Row],[Dens]]&lt;=900,vp.tbl[[#This Row],[Sulf]]&gt;0.5,vp.tbl[[#This Row],[Unknown]]=0),1,0)</f>
        <v>0</v>
      </c>
      <c r="AE999">
        <f>IF(AND(vp.tbl[[#This Row],[CrudeType]]="Crude",vp.tbl[[#This Row],[Dens]]&gt;900,vp.tbl[[#This Row],[Sulf]]&lt;=0.5,vp.tbl[[#This Row],[Unknown]]=0),1,0)</f>
        <v>0</v>
      </c>
      <c r="AF999">
        <f>IF(AND(vp.tbl[[#This Row],[CrudeType]]="Crude",vp.tbl[[#This Row],[Dens]]&gt;900,vp.tbl[[#This Row],[Sulf]]&lt;=0.5,vp.tbl[[#This Row],[Unknown]]=0),1,0)</f>
        <v>0</v>
      </c>
      <c r="AG999" t="str">
        <f>INDEX(vp.tbl[[#Headers],[Unknown]:[Heavy_SW]],MATCH(1,vp.tbl[[#This Row],[Unknown]:[Heavy_SW]],0))</f>
        <v>Light_LSB</v>
      </c>
      <c r="AH999" t="e">
        <f>INDEX([1]!crudeBD.lkup[Number],MATCH(vp.tbl[[#This Row],[Crude_Breakdown]],[1]!crudeBD.lkup[Crude Breakdown],0))</f>
        <v>#REF!</v>
      </c>
      <c r="AI999">
        <f>MONTH(vp.tbl[[#This Row],[SDate]])</f>
        <v>3</v>
      </c>
      <c r="AJ999" s="5">
        <f>IFERROR(vp.tbl[[#This Row],[Sulf]]*vp.tbl[[#This Row],[Net Dens]],"")</f>
        <v>5291930.2305279998</v>
      </c>
      <c r="AK999" s="5">
        <f>IFERROR(vp.tbl[[#This Row],[Dens]]*vp.tbl[[#This Row],[VolumeM3]],"")</f>
        <v>8879077.568</v>
      </c>
      <c r="AL999" s="5">
        <f>IFERROR(vp.tbl[[#This Row],[VP]]*vp.tbl[[#This Row],[VolumeM3]],"")</f>
        <v>944420.8576000001</v>
      </c>
      <c r="AM999" s="4">
        <f>IFERROR((vp.tbl[[#This Row],[VP]]-INDEX(crudeBD.lkup.complete[Mean_VP],MATCH(vp.tbl[[#This Row],[Crude_Breakdown]],crudeBD.lkup.complete[Crude Breakdown],0)))^2,"")</f>
        <v>21.587040323095145</v>
      </c>
      <c r="AN999" s="4">
        <f>IFERROR((vp.tbl[[#This Row],[Dens]]-INDEX(crudeBD.lkup.complete[Mean_Dens],MATCH(vp.tbl[[#This Row],[Crude_Breakdown]],crudeBD.lkup.complete[Crude Breakdown],0)))^2,"")</f>
        <v>2.3005905031815792</v>
      </c>
      <c r="AO999" s="4">
        <f>IFERROR((vp.tbl[[#This Row],[Sulf]]-INDEX(crudeBD.lkup.complete[Mean_Sulf],MATCH(vp.tbl[[#This Row],[Crude_Breakdown]],crudeBD.lkup.complete[Crude Breakdown],0)))^2,"")</f>
        <v>0.10691014495497322</v>
      </c>
      <c r="AP999">
        <f>IF(AND(vp.tbl[[#This Row],[SDate]]&gt;=DATE(YEAR(vp.tbl[[#This Row],[SDate]]),5,1),vp.tbl[[#This Row],[SDate]]&lt;=DATE(YEAR(vp.tbl[[#This Row],[SDate]]),9,15)),1,0)</f>
        <v>0</v>
      </c>
      <c r="AQ999" s="15">
        <f>IF(vp.tbl[[#This Row],[SDate]]&lt;DATE(2016,12,1),0,1)</f>
        <v>1</v>
      </c>
    </row>
    <row r="1000" spans="1:43" x14ac:dyDescent="0.25">
      <c r="A1000">
        <v>999</v>
      </c>
      <c r="B1000" t="s">
        <v>49</v>
      </c>
      <c r="C1000" t="s">
        <v>49</v>
      </c>
      <c r="D1000" t="s">
        <v>89</v>
      </c>
      <c r="F1000" s="1">
        <v>42807</v>
      </c>
      <c r="G1000" s="2">
        <v>96.6</v>
      </c>
      <c r="H1000" s="2">
        <v>0.62849999999999995</v>
      </c>
      <c r="I1000" s="2">
        <v>0.62849999999999995</v>
      </c>
      <c r="J1000" s="2">
        <v>0.7</v>
      </c>
      <c r="K1000" s="2">
        <v>-18</v>
      </c>
      <c r="L1000" s="2">
        <v>815</v>
      </c>
      <c r="M1000" s="2">
        <v>815</v>
      </c>
      <c r="N1000" s="2">
        <f ca="1">INDEX(INDIRECT(_xlfn.CONCAT("weather.tbl[",N$1,"]")),MATCH(vp.tbl[[#This Row],[SDate]],weather.tbl[Date],0))</f>
        <v>-17.566666666666666</v>
      </c>
      <c r="O1000" s="2">
        <f ca="1">INDEX(INDIRECT(_xlfn.CONCAT("weather.tbl[",O$1,"]")),MATCH(vp.tbl[[#This Row],[SDate]],weather.tbl[Date],0))</f>
        <v>-17.119047619047617</v>
      </c>
      <c r="P1000" s="2">
        <f ca="1">INDEX(INDIRECT(_xlfn.CONCAT("weather.tbl[",P$1,"]")),MATCH(vp.tbl[[#This Row],[SDate]],weather.tbl[Date],0))</f>
        <v>-17.399999999999999</v>
      </c>
      <c r="Q1000" s="2">
        <f ca="1">INDEX(INDIRECT(_xlfn.CONCAT("weather.tbl[",Q$1,"]")),MATCH(vp.tbl[[#This Row],[SDate]],weather.tbl[Date],0))</f>
        <v>-16.7</v>
      </c>
      <c r="R1000" s="2">
        <f ca="1">INDEX(INDIRECT(_xlfn.CONCAT("weather.tbl[",R$1,"]")),MATCH(vp.tbl[[#This Row],[SDate]],weather.tbl[Date],0))</f>
        <v>-17</v>
      </c>
      <c r="S1000" s="2">
        <f ca="1">INDEX(INDIRECT(_xlfn.CONCAT("weather.tbl[",S$1,"]")),MATCH(vp.tbl[[#This Row],[SDate]],weather.tbl[Date],0))</f>
        <v>-16.5</v>
      </c>
      <c r="T1000" s="2">
        <f ca="1">INDEX(INDIRECT(_xlfn.CONCAT("weather.tbl[",T$1,"]")),MATCH(vp.tbl[[#This Row],[SDate]],weather.tbl[Date],0))</f>
        <v>-20</v>
      </c>
      <c r="U1000" s="2">
        <f ca="1">INDEX(INDIRECT(_xlfn.CONCAT("weather.tbl[",U$1,"]")),MATCH(vp.tbl[[#This Row],[SDate]],weather.tbl[Date],0))</f>
        <v>-17.8</v>
      </c>
      <c r="V1000" s="2">
        <v>6514.0349999999999</v>
      </c>
      <c r="W1000" t="s">
        <v>48</v>
      </c>
      <c r="X1000">
        <f>IF(OR(vp.tbl[[#This Row],[Sulf]]="",vp.tbl[[#This Row],[Dens]]=""),1,0)</f>
        <v>0</v>
      </c>
      <c r="Y1000">
        <f>IF(vp.tbl[[#This Row],[CrudeType]]="C5+",1,0)</f>
        <v>0</v>
      </c>
      <c r="Z1000">
        <f>IF(AND(vp.tbl[[#This Row],[CrudeType]]="Crude",vp.tbl[[#This Row],[Dens]]&lt;=825,vp.tbl[[#This Row],[Sulf]]&gt;0.5,vp.tbl[[#This Row],[Unknown]]=0),1,0)</f>
        <v>1</v>
      </c>
      <c r="AA1000">
        <f>IF(AND(vp.tbl[[#This Row],[CrudeType]]="Crude",vp.tbl[[#This Row],[Dens]]&lt;=825,vp.tbl[[#This Row],[Sulf]]&lt;=0.5,vp.tbl[[#This Row],[Unknown]]=0),1,0)</f>
        <v>0</v>
      </c>
      <c r="AB1000">
        <f>IF(AND(vp.tbl[[#This Row],[CrudeType]]="Crude",vp.tbl[[#This Row],[Dens]]&gt;825,vp.tbl[[#This Row],[Dens]]&lt;=870,vp.tbl[[#This Row],[Sulf]]&gt;0.5,vp.tbl[[#This Row],[Unknown]]=0),1,0)</f>
        <v>0</v>
      </c>
      <c r="AC1000">
        <f>IF(AND(vp.tbl[[#This Row],[CrudeType]]="Crude",vp.tbl[[#This Row],[Dens]]&gt;825,vp.tbl[[#This Row],[Dens]]&lt;=900,vp.tbl[[#This Row],[Sulf]]&lt;=0.5,vp.tbl[[#This Row],[Unknown]]=0),1,0)</f>
        <v>0</v>
      </c>
      <c r="AD1000">
        <f>IF(AND(vp.tbl[[#This Row],[CrudeType]]="Crude",vp.tbl[[#This Row],[Dens]]&gt;870,vp.tbl[[#This Row],[Dens]]&lt;=900,vp.tbl[[#This Row],[Sulf]]&gt;0.5,vp.tbl[[#This Row],[Unknown]]=0),1,0)</f>
        <v>0</v>
      </c>
      <c r="AE1000">
        <f>IF(AND(vp.tbl[[#This Row],[CrudeType]]="Crude",vp.tbl[[#This Row],[Dens]]&gt;900,vp.tbl[[#This Row],[Sulf]]&lt;=0.5,vp.tbl[[#This Row],[Unknown]]=0),1,0)</f>
        <v>0</v>
      </c>
      <c r="AF1000">
        <f>IF(AND(vp.tbl[[#This Row],[CrudeType]]="Crude",vp.tbl[[#This Row],[Dens]]&gt;900,vp.tbl[[#This Row],[Sulf]]&lt;=0.5,vp.tbl[[#This Row],[Unknown]]=0),1,0)</f>
        <v>0</v>
      </c>
      <c r="AG1000" t="str">
        <f>INDEX(vp.tbl[[#Headers],[Unknown]:[Heavy_SW]],MATCH(1,vp.tbl[[#This Row],[Unknown]:[Heavy_SW]],0))</f>
        <v>Light_LSB</v>
      </c>
      <c r="AH1000" t="e">
        <f>INDEX([1]!crudeBD.lkup[Number],MATCH(vp.tbl[[#This Row],[Crude_Breakdown]],[1]!crudeBD.lkup[Crude Breakdown],0))</f>
        <v>#REF!</v>
      </c>
      <c r="AI1000">
        <f>MONTH(vp.tbl[[#This Row],[SDate]])</f>
        <v>3</v>
      </c>
      <c r="AJ1000" s="5">
        <f>IFERROR(vp.tbl[[#This Row],[Sulf]]*vp.tbl[[#This Row],[Net Dens]],"")</f>
        <v>3336667.8629624993</v>
      </c>
      <c r="AK1000" s="5">
        <f>IFERROR(vp.tbl[[#This Row],[Dens]]*vp.tbl[[#This Row],[VolumeM3]],"")</f>
        <v>5308938.5249999994</v>
      </c>
      <c r="AL1000" s="5">
        <f>IFERROR(vp.tbl[[#This Row],[VP]]*vp.tbl[[#This Row],[VolumeM3]],"")</f>
        <v>629255.78099999996</v>
      </c>
      <c r="AM1000" s="4">
        <f>IFERROR((vp.tbl[[#This Row],[VP]]-INDEX(crudeBD.lkup.complete[Mean_VP],MATCH(vp.tbl[[#This Row],[Crude_Breakdown]],crudeBD.lkup.complete[Crude Breakdown],0)))^2,"")</f>
        <v>25.541040323094538</v>
      </c>
      <c r="AN1000" s="4">
        <f>IFERROR((vp.tbl[[#This Row],[Dens]]-INDEX(crudeBD.lkup.complete[Mean_Dens],MATCH(vp.tbl[[#This Row],[Crude_Breakdown]],crudeBD.lkup.complete[Crude Breakdown],0)))^2,"")</f>
        <v>12.36766954098101</v>
      </c>
      <c r="AO1000" s="4">
        <f>IFERROR((vp.tbl[[#This Row],[Sulf]]-INDEX(crudeBD.lkup.complete[Mean_Sulf],MATCH(vp.tbl[[#This Row],[Crude_Breakdown]],crudeBD.lkup.complete[Crude Breakdown],0)))^2,"")</f>
        <v>8.6713269009956073E-2</v>
      </c>
      <c r="AP1000">
        <f>IF(AND(vp.tbl[[#This Row],[SDate]]&gt;=DATE(YEAR(vp.tbl[[#This Row],[SDate]]),5,1),vp.tbl[[#This Row],[SDate]]&lt;=DATE(YEAR(vp.tbl[[#This Row],[SDate]]),9,15)),1,0)</f>
        <v>0</v>
      </c>
      <c r="AQ1000" s="15">
        <f>IF(vp.tbl[[#This Row],[SDate]]&lt;DATE(2016,12,1),0,1)</f>
        <v>1</v>
      </c>
    </row>
    <row r="1001" spans="1:43" x14ac:dyDescent="0.25">
      <c r="A1001">
        <v>1000</v>
      </c>
      <c r="B1001" t="s">
        <v>62</v>
      </c>
      <c r="C1001" t="s">
        <v>62</v>
      </c>
      <c r="D1001" t="s">
        <v>79</v>
      </c>
      <c r="F1001" s="1">
        <v>42807</v>
      </c>
      <c r="G1001" s="2">
        <v>96.8</v>
      </c>
      <c r="H1001" s="2"/>
      <c r="I1001" s="2">
        <v>0.3</v>
      </c>
      <c r="J1001" s="2">
        <v>22.7</v>
      </c>
      <c r="K1001" s="2">
        <v>-18</v>
      </c>
      <c r="L1001" s="2">
        <v>804.5</v>
      </c>
      <c r="M1001" s="2">
        <v>804.5</v>
      </c>
      <c r="N1001" s="2">
        <f ca="1">INDEX(INDIRECT(_xlfn.CONCAT("weather.tbl[",N$1,"]")),MATCH(vp.tbl[[#This Row],[SDate]],weather.tbl[Date],0))</f>
        <v>-17.566666666666666</v>
      </c>
      <c r="O1001" s="2">
        <f ca="1">INDEX(INDIRECT(_xlfn.CONCAT("weather.tbl[",O$1,"]")),MATCH(vp.tbl[[#This Row],[SDate]],weather.tbl[Date],0))</f>
        <v>-17.119047619047617</v>
      </c>
      <c r="P1001" s="2">
        <f ca="1">INDEX(INDIRECT(_xlfn.CONCAT("weather.tbl[",P$1,"]")),MATCH(vp.tbl[[#This Row],[SDate]],weather.tbl[Date],0))</f>
        <v>-17.399999999999999</v>
      </c>
      <c r="Q1001" s="2">
        <f ca="1">INDEX(INDIRECT(_xlfn.CONCAT("weather.tbl[",Q$1,"]")),MATCH(vp.tbl[[#This Row],[SDate]],weather.tbl[Date],0))</f>
        <v>-16.7</v>
      </c>
      <c r="R1001" s="2">
        <f ca="1">INDEX(INDIRECT(_xlfn.CONCAT("weather.tbl[",R$1,"]")),MATCH(vp.tbl[[#This Row],[SDate]],weather.tbl[Date],0))</f>
        <v>-17</v>
      </c>
      <c r="S1001" s="2">
        <f ca="1">INDEX(INDIRECT(_xlfn.CONCAT("weather.tbl[",S$1,"]")),MATCH(vp.tbl[[#This Row],[SDate]],weather.tbl[Date],0))</f>
        <v>-16.5</v>
      </c>
      <c r="T1001" s="2">
        <f ca="1">INDEX(INDIRECT(_xlfn.CONCAT("weather.tbl[",T$1,"]")),MATCH(vp.tbl[[#This Row],[SDate]],weather.tbl[Date],0))</f>
        <v>-20</v>
      </c>
      <c r="U1001" s="2">
        <f ca="1">INDEX(INDIRECT(_xlfn.CONCAT("weather.tbl[",U$1,"]")),MATCH(vp.tbl[[#This Row],[SDate]],weather.tbl[Date],0))</f>
        <v>-17.8</v>
      </c>
      <c r="V1001" s="2">
        <v>15962.98</v>
      </c>
      <c r="W1001" t="s">
        <v>48</v>
      </c>
      <c r="X1001">
        <f>IF(OR(vp.tbl[[#This Row],[Sulf]]="",vp.tbl[[#This Row],[Dens]]=""),1,0)</f>
        <v>0</v>
      </c>
      <c r="Y1001">
        <f>IF(vp.tbl[[#This Row],[CrudeType]]="C5+",1,0)</f>
        <v>0</v>
      </c>
      <c r="Z1001">
        <f>IF(AND(vp.tbl[[#This Row],[CrudeType]]="Crude",vp.tbl[[#This Row],[Dens]]&lt;=825,vp.tbl[[#This Row],[Sulf]]&gt;0.5,vp.tbl[[#This Row],[Unknown]]=0),1,0)</f>
        <v>0</v>
      </c>
      <c r="AA1001">
        <f>IF(AND(vp.tbl[[#This Row],[CrudeType]]="Crude",vp.tbl[[#This Row],[Dens]]&lt;=825,vp.tbl[[#This Row],[Sulf]]&lt;=0.5,vp.tbl[[#This Row],[Unknown]]=0),1,0)</f>
        <v>1</v>
      </c>
      <c r="AB1001">
        <f>IF(AND(vp.tbl[[#This Row],[CrudeType]]="Crude",vp.tbl[[#This Row],[Dens]]&gt;825,vp.tbl[[#This Row],[Dens]]&lt;=870,vp.tbl[[#This Row],[Sulf]]&gt;0.5,vp.tbl[[#This Row],[Unknown]]=0),1,0)</f>
        <v>0</v>
      </c>
      <c r="AC1001">
        <f>IF(AND(vp.tbl[[#This Row],[CrudeType]]="Crude",vp.tbl[[#This Row],[Dens]]&gt;825,vp.tbl[[#This Row],[Dens]]&lt;=900,vp.tbl[[#This Row],[Sulf]]&lt;=0.5,vp.tbl[[#This Row],[Unknown]]=0),1,0)</f>
        <v>0</v>
      </c>
      <c r="AD1001">
        <f>IF(AND(vp.tbl[[#This Row],[CrudeType]]="Crude",vp.tbl[[#This Row],[Dens]]&gt;870,vp.tbl[[#This Row],[Dens]]&lt;=900,vp.tbl[[#This Row],[Sulf]]&gt;0.5,vp.tbl[[#This Row],[Unknown]]=0),1,0)</f>
        <v>0</v>
      </c>
      <c r="AE1001">
        <f>IF(AND(vp.tbl[[#This Row],[CrudeType]]="Crude",vp.tbl[[#This Row],[Dens]]&gt;900,vp.tbl[[#This Row],[Sulf]]&lt;=0.5,vp.tbl[[#This Row],[Unknown]]=0),1,0)</f>
        <v>0</v>
      </c>
      <c r="AF1001">
        <f>IF(AND(vp.tbl[[#This Row],[CrudeType]]="Crude",vp.tbl[[#This Row],[Dens]]&gt;900,vp.tbl[[#This Row],[Sulf]]&lt;=0.5,vp.tbl[[#This Row],[Unknown]]=0),1,0)</f>
        <v>0</v>
      </c>
      <c r="AG1001" t="str">
        <f>INDEX(vp.tbl[[#Headers],[Unknown]:[Heavy_SW]],MATCH(1,vp.tbl[[#This Row],[Unknown]:[Heavy_SW]],0))</f>
        <v>Light_SW</v>
      </c>
      <c r="AH1001" t="e">
        <f>INDEX([1]!crudeBD.lkup[Number],MATCH(vp.tbl[[#This Row],[Crude_Breakdown]],[1]!crudeBD.lkup[Crude Breakdown],0))</f>
        <v>#REF!</v>
      </c>
      <c r="AI1001">
        <f>MONTH(vp.tbl[[#This Row],[SDate]])</f>
        <v>3</v>
      </c>
      <c r="AJ1001" s="5">
        <f>IFERROR(vp.tbl[[#This Row],[Sulf]]*vp.tbl[[#This Row],[Net Dens]],"")</f>
        <v>3852665.2229999998</v>
      </c>
      <c r="AK1001" s="5">
        <f>IFERROR(vp.tbl[[#This Row],[Dens]]*vp.tbl[[#This Row],[VolumeM3]],"")</f>
        <v>12842217.41</v>
      </c>
      <c r="AL1001" s="5">
        <f>IFERROR(vp.tbl[[#This Row],[VP]]*vp.tbl[[#This Row],[VolumeM3]],"")</f>
        <v>1545216.4639999999</v>
      </c>
      <c r="AM1001" s="4">
        <f>IFERROR((vp.tbl[[#This Row],[VP]]-INDEX(crudeBD.lkup.complete[Mean_VP],MATCH(vp.tbl[[#This Row],[Crude_Breakdown]],crudeBD.lkup.complete[Crude Breakdown],0)))^2,"")</f>
        <v>18.059834593111713</v>
      </c>
      <c r="AN1001" s="4">
        <f>IFERROR((vp.tbl[[#This Row],[Dens]]-INDEX(crudeBD.lkup.complete[Mean_Dens],MATCH(vp.tbl[[#This Row],[Crude_Breakdown]],crudeBD.lkup.complete[Crude Breakdown],0)))^2,"")</f>
        <v>14.527518969513565</v>
      </c>
      <c r="AO1001" s="4">
        <f>IFERROR((vp.tbl[[#This Row],[Sulf]]-INDEX(crudeBD.lkup.complete[Mean_Sulf],MATCH(vp.tbl[[#This Row],[Crude_Breakdown]],crudeBD.lkup.complete[Crude Breakdown],0)))^2,"")</f>
        <v>4.0651065565929113E-3</v>
      </c>
      <c r="AP1001">
        <f>IF(AND(vp.tbl[[#This Row],[SDate]]&gt;=DATE(YEAR(vp.tbl[[#This Row],[SDate]]),5,1),vp.tbl[[#This Row],[SDate]]&lt;=DATE(YEAR(vp.tbl[[#This Row],[SDate]]),9,15)),1,0)</f>
        <v>0</v>
      </c>
      <c r="AQ1001" s="15">
        <f>IF(vp.tbl[[#This Row],[SDate]]&lt;DATE(2016,12,1),0,1)</f>
        <v>1</v>
      </c>
    </row>
    <row r="1002" spans="1:43" x14ac:dyDescent="0.25">
      <c r="A1002">
        <v>1001</v>
      </c>
      <c r="B1002" t="s">
        <v>62</v>
      </c>
      <c r="C1002" t="s">
        <v>62</v>
      </c>
      <c r="D1002" t="s">
        <v>83</v>
      </c>
      <c r="F1002" s="1">
        <v>42807</v>
      </c>
      <c r="G1002" s="2">
        <v>92.6</v>
      </c>
      <c r="H1002" s="2"/>
      <c r="I1002" s="2">
        <v>0.19</v>
      </c>
      <c r="J1002" s="2">
        <v>-2.5</v>
      </c>
      <c r="K1002" s="2">
        <v>-18</v>
      </c>
      <c r="L1002" s="2">
        <v>807</v>
      </c>
      <c r="M1002" s="2">
        <v>807</v>
      </c>
      <c r="N1002" s="2">
        <f ca="1">INDEX(INDIRECT(_xlfn.CONCAT("weather.tbl[",N$1,"]")),MATCH(vp.tbl[[#This Row],[SDate]],weather.tbl[Date],0))</f>
        <v>-17.566666666666666</v>
      </c>
      <c r="O1002" s="2">
        <f ca="1">INDEX(INDIRECT(_xlfn.CONCAT("weather.tbl[",O$1,"]")),MATCH(vp.tbl[[#This Row],[SDate]],weather.tbl[Date],0))</f>
        <v>-17.119047619047617</v>
      </c>
      <c r="P1002" s="2">
        <f ca="1">INDEX(INDIRECT(_xlfn.CONCAT("weather.tbl[",P$1,"]")),MATCH(vp.tbl[[#This Row],[SDate]],weather.tbl[Date],0))</f>
        <v>-17.399999999999999</v>
      </c>
      <c r="Q1002" s="2">
        <f ca="1">INDEX(INDIRECT(_xlfn.CONCAT("weather.tbl[",Q$1,"]")),MATCH(vp.tbl[[#This Row],[SDate]],weather.tbl[Date],0))</f>
        <v>-16.7</v>
      </c>
      <c r="R1002" s="2">
        <f ca="1">INDEX(INDIRECT(_xlfn.CONCAT("weather.tbl[",R$1,"]")),MATCH(vp.tbl[[#This Row],[SDate]],weather.tbl[Date],0))</f>
        <v>-17</v>
      </c>
      <c r="S1002" s="2">
        <f ca="1">INDEX(INDIRECT(_xlfn.CONCAT("weather.tbl[",S$1,"]")),MATCH(vp.tbl[[#This Row],[SDate]],weather.tbl[Date],0))</f>
        <v>-16.5</v>
      </c>
      <c r="T1002" s="2">
        <f ca="1">INDEX(INDIRECT(_xlfn.CONCAT("weather.tbl[",T$1,"]")),MATCH(vp.tbl[[#This Row],[SDate]],weather.tbl[Date],0))</f>
        <v>-20</v>
      </c>
      <c r="U1002" s="2">
        <f ca="1">INDEX(INDIRECT(_xlfn.CONCAT("weather.tbl[",U$1,"]")),MATCH(vp.tbl[[#This Row],[SDate]],weather.tbl[Date],0))</f>
        <v>-17.8</v>
      </c>
      <c r="V1002" s="2">
        <v>6312.9459999999999</v>
      </c>
      <c r="W1002" t="s">
        <v>48</v>
      </c>
      <c r="X1002">
        <f>IF(OR(vp.tbl[[#This Row],[Sulf]]="",vp.tbl[[#This Row],[Dens]]=""),1,0)</f>
        <v>0</v>
      </c>
      <c r="Y1002">
        <f>IF(vp.tbl[[#This Row],[CrudeType]]="C5+",1,0)</f>
        <v>0</v>
      </c>
      <c r="Z1002">
        <f>IF(AND(vp.tbl[[#This Row],[CrudeType]]="Crude",vp.tbl[[#This Row],[Dens]]&lt;=825,vp.tbl[[#This Row],[Sulf]]&gt;0.5,vp.tbl[[#This Row],[Unknown]]=0),1,0)</f>
        <v>0</v>
      </c>
      <c r="AA1002">
        <f>IF(AND(vp.tbl[[#This Row],[CrudeType]]="Crude",vp.tbl[[#This Row],[Dens]]&lt;=825,vp.tbl[[#This Row],[Sulf]]&lt;=0.5,vp.tbl[[#This Row],[Unknown]]=0),1,0)</f>
        <v>1</v>
      </c>
      <c r="AB1002">
        <f>IF(AND(vp.tbl[[#This Row],[CrudeType]]="Crude",vp.tbl[[#This Row],[Dens]]&gt;825,vp.tbl[[#This Row],[Dens]]&lt;=870,vp.tbl[[#This Row],[Sulf]]&gt;0.5,vp.tbl[[#This Row],[Unknown]]=0),1,0)</f>
        <v>0</v>
      </c>
      <c r="AC1002">
        <f>IF(AND(vp.tbl[[#This Row],[CrudeType]]="Crude",vp.tbl[[#This Row],[Dens]]&gt;825,vp.tbl[[#This Row],[Dens]]&lt;=900,vp.tbl[[#This Row],[Sulf]]&lt;=0.5,vp.tbl[[#This Row],[Unknown]]=0),1,0)</f>
        <v>0</v>
      </c>
      <c r="AD1002">
        <f>IF(AND(vp.tbl[[#This Row],[CrudeType]]="Crude",vp.tbl[[#This Row],[Dens]]&gt;870,vp.tbl[[#This Row],[Dens]]&lt;=900,vp.tbl[[#This Row],[Sulf]]&gt;0.5,vp.tbl[[#This Row],[Unknown]]=0),1,0)</f>
        <v>0</v>
      </c>
      <c r="AE1002">
        <f>IF(AND(vp.tbl[[#This Row],[CrudeType]]="Crude",vp.tbl[[#This Row],[Dens]]&gt;900,vp.tbl[[#This Row],[Sulf]]&lt;=0.5,vp.tbl[[#This Row],[Unknown]]=0),1,0)</f>
        <v>0</v>
      </c>
      <c r="AF1002">
        <f>IF(AND(vp.tbl[[#This Row],[CrudeType]]="Crude",vp.tbl[[#This Row],[Dens]]&gt;900,vp.tbl[[#This Row],[Sulf]]&lt;=0.5,vp.tbl[[#This Row],[Unknown]]=0),1,0)</f>
        <v>0</v>
      </c>
      <c r="AG1002" t="str">
        <f>INDEX(vp.tbl[[#Headers],[Unknown]:[Heavy_SW]],MATCH(1,vp.tbl[[#This Row],[Unknown]:[Heavy_SW]],0))</f>
        <v>Light_SW</v>
      </c>
      <c r="AH1002" t="e">
        <f>INDEX([1]!crudeBD.lkup[Number],MATCH(vp.tbl[[#This Row],[Crude_Breakdown]],[1]!crudeBD.lkup[Crude Breakdown],0))</f>
        <v>#REF!</v>
      </c>
      <c r="AI1002">
        <f>MONTH(vp.tbl[[#This Row],[SDate]])</f>
        <v>3</v>
      </c>
      <c r="AJ1002" s="5">
        <f>IFERROR(vp.tbl[[#This Row],[Sulf]]*vp.tbl[[#This Row],[Net Dens]],"")</f>
        <v>967964.0101800001</v>
      </c>
      <c r="AK1002" s="5">
        <f>IFERROR(vp.tbl[[#This Row],[Dens]]*vp.tbl[[#This Row],[VolumeM3]],"")</f>
        <v>5094547.4220000003</v>
      </c>
      <c r="AL1002" s="5">
        <f>IFERROR(vp.tbl[[#This Row],[VP]]*vp.tbl[[#This Row],[VolumeM3]],"")</f>
        <v>584578.79959999991</v>
      </c>
      <c r="AM1002" s="4">
        <f>IFERROR((vp.tbl[[#This Row],[VP]]-INDEX(crudeBD.lkup.complete[Mean_VP],MATCH(vp.tbl[[#This Row],[Crude_Breakdown]],crudeBD.lkup.complete[Crude Breakdown],0)))^2,"")</f>
        <v>2.4687394529519006E-3</v>
      </c>
      <c r="AN1002" s="4">
        <f>IFERROR((vp.tbl[[#This Row],[Dens]]-INDEX(crudeBD.lkup.complete[Mean_Dens],MATCH(vp.tbl[[#This Row],[Crude_Breakdown]],crudeBD.lkup.complete[Crude Breakdown],0)))^2,"")</f>
        <v>1.7200276803160512</v>
      </c>
      <c r="AO1002" s="4">
        <f>IFERROR((vp.tbl[[#This Row],[Sulf]]-INDEX(crudeBD.lkup.complete[Mean_Sulf],MATCH(vp.tbl[[#This Row],[Crude_Breakdown]],crudeBD.lkup.complete[Crude Breakdown],0)))^2,"")</f>
        <v>2.1383051628646554E-3</v>
      </c>
      <c r="AP1002">
        <f>IF(AND(vp.tbl[[#This Row],[SDate]]&gt;=DATE(YEAR(vp.tbl[[#This Row],[SDate]]),5,1),vp.tbl[[#This Row],[SDate]]&lt;=DATE(YEAR(vp.tbl[[#This Row],[SDate]]),9,15)),1,0)</f>
        <v>0</v>
      </c>
      <c r="AQ1002" s="15">
        <f>IF(vp.tbl[[#This Row],[SDate]]&lt;DATE(2016,12,1),0,1)</f>
        <v>1</v>
      </c>
    </row>
    <row r="1003" spans="1:43" x14ac:dyDescent="0.25">
      <c r="A1003">
        <v>1002</v>
      </c>
      <c r="B1003" t="s">
        <v>62</v>
      </c>
      <c r="C1003" t="s">
        <v>62</v>
      </c>
      <c r="D1003" t="s">
        <v>87</v>
      </c>
      <c r="F1003" s="1">
        <v>42807</v>
      </c>
      <c r="G1003" s="2">
        <v>86.8</v>
      </c>
      <c r="H1003" s="2"/>
      <c r="I1003" s="2">
        <v>0.17</v>
      </c>
      <c r="J1003" s="2">
        <v>22.4</v>
      </c>
      <c r="K1003" s="2">
        <v>-18</v>
      </c>
      <c r="L1003" s="2">
        <v>809.2</v>
      </c>
      <c r="M1003" s="2">
        <v>809.2</v>
      </c>
      <c r="N1003" s="2">
        <f ca="1">INDEX(INDIRECT(_xlfn.CONCAT("weather.tbl[",N$1,"]")),MATCH(vp.tbl[[#This Row],[SDate]],weather.tbl[Date],0))</f>
        <v>-17.566666666666666</v>
      </c>
      <c r="O1003" s="2">
        <f ca="1">INDEX(INDIRECT(_xlfn.CONCAT("weather.tbl[",O$1,"]")),MATCH(vp.tbl[[#This Row],[SDate]],weather.tbl[Date],0))</f>
        <v>-17.119047619047617</v>
      </c>
      <c r="P1003" s="2">
        <f ca="1">INDEX(INDIRECT(_xlfn.CONCAT("weather.tbl[",P$1,"]")),MATCH(vp.tbl[[#This Row],[SDate]],weather.tbl[Date],0))</f>
        <v>-17.399999999999999</v>
      </c>
      <c r="Q1003" s="2">
        <f ca="1">INDEX(INDIRECT(_xlfn.CONCAT("weather.tbl[",Q$1,"]")),MATCH(vp.tbl[[#This Row],[SDate]],weather.tbl[Date],0))</f>
        <v>-16.7</v>
      </c>
      <c r="R1003" s="2">
        <f ca="1">INDEX(INDIRECT(_xlfn.CONCAT("weather.tbl[",R$1,"]")),MATCH(vp.tbl[[#This Row],[SDate]],weather.tbl[Date],0))</f>
        <v>-17</v>
      </c>
      <c r="S1003" s="2">
        <f ca="1">INDEX(INDIRECT(_xlfn.CONCAT("weather.tbl[",S$1,"]")),MATCH(vp.tbl[[#This Row],[SDate]],weather.tbl[Date],0))</f>
        <v>-16.5</v>
      </c>
      <c r="T1003" s="2">
        <f ca="1">INDEX(INDIRECT(_xlfn.CONCAT("weather.tbl[",T$1,"]")),MATCH(vp.tbl[[#This Row],[SDate]],weather.tbl[Date],0))</f>
        <v>-20</v>
      </c>
      <c r="U1003" s="2">
        <f ca="1">INDEX(INDIRECT(_xlfn.CONCAT("weather.tbl[",U$1,"]")),MATCH(vp.tbl[[#This Row],[SDate]],weather.tbl[Date],0))</f>
        <v>-17.8</v>
      </c>
      <c r="V1003" s="2">
        <v>7297.97</v>
      </c>
      <c r="W1003" t="s">
        <v>48</v>
      </c>
      <c r="X1003">
        <f>IF(OR(vp.tbl[[#This Row],[Sulf]]="",vp.tbl[[#This Row],[Dens]]=""),1,0)</f>
        <v>0</v>
      </c>
      <c r="Y1003">
        <f>IF(vp.tbl[[#This Row],[CrudeType]]="C5+",1,0)</f>
        <v>0</v>
      </c>
      <c r="Z1003">
        <f>IF(AND(vp.tbl[[#This Row],[CrudeType]]="Crude",vp.tbl[[#This Row],[Dens]]&lt;=825,vp.tbl[[#This Row],[Sulf]]&gt;0.5,vp.tbl[[#This Row],[Unknown]]=0),1,0)</f>
        <v>0</v>
      </c>
      <c r="AA1003">
        <f>IF(AND(vp.tbl[[#This Row],[CrudeType]]="Crude",vp.tbl[[#This Row],[Dens]]&lt;=825,vp.tbl[[#This Row],[Sulf]]&lt;=0.5,vp.tbl[[#This Row],[Unknown]]=0),1,0)</f>
        <v>1</v>
      </c>
      <c r="AB1003">
        <f>IF(AND(vp.tbl[[#This Row],[CrudeType]]="Crude",vp.tbl[[#This Row],[Dens]]&gt;825,vp.tbl[[#This Row],[Dens]]&lt;=870,vp.tbl[[#This Row],[Sulf]]&gt;0.5,vp.tbl[[#This Row],[Unknown]]=0),1,0)</f>
        <v>0</v>
      </c>
      <c r="AC1003">
        <f>IF(AND(vp.tbl[[#This Row],[CrudeType]]="Crude",vp.tbl[[#This Row],[Dens]]&gt;825,vp.tbl[[#This Row],[Dens]]&lt;=900,vp.tbl[[#This Row],[Sulf]]&lt;=0.5,vp.tbl[[#This Row],[Unknown]]=0),1,0)</f>
        <v>0</v>
      </c>
      <c r="AD1003">
        <f>IF(AND(vp.tbl[[#This Row],[CrudeType]]="Crude",vp.tbl[[#This Row],[Dens]]&gt;870,vp.tbl[[#This Row],[Dens]]&lt;=900,vp.tbl[[#This Row],[Sulf]]&gt;0.5,vp.tbl[[#This Row],[Unknown]]=0),1,0)</f>
        <v>0</v>
      </c>
      <c r="AE1003">
        <f>IF(AND(vp.tbl[[#This Row],[CrudeType]]="Crude",vp.tbl[[#This Row],[Dens]]&gt;900,vp.tbl[[#This Row],[Sulf]]&lt;=0.5,vp.tbl[[#This Row],[Unknown]]=0),1,0)</f>
        <v>0</v>
      </c>
      <c r="AF1003">
        <f>IF(AND(vp.tbl[[#This Row],[CrudeType]]="Crude",vp.tbl[[#This Row],[Dens]]&gt;900,vp.tbl[[#This Row],[Sulf]]&lt;=0.5,vp.tbl[[#This Row],[Unknown]]=0),1,0)</f>
        <v>0</v>
      </c>
      <c r="AG1003" t="str">
        <f>INDEX(vp.tbl[[#Headers],[Unknown]:[Heavy_SW]],MATCH(1,vp.tbl[[#This Row],[Unknown]:[Heavy_SW]],0))</f>
        <v>Light_SW</v>
      </c>
      <c r="AH1003" t="e">
        <f>INDEX([1]!crudeBD.lkup[Number],MATCH(vp.tbl[[#This Row],[Crude_Breakdown]],[1]!crudeBD.lkup[Crude Breakdown],0))</f>
        <v>#REF!</v>
      </c>
      <c r="AI1003">
        <f>MONTH(vp.tbl[[#This Row],[SDate]])</f>
        <v>3</v>
      </c>
      <c r="AJ1003" s="5">
        <f>IFERROR(vp.tbl[[#This Row],[Sulf]]*vp.tbl[[#This Row],[Net Dens]],"")</f>
        <v>1003937.9450800002</v>
      </c>
      <c r="AK1003" s="5">
        <f>IFERROR(vp.tbl[[#This Row],[Dens]]*vp.tbl[[#This Row],[VolumeM3]],"")</f>
        <v>5905517.324000001</v>
      </c>
      <c r="AL1003" s="5">
        <f>IFERROR(vp.tbl[[#This Row],[VP]]*vp.tbl[[#This Row],[VolumeM3]],"")</f>
        <v>633463.79599999997</v>
      </c>
      <c r="AM1003" s="4">
        <f>IFERROR((vp.tbl[[#This Row],[VP]]-INDEX(crudeBD.lkup.complete[Mean_VP],MATCH(vp.tbl[[#This Row],[Crude_Breakdown]],crudeBD.lkup.complete[Crude Breakdown],0)))^2,"")</f>
        <v>33.06610637011466</v>
      </c>
      <c r="AN1003" s="4">
        <f>IFERROR((vp.tbl[[#This Row],[Dens]]-INDEX(crudeBD.lkup.complete[Mean_Dens],MATCH(vp.tbl[[#This Row],[Crude_Breakdown]],crudeBD.lkup.complete[Crude Breakdown],0)))^2,"")</f>
        <v>0.78943534582231922</v>
      </c>
      <c r="AO1003" s="4">
        <f>IFERROR((vp.tbl[[#This Row],[Sulf]]-INDEX(crudeBD.lkup.complete[Mean_Sulf],MATCH(vp.tbl[[#This Row],[Crude_Breakdown]],crudeBD.lkup.complete[Crude Breakdown],0)))^2,"")</f>
        <v>4.3879776367322437E-3</v>
      </c>
      <c r="AP1003">
        <f>IF(AND(vp.tbl[[#This Row],[SDate]]&gt;=DATE(YEAR(vp.tbl[[#This Row],[SDate]]),5,1),vp.tbl[[#This Row],[SDate]]&lt;=DATE(YEAR(vp.tbl[[#This Row],[SDate]]),9,15)),1,0)</f>
        <v>0</v>
      </c>
      <c r="AQ1003" s="15">
        <f>IF(vp.tbl[[#This Row],[SDate]]&lt;DATE(2016,12,1),0,1)</f>
        <v>1</v>
      </c>
    </row>
    <row r="1004" spans="1:43" x14ac:dyDescent="0.25">
      <c r="A1004">
        <v>1003</v>
      </c>
      <c r="B1004" t="s">
        <v>51</v>
      </c>
      <c r="C1004" t="s">
        <v>51</v>
      </c>
      <c r="D1004" t="s">
        <v>58</v>
      </c>
      <c r="F1004" s="1">
        <v>42807</v>
      </c>
      <c r="G1004" s="2">
        <v>101.4</v>
      </c>
      <c r="H1004" s="2"/>
      <c r="I1004" s="2">
        <v>1.31</v>
      </c>
      <c r="J1004" s="2">
        <v>22.7</v>
      </c>
      <c r="K1004" s="2">
        <v>-18</v>
      </c>
      <c r="L1004" s="2">
        <v>830.9</v>
      </c>
      <c r="M1004" s="2">
        <v>830.9</v>
      </c>
      <c r="N1004" s="2">
        <f ca="1">INDEX(INDIRECT(_xlfn.CONCAT("weather.tbl[",N$1,"]")),MATCH(vp.tbl[[#This Row],[SDate]],weather.tbl[Date],0))</f>
        <v>-17.566666666666666</v>
      </c>
      <c r="O1004" s="2">
        <f ca="1">INDEX(INDIRECT(_xlfn.CONCAT("weather.tbl[",O$1,"]")),MATCH(vp.tbl[[#This Row],[SDate]],weather.tbl[Date],0))</f>
        <v>-17.119047619047617</v>
      </c>
      <c r="P1004" s="2">
        <f ca="1">INDEX(INDIRECT(_xlfn.CONCAT("weather.tbl[",P$1,"]")),MATCH(vp.tbl[[#This Row],[SDate]],weather.tbl[Date],0))</f>
        <v>-17.399999999999999</v>
      </c>
      <c r="Q1004" s="2">
        <f ca="1">INDEX(INDIRECT(_xlfn.CONCAT("weather.tbl[",Q$1,"]")),MATCH(vp.tbl[[#This Row],[SDate]],weather.tbl[Date],0))</f>
        <v>-16.7</v>
      </c>
      <c r="R1004" s="2">
        <f ca="1">INDEX(INDIRECT(_xlfn.CONCAT("weather.tbl[",R$1,"]")),MATCH(vp.tbl[[#This Row],[SDate]],weather.tbl[Date],0))</f>
        <v>-17</v>
      </c>
      <c r="S1004" s="2">
        <f ca="1">INDEX(INDIRECT(_xlfn.CONCAT("weather.tbl[",S$1,"]")),MATCH(vp.tbl[[#This Row],[SDate]],weather.tbl[Date],0))</f>
        <v>-16.5</v>
      </c>
      <c r="T1004" s="2">
        <f ca="1">INDEX(INDIRECT(_xlfn.CONCAT("weather.tbl[",T$1,"]")),MATCH(vp.tbl[[#This Row],[SDate]],weather.tbl[Date],0))</f>
        <v>-20</v>
      </c>
      <c r="U1004" s="2">
        <f ca="1">INDEX(INDIRECT(_xlfn.CONCAT("weather.tbl[",U$1,"]")),MATCH(vp.tbl[[#This Row],[SDate]],weather.tbl[Date],0))</f>
        <v>-17.8</v>
      </c>
      <c r="V1004" s="2">
        <v>6071.2709999999997</v>
      </c>
      <c r="W1004" t="s">
        <v>48</v>
      </c>
      <c r="X1004">
        <f>IF(OR(vp.tbl[[#This Row],[Sulf]]="",vp.tbl[[#This Row],[Dens]]=""),1,0)</f>
        <v>0</v>
      </c>
      <c r="Y1004">
        <f>IF(vp.tbl[[#This Row],[CrudeType]]="C5+",1,0)</f>
        <v>0</v>
      </c>
      <c r="Z1004">
        <f>IF(AND(vp.tbl[[#This Row],[CrudeType]]="Crude",vp.tbl[[#This Row],[Dens]]&lt;=825,vp.tbl[[#This Row],[Sulf]]&gt;0.5,vp.tbl[[#This Row],[Unknown]]=0),1,0)</f>
        <v>0</v>
      </c>
      <c r="AA1004">
        <f>IF(AND(vp.tbl[[#This Row],[CrudeType]]="Crude",vp.tbl[[#This Row],[Dens]]&lt;=825,vp.tbl[[#This Row],[Sulf]]&lt;=0.5,vp.tbl[[#This Row],[Unknown]]=0),1,0)</f>
        <v>0</v>
      </c>
      <c r="AB1004">
        <f>IF(AND(vp.tbl[[#This Row],[CrudeType]]="Crude",vp.tbl[[#This Row],[Dens]]&gt;825,vp.tbl[[#This Row],[Dens]]&lt;=870,vp.tbl[[#This Row],[Sulf]]&gt;0.5,vp.tbl[[#This Row],[Unknown]]=0),1,0)</f>
        <v>1</v>
      </c>
      <c r="AC1004">
        <f>IF(AND(vp.tbl[[#This Row],[CrudeType]]="Crude",vp.tbl[[#This Row],[Dens]]&gt;825,vp.tbl[[#This Row],[Dens]]&lt;=900,vp.tbl[[#This Row],[Sulf]]&lt;=0.5,vp.tbl[[#This Row],[Unknown]]=0),1,0)</f>
        <v>0</v>
      </c>
      <c r="AD1004">
        <f>IF(AND(vp.tbl[[#This Row],[CrudeType]]="Crude",vp.tbl[[#This Row],[Dens]]&gt;870,vp.tbl[[#This Row],[Dens]]&lt;=900,vp.tbl[[#This Row],[Sulf]]&gt;0.5,vp.tbl[[#This Row],[Unknown]]=0),1,0)</f>
        <v>0</v>
      </c>
      <c r="AE1004">
        <f>IF(AND(vp.tbl[[#This Row],[CrudeType]]="Crude",vp.tbl[[#This Row],[Dens]]&gt;900,vp.tbl[[#This Row],[Sulf]]&lt;=0.5,vp.tbl[[#This Row],[Unknown]]=0),1,0)</f>
        <v>0</v>
      </c>
      <c r="AF1004">
        <f>IF(AND(vp.tbl[[#This Row],[CrudeType]]="Crude",vp.tbl[[#This Row],[Dens]]&gt;900,vp.tbl[[#This Row],[Sulf]]&lt;=0.5,vp.tbl[[#This Row],[Unknown]]=0),1,0)</f>
        <v>0</v>
      </c>
      <c r="AG1004" t="str">
        <f>INDEX(vp.tbl[[#Headers],[Unknown]:[Heavy_SW]],MATCH(1,vp.tbl[[#This Row],[Unknown]:[Heavy_SW]],0))</f>
        <v>Medium_LSB</v>
      </c>
      <c r="AH1004" t="e">
        <f>INDEX([1]!crudeBD.lkup[Number],MATCH(vp.tbl[[#This Row],[Crude_Breakdown]],[1]!crudeBD.lkup[Crude Breakdown],0))</f>
        <v>#REF!</v>
      </c>
      <c r="AI1004">
        <f>MONTH(vp.tbl[[#This Row],[SDate]])</f>
        <v>3</v>
      </c>
      <c r="AJ1004" s="5">
        <f>IFERROR(vp.tbl[[#This Row],[Sulf]]*vp.tbl[[#This Row],[Net Dens]],"")</f>
        <v>6608450.9868089994</v>
      </c>
      <c r="AK1004" s="5">
        <f>IFERROR(vp.tbl[[#This Row],[Dens]]*vp.tbl[[#This Row],[VolumeM3]],"")</f>
        <v>5044619.0738999993</v>
      </c>
      <c r="AL1004" s="5">
        <f>IFERROR(vp.tbl[[#This Row],[VP]]*vp.tbl[[#This Row],[VolumeM3]],"")</f>
        <v>615626.87939999998</v>
      </c>
      <c r="AM1004" s="4">
        <f>IFERROR((vp.tbl[[#This Row],[VP]]-INDEX(crudeBD.lkup.complete[Mean_VP],MATCH(vp.tbl[[#This Row],[Crude_Breakdown]],crudeBD.lkup.complete[Crude Breakdown],0)))^2,"")</f>
        <v>450.56027191091351</v>
      </c>
      <c r="AN1004" s="4">
        <f>IFERROR((vp.tbl[[#This Row],[Dens]]-INDEX(crudeBD.lkup.complete[Mean_Dens],MATCH(vp.tbl[[#This Row],[Crude_Breakdown]],crudeBD.lkup.complete[Crude Breakdown],0)))^2,"")</f>
        <v>207.12456306935221</v>
      </c>
      <c r="AO1004" s="4">
        <f>IFERROR((vp.tbl[[#This Row],[Sulf]]-INDEX(crudeBD.lkup.complete[Mean_Sulf],MATCH(vp.tbl[[#This Row],[Crude_Breakdown]],crudeBD.lkup.complete[Crude Breakdown],0)))^2,"")</f>
        <v>2.1004664539766637E-2</v>
      </c>
      <c r="AP1004">
        <f>IF(AND(vp.tbl[[#This Row],[SDate]]&gt;=DATE(YEAR(vp.tbl[[#This Row],[SDate]]),5,1),vp.tbl[[#This Row],[SDate]]&lt;=DATE(YEAR(vp.tbl[[#This Row],[SDate]]),9,15)),1,0)</f>
        <v>0</v>
      </c>
      <c r="AQ1004" s="15">
        <f>IF(vp.tbl[[#This Row],[SDate]]&lt;DATE(2016,12,1),0,1)</f>
        <v>1</v>
      </c>
    </row>
    <row r="1005" spans="1:43" x14ac:dyDescent="0.25">
      <c r="A1005">
        <v>1004</v>
      </c>
      <c r="B1005" t="s">
        <v>62</v>
      </c>
      <c r="C1005" t="s">
        <v>62</v>
      </c>
      <c r="D1005" t="s">
        <v>63</v>
      </c>
      <c r="F1005" s="1">
        <v>42807</v>
      </c>
      <c r="G1005" s="2">
        <v>86.2</v>
      </c>
      <c r="H1005" s="2"/>
      <c r="I1005" s="2">
        <v>1.74</v>
      </c>
      <c r="J1005" s="2">
        <v>11.5</v>
      </c>
      <c r="K1005" s="2">
        <v>-18</v>
      </c>
      <c r="L1005" s="2">
        <v>838</v>
      </c>
      <c r="M1005" s="2">
        <v>838</v>
      </c>
      <c r="N1005" s="2">
        <f ca="1">INDEX(INDIRECT(_xlfn.CONCAT("weather.tbl[",N$1,"]")),MATCH(vp.tbl[[#This Row],[SDate]],weather.tbl[Date],0))</f>
        <v>-17.566666666666666</v>
      </c>
      <c r="O1005" s="2">
        <f ca="1">INDEX(INDIRECT(_xlfn.CONCAT("weather.tbl[",O$1,"]")),MATCH(vp.tbl[[#This Row],[SDate]],weather.tbl[Date],0))</f>
        <v>-17.119047619047617</v>
      </c>
      <c r="P1005" s="2">
        <f ca="1">INDEX(INDIRECT(_xlfn.CONCAT("weather.tbl[",P$1,"]")),MATCH(vp.tbl[[#This Row],[SDate]],weather.tbl[Date],0))</f>
        <v>-17.399999999999999</v>
      </c>
      <c r="Q1005" s="2">
        <f ca="1">INDEX(INDIRECT(_xlfn.CONCAT("weather.tbl[",Q$1,"]")),MATCH(vp.tbl[[#This Row],[SDate]],weather.tbl[Date],0))</f>
        <v>-16.7</v>
      </c>
      <c r="R1005" s="2">
        <f ca="1">INDEX(INDIRECT(_xlfn.CONCAT("weather.tbl[",R$1,"]")),MATCH(vp.tbl[[#This Row],[SDate]],weather.tbl[Date],0))</f>
        <v>-17</v>
      </c>
      <c r="S1005" s="2">
        <f ca="1">INDEX(INDIRECT(_xlfn.CONCAT("weather.tbl[",S$1,"]")),MATCH(vp.tbl[[#This Row],[SDate]],weather.tbl[Date],0))</f>
        <v>-16.5</v>
      </c>
      <c r="T1005" s="2">
        <f ca="1">INDEX(INDIRECT(_xlfn.CONCAT("weather.tbl[",T$1,"]")),MATCH(vp.tbl[[#This Row],[SDate]],weather.tbl[Date],0))</f>
        <v>-20</v>
      </c>
      <c r="U1005" s="2">
        <f ca="1">INDEX(INDIRECT(_xlfn.CONCAT("weather.tbl[",U$1,"]")),MATCH(vp.tbl[[#This Row],[SDate]],weather.tbl[Date],0))</f>
        <v>-17.8</v>
      </c>
      <c r="V1005" s="2">
        <v>6959.2520000000004</v>
      </c>
      <c r="W1005" t="s">
        <v>48</v>
      </c>
      <c r="X1005">
        <f>IF(OR(vp.tbl[[#This Row],[Sulf]]="",vp.tbl[[#This Row],[Dens]]=""),1,0)</f>
        <v>0</v>
      </c>
      <c r="Y1005">
        <f>IF(vp.tbl[[#This Row],[CrudeType]]="C5+",1,0)</f>
        <v>0</v>
      </c>
      <c r="Z1005">
        <f>IF(AND(vp.tbl[[#This Row],[CrudeType]]="Crude",vp.tbl[[#This Row],[Dens]]&lt;=825,vp.tbl[[#This Row],[Sulf]]&gt;0.5,vp.tbl[[#This Row],[Unknown]]=0),1,0)</f>
        <v>0</v>
      </c>
      <c r="AA1005">
        <f>IF(AND(vp.tbl[[#This Row],[CrudeType]]="Crude",vp.tbl[[#This Row],[Dens]]&lt;=825,vp.tbl[[#This Row],[Sulf]]&lt;=0.5,vp.tbl[[#This Row],[Unknown]]=0),1,0)</f>
        <v>0</v>
      </c>
      <c r="AB1005">
        <f>IF(AND(vp.tbl[[#This Row],[CrudeType]]="Crude",vp.tbl[[#This Row],[Dens]]&gt;825,vp.tbl[[#This Row],[Dens]]&lt;=870,vp.tbl[[#This Row],[Sulf]]&gt;0.5,vp.tbl[[#This Row],[Unknown]]=0),1,0)</f>
        <v>1</v>
      </c>
      <c r="AC1005">
        <f>IF(AND(vp.tbl[[#This Row],[CrudeType]]="Crude",vp.tbl[[#This Row],[Dens]]&gt;825,vp.tbl[[#This Row],[Dens]]&lt;=900,vp.tbl[[#This Row],[Sulf]]&lt;=0.5,vp.tbl[[#This Row],[Unknown]]=0),1,0)</f>
        <v>0</v>
      </c>
      <c r="AD1005">
        <f>IF(AND(vp.tbl[[#This Row],[CrudeType]]="Crude",vp.tbl[[#This Row],[Dens]]&gt;870,vp.tbl[[#This Row],[Dens]]&lt;=900,vp.tbl[[#This Row],[Sulf]]&gt;0.5,vp.tbl[[#This Row],[Unknown]]=0),1,0)</f>
        <v>0</v>
      </c>
      <c r="AE1005">
        <f>IF(AND(vp.tbl[[#This Row],[CrudeType]]="Crude",vp.tbl[[#This Row],[Dens]]&gt;900,vp.tbl[[#This Row],[Sulf]]&lt;=0.5,vp.tbl[[#This Row],[Unknown]]=0),1,0)</f>
        <v>0</v>
      </c>
      <c r="AF1005">
        <f>IF(AND(vp.tbl[[#This Row],[CrudeType]]="Crude",vp.tbl[[#This Row],[Dens]]&gt;900,vp.tbl[[#This Row],[Sulf]]&lt;=0.5,vp.tbl[[#This Row],[Unknown]]=0),1,0)</f>
        <v>0</v>
      </c>
      <c r="AG1005" t="str">
        <f>INDEX(vp.tbl[[#Headers],[Unknown]:[Heavy_SW]],MATCH(1,vp.tbl[[#This Row],[Unknown]:[Heavy_SW]],0))</f>
        <v>Medium_LSB</v>
      </c>
      <c r="AH1005" t="e">
        <f>INDEX([1]!crudeBD.lkup[Number],MATCH(vp.tbl[[#This Row],[Crude_Breakdown]],[1]!crudeBD.lkup[Crude Breakdown],0))</f>
        <v>#REF!</v>
      </c>
      <c r="AI1005">
        <f>MONTH(vp.tbl[[#This Row],[SDate]])</f>
        <v>3</v>
      </c>
      <c r="AJ1005" s="5">
        <f>IFERROR(vp.tbl[[#This Row],[Sulf]]*vp.tbl[[#This Row],[Net Dens]],"")</f>
        <v>10147424.526240001</v>
      </c>
      <c r="AK1005" s="5">
        <f>IFERROR(vp.tbl[[#This Row],[Dens]]*vp.tbl[[#This Row],[VolumeM3]],"")</f>
        <v>5831853.176</v>
      </c>
      <c r="AL1005" s="5">
        <f>IFERROR(vp.tbl[[#This Row],[VP]]*vp.tbl[[#This Row],[VolumeM3]],"")</f>
        <v>599887.52240000002</v>
      </c>
      <c r="AM1005" s="4">
        <f>IFERROR((vp.tbl[[#This Row],[VP]]-INDEX(crudeBD.lkup.complete[Mean_VP],MATCH(vp.tbl[[#This Row],[Crude_Breakdown]],crudeBD.lkup.complete[Crude Breakdown],0)))^2,"")</f>
        <v>36.317557986861559</v>
      </c>
      <c r="AN1005" s="4">
        <f>IFERROR((vp.tbl[[#This Row],[Dens]]-INDEX(crudeBD.lkup.complete[Mean_Dens],MATCH(vp.tbl[[#This Row],[Crude_Breakdown]],crudeBD.lkup.complete[Crude Breakdown],0)))^2,"")</f>
        <v>53.17067952506175</v>
      </c>
      <c r="AO1005" s="4">
        <f>IFERROR((vp.tbl[[#This Row],[Sulf]]-INDEX(crudeBD.lkup.complete[Mean_Sulf],MATCH(vp.tbl[[#This Row],[Crude_Breakdown]],crudeBD.lkup.complete[Crude Breakdown],0)))^2,"")</f>
        <v>8.1264984286600811E-2</v>
      </c>
      <c r="AP1005">
        <f>IF(AND(vp.tbl[[#This Row],[SDate]]&gt;=DATE(YEAR(vp.tbl[[#This Row],[SDate]]),5,1),vp.tbl[[#This Row],[SDate]]&lt;=DATE(YEAR(vp.tbl[[#This Row],[SDate]]),9,15)),1,0)</f>
        <v>0</v>
      </c>
      <c r="AQ1005" s="15">
        <f>IF(vp.tbl[[#This Row],[SDate]]&lt;DATE(2016,12,1),0,1)</f>
        <v>1</v>
      </c>
    </row>
    <row r="1006" spans="1:43" x14ac:dyDescent="0.25">
      <c r="A1006">
        <v>1005</v>
      </c>
      <c r="B1006" t="s">
        <v>62</v>
      </c>
      <c r="C1006" t="s">
        <v>62</v>
      </c>
      <c r="D1006" t="s">
        <v>93</v>
      </c>
      <c r="F1006" s="1">
        <v>42807</v>
      </c>
      <c r="G1006" s="2">
        <v>108.6</v>
      </c>
      <c r="H1006" s="2"/>
      <c r="I1006" s="2">
        <v>1.24</v>
      </c>
      <c r="J1006" s="2">
        <v>3.6</v>
      </c>
      <c r="K1006" s="2">
        <v>-18</v>
      </c>
      <c r="L1006" s="2">
        <v>839.7</v>
      </c>
      <c r="M1006" s="2">
        <v>839.7</v>
      </c>
      <c r="N1006" s="2">
        <f ca="1">INDEX(INDIRECT(_xlfn.CONCAT("weather.tbl[",N$1,"]")),MATCH(vp.tbl[[#This Row],[SDate]],weather.tbl[Date],0))</f>
        <v>-17.566666666666666</v>
      </c>
      <c r="O1006" s="2">
        <f ca="1">INDEX(INDIRECT(_xlfn.CONCAT("weather.tbl[",O$1,"]")),MATCH(vp.tbl[[#This Row],[SDate]],weather.tbl[Date],0))</f>
        <v>-17.119047619047617</v>
      </c>
      <c r="P1006" s="2">
        <f ca="1">INDEX(INDIRECT(_xlfn.CONCAT("weather.tbl[",P$1,"]")),MATCH(vp.tbl[[#This Row],[SDate]],weather.tbl[Date],0))</f>
        <v>-17.399999999999999</v>
      </c>
      <c r="Q1006" s="2">
        <f ca="1">INDEX(INDIRECT(_xlfn.CONCAT("weather.tbl[",Q$1,"]")),MATCH(vp.tbl[[#This Row],[SDate]],weather.tbl[Date],0))</f>
        <v>-16.7</v>
      </c>
      <c r="R1006" s="2">
        <f ca="1">INDEX(INDIRECT(_xlfn.CONCAT("weather.tbl[",R$1,"]")),MATCH(vp.tbl[[#This Row],[SDate]],weather.tbl[Date],0))</f>
        <v>-17</v>
      </c>
      <c r="S1006" s="2">
        <f ca="1">INDEX(INDIRECT(_xlfn.CONCAT("weather.tbl[",S$1,"]")),MATCH(vp.tbl[[#This Row],[SDate]],weather.tbl[Date],0))</f>
        <v>-16.5</v>
      </c>
      <c r="T1006" s="2">
        <f ca="1">INDEX(INDIRECT(_xlfn.CONCAT("weather.tbl[",T$1,"]")),MATCH(vp.tbl[[#This Row],[SDate]],weather.tbl[Date],0))</f>
        <v>-20</v>
      </c>
      <c r="U1006" s="2">
        <f ca="1">INDEX(INDIRECT(_xlfn.CONCAT("weather.tbl[",U$1,"]")),MATCH(vp.tbl[[#This Row],[SDate]],weather.tbl[Date],0))</f>
        <v>-17.8</v>
      </c>
      <c r="V1006" s="2">
        <v>1068.2539999999999</v>
      </c>
      <c r="W1006" t="s">
        <v>48</v>
      </c>
      <c r="X1006">
        <f>IF(OR(vp.tbl[[#This Row],[Sulf]]="",vp.tbl[[#This Row],[Dens]]=""),1,0)</f>
        <v>0</v>
      </c>
      <c r="Y1006">
        <f>IF(vp.tbl[[#This Row],[CrudeType]]="C5+",1,0)</f>
        <v>0</v>
      </c>
      <c r="Z1006">
        <f>IF(AND(vp.tbl[[#This Row],[CrudeType]]="Crude",vp.tbl[[#This Row],[Dens]]&lt;=825,vp.tbl[[#This Row],[Sulf]]&gt;0.5,vp.tbl[[#This Row],[Unknown]]=0),1,0)</f>
        <v>0</v>
      </c>
      <c r="AA1006">
        <f>IF(AND(vp.tbl[[#This Row],[CrudeType]]="Crude",vp.tbl[[#This Row],[Dens]]&lt;=825,vp.tbl[[#This Row],[Sulf]]&lt;=0.5,vp.tbl[[#This Row],[Unknown]]=0),1,0)</f>
        <v>0</v>
      </c>
      <c r="AB1006">
        <f>IF(AND(vp.tbl[[#This Row],[CrudeType]]="Crude",vp.tbl[[#This Row],[Dens]]&gt;825,vp.tbl[[#This Row],[Dens]]&lt;=870,vp.tbl[[#This Row],[Sulf]]&gt;0.5,vp.tbl[[#This Row],[Unknown]]=0),1,0)</f>
        <v>1</v>
      </c>
      <c r="AC1006">
        <f>IF(AND(vp.tbl[[#This Row],[CrudeType]]="Crude",vp.tbl[[#This Row],[Dens]]&gt;825,vp.tbl[[#This Row],[Dens]]&lt;=900,vp.tbl[[#This Row],[Sulf]]&lt;=0.5,vp.tbl[[#This Row],[Unknown]]=0),1,0)</f>
        <v>0</v>
      </c>
      <c r="AD1006">
        <f>IF(AND(vp.tbl[[#This Row],[CrudeType]]="Crude",vp.tbl[[#This Row],[Dens]]&gt;870,vp.tbl[[#This Row],[Dens]]&lt;=900,vp.tbl[[#This Row],[Sulf]]&gt;0.5,vp.tbl[[#This Row],[Unknown]]=0),1,0)</f>
        <v>0</v>
      </c>
      <c r="AE1006">
        <f>IF(AND(vp.tbl[[#This Row],[CrudeType]]="Crude",vp.tbl[[#This Row],[Dens]]&gt;900,vp.tbl[[#This Row],[Sulf]]&lt;=0.5,vp.tbl[[#This Row],[Unknown]]=0),1,0)</f>
        <v>0</v>
      </c>
      <c r="AF1006">
        <f>IF(AND(vp.tbl[[#This Row],[CrudeType]]="Crude",vp.tbl[[#This Row],[Dens]]&gt;900,vp.tbl[[#This Row],[Sulf]]&lt;=0.5,vp.tbl[[#This Row],[Unknown]]=0),1,0)</f>
        <v>0</v>
      </c>
      <c r="AG1006" t="str">
        <f>INDEX(vp.tbl[[#Headers],[Unknown]:[Heavy_SW]],MATCH(1,vp.tbl[[#This Row],[Unknown]:[Heavy_SW]],0))</f>
        <v>Medium_LSB</v>
      </c>
      <c r="AH1006" t="e">
        <f>INDEX([1]!crudeBD.lkup[Number],MATCH(vp.tbl[[#This Row],[Crude_Breakdown]],[1]!crudeBD.lkup[Crude Breakdown],0))</f>
        <v>#REF!</v>
      </c>
      <c r="AI1006">
        <f>MONTH(vp.tbl[[#This Row],[SDate]])</f>
        <v>3</v>
      </c>
      <c r="AJ1006" s="5">
        <f>IFERROR(vp.tbl[[#This Row],[Sulf]]*vp.tbl[[#This Row],[Net Dens]],"")</f>
        <v>1112295.9759119998</v>
      </c>
      <c r="AK1006" s="5">
        <f>IFERROR(vp.tbl[[#This Row],[Dens]]*vp.tbl[[#This Row],[VolumeM3]],"")</f>
        <v>897012.88379999995</v>
      </c>
      <c r="AL1006" s="5">
        <f>IFERROR(vp.tbl[[#This Row],[VP]]*vp.tbl[[#This Row],[VolumeM3]],"")</f>
        <v>116012.38439999998</v>
      </c>
      <c r="AM1006" s="4">
        <f>IFERROR((vp.tbl[[#This Row],[VP]]-INDEX(crudeBD.lkup.complete[Mean_VP],MATCH(vp.tbl[[#This Row],[Crude_Breakdown]],crudeBD.lkup.complete[Crude Breakdown],0)))^2,"")</f>
        <v>808.06050482230592</v>
      </c>
      <c r="AN1006" s="4">
        <f>IFERROR((vp.tbl[[#This Row],[Dens]]-INDEX(crudeBD.lkup.complete[Mean_Dens],MATCH(vp.tbl[[#This Row],[Crude_Breakdown]],crudeBD.lkup.complete[Crude Breakdown],0)))^2,"")</f>
        <v>31.268482056710159</v>
      </c>
      <c r="AO1006" s="4">
        <f>IFERROR((vp.tbl[[#This Row],[Sulf]]-INDEX(crudeBD.lkup.complete[Mean_Sulf],MATCH(vp.tbl[[#This Row],[Crude_Breakdown]],crudeBD.lkup.complete[Crude Breakdown],0)))^2,"")</f>
        <v>4.6194845046095979E-2</v>
      </c>
      <c r="AP1006">
        <f>IF(AND(vp.tbl[[#This Row],[SDate]]&gt;=DATE(YEAR(vp.tbl[[#This Row],[SDate]]),5,1),vp.tbl[[#This Row],[SDate]]&lt;=DATE(YEAR(vp.tbl[[#This Row],[SDate]]),9,15)),1,0)</f>
        <v>0</v>
      </c>
      <c r="AQ1006" s="15">
        <f>IF(vp.tbl[[#This Row],[SDate]]&lt;DATE(2016,12,1),0,1)</f>
        <v>1</v>
      </c>
    </row>
    <row r="1007" spans="1:43" x14ac:dyDescent="0.25">
      <c r="A1007">
        <v>1006</v>
      </c>
      <c r="B1007" t="s">
        <v>51</v>
      </c>
      <c r="C1007" t="s">
        <v>51</v>
      </c>
      <c r="D1007" t="s">
        <v>95</v>
      </c>
      <c r="F1007" s="1">
        <v>42807</v>
      </c>
      <c r="G1007" s="2">
        <v>70.349999999999994</v>
      </c>
      <c r="H1007" s="2"/>
      <c r="I1007" s="2">
        <v>1.2</v>
      </c>
      <c r="J1007" s="2">
        <v>31.6</v>
      </c>
      <c r="K1007" s="2">
        <v>-18</v>
      </c>
      <c r="L1007" s="2">
        <v>842.5</v>
      </c>
      <c r="M1007" s="2">
        <v>842.5</v>
      </c>
      <c r="N1007" s="2">
        <f ca="1">INDEX(INDIRECT(_xlfn.CONCAT("weather.tbl[",N$1,"]")),MATCH(vp.tbl[[#This Row],[SDate]],weather.tbl[Date],0))</f>
        <v>-17.566666666666666</v>
      </c>
      <c r="O1007" s="2">
        <f ca="1">INDEX(INDIRECT(_xlfn.CONCAT("weather.tbl[",O$1,"]")),MATCH(vp.tbl[[#This Row],[SDate]],weather.tbl[Date],0))</f>
        <v>-17.119047619047617</v>
      </c>
      <c r="P1007" s="2">
        <f ca="1">INDEX(INDIRECT(_xlfn.CONCAT("weather.tbl[",P$1,"]")),MATCH(vp.tbl[[#This Row],[SDate]],weather.tbl[Date],0))</f>
        <v>-17.399999999999999</v>
      </c>
      <c r="Q1007" s="2">
        <f ca="1">INDEX(INDIRECT(_xlfn.CONCAT("weather.tbl[",Q$1,"]")),MATCH(vp.tbl[[#This Row],[SDate]],weather.tbl[Date],0))</f>
        <v>-16.7</v>
      </c>
      <c r="R1007" s="2">
        <f ca="1">INDEX(INDIRECT(_xlfn.CONCAT("weather.tbl[",R$1,"]")),MATCH(vp.tbl[[#This Row],[SDate]],weather.tbl[Date],0))</f>
        <v>-17</v>
      </c>
      <c r="S1007" s="2">
        <f ca="1">INDEX(INDIRECT(_xlfn.CONCAT("weather.tbl[",S$1,"]")),MATCH(vp.tbl[[#This Row],[SDate]],weather.tbl[Date],0))</f>
        <v>-16.5</v>
      </c>
      <c r="T1007" s="2">
        <f ca="1">INDEX(INDIRECT(_xlfn.CONCAT("weather.tbl[",T$1,"]")),MATCH(vp.tbl[[#This Row],[SDate]],weather.tbl[Date],0))</f>
        <v>-20</v>
      </c>
      <c r="U1007" s="2">
        <f ca="1">INDEX(INDIRECT(_xlfn.CONCAT("weather.tbl[",U$1,"]")),MATCH(vp.tbl[[#This Row],[SDate]],weather.tbl[Date],0))</f>
        <v>-17.8</v>
      </c>
      <c r="V1007" s="2">
        <v>5390.0870000000004</v>
      </c>
      <c r="W1007" t="s">
        <v>48</v>
      </c>
      <c r="X1007">
        <f>IF(OR(vp.tbl[[#This Row],[Sulf]]="",vp.tbl[[#This Row],[Dens]]=""),1,0)</f>
        <v>0</v>
      </c>
      <c r="Y1007">
        <f>IF(vp.tbl[[#This Row],[CrudeType]]="C5+",1,0)</f>
        <v>0</v>
      </c>
      <c r="Z1007">
        <f>IF(AND(vp.tbl[[#This Row],[CrudeType]]="Crude",vp.tbl[[#This Row],[Dens]]&lt;=825,vp.tbl[[#This Row],[Sulf]]&gt;0.5,vp.tbl[[#This Row],[Unknown]]=0),1,0)</f>
        <v>0</v>
      </c>
      <c r="AA1007">
        <f>IF(AND(vp.tbl[[#This Row],[CrudeType]]="Crude",vp.tbl[[#This Row],[Dens]]&lt;=825,vp.tbl[[#This Row],[Sulf]]&lt;=0.5,vp.tbl[[#This Row],[Unknown]]=0),1,0)</f>
        <v>0</v>
      </c>
      <c r="AB1007">
        <f>IF(AND(vp.tbl[[#This Row],[CrudeType]]="Crude",vp.tbl[[#This Row],[Dens]]&gt;825,vp.tbl[[#This Row],[Dens]]&lt;=870,vp.tbl[[#This Row],[Sulf]]&gt;0.5,vp.tbl[[#This Row],[Unknown]]=0),1,0)</f>
        <v>1</v>
      </c>
      <c r="AC1007">
        <f>IF(AND(vp.tbl[[#This Row],[CrudeType]]="Crude",vp.tbl[[#This Row],[Dens]]&gt;825,vp.tbl[[#This Row],[Dens]]&lt;=900,vp.tbl[[#This Row],[Sulf]]&lt;=0.5,vp.tbl[[#This Row],[Unknown]]=0),1,0)</f>
        <v>0</v>
      </c>
      <c r="AD1007">
        <f>IF(AND(vp.tbl[[#This Row],[CrudeType]]="Crude",vp.tbl[[#This Row],[Dens]]&gt;870,vp.tbl[[#This Row],[Dens]]&lt;=900,vp.tbl[[#This Row],[Sulf]]&gt;0.5,vp.tbl[[#This Row],[Unknown]]=0),1,0)</f>
        <v>0</v>
      </c>
      <c r="AE1007">
        <f>IF(AND(vp.tbl[[#This Row],[CrudeType]]="Crude",vp.tbl[[#This Row],[Dens]]&gt;900,vp.tbl[[#This Row],[Sulf]]&lt;=0.5,vp.tbl[[#This Row],[Unknown]]=0),1,0)</f>
        <v>0</v>
      </c>
      <c r="AF1007">
        <f>IF(AND(vp.tbl[[#This Row],[CrudeType]]="Crude",vp.tbl[[#This Row],[Dens]]&gt;900,vp.tbl[[#This Row],[Sulf]]&lt;=0.5,vp.tbl[[#This Row],[Unknown]]=0),1,0)</f>
        <v>0</v>
      </c>
      <c r="AG1007" t="str">
        <f>INDEX(vp.tbl[[#Headers],[Unknown]:[Heavy_SW]],MATCH(1,vp.tbl[[#This Row],[Unknown]:[Heavy_SW]],0))</f>
        <v>Medium_LSB</v>
      </c>
      <c r="AH1007" t="e">
        <f>INDEX([1]!crudeBD.lkup[Number],MATCH(vp.tbl[[#This Row],[Crude_Breakdown]],[1]!crudeBD.lkup[Crude Breakdown],0))</f>
        <v>#REF!</v>
      </c>
      <c r="AI1007">
        <f>MONTH(vp.tbl[[#This Row],[SDate]])</f>
        <v>3</v>
      </c>
      <c r="AJ1007" s="5">
        <f>IFERROR(vp.tbl[[#This Row],[Sulf]]*vp.tbl[[#This Row],[Net Dens]],"")</f>
        <v>5449377.9570000004</v>
      </c>
      <c r="AK1007" s="5">
        <f>IFERROR(vp.tbl[[#This Row],[Dens]]*vp.tbl[[#This Row],[VolumeM3]],"")</f>
        <v>4541148.2975000003</v>
      </c>
      <c r="AL1007" s="5">
        <f>IFERROR(vp.tbl[[#This Row],[VP]]*vp.tbl[[#This Row],[VolumeM3]],"")</f>
        <v>379192.62044999999</v>
      </c>
      <c r="AM1007" s="4">
        <f>IFERROR((vp.tbl[[#This Row],[VP]]-INDEX(crudeBD.lkup.complete[Mean_VP],MATCH(vp.tbl[[#This Row],[Crude_Breakdown]],crudeBD.lkup.complete[Crude Breakdown],0)))^2,"")</f>
        <v>96.503017480531355</v>
      </c>
      <c r="AN1007" s="4">
        <f>IFERROR((vp.tbl[[#This Row],[Dens]]-INDEX(crudeBD.lkup.complete[Mean_Dens],MATCH(vp.tbl[[#This Row],[Crude_Breakdown]],crudeBD.lkup.complete[Crude Breakdown],0)))^2,"")</f>
        <v>7.7942744617794721</v>
      </c>
      <c r="AO1007" s="4">
        <f>IFERROR((vp.tbl[[#This Row],[Sulf]]-INDEX(crudeBD.lkup.complete[Mean_Sulf],MATCH(vp.tbl[[#This Row],[Crude_Breakdown]],crudeBD.lkup.complete[Crude Breakdown],0)))^2,"")</f>
        <v>6.4989233906855612E-2</v>
      </c>
      <c r="AP1007">
        <f>IF(AND(vp.tbl[[#This Row],[SDate]]&gt;=DATE(YEAR(vp.tbl[[#This Row],[SDate]]),5,1),vp.tbl[[#This Row],[SDate]]&lt;=DATE(YEAR(vp.tbl[[#This Row],[SDate]]),9,15)),1,0)</f>
        <v>0</v>
      </c>
      <c r="AQ1007" s="15">
        <f>IF(vp.tbl[[#This Row],[SDate]]&lt;DATE(2016,12,1),0,1)</f>
        <v>1</v>
      </c>
    </row>
    <row r="1008" spans="1:43" x14ac:dyDescent="0.25">
      <c r="A1008">
        <v>1007</v>
      </c>
      <c r="B1008" t="s">
        <v>56</v>
      </c>
      <c r="C1008" t="s">
        <v>56</v>
      </c>
      <c r="D1008" t="s">
        <v>57</v>
      </c>
      <c r="F1008" s="1">
        <v>42807</v>
      </c>
      <c r="G1008" s="2">
        <v>89.7</v>
      </c>
      <c r="H1008" s="2"/>
      <c r="I1008" s="2">
        <v>1.63</v>
      </c>
      <c r="J1008" s="2">
        <v>1.5</v>
      </c>
      <c r="K1008" s="2">
        <v>-18</v>
      </c>
      <c r="L1008" s="2">
        <v>845.2</v>
      </c>
      <c r="M1008" s="2">
        <v>845.2</v>
      </c>
      <c r="N1008" s="2">
        <f ca="1">INDEX(INDIRECT(_xlfn.CONCAT("weather.tbl[",N$1,"]")),MATCH(vp.tbl[[#This Row],[SDate]],weather.tbl[Date],0))</f>
        <v>-17.566666666666666</v>
      </c>
      <c r="O1008" s="2">
        <f ca="1">INDEX(INDIRECT(_xlfn.CONCAT("weather.tbl[",O$1,"]")),MATCH(vp.tbl[[#This Row],[SDate]],weather.tbl[Date],0))</f>
        <v>-17.119047619047617</v>
      </c>
      <c r="P1008" s="2">
        <f ca="1">INDEX(INDIRECT(_xlfn.CONCAT("weather.tbl[",P$1,"]")),MATCH(vp.tbl[[#This Row],[SDate]],weather.tbl[Date],0))</f>
        <v>-17.399999999999999</v>
      </c>
      <c r="Q1008" s="2">
        <f ca="1">INDEX(INDIRECT(_xlfn.CONCAT("weather.tbl[",Q$1,"]")),MATCH(vp.tbl[[#This Row],[SDate]],weather.tbl[Date],0))</f>
        <v>-16.7</v>
      </c>
      <c r="R1008" s="2">
        <f ca="1">INDEX(INDIRECT(_xlfn.CONCAT("weather.tbl[",R$1,"]")),MATCH(vp.tbl[[#This Row],[SDate]],weather.tbl[Date],0))</f>
        <v>-17</v>
      </c>
      <c r="S1008" s="2">
        <f ca="1">INDEX(INDIRECT(_xlfn.CONCAT("weather.tbl[",S$1,"]")),MATCH(vp.tbl[[#This Row],[SDate]],weather.tbl[Date],0))</f>
        <v>-16.5</v>
      </c>
      <c r="T1008" s="2">
        <f ca="1">INDEX(INDIRECT(_xlfn.CONCAT("weather.tbl[",T$1,"]")),MATCH(vp.tbl[[#This Row],[SDate]],weather.tbl[Date],0))</f>
        <v>-20</v>
      </c>
      <c r="U1008" s="2">
        <f ca="1">INDEX(INDIRECT(_xlfn.CONCAT("weather.tbl[",U$1,"]")),MATCH(vp.tbl[[#This Row],[SDate]],weather.tbl[Date],0))</f>
        <v>-17.8</v>
      </c>
      <c r="V1008" s="2">
        <v>2822.4540000000002</v>
      </c>
      <c r="W1008" t="s">
        <v>48</v>
      </c>
      <c r="X1008">
        <f>IF(OR(vp.tbl[[#This Row],[Sulf]]="",vp.tbl[[#This Row],[Dens]]=""),1,0)</f>
        <v>0</v>
      </c>
      <c r="Y1008">
        <f>IF(vp.tbl[[#This Row],[CrudeType]]="C5+",1,0)</f>
        <v>0</v>
      </c>
      <c r="Z1008">
        <f>IF(AND(vp.tbl[[#This Row],[CrudeType]]="Crude",vp.tbl[[#This Row],[Dens]]&lt;=825,vp.tbl[[#This Row],[Sulf]]&gt;0.5,vp.tbl[[#This Row],[Unknown]]=0),1,0)</f>
        <v>0</v>
      </c>
      <c r="AA1008">
        <f>IF(AND(vp.tbl[[#This Row],[CrudeType]]="Crude",vp.tbl[[#This Row],[Dens]]&lt;=825,vp.tbl[[#This Row],[Sulf]]&lt;=0.5,vp.tbl[[#This Row],[Unknown]]=0),1,0)</f>
        <v>0</v>
      </c>
      <c r="AB1008">
        <f>IF(AND(vp.tbl[[#This Row],[CrudeType]]="Crude",vp.tbl[[#This Row],[Dens]]&gt;825,vp.tbl[[#This Row],[Dens]]&lt;=870,vp.tbl[[#This Row],[Sulf]]&gt;0.5,vp.tbl[[#This Row],[Unknown]]=0),1,0)</f>
        <v>1</v>
      </c>
      <c r="AC1008">
        <f>IF(AND(vp.tbl[[#This Row],[CrudeType]]="Crude",vp.tbl[[#This Row],[Dens]]&gt;825,vp.tbl[[#This Row],[Dens]]&lt;=900,vp.tbl[[#This Row],[Sulf]]&lt;=0.5,vp.tbl[[#This Row],[Unknown]]=0),1,0)</f>
        <v>0</v>
      </c>
      <c r="AD1008">
        <f>IF(AND(vp.tbl[[#This Row],[CrudeType]]="Crude",vp.tbl[[#This Row],[Dens]]&gt;870,vp.tbl[[#This Row],[Dens]]&lt;=900,vp.tbl[[#This Row],[Sulf]]&gt;0.5,vp.tbl[[#This Row],[Unknown]]=0),1,0)</f>
        <v>0</v>
      </c>
      <c r="AE1008">
        <f>IF(AND(vp.tbl[[#This Row],[CrudeType]]="Crude",vp.tbl[[#This Row],[Dens]]&gt;900,vp.tbl[[#This Row],[Sulf]]&lt;=0.5,vp.tbl[[#This Row],[Unknown]]=0),1,0)</f>
        <v>0</v>
      </c>
      <c r="AF1008">
        <f>IF(AND(vp.tbl[[#This Row],[CrudeType]]="Crude",vp.tbl[[#This Row],[Dens]]&gt;900,vp.tbl[[#This Row],[Sulf]]&lt;=0.5,vp.tbl[[#This Row],[Unknown]]=0),1,0)</f>
        <v>0</v>
      </c>
      <c r="AG1008" t="str">
        <f>INDEX(vp.tbl[[#Headers],[Unknown]:[Heavy_SW]],MATCH(1,vp.tbl[[#This Row],[Unknown]:[Heavy_SW]],0))</f>
        <v>Medium_LSB</v>
      </c>
      <c r="AH1008" t="e">
        <f>INDEX([1]!crudeBD.lkup[Number],MATCH(vp.tbl[[#This Row],[Crude_Breakdown]],[1]!crudeBD.lkup[Crude Breakdown],0))</f>
        <v>#REF!</v>
      </c>
      <c r="AI1008">
        <f>MONTH(vp.tbl[[#This Row],[SDate]])</f>
        <v>3</v>
      </c>
      <c r="AJ1008" s="5">
        <f>IFERROR(vp.tbl[[#This Row],[Sulf]]*vp.tbl[[#This Row],[Net Dens]],"")</f>
        <v>3888427.1369039998</v>
      </c>
      <c r="AK1008" s="5">
        <f>IFERROR(vp.tbl[[#This Row],[Dens]]*vp.tbl[[#This Row],[VolumeM3]],"")</f>
        <v>2385538.1208000001</v>
      </c>
      <c r="AL1008" s="5">
        <f>IFERROR(vp.tbl[[#This Row],[VP]]*vp.tbl[[#This Row],[VolumeM3]],"")</f>
        <v>253174.12380000003</v>
      </c>
      <c r="AM1008" s="4">
        <f>IFERROR((vp.tbl[[#This Row],[VP]]-INDEX(crudeBD.lkup.complete[Mean_VP],MATCH(vp.tbl[[#This Row],[Crude_Breakdown]],crudeBD.lkup.complete[Crude Breakdown],0)))^2,"")</f>
        <v>90.752393429899811</v>
      </c>
      <c r="AN1008" s="4">
        <f>IFERROR((vp.tbl[[#This Row],[Dens]]-INDEX(crudeBD.lkup.complete[Mean_Dens],MATCH(vp.tbl[[#This Row],[Crude_Breakdown]],crudeBD.lkup.complete[Crude Breakdown],0)))^2,"")</f>
        <v>8.4314238100976335E-3</v>
      </c>
      <c r="AO1008" s="4">
        <f>IFERROR((vp.tbl[[#This Row],[Sulf]]-INDEX(crudeBD.lkup.complete[Mean_Sulf],MATCH(vp.tbl[[#This Row],[Crude_Breakdown]],crudeBD.lkup.complete[Crude Breakdown],0)))^2,"")</f>
        <v>3.0649553653689716E-2</v>
      </c>
      <c r="AP1008">
        <f>IF(AND(vp.tbl[[#This Row],[SDate]]&gt;=DATE(YEAR(vp.tbl[[#This Row],[SDate]]),5,1),vp.tbl[[#This Row],[SDate]]&lt;=DATE(YEAR(vp.tbl[[#This Row],[SDate]]),9,15)),1,0)</f>
        <v>0</v>
      </c>
      <c r="AQ1008" s="15">
        <f>IF(vp.tbl[[#This Row],[SDate]]&lt;DATE(2016,12,1),0,1)</f>
        <v>1</v>
      </c>
    </row>
    <row r="1009" spans="1:43" x14ac:dyDescent="0.25">
      <c r="A1009">
        <v>1008</v>
      </c>
      <c r="B1009" t="s">
        <v>68</v>
      </c>
      <c r="C1009" t="s">
        <v>68</v>
      </c>
      <c r="D1009" t="s">
        <v>98</v>
      </c>
      <c r="F1009" s="1">
        <v>42807</v>
      </c>
      <c r="G1009" s="2">
        <v>66</v>
      </c>
      <c r="H1009" s="2"/>
      <c r="I1009" s="2">
        <v>1.21</v>
      </c>
      <c r="J1009" s="2">
        <v>22.7</v>
      </c>
      <c r="K1009" s="2">
        <v>-18</v>
      </c>
      <c r="L1009" s="2">
        <v>852.3</v>
      </c>
      <c r="M1009" s="2">
        <v>852.3</v>
      </c>
      <c r="N1009" s="2">
        <f ca="1">INDEX(INDIRECT(_xlfn.CONCAT("weather.tbl[",N$1,"]")),MATCH(vp.tbl[[#This Row],[SDate]],weather.tbl[Date],0))</f>
        <v>-17.566666666666666</v>
      </c>
      <c r="O1009" s="2">
        <f ca="1">INDEX(INDIRECT(_xlfn.CONCAT("weather.tbl[",O$1,"]")),MATCH(vp.tbl[[#This Row],[SDate]],weather.tbl[Date],0))</f>
        <v>-17.119047619047617</v>
      </c>
      <c r="P1009" s="2">
        <f ca="1">INDEX(INDIRECT(_xlfn.CONCAT("weather.tbl[",P$1,"]")),MATCH(vp.tbl[[#This Row],[SDate]],weather.tbl[Date],0))</f>
        <v>-17.399999999999999</v>
      </c>
      <c r="Q1009" s="2">
        <f ca="1">INDEX(INDIRECT(_xlfn.CONCAT("weather.tbl[",Q$1,"]")),MATCH(vp.tbl[[#This Row],[SDate]],weather.tbl[Date],0))</f>
        <v>-16.7</v>
      </c>
      <c r="R1009" s="2">
        <f ca="1">INDEX(INDIRECT(_xlfn.CONCAT("weather.tbl[",R$1,"]")),MATCH(vp.tbl[[#This Row],[SDate]],weather.tbl[Date],0))</f>
        <v>-17</v>
      </c>
      <c r="S1009" s="2">
        <f ca="1">INDEX(INDIRECT(_xlfn.CONCAT("weather.tbl[",S$1,"]")),MATCH(vp.tbl[[#This Row],[SDate]],weather.tbl[Date],0))</f>
        <v>-16.5</v>
      </c>
      <c r="T1009" s="2">
        <f ca="1">INDEX(INDIRECT(_xlfn.CONCAT("weather.tbl[",T$1,"]")),MATCH(vp.tbl[[#This Row],[SDate]],weather.tbl[Date],0))</f>
        <v>-20</v>
      </c>
      <c r="U1009" s="2">
        <f ca="1">INDEX(INDIRECT(_xlfn.CONCAT("weather.tbl[",U$1,"]")),MATCH(vp.tbl[[#This Row],[SDate]],weather.tbl[Date],0))</f>
        <v>-17.8</v>
      </c>
      <c r="V1009" s="2">
        <v>4943.8360000000002</v>
      </c>
      <c r="W1009" t="s">
        <v>48</v>
      </c>
      <c r="X1009">
        <f>IF(OR(vp.tbl[[#This Row],[Sulf]]="",vp.tbl[[#This Row],[Dens]]=""),1,0)</f>
        <v>0</v>
      </c>
      <c r="Y1009">
        <f>IF(vp.tbl[[#This Row],[CrudeType]]="C5+",1,0)</f>
        <v>0</v>
      </c>
      <c r="Z1009">
        <f>IF(AND(vp.tbl[[#This Row],[CrudeType]]="Crude",vp.tbl[[#This Row],[Dens]]&lt;=825,vp.tbl[[#This Row],[Sulf]]&gt;0.5,vp.tbl[[#This Row],[Unknown]]=0),1,0)</f>
        <v>0</v>
      </c>
      <c r="AA1009">
        <f>IF(AND(vp.tbl[[#This Row],[CrudeType]]="Crude",vp.tbl[[#This Row],[Dens]]&lt;=825,vp.tbl[[#This Row],[Sulf]]&lt;=0.5,vp.tbl[[#This Row],[Unknown]]=0),1,0)</f>
        <v>0</v>
      </c>
      <c r="AB1009">
        <f>IF(AND(vp.tbl[[#This Row],[CrudeType]]="Crude",vp.tbl[[#This Row],[Dens]]&gt;825,vp.tbl[[#This Row],[Dens]]&lt;=870,vp.tbl[[#This Row],[Sulf]]&gt;0.5,vp.tbl[[#This Row],[Unknown]]=0),1,0)</f>
        <v>1</v>
      </c>
      <c r="AC1009">
        <f>IF(AND(vp.tbl[[#This Row],[CrudeType]]="Crude",vp.tbl[[#This Row],[Dens]]&gt;825,vp.tbl[[#This Row],[Dens]]&lt;=900,vp.tbl[[#This Row],[Sulf]]&lt;=0.5,vp.tbl[[#This Row],[Unknown]]=0),1,0)</f>
        <v>0</v>
      </c>
      <c r="AD1009">
        <f>IF(AND(vp.tbl[[#This Row],[CrudeType]]="Crude",vp.tbl[[#This Row],[Dens]]&gt;870,vp.tbl[[#This Row],[Dens]]&lt;=900,vp.tbl[[#This Row],[Sulf]]&gt;0.5,vp.tbl[[#This Row],[Unknown]]=0),1,0)</f>
        <v>0</v>
      </c>
      <c r="AE1009">
        <f>IF(AND(vp.tbl[[#This Row],[CrudeType]]="Crude",vp.tbl[[#This Row],[Dens]]&gt;900,vp.tbl[[#This Row],[Sulf]]&lt;=0.5,vp.tbl[[#This Row],[Unknown]]=0),1,0)</f>
        <v>0</v>
      </c>
      <c r="AF1009">
        <f>IF(AND(vp.tbl[[#This Row],[CrudeType]]="Crude",vp.tbl[[#This Row],[Dens]]&gt;900,vp.tbl[[#This Row],[Sulf]]&lt;=0.5,vp.tbl[[#This Row],[Unknown]]=0),1,0)</f>
        <v>0</v>
      </c>
      <c r="AG1009" t="str">
        <f>INDEX(vp.tbl[[#Headers],[Unknown]:[Heavy_SW]],MATCH(1,vp.tbl[[#This Row],[Unknown]:[Heavy_SW]],0))</f>
        <v>Medium_LSB</v>
      </c>
      <c r="AH1009" t="e">
        <f>INDEX([1]!crudeBD.lkup[Number],MATCH(vp.tbl[[#This Row],[Crude_Breakdown]],[1]!crudeBD.lkup[Crude Breakdown],0))</f>
        <v>#REF!</v>
      </c>
      <c r="AI1009">
        <f>MONTH(vp.tbl[[#This Row],[SDate]])</f>
        <v>3</v>
      </c>
      <c r="AJ1009" s="5">
        <f>IFERROR(vp.tbl[[#This Row],[Sulf]]*vp.tbl[[#This Row],[Net Dens]],"")</f>
        <v>5098494.0215879995</v>
      </c>
      <c r="AK1009" s="5">
        <f>IFERROR(vp.tbl[[#This Row],[Dens]]*vp.tbl[[#This Row],[VolumeM3]],"")</f>
        <v>4213631.4227999998</v>
      </c>
      <c r="AL1009" s="5">
        <f>IFERROR(vp.tbl[[#This Row],[VP]]*vp.tbl[[#This Row],[VolumeM3]],"")</f>
        <v>326293.17600000004</v>
      </c>
      <c r="AM1009" s="4">
        <f>IFERROR((vp.tbl[[#This Row],[VP]]-INDEX(crudeBD.lkup.complete[Mean_VP],MATCH(vp.tbl[[#This Row],[Crude_Breakdown]],crudeBD.lkup.complete[Crude Breakdown],0)))^2,"")</f>
        <v>200.890793429898</v>
      </c>
      <c r="AN1009" s="4">
        <f>IFERROR((vp.tbl[[#This Row],[Dens]]-INDEX(crudeBD.lkup.complete[Mean_Dens],MATCH(vp.tbl[[#This Row],[Crude_Breakdown]],crudeBD.lkup.complete[Crude Breakdown],0)))^2,"")</f>
        <v>49.114547879519655</v>
      </c>
      <c r="AO1009" s="4">
        <f>IFERROR((vp.tbl[[#This Row],[Sulf]]-INDEX(crudeBD.lkup.complete[Mean_Sulf],MATCH(vp.tbl[[#This Row],[Crude_Breakdown]],crudeBD.lkup.complete[Crude Breakdown],0)))^2,"")</f>
        <v>5.9990636691665704E-2</v>
      </c>
      <c r="AP1009">
        <f>IF(AND(vp.tbl[[#This Row],[SDate]]&gt;=DATE(YEAR(vp.tbl[[#This Row],[SDate]]),5,1),vp.tbl[[#This Row],[SDate]]&lt;=DATE(YEAR(vp.tbl[[#This Row],[SDate]]),9,15)),1,0)</f>
        <v>0</v>
      </c>
      <c r="AQ1009" s="15">
        <f>IF(vp.tbl[[#This Row],[SDate]]&lt;DATE(2016,12,1),0,1)</f>
        <v>1</v>
      </c>
    </row>
    <row r="1010" spans="1:43" x14ac:dyDescent="0.25">
      <c r="A1010">
        <v>1009</v>
      </c>
      <c r="B1010" t="s">
        <v>68</v>
      </c>
      <c r="C1010" t="s">
        <v>68</v>
      </c>
      <c r="D1010" t="s">
        <v>110</v>
      </c>
      <c r="F1010" s="1">
        <v>42807</v>
      </c>
      <c r="G1010" s="2">
        <v>66.8</v>
      </c>
      <c r="H1010" s="2"/>
      <c r="I1010" s="2">
        <v>1.41</v>
      </c>
      <c r="J1010" s="2">
        <v>32.6</v>
      </c>
      <c r="K1010" s="2">
        <v>-18</v>
      </c>
      <c r="L1010" s="2">
        <v>853.5</v>
      </c>
      <c r="M1010" s="2">
        <v>853.5</v>
      </c>
      <c r="N1010" s="2">
        <f ca="1">INDEX(INDIRECT(_xlfn.CONCAT("weather.tbl[",N$1,"]")),MATCH(vp.tbl[[#This Row],[SDate]],weather.tbl[Date],0))</f>
        <v>-17.566666666666666</v>
      </c>
      <c r="O1010" s="2">
        <f ca="1">INDEX(INDIRECT(_xlfn.CONCAT("weather.tbl[",O$1,"]")),MATCH(vp.tbl[[#This Row],[SDate]],weather.tbl[Date],0))</f>
        <v>-17.119047619047617</v>
      </c>
      <c r="P1010" s="2">
        <f ca="1">INDEX(INDIRECT(_xlfn.CONCAT("weather.tbl[",P$1,"]")),MATCH(vp.tbl[[#This Row],[SDate]],weather.tbl[Date],0))</f>
        <v>-17.399999999999999</v>
      </c>
      <c r="Q1010" s="2">
        <f ca="1">INDEX(INDIRECT(_xlfn.CONCAT("weather.tbl[",Q$1,"]")),MATCH(vp.tbl[[#This Row],[SDate]],weather.tbl[Date],0))</f>
        <v>-16.7</v>
      </c>
      <c r="R1010" s="2">
        <f ca="1">INDEX(INDIRECT(_xlfn.CONCAT("weather.tbl[",R$1,"]")),MATCH(vp.tbl[[#This Row],[SDate]],weather.tbl[Date],0))</f>
        <v>-17</v>
      </c>
      <c r="S1010" s="2">
        <f ca="1">INDEX(INDIRECT(_xlfn.CONCAT("weather.tbl[",S$1,"]")),MATCH(vp.tbl[[#This Row],[SDate]],weather.tbl[Date],0))</f>
        <v>-16.5</v>
      </c>
      <c r="T1010" s="2">
        <f ca="1">INDEX(INDIRECT(_xlfn.CONCAT("weather.tbl[",T$1,"]")),MATCH(vp.tbl[[#This Row],[SDate]],weather.tbl[Date],0))</f>
        <v>-20</v>
      </c>
      <c r="U1010" s="2">
        <f ca="1">INDEX(INDIRECT(_xlfn.CONCAT("weather.tbl[",U$1,"]")),MATCH(vp.tbl[[#This Row],[SDate]],weather.tbl[Date],0))</f>
        <v>-17.8</v>
      </c>
      <c r="V1010" s="2">
        <v>4854.1400000000003</v>
      </c>
      <c r="W1010" t="s">
        <v>48</v>
      </c>
      <c r="X1010">
        <f>IF(OR(vp.tbl[[#This Row],[Sulf]]="",vp.tbl[[#This Row],[Dens]]=""),1,0)</f>
        <v>0</v>
      </c>
      <c r="Y1010">
        <f>IF(vp.tbl[[#This Row],[CrudeType]]="C5+",1,0)</f>
        <v>0</v>
      </c>
      <c r="Z1010">
        <f>IF(AND(vp.tbl[[#This Row],[CrudeType]]="Crude",vp.tbl[[#This Row],[Dens]]&lt;=825,vp.tbl[[#This Row],[Sulf]]&gt;0.5,vp.tbl[[#This Row],[Unknown]]=0),1,0)</f>
        <v>0</v>
      </c>
      <c r="AA1010">
        <f>IF(AND(vp.tbl[[#This Row],[CrudeType]]="Crude",vp.tbl[[#This Row],[Dens]]&lt;=825,vp.tbl[[#This Row],[Sulf]]&lt;=0.5,vp.tbl[[#This Row],[Unknown]]=0),1,0)</f>
        <v>0</v>
      </c>
      <c r="AB1010">
        <f>IF(AND(vp.tbl[[#This Row],[CrudeType]]="Crude",vp.tbl[[#This Row],[Dens]]&gt;825,vp.tbl[[#This Row],[Dens]]&lt;=870,vp.tbl[[#This Row],[Sulf]]&gt;0.5,vp.tbl[[#This Row],[Unknown]]=0),1,0)</f>
        <v>1</v>
      </c>
      <c r="AC1010">
        <f>IF(AND(vp.tbl[[#This Row],[CrudeType]]="Crude",vp.tbl[[#This Row],[Dens]]&gt;825,vp.tbl[[#This Row],[Dens]]&lt;=900,vp.tbl[[#This Row],[Sulf]]&lt;=0.5,vp.tbl[[#This Row],[Unknown]]=0),1,0)</f>
        <v>0</v>
      </c>
      <c r="AD1010">
        <f>IF(AND(vp.tbl[[#This Row],[CrudeType]]="Crude",vp.tbl[[#This Row],[Dens]]&gt;870,vp.tbl[[#This Row],[Dens]]&lt;=900,vp.tbl[[#This Row],[Sulf]]&gt;0.5,vp.tbl[[#This Row],[Unknown]]=0),1,0)</f>
        <v>0</v>
      </c>
      <c r="AE1010">
        <f>IF(AND(vp.tbl[[#This Row],[CrudeType]]="Crude",vp.tbl[[#This Row],[Dens]]&gt;900,vp.tbl[[#This Row],[Sulf]]&lt;=0.5,vp.tbl[[#This Row],[Unknown]]=0),1,0)</f>
        <v>0</v>
      </c>
      <c r="AF1010">
        <f>IF(AND(vp.tbl[[#This Row],[CrudeType]]="Crude",vp.tbl[[#This Row],[Dens]]&gt;900,vp.tbl[[#This Row],[Sulf]]&lt;=0.5,vp.tbl[[#This Row],[Unknown]]=0),1,0)</f>
        <v>0</v>
      </c>
      <c r="AG1010" t="str">
        <f>INDEX(vp.tbl[[#Headers],[Unknown]:[Heavy_SW]],MATCH(1,vp.tbl[[#This Row],[Unknown]:[Heavy_SW]],0))</f>
        <v>Medium_LSB</v>
      </c>
      <c r="AH1010" t="e">
        <f>INDEX([1]!crudeBD.lkup[Number],MATCH(vp.tbl[[#This Row],[Crude_Breakdown]],[1]!crudeBD.lkup[Crude Breakdown],0))</f>
        <v>#REF!</v>
      </c>
      <c r="AI1010">
        <f>MONTH(vp.tbl[[#This Row],[SDate]])</f>
        <v>3</v>
      </c>
      <c r="AJ1010" s="5">
        <f>IFERROR(vp.tbl[[#This Row],[Sulf]]*vp.tbl[[#This Row],[Net Dens]],"")</f>
        <v>5841641.9709000001</v>
      </c>
      <c r="AK1010" s="5">
        <f>IFERROR(vp.tbl[[#This Row],[Dens]]*vp.tbl[[#This Row],[VolumeM3]],"")</f>
        <v>4143008.49</v>
      </c>
      <c r="AL1010" s="5">
        <f>IFERROR(vp.tbl[[#This Row],[VP]]*vp.tbl[[#This Row],[VolumeM3]],"")</f>
        <v>324256.55200000003</v>
      </c>
      <c r="AM1010" s="4">
        <f>IFERROR((vp.tbl[[#This Row],[VP]]-INDEX(crudeBD.lkup.complete[Mean_VP],MATCH(vp.tbl[[#This Row],[Crude_Breakdown]],crudeBD.lkup.complete[Crude Breakdown],0)))^2,"")</f>
        <v>178.85304153116397</v>
      </c>
      <c r="AN1010" s="4">
        <f>IFERROR((vp.tbl[[#This Row],[Dens]]-INDEX(crudeBD.lkup.complete[Mean_Dens],MATCH(vp.tbl[[#This Row],[Crude_Breakdown]],crudeBD.lkup.complete[Crude Breakdown],0)))^2,"")</f>
        <v>67.374173195978344</v>
      </c>
      <c r="AO1010" s="4">
        <f>IFERROR((vp.tbl[[#This Row],[Sulf]]-INDEX(crudeBD.lkup.complete[Mean_Sulf],MATCH(vp.tbl[[#This Row],[Crude_Breakdown]],crudeBD.lkup.complete[Crude Breakdown],0)))^2,"")</f>
        <v>2.0186923878676294E-3</v>
      </c>
      <c r="AP1010">
        <f>IF(AND(vp.tbl[[#This Row],[SDate]]&gt;=DATE(YEAR(vp.tbl[[#This Row],[SDate]]),5,1),vp.tbl[[#This Row],[SDate]]&lt;=DATE(YEAR(vp.tbl[[#This Row],[SDate]]),9,15)),1,0)</f>
        <v>0</v>
      </c>
      <c r="AQ1010" s="15">
        <f>IF(vp.tbl[[#This Row],[SDate]]&lt;DATE(2016,12,1),0,1)</f>
        <v>1</v>
      </c>
    </row>
    <row r="1011" spans="1:43" x14ac:dyDescent="0.25">
      <c r="A1011">
        <v>1010</v>
      </c>
      <c r="B1011" t="s">
        <v>56</v>
      </c>
      <c r="C1011" t="s">
        <v>56</v>
      </c>
      <c r="D1011" t="s">
        <v>94</v>
      </c>
      <c r="F1011" s="1">
        <v>42807</v>
      </c>
      <c r="G1011" s="2">
        <v>76.400000000000006</v>
      </c>
      <c r="H1011" s="2"/>
      <c r="I1011" s="2">
        <v>1.9</v>
      </c>
      <c r="J1011" s="2">
        <v>14.7</v>
      </c>
      <c r="K1011" s="2">
        <v>-18</v>
      </c>
      <c r="L1011" s="2">
        <v>857.2</v>
      </c>
      <c r="M1011" s="2">
        <v>857.2</v>
      </c>
      <c r="N1011" s="2">
        <f ca="1">INDEX(INDIRECT(_xlfn.CONCAT("weather.tbl[",N$1,"]")),MATCH(vp.tbl[[#This Row],[SDate]],weather.tbl[Date],0))</f>
        <v>-17.566666666666666</v>
      </c>
      <c r="O1011" s="2">
        <f ca="1">INDEX(INDIRECT(_xlfn.CONCAT("weather.tbl[",O$1,"]")),MATCH(vp.tbl[[#This Row],[SDate]],weather.tbl[Date],0))</f>
        <v>-17.119047619047617</v>
      </c>
      <c r="P1011" s="2">
        <f ca="1">INDEX(INDIRECT(_xlfn.CONCAT("weather.tbl[",P$1,"]")),MATCH(vp.tbl[[#This Row],[SDate]],weather.tbl[Date],0))</f>
        <v>-17.399999999999999</v>
      </c>
      <c r="Q1011" s="2">
        <f ca="1">INDEX(INDIRECT(_xlfn.CONCAT("weather.tbl[",Q$1,"]")),MATCH(vp.tbl[[#This Row],[SDate]],weather.tbl[Date],0))</f>
        <v>-16.7</v>
      </c>
      <c r="R1011" s="2">
        <f ca="1">INDEX(INDIRECT(_xlfn.CONCAT("weather.tbl[",R$1,"]")),MATCH(vp.tbl[[#This Row],[SDate]],weather.tbl[Date],0))</f>
        <v>-17</v>
      </c>
      <c r="S1011" s="2">
        <f ca="1">INDEX(INDIRECT(_xlfn.CONCAT("weather.tbl[",S$1,"]")),MATCH(vp.tbl[[#This Row],[SDate]],weather.tbl[Date],0))</f>
        <v>-16.5</v>
      </c>
      <c r="T1011" s="2">
        <f ca="1">INDEX(INDIRECT(_xlfn.CONCAT("weather.tbl[",T$1,"]")),MATCH(vp.tbl[[#This Row],[SDate]],weather.tbl[Date],0))</f>
        <v>-20</v>
      </c>
      <c r="U1011" s="2">
        <f ca="1">INDEX(INDIRECT(_xlfn.CONCAT("weather.tbl[",U$1,"]")),MATCH(vp.tbl[[#This Row],[SDate]],weather.tbl[Date],0))</f>
        <v>-17.8</v>
      </c>
      <c r="V1011" s="2">
        <v>4141.4380000000001</v>
      </c>
      <c r="W1011" t="s">
        <v>48</v>
      </c>
      <c r="X1011">
        <f>IF(OR(vp.tbl[[#This Row],[Sulf]]="",vp.tbl[[#This Row],[Dens]]=""),1,0)</f>
        <v>0</v>
      </c>
      <c r="Y1011">
        <f>IF(vp.tbl[[#This Row],[CrudeType]]="C5+",1,0)</f>
        <v>0</v>
      </c>
      <c r="Z1011">
        <f>IF(AND(vp.tbl[[#This Row],[CrudeType]]="Crude",vp.tbl[[#This Row],[Dens]]&lt;=825,vp.tbl[[#This Row],[Sulf]]&gt;0.5,vp.tbl[[#This Row],[Unknown]]=0),1,0)</f>
        <v>0</v>
      </c>
      <c r="AA1011">
        <f>IF(AND(vp.tbl[[#This Row],[CrudeType]]="Crude",vp.tbl[[#This Row],[Dens]]&lt;=825,vp.tbl[[#This Row],[Sulf]]&lt;=0.5,vp.tbl[[#This Row],[Unknown]]=0),1,0)</f>
        <v>0</v>
      </c>
      <c r="AB1011">
        <f>IF(AND(vp.tbl[[#This Row],[CrudeType]]="Crude",vp.tbl[[#This Row],[Dens]]&gt;825,vp.tbl[[#This Row],[Dens]]&lt;=870,vp.tbl[[#This Row],[Sulf]]&gt;0.5,vp.tbl[[#This Row],[Unknown]]=0),1,0)</f>
        <v>1</v>
      </c>
      <c r="AC1011">
        <f>IF(AND(vp.tbl[[#This Row],[CrudeType]]="Crude",vp.tbl[[#This Row],[Dens]]&gt;825,vp.tbl[[#This Row],[Dens]]&lt;=900,vp.tbl[[#This Row],[Sulf]]&lt;=0.5,vp.tbl[[#This Row],[Unknown]]=0),1,0)</f>
        <v>0</v>
      </c>
      <c r="AD1011">
        <f>IF(AND(vp.tbl[[#This Row],[CrudeType]]="Crude",vp.tbl[[#This Row],[Dens]]&gt;870,vp.tbl[[#This Row],[Dens]]&lt;=900,vp.tbl[[#This Row],[Sulf]]&gt;0.5,vp.tbl[[#This Row],[Unknown]]=0),1,0)</f>
        <v>0</v>
      </c>
      <c r="AE1011">
        <f>IF(AND(vp.tbl[[#This Row],[CrudeType]]="Crude",vp.tbl[[#This Row],[Dens]]&gt;900,vp.tbl[[#This Row],[Sulf]]&lt;=0.5,vp.tbl[[#This Row],[Unknown]]=0),1,0)</f>
        <v>0</v>
      </c>
      <c r="AF1011">
        <f>IF(AND(vp.tbl[[#This Row],[CrudeType]]="Crude",vp.tbl[[#This Row],[Dens]]&gt;900,vp.tbl[[#This Row],[Sulf]]&lt;=0.5,vp.tbl[[#This Row],[Unknown]]=0),1,0)</f>
        <v>0</v>
      </c>
      <c r="AG1011" t="str">
        <f>INDEX(vp.tbl[[#Headers],[Unknown]:[Heavy_SW]],MATCH(1,vp.tbl[[#This Row],[Unknown]:[Heavy_SW]],0))</f>
        <v>Medium_LSB</v>
      </c>
      <c r="AH1011" t="e">
        <f>INDEX([1]!crudeBD.lkup[Number],MATCH(vp.tbl[[#This Row],[Crude_Breakdown]],[1]!crudeBD.lkup[Crude Breakdown],0))</f>
        <v>#REF!</v>
      </c>
      <c r="AI1011">
        <f>MONTH(vp.tbl[[#This Row],[SDate]])</f>
        <v>3</v>
      </c>
      <c r="AJ1011" s="5">
        <f>IFERROR(vp.tbl[[#This Row],[Sulf]]*vp.tbl[[#This Row],[Net Dens]],"")</f>
        <v>6745077.2418400003</v>
      </c>
      <c r="AK1011" s="5">
        <f>IFERROR(vp.tbl[[#This Row],[Dens]]*vp.tbl[[#This Row],[VolumeM3]],"")</f>
        <v>3550040.6536000003</v>
      </c>
      <c r="AL1011" s="5">
        <f>IFERROR(vp.tbl[[#This Row],[VP]]*vp.tbl[[#This Row],[VolumeM3]],"")</f>
        <v>316405.86320000002</v>
      </c>
      <c r="AM1011" s="4">
        <f>IFERROR((vp.tbl[[#This Row],[VP]]-INDEX(crudeBD.lkup.complete[Mean_VP],MATCH(vp.tbl[[#This Row],[Crude_Breakdown]],crudeBD.lkup.complete[Crude Breakdown],0)))^2,"")</f>
        <v>14.24001874635443</v>
      </c>
      <c r="AN1011" s="4">
        <f>IFERROR((vp.tbl[[#This Row],[Dens]]-INDEX(crudeBD.lkup.complete[Mean_Dens],MATCH(vp.tbl[[#This Row],[Crude_Breakdown]],crudeBD.lkup.complete[Crude Breakdown],0)))^2,"")</f>
        <v>141.80468458839178</v>
      </c>
      <c r="AO1011" s="4">
        <f>IFERROR((vp.tbl[[#This Row],[Sulf]]-INDEX(crudeBD.lkup.complete[Mean_Sulf],MATCH(vp.tbl[[#This Row],[Crude_Breakdown]],crudeBD.lkup.complete[Crude Breakdown],0)))^2,"")</f>
        <v>0.19808742884356229</v>
      </c>
      <c r="AP1011">
        <f>IF(AND(vp.tbl[[#This Row],[SDate]]&gt;=DATE(YEAR(vp.tbl[[#This Row],[SDate]]),5,1),vp.tbl[[#This Row],[SDate]]&lt;=DATE(YEAR(vp.tbl[[#This Row],[SDate]]),9,15)),1,0)</f>
        <v>0</v>
      </c>
      <c r="AQ1011" s="15">
        <f>IF(vp.tbl[[#This Row],[SDate]]&lt;DATE(2016,12,1),0,1)</f>
        <v>1</v>
      </c>
    </row>
    <row r="1012" spans="1:43" x14ac:dyDescent="0.25">
      <c r="A1012">
        <v>1011</v>
      </c>
      <c r="B1012" t="s">
        <v>64</v>
      </c>
      <c r="C1012" t="s">
        <v>64</v>
      </c>
      <c r="D1012" t="s">
        <v>65</v>
      </c>
      <c r="F1012" s="1">
        <v>42807</v>
      </c>
      <c r="G1012" s="2">
        <v>51.2</v>
      </c>
      <c r="H1012" s="2"/>
      <c r="I1012" s="2">
        <v>2.09</v>
      </c>
      <c r="J1012" s="2">
        <v>29.1</v>
      </c>
      <c r="K1012" s="2">
        <v>-18</v>
      </c>
      <c r="L1012" s="2">
        <v>873.4</v>
      </c>
      <c r="M1012" s="2">
        <v>873.4</v>
      </c>
      <c r="N1012" s="2">
        <f ca="1">INDEX(INDIRECT(_xlfn.CONCAT("weather.tbl[",N$1,"]")),MATCH(vp.tbl[[#This Row],[SDate]],weather.tbl[Date],0))</f>
        <v>-17.566666666666666</v>
      </c>
      <c r="O1012" s="2">
        <f ca="1">INDEX(INDIRECT(_xlfn.CONCAT("weather.tbl[",O$1,"]")),MATCH(vp.tbl[[#This Row],[SDate]],weather.tbl[Date],0))</f>
        <v>-17.119047619047617</v>
      </c>
      <c r="P1012" s="2">
        <f ca="1">INDEX(INDIRECT(_xlfn.CONCAT("weather.tbl[",P$1,"]")),MATCH(vp.tbl[[#This Row],[SDate]],weather.tbl[Date],0))</f>
        <v>-17.399999999999999</v>
      </c>
      <c r="Q1012" s="2">
        <f ca="1">INDEX(INDIRECT(_xlfn.CONCAT("weather.tbl[",Q$1,"]")),MATCH(vp.tbl[[#This Row],[SDate]],weather.tbl[Date],0))</f>
        <v>-16.7</v>
      </c>
      <c r="R1012" s="2">
        <f ca="1">INDEX(INDIRECT(_xlfn.CONCAT("weather.tbl[",R$1,"]")),MATCH(vp.tbl[[#This Row],[SDate]],weather.tbl[Date],0))</f>
        <v>-17</v>
      </c>
      <c r="S1012" s="2">
        <f ca="1">INDEX(INDIRECT(_xlfn.CONCAT("weather.tbl[",S$1,"]")),MATCH(vp.tbl[[#This Row],[SDate]],weather.tbl[Date],0))</f>
        <v>-16.5</v>
      </c>
      <c r="T1012" s="2">
        <f ca="1">INDEX(INDIRECT(_xlfn.CONCAT("weather.tbl[",T$1,"]")),MATCH(vp.tbl[[#This Row],[SDate]],weather.tbl[Date],0))</f>
        <v>-20</v>
      </c>
      <c r="U1012" s="2">
        <f ca="1">INDEX(INDIRECT(_xlfn.CONCAT("weather.tbl[",U$1,"]")),MATCH(vp.tbl[[#This Row],[SDate]],weather.tbl[Date],0))</f>
        <v>-17.8</v>
      </c>
      <c r="V1012" s="2">
        <v>22323.207999999999</v>
      </c>
      <c r="W1012" t="s">
        <v>48</v>
      </c>
      <c r="X1012">
        <f>IF(OR(vp.tbl[[#This Row],[Sulf]]="",vp.tbl[[#This Row],[Dens]]=""),1,0)</f>
        <v>0</v>
      </c>
      <c r="Y1012">
        <f>IF(vp.tbl[[#This Row],[CrudeType]]="C5+",1,0)</f>
        <v>0</v>
      </c>
      <c r="Z1012">
        <f>IF(AND(vp.tbl[[#This Row],[CrudeType]]="Crude",vp.tbl[[#This Row],[Dens]]&lt;=825,vp.tbl[[#This Row],[Sulf]]&gt;0.5,vp.tbl[[#This Row],[Unknown]]=0),1,0)</f>
        <v>0</v>
      </c>
      <c r="AA1012">
        <f>IF(AND(vp.tbl[[#This Row],[CrudeType]]="Crude",vp.tbl[[#This Row],[Dens]]&lt;=825,vp.tbl[[#This Row],[Sulf]]&lt;=0.5,vp.tbl[[#This Row],[Unknown]]=0),1,0)</f>
        <v>0</v>
      </c>
      <c r="AB1012">
        <f>IF(AND(vp.tbl[[#This Row],[CrudeType]]="Crude",vp.tbl[[#This Row],[Dens]]&gt;825,vp.tbl[[#This Row],[Dens]]&lt;=870,vp.tbl[[#This Row],[Sulf]]&gt;0.5,vp.tbl[[#This Row],[Unknown]]=0),1,0)</f>
        <v>0</v>
      </c>
      <c r="AC1012">
        <f>IF(AND(vp.tbl[[#This Row],[CrudeType]]="Crude",vp.tbl[[#This Row],[Dens]]&gt;825,vp.tbl[[#This Row],[Dens]]&lt;=900,vp.tbl[[#This Row],[Sulf]]&lt;=0.5,vp.tbl[[#This Row],[Unknown]]=0),1,0)</f>
        <v>0</v>
      </c>
      <c r="AD1012">
        <f>IF(AND(vp.tbl[[#This Row],[CrudeType]]="Crude",vp.tbl[[#This Row],[Dens]]&gt;870,vp.tbl[[#This Row],[Dens]]&lt;=900,vp.tbl[[#This Row],[Sulf]]&gt;0.5,vp.tbl[[#This Row],[Unknown]]=0),1,0)</f>
        <v>1</v>
      </c>
      <c r="AE1012">
        <f>IF(AND(vp.tbl[[#This Row],[CrudeType]]="Crude",vp.tbl[[#This Row],[Dens]]&gt;900,vp.tbl[[#This Row],[Sulf]]&lt;=0.5,vp.tbl[[#This Row],[Unknown]]=0),1,0)</f>
        <v>0</v>
      </c>
      <c r="AF1012">
        <f>IF(AND(vp.tbl[[#This Row],[CrudeType]]="Crude",vp.tbl[[#This Row],[Dens]]&gt;900,vp.tbl[[#This Row],[Sulf]]&lt;=0.5,vp.tbl[[#This Row],[Unknown]]=0),1,0)</f>
        <v>0</v>
      </c>
      <c r="AG1012" t="str">
        <f>INDEX(vp.tbl[[#Headers],[Unknown]:[Heavy_SW]],MATCH(1,vp.tbl[[#This Row],[Unknown]:[Heavy_SW]],0))</f>
        <v>Midale</v>
      </c>
      <c r="AH1012" t="e">
        <f>INDEX([1]!crudeBD.lkup[Number],MATCH(vp.tbl[[#This Row],[Crude_Breakdown]],[1]!crudeBD.lkup[Crude Breakdown],0))</f>
        <v>#REF!</v>
      </c>
      <c r="AI1012">
        <f>MONTH(vp.tbl[[#This Row],[SDate]])</f>
        <v>3</v>
      </c>
      <c r="AJ1012" s="5">
        <f>IFERROR(vp.tbl[[#This Row],[Sulf]]*vp.tbl[[#This Row],[Net Dens]],"")</f>
        <v>40748917.822447993</v>
      </c>
      <c r="AK1012" s="5">
        <f>IFERROR(vp.tbl[[#This Row],[Dens]]*vp.tbl[[#This Row],[VolumeM3]],"")</f>
        <v>19497089.867199998</v>
      </c>
      <c r="AL1012" s="5">
        <f>IFERROR(vp.tbl[[#This Row],[VP]]*vp.tbl[[#This Row],[VolumeM3]],"")</f>
        <v>1142948.2496</v>
      </c>
      <c r="AM1012" s="4">
        <f>IFERROR((vp.tbl[[#This Row],[VP]]-INDEX(crudeBD.lkup.complete[Mean_VP],MATCH(vp.tbl[[#This Row],[Crude_Breakdown]],crudeBD.lkup.complete[Crude Breakdown],0)))^2,"")</f>
        <v>290.30558078438764</v>
      </c>
      <c r="AN1012" s="4">
        <f>IFERROR((vp.tbl[[#This Row],[Dens]]-INDEX(crudeBD.lkup.complete[Mean_Dens],MATCH(vp.tbl[[#This Row],[Crude_Breakdown]],crudeBD.lkup.complete[Crude Breakdown],0)))^2,"")</f>
        <v>17.239559016698745</v>
      </c>
      <c r="AO1012" s="4">
        <f>IFERROR((vp.tbl[[#This Row],[Sulf]]-INDEX(crudeBD.lkup.complete[Mean_Sulf],MATCH(vp.tbl[[#This Row],[Crude_Breakdown]],crudeBD.lkup.complete[Crude Breakdown],0)))^2,"")</f>
        <v>0.10584620473426462</v>
      </c>
      <c r="AP1012">
        <f>IF(AND(vp.tbl[[#This Row],[SDate]]&gt;=DATE(YEAR(vp.tbl[[#This Row],[SDate]]),5,1),vp.tbl[[#This Row],[SDate]]&lt;=DATE(YEAR(vp.tbl[[#This Row],[SDate]]),9,15)),1,0)</f>
        <v>0</v>
      </c>
      <c r="AQ1012" s="15">
        <f>IF(vp.tbl[[#This Row],[SDate]]&lt;DATE(2016,12,1),0,1)</f>
        <v>1</v>
      </c>
    </row>
    <row r="1013" spans="1:43" x14ac:dyDescent="0.25">
      <c r="A1013">
        <v>1012</v>
      </c>
      <c r="B1013" t="s">
        <v>60</v>
      </c>
      <c r="C1013" t="s">
        <v>60</v>
      </c>
      <c r="D1013" t="s">
        <v>61</v>
      </c>
      <c r="E1013" t="s">
        <v>73</v>
      </c>
      <c r="F1013" s="1">
        <v>42807</v>
      </c>
      <c r="G1013" s="2">
        <v>80.3</v>
      </c>
      <c r="H1013" s="2">
        <v>1.181</v>
      </c>
      <c r="I1013" s="2">
        <v>1.181</v>
      </c>
      <c r="J1013" s="2">
        <v>3.5</v>
      </c>
      <c r="K1013" s="2">
        <v>-18</v>
      </c>
      <c r="L1013" s="2">
        <v>839</v>
      </c>
      <c r="M1013" s="2">
        <v>839</v>
      </c>
      <c r="N1013" s="2">
        <f ca="1">INDEX(INDIRECT(_xlfn.CONCAT("weather.tbl[",N$1,"]")),MATCH(vp.tbl[[#This Row],[SDate]],weather.tbl[Date],0))</f>
        <v>-17.566666666666666</v>
      </c>
      <c r="O1013" s="2">
        <f ca="1">INDEX(INDIRECT(_xlfn.CONCAT("weather.tbl[",O$1,"]")),MATCH(vp.tbl[[#This Row],[SDate]],weather.tbl[Date],0))</f>
        <v>-17.119047619047617</v>
      </c>
      <c r="P1013" s="2">
        <f ca="1">INDEX(INDIRECT(_xlfn.CONCAT("weather.tbl[",P$1,"]")),MATCH(vp.tbl[[#This Row],[SDate]],weather.tbl[Date],0))</f>
        <v>-17.399999999999999</v>
      </c>
      <c r="Q1013" s="2">
        <f ca="1">INDEX(INDIRECT(_xlfn.CONCAT("weather.tbl[",Q$1,"]")),MATCH(vp.tbl[[#This Row],[SDate]],weather.tbl[Date],0))</f>
        <v>-16.7</v>
      </c>
      <c r="R1013" s="2">
        <f ca="1">INDEX(INDIRECT(_xlfn.CONCAT("weather.tbl[",R$1,"]")),MATCH(vp.tbl[[#This Row],[SDate]],weather.tbl[Date],0))</f>
        <v>-17</v>
      </c>
      <c r="S1013" s="2">
        <f ca="1">INDEX(INDIRECT(_xlfn.CONCAT("weather.tbl[",S$1,"]")),MATCH(vp.tbl[[#This Row],[SDate]],weather.tbl[Date],0))</f>
        <v>-16.5</v>
      </c>
      <c r="T1013" s="2">
        <f ca="1">INDEX(INDIRECT(_xlfn.CONCAT("weather.tbl[",T$1,"]")),MATCH(vp.tbl[[#This Row],[SDate]],weather.tbl[Date],0))</f>
        <v>-20</v>
      </c>
      <c r="U1013" s="2">
        <f ca="1">INDEX(INDIRECT(_xlfn.CONCAT("weather.tbl[",U$1,"]")),MATCH(vp.tbl[[#This Row],[SDate]],weather.tbl[Date],0))</f>
        <v>-17.8</v>
      </c>
      <c r="V1013" s="2">
        <v>106074.851</v>
      </c>
      <c r="W1013" t="s">
        <v>48</v>
      </c>
      <c r="X1013">
        <f>IF(OR(vp.tbl[[#This Row],[Sulf]]="",vp.tbl[[#This Row],[Dens]]=""),1,0)</f>
        <v>0</v>
      </c>
      <c r="Y1013">
        <f>IF(vp.tbl[[#This Row],[CrudeType]]="C5+",1,0)</f>
        <v>0</v>
      </c>
      <c r="Z1013">
        <f>IF(AND(vp.tbl[[#This Row],[CrudeType]]="Crude",vp.tbl[[#This Row],[Dens]]&lt;=825,vp.tbl[[#This Row],[Sulf]]&gt;0.5,vp.tbl[[#This Row],[Unknown]]=0),1,0)</f>
        <v>0</v>
      </c>
      <c r="AA1013">
        <f>IF(AND(vp.tbl[[#This Row],[CrudeType]]="Crude",vp.tbl[[#This Row],[Dens]]&lt;=825,vp.tbl[[#This Row],[Sulf]]&lt;=0.5,vp.tbl[[#This Row],[Unknown]]=0),1,0)</f>
        <v>0</v>
      </c>
      <c r="AB1013">
        <f>IF(AND(vp.tbl[[#This Row],[CrudeType]]="Crude",vp.tbl[[#This Row],[Dens]]&gt;825,vp.tbl[[#This Row],[Dens]]&lt;=870,vp.tbl[[#This Row],[Sulf]]&gt;0.5,vp.tbl[[#This Row],[Unknown]]=0),1,0)</f>
        <v>1</v>
      </c>
      <c r="AC1013">
        <f>IF(AND(vp.tbl[[#This Row],[CrudeType]]="Crude",vp.tbl[[#This Row],[Dens]]&gt;825,vp.tbl[[#This Row],[Dens]]&lt;=900,vp.tbl[[#This Row],[Sulf]]&lt;=0.5,vp.tbl[[#This Row],[Unknown]]=0),1,0)</f>
        <v>0</v>
      </c>
      <c r="AD1013">
        <f>IF(AND(vp.tbl[[#This Row],[CrudeType]]="Crude",vp.tbl[[#This Row],[Dens]]&gt;870,vp.tbl[[#This Row],[Dens]]&lt;=900,vp.tbl[[#This Row],[Sulf]]&gt;0.5,vp.tbl[[#This Row],[Unknown]]=0),1,0)</f>
        <v>0</v>
      </c>
      <c r="AE1013">
        <f>IF(AND(vp.tbl[[#This Row],[CrudeType]]="Crude",vp.tbl[[#This Row],[Dens]]&gt;900,vp.tbl[[#This Row],[Sulf]]&lt;=0.5,vp.tbl[[#This Row],[Unknown]]=0),1,0)</f>
        <v>0</v>
      </c>
      <c r="AF1013">
        <f>IF(AND(vp.tbl[[#This Row],[CrudeType]]="Crude",vp.tbl[[#This Row],[Dens]]&gt;900,vp.tbl[[#This Row],[Sulf]]&lt;=0.5,vp.tbl[[#This Row],[Unknown]]=0),1,0)</f>
        <v>0</v>
      </c>
      <c r="AG1013" t="str">
        <f>INDEX(vp.tbl[[#Headers],[Unknown]:[Heavy_SW]],MATCH(1,vp.tbl[[#This Row],[Unknown]:[Heavy_SW]],0))</f>
        <v>Medium_LSB</v>
      </c>
      <c r="AH1013" t="e">
        <f>INDEX([1]!crudeBD.lkup[Number],MATCH(vp.tbl[[#This Row],[Crude_Breakdown]],[1]!crudeBD.lkup[Crude Breakdown],0))</f>
        <v>#REF!</v>
      </c>
      <c r="AI1013">
        <f>MONTH(vp.tbl[[#This Row],[SDate]])</f>
        <v>3</v>
      </c>
      <c r="AJ1013" s="5">
        <f>IFERROR(vp.tbl[[#This Row],[Sulf]]*vp.tbl[[#This Row],[Net Dens]],"")</f>
        <v>105105220.787009</v>
      </c>
      <c r="AK1013" s="5">
        <f>IFERROR(vp.tbl[[#This Row],[Dens]]*vp.tbl[[#This Row],[VolumeM3]],"")</f>
        <v>88996799.988999993</v>
      </c>
      <c r="AL1013" s="5">
        <f>IFERROR(vp.tbl[[#This Row],[VP]]*vp.tbl[[#This Row],[VolumeM3]],"")</f>
        <v>8517810.5352999996</v>
      </c>
      <c r="AM1013" s="4">
        <f>IFERROR((vp.tbl[[#This Row],[VP]]-INDEX(crudeBD.lkup.complete[Mean_VP],MATCH(vp.tbl[[#This Row],[Crude_Breakdown]],crudeBD.lkup.complete[Crude Breakdown],0)))^2,"")</f>
        <v>1.5978240025645525E-2</v>
      </c>
      <c r="AN1013" s="4">
        <f>IFERROR((vp.tbl[[#This Row],[Dens]]-INDEX(crudeBD.lkup.complete[Mean_Dens],MATCH(vp.tbl[[#This Row],[Crude_Breakdown]],crudeBD.lkup.complete[Crude Breakdown],0)))^2,"")</f>
        <v>39.587033955443466</v>
      </c>
      <c r="AO1013" s="4">
        <f>IFERROR((vp.tbl[[#This Row],[Sulf]]-INDEX(crudeBD.lkup.complete[Mean_Sulf],MATCH(vp.tbl[[#This Row],[Crude_Breakdown]],crudeBD.lkup.complete[Crude Breakdown],0)))^2,"")</f>
        <v>7.503756861571638E-2</v>
      </c>
      <c r="AP1013">
        <f>IF(AND(vp.tbl[[#This Row],[SDate]]&gt;=DATE(YEAR(vp.tbl[[#This Row],[SDate]]),5,1),vp.tbl[[#This Row],[SDate]]&lt;=DATE(YEAR(vp.tbl[[#This Row],[SDate]]),9,15)),1,0)</f>
        <v>0</v>
      </c>
      <c r="AQ1013" s="15">
        <f>IF(vp.tbl[[#This Row],[SDate]]&lt;DATE(2016,12,1),0,1)</f>
        <v>1</v>
      </c>
    </row>
    <row r="1014" spans="1:43" x14ac:dyDescent="0.25">
      <c r="A1014">
        <v>1013</v>
      </c>
      <c r="B1014" t="s">
        <v>60</v>
      </c>
      <c r="C1014" t="s">
        <v>60</v>
      </c>
      <c r="D1014" t="s">
        <v>61</v>
      </c>
      <c r="E1014" t="s">
        <v>55</v>
      </c>
      <c r="F1014" s="1">
        <v>42807</v>
      </c>
      <c r="G1014" s="2">
        <v>90.6</v>
      </c>
      <c r="H1014" s="2">
        <v>1.1259999999999999</v>
      </c>
      <c r="I1014" s="2">
        <v>1.1259999999999999</v>
      </c>
      <c r="J1014" s="2">
        <v>3.5</v>
      </c>
      <c r="K1014" s="2">
        <v>-18</v>
      </c>
      <c r="L1014" s="2">
        <v>839.7</v>
      </c>
      <c r="M1014" s="2">
        <v>839.7</v>
      </c>
      <c r="N1014" s="2">
        <f ca="1">INDEX(INDIRECT(_xlfn.CONCAT("weather.tbl[",N$1,"]")),MATCH(vp.tbl[[#This Row],[SDate]],weather.tbl[Date],0))</f>
        <v>-17.566666666666666</v>
      </c>
      <c r="O1014" s="2">
        <f ca="1">INDEX(INDIRECT(_xlfn.CONCAT("weather.tbl[",O$1,"]")),MATCH(vp.tbl[[#This Row],[SDate]],weather.tbl[Date],0))</f>
        <v>-17.119047619047617</v>
      </c>
      <c r="P1014" s="2">
        <f ca="1">INDEX(INDIRECT(_xlfn.CONCAT("weather.tbl[",P$1,"]")),MATCH(vp.tbl[[#This Row],[SDate]],weather.tbl[Date],0))</f>
        <v>-17.399999999999999</v>
      </c>
      <c r="Q1014" s="2">
        <f ca="1">INDEX(INDIRECT(_xlfn.CONCAT("weather.tbl[",Q$1,"]")),MATCH(vp.tbl[[#This Row],[SDate]],weather.tbl[Date],0))</f>
        <v>-16.7</v>
      </c>
      <c r="R1014" s="2">
        <f ca="1">INDEX(INDIRECT(_xlfn.CONCAT("weather.tbl[",R$1,"]")),MATCH(vp.tbl[[#This Row],[SDate]],weather.tbl[Date],0))</f>
        <v>-17</v>
      </c>
      <c r="S1014" s="2">
        <f ca="1">INDEX(INDIRECT(_xlfn.CONCAT("weather.tbl[",S$1,"]")),MATCH(vp.tbl[[#This Row],[SDate]],weather.tbl[Date],0))</f>
        <v>-16.5</v>
      </c>
      <c r="T1014" s="2">
        <f ca="1">INDEX(INDIRECT(_xlfn.CONCAT("weather.tbl[",T$1,"]")),MATCH(vp.tbl[[#This Row],[SDate]],weather.tbl[Date],0))</f>
        <v>-20</v>
      </c>
      <c r="U1014" s="2">
        <f ca="1">INDEX(INDIRECT(_xlfn.CONCAT("weather.tbl[",U$1,"]")),MATCH(vp.tbl[[#This Row],[SDate]],weather.tbl[Date],0))</f>
        <v>-17.8</v>
      </c>
      <c r="V1014" s="2">
        <v>106074.851</v>
      </c>
      <c r="W1014" t="s">
        <v>48</v>
      </c>
      <c r="X1014">
        <f>IF(OR(vp.tbl[[#This Row],[Sulf]]="",vp.tbl[[#This Row],[Dens]]=""),1,0)</f>
        <v>0</v>
      </c>
      <c r="Y1014">
        <f>IF(vp.tbl[[#This Row],[CrudeType]]="C5+",1,0)</f>
        <v>0</v>
      </c>
      <c r="Z1014">
        <f>IF(AND(vp.tbl[[#This Row],[CrudeType]]="Crude",vp.tbl[[#This Row],[Dens]]&lt;=825,vp.tbl[[#This Row],[Sulf]]&gt;0.5,vp.tbl[[#This Row],[Unknown]]=0),1,0)</f>
        <v>0</v>
      </c>
      <c r="AA1014">
        <f>IF(AND(vp.tbl[[#This Row],[CrudeType]]="Crude",vp.tbl[[#This Row],[Dens]]&lt;=825,vp.tbl[[#This Row],[Sulf]]&lt;=0.5,vp.tbl[[#This Row],[Unknown]]=0),1,0)</f>
        <v>0</v>
      </c>
      <c r="AB1014">
        <f>IF(AND(vp.tbl[[#This Row],[CrudeType]]="Crude",vp.tbl[[#This Row],[Dens]]&gt;825,vp.tbl[[#This Row],[Dens]]&lt;=870,vp.tbl[[#This Row],[Sulf]]&gt;0.5,vp.tbl[[#This Row],[Unknown]]=0),1,0)</f>
        <v>1</v>
      </c>
      <c r="AC1014">
        <f>IF(AND(vp.tbl[[#This Row],[CrudeType]]="Crude",vp.tbl[[#This Row],[Dens]]&gt;825,vp.tbl[[#This Row],[Dens]]&lt;=900,vp.tbl[[#This Row],[Sulf]]&lt;=0.5,vp.tbl[[#This Row],[Unknown]]=0),1,0)</f>
        <v>0</v>
      </c>
      <c r="AD1014">
        <f>IF(AND(vp.tbl[[#This Row],[CrudeType]]="Crude",vp.tbl[[#This Row],[Dens]]&gt;870,vp.tbl[[#This Row],[Dens]]&lt;=900,vp.tbl[[#This Row],[Sulf]]&gt;0.5,vp.tbl[[#This Row],[Unknown]]=0),1,0)</f>
        <v>0</v>
      </c>
      <c r="AE1014">
        <f>IF(AND(vp.tbl[[#This Row],[CrudeType]]="Crude",vp.tbl[[#This Row],[Dens]]&gt;900,vp.tbl[[#This Row],[Sulf]]&lt;=0.5,vp.tbl[[#This Row],[Unknown]]=0),1,0)</f>
        <v>0</v>
      </c>
      <c r="AF1014">
        <f>IF(AND(vp.tbl[[#This Row],[CrudeType]]="Crude",vp.tbl[[#This Row],[Dens]]&gt;900,vp.tbl[[#This Row],[Sulf]]&lt;=0.5,vp.tbl[[#This Row],[Unknown]]=0),1,0)</f>
        <v>0</v>
      </c>
      <c r="AG1014" t="str">
        <f>INDEX(vp.tbl[[#Headers],[Unknown]:[Heavy_SW]],MATCH(1,vp.tbl[[#This Row],[Unknown]:[Heavy_SW]],0))</f>
        <v>Medium_LSB</v>
      </c>
      <c r="AH1014" t="e">
        <f>INDEX([1]!crudeBD.lkup[Number],MATCH(vp.tbl[[#This Row],[Crude_Breakdown]],[1]!crudeBD.lkup[Crude Breakdown],0))</f>
        <v>#REF!</v>
      </c>
      <c r="AI1014">
        <f>MONTH(vp.tbl[[#This Row],[SDate]])</f>
        <v>3</v>
      </c>
      <c r="AJ1014" s="5">
        <f>IFERROR(vp.tbl[[#This Row],[Sulf]]*vp.tbl[[#This Row],[Net Dens]],"")</f>
        <v>100294004.9851722</v>
      </c>
      <c r="AK1014" s="5">
        <f>IFERROR(vp.tbl[[#This Row],[Dens]]*vp.tbl[[#This Row],[VolumeM3]],"")</f>
        <v>89071052.3847</v>
      </c>
      <c r="AL1014" s="5">
        <f>IFERROR(vp.tbl[[#This Row],[VP]]*vp.tbl[[#This Row],[VolumeM3]],"")</f>
        <v>9610381.500599999</v>
      </c>
      <c r="AM1014" s="4">
        <f>IFERROR((vp.tbl[[#This Row],[VP]]-INDEX(crudeBD.lkup.complete[Mean_VP],MATCH(vp.tbl[[#This Row],[Crude_Breakdown]],crudeBD.lkup.complete[Crude Breakdown],0)))^2,"")</f>
        <v>108.70992254382375</v>
      </c>
      <c r="AN1014" s="4">
        <f>IFERROR((vp.tbl[[#This Row],[Dens]]-INDEX(crudeBD.lkup.complete[Mean_Dens],MATCH(vp.tbl[[#This Row],[Crude_Breakdown]],crudeBD.lkup.complete[Crude Breakdown],0)))^2,"")</f>
        <v>31.268482056710159</v>
      </c>
      <c r="AO1014" s="4">
        <f>IFERROR((vp.tbl[[#This Row],[Sulf]]-INDEX(crudeBD.lkup.complete[Mean_Sulf],MATCH(vp.tbl[[#This Row],[Crude_Breakdown]],crudeBD.lkup.complete[Crude Breakdown],0)))^2,"")</f>
        <v>0.10819485329926094</v>
      </c>
      <c r="AP1014">
        <f>IF(AND(vp.tbl[[#This Row],[SDate]]&gt;=DATE(YEAR(vp.tbl[[#This Row],[SDate]]),5,1),vp.tbl[[#This Row],[SDate]]&lt;=DATE(YEAR(vp.tbl[[#This Row],[SDate]]),9,15)),1,0)</f>
        <v>0</v>
      </c>
      <c r="AQ1014" s="15">
        <f>IF(vp.tbl[[#This Row],[SDate]]&lt;DATE(2016,12,1),0,1)</f>
        <v>1</v>
      </c>
    </row>
    <row r="1015" spans="1:43" x14ac:dyDescent="0.25">
      <c r="A1015">
        <v>1014</v>
      </c>
      <c r="B1015" t="s">
        <v>49</v>
      </c>
      <c r="C1015" t="s">
        <v>49</v>
      </c>
      <c r="D1015" t="s">
        <v>70</v>
      </c>
      <c r="F1015" s="1">
        <v>42808</v>
      </c>
      <c r="G1015" s="2">
        <v>90.19</v>
      </c>
      <c r="H1015" s="2">
        <v>0.88500000000000001</v>
      </c>
      <c r="I1015" s="2">
        <v>0.88500000000000001</v>
      </c>
      <c r="J1015" s="2">
        <v>10.8</v>
      </c>
      <c r="K1015" s="2">
        <v>-8</v>
      </c>
      <c r="L1015" s="2">
        <v>823.5</v>
      </c>
      <c r="M1015" s="2">
        <v>823.5</v>
      </c>
      <c r="N1015" s="2">
        <f ca="1">INDEX(INDIRECT(_xlfn.CONCAT("weather.tbl[",N$1,"]")),MATCH(vp.tbl[[#This Row],[SDate]],weather.tbl[Date],0))</f>
        <v>-9.3500000000000014</v>
      </c>
      <c r="O1015" s="2">
        <f ca="1">INDEX(INDIRECT(_xlfn.CONCAT("weather.tbl[",O$1,"]")),MATCH(vp.tbl[[#This Row],[SDate]],weather.tbl[Date],0))</f>
        <v>-16.659523809523812</v>
      </c>
      <c r="P1015" s="2">
        <f ca="1">INDEX(INDIRECT(_xlfn.CONCAT("weather.tbl[",P$1,"]")),MATCH(vp.tbl[[#This Row],[SDate]],weather.tbl[Date],0))</f>
        <v>-8.4</v>
      </c>
      <c r="Q1015" s="2">
        <f ca="1">INDEX(INDIRECT(_xlfn.CONCAT("weather.tbl[",Q$1,"]")),MATCH(vp.tbl[[#This Row],[SDate]],weather.tbl[Date],0))</f>
        <v>-9</v>
      </c>
      <c r="R1015" s="2">
        <f ca="1">INDEX(INDIRECT(_xlfn.CONCAT("weather.tbl[",R$1,"]")),MATCH(vp.tbl[[#This Row],[SDate]],weather.tbl[Date],0))</f>
        <v>-11.3</v>
      </c>
      <c r="S1015" s="2">
        <f ca="1">INDEX(INDIRECT(_xlfn.CONCAT("weather.tbl[",S$1,"]")),MATCH(vp.tbl[[#This Row],[SDate]],weather.tbl[Date],0))</f>
        <v>-7.5</v>
      </c>
      <c r="T1015" s="2">
        <f ca="1">INDEX(INDIRECT(_xlfn.CONCAT("weather.tbl[",T$1,"]")),MATCH(vp.tbl[[#This Row],[SDate]],weather.tbl[Date],0))</f>
        <v>-9.6</v>
      </c>
      <c r="U1015" s="2">
        <f ca="1">INDEX(INDIRECT(_xlfn.CONCAT("weather.tbl[",U$1,"]")),MATCH(vp.tbl[[#This Row],[SDate]],weather.tbl[Date],0))</f>
        <v>-10.3</v>
      </c>
      <c r="V1015" s="2">
        <v>2628.259</v>
      </c>
      <c r="W1015" t="s">
        <v>48</v>
      </c>
      <c r="X1015">
        <f>IF(OR(vp.tbl[[#This Row],[Sulf]]="",vp.tbl[[#This Row],[Dens]]=""),1,0)</f>
        <v>0</v>
      </c>
      <c r="Y1015">
        <f>IF(vp.tbl[[#This Row],[CrudeType]]="C5+",1,0)</f>
        <v>0</v>
      </c>
      <c r="Z1015">
        <f>IF(AND(vp.tbl[[#This Row],[CrudeType]]="Crude",vp.tbl[[#This Row],[Dens]]&lt;=825,vp.tbl[[#This Row],[Sulf]]&gt;0.5,vp.tbl[[#This Row],[Unknown]]=0),1,0)</f>
        <v>1</v>
      </c>
      <c r="AA1015">
        <f>IF(AND(vp.tbl[[#This Row],[CrudeType]]="Crude",vp.tbl[[#This Row],[Dens]]&lt;=825,vp.tbl[[#This Row],[Sulf]]&lt;=0.5,vp.tbl[[#This Row],[Unknown]]=0),1,0)</f>
        <v>0</v>
      </c>
      <c r="AB1015">
        <f>IF(AND(vp.tbl[[#This Row],[CrudeType]]="Crude",vp.tbl[[#This Row],[Dens]]&gt;825,vp.tbl[[#This Row],[Dens]]&lt;=870,vp.tbl[[#This Row],[Sulf]]&gt;0.5,vp.tbl[[#This Row],[Unknown]]=0),1,0)</f>
        <v>0</v>
      </c>
      <c r="AC1015">
        <f>IF(AND(vp.tbl[[#This Row],[CrudeType]]="Crude",vp.tbl[[#This Row],[Dens]]&gt;825,vp.tbl[[#This Row],[Dens]]&lt;=900,vp.tbl[[#This Row],[Sulf]]&lt;=0.5,vp.tbl[[#This Row],[Unknown]]=0),1,0)</f>
        <v>0</v>
      </c>
      <c r="AD1015">
        <f>IF(AND(vp.tbl[[#This Row],[CrudeType]]="Crude",vp.tbl[[#This Row],[Dens]]&gt;870,vp.tbl[[#This Row],[Dens]]&lt;=900,vp.tbl[[#This Row],[Sulf]]&gt;0.5,vp.tbl[[#This Row],[Unknown]]=0),1,0)</f>
        <v>0</v>
      </c>
      <c r="AE1015">
        <f>IF(AND(vp.tbl[[#This Row],[CrudeType]]="Crude",vp.tbl[[#This Row],[Dens]]&gt;900,vp.tbl[[#This Row],[Sulf]]&lt;=0.5,vp.tbl[[#This Row],[Unknown]]=0),1,0)</f>
        <v>0</v>
      </c>
      <c r="AF1015">
        <f>IF(AND(vp.tbl[[#This Row],[CrudeType]]="Crude",vp.tbl[[#This Row],[Dens]]&gt;900,vp.tbl[[#This Row],[Sulf]]&lt;=0.5,vp.tbl[[#This Row],[Unknown]]=0),1,0)</f>
        <v>0</v>
      </c>
      <c r="AG1015" t="str">
        <f>INDEX(vp.tbl[[#Headers],[Unknown]:[Heavy_SW]],MATCH(1,vp.tbl[[#This Row],[Unknown]:[Heavy_SW]],0))</f>
        <v>Light_LSB</v>
      </c>
      <c r="AH1015" t="e">
        <f>INDEX([1]!crudeBD.lkup[Number],MATCH(vp.tbl[[#This Row],[Crude_Breakdown]],[1]!crudeBD.lkup[Crude Breakdown],0))</f>
        <v>#REF!</v>
      </c>
      <c r="AI1015">
        <f>MONTH(vp.tbl[[#This Row],[SDate]])</f>
        <v>3</v>
      </c>
      <c r="AJ1015" s="5">
        <f>IFERROR(vp.tbl[[#This Row],[Sulf]]*vp.tbl[[#This Row],[Net Dens]],"")</f>
        <v>1915468.5885524999</v>
      </c>
      <c r="AK1015" s="5">
        <f>IFERROR(vp.tbl[[#This Row],[Dens]]*vp.tbl[[#This Row],[VolumeM3]],"")</f>
        <v>2164371.2864999999</v>
      </c>
      <c r="AL1015" s="5">
        <f>IFERROR(vp.tbl[[#This Row],[VP]]*vp.tbl[[#This Row],[VolumeM3]],"")</f>
        <v>237042.67921</v>
      </c>
      <c r="AM1015" s="4">
        <f>IFERROR((vp.tbl[[#This Row],[VP]]-INDEX(crudeBD.lkup.complete[Mean_VP],MATCH(vp.tbl[[#This Row],[Crude_Breakdown]],crudeBD.lkup.complete[Crude Breakdown],0)))^2,"")</f>
        <v>1.8392392921671645</v>
      </c>
      <c r="AN1015" s="4">
        <f>IFERROR((vp.tbl[[#This Row],[Dens]]-INDEX(crudeBD.lkup.complete[Mean_Dens],MATCH(vp.tbl[[#This Row],[Crude_Breakdown]],crudeBD.lkup.complete[Crude Breakdown],0)))^2,"")</f>
        <v>24.832583630333428</v>
      </c>
      <c r="AO1015" s="4">
        <f>IFERROR((vp.tbl[[#This Row],[Sulf]]-INDEX(crudeBD.lkup.complete[Mean_Sulf],MATCH(vp.tbl[[#This Row],[Crude_Breakdown]],crudeBD.lkup.complete[Crude Breakdown],0)))^2,"")</f>
        <v>1.4418096285128694E-3</v>
      </c>
      <c r="AP1015">
        <f>IF(AND(vp.tbl[[#This Row],[SDate]]&gt;=DATE(YEAR(vp.tbl[[#This Row],[SDate]]),5,1),vp.tbl[[#This Row],[SDate]]&lt;=DATE(YEAR(vp.tbl[[#This Row],[SDate]]),9,15)),1,0)</f>
        <v>0</v>
      </c>
      <c r="AQ1015" s="15">
        <f>IF(vp.tbl[[#This Row],[SDate]]&lt;DATE(2016,12,1),0,1)</f>
        <v>1</v>
      </c>
    </row>
    <row r="1016" spans="1:43" x14ac:dyDescent="0.25">
      <c r="A1016">
        <v>1015</v>
      </c>
      <c r="B1016" t="s">
        <v>49</v>
      </c>
      <c r="C1016" t="s">
        <v>49</v>
      </c>
      <c r="D1016" t="s">
        <v>90</v>
      </c>
      <c r="F1016" s="1">
        <v>42808</v>
      </c>
      <c r="G1016" s="2">
        <v>79.5</v>
      </c>
      <c r="H1016" s="2">
        <v>1.2430000000000001</v>
      </c>
      <c r="I1016" s="2">
        <v>1.2430000000000001</v>
      </c>
      <c r="J1016" s="2">
        <v>30.3</v>
      </c>
      <c r="K1016" s="2">
        <v>-8</v>
      </c>
      <c r="L1016" s="2">
        <v>842.9</v>
      </c>
      <c r="M1016" s="2">
        <v>842.9</v>
      </c>
      <c r="N1016" s="2">
        <f ca="1">INDEX(INDIRECT(_xlfn.CONCAT("weather.tbl[",N$1,"]")),MATCH(vp.tbl[[#This Row],[SDate]],weather.tbl[Date],0))</f>
        <v>-9.3500000000000014</v>
      </c>
      <c r="O1016" s="2">
        <f ca="1">INDEX(INDIRECT(_xlfn.CONCAT("weather.tbl[",O$1,"]")),MATCH(vp.tbl[[#This Row],[SDate]],weather.tbl[Date],0))</f>
        <v>-16.659523809523812</v>
      </c>
      <c r="P1016" s="2">
        <f ca="1">INDEX(INDIRECT(_xlfn.CONCAT("weather.tbl[",P$1,"]")),MATCH(vp.tbl[[#This Row],[SDate]],weather.tbl[Date],0))</f>
        <v>-8.4</v>
      </c>
      <c r="Q1016" s="2">
        <f ca="1">INDEX(INDIRECT(_xlfn.CONCAT("weather.tbl[",Q$1,"]")),MATCH(vp.tbl[[#This Row],[SDate]],weather.tbl[Date],0))</f>
        <v>-9</v>
      </c>
      <c r="R1016" s="2">
        <f ca="1">INDEX(INDIRECT(_xlfn.CONCAT("weather.tbl[",R$1,"]")),MATCH(vp.tbl[[#This Row],[SDate]],weather.tbl[Date],0))</f>
        <v>-11.3</v>
      </c>
      <c r="S1016" s="2">
        <f ca="1">INDEX(INDIRECT(_xlfn.CONCAT("weather.tbl[",S$1,"]")),MATCH(vp.tbl[[#This Row],[SDate]],weather.tbl[Date],0))</f>
        <v>-7.5</v>
      </c>
      <c r="T1016" s="2">
        <f ca="1">INDEX(INDIRECT(_xlfn.CONCAT("weather.tbl[",T$1,"]")),MATCH(vp.tbl[[#This Row],[SDate]],weather.tbl[Date],0))</f>
        <v>-9.6</v>
      </c>
      <c r="U1016" s="2">
        <f ca="1">INDEX(INDIRECT(_xlfn.CONCAT("weather.tbl[",U$1,"]")),MATCH(vp.tbl[[#This Row],[SDate]],weather.tbl[Date],0))</f>
        <v>-10.3</v>
      </c>
      <c r="V1016" s="2">
        <v>4661.3360000000002</v>
      </c>
      <c r="W1016" t="s">
        <v>48</v>
      </c>
      <c r="X1016">
        <f>IF(OR(vp.tbl[[#This Row],[Sulf]]="",vp.tbl[[#This Row],[Dens]]=""),1,0)</f>
        <v>0</v>
      </c>
      <c r="Y1016">
        <f>IF(vp.tbl[[#This Row],[CrudeType]]="C5+",1,0)</f>
        <v>0</v>
      </c>
      <c r="Z1016">
        <f>IF(AND(vp.tbl[[#This Row],[CrudeType]]="Crude",vp.tbl[[#This Row],[Dens]]&lt;=825,vp.tbl[[#This Row],[Sulf]]&gt;0.5,vp.tbl[[#This Row],[Unknown]]=0),1,0)</f>
        <v>0</v>
      </c>
      <c r="AA1016">
        <f>IF(AND(vp.tbl[[#This Row],[CrudeType]]="Crude",vp.tbl[[#This Row],[Dens]]&lt;=825,vp.tbl[[#This Row],[Sulf]]&lt;=0.5,vp.tbl[[#This Row],[Unknown]]=0),1,0)</f>
        <v>0</v>
      </c>
      <c r="AB1016">
        <f>IF(AND(vp.tbl[[#This Row],[CrudeType]]="Crude",vp.tbl[[#This Row],[Dens]]&gt;825,vp.tbl[[#This Row],[Dens]]&lt;=870,vp.tbl[[#This Row],[Sulf]]&gt;0.5,vp.tbl[[#This Row],[Unknown]]=0),1,0)</f>
        <v>1</v>
      </c>
      <c r="AC1016">
        <f>IF(AND(vp.tbl[[#This Row],[CrudeType]]="Crude",vp.tbl[[#This Row],[Dens]]&gt;825,vp.tbl[[#This Row],[Dens]]&lt;=900,vp.tbl[[#This Row],[Sulf]]&lt;=0.5,vp.tbl[[#This Row],[Unknown]]=0),1,0)</f>
        <v>0</v>
      </c>
      <c r="AD1016">
        <f>IF(AND(vp.tbl[[#This Row],[CrudeType]]="Crude",vp.tbl[[#This Row],[Dens]]&gt;870,vp.tbl[[#This Row],[Dens]]&lt;=900,vp.tbl[[#This Row],[Sulf]]&gt;0.5,vp.tbl[[#This Row],[Unknown]]=0),1,0)</f>
        <v>0</v>
      </c>
      <c r="AE1016">
        <f>IF(AND(vp.tbl[[#This Row],[CrudeType]]="Crude",vp.tbl[[#This Row],[Dens]]&gt;900,vp.tbl[[#This Row],[Sulf]]&lt;=0.5,vp.tbl[[#This Row],[Unknown]]=0),1,0)</f>
        <v>0</v>
      </c>
      <c r="AF1016">
        <f>IF(AND(vp.tbl[[#This Row],[CrudeType]]="Crude",vp.tbl[[#This Row],[Dens]]&gt;900,vp.tbl[[#This Row],[Sulf]]&lt;=0.5,vp.tbl[[#This Row],[Unknown]]=0),1,0)</f>
        <v>0</v>
      </c>
      <c r="AG1016" t="str">
        <f>INDEX(vp.tbl[[#Headers],[Unknown]:[Heavy_SW]],MATCH(1,vp.tbl[[#This Row],[Unknown]:[Heavy_SW]],0))</f>
        <v>Medium_LSB</v>
      </c>
      <c r="AH1016" t="e">
        <f>INDEX([1]!crudeBD.lkup[Number],MATCH(vp.tbl[[#This Row],[Crude_Breakdown]],[1]!crudeBD.lkup[Crude Breakdown],0))</f>
        <v>#REF!</v>
      </c>
      <c r="AI1016">
        <f>MONTH(vp.tbl[[#This Row],[SDate]])</f>
        <v>3</v>
      </c>
      <c r="AJ1016" s="5">
        <f>IFERROR(vp.tbl[[#This Row],[Sulf]]*vp.tbl[[#This Row],[Net Dens]],"")</f>
        <v>4883796.8621992012</v>
      </c>
      <c r="AK1016" s="5">
        <f>IFERROR(vp.tbl[[#This Row],[Dens]]*vp.tbl[[#This Row],[VolumeM3]],"")</f>
        <v>3929040.1144000003</v>
      </c>
      <c r="AL1016" s="5">
        <f>IFERROR(vp.tbl[[#This Row],[VP]]*vp.tbl[[#This Row],[VolumeM3]],"")</f>
        <v>370576.212</v>
      </c>
      <c r="AM1016" s="4">
        <f>IFERROR((vp.tbl[[#This Row],[VP]]-INDEX(crudeBD.lkup.complete[Mean_VP],MATCH(vp.tbl[[#This Row],[Crude_Breakdown]],crudeBD.lkup.complete[Crude Breakdown],0)))^2,"")</f>
        <v>0.45373013875976442</v>
      </c>
      <c r="AN1016" s="4">
        <f>IFERROR((vp.tbl[[#This Row],[Dens]]-INDEX(crudeBD.lkup.complete[Mean_Dens],MATCH(vp.tbl[[#This Row],[Crude_Breakdown]],crudeBD.lkup.complete[Crude Breakdown],0)))^2,"")</f>
        <v>5.7208162339322675</v>
      </c>
      <c r="AO1016" s="4">
        <f>IFERROR((vp.tbl[[#This Row],[Sulf]]-INDEX(crudeBD.lkup.complete[Mean_Sulf],MATCH(vp.tbl[[#This Row],[Crude_Breakdown]],crudeBD.lkup.complete[Crude Breakdown],0)))^2,"")</f>
        <v>4.4914265881538962E-2</v>
      </c>
      <c r="AP1016">
        <f>IF(AND(vp.tbl[[#This Row],[SDate]]&gt;=DATE(YEAR(vp.tbl[[#This Row],[SDate]]),5,1),vp.tbl[[#This Row],[SDate]]&lt;=DATE(YEAR(vp.tbl[[#This Row],[SDate]]),9,15)),1,0)</f>
        <v>0</v>
      </c>
      <c r="AQ1016" s="15">
        <f>IF(vp.tbl[[#This Row],[SDate]]&lt;DATE(2016,12,1),0,1)</f>
        <v>1</v>
      </c>
    </row>
    <row r="1017" spans="1:43" x14ac:dyDescent="0.25">
      <c r="A1017">
        <v>1016</v>
      </c>
      <c r="B1017" t="s">
        <v>49</v>
      </c>
      <c r="C1017" t="s">
        <v>49</v>
      </c>
      <c r="D1017" t="s">
        <v>59</v>
      </c>
      <c r="F1017" s="1">
        <v>42808</v>
      </c>
      <c r="G1017" s="2">
        <v>90.05</v>
      </c>
      <c r="H1017" s="2">
        <v>1.3819999999999999</v>
      </c>
      <c r="I1017" s="2">
        <v>1.3819999999999999</v>
      </c>
      <c r="J1017" s="2">
        <v>13.4</v>
      </c>
      <c r="K1017" s="2">
        <v>-8</v>
      </c>
      <c r="L1017" s="2">
        <v>845.1</v>
      </c>
      <c r="M1017" s="2">
        <v>845.1</v>
      </c>
      <c r="N1017" s="2">
        <f ca="1">INDEX(INDIRECT(_xlfn.CONCAT("weather.tbl[",N$1,"]")),MATCH(vp.tbl[[#This Row],[SDate]],weather.tbl[Date],0))</f>
        <v>-9.3500000000000014</v>
      </c>
      <c r="O1017" s="2">
        <f ca="1">INDEX(INDIRECT(_xlfn.CONCAT("weather.tbl[",O$1,"]")),MATCH(vp.tbl[[#This Row],[SDate]],weather.tbl[Date],0))</f>
        <v>-16.659523809523812</v>
      </c>
      <c r="P1017" s="2">
        <f ca="1">INDEX(INDIRECT(_xlfn.CONCAT("weather.tbl[",P$1,"]")),MATCH(vp.tbl[[#This Row],[SDate]],weather.tbl[Date],0))</f>
        <v>-8.4</v>
      </c>
      <c r="Q1017" s="2">
        <f ca="1">INDEX(INDIRECT(_xlfn.CONCAT("weather.tbl[",Q$1,"]")),MATCH(vp.tbl[[#This Row],[SDate]],weather.tbl[Date],0))</f>
        <v>-9</v>
      </c>
      <c r="R1017" s="2">
        <f ca="1">INDEX(INDIRECT(_xlfn.CONCAT("weather.tbl[",R$1,"]")),MATCH(vp.tbl[[#This Row],[SDate]],weather.tbl[Date],0))</f>
        <v>-11.3</v>
      </c>
      <c r="S1017" s="2">
        <f ca="1">INDEX(INDIRECT(_xlfn.CONCAT("weather.tbl[",S$1,"]")),MATCH(vp.tbl[[#This Row],[SDate]],weather.tbl[Date],0))</f>
        <v>-7.5</v>
      </c>
      <c r="T1017" s="2">
        <f ca="1">INDEX(INDIRECT(_xlfn.CONCAT("weather.tbl[",T$1,"]")),MATCH(vp.tbl[[#This Row],[SDate]],weather.tbl[Date],0))</f>
        <v>-9.6</v>
      </c>
      <c r="U1017" s="2">
        <f ca="1">INDEX(INDIRECT(_xlfn.CONCAT("weather.tbl[",U$1,"]")),MATCH(vp.tbl[[#This Row],[SDate]],weather.tbl[Date],0))</f>
        <v>-10.3</v>
      </c>
      <c r="V1017" s="2">
        <v>1407.9559999999999</v>
      </c>
      <c r="W1017" t="s">
        <v>48</v>
      </c>
      <c r="X1017">
        <f>IF(OR(vp.tbl[[#This Row],[Sulf]]="",vp.tbl[[#This Row],[Dens]]=""),1,0)</f>
        <v>0</v>
      </c>
      <c r="Y1017">
        <f>IF(vp.tbl[[#This Row],[CrudeType]]="C5+",1,0)</f>
        <v>0</v>
      </c>
      <c r="Z1017">
        <f>IF(AND(vp.tbl[[#This Row],[CrudeType]]="Crude",vp.tbl[[#This Row],[Dens]]&lt;=825,vp.tbl[[#This Row],[Sulf]]&gt;0.5,vp.tbl[[#This Row],[Unknown]]=0),1,0)</f>
        <v>0</v>
      </c>
      <c r="AA1017">
        <f>IF(AND(vp.tbl[[#This Row],[CrudeType]]="Crude",vp.tbl[[#This Row],[Dens]]&lt;=825,vp.tbl[[#This Row],[Sulf]]&lt;=0.5,vp.tbl[[#This Row],[Unknown]]=0),1,0)</f>
        <v>0</v>
      </c>
      <c r="AB1017">
        <f>IF(AND(vp.tbl[[#This Row],[CrudeType]]="Crude",vp.tbl[[#This Row],[Dens]]&gt;825,vp.tbl[[#This Row],[Dens]]&lt;=870,vp.tbl[[#This Row],[Sulf]]&gt;0.5,vp.tbl[[#This Row],[Unknown]]=0),1,0)</f>
        <v>1</v>
      </c>
      <c r="AC1017">
        <f>IF(AND(vp.tbl[[#This Row],[CrudeType]]="Crude",vp.tbl[[#This Row],[Dens]]&gt;825,vp.tbl[[#This Row],[Dens]]&lt;=900,vp.tbl[[#This Row],[Sulf]]&lt;=0.5,vp.tbl[[#This Row],[Unknown]]=0),1,0)</f>
        <v>0</v>
      </c>
      <c r="AD1017">
        <f>IF(AND(vp.tbl[[#This Row],[CrudeType]]="Crude",vp.tbl[[#This Row],[Dens]]&gt;870,vp.tbl[[#This Row],[Dens]]&lt;=900,vp.tbl[[#This Row],[Sulf]]&gt;0.5,vp.tbl[[#This Row],[Unknown]]=0),1,0)</f>
        <v>0</v>
      </c>
      <c r="AE1017">
        <f>IF(AND(vp.tbl[[#This Row],[CrudeType]]="Crude",vp.tbl[[#This Row],[Dens]]&gt;900,vp.tbl[[#This Row],[Sulf]]&lt;=0.5,vp.tbl[[#This Row],[Unknown]]=0),1,0)</f>
        <v>0</v>
      </c>
      <c r="AF1017">
        <f>IF(AND(vp.tbl[[#This Row],[CrudeType]]="Crude",vp.tbl[[#This Row],[Dens]]&gt;900,vp.tbl[[#This Row],[Sulf]]&lt;=0.5,vp.tbl[[#This Row],[Unknown]]=0),1,0)</f>
        <v>0</v>
      </c>
      <c r="AG1017" t="str">
        <f>INDEX(vp.tbl[[#Headers],[Unknown]:[Heavy_SW]],MATCH(1,vp.tbl[[#This Row],[Unknown]:[Heavy_SW]],0))</f>
        <v>Medium_LSB</v>
      </c>
      <c r="AH1017" t="e">
        <f>INDEX([1]!crudeBD.lkup[Number],MATCH(vp.tbl[[#This Row],[Crude_Breakdown]],[1]!crudeBD.lkup[Crude Breakdown],0))</f>
        <v>#REF!</v>
      </c>
      <c r="AI1017">
        <f>MONTH(vp.tbl[[#This Row],[SDate]])</f>
        <v>3</v>
      </c>
      <c r="AJ1017" s="5">
        <f>IFERROR(vp.tbl[[#This Row],[Sulf]]*vp.tbl[[#This Row],[Net Dens]],"")</f>
        <v>1644391.5167591998</v>
      </c>
      <c r="AK1017" s="5">
        <f>IFERROR(vp.tbl[[#This Row],[Dens]]*vp.tbl[[#This Row],[VolumeM3]],"")</f>
        <v>1189863.6155999999</v>
      </c>
      <c r="AL1017" s="5">
        <f>IFERROR(vp.tbl[[#This Row],[VP]]*vp.tbl[[#This Row],[VolumeM3]],"")</f>
        <v>126786.43779999999</v>
      </c>
      <c r="AM1017" s="4">
        <f>IFERROR((vp.tbl[[#This Row],[VP]]-INDEX(crudeBD.lkup.complete[Mean_VP],MATCH(vp.tbl[[#This Row],[Crude_Breakdown]],crudeBD.lkup.complete[Crude Breakdown],0)))^2,"")</f>
        <v>97.543376974203525</v>
      </c>
      <c r="AN1017" s="4">
        <f>IFERROR((vp.tbl[[#This Row],[Dens]]-INDEX(crudeBD.lkup.complete[Mean_Dens],MATCH(vp.tbl[[#This Row],[Crude_Breakdown]],crudeBD.lkup.complete[Crude Breakdown],0)))^2,"")</f>
        <v>3.6795980771925647E-2</v>
      </c>
      <c r="AO1017" s="4">
        <f>IFERROR((vp.tbl[[#This Row],[Sulf]]-INDEX(crudeBD.lkup.complete[Mean_Sulf],MATCH(vp.tbl[[#This Row],[Crude_Breakdown]],crudeBD.lkup.complete[Crude Breakdown],0)))^2,"")</f>
        <v>5.3187645903993658E-3</v>
      </c>
      <c r="AP1017">
        <f>IF(AND(vp.tbl[[#This Row],[SDate]]&gt;=DATE(YEAR(vp.tbl[[#This Row],[SDate]]),5,1),vp.tbl[[#This Row],[SDate]]&lt;=DATE(YEAR(vp.tbl[[#This Row],[SDate]]),9,15)),1,0)</f>
        <v>0</v>
      </c>
      <c r="AQ1017" s="15">
        <f>IF(vp.tbl[[#This Row],[SDate]]&lt;DATE(2016,12,1),0,1)</f>
        <v>1</v>
      </c>
    </row>
    <row r="1018" spans="1:43" x14ac:dyDescent="0.25">
      <c r="A1018">
        <v>1017</v>
      </c>
      <c r="B1018" t="s">
        <v>49</v>
      </c>
      <c r="C1018" t="s">
        <v>49</v>
      </c>
      <c r="D1018" t="s">
        <v>50</v>
      </c>
      <c r="F1018" s="1">
        <v>42808</v>
      </c>
      <c r="G1018" s="2">
        <v>69.599999999999994</v>
      </c>
      <c r="H1018" s="2">
        <v>2.6070000000000002</v>
      </c>
      <c r="I1018" s="2">
        <v>2.6070000000000002</v>
      </c>
      <c r="J1018" s="2">
        <v>17.100000000000001</v>
      </c>
      <c r="K1018" s="2">
        <v>-8</v>
      </c>
      <c r="L1018" s="2">
        <v>873</v>
      </c>
      <c r="M1018" s="2">
        <v>873</v>
      </c>
      <c r="N1018" s="2">
        <f ca="1">INDEX(INDIRECT(_xlfn.CONCAT("weather.tbl[",N$1,"]")),MATCH(vp.tbl[[#This Row],[SDate]],weather.tbl[Date],0))</f>
        <v>-9.3500000000000014</v>
      </c>
      <c r="O1018" s="2">
        <f ca="1">INDEX(INDIRECT(_xlfn.CONCAT("weather.tbl[",O$1,"]")),MATCH(vp.tbl[[#This Row],[SDate]],weather.tbl[Date],0))</f>
        <v>-16.659523809523812</v>
      </c>
      <c r="P1018" s="2">
        <f ca="1">INDEX(INDIRECT(_xlfn.CONCAT("weather.tbl[",P$1,"]")),MATCH(vp.tbl[[#This Row],[SDate]],weather.tbl[Date],0))</f>
        <v>-8.4</v>
      </c>
      <c r="Q1018" s="2">
        <f ca="1">INDEX(INDIRECT(_xlfn.CONCAT("weather.tbl[",Q$1,"]")),MATCH(vp.tbl[[#This Row],[SDate]],weather.tbl[Date],0))</f>
        <v>-9</v>
      </c>
      <c r="R1018" s="2">
        <f ca="1">INDEX(INDIRECT(_xlfn.CONCAT("weather.tbl[",R$1,"]")),MATCH(vp.tbl[[#This Row],[SDate]],weather.tbl[Date],0))</f>
        <v>-11.3</v>
      </c>
      <c r="S1018" s="2">
        <f ca="1">INDEX(INDIRECT(_xlfn.CONCAT("weather.tbl[",S$1,"]")),MATCH(vp.tbl[[#This Row],[SDate]],weather.tbl[Date],0))</f>
        <v>-7.5</v>
      </c>
      <c r="T1018" s="2">
        <f ca="1">INDEX(INDIRECT(_xlfn.CONCAT("weather.tbl[",T$1,"]")),MATCH(vp.tbl[[#This Row],[SDate]],weather.tbl[Date],0))</f>
        <v>-9.6</v>
      </c>
      <c r="U1018" s="2">
        <f ca="1">INDEX(INDIRECT(_xlfn.CONCAT("weather.tbl[",U$1,"]")),MATCH(vp.tbl[[#This Row],[SDate]],weather.tbl[Date],0))</f>
        <v>-10.3</v>
      </c>
      <c r="V1018" s="2">
        <v>6292.7340000000004</v>
      </c>
      <c r="W1018" t="s">
        <v>48</v>
      </c>
      <c r="X1018">
        <f>IF(OR(vp.tbl[[#This Row],[Sulf]]="",vp.tbl[[#This Row],[Dens]]=""),1,0)</f>
        <v>0</v>
      </c>
      <c r="Y1018">
        <f>IF(vp.tbl[[#This Row],[CrudeType]]="C5+",1,0)</f>
        <v>0</v>
      </c>
      <c r="Z1018">
        <f>IF(AND(vp.tbl[[#This Row],[CrudeType]]="Crude",vp.tbl[[#This Row],[Dens]]&lt;=825,vp.tbl[[#This Row],[Sulf]]&gt;0.5,vp.tbl[[#This Row],[Unknown]]=0),1,0)</f>
        <v>0</v>
      </c>
      <c r="AA1018">
        <f>IF(AND(vp.tbl[[#This Row],[CrudeType]]="Crude",vp.tbl[[#This Row],[Dens]]&lt;=825,vp.tbl[[#This Row],[Sulf]]&lt;=0.5,vp.tbl[[#This Row],[Unknown]]=0),1,0)</f>
        <v>0</v>
      </c>
      <c r="AB1018">
        <f>IF(AND(vp.tbl[[#This Row],[CrudeType]]="Crude",vp.tbl[[#This Row],[Dens]]&gt;825,vp.tbl[[#This Row],[Dens]]&lt;=870,vp.tbl[[#This Row],[Sulf]]&gt;0.5,vp.tbl[[#This Row],[Unknown]]=0),1,0)</f>
        <v>0</v>
      </c>
      <c r="AC1018">
        <f>IF(AND(vp.tbl[[#This Row],[CrudeType]]="Crude",vp.tbl[[#This Row],[Dens]]&gt;825,vp.tbl[[#This Row],[Dens]]&lt;=900,vp.tbl[[#This Row],[Sulf]]&lt;=0.5,vp.tbl[[#This Row],[Unknown]]=0),1,0)</f>
        <v>0</v>
      </c>
      <c r="AD1018">
        <f>IF(AND(vp.tbl[[#This Row],[CrudeType]]="Crude",vp.tbl[[#This Row],[Dens]]&gt;870,vp.tbl[[#This Row],[Dens]]&lt;=900,vp.tbl[[#This Row],[Sulf]]&gt;0.5,vp.tbl[[#This Row],[Unknown]]=0),1,0)</f>
        <v>1</v>
      </c>
      <c r="AE1018">
        <f>IF(AND(vp.tbl[[#This Row],[CrudeType]]="Crude",vp.tbl[[#This Row],[Dens]]&gt;900,vp.tbl[[#This Row],[Sulf]]&lt;=0.5,vp.tbl[[#This Row],[Unknown]]=0),1,0)</f>
        <v>0</v>
      </c>
      <c r="AF1018">
        <f>IF(AND(vp.tbl[[#This Row],[CrudeType]]="Crude",vp.tbl[[#This Row],[Dens]]&gt;900,vp.tbl[[#This Row],[Sulf]]&lt;=0.5,vp.tbl[[#This Row],[Unknown]]=0),1,0)</f>
        <v>0</v>
      </c>
      <c r="AG1018" t="str">
        <f>INDEX(vp.tbl[[#Headers],[Unknown]:[Heavy_SW]],MATCH(1,vp.tbl[[#This Row],[Unknown]:[Heavy_SW]],0))</f>
        <v>Midale</v>
      </c>
      <c r="AH1018" t="e">
        <f>INDEX([1]!crudeBD.lkup[Number],MATCH(vp.tbl[[#This Row],[Crude_Breakdown]],[1]!crudeBD.lkup[Crude Breakdown],0))</f>
        <v>#REF!</v>
      </c>
      <c r="AI1018">
        <f>MONTH(vp.tbl[[#This Row],[SDate]])</f>
        <v>3</v>
      </c>
      <c r="AJ1018" s="5">
        <f>IFERROR(vp.tbl[[#This Row],[Sulf]]*vp.tbl[[#This Row],[Net Dens]],"")</f>
        <v>14321702.530674003</v>
      </c>
      <c r="AK1018" s="5">
        <f>IFERROR(vp.tbl[[#This Row],[Dens]]*vp.tbl[[#This Row],[VolumeM3]],"")</f>
        <v>5493556.7820000006</v>
      </c>
      <c r="AL1018" s="5">
        <f>IFERROR(vp.tbl[[#This Row],[VP]]*vp.tbl[[#This Row],[VolumeM3]],"")</f>
        <v>437974.28639999998</v>
      </c>
      <c r="AM1018" s="4">
        <f>IFERROR((vp.tbl[[#This Row],[VP]]-INDEX(crudeBD.lkup.complete[Mean_VP],MATCH(vp.tbl[[#This Row],[Crude_Breakdown]],crudeBD.lkup.complete[Crude Breakdown],0)))^2,"")</f>
        <v>1.8540739350721951</v>
      </c>
      <c r="AN1018" s="4">
        <f>IFERROR((vp.tbl[[#This Row],[Dens]]-INDEX(crudeBD.lkup.complete[Mean_Dens],MATCH(vp.tbl[[#This Row],[Crude_Breakdown]],crudeBD.lkup.complete[Crude Breakdown],0)))^2,"")</f>
        <v>20.72120285231475</v>
      </c>
      <c r="AO1018" s="4">
        <f>IFERROR((vp.tbl[[#This Row],[Sulf]]-INDEX(crudeBD.lkup.complete[Mean_Sulf],MATCH(vp.tbl[[#This Row],[Crude_Breakdown]],crudeBD.lkup.complete[Crude Breakdown],0)))^2,"")</f>
        <v>3.6733503090430282E-2</v>
      </c>
      <c r="AP1018">
        <f>IF(AND(vp.tbl[[#This Row],[SDate]]&gt;=DATE(YEAR(vp.tbl[[#This Row],[SDate]]),5,1),vp.tbl[[#This Row],[SDate]]&lt;=DATE(YEAR(vp.tbl[[#This Row],[SDate]]),9,15)),1,0)</f>
        <v>0</v>
      </c>
      <c r="AQ1018" s="15">
        <f>IF(vp.tbl[[#This Row],[SDate]]&lt;DATE(2016,12,1),0,1)</f>
        <v>1</v>
      </c>
    </row>
    <row r="1019" spans="1:43" x14ac:dyDescent="0.25">
      <c r="A1019">
        <v>1018</v>
      </c>
      <c r="B1019" t="s">
        <v>96</v>
      </c>
      <c r="C1019" t="s">
        <v>96</v>
      </c>
      <c r="D1019" t="s">
        <v>97</v>
      </c>
      <c r="F1019" s="1">
        <v>42808</v>
      </c>
      <c r="G1019" s="2">
        <v>80.16</v>
      </c>
      <c r="H1019" s="2"/>
      <c r="I1019" s="2">
        <v>0.53</v>
      </c>
      <c r="J1019" s="2">
        <v>27.3</v>
      </c>
      <c r="K1019" s="2">
        <v>-8</v>
      </c>
      <c r="L1019" s="2">
        <v>818.6</v>
      </c>
      <c r="M1019" s="2">
        <v>818.6</v>
      </c>
      <c r="N1019" s="2">
        <f ca="1">INDEX(INDIRECT(_xlfn.CONCAT("weather.tbl[",N$1,"]")),MATCH(vp.tbl[[#This Row],[SDate]],weather.tbl[Date],0))</f>
        <v>-9.3500000000000014</v>
      </c>
      <c r="O1019" s="2">
        <f ca="1">INDEX(INDIRECT(_xlfn.CONCAT("weather.tbl[",O$1,"]")),MATCH(vp.tbl[[#This Row],[SDate]],weather.tbl[Date],0))</f>
        <v>-16.659523809523812</v>
      </c>
      <c r="P1019" s="2">
        <f ca="1">INDEX(INDIRECT(_xlfn.CONCAT("weather.tbl[",P$1,"]")),MATCH(vp.tbl[[#This Row],[SDate]],weather.tbl[Date],0))</f>
        <v>-8.4</v>
      </c>
      <c r="Q1019" s="2">
        <f ca="1">INDEX(INDIRECT(_xlfn.CONCAT("weather.tbl[",Q$1,"]")),MATCH(vp.tbl[[#This Row],[SDate]],weather.tbl[Date],0))</f>
        <v>-9</v>
      </c>
      <c r="R1019" s="2">
        <f ca="1">INDEX(INDIRECT(_xlfn.CONCAT("weather.tbl[",R$1,"]")),MATCH(vp.tbl[[#This Row],[SDate]],weather.tbl[Date],0))</f>
        <v>-11.3</v>
      </c>
      <c r="S1019" s="2">
        <f ca="1">INDEX(INDIRECT(_xlfn.CONCAT("weather.tbl[",S$1,"]")),MATCH(vp.tbl[[#This Row],[SDate]],weather.tbl[Date],0))</f>
        <v>-7.5</v>
      </c>
      <c r="T1019" s="2">
        <f ca="1">INDEX(INDIRECT(_xlfn.CONCAT("weather.tbl[",T$1,"]")),MATCH(vp.tbl[[#This Row],[SDate]],weather.tbl[Date],0))</f>
        <v>-9.6</v>
      </c>
      <c r="U1019" s="2">
        <f ca="1">INDEX(INDIRECT(_xlfn.CONCAT("weather.tbl[",U$1,"]")),MATCH(vp.tbl[[#This Row],[SDate]],weather.tbl[Date],0))</f>
        <v>-10.3</v>
      </c>
      <c r="V1019" s="2">
        <v>6750.8019999999997</v>
      </c>
      <c r="W1019" t="s">
        <v>48</v>
      </c>
      <c r="X1019">
        <f>IF(OR(vp.tbl[[#This Row],[Sulf]]="",vp.tbl[[#This Row],[Dens]]=""),1,0)</f>
        <v>0</v>
      </c>
      <c r="Y1019">
        <f>IF(vp.tbl[[#This Row],[CrudeType]]="C5+",1,0)</f>
        <v>0</v>
      </c>
      <c r="Z1019">
        <f>IF(AND(vp.tbl[[#This Row],[CrudeType]]="Crude",vp.tbl[[#This Row],[Dens]]&lt;=825,vp.tbl[[#This Row],[Sulf]]&gt;0.5,vp.tbl[[#This Row],[Unknown]]=0),1,0)</f>
        <v>1</v>
      </c>
      <c r="AA1019">
        <f>IF(AND(vp.tbl[[#This Row],[CrudeType]]="Crude",vp.tbl[[#This Row],[Dens]]&lt;=825,vp.tbl[[#This Row],[Sulf]]&lt;=0.5,vp.tbl[[#This Row],[Unknown]]=0),1,0)</f>
        <v>0</v>
      </c>
      <c r="AB1019">
        <f>IF(AND(vp.tbl[[#This Row],[CrudeType]]="Crude",vp.tbl[[#This Row],[Dens]]&gt;825,vp.tbl[[#This Row],[Dens]]&lt;=870,vp.tbl[[#This Row],[Sulf]]&gt;0.5,vp.tbl[[#This Row],[Unknown]]=0),1,0)</f>
        <v>0</v>
      </c>
      <c r="AC1019">
        <f>IF(AND(vp.tbl[[#This Row],[CrudeType]]="Crude",vp.tbl[[#This Row],[Dens]]&gt;825,vp.tbl[[#This Row],[Dens]]&lt;=900,vp.tbl[[#This Row],[Sulf]]&lt;=0.5,vp.tbl[[#This Row],[Unknown]]=0),1,0)</f>
        <v>0</v>
      </c>
      <c r="AD1019">
        <f>IF(AND(vp.tbl[[#This Row],[CrudeType]]="Crude",vp.tbl[[#This Row],[Dens]]&gt;870,vp.tbl[[#This Row],[Dens]]&lt;=900,vp.tbl[[#This Row],[Sulf]]&gt;0.5,vp.tbl[[#This Row],[Unknown]]=0),1,0)</f>
        <v>0</v>
      </c>
      <c r="AE1019">
        <f>IF(AND(vp.tbl[[#This Row],[CrudeType]]="Crude",vp.tbl[[#This Row],[Dens]]&gt;900,vp.tbl[[#This Row],[Sulf]]&lt;=0.5,vp.tbl[[#This Row],[Unknown]]=0),1,0)</f>
        <v>0</v>
      </c>
      <c r="AF1019">
        <f>IF(AND(vp.tbl[[#This Row],[CrudeType]]="Crude",vp.tbl[[#This Row],[Dens]]&gt;900,vp.tbl[[#This Row],[Sulf]]&lt;=0.5,vp.tbl[[#This Row],[Unknown]]=0),1,0)</f>
        <v>0</v>
      </c>
      <c r="AG1019" t="str">
        <f>INDEX(vp.tbl[[#Headers],[Unknown]:[Heavy_SW]],MATCH(1,vp.tbl[[#This Row],[Unknown]:[Heavy_SW]],0))</f>
        <v>Light_LSB</v>
      </c>
      <c r="AH1019" t="e">
        <f>INDEX([1]!crudeBD.lkup[Number],MATCH(vp.tbl[[#This Row],[Crude_Breakdown]],[1]!crudeBD.lkup[Crude Breakdown],0))</f>
        <v>#REF!</v>
      </c>
      <c r="AI1019">
        <f>MONTH(vp.tbl[[#This Row],[SDate]])</f>
        <v>3</v>
      </c>
      <c r="AJ1019" s="5">
        <f>IFERROR(vp.tbl[[#This Row],[Sulf]]*vp.tbl[[#This Row],[Net Dens]],"")</f>
        <v>2928889.4541159999</v>
      </c>
      <c r="AK1019" s="5">
        <f>IFERROR(vp.tbl[[#This Row],[Dens]]*vp.tbl[[#This Row],[VolumeM3]],"")</f>
        <v>5526206.5171999997</v>
      </c>
      <c r="AL1019" s="5">
        <f>IFERROR(vp.tbl[[#This Row],[VP]]*vp.tbl[[#This Row],[VolumeM3]],"")</f>
        <v>541144.28831999993</v>
      </c>
      <c r="AM1019" s="4">
        <f>IFERROR((vp.tbl[[#This Row],[VP]]-INDEX(crudeBD.lkup.complete[Mean_VP],MATCH(vp.tbl[[#This Row],[Crude_Breakdown]],crudeBD.lkup.complete[Crude Breakdown],0)))^2,"")</f>
        <v>129.64522176639466</v>
      </c>
      <c r="AN1019" s="4">
        <f>IFERROR((vp.tbl[[#This Row],[Dens]]-INDEX(crudeBD.lkup.complete[Mean_Dens],MATCH(vp.tbl[[#This Row],[Crude_Breakdown]],crudeBD.lkup.complete[Crude Breakdown],0)))^2,"")</f>
        <v>6.9272729420383362E-3</v>
      </c>
      <c r="AO1019" s="4">
        <f>IFERROR((vp.tbl[[#This Row],[Sulf]]-INDEX(crudeBD.lkup.complete[Mean_Sulf],MATCH(vp.tbl[[#This Row],[Crude_Breakdown]],crudeBD.lkup.complete[Crude Breakdown],0)))^2,"")</f>
        <v>0.15442633918177728</v>
      </c>
      <c r="AP1019">
        <f>IF(AND(vp.tbl[[#This Row],[SDate]]&gt;=DATE(YEAR(vp.tbl[[#This Row],[SDate]]),5,1),vp.tbl[[#This Row],[SDate]]&lt;=DATE(YEAR(vp.tbl[[#This Row],[SDate]]),9,15)),1,0)</f>
        <v>0</v>
      </c>
      <c r="AQ1019" s="15">
        <f>IF(vp.tbl[[#This Row],[SDate]]&lt;DATE(2016,12,1),0,1)</f>
        <v>1</v>
      </c>
    </row>
    <row r="1020" spans="1:43" x14ac:dyDescent="0.25">
      <c r="A1020">
        <v>1019</v>
      </c>
      <c r="B1020" t="s">
        <v>51</v>
      </c>
      <c r="C1020" t="s">
        <v>51</v>
      </c>
      <c r="D1020" t="s">
        <v>66</v>
      </c>
      <c r="F1020" s="1">
        <v>42808</v>
      </c>
      <c r="G1020" s="2">
        <v>81.36</v>
      </c>
      <c r="H1020" s="2"/>
      <c r="I1020" s="2">
        <v>1.36</v>
      </c>
      <c r="J1020" s="2">
        <v>4.4000000000000004</v>
      </c>
      <c r="K1020" s="2">
        <v>-8</v>
      </c>
      <c r="L1020" s="2">
        <v>824.7</v>
      </c>
      <c r="M1020" s="2">
        <v>824.7</v>
      </c>
      <c r="N1020" s="2">
        <f ca="1">INDEX(INDIRECT(_xlfn.CONCAT("weather.tbl[",N$1,"]")),MATCH(vp.tbl[[#This Row],[SDate]],weather.tbl[Date],0))</f>
        <v>-9.3500000000000014</v>
      </c>
      <c r="O1020" s="2">
        <f ca="1">INDEX(INDIRECT(_xlfn.CONCAT("weather.tbl[",O$1,"]")),MATCH(vp.tbl[[#This Row],[SDate]],weather.tbl[Date],0))</f>
        <v>-16.659523809523812</v>
      </c>
      <c r="P1020" s="2">
        <f ca="1">INDEX(INDIRECT(_xlfn.CONCAT("weather.tbl[",P$1,"]")),MATCH(vp.tbl[[#This Row],[SDate]],weather.tbl[Date],0))</f>
        <v>-8.4</v>
      </c>
      <c r="Q1020" s="2">
        <f ca="1">INDEX(INDIRECT(_xlfn.CONCAT("weather.tbl[",Q$1,"]")),MATCH(vp.tbl[[#This Row],[SDate]],weather.tbl[Date],0))</f>
        <v>-9</v>
      </c>
      <c r="R1020" s="2">
        <f ca="1">INDEX(INDIRECT(_xlfn.CONCAT("weather.tbl[",R$1,"]")),MATCH(vp.tbl[[#This Row],[SDate]],weather.tbl[Date],0))</f>
        <v>-11.3</v>
      </c>
      <c r="S1020" s="2">
        <f ca="1">INDEX(INDIRECT(_xlfn.CONCAT("weather.tbl[",S$1,"]")),MATCH(vp.tbl[[#This Row],[SDate]],weather.tbl[Date],0))</f>
        <v>-7.5</v>
      </c>
      <c r="T1020" s="2">
        <f ca="1">INDEX(INDIRECT(_xlfn.CONCAT("weather.tbl[",T$1,"]")),MATCH(vp.tbl[[#This Row],[SDate]],weather.tbl[Date],0))</f>
        <v>-9.6</v>
      </c>
      <c r="U1020" s="2">
        <f ca="1">INDEX(INDIRECT(_xlfn.CONCAT("weather.tbl[",U$1,"]")),MATCH(vp.tbl[[#This Row],[SDate]],weather.tbl[Date],0))</f>
        <v>-10.3</v>
      </c>
      <c r="V1020" s="2">
        <v>3482.7910000000002</v>
      </c>
      <c r="W1020" t="s">
        <v>48</v>
      </c>
      <c r="X1020">
        <f>IF(OR(vp.tbl[[#This Row],[Sulf]]="",vp.tbl[[#This Row],[Dens]]=""),1,0)</f>
        <v>0</v>
      </c>
      <c r="Y1020">
        <f>IF(vp.tbl[[#This Row],[CrudeType]]="C5+",1,0)</f>
        <v>0</v>
      </c>
      <c r="Z1020">
        <f>IF(AND(vp.tbl[[#This Row],[CrudeType]]="Crude",vp.tbl[[#This Row],[Dens]]&lt;=825,vp.tbl[[#This Row],[Sulf]]&gt;0.5,vp.tbl[[#This Row],[Unknown]]=0),1,0)</f>
        <v>1</v>
      </c>
      <c r="AA1020">
        <f>IF(AND(vp.tbl[[#This Row],[CrudeType]]="Crude",vp.tbl[[#This Row],[Dens]]&lt;=825,vp.tbl[[#This Row],[Sulf]]&lt;=0.5,vp.tbl[[#This Row],[Unknown]]=0),1,0)</f>
        <v>0</v>
      </c>
      <c r="AB1020">
        <f>IF(AND(vp.tbl[[#This Row],[CrudeType]]="Crude",vp.tbl[[#This Row],[Dens]]&gt;825,vp.tbl[[#This Row],[Dens]]&lt;=870,vp.tbl[[#This Row],[Sulf]]&gt;0.5,vp.tbl[[#This Row],[Unknown]]=0),1,0)</f>
        <v>0</v>
      </c>
      <c r="AC1020">
        <f>IF(AND(vp.tbl[[#This Row],[CrudeType]]="Crude",vp.tbl[[#This Row],[Dens]]&gt;825,vp.tbl[[#This Row],[Dens]]&lt;=900,vp.tbl[[#This Row],[Sulf]]&lt;=0.5,vp.tbl[[#This Row],[Unknown]]=0),1,0)</f>
        <v>0</v>
      </c>
      <c r="AD1020">
        <f>IF(AND(vp.tbl[[#This Row],[CrudeType]]="Crude",vp.tbl[[#This Row],[Dens]]&gt;870,vp.tbl[[#This Row],[Dens]]&lt;=900,vp.tbl[[#This Row],[Sulf]]&gt;0.5,vp.tbl[[#This Row],[Unknown]]=0),1,0)</f>
        <v>0</v>
      </c>
      <c r="AE1020">
        <f>IF(AND(vp.tbl[[#This Row],[CrudeType]]="Crude",vp.tbl[[#This Row],[Dens]]&gt;900,vp.tbl[[#This Row],[Sulf]]&lt;=0.5,vp.tbl[[#This Row],[Unknown]]=0),1,0)</f>
        <v>0</v>
      </c>
      <c r="AF1020">
        <f>IF(AND(vp.tbl[[#This Row],[CrudeType]]="Crude",vp.tbl[[#This Row],[Dens]]&gt;900,vp.tbl[[#This Row],[Sulf]]&lt;=0.5,vp.tbl[[#This Row],[Unknown]]=0),1,0)</f>
        <v>0</v>
      </c>
      <c r="AG1020" t="str">
        <f>INDEX(vp.tbl[[#Headers],[Unknown]:[Heavy_SW]],MATCH(1,vp.tbl[[#This Row],[Unknown]:[Heavy_SW]],0))</f>
        <v>Light_LSB</v>
      </c>
      <c r="AH1020" t="e">
        <f>INDEX([1]!crudeBD.lkup[Number],MATCH(vp.tbl[[#This Row],[Crude_Breakdown]],[1]!crudeBD.lkup[Crude Breakdown],0))</f>
        <v>#REF!</v>
      </c>
      <c r="AI1020">
        <f>MONTH(vp.tbl[[#This Row],[SDate]])</f>
        <v>3</v>
      </c>
      <c r="AJ1020" s="5">
        <f>IFERROR(vp.tbl[[#This Row],[Sulf]]*vp.tbl[[#This Row],[Net Dens]],"")</f>
        <v>3906270.5232720007</v>
      </c>
      <c r="AK1020" s="5">
        <f>IFERROR(vp.tbl[[#This Row],[Dens]]*vp.tbl[[#This Row],[VolumeM3]],"")</f>
        <v>2872257.7377000004</v>
      </c>
      <c r="AL1020" s="5">
        <f>IFERROR(vp.tbl[[#This Row],[VP]]*vp.tbl[[#This Row],[VolumeM3]],"")</f>
        <v>283359.87576000002</v>
      </c>
      <c r="AM1020" s="4">
        <f>IFERROR((vp.tbl[[#This Row],[VP]]-INDEX(crudeBD.lkup.complete[Mean_VP],MATCH(vp.tbl[[#This Row],[Crude_Breakdown]],crudeBD.lkup.complete[Crude Breakdown],0)))^2,"")</f>
        <v>103.75837640556978</v>
      </c>
      <c r="AN1020" s="4">
        <f>IFERROR((vp.tbl[[#This Row],[Dens]]-INDEX(crudeBD.lkup.complete[Mean_Dens],MATCH(vp.tbl[[#This Row],[Crude_Breakdown]],crudeBD.lkup.complete[Crude Breakdown],0)))^2,"")</f>
        <v>38.232336207654335</v>
      </c>
      <c r="AO1020" s="4">
        <f>IFERROR((vp.tbl[[#This Row],[Sulf]]-INDEX(crudeBD.lkup.complete[Mean_Sulf],MATCH(vp.tbl[[#This Row],[Crude_Breakdown]],crudeBD.lkup.complete[Crude Breakdown],0)))^2,"")</f>
        <v>0.19099419966287745</v>
      </c>
      <c r="AP1020">
        <f>IF(AND(vp.tbl[[#This Row],[SDate]]&gt;=DATE(YEAR(vp.tbl[[#This Row],[SDate]]),5,1),vp.tbl[[#This Row],[SDate]]&lt;=DATE(YEAR(vp.tbl[[#This Row],[SDate]]),9,15)),1,0)</f>
        <v>0</v>
      </c>
      <c r="AQ1020" s="15">
        <f>IF(vp.tbl[[#This Row],[SDate]]&lt;DATE(2016,12,1),0,1)</f>
        <v>1</v>
      </c>
    </row>
    <row r="1021" spans="1:43" x14ac:dyDescent="0.25">
      <c r="A1021">
        <v>1020</v>
      </c>
      <c r="B1021" t="s">
        <v>51</v>
      </c>
      <c r="C1021" t="s">
        <v>51</v>
      </c>
      <c r="D1021" t="s">
        <v>71</v>
      </c>
      <c r="F1021" s="1">
        <v>42808</v>
      </c>
      <c r="G1021" s="2">
        <v>96.2</v>
      </c>
      <c r="H1021" s="2"/>
      <c r="I1021" s="2">
        <v>1.62</v>
      </c>
      <c r="J1021" s="2">
        <v>5.3</v>
      </c>
      <c r="K1021" s="2">
        <v>-8</v>
      </c>
      <c r="L1021" s="2">
        <v>827.7</v>
      </c>
      <c r="M1021" s="2">
        <v>827.7</v>
      </c>
      <c r="N1021" s="2">
        <f ca="1">INDEX(INDIRECT(_xlfn.CONCAT("weather.tbl[",N$1,"]")),MATCH(vp.tbl[[#This Row],[SDate]],weather.tbl[Date],0))</f>
        <v>-9.3500000000000014</v>
      </c>
      <c r="O1021" s="2">
        <f ca="1">INDEX(INDIRECT(_xlfn.CONCAT("weather.tbl[",O$1,"]")),MATCH(vp.tbl[[#This Row],[SDate]],weather.tbl[Date],0))</f>
        <v>-16.659523809523812</v>
      </c>
      <c r="P1021" s="2">
        <f ca="1">INDEX(INDIRECT(_xlfn.CONCAT("weather.tbl[",P$1,"]")),MATCH(vp.tbl[[#This Row],[SDate]],weather.tbl[Date],0))</f>
        <v>-8.4</v>
      </c>
      <c r="Q1021" s="2">
        <f ca="1">INDEX(INDIRECT(_xlfn.CONCAT("weather.tbl[",Q$1,"]")),MATCH(vp.tbl[[#This Row],[SDate]],weather.tbl[Date],0))</f>
        <v>-9</v>
      </c>
      <c r="R1021" s="2">
        <f ca="1">INDEX(INDIRECT(_xlfn.CONCAT("weather.tbl[",R$1,"]")),MATCH(vp.tbl[[#This Row],[SDate]],weather.tbl[Date],0))</f>
        <v>-11.3</v>
      </c>
      <c r="S1021" s="2">
        <f ca="1">INDEX(INDIRECT(_xlfn.CONCAT("weather.tbl[",S$1,"]")),MATCH(vp.tbl[[#This Row],[SDate]],weather.tbl[Date],0))</f>
        <v>-7.5</v>
      </c>
      <c r="T1021" s="2">
        <f ca="1">INDEX(INDIRECT(_xlfn.CONCAT("weather.tbl[",T$1,"]")),MATCH(vp.tbl[[#This Row],[SDate]],weather.tbl[Date],0))</f>
        <v>-9.6</v>
      </c>
      <c r="U1021" s="2">
        <f ca="1">INDEX(INDIRECT(_xlfn.CONCAT("weather.tbl[",U$1,"]")),MATCH(vp.tbl[[#This Row],[SDate]],weather.tbl[Date],0))</f>
        <v>-10.3</v>
      </c>
      <c r="V1021" s="2">
        <v>7995.5450000000001</v>
      </c>
      <c r="W1021" t="s">
        <v>48</v>
      </c>
      <c r="X1021">
        <f>IF(OR(vp.tbl[[#This Row],[Sulf]]="",vp.tbl[[#This Row],[Dens]]=""),1,0)</f>
        <v>0</v>
      </c>
      <c r="Y1021">
        <f>IF(vp.tbl[[#This Row],[CrudeType]]="C5+",1,0)</f>
        <v>0</v>
      </c>
      <c r="Z1021">
        <f>IF(AND(vp.tbl[[#This Row],[CrudeType]]="Crude",vp.tbl[[#This Row],[Dens]]&lt;=825,vp.tbl[[#This Row],[Sulf]]&gt;0.5,vp.tbl[[#This Row],[Unknown]]=0),1,0)</f>
        <v>0</v>
      </c>
      <c r="AA1021">
        <f>IF(AND(vp.tbl[[#This Row],[CrudeType]]="Crude",vp.tbl[[#This Row],[Dens]]&lt;=825,vp.tbl[[#This Row],[Sulf]]&lt;=0.5,vp.tbl[[#This Row],[Unknown]]=0),1,0)</f>
        <v>0</v>
      </c>
      <c r="AB1021">
        <f>IF(AND(vp.tbl[[#This Row],[CrudeType]]="Crude",vp.tbl[[#This Row],[Dens]]&gt;825,vp.tbl[[#This Row],[Dens]]&lt;=870,vp.tbl[[#This Row],[Sulf]]&gt;0.5,vp.tbl[[#This Row],[Unknown]]=0),1,0)</f>
        <v>1</v>
      </c>
      <c r="AC1021">
        <f>IF(AND(vp.tbl[[#This Row],[CrudeType]]="Crude",vp.tbl[[#This Row],[Dens]]&gt;825,vp.tbl[[#This Row],[Dens]]&lt;=900,vp.tbl[[#This Row],[Sulf]]&lt;=0.5,vp.tbl[[#This Row],[Unknown]]=0),1,0)</f>
        <v>0</v>
      </c>
      <c r="AD1021">
        <f>IF(AND(vp.tbl[[#This Row],[CrudeType]]="Crude",vp.tbl[[#This Row],[Dens]]&gt;870,vp.tbl[[#This Row],[Dens]]&lt;=900,vp.tbl[[#This Row],[Sulf]]&gt;0.5,vp.tbl[[#This Row],[Unknown]]=0),1,0)</f>
        <v>0</v>
      </c>
      <c r="AE1021">
        <f>IF(AND(vp.tbl[[#This Row],[CrudeType]]="Crude",vp.tbl[[#This Row],[Dens]]&gt;900,vp.tbl[[#This Row],[Sulf]]&lt;=0.5,vp.tbl[[#This Row],[Unknown]]=0),1,0)</f>
        <v>0</v>
      </c>
      <c r="AF1021">
        <f>IF(AND(vp.tbl[[#This Row],[CrudeType]]="Crude",vp.tbl[[#This Row],[Dens]]&gt;900,vp.tbl[[#This Row],[Sulf]]&lt;=0.5,vp.tbl[[#This Row],[Unknown]]=0),1,0)</f>
        <v>0</v>
      </c>
      <c r="AG1021" t="str">
        <f>INDEX(vp.tbl[[#Headers],[Unknown]:[Heavy_SW]],MATCH(1,vp.tbl[[#This Row],[Unknown]:[Heavy_SW]],0))</f>
        <v>Medium_LSB</v>
      </c>
      <c r="AH1021" t="e">
        <f>INDEX([1]!crudeBD.lkup[Number],MATCH(vp.tbl[[#This Row],[Crude_Breakdown]],[1]!crudeBD.lkup[Crude Breakdown],0))</f>
        <v>#REF!</v>
      </c>
      <c r="AI1021">
        <f>MONTH(vp.tbl[[#This Row],[SDate]])</f>
        <v>3</v>
      </c>
      <c r="AJ1021" s="5">
        <f>IFERROR(vp.tbl[[#This Row],[Sulf]]*vp.tbl[[#This Row],[Net Dens]],"")</f>
        <v>10721018.406330001</v>
      </c>
      <c r="AK1021" s="5">
        <f>IFERROR(vp.tbl[[#This Row],[Dens]]*vp.tbl[[#This Row],[VolumeM3]],"")</f>
        <v>6617912.5965</v>
      </c>
      <c r="AL1021" s="5">
        <f>IFERROR(vp.tbl[[#This Row],[VP]]*vp.tbl[[#This Row],[VolumeM3]],"")</f>
        <v>769171.429</v>
      </c>
      <c r="AM1021" s="4">
        <f>IFERROR((vp.tbl[[#This Row],[VP]]-INDEX(crudeBD.lkup.complete[Mean_VP],MATCH(vp.tbl[[#This Row],[Crude_Breakdown]],crudeBD.lkup.complete[Crude Breakdown],0)))^2,"")</f>
        <v>256.84565925268515</v>
      </c>
      <c r="AN1021" s="4">
        <f>IFERROR((vp.tbl[[#This Row],[Dens]]-INDEX(crudeBD.lkup.complete[Mean_Dens],MATCH(vp.tbl[[#This Row],[Crude_Breakdown]],crudeBD.lkup.complete[Crude Breakdown],0)))^2,"")</f>
        <v>309.4722288921285</v>
      </c>
      <c r="AO1021" s="4">
        <f>IFERROR((vp.tbl[[#This Row],[Sulf]]-INDEX(crudeBD.lkup.complete[Mean_Sulf],MATCH(vp.tbl[[#This Row],[Crude_Breakdown]],crudeBD.lkup.complete[Crude Breakdown],0)))^2,"")</f>
        <v>2.7248150868879693E-2</v>
      </c>
      <c r="AP1021">
        <f>IF(AND(vp.tbl[[#This Row],[SDate]]&gt;=DATE(YEAR(vp.tbl[[#This Row],[SDate]]),5,1),vp.tbl[[#This Row],[SDate]]&lt;=DATE(YEAR(vp.tbl[[#This Row],[SDate]]),9,15)),1,0)</f>
        <v>0</v>
      </c>
      <c r="AQ1021" s="15">
        <f>IF(vp.tbl[[#This Row],[SDate]]&lt;DATE(2016,12,1),0,1)</f>
        <v>1</v>
      </c>
    </row>
    <row r="1022" spans="1:43" x14ac:dyDescent="0.25">
      <c r="A1022">
        <v>1021</v>
      </c>
      <c r="B1022" t="s">
        <v>108</v>
      </c>
      <c r="C1022" t="s">
        <v>108</v>
      </c>
      <c r="D1022" t="s">
        <v>109</v>
      </c>
      <c r="F1022" s="1">
        <v>42808</v>
      </c>
      <c r="G1022" s="2">
        <v>94.36</v>
      </c>
      <c r="H1022" s="2"/>
      <c r="I1022" s="2">
        <v>0.79</v>
      </c>
      <c r="J1022" s="2">
        <v>20.2</v>
      </c>
      <c r="K1022" s="2">
        <v>-8</v>
      </c>
      <c r="L1022" s="2">
        <v>834.3</v>
      </c>
      <c r="M1022" s="2">
        <v>834.3</v>
      </c>
      <c r="N1022" s="2">
        <f ca="1">INDEX(INDIRECT(_xlfn.CONCAT("weather.tbl[",N$1,"]")),MATCH(vp.tbl[[#This Row],[SDate]],weather.tbl[Date],0))</f>
        <v>-9.3500000000000014</v>
      </c>
      <c r="O1022" s="2">
        <f ca="1">INDEX(INDIRECT(_xlfn.CONCAT("weather.tbl[",O$1,"]")),MATCH(vp.tbl[[#This Row],[SDate]],weather.tbl[Date],0))</f>
        <v>-16.659523809523812</v>
      </c>
      <c r="P1022" s="2">
        <f ca="1">INDEX(INDIRECT(_xlfn.CONCAT("weather.tbl[",P$1,"]")),MATCH(vp.tbl[[#This Row],[SDate]],weather.tbl[Date],0))</f>
        <v>-8.4</v>
      </c>
      <c r="Q1022" s="2">
        <f ca="1">INDEX(INDIRECT(_xlfn.CONCAT("weather.tbl[",Q$1,"]")),MATCH(vp.tbl[[#This Row],[SDate]],weather.tbl[Date],0))</f>
        <v>-9</v>
      </c>
      <c r="R1022" s="2">
        <f ca="1">INDEX(INDIRECT(_xlfn.CONCAT("weather.tbl[",R$1,"]")),MATCH(vp.tbl[[#This Row],[SDate]],weather.tbl[Date],0))</f>
        <v>-11.3</v>
      </c>
      <c r="S1022" s="2">
        <f ca="1">INDEX(INDIRECT(_xlfn.CONCAT("weather.tbl[",S$1,"]")),MATCH(vp.tbl[[#This Row],[SDate]],weather.tbl[Date],0))</f>
        <v>-7.5</v>
      </c>
      <c r="T1022" s="2">
        <f ca="1">INDEX(INDIRECT(_xlfn.CONCAT("weather.tbl[",T$1,"]")),MATCH(vp.tbl[[#This Row],[SDate]],weather.tbl[Date],0))</f>
        <v>-9.6</v>
      </c>
      <c r="U1022" s="2">
        <f ca="1">INDEX(INDIRECT(_xlfn.CONCAT("weather.tbl[",U$1,"]")),MATCH(vp.tbl[[#This Row],[SDate]],weather.tbl[Date],0))</f>
        <v>-10.3</v>
      </c>
      <c r="V1022" s="2">
        <v>9449.0609999999997</v>
      </c>
      <c r="W1022" t="s">
        <v>48</v>
      </c>
      <c r="X1022">
        <f>IF(OR(vp.tbl[[#This Row],[Sulf]]="",vp.tbl[[#This Row],[Dens]]=""),1,0)</f>
        <v>0</v>
      </c>
      <c r="Y1022">
        <f>IF(vp.tbl[[#This Row],[CrudeType]]="C5+",1,0)</f>
        <v>0</v>
      </c>
      <c r="Z1022">
        <f>IF(AND(vp.tbl[[#This Row],[CrudeType]]="Crude",vp.tbl[[#This Row],[Dens]]&lt;=825,vp.tbl[[#This Row],[Sulf]]&gt;0.5,vp.tbl[[#This Row],[Unknown]]=0),1,0)</f>
        <v>0</v>
      </c>
      <c r="AA1022">
        <f>IF(AND(vp.tbl[[#This Row],[CrudeType]]="Crude",vp.tbl[[#This Row],[Dens]]&lt;=825,vp.tbl[[#This Row],[Sulf]]&lt;=0.5,vp.tbl[[#This Row],[Unknown]]=0),1,0)</f>
        <v>0</v>
      </c>
      <c r="AB1022">
        <f>IF(AND(vp.tbl[[#This Row],[CrudeType]]="Crude",vp.tbl[[#This Row],[Dens]]&gt;825,vp.tbl[[#This Row],[Dens]]&lt;=870,vp.tbl[[#This Row],[Sulf]]&gt;0.5,vp.tbl[[#This Row],[Unknown]]=0),1,0)</f>
        <v>1</v>
      </c>
      <c r="AC1022">
        <f>IF(AND(vp.tbl[[#This Row],[CrudeType]]="Crude",vp.tbl[[#This Row],[Dens]]&gt;825,vp.tbl[[#This Row],[Dens]]&lt;=900,vp.tbl[[#This Row],[Sulf]]&lt;=0.5,vp.tbl[[#This Row],[Unknown]]=0),1,0)</f>
        <v>0</v>
      </c>
      <c r="AD1022">
        <f>IF(AND(vp.tbl[[#This Row],[CrudeType]]="Crude",vp.tbl[[#This Row],[Dens]]&gt;870,vp.tbl[[#This Row],[Dens]]&lt;=900,vp.tbl[[#This Row],[Sulf]]&gt;0.5,vp.tbl[[#This Row],[Unknown]]=0),1,0)</f>
        <v>0</v>
      </c>
      <c r="AE1022">
        <f>IF(AND(vp.tbl[[#This Row],[CrudeType]]="Crude",vp.tbl[[#This Row],[Dens]]&gt;900,vp.tbl[[#This Row],[Sulf]]&lt;=0.5,vp.tbl[[#This Row],[Unknown]]=0),1,0)</f>
        <v>0</v>
      </c>
      <c r="AF1022">
        <f>IF(AND(vp.tbl[[#This Row],[CrudeType]]="Crude",vp.tbl[[#This Row],[Dens]]&gt;900,vp.tbl[[#This Row],[Sulf]]&lt;=0.5,vp.tbl[[#This Row],[Unknown]]=0),1,0)</f>
        <v>0</v>
      </c>
      <c r="AG1022" t="str">
        <f>INDEX(vp.tbl[[#Headers],[Unknown]:[Heavy_SW]],MATCH(1,vp.tbl[[#This Row],[Unknown]:[Heavy_SW]],0))</f>
        <v>Medium_LSB</v>
      </c>
      <c r="AH1022" t="e">
        <f>INDEX([1]!crudeBD.lkup[Number],MATCH(vp.tbl[[#This Row],[Crude_Breakdown]],[1]!crudeBD.lkup[Crude Breakdown],0))</f>
        <v>#REF!</v>
      </c>
      <c r="AI1022">
        <f>MONTH(vp.tbl[[#This Row],[SDate]])</f>
        <v>3</v>
      </c>
      <c r="AJ1022" s="5">
        <f>IFERROR(vp.tbl[[#This Row],[Sulf]]*vp.tbl[[#This Row],[Net Dens]],"")</f>
        <v>6227847.757917</v>
      </c>
      <c r="AK1022" s="5">
        <f>IFERROR(vp.tbl[[#This Row],[Dens]]*vp.tbl[[#This Row],[VolumeM3]],"")</f>
        <v>7883351.5922999997</v>
      </c>
      <c r="AL1022" s="5">
        <f>IFERROR(vp.tbl[[#This Row],[VP]]*vp.tbl[[#This Row],[VolumeM3]],"")</f>
        <v>891613.39595999999</v>
      </c>
      <c r="AM1022" s="4">
        <f>IFERROR((vp.tbl[[#This Row],[VP]]-INDEX(crudeBD.lkup.complete[Mean_VP],MATCH(vp.tbl[[#This Row],[Crude_Breakdown]],crudeBD.lkup.complete[Crude Breakdown],0)))^2,"")</f>
        <v>201.25408861977351</v>
      </c>
      <c r="AN1022" s="4">
        <f>IFERROR((vp.tbl[[#This Row],[Dens]]-INDEX(crudeBD.lkup.complete[Mean_Dens],MATCH(vp.tbl[[#This Row],[Crude_Breakdown]],crudeBD.lkup.complete[Crude Breakdown],0)))^2,"")</f>
        <v>120.82016813265039</v>
      </c>
      <c r="AO1022" s="4">
        <f>IFERROR((vp.tbl[[#This Row],[Sulf]]-INDEX(crudeBD.lkup.complete[Mean_Sulf],MATCH(vp.tbl[[#This Row],[Crude_Breakdown]],crudeBD.lkup.complete[Crude Breakdown],0)))^2,"")</f>
        <v>0.44213171972964155</v>
      </c>
      <c r="AP1022">
        <f>IF(AND(vp.tbl[[#This Row],[SDate]]&gt;=DATE(YEAR(vp.tbl[[#This Row],[SDate]]),5,1),vp.tbl[[#This Row],[SDate]]&lt;=DATE(YEAR(vp.tbl[[#This Row],[SDate]]),9,15)),1,0)</f>
        <v>0</v>
      </c>
      <c r="AQ1022" s="15">
        <f>IF(vp.tbl[[#This Row],[SDate]]&lt;DATE(2016,12,1),0,1)</f>
        <v>1</v>
      </c>
    </row>
    <row r="1023" spans="1:43" x14ac:dyDescent="0.25">
      <c r="A1023">
        <v>1022</v>
      </c>
      <c r="B1023" t="s">
        <v>111</v>
      </c>
      <c r="C1023" t="s">
        <v>111</v>
      </c>
      <c r="D1023" t="s">
        <v>112</v>
      </c>
      <c r="F1023" s="1">
        <v>42808</v>
      </c>
      <c r="G1023" s="2">
        <v>65.7</v>
      </c>
      <c r="H1023" s="2"/>
      <c r="I1023" s="2">
        <v>1.86</v>
      </c>
      <c r="J1023" s="2">
        <v>30.1</v>
      </c>
      <c r="K1023" s="2">
        <v>-8</v>
      </c>
      <c r="L1023" s="2">
        <v>857.6</v>
      </c>
      <c r="M1023" s="2">
        <v>857.6</v>
      </c>
      <c r="N1023" s="2">
        <f ca="1">INDEX(INDIRECT(_xlfn.CONCAT("weather.tbl[",N$1,"]")),MATCH(vp.tbl[[#This Row],[SDate]],weather.tbl[Date],0))</f>
        <v>-9.3500000000000014</v>
      </c>
      <c r="O1023" s="2">
        <f ca="1">INDEX(INDIRECT(_xlfn.CONCAT("weather.tbl[",O$1,"]")),MATCH(vp.tbl[[#This Row],[SDate]],weather.tbl[Date],0))</f>
        <v>-16.659523809523812</v>
      </c>
      <c r="P1023" s="2">
        <f ca="1">INDEX(INDIRECT(_xlfn.CONCAT("weather.tbl[",P$1,"]")),MATCH(vp.tbl[[#This Row],[SDate]],weather.tbl[Date],0))</f>
        <v>-8.4</v>
      </c>
      <c r="Q1023" s="2">
        <f ca="1">INDEX(INDIRECT(_xlfn.CONCAT("weather.tbl[",Q$1,"]")),MATCH(vp.tbl[[#This Row],[SDate]],weather.tbl[Date],0))</f>
        <v>-9</v>
      </c>
      <c r="R1023" s="2">
        <f ca="1">INDEX(INDIRECT(_xlfn.CONCAT("weather.tbl[",R$1,"]")),MATCH(vp.tbl[[#This Row],[SDate]],weather.tbl[Date],0))</f>
        <v>-11.3</v>
      </c>
      <c r="S1023" s="2">
        <f ca="1">INDEX(INDIRECT(_xlfn.CONCAT("weather.tbl[",S$1,"]")),MATCH(vp.tbl[[#This Row],[SDate]],weather.tbl[Date],0))</f>
        <v>-7.5</v>
      </c>
      <c r="T1023" s="2">
        <f ca="1">INDEX(INDIRECT(_xlfn.CONCAT("weather.tbl[",T$1,"]")),MATCH(vp.tbl[[#This Row],[SDate]],weather.tbl[Date],0))</f>
        <v>-9.6</v>
      </c>
      <c r="U1023" s="2">
        <f ca="1">INDEX(INDIRECT(_xlfn.CONCAT("weather.tbl[",U$1,"]")),MATCH(vp.tbl[[#This Row],[SDate]],weather.tbl[Date],0))</f>
        <v>-10.3</v>
      </c>
      <c r="V1023" s="2">
        <v>7909.2460000000001</v>
      </c>
      <c r="W1023" t="s">
        <v>48</v>
      </c>
      <c r="X1023">
        <f>IF(OR(vp.tbl[[#This Row],[Sulf]]="",vp.tbl[[#This Row],[Dens]]=""),1,0)</f>
        <v>0</v>
      </c>
      <c r="Y1023">
        <f>IF(vp.tbl[[#This Row],[CrudeType]]="C5+",1,0)</f>
        <v>0</v>
      </c>
      <c r="Z1023">
        <f>IF(AND(vp.tbl[[#This Row],[CrudeType]]="Crude",vp.tbl[[#This Row],[Dens]]&lt;=825,vp.tbl[[#This Row],[Sulf]]&gt;0.5,vp.tbl[[#This Row],[Unknown]]=0),1,0)</f>
        <v>0</v>
      </c>
      <c r="AA1023">
        <f>IF(AND(vp.tbl[[#This Row],[CrudeType]]="Crude",vp.tbl[[#This Row],[Dens]]&lt;=825,vp.tbl[[#This Row],[Sulf]]&lt;=0.5,vp.tbl[[#This Row],[Unknown]]=0),1,0)</f>
        <v>0</v>
      </c>
      <c r="AB1023">
        <f>IF(AND(vp.tbl[[#This Row],[CrudeType]]="Crude",vp.tbl[[#This Row],[Dens]]&gt;825,vp.tbl[[#This Row],[Dens]]&lt;=870,vp.tbl[[#This Row],[Sulf]]&gt;0.5,vp.tbl[[#This Row],[Unknown]]=0),1,0)</f>
        <v>1</v>
      </c>
      <c r="AC1023">
        <f>IF(AND(vp.tbl[[#This Row],[CrudeType]]="Crude",vp.tbl[[#This Row],[Dens]]&gt;825,vp.tbl[[#This Row],[Dens]]&lt;=900,vp.tbl[[#This Row],[Sulf]]&lt;=0.5,vp.tbl[[#This Row],[Unknown]]=0),1,0)</f>
        <v>0</v>
      </c>
      <c r="AD1023">
        <f>IF(AND(vp.tbl[[#This Row],[CrudeType]]="Crude",vp.tbl[[#This Row],[Dens]]&gt;870,vp.tbl[[#This Row],[Dens]]&lt;=900,vp.tbl[[#This Row],[Sulf]]&gt;0.5,vp.tbl[[#This Row],[Unknown]]=0),1,0)</f>
        <v>0</v>
      </c>
      <c r="AE1023">
        <f>IF(AND(vp.tbl[[#This Row],[CrudeType]]="Crude",vp.tbl[[#This Row],[Dens]]&gt;900,vp.tbl[[#This Row],[Sulf]]&lt;=0.5,vp.tbl[[#This Row],[Unknown]]=0),1,0)</f>
        <v>0</v>
      </c>
      <c r="AF1023">
        <f>IF(AND(vp.tbl[[#This Row],[CrudeType]]="Crude",vp.tbl[[#This Row],[Dens]]&gt;900,vp.tbl[[#This Row],[Sulf]]&lt;=0.5,vp.tbl[[#This Row],[Unknown]]=0),1,0)</f>
        <v>0</v>
      </c>
      <c r="AG1023" t="str">
        <f>INDEX(vp.tbl[[#Headers],[Unknown]:[Heavy_SW]],MATCH(1,vp.tbl[[#This Row],[Unknown]:[Heavy_SW]],0))</f>
        <v>Medium_LSB</v>
      </c>
      <c r="AH1023" t="e">
        <f>INDEX([1]!crudeBD.lkup[Number],MATCH(vp.tbl[[#This Row],[Crude_Breakdown]],[1]!crudeBD.lkup[Crude Breakdown],0))</f>
        <v>#REF!</v>
      </c>
      <c r="AI1023">
        <f>MONTH(vp.tbl[[#This Row],[SDate]])</f>
        <v>3</v>
      </c>
      <c r="AJ1023" s="5">
        <f>IFERROR(vp.tbl[[#This Row],[Sulf]]*vp.tbl[[#This Row],[Net Dens]],"")</f>
        <v>12616323.027456</v>
      </c>
      <c r="AK1023" s="5">
        <f>IFERROR(vp.tbl[[#This Row],[Dens]]*vp.tbl[[#This Row],[VolumeM3]],"")</f>
        <v>6782969.3695999999</v>
      </c>
      <c r="AL1023" s="5">
        <f>IFERROR(vp.tbl[[#This Row],[VP]]*vp.tbl[[#This Row],[VolumeM3]],"")</f>
        <v>519637.46220000001</v>
      </c>
      <c r="AM1023" s="4">
        <f>IFERROR((vp.tbl[[#This Row],[VP]]-INDEX(crudeBD.lkup.complete[Mean_VP],MATCH(vp.tbl[[#This Row],[Crude_Breakdown]],crudeBD.lkup.complete[Crude Breakdown],0)))^2,"")</f>
        <v>209.48495039192323</v>
      </c>
      <c r="AN1023" s="4">
        <f>IFERROR((vp.tbl[[#This Row],[Dens]]-INDEX(crudeBD.lkup.complete[Mean_Dens],MATCH(vp.tbl[[#This Row],[Crude_Breakdown]],crudeBD.lkup.complete[Crude Breakdown],0)))^2,"")</f>
        <v>151.49122636054395</v>
      </c>
      <c r="AO1023" s="4">
        <f>IFERROR((vp.tbl[[#This Row],[Sulf]]-INDEX(crudeBD.lkup.complete[Mean_Sulf],MATCH(vp.tbl[[#This Row],[Crude_Breakdown]],crudeBD.lkup.complete[Crude Breakdown],0)))^2,"")</f>
        <v>0.16408181770432206</v>
      </c>
      <c r="AP1023">
        <f>IF(AND(vp.tbl[[#This Row],[SDate]]&gt;=DATE(YEAR(vp.tbl[[#This Row],[SDate]]),5,1),vp.tbl[[#This Row],[SDate]]&lt;=DATE(YEAR(vp.tbl[[#This Row],[SDate]]),9,15)),1,0)</f>
        <v>0</v>
      </c>
      <c r="AQ1023" s="15">
        <f>IF(vp.tbl[[#This Row],[SDate]]&lt;DATE(2016,12,1),0,1)</f>
        <v>1</v>
      </c>
    </row>
    <row r="1024" spans="1:43" x14ac:dyDescent="0.25">
      <c r="A1024">
        <v>1023</v>
      </c>
      <c r="B1024" t="s">
        <v>51</v>
      </c>
      <c r="C1024" t="s">
        <v>51</v>
      </c>
      <c r="D1024" t="s">
        <v>52</v>
      </c>
      <c r="F1024" s="1">
        <v>42808</v>
      </c>
      <c r="G1024" s="2">
        <v>74.3</v>
      </c>
      <c r="H1024" s="2"/>
      <c r="I1024" s="2">
        <v>2.2999999999999998</v>
      </c>
      <c r="J1024" s="2">
        <v>30.1</v>
      </c>
      <c r="K1024" s="2">
        <v>-8</v>
      </c>
      <c r="L1024" s="2">
        <v>868.2</v>
      </c>
      <c r="M1024" s="2">
        <v>868.2</v>
      </c>
      <c r="N1024" s="2">
        <f ca="1">INDEX(INDIRECT(_xlfn.CONCAT("weather.tbl[",N$1,"]")),MATCH(vp.tbl[[#This Row],[SDate]],weather.tbl[Date],0))</f>
        <v>-9.3500000000000014</v>
      </c>
      <c r="O1024" s="2">
        <f ca="1">INDEX(INDIRECT(_xlfn.CONCAT("weather.tbl[",O$1,"]")),MATCH(vp.tbl[[#This Row],[SDate]],weather.tbl[Date],0))</f>
        <v>-16.659523809523812</v>
      </c>
      <c r="P1024" s="2">
        <f ca="1">INDEX(INDIRECT(_xlfn.CONCAT("weather.tbl[",P$1,"]")),MATCH(vp.tbl[[#This Row],[SDate]],weather.tbl[Date],0))</f>
        <v>-8.4</v>
      </c>
      <c r="Q1024" s="2">
        <f ca="1">INDEX(INDIRECT(_xlfn.CONCAT("weather.tbl[",Q$1,"]")),MATCH(vp.tbl[[#This Row],[SDate]],weather.tbl[Date],0))</f>
        <v>-9</v>
      </c>
      <c r="R1024" s="2">
        <f ca="1">INDEX(INDIRECT(_xlfn.CONCAT("weather.tbl[",R$1,"]")),MATCH(vp.tbl[[#This Row],[SDate]],weather.tbl[Date],0))</f>
        <v>-11.3</v>
      </c>
      <c r="S1024" s="2">
        <f ca="1">INDEX(INDIRECT(_xlfn.CONCAT("weather.tbl[",S$1,"]")),MATCH(vp.tbl[[#This Row],[SDate]],weather.tbl[Date],0))</f>
        <v>-7.5</v>
      </c>
      <c r="T1024" s="2">
        <f ca="1">INDEX(INDIRECT(_xlfn.CONCAT("weather.tbl[",T$1,"]")),MATCH(vp.tbl[[#This Row],[SDate]],weather.tbl[Date],0))</f>
        <v>-9.6</v>
      </c>
      <c r="U1024" s="2">
        <f ca="1">INDEX(INDIRECT(_xlfn.CONCAT("weather.tbl[",U$1,"]")),MATCH(vp.tbl[[#This Row],[SDate]],weather.tbl[Date],0))</f>
        <v>-10.3</v>
      </c>
      <c r="V1024" s="2">
        <v>7335.8190000000004</v>
      </c>
      <c r="W1024" t="s">
        <v>48</v>
      </c>
      <c r="X1024">
        <f>IF(OR(vp.tbl[[#This Row],[Sulf]]="",vp.tbl[[#This Row],[Dens]]=""),1,0)</f>
        <v>0</v>
      </c>
      <c r="Y1024">
        <f>IF(vp.tbl[[#This Row],[CrudeType]]="C5+",1,0)</f>
        <v>0</v>
      </c>
      <c r="Z1024">
        <f>IF(AND(vp.tbl[[#This Row],[CrudeType]]="Crude",vp.tbl[[#This Row],[Dens]]&lt;=825,vp.tbl[[#This Row],[Sulf]]&gt;0.5,vp.tbl[[#This Row],[Unknown]]=0),1,0)</f>
        <v>0</v>
      </c>
      <c r="AA1024">
        <f>IF(AND(vp.tbl[[#This Row],[CrudeType]]="Crude",vp.tbl[[#This Row],[Dens]]&lt;=825,vp.tbl[[#This Row],[Sulf]]&lt;=0.5,vp.tbl[[#This Row],[Unknown]]=0),1,0)</f>
        <v>0</v>
      </c>
      <c r="AB1024">
        <f>IF(AND(vp.tbl[[#This Row],[CrudeType]]="Crude",vp.tbl[[#This Row],[Dens]]&gt;825,vp.tbl[[#This Row],[Dens]]&lt;=870,vp.tbl[[#This Row],[Sulf]]&gt;0.5,vp.tbl[[#This Row],[Unknown]]=0),1,0)</f>
        <v>1</v>
      </c>
      <c r="AC1024">
        <f>IF(AND(vp.tbl[[#This Row],[CrudeType]]="Crude",vp.tbl[[#This Row],[Dens]]&gt;825,vp.tbl[[#This Row],[Dens]]&lt;=900,vp.tbl[[#This Row],[Sulf]]&lt;=0.5,vp.tbl[[#This Row],[Unknown]]=0),1,0)</f>
        <v>0</v>
      </c>
      <c r="AD1024">
        <f>IF(AND(vp.tbl[[#This Row],[CrudeType]]="Crude",vp.tbl[[#This Row],[Dens]]&gt;870,vp.tbl[[#This Row],[Dens]]&lt;=900,vp.tbl[[#This Row],[Sulf]]&gt;0.5,vp.tbl[[#This Row],[Unknown]]=0),1,0)</f>
        <v>0</v>
      </c>
      <c r="AE1024">
        <f>IF(AND(vp.tbl[[#This Row],[CrudeType]]="Crude",vp.tbl[[#This Row],[Dens]]&gt;900,vp.tbl[[#This Row],[Sulf]]&lt;=0.5,vp.tbl[[#This Row],[Unknown]]=0),1,0)</f>
        <v>0</v>
      </c>
      <c r="AF1024">
        <f>IF(AND(vp.tbl[[#This Row],[CrudeType]]="Crude",vp.tbl[[#This Row],[Dens]]&gt;900,vp.tbl[[#This Row],[Sulf]]&lt;=0.5,vp.tbl[[#This Row],[Unknown]]=0),1,0)</f>
        <v>0</v>
      </c>
      <c r="AG1024" t="str">
        <f>INDEX(vp.tbl[[#Headers],[Unknown]:[Heavy_SW]],MATCH(1,vp.tbl[[#This Row],[Unknown]:[Heavy_SW]],0))</f>
        <v>Medium_LSB</v>
      </c>
      <c r="AH1024" t="e">
        <f>INDEX([1]!crudeBD.lkup[Number],MATCH(vp.tbl[[#This Row],[Crude_Breakdown]],[1]!crudeBD.lkup[Crude Breakdown],0))</f>
        <v>#REF!</v>
      </c>
      <c r="AI1024">
        <f>MONTH(vp.tbl[[#This Row],[SDate]])</f>
        <v>3</v>
      </c>
      <c r="AJ1024" s="5">
        <f>IFERROR(vp.tbl[[#This Row],[Sulf]]*vp.tbl[[#This Row],[Net Dens]],"")</f>
        <v>14648603.528340001</v>
      </c>
      <c r="AK1024" s="5">
        <f>IFERROR(vp.tbl[[#This Row],[Dens]]*vp.tbl[[#This Row],[VolumeM3]],"")</f>
        <v>6368958.0558000011</v>
      </c>
      <c r="AL1024" s="5">
        <f>IFERROR(vp.tbl[[#This Row],[VP]]*vp.tbl[[#This Row],[VolumeM3]],"")</f>
        <v>545051.3517</v>
      </c>
      <c r="AM1024" s="4">
        <f>IFERROR((vp.tbl[[#This Row],[VP]]-INDEX(crudeBD.lkup.complete[Mean_VP],MATCH(vp.tbl[[#This Row],[Crude_Breakdown]],crudeBD.lkup.complete[Crude Breakdown],0)))^2,"")</f>
        <v>34.499117480531567</v>
      </c>
      <c r="AN1024" s="4">
        <f>IFERROR((vp.tbl[[#This Row],[Dens]]-INDEX(crudeBD.lkup.complete[Mean_Dens],MATCH(vp.tbl[[#This Row],[Crude_Breakdown]],crudeBD.lkup.complete[Crude Breakdown],0)))^2,"")</f>
        <v>524.78458332259163</v>
      </c>
      <c r="AO1024" s="4">
        <f>IFERROR((vp.tbl[[#This Row],[Sulf]]-INDEX(crudeBD.lkup.complete[Mean_Sulf],MATCH(vp.tbl[[#This Row],[Crude_Breakdown]],crudeBD.lkup.complete[Crude Breakdown],0)))^2,"")</f>
        <v>0.71414354023596593</v>
      </c>
      <c r="AP1024">
        <f>IF(AND(vp.tbl[[#This Row],[SDate]]&gt;=DATE(YEAR(vp.tbl[[#This Row],[SDate]]),5,1),vp.tbl[[#This Row],[SDate]]&lt;=DATE(YEAR(vp.tbl[[#This Row],[SDate]]),9,15)),1,0)</f>
        <v>0</v>
      </c>
      <c r="AQ1024" s="15">
        <f>IF(vp.tbl[[#This Row],[SDate]]&lt;DATE(2016,12,1),0,1)</f>
        <v>1</v>
      </c>
    </row>
    <row r="1025" spans="1:43" x14ac:dyDescent="0.25">
      <c r="A1025">
        <v>1024</v>
      </c>
      <c r="B1025" t="s">
        <v>46</v>
      </c>
      <c r="C1025" t="s">
        <v>46</v>
      </c>
      <c r="D1025" t="s">
        <v>47</v>
      </c>
      <c r="F1025" s="1">
        <v>42808</v>
      </c>
      <c r="G1025" s="2">
        <v>54</v>
      </c>
      <c r="H1025" s="2"/>
      <c r="I1025" s="2">
        <v>2.38</v>
      </c>
      <c r="J1025" s="2">
        <v>29</v>
      </c>
      <c r="K1025" s="2">
        <v>-8</v>
      </c>
      <c r="L1025" s="2">
        <v>871.2</v>
      </c>
      <c r="M1025" s="2">
        <v>871.2</v>
      </c>
      <c r="N1025" s="2">
        <f ca="1">INDEX(INDIRECT(_xlfn.CONCAT("weather.tbl[",N$1,"]")),MATCH(vp.tbl[[#This Row],[SDate]],weather.tbl[Date],0))</f>
        <v>-9.3500000000000014</v>
      </c>
      <c r="O1025" s="2">
        <f ca="1">INDEX(INDIRECT(_xlfn.CONCAT("weather.tbl[",O$1,"]")),MATCH(vp.tbl[[#This Row],[SDate]],weather.tbl[Date],0))</f>
        <v>-16.659523809523812</v>
      </c>
      <c r="P1025" s="2">
        <f ca="1">INDEX(INDIRECT(_xlfn.CONCAT("weather.tbl[",P$1,"]")),MATCH(vp.tbl[[#This Row],[SDate]],weather.tbl[Date],0))</f>
        <v>-8.4</v>
      </c>
      <c r="Q1025" s="2">
        <f ca="1">INDEX(INDIRECT(_xlfn.CONCAT("weather.tbl[",Q$1,"]")),MATCH(vp.tbl[[#This Row],[SDate]],weather.tbl[Date],0))</f>
        <v>-9</v>
      </c>
      <c r="R1025" s="2">
        <f ca="1">INDEX(INDIRECT(_xlfn.CONCAT("weather.tbl[",R$1,"]")),MATCH(vp.tbl[[#This Row],[SDate]],weather.tbl[Date],0))</f>
        <v>-11.3</v>
      </c>
      <c r="S1025" s="2">
        <f ca="1">INDEX(INDIRECT(_xlfn.CONCAT("weather.tbl[",S$1,"]")),MATCH(vp.tbl[[#This Row],[SDate]],weather.tbl[Date],0))</f>
        <v>-7.5</v>
      </c>
      <c r="T1025" s="2">
        <f ca="1">INDEX(INDIRECT(_xlfn.CONCAT("weather.tbl[",T$1,"]")),MATCH(vp.tbl[[#This Row],[SDate]],weather.tbl[Date],0))</f>
        <v>-9.6</v>
      </c>
      <c r="U1025" s="2">
        <f ca="1">INDEX(INDIRECT(_xlfn.CONCAT("weather.tbl[",U$1,"]")),MATCH(vp.tbl[[#This Row],[SDate]],weather.tbl[Date],0))</f>
        <v>-10.3</v>
      </c>
      <c r="V1025" s="2">
        <v>118908.394</v>
      </c>
      <c r="W1025" t="s">
        <v>48</v>
      </c>
      <c r="X1025">
        <f>IF(OR(vp.tbl[[#This Row],[Sulf]]="",vp.tbl[[#This Row],[Dens]]=""),1,0)</f>
        <v>0</v>
      </c>
      <c r="Y1025">
        <f>IF(vp.tbl[[#This Row],[CrudeType]]="C5+",1,0)</f>
        <v>0</v>
      </c>
      <c r="Z1025">
        <f>IF(AND(vp.tbl[[#This Row],[CrudeType]]="Crude",vp.tbl[[#This Row],[Dens]]&lt;=825,vp.tbl[[#This Row],[Sulf]]&gt;0.5,vp.tbl[[#This Row],[Unknown]]=0),1,0)</f>
        <v>0</v>
      </c>
      <c r="AA1025">
        <f>IF(AND(vp.tbl[[#This Row],[CrudeType]]="Crude",vp.tbl[[#This Row],[Dens]]&lt;=825,vp.tbl[[#This Row],[Sulf]]&lt;=0.5,vp.tbl[[#This Row],[Unknown]]=0),1,0)</f>
        <v>0</v>
      </c>
      <c r="AB1025">
        <f>IF(AND(vp.tbl[[#This Row],[CrudeType]]="Crude",vp.tbl[[#This Row],[Dens]]&gt;825,vp.tbl[[#This Row],[Dens]]&lt;=870,vp.tbl[[#This Row],[Sulf]]&gt;0.5,vp.tbl[[#This Row],[Unknown]]=0),1,0)</f>
        <v>0</v>
      </c>
      <c r="AC1025">
        <f>IF(AND(vp.tbl[[#This Row],[CrudeType]]="Crude",vp.tbl[[#This Row],[Dens]]&gt;825,vp.tbl[[#This Row],[Dens]]&lt;=900,vp.tbl[[#This Row],[Sulf]]&lt;=0.5,vp.tbl[[#This Row],[Unknown]]=0),1,0)</f>
        <v>0</v>
      </c>
      <c r="AD1025">
        <f>IF(AND(vp.tbl[[#This Row],[CrudeType]]="Crude",vp.tbl[[#This Row],[Dens]]&gt;870,vp.tbl[[#This Row],[Dens]]&lt;=900,vp.tbl[[#This Row],[Sulf]]&gt;0.5,vp.tbl[[#This Row],[Unknown]]=0),1,0)</f>
        <v>1</v>
      </c>
      <c r="AE1025">
        <f>IF(AND(vp.tbl[[#This Row],[CrudeType]]="Crude",vp.tbl[[#This Row],[Dens]]&gt;900,vp.tbl[[#This Row],[Sulf]]&lt;=0.5,vp.tbl[[#This Row],[Unknown]]=0),1,0)</f>
        <v>0</v>
      </c>
      <c r="AF1025">
        <f>IF(AND(vp.tbl[[#This Row],[CrudeType]]="Crude",vp.tbl[[#This Row],[Dens]]&gt;900,vp.tbl[[#This Row],[Sulf]]&lt;=0.5,vp.tbl[[#This Row],[Unknown]]=0),1,0)</f>
        <v>0</v>
      </c>
      <c r="AG1025" t="str">
        <f>INDEX(vp.tbl[[#Headers],[Unknown]:[Heavy_SW]],MATCH(1,vp.tbl[[#This Row],[Unknown]:[Heavy_SW]],0))</f>
        <v>Midale</v>
      </c>
      <c r="AH1025" t="e">
        <f>INDEX([1]!crudeBD.lkup[Number],MATCH(vp.tbl[[#This Row],[Crude_Breakdown]],[1]!crudeBD.lkup[Crude Breakdown],0))</f>
        <v>#REF!</v>
      </c>
      <c r="AI1025">
        <f>MONTH(vp.tbl[[#This Row],[SDate]])</f>
        <v>3</v>
      </c>
      <c r="AJ1025" s="5">
        <f>IFERROR(vp.tbl[[#This Row],[Sulf]]*vp.tbl[[#This Row],[Net Dens]],"")</f>
        <v>246551322.98966402</v>
      </c>
      <c r="AK1025" s="5">
        <f>IFERROR(vp.tbl[[#This Row],[Dens]]*vp.tbl[[#This Row],[VolumeM3]],"")</f>
        <v>103592992.85280001</v>
      </c>
      <c r="AL1025" s="5">
        <f>IFERROR(vp.tbl[[#This Row],[VP]]*vp.tbl[[#This Row],[VolumeM3]],"")</f>
        <v>6421053.2759999996</v>
      </c>
      <c r="AM1025" s="4">
        <f>IFERROR((vp.tbl[[#This Row],[VP]]-INDEX(crudeBD.lkup.complete[Mean_VP],MATCH(vp.tbl[[#This Row],[Crude_Breakdown]],crudeBD.lkup.complete[Crude Breakdown],0)))^2,"")</f>
        <v>202.73078626383975</v>
      </c>
      <c r="AN1025" s="4">
        <f>IFERROR((vp.tbl[[#This Row],[Dens]]-INDEX(crudeBD.lkup.complete[Mean_Dens],MATCH(vp.tbl[[#This Row],[Crude_Breakdown]],crudeBD.lkup.complete[Crude Breakdown],0)))^2,"")</f>
        <v>40.348600112587057</v>
      </c>
      <c r="AO1025" s="4">
        <f>IFERROR((vp.tbl[[#This Row],[Sulf]]-INDEX(crudeBD.lkup.complete[Mean_Sulf],MATCH(vp.tbl[[#This Row],[Crude_Breakdown]],crudeBD.lkup.complete[Crude Breakdown],0)))^2,"")</f>
        <v>1.2489252822104656E-3</v>
      </c>
      <c r="AP1025">
        <f>IF(AND(vp.tbl[[#This Row],[SDate]]&gt;=DATE(YEAR(vp.tbl[[#This Row],[SDate]]),5,1),vp.tbl[[#This Row],[SDate]]&lt;=DATE(YEAR(vp.tbl[[#This Row],[SDate]]),9,15)),1,0)</f>
        <v>0</v>
      </c>
      <c r="AQ1025" s="15">
        <f>IF(vp.tbl[[#This Row],[SDate]]&lt;DATE(2016,12,1),0,1)</f>
        <v>1</v>
      </c>
    </row>
    <row r="1026" spans="1:43" x14ac:dyDescent="0.25">
      <c r="A1026">
        <v>1025</v>
      </c>
      <c r="B1026" t="s">
        <v>53</v>
      </c>
      <c r="C1026" t="s">
        <v>53</v>
      </c>
      <c r="D1026" t="s">
        <v>54</v>
      </c>
      <c r="E1026" t="s">
        <v>73</v>
      </c>
      <c r="F1026" s="1">
        <v>42809</v>
      </c>
      <c r="G1026" s="2">
        <v>83.61</v>
      </c>
      <c r="H1026" s="2"/>
      <c r="I1026" s="2">
        <v>1.32</v>
      </c>
      <c r="J1026" s="2">
        <v>2.4</v>
      </c>
      <c r="K1026" s="2">
        <v>-1</v>
      </c>
      <c r="L1026" s="2">
        <v>828.04</v>
      </c>
      <c r="M1026" s="2">
        <v>828.04</v>
      </c>
      <c r="N1026" s="2">
        <f ca="1">INDEX(INDIRECT(_xlfn.CONCAT("weather.tbl[",N$1,"]")),MATCH(vp.tbl[[#This Row],[SDate]],weather.tbl[Date],0))</f>
        <v>-3.3166666666666664</v>
      </c>
      <c r="O1026" s="2">
        <f ca="1">INDEX(INDIRECT(_xlfn.CONCAT("weather.tbl[",O$1,"]")),MATCH(vp.tbl[[#This Row],[SDate]],weather.tbl[Date],0))</f>
        <v>-15.119047619047617</v>
      </c>
      <c r="P1026" s="2">
        <f ca="1">INDEX(INDIRECT(_xlfn.CONCAT("weather.tbl[",P$1,"]")),MATCH(vp.tbl[[#This Row],[SDate]],weather.tbl[Date],0))</f>
        <v>-3.5</v>
      </c>
      <c r="Q1026" s="2">
        <f ca="1">INDEX(INDIRECT(_xlfn.CONCAT("weather.tbl[",Q$1,"]")),MATCH(vp.tbl[[#This Row],[SDate]],weather.tbl[Date],0))</f>
        <v>-2.6</v>
      </c>
      <c r="R1026" s="2">
        <f ca="1">INDEX(INDIRECT(_xlfn.CONCAT("weather.tbl[",R$1,"]")),MATCH(vp.tbl[[#This Row],[SDate]],weather.tbl[Date],0))</f>
        <v>-5.3</v>
      </c>
      <c r="S1026" s="2">
        <f ca="1">INDEX(INDIRECT(_xlfn.CONCAT("weather.tbl[",S$1,"]")),MATCH(vp.tbl[[#This Row],[SDate]],weather.tbl[Date],0))</f>
        <v>-1.7</v>
      </c>
      <c r="T1026" s="2">
        <f ca="1">INDEX(INDIRECT(_xlfn.CONCAT("weather.tbl[",T$1,"]")),MATCH(vp.tbl[[#This Row],[SDate]],weather.tbl[Date],0))</f>
        <v>-4.3</v>
      </c>
      <c r="U1026" s="2">
        <f ca="1">INDEX(INDIRECT(_xlfn.CONCAT("weather.tbl[",U$1,"]")),MATCH(vp.tbl[[#This Row],[SDate]],weather.tbl[Date],0))</f>
        <v>-2.5</v>
      </c>
      <c r="V1026" s="2">
        <v>9106.7160000000003</v>
      </c>
      <c r="W1026" t="s">
        <v>48</v>
      </c>
      <c r="X1026">
        <f>IF(OR(vp.tbl[[#This Row],[Sulf]]="",vp.tbl[[#This Row],[Dens]]=""),1,0)</f>
        <v>0</v>
      </c>
      <c r="Y1026">
        <f>IF(vp.tbl[[#This Row],[CrudeType]]="C5+",1,0)</f>
        <v>0</v>
      </c>
      <c r="Z1026">
        <f>IF(AND(vp.tbl[[#This Row],[CrudeType]]="Crude",vp.tbl[[#This Row],[Dens]]&lt;=825,vp.tbl[[#This Row],[Sulf]]&gt;0.5,vp.tbl[[#This Row],[Unknown]]=0),1,0)</f>
        <v>0</v>
      </c>
      <c r="AA1026">
        <f>IF(AND(vp.tbl[[#This Row],[CrudeType]]="Crude",vp.tbl[[#This Row],[Dens]]&lt;=825,vp.tbl[[#This Row],[Sulf]]&lt;=0.5,vp.tbl[[#This Row],[Unknown]]=0),1,0)</f>
        <v>0</v>
      </c>
      <c r="AB1026">
        <f>IF(AND(vp.tbl[[#This Row],[CrudeType]]="Crude",vp.tbl[[#This Row],[Dens]]&gt;825,vp.tbl[[#This Row],[Dens]]&lt;=870,vp.tbl[[#This Row],[Sulf]]&gt;0.5,vp.tbl[[#This Row],[Unknown]]=0),1,0)</f>
        <v>1</v>
      </c>
      <c r="AC1026">
        <f>IF(AND(vp.tbl[[#This Row],[CrudeType]]="Crude",vp.tbl[[#This Row],[Dens]]&gt;825,vp.tbl[[#This Row],[Dens]]&lt;=900,vp.tbl[[#This Row],[Sulf]]&lt;=0.5,vp.tbl[[#This Row],[Unknown]]=0),1,0)</f>
        <v>0</v>
      </c>
      <c r="AD1026">
        <f>IF(AND(vp.tbl[[#This Row],[CrudeType]]="Crude",vp.tbl[[#This Row],[Dens]]&gt;870,vp.tbl[[#This Row],[Dens]]&lt;=900,vp.tbl[[#This Row],[Sulf]]&gt;0.5,vp.tbl[[#This Row],[Unknown]]=0),1,0)</f>
        <v>0</v>
      </c>
      <c r="AE1026">
        <f>IF(AND(vp.tbl[[#This Row],[CrudeType]]="Crude",vp.tbl[[#This Row],[Dens]]&gt;900,vp.tbl[[#This Row],[Sulf]]&lt;=0.5,vp.tbl[[#This Row],[Unknown]]=0),1,0)</f>
        <v>0</v>
      </c>
      <c r="AF1026">
        <f>IF(AND(vp.tbl[[#This Row],[CrudeType]]="Crude",vp.tbl[[#This Row],[Dens]]&gt;900,vp.tbl[[#This Row],[Sulf]]&lt;=0.5,vp.tbl[[#This Row],[Unknown]]=0),1,0)</f>
        <v>0</v>
      </c>
      <c r="AG1026" t="str">
        <f>INDEX(vp.tbl[[#Headers],[Unknown]:[Heavy_SW]],MATCH(1,vp.tbl[[#This Row],[Unknown]:[Heavy_SW]],0))</f>
        <v>Medium_LSB</v>
      </c>
      <c r="AH1026" t="e">
        <f>INDEX([1]!crudeBD.lkup[Number],MATCH(vp.tbl[[#This Row],[Crude_Breakdown]],[1]!crudeBD.lkup[Crude Breakdown],0))</f>
        <v>#REF!</v>
      </c>
      <c r="AI1026">
        <f>MONTH(vp.tbl[[#This Row],[SDate]])</f>
        <v>3</v>
      </c>
      <c r="AJ1026" s="5">
        <f>IFERROR(vp.tbl[[#This Row],[Sulf]]*vp.tbl[[#This Row],[Net Dens]],"")</f>
        <v>9953757.1539648008</v>
      </c>
      <c r="AK1026" s="5">
        <f>IFERROR(vp.tbl[[#This Row],[Dens]]*vp.tbl[[#This Row],[VolumeM3]],"")</f>
        <v>7540725.1166399997</v>
      </c>
      <c r="AL1026" s="5">
        <f>IFERROR(vp.tbl[[#This Row],[VP]]*vp.tbl[[#This Row],[VolumeM3]],"")</f>
        <v>761412.52476000006</v>
      </c>
      <c r="AM1026" s="4">
        <f>IFERROR((vp.tbl[[#This Row],[VP]]-INDEX(crudeBD.lkup.complete[Mean_VP],MATCH(vp.tbl[[#This Row],[Crude_Breakdown]],crudeBD.lkup.complete[Crude Breakdown],0)))^2,"")</f>
        <v>11.808879759013228</v>
      </c>
      <c r="AN1026" s="4">
        <f>IFERROR((vp.tbl[[#This Row],[Dens]]-INDEX(crudeBD.lkup.complete[Mean_Dens],MATCH(vp.tbl[[#This Row],[Crude_Breakdown]],crudeBD.lkup.complete[Crude Breakdown],0)))^2,"")</f>
        <v>297.6253893984611</v>
      </c>
      <c r="AO1026" s="4">
        <f>IFERROR((vp.tbl[[#This Row],[Sulf]]-INDEX(crudeBD.lkup.complete[Mean_Sulf],MATCH(vp.tbl[[#This Row],[Crude_Breakdown]],crudeBD.lkup.complete[Crude Breakdown],0)))^2,"")</f>
        <v>1.8206067324576733E-2</v>
      </c>
      <c r="AP1026">
        <f>IF(AND(vp.tbl[[#This Row],[SDate]]&gt;=DATE(YEAR(vp.tbl[[#This Row],[SDate]]),5,1),vp.tbl[[#This Row],[SDate]]&lt;=DATE(YEAR(vp.tbl[[#This Row],[SDate]]),9,15)),1,0)</f>
        <v>0</v>
      </c>
      <c r="AQ1026" s="15">
        <f>IF(vp.tbl[[#This Row],[SDate]]&lt;DATE(2016,12,1),0,1)</f>
        <v>1</v>
      </c>
    </row>
    <row r="1027" spans="1:43" x14ac:dyDescent="0.25">
      <c r="A1027">
        <v>1026</v>
      </c>
      <c r="B1027" t="s">
        <v>49</v>
      </c>
      <c r="C1027" t="s">
        <v>49</v>
      </c>
      <c r="D1027" t="s">
        <v>67</v>
      </c>
      <c r="F1027" s="1">
        <v>42809</v>
      </c>
      <c r="G1027" s="2">
        <v>99.33</v>
      </c>
      <c r="H1027" s="2">
        <v>0.44600000000000001</v>
      </c>
      <c r="I1027" s="2">
        <v>0.44600000000000001</v>
      </c>
      <c r="J1027" s="2">
        <v>1.8</v>
      </c>
      <c r="K1027" s="2">
        <v>-1</v>
      </c>
      <c r="L1027" s="2">
        <v>818.05</v>
      </c>
      <c r="M1027" s="2">
        <v>818.05</v>
      </c>
      <c r="N1027" s="2">
        <f ca="1">INDEX(INDIRECT(_xlfn.CONCAT("weather.tbl[",N$1,"]")),MATCH(vp.tbl[[#This Row],[SDate]],weather.tbl[Date],0))</f>
        <v>-3.3166666666666664</v>
      </c>
      <c r="O1027" s="2">
        <f ca="1">INDEX(INDIRECT(_xlfn.CONCAT("weather.tbl[",O$1,"]")),MATCH(vp.tbl[[#This Row],[SDate]],weather.tbl[Date],0))</f>
        <v>-15.119047619047617</v>
      </c>
      <c r="P1027" s="2">
        <f ca="1">INDEX(INDIRECT(_xlfn.CONCAT("weather.tbl[",P$1,"]")),MATCH(vp.tbl[[#This Row],[SDate]],weather.tbl[Date],0))</f>
        <v>-3.5</v>
      </c>
      <c r="Q1027" s="2">
        <f ca="1">INDEX(INDIRECT(_xlfn.CONCAT("weather.tbl[",Q$1,"]")),MATCH(vp.tbl[[#This Row],[SDate]],weather.tbl[Date],0))</f>
        <v>-2.6</v>
      </c>
      <c r="R1027" s="2">
        <f ca="1">INDEX(INDIRECT(_xlfn.CONCAT("weather.tbl[",R$1,"]")),MATCH(vp.tbl[[#This Row],[SDate]],weather.tbl[Date],0))</f>
        <v>-5.3</v>
      </c>
      <c r="S1027" s="2">
        <f ca="1">INDEX(INDIRECT(_xlfn.CONCAT("weather.tbl[",S$1,"]")),MATCH(vp.tbl[[#This Row],[SDate]],weather.tbl[Date],0))</f>
        <v>-1.7</v>
      </c>
      <c r="T1027" s="2">
        <f ca="1">INDEX(INDIRECT(_xlfn.CONCAT("weather.tbl[",T$1,"]")),MATCH(vp.tbl[[#This Row],[SDate]],weather.tbl[Date],0))</f>
        <v>-4.3</v>
      </c>
      <c r="U1027" s="2">
        <f ca="1">INDEX(INDIRECT(_xlfn.CONCAT("weather.tbl[",U$1,"]")),MATCH(vp.tbl[[#This Row],[SDate]],weather.tbl[Date],0))</f>
        <v>-2.5</v>
      </c>
      <c r="V1027" s="2">
        <v>132627.41099999999</v>
      </c>
      <c r="W1027" t="s">
        <v>48</v>
      </c>
      <c r="X1027">
        <f>IF(OR(vp.tbl[[#This Row],[Sulf]]="",vp.tbl[[#This Row],[Dens]]=""),1,0)</f>
        <v>0</v>
      </c>
      <c r="Y1027">
        <f>IF(vp.tbl[[#This Row],[CrudeType]]="C5+",1,0)</f>
        <v>0</v>
      </c>
      <c r="Z1027">
        <f>IF(AND(vp.tbl[[#This Row],[CrudeType]]="Crude",vp.tbl[[#This Row],[Dens]]&lt;=825,vp.tbl[[#This Row],[Sulf]]&gt;0.5,vp.tbl[[#This Row],[Unknown]]=0),1,0)</f>
        <v>0</v>
      </c>
      <c r="AA1027">
        <f>IF(AND(vp.tbl[[#This Row],[CrudeType]]="Crude",vp.tbl[[#This Row],[Dens]]&lt;=825,vp.tbl[[#This Row],[Sulf]]&lt;=0.5,vp.tbl[[#This Row],[Unknown]]=0),1,0)</f>
        <v>1</v>
      </c>
      <c r="AB1027">
        <f>IF(AND(vp.tbl[[#This Row],[CrudeType]]="Crude",vp.tbl[[#This Row],[Dens]]&gt;825,vp.tbl[[#This Row],[Dens]]&lt;=870,vp.tbl[[#This Row],[Sulf]]&gt;0.5,vp.tbl[[#This Row],[Unknown]]=0),1,0)</f>
        <v>0</v>
      </c>
      <c r="AC1027">
        <f>IF(AND(vp.tbl[[#This Row],[CrudeType]]="Crude",vp.tbl[[#This Row],[Dens]]&gt;825,vp.tbl[[#This Row],[Dens]]&lt;=900,vp.tbl[[#This Row],[Sulf]]&lt;=0.5,vp.tbl[[#This Row],[Unknown]]=0),1,0)</f>
        <v>0</v>
      </c>
      <c r="AD1027">
        <f>IF(AND(vp.tbl[[#This Row],[CrudeType]]="Crude",vp.tbl[[#This Row],[Dens]]&gt;870,vp.tbl[[#This Row],[Dens]]&lt;=900,vp.tbl[[#This Row],[Sulf]]&gt;0.5,vp.tbl[[#This Row],[Unknown]]=0),1,0)</f>
        <v>0</v>
      </c>
      <c r="AE1027">
        <f>IF(AND(vp.tbl[[#This Row],[CrudeType]]="Crude",vp.tbl[[#This Row],[Dens]]&gt;900,vp.tbl[[#This Row],[Sulf]]&lt;=0.5,vp.tbl[[#This Row],[Unknown]]=0),1,0)</f>
        <v>0</v>
      </c>
      <c r="AF1027">
        <f>IF(AND(vp.tbl[[#This Row],[CrudeType]]="Crude",vp.tbl[[#This Row],[Dens]]&gt;900,vp.tbl[[#This Row],[Sulf]]&lt;=0.5,vp.tbl[[#This Row],[Unknown]]=0),1,0)</f>
        <v>0</v>
      </c>
      <c r="AG1027" t="str">
        <f>INDEX(vp.tbl[[#Headers],[Unknown]:[Heavy_SW]],MATCH(1,vp.tbl[[#This Row],[Unknown]:[Heavy_SW]],0))</f>
        <v>Light_SW</v>
      </c>
      <c r="AH1027" t="e">
        <f>INDEX([1]!crudeBD.lkup[Number],MATCH(vp.tbl[[#This Row],[Crude_Breakdown]],[1]!crudeBD.lkup[Crude Breakdown],0))</f>
        <v>#REF!</v>
      </c>
      <c r="AI1027">
        <f>MONTH(vp.tbl[[#This Row],[SDate]])</f>
        <v>3</v>
      </c>
      <c r="AJ1027" s="5">
        <f>IFERROR(vp.tbl[[#This Row],[Sulf]]*vp.tbl[[#This Row],[Net Dens]],"")</f>
        <v>48389150.691573299</v>
      </c>
      <c r="AK1027" s="5">
        <f>IFERROR(vp.tbl[[#This Row],[Dens]]*vp.tbl[[#This Row],[VolumeM3]],"")</f>
        <v>108495853.56854999</v>
      </c>
      <c r="AL1027" s="5">
        <f>IFERROR(vp.tbl[[#This Row],[VP]]*vp.tbl[[#This Row],[VolumeM3]],"")</f>
        <v>13173880.73463</v>
      </c>
      <c r="AM1027" s="4">
        <f>IFERROR((vp.tbl[[#This Row],[VP]]-INDEX(crudeBD.lkup.complete[Mean_VP],MATCH(vp.tbl[[#This Row],[Crude_Breakdown]],crudeBD.lkup.complete[Crude Breakdown],0)))^2,"")</f>
        <v>45.964147833529985</v>
      </c>
      <c r="AN1027" s="4">
        <f>IFERROR((vp.tbl[[#This Row],[Dens]]-INDEX(crudeBD.lkup.complete[Mean_Dens],MATCH(vp.tbl[[#This Row],[Crude_Breakdown]],crudeBD.lkup.complete[Crude Breakdown],0)))^2,"")</f>
        <v>94.838416182062147</v>
      </c>
      <c r="AO1027" s="4">
        <f>IFERROR((vp.tbl[[#This Row],[Sulf]]-INDEX(crudeBD.lkup.complete[Mean_Sulf],MATCH(vp.tbl[[#This Row],[Crude_Breakdown]],crudeBD.lkup.complete[Crude Breakdown],0)))^2,"")</f>
        <v>4.3998497497359512E-2</v>
      </c>
      <c r="AP1027">
        <f>IF(AND(vp.tbl[[#This Row],[SDate]]&gt;=DATE(YEAR(vp.tbl[[#This Row],[SDate]]),5,1),vp.tbl[[#This Row],[SDate]]&lt;=DATE(YEAR(vp.tbl[[#This Row],[SDate]]),9,15)),1,0)</f>
        <v>0</v>
      </c>
      <c r="AQ1027" s="15">
        <f>IF(vp.tbl[[#This Row],[SDate]]&lt;DATE(2016,12,1),0,1)</f>
        <v>1</v>
      </c>
    </row>
    <row r="1028" spans="1:43" x14ac:dyDescent="0.25">
      <c r="A1028">
        <v>1027</v>
      </c>
      <c r="B1028" t="s">
        <v>49</v>
      </c>
      <c r="C1028" t="s">
        <v>49</v>
      </c>
      <c r="D1028" t="s">
        <v>92</v>
      </c>
      <c r="F1028" s="1">
        <v>42809</v>
      </c>
      <c r="G1028" s="2">
        <v>90.35</v>
      </c>
      <c r="H1028" s="2">
        <v>0.73</v>
      </c>
      <c r="I1028" s="2">
        <v>0.73</v>
      </c>
      <c r="J1028" s="2">
        <v>25.7</v>
      </c>
      <c r="K1028" s="2">
        <v>-1</v>
      </c>
      <c r="L1028" s="2">
        <v>827</v>
      </c>
      <c r="M1028" s="2">
        <v>827</v>
      </c>
      <c r="N1028" s="2">
        <f ca="1">INDEX(INDIRECT(_xlfn.CONCAT("weather.tbl[",N$1,"]")),MATCH(vp.tbl[[#This Row],[SDate]],weather.tbl[Date],0))</f>
        <v>-3.3166666666666664</v>
      </c>
      <c r="O1028" s="2">
        <f ca="1">INDEX(INDIRECT(_xlfn.CONCAT("weather.tbl[",O$1,"]")),MATCH(vp.tbl[[#This Row],[SDate]],weather.tbl[Date],0))</f>
        <v>-15.119047619047617</v>
      </c>
      <c r="P1028" s="2">
        <f ca="1">INDEX(INDIRECT(_xlfn.CONCAT("weather.tbl[",P$1,"]")),MATCH(vp.tbl[[#This Row],[SDate]],weather.tbl[Date],0))</f>
        <v>-3.5</v>
      </c>
      <c r="Q1028" s="2">
        <f ca="1">INDEX(INDIRECT(_xlfn.CONCAT("weather.tbl[",Q$1,"]")),MATCH(vp.tbl[[#This Row],[SDate]],weather.tbl[Date],0))</f>
        <v>-2.6</v>
      </c>
      <c r="R1028" s="2">
        <f ca="1">INDEX(INDIRECT(_xlfn.CONCAT("weather.tbl[",R$1,"]")),MATCH(vp.tbl[[#This Row],[SDate]],weather.tbl[Date],0))</f>
        <v>-5.3</v>
      </c>
      <c r="S1028" s="2">
        <f ca="1">INDEX(INDIRECT(_xlfn.CONCAT("weather.tbl[",S$1,"]")),MATCH(vp.tbl[[#This Row],[SDate]],weather.tbl[Date],0))</f>
        <v>-1.7</v>
      </c>
      <c r="T1028" s="2">
        <f ca="1">INDEX(INDIRECT(_xlfn.CONCAT("weather.tbl[",T$1,"]")),MATCH(vp.tbl[[#This Row],[SDate]],weather.tbl[Date],0))</f>
        <v>-4.3</v>
      </c>
      <c r="U1028" s="2">
        <f ca="1">INDEX(INDIRECT(_xlfn.CONCAT("weather.tbl[",U$1,"]")),MATCH(vp.tbl[[#This Row],[SDate]],weather.tbl[Date],0))</f>
        <v>-2.5</v>
      </c>
      <c r="V1028" s="2">
        <v>21566.571</v>
      </c>
      <c r="W1028" t="s">
        <v>48</v>
      </c>
      <c r="X1028">
        <f>IF(OR(vp.tbl[[#This Row],[Sulf]]="",vp.tbl[[#This Row],[Dens]]=""),1,0)</f>
        <v>0</v>
      </c>
      <c r="Y1028">
        <f>IF(vp.tbl[[#This Row],[CrudeType]]="C5+",1,0)</f>
        <v>0</v>
      </c>
      <c r="Z1028">
        <f>IF(AND(vp.tbl[[#This Row],[CrudeType]]="Crude",vp.tbl[[#This Row],[Dens]]&lt;=825,vp.tbl[[#This Row],[Sulf]]&gt;0.5,vp.tbl[[#This Row],[Unknown]]=0),1,0)</f>
        <v>0</v>
      </c>
      <c r="AA1028">
        <f>IF(AND(vp.tbl[[#This Row],[CrudeType]]="Crude",vp.tbl[[#This Row],[Dens]]&lt;=825,vp.tbl[[#This Row],[Sulf]]&lt;=0.5,vp.tbl[[#This Row],[Unknown]]=0),1,0)</f>
        <v>0</v>
      </c>
      <c r="AB1028">
        <f>IF(AND(vp.tbl[[#This Row],[CrudeType]]="Crude",vp.tbl[[#This Row],[Dens]]&gt;825,vp.tbl[[#This Row],[Dens]]&lt;=870,vp.tbl[[#This Row],[Sulf]]&gt;0.5,vp.tbl[[#This Row],[Unknown]]=0),1,0)</f>
        <v>1</v>
      </c>
      <c r="AC1028">
        <f>IF(AND(vp.tbl[[#This Row],[CrudeType]]="Crude",vp.tbl[[#This Row],[Dens]]&gt;825,vp.tbl[[#This Row],[Dens]]&lt;=900,vp.tbl[[#This Row],[Sulf]]&lt;=0.5,vp.tbl[[#This Row],[Unknown]]=0),1,0)</f>
        <v>0</v>
      </c>
      <c r="AD1028">
        <f>IF(AND(vp.tbl[[#This Row],[CrudeType]]="Crude",vp.tbl[[#This Row],[Dens]]&gt;870,vp.tbl[[#This Row],[Dens]]&lt;=900,vp.tbl[[#This Row],[Sulf]]&gt;0.5,vp.tbl[[#This Row],[Unknown]]=0),1,0)</f>
        <v>0</v>
      </c>
      <c r="AE1028">
        <f>IF(AND(vp.tbl[[#This Row],[CrudeType]]="Crude",vp.tbl[[#This Row],[Dens]]&gt;900,vp.tbl[[#This Row],[Sulf]]&lt;=0.5,vp.tbl[[#This Row],[Unknown]]=0),1,0)</f>
        <v>0</v>
      </c>
      <c r="AF1028">
        <f>IF(AND(vp.tbl[[#This Row],[CrudeType]]="Crude",vp.tbl[[#This Row],[Dens]]&gt;900,vp.tbl[[#This Row],[Sulf]]&lt;=0.5,vp.tbl[[#This Row],[Unknown]]=0),1,0)</f>
        <v>0</v>
      </c>
      <c r="AG1028" t="str">
        <f>INDEX(vp.tbl[[#Headers],[Unknown]:[Heavy_SW]],MATCH(1,vp.tbl[[#This Row],[Unknown]:[Heavy_SW]],0))</f>
        <v>Medium_LSB</v>
      </c>
      <c r="AH1028" t="e">
        <f>INDEX([1]!crudeBD.lkup[Number],MATCH(vp.tbl[[#This Row],[Crude_Breakdown]],[1]!crudeBD.lkup[Crude Breakdown],0))</f>
        <v>#REF!</v>
      </c>
      <c r="AI1028">
        <f>MONTH(vp.tbl[[#This Row],[SDate]])</f>
        <v>3</v>
      </c>
      <c r="AJ1028" s="5">
        <f>IFERROR(vp.tbl[[#This Row],[Sulf]]*vp.tbl[[#This Row],[Net Dens]],"")</f>
        <v>13019954.57841</v>
      </c>
      <c r="AK1028" s="5">
        <f>IFERROR(vp.tbl[[#This Row],[Dens]]*vp.tbl[[#This Row],[VolumeM3]],"")</f>
        <v>17835554.217</v>
      </c>
      <c r="AL1028" s="5">
        <f>IFERROR(vp.tbl[[#This Row],[VP]]*vp.tbl[[#This Row],[VolumeM3]],"")</f>
        <v>1948539.68985</v>
      </c>
      <c r="AM1028" s="4">
        <f>IFERROR((vp.tbl[[#This Row],[VP]]-INDEX(crudeBD.lkup.complete[Mean_VP],MATCH(vp.tbl[[#This Row],[Crude_Breakdown]],crudeBD.lkup.complete[Crude Breakdown],0)))^2,"")</f>
        <v>103.55922001217817</v>
      </c>
      <c r="AN1028" s="4">
        <f>IFERROR((vp.tbl[[#This Row],[Dens]]-INDEX(crudeBD.lkup.complete[Mean_Dens],MATCH(vp.tbl[[#This Row],[Crude_Breakdown]],crudeBD.lkup.complete[Crude Breakdown],0)))^2,"")</f>
        <v>334.59078079086288</v>
      </c>
      <c r="AO1028" s="4">
        <f>IFERROR((vp.tbl[[#This Row],[Sulf]]-INDEX(crudeBD.lkup.complete[Mean_Sulf],MATCH(vp.tbl[[#This Row],[Crude_Breakdown]],crudeBD.lkup.complete[Crude Breakdown],0)))^2,"")</f>
        <v>0.5255233030207811</v>
      </c>
      <c r="AP1028">
        <f>IF(AND(vp.tbl[[#This Row],[SDate]]&gt;=DATE(YEAR(vp.tbl[[#This Row],[SDate]]),5,1),vp.tbl[[#This Row],[SDate]]&lt;=DATE(YEAR(vp.tbl[[#This Row],[SDate]]),9,15)),1,0)</f>
        <v>0</v>
      </c>
      <c r="AQ1028" s="15">
        <f>IF(vp.tbl[[#This Row],[SDate]]&lt;DATE(2016,12,1),0,1)</f>
        <v>1</v>
      </c>
    </row>
    <row r="1029" spans="1:43" x14ac:dyDescent="0.25">
      <c r="A1029">
        <v>1028</v>
      </c>
      <c r="B1029" t="s">
        <v>62</v>
      </c>
      <c r="C1029" t="s">
        <v>62</v>
      </c>
      <c r="D1029" t="s">
        <v>93</v>
      </c>
      <c r="F1029" s="1">
        <v>42809</v>
      </c>
      <c r="G1029" s="2">
        <v>97.51</v>
      </c>
      <c r="H1029" s="2">
        <v>1.3380000000000001</v>
      </c>
      <c r="I1029" s="2">
        <v>1.3380000000000001</v>
      </c>
      <c r="J1029" s="2">
        <v>7.3</v>
      </c>
      <c r="K1029" s="2">
        <v>-1</v>
      </c>
      <c r="L1029" s="2">
        <v>842.6</v>
      </c>
      <c r="M1029" s="2">
        <v>842.6</v>
      </c>
      <c r="N1029" s="2">
        <f ca="1">INDEX(INDIRECT(_xlfn.CONCAT("weather.tbl[",N$1,"]")),MATCH(vp.tbl[[#This Row],[SDate]],weather.tbl[Date],0))</f>
        <v>-3.3166666666666664</v>
      </c>
      <c r="O1029" s="2">
        <f ca="1">INDEX(INDIRECT(_xlfn.CONCAT("weather.tbl[",O$1,"]")),MATCH(vp.tbl[[#This Row],[SDate]],weather.tbl[Date],0))</f>
        <v>-15.119047619047617</v>
      </c>
      <c r="P1029" s="2">
        <f ca="1">INDEX(INDIRECT(_xlfn.CONCAT("weather.tbl[",P$1,"]")),MATCH(vp.tbl[[#This Row],[SDate]],weather.tbl[Date],0))</f>
        <v>-3.5</v>
      </c>
      <c r="Q1029" s="2">
        <f ca="1">INDEX(INDIRECT(_xlfn.CONCAT("weather.tbl[",Q$1,"]")),MATCH(vp.tbl[[#This Row],[SDate]],weather.tbl[Date],0))</f>
        <v>-2.6</v>
      </c>
      <c r="R1029" s="2">
        <f ca="1">INDEX(INDIRECT(_xlfn.CONCAT("weather.tbl[",R$1,"]")),MATCH(vp.tbl[[#This Row],[SDate]],weather.tbl[Date],0))</f>
        <v>-5.3</v>
      </c>
      <c r="S1029" s="2">
        <f ca="1">INDEX(INDIRECT(_xlfn.CONCAT("weather.tbl[",S$1,"]")),MATCH(vp.tbl[[#This Row],[SDate]],weather.tbl[Date],0))</f>
        <v>-1.7</v>
      </c>
      <c r="T1029" s="2">
        <f ca="1">INDEX(INDIRECT(_xlfn.CONCAT("weather.tbl[",T$1,"]")),MATCH(vp.tbl[[#This Row],[SDate]],weather.tbl[Date],0))</f>
        <v>-4.3</v>
      </c>
      <c r="U1029" s="2">
        <f ca="1">INDEX(INDIRECT(_xlfn.CONCAT("weather.tbl[",U$1,"]")),MATCH(vp.tbl[[#This Row],[SDate]],weather.tbl[Date],0))</f>
        <v>-2.5</v>
      </c>
      <c r="V1029" s="2">
        <v>1068.2539999999999</v>
      </c>
      <c r="W1029" t="s">
        <v>48</v>
      </c>
      <c r="X1029">
        <f>IF(OR(vp.tbl[[#This Row],[Sulf]]="",vp.tbl[[#This Row],[Dens]]=""),1,0)</f>
        <v>0</v>
      </c>
      <c r="Y1029">
        <f>IF(vp.tbl[[#This Row],[CrudeType]]="C5+",1,0)</f>
        <v>0</v>
      </c>
      <c r="Z1029">
        <f>IF(AND(vp.tbl[[#This Row],[CrudeType]]="Crude",vp.tbl[[#This Row],[Dens]]&lt;=825,vp.tbl[[#This Row],[Sulf]]&gt;0.5,vp.tbl[[#This Row],[Unknown]]=0),1,0)</f>
        <v>0</v>
      </c>
      <c r="AA1029">
        <f>IF(AND(vp.tbl[[#This Row],[CrudeType]]="Crude",vp.tbl[[#This Row],[Dens]]&lt;=825,vp.tbl[[#This Row],[Sulf]]&lt;=0.5,vp.tbl[[#This Row],[Unknown]]=0),1,0)</f>
        <v>0</v>
      </c>
      <c r="AB1029">
        <f>IF(AND(vp.tbl[[#This Row],[CrudeType]]="Crude",vp.tbl[[#This Row],[Dens]]&gt;825,vp.tbl[[#This Row],[Dens]]&lt;=870,vp.tbl[[#This Row],[Sulf]]&gt;0.5,vp.tbl[[#This Row],[Unknown]]=0),1,0)</f>
        <v>1</v>
      </c>
      <c r="AC1029">
        <f>IF(AND(vp.tbl[[#This Row],[CrudeType]]="Crude",vp.tbl[[#This Row],[Dens]]&gt;825,vp.tbl[[#This Row],[Dens]]&lt;=900,vp.tbl[[#This Row],[Sulf]]&lt;=0.5,vp.tbl[[#This Row],[Unknown]]=0),1,0)</f>
        <v>0</v>
      </c>
      <c r="AD1029">
        <f>IF(AND(vp.tbl[[#This Row],[CrudeType]]="Crude",vp.tbl[[#This Row],[Dens]]&gt;870,vp.tbl[[#This Row],[Dens]]&lt;=900,vp.tbl[[#This Row],[Sulf]]&gt;0.5,vp.tbl[[#This Row],[Unknown]]=0),1,0)</f>
        <v>0</v>
      </c>
      <c r="AE1029">
        <f>IF(AND(vp.tbl[[#This Row],[CrudeType]]="Crude",vp.tbl[[#This Row],[Dens]]&gt;900,vp.tbl[[#This Row],[Sulf]]&lt;=0.5,vp.tbl[[#This Row],[Unknown]]=0),1,0)</f>
        <v>0</v>
      </c>
      <c r="AF1029">
        <f>IF(AND(vp.tbl[[#This Row],[CrudeType]]="Crude",vp.tbl[[#This Row],[Dens]]&gt;900,vp.tbl[[#This Row],[Sulf]]&lt;=0.5,vp.tbl[[#This Row],[Unknown]]=0),1,0)</f>
        <v>0</v>
      </c>
      <c r="AG1029" t="str">
        <f>INDEX(vp.tbl[[#Headers],[Unknown]:[Heavy_SW]],MATCH(1,vp.tbl[[#This Row],[Unknown]:[Heavy_SW]],0))</f>
        <v>Medium_LSB</v>
      </c>
      <c r="AH1029" t="e">
        <f>INDEX([1]!crudeBD.lkup[Number],MATCH(vp.tbl[[#This Row],[Crude_Breakdown]],[1]!crudeBD.lkup[Crude Breakdown],0))</f>
        <v>#REF!</v>
      </c>
      <c r="AI1029">
        <f>MONTH(vp.tbl[[#This Row],[SDate]])</f>
        <v>3</v>
      </c>
      <c r="AJ1029" s="5">
        <f>IFERROR(vp.tbl[[#This Row],[Sulf]]*vp.tbl[[#This Row],[Net Dens]],"")</f>
        <v>1204348.2776951999</v>
      </c>
      <c r="AK1029" s="5">
        <f>IFERROR(vp.tbl[[#This Row],[Dens]]*vp.tbl[[#This Row],[VolumeM3]],"")</f>
        <v>900110.82039999997</v>
      </c>
      <c r="AL1029" s="5">
        <f>IFERROR(vp.tbl[[#This Row],[VP]]*vp.tbl[[#This Row],[VolumeM3]],"")</f>
        <v>104165.44753999999</v>
      </c>
      <c r="AM1029" s="4">
        <f>IFERROR((vp.tbl[[#This Row],[VP]]-INDEX(crudeBD.lkup.complete[Mean_VP],MATCH(vp.tbl[[#This Row],[Crude_Breakdown]],crudeBD.lkup.complete[Crude Breakdown],0)))^2,"")</f>
        <v>300.55094051850813</v>
      </c>
      <c r="AN1029" s="4">
        <f>IFERROR((vp.tbl[[#This Row],[Dens]]-INDEX(crudeBD.lkup.complete[Mean_Dens],MATCH(vp.tbl[[#This Row],[Crude_Breakdown]],crudeBD.lkup.complete[Crude Breakdown],0)))^2,"")</f>
        <v>7.2459099048175215</v>
      </c>
      <c r="AO1029" s="4">
        <f>IFERROR((vp.tbl[[#This Row],[Sulf]]-INDEX(crudeBD.lkup.complete[Mean_Sulf],MATCH(vp.tbl[[#This Row],[Crude_Breakdown]],crudeBD.lkup.complete[Crude Breakdown],0)))^2,"")</f>
        <v>1.3672592337234906E-2</v>
      </c>
      <c r="AP1029">
        <f>IF(AND(vp.tbl[[#This Row],[SDate]]&gt;=DATE(YEAR(vp.tbl[[#This Row],[SDate]]),5,1),vp.tbl[[#This Row],[SDate]]&lt;=DATE(YEAR(vp.tbl[[#This Row],[SDate]]),9,15)),1,0)</f>
        <v>0</v>
      </c>
      <c r="AQ1029" s="15">
        <f>IF(vp.tbl[[#This Row],[SDate]]&lt;DATE(2016,12,1),0,1)</f>
        <v>1</v>
      </c>
    </row>
    <row r="1030" spans="1:43" x14ac:dyDescent="0.25">
      <c r="A1030">
        <v>1029</v>
      </c>
      <c r="B1030" t="s">
        <v>51</v>
      </c>
      <c r="C1030" t="s">
        <v>51</v>
      </c>
      <c r="D1030" t="s">
        <v>58</v>
      </c>
      <c r="F1030" s="1">
        <v>42809</v>
      </c>
      <c r="G1030" s="2">
        <v>98.4</v>
      </c>
      <c r="H1030" s="2"/>
      <c r="I1030" s="2">
        <v>1.31</v>
      </c>
      <c r="J1030" s="2">
        <v>26.4</v>
      </c>
      <c r="K1030" s="2">
        <v>-1</v>
      </c>
      <c r="L1030" s="2">
        <v>821.1</v>
      </c>
      <c r="M1030" s="2">
        <v>821.1</v>
      </c>
      <c r="N1030" s="2">
        <f ca="1">INDEX(INDIRECT(_xlfn.CONCAT("weather.tbl[",N$1,"]")),MATCH(vp.tbl[[#This Row],[SDate]],weather.tbl[Date],0))</f>
        <v>-3.3166666666666664</v>
      </c>
      <c r="O1030" s="2">
        <f ca="1">INDEX(INDIRECT(_xlfn.CONCAT("weather.tbl[",O$1,"]")),MATCH(vp.tbl[[#This Row],[SDate]],weather.tbl[Date],0))</f>
        <v>-15.119047619047617</v>
      </c>
      <c r="P1030" s="2">
        <f ca="1">INDEX(INDIRECT(_xlfn.CONCAT("weather.tbl[",P$1,"]")),MATCH(vp.tbl[[#This Row],[SDate]],weather.tbl[Date],0))</f>
        <v>-3.5</v>
      </c>
      <c r="Q1030" s="2">
        <f ca="1">INDEX(INDIRECT(_xlfn.CONCAT("weather.tbl[",Q$1,"]")),MATCH(vp.tbl[[#This Row],[SDate]],weather.tbl[Date],0))</f>
        <v>-2.6</v>
      </c>
      <c r="R1030" s="2">
        <f ca="1">INDEX(INDIRECT(_xlfn.CONCAT("weather.tbl[",R$1,"]")),MATCH(vp.tbl[[#This Row],[SDate]],weather.tbl[Date],0))</f>
        <v>-5.3</v>
      </c>
      <c r="S1030" s="2">
        <f ca="1">INDEX(INDIRECT(_xlfn.CONCAT("weather.tbl[",S$1,"]")),MATCH(vp.tbl[[#This Row],[SDate]],weather.tbl[Date],0))</f>
        <v>-1.7</v>
      </c>
      <c r="T1030" s="2">
        <f ca="1">INDEX(INDIRECT(_xlfn.CONCAT("weather.tbl[",T$1,"]")),MATCH(vp.tbl[[#This Row],[SDate]],weather.tbl[Date],0))</f>
        <v>-4.3</v>
      </c>
      <c r="U1030" s="2">
        <f ca="1">INDEX(INDIRECT(_xlfn.CONCAT("weather.tbl[",U$1,"]")),MATCH(vp.tbl[[#This Row],[SDate]],weather.tbl[Date],0))</f>
        <v>-2.5</v>
      </c>
      <c r="V1030" s="2">
        <v>6071.2709999999997</v>
      </c>
      <c r="W1030" t="s">
        <v>48</v>
      </c>
      <c r="X1030">
        <f>IF(OR(vp.tbl[[#This Row],[Sulf]]="",vp.tbl[[#This Row],[Dens]]=""),1,0)</f>
        <v>0</v>
      </c>
      <c r="Y1030">
        <f>IF(vp.tbl[[#This Row],[CrudeType]]="C5+",1,0)</f>
        <v>0</v>
      </c>
      <c r="Z1030">
        <f>IF(AND(vp.tbl[[#This Row],[CrudeType]]="Crude",vp.tbl[[#This Row],[Dens]]&lt;=825,vp.tbl[[#This Row],[Sulf]]&gt;0.5,vp.tbl[[#This Row],[Unknown]]=0),1,0)</f>
        <v>1</v>
      </c>
      <c r="AA1030">
        <f>IF(AND(vp.tbl[[#This Row],[CrudeType]]="Crude",vp.tbl[[#This Row],[Dens]]&lt;=825,vp.tbl[[#This Row],[Sulf]]&lt;=0.5,vp.tbl[[#This Row],[Unknown]]=0),1,0)</f>
        <v>0</v>
      </c>
      <c r="AB1030">
        <f>IF(AND(vp.tbl[[#This Row],[CrudeType]]="Crude",vp.tbl[[#This Row],[Dens]]&gt;825,vp.tbl[[#This Row],[Dens]]&lt;=870,vp.tbl[[#This Row],[Sulf]]&gt;0.5,vp.tbl[[#This Row],[Unknown]]=0),1,0)</f>
        <v>0</v>
      </c>
      <c r="AC1030">
        <f>IF(AND(vp.tbl[[#This Row],[CrudeType]]="Crude",vp.tbl[[#This Row],[Dens]]&gt;825,vp.tbl[[#This Row],[Dens]]&lt;=900,vp.tbl[[#This Row],[Sulf]]&lt;=0.5,vp.tbl[[#This Row],[Unknown]]=0),1,0)</f>
        <v>0</v>
      </c>
      <c r="AD1030">
        <f>IF(AND(vp.tbl[[#This Row],[CrudeType]]="Crude",vp.tbl[[#This Row],[Dens]]&gt;870,vp.tbl[[#This Row],[Dens]]&lt;=900,vp.tbl[[#This Row],[Sulf]]&gt;0.5,vp.tbl[[#This Row],[Unknown]]=0),1,0)</f>
        <v>0</v>
      </c>
      <c r="AE1030">
        <f>IF(AND(vp.tbl[[#This Row],[CrudeType]]="Crude",vp.tbl[[#This Row],[Dens]]&gt;900,vp.tbl[[#This Row],[Sulf]]&lt;=0.5,vp.tbl[[#This Row],[Unknown]]=0),1,0)</f>
        <v>0</v>
      </c>
      <c r="AF1030">
        <f>IF(AND(vp.tbl[[#This Row],[CrudeType]]="Crude",vp.tbl[[#This Row],[Dens]]&gt;900,vp.tbl[[#This Row],[Sulf]]&lt;=0.5,vp.tbl[[#This Row],[Unknown]]=0),1,0)</f>
        <v>0</v>
      </c>
      <c r="AG1030" t="str">
        <f>INDEX(vp.tbl[[#Headers],[Unknown]:[Heavy_SW]],MATCH(1,vp.tbl[[#This Row],[Unknown]:[Heavy_SW]],0))</f>
        <v>Light_LSB</v>
      </c>
      <c r="AH1030" t="e">
        <f>INDEX([1]!crudeBD.lkup[Number],MATCH(vp.tbl[[#This Row],[Crude_Breakdown]],[1]!crudeBD.lkup[Crude Breakdown],0))</f>
        <v>#REF!</v>
      </c>
      <c r="AI1030">
        <f>MONTH(vp.tbl[[#This Row],[SDate]])</f>
        <v>3</v>
      </c>
      <c r="AJ1030" s="5">
        <f>IFERROR(vp.tbl[[#This Row],[Sulf]]*vp.tbl[[#This Row],[Net Dens]],"")</f>
        <v>6530508.0097110001</v>
      </c>
      <c r="AK1030" s="5">
        <f>IFERROR(vp.tbl[[#This Row],[Dens]]*vp.tbl[[#This Row],[VolumeM3]],"")</f>
        <v>4985120.6180999996</v>
      </c>
      <c r="AL1030" s="5">
        <f>IFERROR(vp.tbl[[#This Row],[VP]]*vp.tbl[[#This Row],[VolumeM3]],"")</f>
        <v>597413.06640000001</v>
      </c>
      <c r="AM1030" s="4">
        <f>IFERROR((vp.tbl[[#This Row],[VP]]-INDEX(crudeBD.lkup.complete[Mean_VP],MATCH(vp.tbl[[#This Row],[Crude_Breakdown]],crudeBD.lkup.complete[Crude Breakdown],0)))^2,"")</f>
        <v>46.974772281857447</v>
      </c>
      <c r="AN1030" s="4">
        <f>IFERROR((vp.tbl[[#This Row],[Dens]]-INDEX(crudeBD.lkup.complete[Mean_Dens],MATCH(vp.tbl[[#This Row],[Crude_Breakdown]],crudeBD.lkup.complete[Crude Breakdown],0)))^2,"")</f>
        <v>6.6730784756928632</v>
      </c>
      <c r="AO1030" s="4">
        <f>IFERROR((vp.tbl[[#This Row],[Sulf]]-INDEX(crudeBD.lkup.complete[Mean_Sulf],MATCH(vp.tbl[[#This Row],[Crude_Breakdown]],crudeBD.lkup.complete[Crude Breakdown],0)))^2,"")</f>
        <v>0.14979131650136537</v>
      </c>
      <c r="AP1030">
        <f>IF(AND(vp.tbl[[#This Row],[SDate]]&gt;=DATE(YEAR(vp.tbl[[#This Row],[SDate]]),5,1),vp.tbl[[#This Row],[SDate]]&lt;=DATE(YEAR(vp.tbl[[#This Row],[SDate]]),9,15)),1,0)</f>
        <v>0</v>
      </c>
      <c r="AQ1030" s="15">
        <f>IF(vp.tbl[[#This Row],[SDate]]&lt;DATE(2016,12,1),0,1)</f>
        <v>1</v>
      </c>
    </row>
    <row r="1031" spans="1:43" x14ac:dyDescent="0.25">
      <c r="A1031">
        <v>1030</v>
      </c>
      <c r="B1031" t="s">
        <v>51</v>
      </c>
      <c r="C1031" t="s">
        <v>51</v>
      </c>
      <c r="D1031" t="s">
        <v>72</v>
      </c>
      <c r="F1031" s="1">
        <v>42809</v>
      </c>
      <c r="G1031" s="2">
        <v>96.9</v>
      </c>
      <c r="H1031" s="2"/>
      <c r="I1031" s="2">
        <v>1.08</v>
      </c>
      <c r="J1031" s="2">
        <v>22.5</v>
      </c>
      <c r="K1031" s="2">
        <v>-1</v>
      </c>
      <c r="L1031" s="2">
        <v>828.1</v>
      </c>
      <c r="M1031" s="2">
        <v>828.1</v>
      </c>
      <c r="N1031" s="2">
        <f ca="1">INDEX(INDIRECT(_xlfn.CONCAT("weather.tbl[",N$1,"]")),MATCH(vp.tbl[[#This Row],[SDate]],weather.tbl[Date],0))</f>
        <v>-3.3166666666666664</v>
      </c>
      <c r="O1031" s="2">
        <f ca="1">INDEX(INDIRECT(_xlfn.CONCAT("weather.tbl[",O$1,"]")),MATCH(vp.tbl[[#This Row],[SDate]],weather.tbl[Date],0))</f>
        <v>-15.119047619047617</v>
      </c>
      <c r="P1031" s="2">
        <f ca="1">INDEX(INDIRECT(_xlfn.CONCAT("weather.tbl[",P$1,"]")),MATCH(vp.tbl[[#This Row],[SDate]],weather.tbl[Date],0))</f>
        <v>-3.5</v>
      </c>
      <c r="Q1031" s="2">
        <f ca="1">INDEX(INDIRECT(_xlfn.CONCAT("weather.tbl[",Q$1,"]")),MATCH(vp.tbl[[#This Row],[SDate]],weather.tbl[Date],0))</f>
        <v>-2.6</v>
      </c>
      <c r="R1031" s="2">
        <f ca="1">INDEX(INDIRECT(_xlfn.CONCAT("weather.tbl[",R$1,"]")),MATCH(vp.tbl[[#This Row],[SDate]],weather.tbl[Date],0))</f>
        <v>-5.3</v>
      </c>
      <c r="S1031" s="2">
        <f ca="1">INDEX(INDIRECT(_xlfn.CONCAT("weather.tbl[",S$1,"]")),MATCH(vp.tbl[[#This Row],[SDate]],weather.tbl[Date],0))</f>
        <v>-1.7</v>
      </c>
      <c r="T1031" s="2">
        <f ca="1">INDEX(INDIRECT(_xlfn.CONCAT("weather.tbl[",T$1,"]")),MATCH(vp.tbl[[#This Row],[SDate]],weather.tbl[Date],0))</f>
        <v>-4.3</v>
      </c>
      <c r="U1031" s="2">
        <f ca="1">INDEX(INDIRECT(_xlfn.CONCAT("weather.tbl[",U$1,"]")),MATCH(vp.tbl[[#This Row],[SDate]],weather.tbl[Date],0))</f>
        <v>-2.5</v>
      </c>
      <c r="V1031" s="2">
        <v>13878.534</v>
      </c>
      <c r="W1031" t="s">
        <v>48</v>
      </c>
      <c r="X1031">
        <f>IF(OR(vp.tbl[[#This Row],[Sulf]]="",vp.tbl[[#This Row],[Dens]]=""),1,0)</f>
        <v>0</v>
      </c>
      <c r="Y1031">
        <f>IF(vp.tbl[[#This Row],[CrudeType]]="C5+",1,0)</f>
        <v>0</v>
      </c>
      <c r="Z1031">
        <f>IF(AND(vp.tbl[[#This Row],[CrudeType]]="Crude",vp.tbl[[#This Row],[Dens]]&lt;=825,vp.tbl[[#This Row],[Sulf]]&gt;0.5,vp.tbl[[#This Row],[Unknown]]=0),1,0)</f>
        <v>0</v>
      </c>
      <c r="AA1031">
        <f>IF(AND(vp.tbl[[#This Row],[CrudeType]]="Crude",vp.tbl[[#This Row],[Dens]]&lt;=825,vp.tbl[[#This Row],[Sulf]]&lt;=0.5,vp.tbl[[#This Row],[Unknown]]=0),1,0)</f>
        <v>0</v>
      </c>
      <c r="AB1031">
        <f>IF(AND(vp.tbl[[#This Row],[CrudeType]]="Crude",vp.tbl[[#This Row],[Dens]]&gt;825,vp.tbl[[#This Row],[Dens]]&lt;=870,vp.tbl[[#This Row],[Sulf]]&gt;0.5,vp.tbl[[#This Row],[Unknown]]=0),1,0)</f>
        <v>1</v>
      </c>
      <c r="AC1031">
        <f>IF(AND(vp.tbl[[#This Row],[CrudeType]]="Crude",vp.tbl[[#This Row],[Dens]]&gt;825,vp.tbl[[#This Row],[Dens]]&lt;=900,vp.tbl[[#This Row],[Sulf]]&lt;=0.5,vp.tbl[[#This Row],[Unknown]]=0),1,0)</f>
        <v>0</v>
      </c>
      <c r="AD1031">
        <f>IF(AND(vp.tbl[[#This Row],[CrudeType]]="Crude",vp.tbl[[#This Row],[Dens]]&gt;870,vp.tbl[[#This Row],[Dens]]&lt;=900,vp.tbl[[#This Row],[Sulf]]&gt;0.5,vp.tbl[[#This Row],[Unknown]]=0),1,0)</f>
        <v>0</v>
      </c>
      <c r="AE1031">
        <f>IF(AND(vp.tbl[[#This Row],[CrudeType]]="Crude",vp.tbl[[#This Row],[Dens]]&gt;900,vp.tbl[[#This Row],[Sulf]]&lt;=0.5,vp.tbl[[#This Row],[Unknown]]=0),1,0)</f>
        <v>0</v>
      </c>
      <c r="AF1031">
        <f>IF(AND(vp.tbl[[#This Row],[CrudeType]]="Crude",vp.tbl[[#This Row],[Dens]]&gt;900,vp.tbl[[#This Row],[Sulf]]&lt;=0.5,vp.tbl[[#This Row],[Unknown]]=0),1,0)</f>
        <v>0</v>
      </c>
      <c r="AG1031" t="str">
        <f>INDEX(vp.tbl[[#Headers],[Unknown]:[Heavy_SW]],MATCH(1,vp.tbl[[#This Row],[Unknown]:[Heavy_SW]],0))</f>
        <v>Medium_LSB</v>
      </c>
      <c r="AH1031" t="e">
        <f>INDEX([1]!crudeBD.lkup[Number],MATCH(vp.tbl[[#This Row],[Crude_Breakdown]],[1]!crudeBD.lkup[Crude Breakdown],0))</f>
        <v>#REF!</v>
      </c>
      <c r="AI1031">
        <f>MONTH(vp.tbl[[#This Row],[SDate]])</f>
        <v>3</v>
      </c>
      <c r="AJ1031" s="5">
        <f>IFERROR(vp.tbl[[#This Row],[Sulf]]*vp.tbl[[#This Row],[Net Dens]],"")</f>
        <v>12412239.125832001</v>
      </c>
      <c r="AK1031" s="5">
        <f>IFERROR(vp.tbl[[#This Row],[Dens]]*vp.tbl[[#This Row],[VolumeM3]],"")</f>
        <v>11492814.0054</v>
      </c>
      <c r="AL1031" s="5">
        <f>IFERROR(vp.tbl[[#This Row],[VP]]*vp.tbl[[#This Row],[VolumeM3]],"")</f>
        <v>1344829.9446</v>
      </c>
      <c r="AM1031" s="4">
        <f>IFERROR((vp.tbl[[#This Row],[VP]]-INDEX(crudeBD.lkup.complete[Mean_VP],MATCH(vp.tbl[[#This Row],[Crude_Breakdown]],crudeBD.lkup.complete[Crude Breakdown],0)))^2,"")</f>
        <v>279.77262634129289</v>
      </c>
      <c r="AN1031" s="4">
        <f>IFERROR((vp.tbl[[#This Row],[Dens]]-INDEX(crudeBD.lkup.complete[Mean_Dens],MATCH(vp.tbl[[#This Row],[Crude_Breakdown]],crudeBD.lkup.complete[Crude Breakdown],0)))^2,"")</f>
        <v>295.55877066428195</v>
      </c>
      <c r="AO1031" s="4">
        <f>IFERROR((vp.tbl[[#This Row],[Sulf]]-INDEX(crudeBD.lkup.complete[Mean_Sulf],MATCH(vp.tbl[[#This Row],[Crude_Breakdown]],crudeBD.lkup.complete[Crude Breakdown],0)))^2,"")</f>
        <v>0.14057240048913436</v>
      </c>
      <c r="AP1031">
        <f>IF(AND(vp.tbl[[#This Row],[SDate]]&gt;=DATE(YEAR(vp.tbl[[#This Row],[SDate]]),5,1),vp.tbl[[#This Row],[SDate]]&lt;=DATE(YEAR(vp.tbl[[#This Row],[SDate]]),9,15)),1,0)</f>
        <v>0</v>
      </c>
      <c r="AQ1031" s="15">
        <f>IF(vp.tbl[[#This Row],[SDate]]&lt;DATE(2016,12,1),0,1)</f>
        <v>1</v>
      </c>
    </row>
    <row r="1032" spans="1:43" x14ac:dyDescent="0.25">
      <c r="A1032">
        <v>1031</v>
      </c>
      <c r="B1032" t="s">
        <v>68</v>
      </c>
      <c r="C1032" t="s">
        <v>68</v>
      </c>
      <c r="D1032" t="s">
        <v>200</v>
      </c>
      <c r="F1032" s="1">
        <v>42809</v>
      </c>
      <c r="G1032" s="2">
        <v>61.1</v>
      </c>
      <c r="H1032" s="2"/>
      <c r="I1032" s="2">
        <v>1.8</v>
      </c>
      <c r="J1032" s="2">
        <v>5</v>
      </c>
      <c r="K1032" s="2">
        <v>-30</v>
      </c>
      <c r="L1032" s="2">
        <v>869.4</v>
      </c>
      <c r="M1032" s="2">
        <v>869.4</v>
      </c>
      <c r="N1032" s="2">
        <f ca="1">INDEX(INDIRECT(_xlfn.CONCAT("weather.tbl[",N$1,"]")),MATCH(vp.tbl[[#This Row],[SDate]],weather.tbl[Date],0))</f>
        <v>-3.3166666666666664</v>
      </c>
      <c r="O1032" s="2">
        <f ca="1">INDEX(INDIRECT(_xlfn.CONCAT("weather.tbl[",O$1,"]")),MATCH(vp.tbl[[#This Row],[SDate]],weather.tbl[Date],0))</f>
        <v>-15.119047619047617</v>
      </c>
      <c r="P1032" s="2">
        <f ca="1">INDEX(INDIRECT(_xlfn.CONCAT("weather.tbl[",P$1,"]")),MATCH(vp.tbl[[#This Row],[SDate]],weather.tbl[Date],0))</f>
        <v>-3.5</v>
      </c>
      <c r="Q1032" s="2">
        <f ca="1">INDEX(INDIRECT(_xlfn.CONCAT("weather.tbl[",Q$1,"]")),MATCH(vp.tbl[[#This Row],[SDate]],weather.tbl[Date],0))</f>
        <v>-2.6</v>
      </c>
      <c r="R1032" s="2">
        <f ca="1">INDEX(INDIRECT(_xlfn.CONCAT("weather.tbl[",R$1,"]")),MATCH(vp.tbl[[#This Row],[SDate]],weather.tbl[Date],0))</f>
        <v>-5.3</v>
      </c>
      <c r="S1032" s="2">
        <f ca="1">INDEX(INDIRECT(_xlfn.CONCAT("weather.tbl[",S$1,"]")),MATCH(vp.tbl[[#This Row],[SDate]],weather.tbl[Date],0))</f>
        <v>-1.7</v>
      </c>
      <c r="T1032" s="2">
        <f ca="1">INDEX(INDIRECT(_xlfn.CONCAT("weather.tbl[",T$1,"]")),MATCH(vp.tbl[[#This Row],[SDate]],weather.tbl[Date],0))</f>
        <v>-4.3</v>
      </c>
      <c r="U1032" s="2">
        <f ca="1">INDEX(INDIRECT(_xlfn.CONCAT("weather.tbl[",U$1,"]")),MATCH(vp.tbl[[#This Row],[SDate]],weather.tbl[Date],0))</f>
        <v>-2.5</v>
      </c>
      <c r="V1032" s="2">
        <v>245.85900000000001</v>
      </c>
      <c r="W1032" t="s">
        <v>48</v>
      </c>
      <c r="X1032">
        <f>IF(OR(vp.tbl[[#This Row],[Sulf]]="",vp.tbl[[#This Row],[Dens]]=""),1,0)</f>
        <v>0</v>
      </c>
      <c r="Y1032">
        <f>IF(vp.tbl[[#This Row],[CrudeType]]="C5+",1,0)</f>
        <v>0</v>
      </c>
      <c r="Z1032">
        <f>IF(AND(vp.tbl[[#This Row],[CrudeType]]="Crude",vp.tbl[[#This Row],[Dens]]&lt;=825,vp.tbl[[#This Row],[Sulf]]&gt;0.5,vp.tbl[[#This Row],[Unknown]]=0),1,0)</f>
        <v>0</v>
      </c>
      <c r="AA1032">
        <f>IF(AND(vp.tbl[[#This Row],[CrudeType]]="Crude",vp.tbl[[#This Row],[Dens]]&lt;=825,vp.tbl[[#This Row],[Sulf]]&lt;=0.5,vp.tbl[[#This Row],[Unknown]]=0),1,0)</f>
        <v>0</v>
      </c>
      <c r="AB1032">
        <f>IF(AND(vp.tbl[[#This Row],[CrudeType]]="Crude",vp.tbl[[#This Row],[Dens]]&gt;825,vp.tbl[[#This Row],[Dens]]&lt;=870,vp.tbl[[#This Row],[Sulf]]&gt;0.5,vp.tbl[[#This Row],[Unknown]]=0),1,0)</f>
        <v>1</v>
      </c>
      <c r="AC1032">
        <f>IF(AND(vp.tbl[[#This Row],[CrudeType]]="Crude",vp.tbl[[#This Row],[Dens]]&gt;825,vp.tbl[[#This Row],[Dens]]&lt;=900,vp.tbl[[#This Row],[Sulf]]&lt;=0.5,vp.tbl[[#This Row],[Unknown]]=0),1,0)</f>
        <v>0</v>
      </c>
      <c r="AD1032">
        <f>IF(AND(vp.tbl[[#This Row],[CrudeType]]="Crude",vp.tbl[[#This Row],[Dens]]&gt;870,vp.tbl[[#This Row],[Dens]]&lt;=900,vp.tbl[[#This Row],[Sulf]]&gt;0.5,vp.tbl[[#This Row],[Unknown]]=0),1,0)</f>
        <v>0</v>
      </c>
      <c r="AE1032">
        <f>IF(AND(vp.tbl[[#This Row],[CrudeType]]="Crude",vp.tbl[[#This Row],[Dens]]&gt;900,vp.tbl[[#This Row],[Sulf]]&lt;=0.5,vp.tbl[[#This Row],[Unknown]]=0),1,0)</f>
        <v>0</v>
      </c>
      <c r="AF1032">
        <f>IF(AND(vp.tbl[[#This Row],[CrudeType]]="Crude",vp.tbl[[#This Row],[Dens]]&gt;900,vp.tbl[[#This Row],[Sulf]]&lt;=0.5,vp.tbl[[#This Row],[Unknown]]=0),1,0)</f>
        <v>0</v>
      </c>
      <c r="AG1032" t="str">
        <f>INDEX(vp.tbl[[#Headers],[Unknown]:[Heavy_SW]],MATCH(1,vp.tbl[[#This Row],[Unknown]:[Heavy_SW]],0))</f>
        <v>Medium_LSB</v>
      </c>
      <c r="AH1032" t="e">
        <f>INDEX([1]!crudeBD.lkup[Number],MATCH(vp.tbl[[#This Row],[Crude_Breakdown]],[1]!crudeBD.lkup[Crude Breakdown],0))</f>
        <v>#REF!</v>
      </c>
      <c r="AI1032">
        <f>MONTH(vp.tbl[[#This Row],[SDate]])</f>
        <v>3</v>
      </c>
      <c r="AJ1032" s="5">
        <f>IFERROR(vp.tbl[[#This Row],[Sulf]]*vp.tbl[[#This Row],[Net Dens]],"")</f>
        <v>384749.66628</v>
      </c>
      <c r="AK1032" s="5">
        <f>IFERROR(vp.tbl[[#This Row],[Dens]]*vp.tbl[[#This Row],[VolumeM3]],"")</f>
        <v>213749.81460000001</v>
      </c>
      <c r="AL1032" s="5">
        <f>IFERROR(vp.tbl[[#This Row],[VP]]*vp.tbl[[#This Row],[VolumeM3]],"")</f>
        <v>15021.984900000001</v>
      </c>
      <c r="AM1032" s="4">
        <f>IFERROR((vp.tbl[[#This Row],[VP]]-INDEX(crudeBD.lkup.complete[Mean_VP],MATCH(vp.tbl[[#This Row],[Crude_Breakdown]],crudeBD.lkup.complete[Crude Breakdown],0)))^2,"")</f>
        <v>363.80202380964442</v>
      </c>
      <c r="AN1032" s="4">
        <f>IFERROR((vp.tbl[[#This Row],[Dens]]-INDEX(crudeBD.lkup.complete[Mean_Dens],MATCH(vp.tbl[[#This Row],[Crude_Breakdown]],crudeBD.lkup.complete[Crude Breakdown],0)))^2,"")</f>
        <v>581.20420863904656</v>
      </c>
      <c r="AO1032" s="4">
        <f>IFERROR((vp.tbl[[#This Row],[Sulf]]-INDEX(crudeBD.lkup.complete[Mean_Sulf],MATCH(vp.tbl[[#This Row],[Crude_Breakdown]],crudeBD.lkup.complete[Crude Breakdown],0)))^2,"")</f>
        <v>0.11907340099546143</v>
      </c>
      <c r="AP1032">
        <f>IF(AND(vp.tbl[[#This Row],[SDate]]&gt;=DATE(YEAR(vp.tbl[[#This Row],[SDate]]),5,1),vp.tbl[[#This Row],[SDate]]&lt;=DATE(YEAR(vp.tbl[[#This Row],[SDate]]),9,15)),1,0)</f>
        <v>0</v>
      </c>
      <c r="AQ1032" s="15">
        <f>IF(vp.tbl[[#This Row],[SDate]]&lt;DATE(2016,12,1),0,1)</f>
        <v>1</v>
      </c>
    </row>
    <row r="1033" spans="1:43" x14ac:dyDescent="0.25">
      <c r="A1033">
        <v>1032</v>
      </c>
      <c r="B1033" t="s">
        <v>62</v>
      </c>
      <c r="C1033" t="s">
        <v>62</v>
      </c>
      <c r="D1033" t="s">
        <v>63</v>
      </c>
      <c r="F1033" s="1">
        <v>42810</v>
      </c>
      <c r="G1033" s="2">
        <v>92.4</v>
      </c>
      <c r="H1033" s="2"/>
      <c r="I1033" s="2">
        <v>1.74</v>
      </c>
      <c r="J1033" s="2">
        <v>13.7</v>
      </c>
      <c r="K1033" s="2">
        <v>3</v>
      </c>
      <c r="L1033" s="2">
        <v>827.8</v>
      </c>
      <c r="M1033" s="2">
        <v>827.8</v>
      </c>
      <c r="N1033" s="2">
        <f ca="1">INDEX(INDIRECT(_xlfn.CONCAT("weather.tbl[",N$1,"]")),MATCH(vp.tbl[[#This Row],[SDate]],weather.tbl[Date],0))</f>
        <v>1.5</v>
      </c>
      <c r="O1033" s="2">
        <f ca="1">INDEX(INDIRECT(_xlfn.CONCAT("weather.tbl[",O$1,"]")),MATCH(vp.tbl[[#This Row],[SDate]],weather.tbl[Date],0))</f>
        <v>-12.176190476190474</v>
      </c>
      <c r="P1033" s="2">
        <f ca="1">INDEX(INDIRECT(_xlfn.CONCAT("weather.tbl[",P$1,"]")),MATCH(vp.tbl[[#This Row],[SDate]],weather.tbl[Date],0))</f>
        <v>1.1000000000000001</v>
      </c>
      <c r="Q1033" s="2">
        <f ca="1">INDEX(INDIRECT(_xlfn.CONCAT("weather.tbl[",Q$1,"]")),MATCH(vp.tbl[[#This Row],[SDate]],weather.tbl[Date],0))</f>
        <v>2.9</v>
      </c>
      <c r="R1033" s="2">
        <f ca="1">INDEX(INDIRECT(_xlfn.CONCAT("weather.tbl[",R$1,"]")),MATCH(vp.tbl[[#This Row],[SDate]],weather.tbl[Date],0))</f>
        <v>-0.8</v>
      </c>
      <c r="S1033" s="2">
        <f ca="1">INDEX(INDIRECT(_xlfn.CONCAT("weather.tbl[",S$1,"]")),MATCH(vp.tbl[[#This Row],[SDate]],weather.tbl[Date],0))</f>
        <v>4</v>
      </c>
      <c r="T1033" s="2">
        <f ca="1">INDEX(INDIRECT(_xlfn.CONCAT("weather.tbl[",T$1,"]")),MATCH(vp.tbl[[#This Row],[SDate]],weather.tbl[Date],0))</f>
        <v>-0.5</v>
      </c>
      <c r="U1033" s="2">
        <f ca="1">INDEX(INDIRECT(_xlfn.CONCAT("weather.tbl[",U$1,"]")),MATCH(vp.tbl[[#This Row],[SDate]],weather.tbl[Date],0))</f>
        <v>2.2999999999999998</v>
      </c>
      <c r="V1033" s="2">
        <v>6959.2520000000004</v>
      </c>
      <c r="W1033" t="s">
        <v>48</v>
      </c>
      <c r="X1033">
        <f>IF(OR(vp.tbl[[#This Row],[Sulf]]="",vp.tbl[[#This Row],[Dens]]=""),1,0)</f>
        <v>0</v>
      </c>
      <c r="Y1033">
        <f>IF(vp.tbl[[#This Row],[CrudeType]]="C5+",1,0)</f>
        <v>0</v>
      </c>
      <c r="Z1033">
        <f>IF(AND(vp.tbl[[#This Row],[CrudeType]]="Crude",vp.tbl[[#This Row],[Dens]]&lt;=825,vp.tbl[[#This Row],[Sulf]]&gt;0.5,vp.tbl[[#This Row],[Unknown]]=0),1,0)</f>
        <v>0</v>
      </c>
      <c r="AA1033">
        <f>IF(AND(vp.tbl[[#This Row],[CrudeType]]="Crude",vp.tbl[[#This Row],[Dens]]&lt;=825,vp.tbl[[#This Row],[Sulf]]&lt;=0.5,vp.tbl[[#This Row],[Unknown]]=0),1,0)</f>
        <v>0</v>
      </c>
      <c r="AB1033">
        <f>IF(AND(vp.tbl[[#This Row],[CrudeType]]="Crude",vp.tbl[[#This Row],[Dens]]&gt;825,vp.tbl[[#This Row],[Dens]]&lt;=870,vp.tbl[[#This Row],[Sulf]]&gt;0.5,vp.tbl[[#This Row],[Unknown]]=0),1,0)</f>
        <v>1</v>
      </c>
      <c r="AC1033">
        <f>IF(AND(vp.tbl[[#This Row],[CrudeType]]="Crude",vp.tbl[[#This Row],[Dens]]&gt;825,vp.tbl[[#This Row],[Dens]]&lt;=900,vp.tbl[[#This Row],[Sulf]]&lt;=0.5,vp.tbl[[#This Row],[Unknown]]=0),1,0)</f>
        <v>0</v>
      </c>
      <c r="AD1033">
        <f>IF(AND(vp.tbl[[#This Row],[CrudeType]]="Crude",vp.tbl[[#This Row],[Dens]]&gt;870,vp.tbl[[#This Row],[Dens]]&lt;=900,vp.tbl[[#This Row],[Sulf]]&gt;0.5,vp.tbl[[#This Row],[Unknown]]=0),1,0)</f>
        <v>0</v>
      </c>
      <c r="AE1033">
        <f>IF(AND(vp.tbl[[#This Row],[CrudeType]]="Crude",vp.tbl[[#This Row],[Dens]]&gt;900,vp.tbl[[#This Row],[Sulf]]&lt;=0.5,vp.tbl[[#This Row],[Unknown]]=0),1,0)</f>
        <v>0</v>
      </c>
      <c r="AF1033">
        <f>IF(AND(vp.tbl[[#This Row],[CrudeType]]="Crude",vp.tbl[[#This Row],[Dens]]&gt;900,vp.tbl[[#This Row],[Sulf]]&lt;=0.5,vp.tbl[[#This Row],[Unknown]]=0),1,0)</f>
        <v>0</v>
      </c>
      <c r="AG1033" t="str">
        <f>INDEX(vp.tbl[[#Headers],[Unknown]:[Heavy_SW]],MATCH(1,vp.tbl[[#This Row],[Unknown]:[Heavy_SW]],0))</f>
        <v>Medium_LSB</v>
      </c>
      <c r="AH1033" t="e">
        <f>INDEX([1]!crudeBD.lkup[Number],MATCH(vp.tbl[[#This Row],[Crude_Breakdown]],[1]!crudeBD.lkup[Crude Breakdown],0))</f>
        <v>#REF!</v>
      </c>
      <c r="AI1033">
        <f>MONTH(vp.tbl[[#This Row],[SDate]])</f>
        <v>3</v>
      </c>
      <c r="AJ1033" s="5">
        <f>IFERROR(vp.tbl[[#This Row],[Sulf]]*vp.tbl[[#This Row],[Net Dens]],"")</f>
        <v>10023911.721743999</v>
      </c>
      <c r="AK1033" s="5">
        <f>IFERROR(vp.tbl[[#This Row],[Dens]]*vp.tbl[[#This Row],[VolumeM3]],"")</f>
        <v>5760868.8055999996</v>
      </c>
      <c r="AL1033" s="5">
        <f>IFERROR(vp.tbl[[#This Row],[VP]]*vp.tbl[[#This Row],[VolumeM3]],"")</f>
        <v>643034.88480000012</v>
      </c>
      <c r="AM1033" s="4">
        <f>IFERROR((vp.tbl[[#This Row],[VP]]-INDEX(crudeBD.lkup.complete[Mean_VP],MATCH(vp.tbl[[#This Row],[Crude_Breakdown]],crudeBD.lkup.complete[Crude Breakdown],0)))^2,"")</f>
        <v>149.48498077167224</v>
      </c>
      <c r="AN1033" s="4">
        <f>IFERROR((vp.tbl[[#This Row],[Dens]]-INDEX(crudeBD.lkup.complete[Mean_Dens],MATCH(vp.tbl[[#This Row],[Crude_Breakdown]],crudeBD.lkup.complete[Crude Breakdown],0)))^2,"")</f>
        <v>305.96386433516983</v>
      </c>
      <c r="AO1033" s="4">
        <f>IFERROR((vp.tbl[[#This Row],[Sulf]]-INDEX(crudeBD.lkup.complete[Mean_Sulf],MATCH(vp.tbl[[#This Row],[Crude_Breakdown]],crudeBD.lkup.complete[Crude Breakdown],0)))^2,"")</f>
        <v>8.1264984286600811E-2</v>
      </c>
      <c r="AP1033">
        <f>IF(AND(vp.tbl[[#This Row],[SDate]]&gt;=DATE(YEAR(vp.tbl[[#This Row],[SDate]]),5,1),vp.tbl[[#This Row],[SDate]]&lt;=DATE(YEAR(vp.tbl[[#This Row],[SDate]]),9,15)),1,0)</f>
        <v>0</v>
      </c>
      <c r="AQ1033" s="15">
        <f>IF(vp.tbl[[#This Row],[SDate]]&lt;DATE(2016,12,1),0,1)</f>
        <v>1</v>
      </c>
    </row>
    <row r="1034" spans="1:43" x14ac:dyDescent="0.25">
      <c r="A1034">
        <v>1033</v>
      </c>
      <c r="B1034" t="s">
        <v>60</v>
      </c>
      <c r="C1034" t="s">
        <v>60</v>
      </c>
      <c r="D1034" t="s">
        <v>61</v>
      </c>
      <c r="E1034" t="s">
        <v>73</v>
      </c>
      <c r="F1034" s="1">
        <v>42810</v>
      </c>
      <c r="G1034" s="2">
        <v>70.91</v>
      </c>
      <c r="H1034" s="2">
        <v>1.077</v>
      </c>
      <c r="I1034" s="2">
        <v>1.077</v>
      </c>
      <c r="J1034" s="2">
        <v>8</v>
      </c>
      <c r="K1034" s="2">
        <v>1</v>
      </c>
      <c r="L1034" s="2">
        <v>845.9</v>
      </c>
      <c r="M1034" s="2">
        <v>845.9</v>
      </c>
      <c r="N1034" s="2">
        <f ca="1">INDEX(INDIRECT(_xlfn.CONCAT("weather.tbl[",N$1,"]")),MATCH(vp.tbl[[#This Row],[SDate]],weather.tbl[Date],0))</f>
        <v>1.5</v>
      </c>
      <c r="O1034" s="2">
        <f ca="1">INDEX(INDIRECT(_xlfn.CONCAT("weather.tbl[",O$1,"]")),MATCH(vp.tbl[[#This Row],[SDate]],weather.tbl[Date],0))</f>
        <v>-12.176190476190474</v>
      </c>
      <c r="P1034" s="2">
        <f ca="1">INDEX(INDIRECT(_xlfn.CONCAT("weather.tbl[",P$1,"]")),MATCH(vp.tbl[[#This Row],[SDate]],weather.tbl[Date],0))</f>
        <v>1.1000000000000001</v>
      </c>
      <c r="Q1034" s="2">
        <f ca="1">INDEX(INDIRECT(_xlfn.CONCAT("weather.tbl[",Q$1,"]")),MATCH(vp.tbl[[#This Row],[SDate]],weather.tbl[Date],0))</f>
        <v>2.9</v>
      </c>
      <c r="R1034" s="2">
        <f ca="1">INDEX(INDIRECT(_xlfn.CONCAT("weather.tbl[",R$1,"]")),MATCH(vp.tbl[[#This Row],[SDate]],weather.tbl[Date],0))</f>
        <v>-0.8</v>
      </c>
      <c r="S1034" s="2">
        <f ca="1">INDEX(INDIRECT(_xlfn.CONCAT("weather.tbl[",S$1,"]")),MATCH(vp.tbl[[#This Row],[SDate]],weather.tbl[Date],0))</f>
        <v>4</v>
      </c>
      <c r="T1034" s="2">
        <f ca="1">INDEX(INDIRECT(_xlfn.CONCAT("weather.tbl[",T$1,"]")),MATCH(vp.tbl[[#This Row],[SDate]],weather.tbl[Date],0))</f>
        <v>-0.5</v>
      </c>
      <c r="U1034" s="2">
        <f ca="1">INDEX(INDIRECT(_xlfn.CONCAT("weather.tbl[",U$1,"]")),MATCH(vp.tbl[[#This Row],[SDate]],weather.tbl[Date],0))</f>
        <v>2.2999999999999998</v>
      </c>
      <c r="V1034" s="2">
        <v>106074.851</v>
      </c>
      <c r="W1034" t="s">
        <v>48</v>
      </c>
      <c r="X1034">
        <f>IF(OR(vp.tbl[[#This Row],[Sulf]]="",vp.tbl[[#This Row],[Dens]]=""),1,0)</f>
        <v>0</v>
      </c>
      <c r="Y1034">
        <f>IF(vp.tbl[[#This Row],[CrudeType]]="C5+",1,0)</f>
        <v>0</v>
      </c>
      <c r="Z1034">
        <f>IF(AND(vp.tbl[[#This Row],[CrudeType]]="Crude",vp.tbl[[#This Row],[Dens]]&lt;=825,vp.tbl[[#This Row],[Sulf]]&gt;0.5,vp.tbl[[#This Row],[Unknown]]=0),1,0)</f>
        <v>0</v>
      </c>
      <c r="AA1034">
        <f>IF(AND(vp.tbl[[#This Row],[CrudeType]]="Crude",vp.tbl[[#This Row],[Dens]]&lt;=825,vp.tbl[[#This Row],[Sulf]]&lt;=0.5,vp.tbl[[#This Row],[Unknown]]=0),1,0)</f>
        <v>0</v>
      </c>
      <c r="AB1034">
        <f>IF(AND(vp.tbl[[#This Row],[CrudeType]]="Crude",vp.tbl[[#This Row],[Dens]]&gt;825,vp.tbl[[#This Row],[Dens]]&lt;=870,vp.tbl[[#This Row],[Sulf]]&gt;0.5,vp.tbl[[#This Row],[Unknown]]=0),1,0)</f>
        <v>1</v>
      </c>
      <c r="AC1034">
        <f>IF(AND(vp.tbl[[#This Row],[CrudeType]]="Crude",vp.tbl[[#This Row],[Dens]]&gt;825,vp.tbl[[#This Row],[Dens]]&lt;=900,vp.tbl[[#This Row],[Sulf]]&lt;=0.5,vp.tbl[[#This Row],[Unknown]]=0),1,0)</f>
        <v>0</v>
      </c>
      <c r="AD1034">
        <f>IF(AND(vp.tbl[[#This Row],[CrudeType]]="Crude",vp.tbl[[#This Row],[Dens]]&gt;870,vp.tbl[[#This Row],[Dens]]&lt;=900,vp.tbl[[#This Row],[Sulf]]&gt;0.5,vp.tbl[[#This Row],[Unknown]]=0),1,0)</f>
        <v>0</v>
      </c>
      <c r="AE1034">
        <f>IF(AND(vp.tbl[[#This Row],[CrudeType]]="Crude",vp.tbl[[#This Row],[Dens]]&gt;900,vp.tbl[[#This Row],[Sulf]]&lt;=0.5,vp.tbl[[#This Row],[Unknown]]=0),1,0)</f>
        <v>0</v>
      </c>
      <c r="AF1034">
        <f>IF(AND(vp.tbl[[#This Row],[CrudeType]]="Crude",vp.tbl[[#This Row],[Dens]]&gt;900,vp.tbl[[#This Row],[Sulf]]&lt;=0.5,vp.tbl[[#This Row],[Unknown]]=0),1,0)</f>
        <v>0</v>
      </c>
      <c r="AG1034" t="str">
        <f>INDEX(vp.tbl[[#Headers],[Unknown]:[Heavy_SW]],MATCH(1,vp.tbl[[#This Row],[Unknown]:[Heavy_SW]],0))</f>
        <v>Medium_LSB</v>
      </c>
      <c r="AH1034" t="e">
        <f>INDEX([1]!crudeBD.lkup[Number],MATCH(vp.tbl[[#This Row],[Crude_Breakdown]],[1]!crudeBD.lkup[Crude Breakdown],0))</f>
        <v>#REF!</v>
      </c>
      <c r="AI1034">
        <f>MONTH(vp.tbl[[#This Row],[SDate]])</f>
        <v>3</v>
      </c>
      <c r="AJ1034" s="5">
        <f>IFERROR(vp.tbl[[#This Row],[Sulf]]*vp.tbl[[#This Row],[Net Dens]],"")</f>
        <v>96637827.628389284</v>
      </c>
      <c r="AK1034" s="5">
        <f>IFERROR(vp.tbl[[#This Row],[Dens]]*vp.tbl[[#This Row],[VolumeM3]],"")</f>
        <v>89728716.460899994</v>
      </c>
      <c r="AL1034" s="5">
        <f>IFERROR(vp.tbl[[#This Row],[VP]]*vp.tbl[[#This Row],[VolumeM3]],"")</f>
        <v>7521767.6844099993</v>
      </c>
      <c r="AM1034" s="4">
        <f>IFERROR((vp.tbl[[#This Row],[VP]]-INDEX(crudeBD.lkup.complete[Mean_VP],MATCH(vp.tbl[[#This Row],[Crude_Breakdown]],crudeBD.lkup.complete[Crude Breakdown],0)))^2,"")</f>
        <v>85.814191151417418</v>
      </c>
      <c r="AN1034" s="4">
        <f>IFERROR((vp.tbl[[#This Row],[Dens]]-INDEX(crudeBD.lkup.complete[Mean_Dens],MATCH(vp.tbl[[#This Row],[Crude_Breakdown]],crudeBD.lkup.complete[Crude Breakdown],0)))^2,"")</f>
        <v>0.36987952507727961</v>
      </c>
      <c r="AO1034" s="4">
        <f>IFERROR((vp.tbl[[#This Row],[Sulf]]-INDEX(crudeBD.lkup.complete[Mean_Sulf],MATCH(vp.tbl[[#This Row],[Crude_Breakdown]],crudeBD.lkup.complete[Crude Breakdown],0)))^2,"")</f>
        <v>0.14283097965369143</v>
      </c>
      <c r="AP1034">
        <f>IF(AND(vp.tbl[[#This Row],[SDate]]&gt;=DATE(YEAR(vp.tbl[[#This Row],[SDate]]),5,1),vp.tbl[[#This Row],[SDate]]&lt;=DATE(YEAR(vp.tbl[[#This Row],[SDate]]),9,15)),1,0)</f>
        <v>0</v>
      </c>
      <c r="AQ1034" s="15">
        <f>IF(vp.tbl[[#This Row],[SDate]]&lt;DATE(2016,12,1),0,1)</f>
        <v>1</v>
      </c>
    </row>
    <row r="1035" spans="1:43" x14ac:dyDescent="0.25">
      <c r="A1035">
        <v>1034</v>
      </c>
      <c r="B1035" t="s">
        <v>60</v>
      </c>
      <c r="C1035" t="s">
        <v>60</v>
      </c>
      <c r="D1035" t="s">
        <v>61</v>
      </c>
      <c r="E1035" t="s">
        <v>55</v>
      </c>
      <c r="F1035" s="1">
        <v>42810</v>
      </c>
      <c r="G1035" s="2">
        <v>85.29</v>
      </c>
      <c r="H1035" s="2">
        <v>1.1100000000000001</v>
      </c>
      <c r="I1035" s="2">
        <v>1.1100000000000001</v>
      </c>
      <c r="J1035" s="2">
        <v>7.1</v>
      </c>
      <c r="K1035" s="2">
        <v>1</v>
      </c>
      <c r="L1035" s="2">
        <v>840.9</v>
      </c>
      <c r="M1035" s="2">
        <v>840.9</v>
      </c>
      <c r="N1035" s="2">
        <f ca="1">INDEX(INDIRECT(_xlfn.CONCAT("weather.tbl[",N$1,"]")),MATCH(vp.tbl[[#This Row],[SDate]],weather.tbl[Date],0))</f>
        <v>1.5</v>
      </c>
      <c r="O1035" s="2">
        <f ca="1">INDEX(INDIRECT(_xlfn.CONCAT("weather.tbl[",O$1,"]")),MATCH(vp.tbl[[#This Row],[SDate]],weather.tbl[Date],0))</f>
        <v>-12.176190476190474</v>
      </c>
      <c r="P1035" s="2">
        <f ca="1">INDEX(INDIRECT(_xlfn.CONCAT("weather.tbl[",P$1,"]")),MATCH(vp.tbl[[#This Row],[SDate]],weather.tbl[Date],0))</f>
        <v>1.1000000000000001</v>
      </c>
      <c r="Q1035" s="2">
        <f ca="1">INDEX(INDIRECT(_xlfn.CONCAT("weather.tbl[",Q$1,"]")),MATCH(vp.tbl[[#This Row],[SDate]],weather.tbl[Date],0))</f>
        <v>2.9</v>
      </c>
      <c r="R1035" s="2">
        <f ca="1">INDEX(INDIRECT(_xlfn.CONCAT("weather.tbl[",R$1,"]")),MATCH(vp.tbl[[#This Row],[SDate]],weather.tbl[Date],0))</f>
        <v>-0.8</v>
      </c>
      <c r="S1035" s="2">
        <f ca="1">INDEX(INDIRECT(_xlfn.CONCAT("weather.tbl[",S$1,"]")),MATCH(vp.tbl[[#This Row],[SDate]],weather.tbl[Date],0))</f>
        <v>4</v>
      </c>
      <c r="T1035" s="2">
        <f ca="1">INDEX(INDIRECT(_xlfn.CONCAT("weather.tbl[",T$1,"]")),MATCH(vp.tbl[[#This Row],[SDate]],weather.tbl[Date],0))</f>
        <v>-0.5</v>
      </c>
      <c r="U1035" s="2">
        <f ca="1">INDEX(INDIRECT(_xlfn.CONCAT("weather.tbl[",U$1,"]")),MATCH(vp.tbl[[#This Row],[SDate]],weather.tbl[Date],0))</f>
        <v>2.2999999999999998</v>
      </c>
      <c r="V1035" s="2">
        <v>106074.851</v>
      </c>
      <c r="W1035" t="s">
        <v>48</v>
      </c>
      <c r="X1035">
        <f>IF(OR(vp.tbl[[#This Row],[Sulf]]="",vp.tbl[[#This Row],[Dens]]=""),1,0)</f>
        <v>0</v>
      </c>
      <c r="Y1035">
        <f>IF(vp.tbl[[#This Row],[CrudeType]]="C5+",1,0)</f>
        <v>0</v>
      </c>
      <c r="Z1035">
        <f>IF(AND(vp.tbl[[#This Row],[CrudeType]]="Crude",vp.tbl[[#This Row],[Dens]]&lt;=825,vp.tbl[[#This Row],[Sulf]]&gt;0.5,vp.tbl[[#This Row],[Unknown]]=0),1,0)</f>
        <v>0</v>
      </c>
      <c r="AA1035">
        <f>IF(AND(vp.tbl[[#This Row],[CrudeType]]="Crude",vp.tbl[[#This Row],[Dens]]&lt;=825,vp.tbl[[#This Row],[Sulf]]&lt;=0.5,vp.tbl[[#This Row],[Unknown]]=0),1,0)</f>
        <v>0</v>
      </c>
      <c r="AB1035">
        <f>IF(AND(vp.tbl[[#This Row],[CrudeType]]="Crude",vp.tbl[[#This Row],[Dens]]&gt;825,vp.tbl[[#This Row],[Dens]]&lt;=870,vp.tbl[[#This Row],[Sulf]]&gt;0.5,vp.tbl[[#This Row],[Unknown]]=0),1,0)</f>
        <v>1</v>
      </c>
      <c r="AC1035">
        <f>IF(AND(vp.tbl[[#This Row],[CrudeType]]="Crude",vp.tbl[[#This Row],[Dens]]&gt;825,vp.tbl[[#This Row],[Dens]]&lt;=900,vp.tbl[[#This Row],[Sulf]]&lt;=0.5,vp.tbl[[#This Row],[Unknown]]=0),1,0)</f>
        <v>0</v>
      </c>
      <c r="AD1035">
        <f>IF(AND(vp.tbl[[#This Row],[CrudeType]]="Crude",vp.tbl[[#This Row],[Dens]]&gt;870,vp.tbl[[#This Row],[Dens]]&lt;=900,vp.tbl[[#This Row],[Sulf]]&gt;0.5,vp.tbl[[#This Row],[Unknown]]=0),1,0)</f>
        <v>0</v>
      </c>
      <c r="AE1035">
        <f>IF(AND(vp.tbl[[#This Row],[CrudeType]]="Crude",vp.tbl[[#This Row],[Dens]]&gt;900,vp.tbl[[#This Row],[Sulf]]&lt;=0.5,vp.tbl[[#This Row],[Unknown]]=0),1,0)</f>
        <v>0</v>
      </c>
      <c r="AF1035">
        <f>IF(AND(vp.tbl[[#This Row],[CrudeType]]="Crude",vp.tbl[[#This Row],[Dens]]&gt;900,vp.tbl[[#This Row],[Sulf]]&lt;=0.5,vp.tbl[[#This Row],[Unknown]]=0),1,0)</f>
        <v>0</v>
      </c>
      <c r="AG1035" t="str">
        <f>INDEX(vp.tbl[[#Headers],[Unknown]:[Heavy_SW]],MATCH(1,vp.tbl[[#This Row],[Unknown]:[Heavy_SW]],0))</f>
        <v>Medium_LSB</v>
      </c>
      <c r="AH1035" t="e">
        <f>INDEX([1]!crudeBD.lkup[Number],MATCH(vp.tbl[[#This Row],[Crude_Breakdown]],[1]!crudeBD.lkup[Crude Breakdown],0))</f>
        <v>#REF!</v>
      </c>
      <c r="AI1035">
        <f>MONTH(vp.tbl[[#This Row],[SDate]])</f>
        <v>3</v>
      </c>
      <c r="AJ1035" s="5">
        <f>IFERROR(vp.tbl[[#This Row],[Sulf]]*vp.tbl[[#This Row],[Net Dens]],"")</f>
        <v>99010159.848549008</v>
      </c>
      <c r="AK1035" s="5">
        <f>IFERROR(vp.tbl[[#This Row],[Dens]]*vp.tbl[[#This Row],[VolumeM3]],"")</f>
        <v>89198342.205899999</v>
      </c>
      <c r="AL1035" s="5">
        <f>IFERROR(vp.tbl[[#This Row],[VP]]*vp.tbl[[#This Row],[VolumeM3]],"")</f>
        <v>9047124.0417900011</v>
      </c>
      <c r="AM1035" s="4">
        <f>IFERROR((vp.tbl[[#This Row],[VP]]-INDEX(crudeBD.lkup.complete[Mean_VP],MATCH(vp.tbl[[#This Row],[Crude_Breakdown]],crudeBD.lkup.complete[Crude Breakdown],0)))^2,"")</f>
        <v>26.177600771671649</v>
      </c>
      <c r="AN1035" s="4">
        <f>IFERROR((vp.tbl[[#This Row],[Dens]]-INDEX(crudeBD.lkup.complete[Mean_Dens],MATCH(vp.tbl[[#This Row],[Crude_Breakdown]],crudeBD.lkup.complete[Crude Breakdown],0)))^2,"")</f>
        <v>19.288107373168927</v>
      </c>
      <c r="AO1035" s="4">
        <f>IFERROR((vp.tbl[[#This Row],[Sulf]]-INDEX(crudeBD.lkup.complete[Mean_Sulf],MATCH(vp.tbl[[#This Row],[Crude_Breakdown]],crudeBD.lkup.complete[Crude Breakdown],0)))^2,"")</f>
        <v>0.11897660884356465</v>
      </c>
      <c r="AP1035">
        <f>IF(AND(vp.tbl[[#This Row],[SDate]]&gt;=DATE(YEAR(vp.tbl[[#This Row],[SDate]]),5,1),vp.tbl[[#This Row],[SDate]]&lt;=DATE(YEAR(vp.tbl[[#This Row],[SDate]]),9,15)),1,0)</f>
        <v>0</v>
      </c>
      <c r="AQ1035" s="15">
        <f>IF(vp.tbl[[#This Row],[SDate]]&lt;DATE(2016,12,1),0,1)</f>
        <v>1</v>
      </c>
    </row>
    <row r="1036" spans="1:43" x14ac:dyDescent="0.25">
      <c r="A1036">
        <v>1035</v>
      </c>
      <c r="B1036" t="s">
        <v>49</v>
      </c>
      <c r="C1036" t="s">
        <v>49</v>
      </c>
      <c r="D1036" t="s">
        <v>201</v>
      </c>
      <c r="F1036" s="1">
        <v>42811</v>
      </c>
      <c r="G1036" s="2">
        <v>62.4</v>
      </c>
      <c r="H1036" s="2">
        <v>1.405</v>
      </c>
      <c r="I1036" s="2">
        <v>1.405</v>
      </c>
      <c r="J1036" s="2">
        <v>6.7</v>
      </c>
      <c r="K1036" s="2">
        <v>-1</v>
      </c>
      <c r="L1036" s="2">
        <v>849.9</v>
      </c>
      <c r="M1036" s="2">
        <v>849.9</v>
      </c>
      <c r="N1036" s="2">
        <f ca="1">INDEX(INDIRECT(_xlfn.CONCAT("weather.tbl[",N$1,"]")),MATCH(vp.tbl[[#This Row],[SDate]],weather.tbl[Date],0))</f>
        <v>-1.7</v>
      </c>
      <c r="O1036" s="2">
        <f ca="1">INDEX(INDIRECT(_xlfn.CONCAT("weather.tbl[",O$1,"]")),MATCH(vp.tbl[[#This Row],[SDate]],weather.tbl[Date],0))</f>
        <v>-9.3785714285714299</v>
      </c>
      <c r="P1036" s="2">
        <f ca="1">INDEX(INDIRECT(_xlfn.CONCAT("weather.tbl[",P$1,"]")),MATCH(vp.tbl[[#This Row],[SDate]],weather.tbl[Date],0))</f>
        <v>-2.6</v>
      </c>
      <c r="Q1036" s="2">
        <f ca="1">INDEX(INDIRECT(_xlfn.CONCAT("weather.tbl[",Q$1,"]")),MATCH(vp.tbl[[#This Row],[SDate]],weather.tbl[Date],0))</f>
        <v>-1.3</v>
      </c>
      <c r="R1036" s="2">
        <f ca="1">INDEX(INDIRECT(_xlfn.CONCAT("weather.tbl[",R$1,"]")),MATCH(vp.tbl[[#This Row],[SDate]],weather.tbl[Date],0))</f>
        <v>-0.8</v>
      </c>
      <c r="S1036" s="2">
        <f ca="1">INDEX(INDIRECT(_xlfn.CONCAT("weather.tbl[",S$1,"]")),MATCH(vp.tbl[[#This Row],[SDate]],weather.tbl[Date],0))</f>
        <v>0.2</v>
      </c>
      <c r="T1036" s="2">
        <f ca="1">INDEX(INDIRECT(_xlfn.CONCAT("weather.tbl[",T$1,"]")),MATCH(vp.tbl[[#This Row],[SDate]],weather.tbl[Date],0))</f>
        <v>-3.4</v>
      </c>
      <c r="U1036" s="2">
        <f ca="1">INDEX(INDIRECT(_xlfn.CONCAT("weather.tbl[",U$1,"]")),MATCH(vp.tbl[[#This Row],[SDate]],weather.tbl[Date],0))</f>
        <v>-2.2999999999999998</v>
      </c>
      <c r="V1036" s="2">
        <v>290.43200000000002</v>
      </c>
      <c r="W1036" t="s">
        <v>48</v>
      </c>
      <c r="X1036">
        <f>IF(OR(vp.tbl[[#This Row],[Sulf]]="",vp.tbl[[#This Row],[Dens]]=""),1,0)</f>
        <v>0</v>
      </c>
      <c r="Y1036">
        <f>IF(vp.tbl[[#This Row],[CrudeType]]="C5+",1,0)</f>
        <v>0</v>
      </c>
      <c r="Z1036">
        <f>IF(AND(vp.tbl[[#This Row],[CrudeType]]="Crude",vp.tbl[[#This Row],[Dens]]&lt;=825,vp.tbl[[#This Row],[Sulf]]&gt;0.5,vp.tbl[[#This Row],[Unknown]]=0),1,0)</f>
        <v>0</v>
      </c>
      <c r="AA1036">
        <f>IF(AND(vp.tbl[[#This Row],[CrudeType]]="Crude",vp.tbl[[#This Row],[Dens]]&lt;=825,vp.tbl[[#This Row],[Sulf]]&lt;=0.5,vp.tbl[[#This Row],[Unknown]]=0),1,0)</f>
        <v>0</v>
      </c>
      <c r="AB1036">
        <f>IF(AND(vp.tbl[[#This Row],[CrudeType]]="Crude",vp.tbl[[#This Row],[Dens]]&gt;825,vp.tbl[[#This Row],[Dens]]&lt;=870,vp.tbl[[#This Row],[Sulf]]&gt;0.5,vp.tbl[[#This Row],[Unknown]]=0),1,0)</f>
        <v>1</v>
      </c>
      <c r="AC1036">
        <f>IF(AND(vp.tbl[[#This Row],[CrudeType]]="Crude",vp.tbl[[#This Row],[Dens]]&gt;825,vp.tbl[[#This Row],[Dens]]&lt;=900,vp.tbl[[#This Row],[Sulf]]&lt;=0.5,vp.tbl[[#This Row],[Unknown]]=0),1,0)</f>
        <v>0</v>
      </c>
      <c r="AD1036">
        <f>IF(AND(vp.tbl[[#This Row],[CrudeType]]="Crude",vp.tbl[[#This Row],[Dens]]&gt;870,vp.tbl[[#This Row],[Dens]]&lt;=900,vp.tbl[[#This Row],[Sulf]]&gt;0.5,vp.tbl[[#This Row],[Unknown]]=0),1,0)</f>
        <v>0</v>
      </c>
      <c r="AE1036">
        <f>IF(AND(vp.tbl[[#This Row],[CrudeType]]="Crude",vp.tbl[[#This Row],[Dens]]&gt;900,vp.tbl[[#This Row],[Sulf]]&lt;=0.5,vp.tbl[[#This Row],[Unknown]]=0),1,0)</f>
        <v>0</v>
      </c>
      <c r="AF1036">
        <f>IF(AND(vp.tbl[[#This Row],[CrudeType]]="Crude",vp.tbl[[#This Row],[Dens]]&gt;900,vp.tbl[[#This Row],[Sulf]]&lt;=0.5,vp.tbl[[#This Row],[Unknown]]=0),1,0)</f>
        <v>0</v>
      </c>
      <c r="AG1036" t="str">
        <f>INDEX(vp.tbl[[#Headers],[Unknown]:[Heavy_SW]],MATCH(1,vp.tbl[[#This Row],[Unknown]:[Heavy_SW]],0))</f>
        <v>Medium_LSB</v>
      </c>
      <c r="AH1036" t="e">
        <f>INDEX([1]!crudeBD.lkup[Number],MATCH(vp.tbl[[#This Row],[Crude_Breakdown]],[1]!crudeBD.lkup[Crude Breakdown],0))</f>
        <v>#REF!</v>
      </c>
      <c r="AI1036">
        <f>MONTH(vp.tbl[[#This Row],[SDate]])</f>
        <v>3</v>
      </c>
      <c r="AJ1036" s="5">
        <f>IFERROR(vp.tbl[[#This Row],[Sulf]]*vp.tbl[[#This Row],[Net Dens]],"")</f>
        <v>346807.61030400003</v>
      </c>
      <c r="AK1036" s="5">
        <f>IFERROR(vp.tbl[[#This Row],[Dens]]*vp.tbl[[#This Row],[VolumeM3]],"")</f>
        <v>246838.1568</v>
      </c>
      <c r="AL1036" s="5">
        <f>IFERROR(vp.tbl[[#This Row],[VP]]*vp.tbl[[#This Row],[VolumeM3]],"")</f>
        <v>18122.9568</v>
      </c>
      <c r="AM1036" s="4">
        <f>IFERROR((vp.tbl[[#This Row],[VP]]-INDEX(crudeBD.lkup.complete[Mean_VP],MATCH(vp.tbl[[#This Row],[Crude_Breakdown]],crudeBD.lkup.complete[Crude Breakdown],0)))^2,"")</f>
        <v>315.90067697420159</v>
      </c>
      <c r="AN1036" s="4">
        <f>IFERROR((vp.tbl[[#This Row],[Dens]]-INDEX(crudeBD.lkup.complete[Mean_Dens],MATCH(vp.tbl[[#This Row],[Crude_Breakdown]],crudeBD.lkup.complete[Crude Breakdown],0)))^2,"")</f>
        <v>21.235297246603963</v>
      </c>
      <c r="AO1036" s="4">
        <f>IFERROR((vp.tbl[[#This Row],[Sulf]]-INDEX(crudeBD.lkup.complete[Mean_Sulf],MATCH(vp.tbl[[#This Row],[Crude_Breakdown]],crudeBD.lkup.complete[Crude Breakdown],0)))^2,"")</f>
        <v>2.4929909954625714E-3</v>
      </c>
      <c r="AP1036">
        <f>IF(AND(vp.tbl[[#This Row],[SDate]]&gt;=DATE(YEAR(vp.tbl[[#This Row],[SDate]]),5,1),vp.tbl[[#This Row],[SDate]]&lt;=DATE(YEAR(vp.tbl[[#This Row],[SDate]]),9,15)),1,0)</f>
        <v>0</v>
      </c>
      <c r="AQ1036" s="15">
        <f>IF(vp.tbl[[#This Row],[SDate]]&lt;DATE(2016,12,1),0,1)</f>
        <v>1</v>
      </c>
    </row>
    <row r="1037" spans="1:43" x14ac:dyDescent="0.25">
      <c r="A1037">
        <v>1036</v>
      </c>
      <c r="B1037" t="s">
        <v>49</v>
      </c>
      <c r="C1037" t="s">
        <v>49</v>
      </c>
      <c r="D1037" t="s">
        <v>202</v>
      </c>
      <c r="F1037" s="1">
        <v>42811</v>
      </c>
      <c r="G1037" s="2">
        <v>74.099999999999994</v>
      </c>
      <c r="H1037" s="2">
        <v>1.5509999999999999</v>
      </c>
      <c r="I1037" s="2">
        <v>1.5509999999999999</v>
      </c>
      <c r="J1037" s="2">
        <v>5.5</v>
      </c>
      <c r="K1037" s="2">
        <v>-1</v>
      </c>
      <c r="L1037" s="2">
        <v>850.3</v>
      </c>
      <c r="M1037" s="2">
        <v>850.3</v>
      </c>
      <c r="N1037" s="2">
        <f ca="1">INDEX(INDIRECT(_xlfn.CONCAT("weather.tbl[",N$1,"]")),MATCH(vp.tbl[[#This Row],[SDate]],weather.tbl[Date],0))</f>
        <v>-1.7</v>
      </c>
      <c r="O1037" s="2">
        <f ca="1">INDEX(INDIRECT(_xlfn.CONCAT("weather.tbl[",O$1,"]")),MATCH(vp.tbl[[#This Row],[SDate]],weather.tbl[Date],0))</f>
        <v>-9.3785714285714299</v>
      </c>
      <c r="P1037" s="2">
        <f ca="1">INDEX(INDIRECT(_xlfn.CONCAT("weather.tbl[",P$1,"]")),MATCH(vp.tbl[[#This Row],[SDate]],weather.tbl[Date],0))</f>
        <v>-2.6</v>
      </c>
      <c r="Q1037" s="2">
        <f ca="1">INDEX(INDIRECT(_xlfn.CONCAT("weather.tbl[",Q$1,"]")),MATCH(vp.tbl[[#This Row],[SDate]],weather.tbl[Date],0))</f>
        <v>-1.3</v>
      </c>
      <c r="R1037" s="2">
        <f ca="1">INDEX(INDIRECT(_xlfn.CONCAT("weather.tbl[",R$1,"]")),MATCH(vp.tbl[[#This Row],[SDate]],weather.tbl[Date],0))</f>
        <v>-0.8</v>
      </c>
      <c r="S1037" s="2">
        <f ca="1">INDEX(INDIRECT(_xlfn.CONCAT("weather.tbl[",S$1,"]")),MATCH(vp.tbl[[#This Row],[SDate]],weather.tbl[Date],0))</f>
        <v>0.2</v>
      </c>
      <c r="T1037" s="2">
        <f ca="1">INDEX(INDIRECT(_xlfn.CONCAT("weather.tbl[",T$1,"]")),MATCH(vp.tbl[[#This Row],[SDate]],weather.tbl[Date],0))</f>
        <v>-3.4</v>
      </c>
      <c r="U1037" s="2">
        <f ca="1">INDEX(INDIRECT(_xlfn.CONCAT("weather.tbl[",U$1,"]")),MATCH(vp.tbl[[#This Row],[SDate]],weather.tbl[Date],0))</f>
        <v>-2.2999999999999998</v>
      </c>
      <c r="V1037" s="2">
        <v>167.65799999999999</v>
      </c>
      <c r="W1037" t="s">
        <v>48</v>
      </c>
      <c r="X1037">
        <f>IF(OR(vp.tbl[[#This Row],[Sulf]]="",vp.tbl[[#This Row],[Dens]]=""),1,0)</f>
        <v>0</v>
      </c>
      <c r="Y1037">
        <f>IF(vp.tbl[[#This Row],[CrudeType]]="C5+",1,0)</f>
        <v>0</v>
      </c>
      <c r="Z1037">
        <f>IF(AND(vp.tbl[[#This Row],[CrudeType]]="Crude",vp.tbl[[#This Row],[Dens]]&lt;=825,vp.tbl[[#This Row],[Sulf]]&gt;0.5,vp.tbl[[#This Row],[Unknown]]=0),1,0)</f>
        <v>0</v>
      </c>
      <c r="AA1037">
        <f>IF(AND(vp.tbl[[#This Row],[CrudeType]]="Crude",vp.tbl[[#This Row],[Dens]]&lt;=825,vp.tbl[[#This Row],[Sulf]]&lt;=0.5,vp.tbl[[#This Row],[Unknown]]=0),1,0)</f>
        <v>0</v>
      </c>
      <c r="AB1037">
        <f>IF(AND(vp.tbl[[#This Row],[CrudeType]]="Crude",vp.tbl[[#This Row],[Dens]]&gt;825,vp.tbl[[#This Row],[Dens]]&lt;=870,vp.tbl[[#This Row],[Sulf]]&gt;0.5,vp.tbl[[#This Row],[Unknown]]=0),1,0)</f>
        <v>1</v>
      </c>
      <c r="AC1037">
        <f>IF(AND(vp.tbl[[#This Row],[CrudeType]]="Crude",vp.tbl[[#This Row],[Dens]]&gt;825,vp.tbl[[#This Row],[Dens]]&lt;=900,vp.tbl[[#This Row],[Sulf]]&lt;=0.5,vp.tbl[[#This Row],[Unknown]]=0),1,0)</f>
        <v>0</v>
      </c>
      <c r="AD1037">
        <f>IF(AND(vp.tbl[[#This Row],[CrudeType]]="Crude",vp.tbl[[#This Row],[Dens]]&gt;870,vp.tbl[[#This Row],[Dens]]&lt;=900,vp.tbl[[#This Row],[Sulf]]&gt;0.5,vp.tbl[[#This Row],[Unknown]]=0),1,0)</f>
        <v>0</v>
      </c>
      <c r="AE1037">
        <f>IF(AND(vp.tbl[[#This Row],[CrudeType]]="Crude",vp.tbl[[#This Row],[Dens]]&gt;900,vp.tbl[[#This Row],[Sulf]]&lt;=0.5,vp.tbl[[#This Row],[Unknown]]=0),1,0)</f>
        <v>0</v>
      </c>
      <c r="AF1037">
        <f>IF(AND(vp.tbl[[#This Row],[CrudeType]]="Crude",vp.tbl[[#This Row],[Dens]]&gt;900,vp.tbl[[#This Row],[Sulf]]&lt;=0.5,vp.tbl[[#This Row],[Unknown]]=0),1,0)</f>
        <v>0</v>
      </c>
      <c r="AG1037" t="str">
        <f>INDEX(vp.tbl[[#Headers],[Unknown]:[Heavy_SW]],MATCH(1,vp.tbl[[#This Row],[Unknown]:[Heavy_SW]],0))</f>
        <v>Medium_LSB</v>
      </c>
      <c r="AH1037" t="e">
        <f>INDEX([1]!crudeBD.lkup[Number],MATCH(vp.tbl[[#This Row],[Crude_Breakdown]],[1]!crudeBD.lkup[Crude Breakdown],0))</f>
        <v>#REF!</v>
      </c>
      <c r="AI1037">
        <f>MONTH(vp.tbl[[#This Row],[SDate]])</f>
        <v>3</v>
      </c>
      <c r="AJ1037" s="5">
        <f>IFERROR(vp.tbl[[#This Row],[Sulf]]*vp.tbl[[#This Row],[Net Dens]],"")</f>
        <v>221109.93556739995</v>
      </c>
      <c r="AK1037" s="5">
        <f>IFERROR(vp.tbl[[#This Row],[Dens]]*vp.tbl[[#This Row],[VolumeM3]],"")</f>
        <v>142559.59739999997</v>
      </c>
      <c r="AL1037" s="5">
        <f>IFERROR(vp.tbl[[#This Row],[VP]]*vp.tbl[[#This Row],[VolumeM3]],"")</f>
        <v>12423.457799999998</v>
      </c>
      <c r="AM1037" s="4">
        <f>IFERROR((vp.tbl[[#This Row],[VP]]-INDEX(crudeBD.lkup.complete[Mean_VP],MATCH(vp.tbl[[#This Row],[Crude_Breakdown]],crudeBD.lkup.complete[Crude Breakdown],0)))^2,"")</f>
        <v>36.888555455215133</v>
      </c>
      <c r="AN1037" s="4">
        <f>IFERROR((vp.tbl[[#This Row],[Dens]]-INDEX(crudeBD.lkup.complete[Mean_Dens],MATCH(vp.tbl[[#This Row],[Crude_Breakdown]],crudeBD.lkup.complete[Crude Breakdown],0)))^2,"")</f>
        <v>25.081839018756401</v>
      </c>
      <c r="AO1037" s="4">
        <f>IFERROR((vp.tbl[[#This Row],[Sulf]]-INDEX(crudeBD.lkup.complete[Mean_Sulf],MATCH(vp.tbl[[#This Row],[Crude_Breakdown]],crudeBD.lkup.complete[Crude Breakdown],0)))^2,"")</f>
        <v>9.2294716536899767E-3</v>
      </c>
      <c r="AP1037">
        <f>IF(AND(vp.tbl[[#This Row],[SDate]]&gt;=DATE(YEAR(vp.tbl[[#This Row],[SDate]]),5,1),vp.tbl[[#This Row],[SDate]]&lt;=DATE(YEAR(vp.tbl[[#This Row],[SDate]]),9,15)),1,0)</f>
        <v>0</v>
      </c>
      <c r="AQ1037" s="15">
        <f>IF(vp.tbl[[#This Row],[SDate]]&lt;DATE(2016,12,1),0,1)</f>
        <v>1</v>
      </c>
    </row>
    <row r="1038" spans="1:43" x14ac:dyDescent="0.25">
      <c r="A1038">
        <v>1037</v>
      </c>
      <c r="B1038" t="s">
        <v>68</v>
      </c>
      <c r="C1038" t="s">
        <v>68</v>
      </c>
      <c r="D1038" t="s">
        <v>203</v>
      </c>
      <c r="F1038" s="1">
        <v>42811</v>
      </c>
      <c r="G1038" s="2">
        <v>65.099999999999994</v>
      </c>
      <c r="H1038" s="2"/>
      <c r="I1038" s="2">
        <v>1.28</v>
      </c>
      <c r="J1038" s="2">
        <v>22.2</v>
      </c>
      <c r="K1038" s="2">
        <v>-1</v>
      </c>
      <c r="L1038" s="2">
        <v>846.8</v>
      </c>
      <c r="M1038" s="2">
        <v>846.8</v>
      </c>
      <c r="N1038" s="2">
        <f ca="1">INDEX(INDIRECT(_xlfn.CONCAT("weather.tbl[",N$1,"]")),MATCH(vp.tbl[[#This Row],[SDate]],weather.tbl[Date],0))</f>
        <v>-1.7</v>
      </c>
      <c r="O1038" s="2">
        <f ca="1">INDEX(INDIRECT(_xlfn.CONCAT("weather.tbl[",O$1,"]")),MATCH(vp.tbl[[#This Row],[SDate]],weather.tbl[Date],0))</f>
        <v>-9.3785714285714299</v>
      </c>
      <c r="P1038" s="2">
        <f ca="1">INDEX(INDIRECT(_xlfn.CONCAT("weather.tbl[",P$1,"]")),MATCH(vp.tbl[[#This Row],[SDate]],weather.tbl[Date],0))</f>
        <v>-2.6</v>
      </c>
      <c r="Q1038" s="2">
        <f ca="1">INDEX(INDIRECT(_xlfn.CONCAT("weather.tbl[",Q$1,"]")),MATCH(vp.tbl[[#This Row],[SDate]],weather.tbl[Date],0))</f>
        <v>-1.3</v>
      </c>
      <c r="R1038" s="2">
        <f ca="1">INDEX(INDIRECT(_xlfn.CONCAT("weather.tbl[",R$1,"]")),MATCH(vp.tbl[[#This Row],[SDate]],weather.tbl[Date],0))</f>
        <v>-0.8</v>
      </c>
      <c r="S1038" s="2">
        <f ca="1">INDEX(INDIRECT(_xlfn.CONCAT("weather.tbl[",S$1,"]")),MATCH(vp.tbl[[#This Row],[SDate]],weather.tbl[Date],0))</f>
        <v>0.2</v>
      </c>
      <c r="T1038" s="2">
        <f ca="1">INDEX(INDIRECT(_xlfn.CONCAT("weather.tbl[",T$1,"]")),MATCH(vp.tbl[[#This Row],[SDate]],weather.tbl[Date],0))</f>
        <v>-3.4</v>
      </c>
      <c r="U1038" s="2">
        <f ca="1">INDEX(INDIRECT(_xlfn.CONCAT("weather.tbl[",U$1,"]")),MATCH(vp.tbl[[#This Row],[SDate]],weather.tbl[Date],0))</f>
        <v>-2.2999999999999998</v>
      </c>
      <c r="V1038" s="2">
        <v>2413.5329999999999</v>
      </c>
      <c r="W1038" t="s">
        <v>48</v>
      </c>
      <c r="X1038">
        <f>IF(OR(vp.tbl[[#This Row],[Sulf]]="",vp.tbl[[#This Row],[Dens]]=""),1,0)</f>
        <v>0</v>
      </c>
      <c r="Y1038">
        <f>IF(vp.tbl[[#This Row],[CrudeType]]="C5+",1,0)</f>
        <v>0</v>
      </c>
      <c r="Z1038">
        <f>IF(AND(vp.tbl[[#This Row],[CrudeType]]="Crude",vp.tbl[[#This Row],[Dens]]&lt;=825,vp.tbl[[#This Row],[Sulf]]&gt;0.5,vp.tbl[[#This Row],[Unknown]]=0),1,0)</f>
        <v>0</v>
      </c>
      <c r="AA1038">
        <f>IF(AND(vp.tbl[[#This Row],[CrudeType]]="Crude",vp.tbl[[#This Row],[Dens]]&lt;=825,vp.tbl[[#This Row],[Sulf]]&lt;=0.5,vp.tbl[[#This Row],[Unknown]]=0),1,0)</f>
        <v>0</v>
      </c>
      <c r="AB1038">
        <f>IF(AND(vp.tbl[[#This Row],[CrudeType]]="Crude",vp.tbl[[#This Row],[Dens]]&gt;825,vp.tbl[[#This Row],[Dens]]&lt;=870,vp.tbl[[#This Row],[Sulf]]&gt;0.5,vp.tbl[[#This Row],[Unknown]]=0),1,0)</f>
        <v>1</v>
      </c>
      <c r="AC1038">
        <f>IF(AND(vp.tbl[[#This Row],[CrudeType]]="Crude",vp.tbl[[#This Row],[Dens]]&gt;825,vp.tbl[[#This Row],[Dens]]&lt;=900,vp.tbl[[#This Row],[Sulf]]&lt;=0.5,vp.tbl[[#This Row],[Unknown]]=0),1,0)</f>
        <v>0</v>
      </c>
      <c r="AD1038">
        <f>IF(AND(vp.tbl[[#This Row],[CrudeType]]="Crude",vp.tbl[[#This Row],[Dens]]&gt;870,vp.tbl[[#This Row],[Dens]]&lt;=900,vp.tbl[[#This Row],[Sulf]]&gt;0.5,vp.tbl[[#This Row],[Unknown]]=0),1,0)</f>
        <v>0</v>
      </c>
      <c r="AE1038">
        <f>IF(AND(vp.tbl[[#This Row],[CrudeType]]="Crude",vp.tbl[[#This Row],[Dens]]&gt;900,vp.tbl[[#This Row],[Sulf]]&lt;=0.5,vp.tbl[[#This Row],[Unknown]]=0),1,0)</f>
        <v>0</v>
      </c>
      <c r="AF1038">
        <f>IF(AND(vp.tbl[[#This Row],[CrudeType]]="Crude",vp.tbl[[#This Row],[Dens]]&gt;900,vp.tbl[[#This Row],[Sulf]]&lt;=0.5,vp.tbl[[#This Row],[Unknown]]=0),1,0)</f>
        <v>0</v>
      </c>
      <c r="AG1038" t="str">
        <f>INDEX(vp.tbl[[#Headers],[Unknown]:[Heavy_SW]],MATCH(1,vp.tbl[[#This Row],[Unknown]:[Heavy_SW]],0))</f>
        <v>Medium_LSB</v>
      </c>
      <c r="AH1038" t="e">
        <f>INDEX([1]!crudeBD.lkup[Number],MATCH(vp.tbl[[#This Row],[Crude_Breakdown]],[1]!crudeBD.lkup[Crude Breakdown],0))</f>
        <v>#REF!</v>
      </c>
      <c r="AI1038">
        <f>MONTH(vp.tbl[[#This Row],[SDate]])</f>
        <v>3</v>
      </c>
      <c r="AJ1038" s="5">
        <f>IFERROR(vp.tbl[[#This Row],[Sulf]]*vp.tbl[[#This Row],[Net Dens]],"")</f>
        <v>2616038.0728319995</v>
      </c>
      <c r="AK1038" s="5">
        <f>IFERROR(vp.tbl[[#This Row],[Dens]]*vp.tbl[[#This Row],[VolumeM3]],"")</f>
        <v>2043779.7443999997</v>
      </c>
      <c r="AL1038" s="5">
        <f>IFERROR(vp.tbl[[#This Row],[VP]]*vp.tbl[[#This Row],[VolumeM3]],"")</f>
        <v>157120.99829999998</v>
      </c>
      <c r="AM1038" s="4">
        <f>IFERROR((vp.tbl[[#This Row],[VP]]-INDEX(crudeBD.lkup.complete[Mean_VP],MATCH(vp.tbl[[#This Row],[Crude_Breakdown]],crudeBD.lkup.complete[Crude Breakdown],0)))^2,"")</f>
        <v>227.21326431597407</v>
      </c>
      <c r="AN1038" s="4">
        <f>IFERROR((vp.tbl[[#This Row],[Dens]]-INDEX(crudeBD.lkup.complete[Mean_Dens],MATCH(vp.tbl[[#This Row],[Crude_Breakdown]],crudeBD.lkup.complete[Crude Breakdown],0)))^2,"")</f>
        <v>2.2745985124207149</v>
      </c>
      <c r="AO1038" s="4">
        <f>IFERROR((vp.tbl[[#This Row],[Sulf]]-INDEX(crudeBD.lkup.complete[Mean_Sulf],MATCH(vp.tbl[[#This Row],[Crude_Breakdown]],crudeBD.lkup.complete[Crude Breakdown],0)))^2,"")</f>
        <v>3.0600456185336352E-2</v>
      </c>
      <c r="AP1038">
        <f>IF(AND(vp.tbl[[#This Row],[SDate]]&gt;=DATE(YEAR(vp.tbl[[#This Row],[SDate]]),5,1),vp.tbl[[#This Row],[SDate]]&lt;=DATE(YEAR(vp.tbl[[#This Row],[SDate]]),9,15)),1,0)</f>
        <v>0</v>
      </c>
      <c r="AQ1038" s="15">
        <f>IF(vp.tbl[[#This Row],[SDate]]&lt;DATE(2016,12,1),0,1)</f>
        <v>1</v>
      </c>
    </row>
    <row r="1039" spans="1:43" x14ac:dyDescent="0.25">
      <c r="A1039">
        <v>1038</v>
      </c>
      <c r="B1039" t="s">
        <v>51</v>
      </c>
      <c r="C1039" t="s">
        <v>51</v>
      </c>
      <c r="D1039" t="s">
        <v>204</v>
      </c>
      <c r="F1039" s="1">
        <v>42811</v>
      </c>
      <c r="G1039" s="2">
        <v>86.2</v>
      </c>
      <c r="H1039" s="2"/>
      <c r="I1039" s="2">
        <v>1.27</v>
      </c>
      <c r="J1039" s="2">
        <v>7.5</v>
      </c>
      <c r="K1039" s="2">
        <v>-1</v>
      </c>
      <c r="L1039" s="2">
        <v>847.5</v>
      </c>
      <c r="M1039" s="2">
        <v>847.5</v>
      </c>
      <c r="N1039" s="2">
        <f ca="1">INDEX(INDIRECT(_xlfn.CONCAT("weather.tbl[",N$1,"]")),MATCH(vp.tbl[[#This Row],[SDate]],weather.tbl[Date],0))</f>
        <v>-1.7</v>
      </c>
      <c r="O1039" s="2">
        <f ca="1">INDEX(INDIRECT(_xlfn.CONCAT("weather.tbl[",O$1,"]")),MATCH(vp.tbl[[#This Row],[SDate]],weather.tbl[Date],0))</f>
        <v>-9.3785714285714299</v>
      </c>
      <c r="P1039" s="2">
        <f ca="1">INDEX(INDIRECT(_xlfn.CONCAT("weather.tbl[",P$1,"]")),MATCH(vp.tbl[[#This Row],[SDate]],weather.tbl[Date],0))</f>
        <v>-2.6</v>
      </c>
      <c r="Q1039" s="2">
        <f ca="1">INDEX(INDIRECT(_xlfn.CONCAT("weather.tbl[",Q$1,"]")),MATCH(vp.tbl[[#This Row],[SDate]],weather.tbl[Date],0))</f>
        <v>-1.3</v>
      </c>
      <c r="R1039" s="2">
        <f ca="1">INDEX(INDIRECT(_xlfn.CONCAT("weather.tbl[",R$1,"]")),MATCH(vp.tbl[[#This Row],[SDate]],weather.tbl[Date],0))</f>
        <v>-0.8</v>
      </c>
      <c r="S1039" s="2">
        <f ca="1">INDEX(INDIRECT(_xlfn.CONCAT("weather.tbl[",S$1,"]")),MATCH(vp.tbl[[#This Row],[SDate]],weather.tbl[Date],0))</f>
        <v>0.2</v>
      </c>
      <c r="T1039" s="2">
        <f ca="1">INDEX(INDIRECT(_xlfn.CONCAT("weather.tbl[",T$1,"]")),MATCH(vp.tbl[[#This Row],[SDate]],weather.tbl[Date],0))</f>
        <v>-3.4</v>
      </c>
      <c r="U1039" s="2">
        <f ca="1">INDEX(INDIRECT(_xlfn.CONCAT("weather.tbl[",U$1,"]")),MATCH(vp.tbl[[#This Row],[SDate]],weather.tbl[Date],0))</f>
        <v>-2.2999999999999998</v>
      </c>
      <c r="V1039" s="2">
        <v>229.31899999999999</v>
      </c>
      <c r="W1039" t="s">
        <v>48</v>
      </c>
      <c r="X1039">
        <f>IF(OR(vp.tbl[[#This Row],[Sulf]]="",vp.tbl[[#This Row],[Dens]]=""),1,0)</f>
        <v>0</v>
      </c>
      <c r="Y1039">
        <f>IF(vp.tbl[[#This Row],[CrudeType]]="C5+",1,0)</f>
        <v>0</v>
      </c>
      <c r="Z1039">
        <f>IF(AND(vp.tbl[[#This Row],[CrudeType]]="Crude",vp.tbl[[#This Row],[Dens]]&lt;=825,vp.tbl[[#This Row],[Sulf]]&gt;0.5,vp.tbl[[#This Row],[Unknown]]=0),1,0)</f>
        <v>0</v>
      </c>
      <c r="AA1039">
        <f>IF(AND(vp.tbl[[#This Row],[CrudeType]]="Crude",vp.tbl[[#This Row],[Dens]]&lt;=825,vp.tbl[[#This Row],[Sulf]]&lt;=0.5,vp.tbl[[#This Row],[Unknown]]=0),1,0)</f>
        <v>0</v>
      </c>
      <c r="AB1039">
        <f>IF(AND(vp.tbl[[#This Row],[CrudeType]]="Crude",vp.tbl[[#This Row],[Dens]]&gt;825,vp.tbl[[#This Row],[Dens]]&lt;=870,vp.tbl[[#This Row],[Sulf]]&gt;0.5,vp.tbl[[#This Row],[Unknown]]=0),1,0)</f>
        <v>1</v>
      </c>
      <c r="AC1039">
        <f>IF(AND(vp.tbl[[#This Row],[CrudeType]]="Crude",vp.tbl[[#This Row],[Dens]]&gt;825,vp.tbl[[#This Row],[Dens]]&lt;=900,vp.tbl[[#This Row],[Sulf]]&lt;=0.5,vp.tbl[[#This Row],[Unknown]]=0),1,0)</f>
        <v>0</v>
      </c>
      <c r="AD1039">
        <f>IF(AND(vp.tbl[[#This Row],[CrudeType]]="Crude",vp.tbl[[#This Row],[Dens]]&gt;870,vp.tbl[[#This Row],[Dens]]&lt;=900,vp.tbl[[#This Row],[Sulf]]&gt;0.5,vp.tbl[[#This Row],[Unknown]]=0),1,0)</f>
        <v>0</v>
      </c>
      <c r="AE1039">
        <f>IF(AND(vp.tbl[[#This Row],[CrudeType]]="Crude",vp.tbl[[#This Row],[Dens]]&gt;900,vp.tbl[[#This Row],[Sulf]]&lt;=0.5,vp.tbl[[#This Row],[Unknown]]=0),1,0)</f>
        <v>0</v>
      </c>
      <c r="AF1039">
        <f>IF(AND(vp.tbl[[#This Row],[CrudeType]]="Crude",vp.tbl[[#This Row],[Dens]]&gt;900,vp.tbl[[#This Row],[Sulf]]&lt;=0.5,vp.tbl[[#This Row],[Unknown]]=0),1,0)</f>
        <v>0</v>
      </c>
      <c r="AG1039" t="str">
        <f>INDEX(vp.tbl[[#Headers],[Unknown]:[Heavy_SW]],MATCH(1,vp.tbl[[#This Row],[Unknown]:[Heavy_SW]],0))</f>
        <v>Medium_LSB</v>
      </c>
      <c r="AH1039" t="e">
        <f>INDEX([1]!crudeBD.lkup[Number],MATCH(vp.tbl[[#This Row],[Crude_Breakdown]],[1]!crudeBD.lkup[Crude Breakdown],0))</f>
        <v>#REF!</v>
      </c>
      <c r="AI1039">
        <f>MONTH(vp.tbl[[#This Row],[SDate]])</f>
        <v>3</v>
      </c>
      <c r="AJ1039" s="5">
        <f>IFERROR(vp.tbl[[#This Row],[Sulf]]*vp.tbl[[#This Row],[Net Dens]],"")</f>
        <v>246821.77267499999</v>
      </c>
      <c r="AK1039" s="5">
        <f>IFERROR(vp.tbl[[#This Row],[Dens]]*vp.tbl[[#This Row],[VolumeM3]],"")</f>
        <v>194347.85249999998</v>
      </c>
      <c r="AL1039" s="5">
        <f>IFERROR(vp.tbl[[#This Row],[VP]]*vp.tbl[[#This Row],[VolumeM3]],"")</f>
        <v>19767.2978</v>
      </c>
      <c r="AM1039" s="4">
        <f>IFERROR((vp.tbl[[#This Row],[VP]]-INDEX(crudeBD.lkup.complete[Mean_VP],MATCH(vp.tbl[[#This Row],[Crude_Breakdown]],crudeBD.lkup.complete[Crude Breakdown],0)))^2,"")</f>
        <v>36.317557986861559</v>
      </c>
      <c r="AN1039" s="4">
        <f>IFERROR((vp.tbl[[#This Row],[Dens]]-INDEX(crudeBD.lkup.complete[Mean_Dens],MATCH(vp.tbl[[#This Row],[Crude_Breakdown]],crudeBD.lkup.complete[Crude Breakdown],0)))^2,"")</f>
        <v>4.8760466136880529</v>
      </c>
      <c r="AO1039" s="4">
        <f>IFERROR((vp.tbl[[#This Row],[Sulf]]-INDEX(crudeBD.lkup.complete[Mean_Sulf],MATCH(vp.tbl[[#This Row],[Crude_Breakdown]],crudeBD.lkup.complete[Crude Breakdown],0)))^2,"")</f>
        <v>3.4199053400526258E-2</v>
      </c>
      <c r="AP1039">
        <f>IF(AND(vp.tbl[[#This Row],[SDate]]&gt;=DATE(YEAR(vp.tbl[[#This Row],[SDate]]),5,1),vp.tbl[[#This Row],[SDate]]&lt;=DATE(YEAR(vp.tbl[[#This Row],[SDate]]),9,15)),1,0)</f>
        <v>0</v>
      </c>
      <c r="AQ1039" s="15">
        <f>IF(vp.tbl[[#This Row],[SDate]]&lt;DATE(2016,12,1),0,1)</f>
        <v>1</v>
      </c>
    </row>
    <row r="1040" spans="1:43" x14ac:dyDescent="0.25">
      <c r="A1040">
        <v>1039</v>
      </c>
      <c r="B1040" t="s">
        <v>51</v>
      </c>
      <c r="C1040" t="s">
        <v>51</v>
      </c>
      <c r="D1040" t="s">
        <v>205</v>
      </c>
      <c r="F1040" s="1">
        <v>42811</v>
      </c>
      <c r="G1040" s="2">
        <v>62.6</v>
      </c>
      <c r="H1040" s="2"/>
      <c r="I1040" s="2">
        <v>1.4</v>
      </c>
      <c r="J1040" s="2">
        <v>16.8</v>
      </c>
      <c r="K1040" s="2">
        <v>-1</v>
      </c>
      <c r="L1040" s="2">
        <v>850.1</v>
      </c>
      <c r="M1040" s="2">
        <v>850.1</v>
      </c>
      <c r="N1040" s="2">
        <f ca="1">INDEX(INDIRECT(_xlfn.CONCAT("weather.tbl[",N$1,"]")),MATCH(vp.tbl[[#This Row],[SDate]],weather.tbl[Date],0))</f>
        <v>-1.7</v>
      </c>
      <c r="O1040" s="2">
        <f ca="1">INDEX(INDIRECT(_xlfn.CONCAT("weather.tbl[",O$1,"]")),MATCH(vp.tbl[[#This Row],[SDate]],weather.tbl[Date],0))</f>
        <v>-9.3785714285714299</v>
      </c>
      <c r="P1040" s="2">
        <f ca="1">INDEX(INDIRECT(_xlfn.CONCAT("weather.tbl[",P$1,"]")),MATCH(vp.tbl[[#This Row],[SDate]],weather.tbl[Date],0))</f>
        <v>-2.6</v>
      </c>
      <c r="Q1040" s="2">
        <f ca="1">INDEX(INDIRECT(_xlfn.CONCAT("weather.tbl[",Q$1,"]")),MATCH(vp.tbl[[#This Row],[SDate]],weather.tbl[Date],0))</f>
        <v>-1.3</v>
      </c>
      <c r="R1040" s="2">
        <f ca="1">INDEX(INDIRECT(_xlfn.CONCAT("weather.tbl[",R$1,"]")),MATCH(vp.tbl[[#This Row],[SDate]],weather.tbl[Date],0))</f>
        <v>-0.8</v>
      </c>
      <c r="S1040" s="2">
        <f ca="1">INDEX(INDIRECT(_xlfn.CONCAT("weather.tbl[",S$1,"]")),MATCH(vp.tbl[[#This Row],[SDate]],weather.tbl[Date],0))</f>
        <v>0.2</v>
      </c>
      <c r="T1040" s="2">
        <f ca="1">INDEX(INDIRECT(_xlfn.CONCAT("weather.tbl[",T$1,"]")),MATCH(vp.tbl[[#This Row],[SDate]],weather.tbl[Date],0))</f>
        <v>-3.4</v>
      </c>
      <c r="U1040" s="2">
        <f ca="1">INDEX(INDIRECT(_xlfn.CONCAT("weather.tbl[",U$1,"]")),MATCH(vp.tbl[[#This Row],[SDate]],weather.tbl[Date],0))</f>
        <v>-2.2999999999999998</v>
      </c>
      <c r="V1040" s="2">
        <v>686.59100000000001</v>
      </c>
      <c r="W1040" t="s">
        <v>48</v>
      </c>
      <c r="X1040">
        <f>IF(OR(vp.tbl[[#This Row],[Sulf]]="",vp.tbl[[#This Row],[Dens]]=""),1,0)</f>
        <v>0</v>
      </c>
      <c r="Y1040">
        <f>IF(vp.tbl[[#This Row],[CrudeType]]="C5+",1,0)</f>
        <v>0</v>
      </c>
      <c r="Z1040">
        <f>IF(AND(vp.tbl[[#This Row],[CrudeType]]="Crude",vp.tbl[[#This Row],[Dens]]&lt;=825,vp.tbl[[#This Row],[Sulf]]&gt;0.5,vp.tbl[[#This Row],[Unknown]]=0),1,0)</f>
        <v>0</v>
      </c>
      <c r="AA1040">
        <f>IF(AND(vp.tbl[[#This Row],[CrudeType]]="Crude",vp.tbl[[#This Row],[Dens]]&lt;=825,vp.tbl[[#This Row],[Sulf]]&lt;=0.5,vp.tbl[[#This Row],[Unknown]]=0),1,0)</f>
        <v>0</v>
      </c>
      <c r="AB1040">
        <f>IF(AND(vp.tbl[[#This Row],[CrudeType]]="Crude",vp.tbl[[#This Row],[Dens]]&gt;825,vp.tbl[[#This Row],[Dens]]&lt;=870,vp.tbl[[#This Row],[Sulf]]&gt;0.5,vp.tbl[[#This Row],[Unknown]]=0),1,0)</f>
        <v>1</v>
      </c>
      <c r="AC1040">
        <f>IF(AND(vp.tbl[[#This Row],[CrudeType]]="Crude",vp.tbl[[#This Row],[Dens]]&gt;825,vp.tbl[[#This Row],[Dens]]&lt;=900,vp.tbl[[#This Row],[Sulf]]&lt;=0.5,vp.tbl[[#This Row],[Unknown]]=0),1,0)</f>
        <v>0</v>
      </c>
      <c r="AD1040">
        <f>IF(AND(vp.tbl[[#This Row],[CrudeType]]="Crude",vp.tbl[[#This Row],[Dens]]&gt;870,vp.tbl[[#This Row],[Dens]]&lt;=900,vp.tbl[[#This Row],[Sulf]]&gt;0.5,vp.tbl[[#This Row],[Unknown]]=0),1,0)</f>
        <v>0</v>
      </c>
      <c r="AE1040">
        <f>IF(AND(vp.tbl[[#This Row],[CrudeType]]="Crude",vp.tbl[[#This Row],[Dens]]&gt;900,vp.tbl[[#This Row],[Sulf]]&lt;=0.5,vp.tbl[[#This Row],[Unknown]]=0),1,0)</f>
        <v>0</v>
      </c>
      <c r="AF1040">
        <f>IF(AND(vp.tbl[[#This Row],[CrudeType]]="Crude",vp.tbl[[#This Row],[Dens]]&gt;900,vp.tbl[[#This Row],[Sulf]]&lt;=0.5,vp.tbl[[#This Row],[Unknown]]=0),1,0)</f>
        <v>0</v>
      </c>
      <c r="AG1040" t="str">
        <f>INDEX(vp.tbl[[#Headers],[Unknown]:[Heavy_SW]],MATCH(1,vp.tbl[[#This Row],[Unknown]:[Heavy_SW]],0))</f>
        <v>Medium_LSB</v>
      </c>
      <c r="AH1040" t="e">
        <f>INDEX([1]!crudeBD.lkup[Number],MATCH(vp.tbl[[#This Row],[Crude_Breakdown]],[1]!crudeBD.lkup[Crude Breakdown],0))</f>
        <v>#REF!</v>
      </c>
      <c r="AI1040">
        <f>MONTH(vp.tbl[[#This Row],[SDate]])</f>
        <v>3</v>
      </c>
      <c r="AJ1040" s="5">
        <f>IFERROR(vp.tbl[[#This Row],[Sulf]]*vp.tbl[[#This Row],[Net Dens]],"")</f>
        <v>817139.41273999994</v>
      </c>
      <c r="AK1040" s="5">
        <f>IFERROR(vp.tbl[[#This Row],[Dens]]*vp.tbl[[#This Row],[VolumeM3]],"")</f>
        <v>583671.00910000002</v>
      </c>
      <c r="AL1040" s="5">
        <f>IFERROR(vp.tbl[[#This Row],[VP]]*vp.tbl[[#This Row],[VolumeM3]],"")</f>
        <v>42980.596600000004</v>
      </c>
      <c r="AM1040" s="4">
        <f>IFERROR((vp.tbl[[#This Row],[VP]]-INDEX(crudeBD.lkup.complete[Mean_VP],MATCH(vp.tbl[[#This Row],[Crude_Breakdown]],crudeBD.lkup.complete[Crude Breakdown],0)))^2,"")</f>
        <v>308.83123899951795</v>
      </c>
      <c r="AN1040" s="4">
        <f>IFERROR((vp.tbl[[#This Row],[Dens]]-INDEX(crudeBD.lkup.complete[Mean_Dens],MATCH(vp.tbl[[#This Row],[Crude_Breakdown]],crudeBD.lkup.complete[Crude Breakdown],0)))^2,"")</f>
        <v>23.118568132680736</v>
      </c>
      <c r="AO1040" s="4">
        <f>IFERROR((vp.tbl[[#This Row],[Sulf]]-INDEX(crudeBD.lkup.complete[Mean_Sulf],MATCH(vp.tbl[[#This Row],[Crude_Breakdown]],crudeBD.lkup.complete[Crude Breakdown],0)))^2,"")</f>
        <v>3.0172896030575352E-3</v>
      </c>
      <c r="AP1040">
        <f>IF(AND(vp.tbl[[#This Row],[SDate]]&gt;=DATE(YEAR(vp.tbl[[#This Row],[SDate]]),5,1),vp.tbl[[#This Row],[SDate]]&lt;=DATE(YEAR(vp.tbl[[#This Row],[SDate]]),9,15)),1,0)</f>
        <v>0</v>
      </c>
      <c r="AQ1040" s="15">
        <f>IF(vp.tbl[[#This Row],[SDate]]&lt;DATE(2016,12,1),0,1)</f>
        <v>1</v>
      </c>
    </row>
    <row r="1041" spans="1:43" x14ac:dyDescent="0.25">
      <c r="A1041">
        <v>1040</v>
      </c>
      <c r="B1041" t="s">
        <v>51</v>
      </c>
      <c r="C1041" t="s">
        <v>51</v>
      </c>
      <c r="D1041" t="s">
        <v>206</v>
      </c>
      <c r="F1041" s="1">
        <v>42811</v>
      </c>
      <c r="G1041" s="2">
        <v>66.3</v>
      </c>
      <c r="H1041" s="2"/>
      <c r="I1041" s="2">
        <v>1.47</v>
      </c>
      <c r="J1041" s="2">
        <v>24</v>
      </c>
      <c r="K1041" s="2">
        <v>-1</v>
      </c>
      <c r="L1041" s="2">
        <v>853.6</v>
      </c>
      <c r="M1041" s="2">
        <v>853.6</v>
      </c>
      <c r="N1041" s="2">
        <f ca="1">INDEX(INDIRECT(_xlfn.CONCAT("weather.tbl[",N$1,"]")),MATCH(vp.tbl[[#This Row],[SDate]],weather.tbl[Date],0))</f>
        <v>-1.7</v>
      </c>
      <c r="O1041" s="2">
        <f ca="1">INDEX(INDIRECT(_xlfn.CONCAT("weather.tbl[",O$1,"]")),MATCH(vp.tbl[[#This Row],[SDate]],weather.tbl[Date],0))</f>
        <v>-9.3785714285714299</v>
      </c>
      <c r="P1041" s="2">
        <f ca="1">INDEX(INDIRECT(_xlfn.CONCAT("weather.tbl[",P$1,"]")),MATCH(vp.tbl[[#This Row],[SDate]],weather.tbl[Date],0))</f>
        <v>-2.6</v>
      </c>
      <c r="Q1041" s="2">
        <f ca="1">INDEX(INDIRECT(_xlfn.CONCAT("weather.tbl[",Q$1,"]")),MATCH(vp.tbl[[#This Row],[SDate]],weather.tbl[Date],0))</f>
        <v>-1.3</v>
      </c>
      <c r="R1041" s="2">
        <f ca="1">INDEX(INDIRECT(_xlfn.CONCAT("weather.tbl[",R$1,"]")),MATCH(vp.tbl[[#This Row],[SDate]],weather.tbl[Date],0))</f>
        <v>-0.8</v>
      </c>
      <c r="S1041" s="2">
        <f ca="1">INDEX(INDIRECT(_xlfn.CONCAT("weather.tbl[",S$1,"]")),MATCH(vp.tbl[[#This Row],[SDate]],weather.tbl[Date],0))</f>
        <v>0.2</v>
      </c>
      <c r="T1041" s="2">
        <f ca="1">INDEX(INDIRECT(_xlfn.CONCAT("weather.tbl[",T$1,"]")),MATCH(vp.tbl[[#This Row],[SDate]],weather.tbl[Date],0))</f>
        <v>-3.4</v>
      </c>
      <c r="U1041" s="2">
        <f ca="1">INDEX(INDIRECT(_xlfn.CONCAT("weather.tbl[",U$1,"]")),MATCH(vp.tbl[[#This Row],[SDate]],weather.tbl[Date],0))</f>
        <v>-2.2999999999999998</v>
      </c>
      <c r="V1041" s="2">
        <v>789.12599999999998</v>
      </c>
      <c r="W1041" t="s">
        <v>48</v>
      </c>
      <c r="X1041">
        <f>IF(OR(vp.tbl[[#This Row],[Sulf]]="",vp.tbl[[#This Row],[Dens]]=""),1,0)</f>
        <v>0</v>
      </c>
      <c r="Y1041">
        <f>IF(vp.tbl[[#This Row],[CrudeType]]="C5+",1,0)</f>
        <v>0</v>
      </c>
      <c r="Z1041">
        <f>IF(AND(vp.tbl[[#This Row],[CrudeType]]="Crude",vp.tbl[[#This Row],[Dens]]&lt;=825,vp.tbl[[#This Row],[Sulf]]&gt;0.5,vp.tbl[[#This Row],[Unknown]]=0),1,0)</f>
        <v>0</v>
      </c>
      <c r="AA1041">
        <f>IF(AND(vp.tbl[[#This Row],[CrudeType]]="Crude",vp.tbl[[#This Row],[Dens]]&lt;=825,vp.tbl[[#This Row],[Sulf]]&lt;=0.5,vp.tbl[[#This Row],[Unknown]]=0),1,0)</f>
        <v>0</v>
      </c>
      <c r="AB1041">
        <f>IF(AND(vp.tbl[[#This Row],[CrudeType]]="Crude",vp.tbl[[#This Row],[Dens]]&gt;825,vp.tbl[[#This Row],[Dens]]&lt;=870,vp.tbl[[#This Row],[Sulf]]&gt;0.5,vp.tbl[[#This Row],[Unknown]]=0),1,0)</f>
        <v>1</v>
      </c>
      <c r="AC1041">
        <f>IF(AND(vp.tbl[[#This Row],[CrudeType]]="Crude",vp.tbl[[#This Row],[Dens]]&gt;825,vp.tbl[[#This Row],[Dens]]&lt;=900,vp.tbl[[#This Row],[Sulf]]&lt;=0.5,vp.tbl[[#This Row],[Unknown]]=0),1,0)</f>
        <v>0</v>
      </c>
      <c r="AD1041">
        <f>IF(AND(vp.tbl[[#This Row],[CrudeType]]="Crude",vp.tbl[[#This Row],[Dens]]&gt;870,vp.tbl[[#This Row],[Dens]]&lt;=900,vp.tbl[[#This Row],[Sulf]]&gt;0.5,vp.tbl[[#This Row],[Unknown]]=0),1,0)</f>
        <v>0</v>
      </c>
      <c r="AE1041">
        <f>IF(AND(vp.tbl[[#This Row],[CrudeType]]="Crude",vp.tbl[[#This Row],[Dens]]&gt;900,vp.tbl[[#This Row],[Sulf]]&lt;=0.5,vp.tbl[[#This Row],[Unknown]]=0),1,0)</f>
        <v>0</v>
      </c>
      <c r="AF1041">
        <f>IF(AND(vp.tbl[[#This Row],[CrudeType]]="Crude",vp.tbl[[#This Row],[Dens]]&gt;900,vp.tbl[[#This Row],[Sulf]]&lt;=0.5,vp.tbl[[#This Row],[Unknown]]=0),1,0)</f>
        <v>0</v>
      </c>
      <c r="AG1041" t="str">
        <f>INDEX(vp.tbl[[#Headers],[Unknown]:[Heavy_SW]],MATCH(1,vp.tbl[[#This Row],[Unknown]:[Heavy_SW]],0))</f>
        <v>Medium_LSB</v>
      </c>
      <c r="AH1041" t="e">
        <f>INDEX([1]!crudeBD.lkup[Number],MATCH(vp.tbl[[#This Row],[Crude_Breakdown]],[1]!crudeBD.lkup[Crude Breakdown],0))</f>
        <v>#REF!</v>
      </c>
      <c r="AI1041">
        <f>MONTH(vp.tbl[[#This Row],[SDate]])</f>
        <v>3</v>
      </c>
      <c r="AJ1041" s="5">
        <f>IFERROR(vp.tbl[[#This Row],[Sulf]]*vp.tbl[[#This Row],[Net Dens]],"")</f>
        <v>990188.99179200002</v>
      </c>
      <c r="AK1041" s="5">
        <f>IFERROR(vp.tbl[[#This Row],[Dens]]*vp.tbl[[#This Row],[VolumeM3]],"")</f>
        <v>673597.95360000001</v>
      </c>
      <c r="AL1041" s="5">
        <f>IFERROR(vp.tbl[[#This Row],[VP]]*vp.tbl[[#This Row],[VolumeM3]],"")</f>
        <v>52319.053799999994</v>
      </c>
      <c r="AM1041" s="4">
        <f>IFERROR((vp.tbl[[#This Row],[VP]]-INDEX(crudeBD.lkup.complete[Mean_VP],MATCH(vp.tbl[[#This Row],[Crude_Breakdown]],crudeBD.lkup.complete[Crude Breakdown],0)))^2,"")</f>
        <v>192.47663646787279</v>
      </c>
      <c r="AN1041" s="4">
        <f>IFERROR((vp.tbl[[#This Row],[Dens]]-INDEX(crudeBD.lkup.complete[Mean_Dens],MATCH(vp.tbl[[#This Row],[Crude_Breakdown]],crudeBD.lkup.complete[Crude Breakdown],0)))^2,"")</f>
        <v>69.025808639016901</v>
      </c>
      <c r="AO1041" s="4">
        <f>IFERROR((vp.tbl[[#This Row],[Sulf]]-INDEX(crudeBD.lkup.complete[Mean_Sulf],MATCH(vp.tbl[[#This Row],[Crude_Breakdown]],crudeBD.lkup.complete[Crude Breakdown],0)))^2,"")</f>
        <v>2.2710909672820322E-4</v>
      </c>
      <c r="AP1041">
        <f>IF(AND(vp.tbl[[#This Row],[SDate]]&gt;=DATE(YEAR(vp.tbl[[#This Row],[SDate]]),5,1),vp.tbl[[#This Row],[SDate]]&lt;=DATE(YEAR(vp.tbl[[#This Row],[SDate]]),9,15)),1,0)</f>
        <v>0</v>
      </c>
      <c r="AQ1041" s="15">
        <f>IF(vp.tbl[[#This Row],[SDate]]&lt;DATE(2016,12,1),0,1)</f>
        <v>1</v>
      </c>
    </row>
    <row r="1042" spans="1:43" x14ac:dyDescent="0.25">
      <c r="A1042">
        <v>1041</v>
      </c>
      <c r="B1042" t="s">
        <v>51</v>
      </c>
      <c r="C1042" t="s">
        <v>51</v>
      </c>
      <c r="D1042" t="s">
        <v>207</v>
      </c>
      <c r="F1042" s="1">
        <v>42811</v>
      </c>
      <c r="G1042" s="2">
        <v>61</v>
      </c>
      <c r="H1042" s="2"/>
      <c r="I1042" s="2">
        <v>1.43</v>
      </c>
      <c r="J1042" s="2">
        <v>4.5999999999999996</v>
      </c>
      <c r="K1042" s="2">
        <v>-1</v>
      </c>
      <c r="L1042" s="2">
        <v>854</v>
      </c>
      <c r="M1042" s="2">
        <v>854</v>
      </c>
      <c r="N1042" s="2">
        <f ca="1">INDEX(INDIRECT(_xlfn.CONCAT("weather.tbl[",N$1,"]")),MATCH(vp.tbl[[#This Row],[SDate]],weather.tbl[Date],0))</f>
        <v>-1.7</v>
      </c>
      <c r="O1042" s="2">
        <f ca="1">INDEX(INDIRECT(_xlfn.CONCAT("weather.tbl[",O$1,"]")),MATCH(vp.tbl[[#This Row],[SDate]],weather.tbl[Date],0))</f>
        <v>-9.3785714285714299</v>
      </c>
      <c r="P1042" s="2">
        <f ca="1">INDEX(INDIRECT(_xlfn.CONCAT("weather.tbl[",P$1,"]")),MATCH(vp.tbl[[#This Row],[SDate]],weather.tbl[Date],0))</f>
        <v>-2.6</v>
      </c>
      <c r="Q1042" s="2">
        <f ca="1">INDEX(INDIRECT(_xlfn.CONCAT("weather.tbl[",Q$1,"]")),MATCH(vp.tbl[[#This Row],[SDate]],weather.tbl[Date],0))</f>
        <v>-1.3</v>
      </c>
      <c r="R1042" s="2">
        <f ca="1">INDEX(INDIRECT(_xlfn.CONCAT("weather.tbl[",R$1,"]")),MATCH(vp.tbl[[#This Row],[SDate]],weather.tbl[Date],0))</f>
        <v>-0.8</v>
      </c>
      <c r="S1042" s="2">
        <f ca="1">INDEX(INDIRECT(_xlfn.CONCAT("weather.tbl[",S$1,"]")),MATCH(vp.tbl[[#This Row],[SDate]],weather.tbl[Date],0))</f>
        <v>0.2</v>
      </c>
      <c r="T1042" s="2">
        <f ca="1">INDEX(INDIRECT(_xlfn.CONCAT("weather.tbl[",T$1,"]")),MATCH(vp.tbl[[#This Row],[SDate]],weather.tbl[Date],0))</f>
        <v>-3.4</v>
      </c>
      <c r="U1042" s="2">
        <f ca="1">INDEX(INDIRECT(_xlfn.CONCAT("weather.tbl[",U$1,"]")),MATCH(vp.tbl[[#This Row],[SDate]],weather.tbl[Date],0))</f>
        <v>-2.2999999999999998</v>
      </c>
      <c r="V1042" s="2">
        <v>273.02600000000001</v>
      </c>
      <c r="W1042" t="s">
        <v>48</v>
      </c>
      <c r="X1042">
        <f>IF(OR(vp.tbl[[#This Row],[Sulf]]="",vp.tbl[[#This Row],[Dens]]=""),1,0)</f>
        <v>0</v>
      </c>
      <c r="Y1042">
        <f>IF(vp.tbl[[#This Row],[CrudeType]]="C5+",1,0)</f>
        <v>0</v>
      </c>
      <c r="Z1042">
        <f>IF(AND(vp.tbl[[#This Row],[CrudeType]]="Crude",vp.tbl[[#This Row],[Dens]]&lt;=825,vp.tbl[[#This Row],[Sulf]]&gt;0.5,vp.tbl[[#This Row],[Unknown]]=0),1,0)</f>
        <v>0</v>
      </c>
      <c r="AA1042">
        <f>IF(AND(vp.tbl[[#This Row],[CrudeType]]="Crude",vp.tbl[[#This Row],[Dens]]&lt;=825,vp.tbl[[#This Row],[Sulf]]&lt;=0.5,vp.tbl[[#This Row],[Unknown]]=0),1,0)</f>
        <v>0</v>
      </c>
      <c r="AB1042">
        <f>IF(AND(vp.tbl[[#This Row],[CrudeType]]="Crude",vp.tbl[[#This Row],[Dens]]&gt;825,vp.tbl[[#This Row],[Dens]]&lt;=870,vp.tbl[[#This Row],[Sulf]]&gt;0.5,vp.tbl[[#This Row],[Unknown]]=0),1,0)</f>
        <v>1</v>
      </c>
      <c r="AC1042">
        <f>IF(AND(vp.tbl[[#This Row],[CrudeType]]="Crude",vp.tbl[[#This Row],[Dens]]&gt;825,vp.tbl[[#This Row],[Dens]]&lt;=900,vp.tbl[[#This Row],[Sulf]]&lt;=0.5,vp.tbl[[#This Row],[Unknown]]=0),1,0)</f>
        <v>0</v>
      </c>
      <c r="AD1042">
        <f>IF(AND(vp.tbl[[#This Row],[CrudeType]]="Crude",vp.tbl[[#This Row],[Dens]]&gt;870,vp.tbl[[#This Row],[Dens]]&lt;=900,vp.tbl[[#This Row],[Sulf]]&gt;0.5,vp.tbl[[#This Row],[Unknown]]=0),1,0)</f>
        <v>0</v>
      </c>
      <c r="AE1042">
        <f>IF(AND(vp.tbl[[#This Row],[CrudeType]]="Crude",vp.tbl[[#This Row],[Dens]]&gt;900,vp.tbl[[#This Row],[Sulf]]&lt;=0.5,vp.tbl[[#This Row],[Unknown]]=0),1,0)</f>
        <v>0</v>
      </c>
      <c r="AF1042">
        <f>IF(AND(vp.tbl[[#This Row],[CrudeType]]="Crude",vp.tbl[[#This Row],[Dens]]&gt;900,vp.tbl[[#This Row],[Sulf]]&lt;=0.5,vp.tbl[[#This Row],[Unknown]]=0),1,0)</f>
        <v>0</v>
      </c>
      <c r="AG1042" t="str">
        <f>INDEX(vp.tbl[[#Headers],[Unknown]:[Heavy_SW]],MATCH(1,vp.tbl[[#This Row],[Unknown]:[Heavy_SW]],0))</f>
        <v>Medium_LSB</v>
      </c>
      <c r="AH1042" t="e">
        <f>INDEX([1]!crudeBD.lkup[Number],MATCH(vp.tbl[[#This Row],[Crude_Breakdown]],[1]!crudeBD.lkup[Crude Breakdown],0))</f>
        <v>#REF!</v>
      </c>
      <c r="AI1042">
        <f>MONTH(vp.tbl[[#This Row],[SDate]])</f>
        <v>3</v>
      </c>
      <c r="AJ1042" s="5">
        <f>IFERROR(vp.tbl[[#This Row],[Sulf]]*vp.tbl[[#This Row],[Net Dens]],"")</f>
        <v>333424.81172</v>
      </c>
      <c r="AK1042" s="5">
        <f>IFERROR(vp.tbl[[#This Row],[Dens]]*vp.tbl[[#This Row],[VolumeM3]],"")</f>
        <v>233164.204</v>
      </c>
      <c r="AL1042" s="5">
        <f>IFERROR(vp.tbl[[#This Row],[VP]]*vp.tbl[[#This Row],[VolumeM3]],"")</f>
        <v>16654.585999999999</v>
      </c>
      <c r="AM1042" s="4">
        <f>IFERROR((vp.tbl[[#This Row],[VP]]-INDEX(crudeBD.lkup.complete[Mean_VP],MATCH(vp.tbl[[#This Row],[Crude_Breakdown]],crudeBD.lkup.complete[Crude Breakdown],0)))^2,"")</f>
        <v>367.62674279698626</v>
      </c>
      <c r="AN1042" s="4">
        <f>IFERROR((vp.tbl[[#This Row],[Dens]]-INDEX(crudeBD.lkup.complete[Mean_Dens],MATCH(vp.tbl[[#This Row],[Crude_Breakdown]],crudeBD.lkup.complete[Crude Breakdown],0)))^2,"")</f>
        <v>75.832350411169202</v>
      </c>
      <c r="AO1042" s="4">
        <f>IFERROR((vp.tbl[[#This Row],[Sulf]]-INDEX(crudeBD.lkup.complete[Mean_Sulf],MATCH(vp.tbl[[#This Row],[Crude_Breakdown]],crudeBD.lkup.complete[Crude Breakdown],0)))^2,"")</f>
        <v>6.2149795748781933E-4</v>
      </c>
      <c r="AP1042">
        <f>IF(AND(vp.tbl[[#This Row],[SDate]]&gt;=DATE(YEAR(vp.tbl[[#This Row],[SDate]]),5,1),vp.tbl[[#This Row],[SDate]]&lt;=DATE(YEAR(vp.tbl[[#This Row],[SDate]]),9,15)),1,0)</f>
        <v>0</v>
      </c>
      <c r="AQ1042" s="15">
        <f>IF(vp.tbl[[#This Row],[SDate]]&lt;DATE(2016,12,1),0,1)</f>
        <v>1</v>
      </c>
    </row>
    <row r="1043" spans="1:43" x14ac:dyDescent="0.25">
      <c r="A1043">
        <v>1042</v>
      </c>
      <c r="B1043" t="s">
        <v>51</v>
      </c>
      <c r="C1043" t="s">
        <v>51</v>
      </c>
      <c r="D1043" t="s">
        <v>208</v>
      </c>
      <c r="F1043" s="1">
        <v>42811</v>
      </c>
      <c r="G1043" s="2">
        <v>65.099999999999994</v>
      </c>
      <c r="H1043" s="2"/>
      <c r="I1043" s="2">
        <v>1.56</v>
      </c>
      <c r="J1043" s="2">
        <v>23.6</v>
      </c>
      <c r="K1043" s="2">
        <v>-1</v>
      </c>
      <c r="L1043" s="2">
        <v>855.2</v>
      </c>
      <c r="M1043" s="2">
        <v>855.2</v>
      </c>
      <c r="N1043" s="2">
        <f ca="1">INDEX(INDIRECT(_xlfn.CONCAT("weather.tbl[",N$1,"]")),MATCH(vp.tbl[[#This Row],[SDate]],weather.tbl[Date],0))</f>
        <v>-1.7</v>
      </c>
      <c r="O1043" s="2">
        <f ca="1">INDEX(INDIRECT(_xlfn.CONCAT("weather.tbl[",O$1,"]")),MATCH(vp.tbl[[#This Row],[SDate]],weather.tbl[Date],0))</f>
        <v>-9.3785714285714299</v>
      </c>
      <c r="P1043" s="2">
        <f ca="1">INDEX(INDIRECT(_xlfn.CONCAT("weather.tbl[",P$1,"]")),MATCH(vp.tbl[[#This Row],[SDate]],weather.tbl[Date],0))</f>
        <v>-2.6</v>
      </c>
      <c r="Q1043" s="2">
        <f ca="1">INDEX(INDIRECT(_xlfn.CONCAT("weather.tbl[",Q$1,"]")),MATCH(vp.tbl[[#This Row],[SDate]],weather.tbl[Date],0))</f>
        <v>-1.3</v>
      </c>
      <c r="R1043" s="2">
        <f ca="1">INDEX(INDIRECT(_xlfn.CONCAT("weather.tbl[",R$1,"]")),MATCH(vp.tbl[[#This Row],[SDate]],weather.tbl[Date],0))</f>
        <v>-0.8</v>
      </c>
      <c r="S1043" s="2">
        <f ca="1">INDEX(INDIRECT(_xlfn.CONCAT("weather.tbl[",S$1,"]")),MATCH(vp.tbl[[#This Row],[SDate]],weather.tbl[Date],0))</f>
        <v>0.2</v>
      </c>
      <c r="T1043" s="2">
        <f ca="1">INDEX(INDIRECT(_xlfn.CONCAT("weather.tbl[",T$1,"]")),MATCH(vp.tbl[[#This Row],[SDate]],weather.tbl[Date],0))</f>
        <v>-3.4</v>
      </c>
      <c r="U1043" s="2">
        <f ca="1">INDEX(INDIRECT(_xlfn.CONCAT("weather.tbl[",U$1,"]")),MATCH(vp.tbl[[#This Row],[SDate]],weather.tbl[Date],0))</f>
        <v>-2.2999999999999998</v>
      </c>
      <c r="V1043" s="2">
        <v>1088.213</v>
      </c>
      <c r="W1043" t="s">
        <v>48</v>
      </c>
      <c r="X1043">
        <f>IF(OR(vp.tbl[[#This Row],[Sulf]]="",vp.tbl[[#This Row],[Dens]]=""),1,0)</f>
        <v>0</v>
      </c>
      <c r="Y1043">
        <f>IF(vp.tbl[[#This Row],[CrudeType]]="C5+",1,0)</f>
        <v>0</v>
      </c>
      <c r="Z1043">
        <f>IF(AND(vp.tbl[[#This Row],[CrudeType]]="Crude",vp.tbl[[#This Row],[Dens]]&lt;=825,vp.tbl[[#This Row],[Sulf]]&gt;0.5,vp.tbl[[#This Row],[Unknown]]=0),1,0)</f>
        <v>0</v>
      </c>
      <c r="AA1043">
        <f>IF(AND(vp.tbl[[#This Row],[CrudeType]]="Crude",vp.tbl[[#This Row],[Dens]]&lt;=825,vp.tbl[[#This Row],[Sulf]]&lt;=0.5,vp.tbl[[#This Row],[Unknown]]=0),1,0)</f>
        <v>0</v>
      </c>
      <c r="AB1043">
        <f>IF(AND(vp.tbl[[#This Row],[CrudeType]]="Crude",vp.tbl[[#This Row],[Dens]]&gt;825,vp.tbl[[#This Row],[Dens]]&lt;=870,vp.tbl[[#This Row],[Sulf]]&gt;0.5,vp.tbl[[#This Row],[Unknown]]=0),1,0)</f>
        <v>1</v>
      </c>
      <c r="AC1043">
        <f>IF(AND(vp.tbl[[#This Row],[CrudeType]]="Crude",vp.tbl[[#This Row],[Dens]]&gt;825,vp.tbl[[#This Row],[Dens]]&lt;=900,vp.tbl[[#This Row],[Sulf]]&lt;=0.5,vp.tbl[[#This Row],[Unknown]]=0),1,0)</f>
        <v>0</v>
      </c>
      <c r="AD1043">
        <f>IF(AND(vp.tbl[[#This Row],[CrudeType]]="Crude",vp.tbl[[#This Row],[Dens]]&gt;870,vp.tbl[[#This Row],[Dens]]&lt;=900,vp.tbl[[#This Row],[Sulf]]&gt;0.5,vp.tbl[[#This Row],[Unknown]]=0),1,0)</f>
        <v>0</v>
      </c>
      <c r="AE1043">
        <f>IF(AND(vp.tbl[[#This Row],[CrudeType]]="Crude",vp.tbl[[#This Row],[Dens]]&gt;900,vp.tbl[[#This Row],[Sulf]]&lt;=0.5,vp.tbl[[#This Row],[Unknown]]=0),1,0)</f>
        <v>0</v>
      </c>
      <c r="AF1043">
        <f>IF(AND(vp.tbl[[#This Row],[CrudeType]]="Crude",vp.tbl[[#This Row],[Dens]]&gt;900,vp.tbl[[#This Row],[Sulf]]&lt;=0.5,vp.tbl[[#This Row],[Unknown]]=0),1,0)</f>
        <v>0</v>
      </c>
      <c r="AG1043" t="str">
        <f>INDEX(vp.tbl[[#Headers],[Unknown]:[Heavy_SW]],MATCH(1,vp.tbl[[#This Row],[Unknown]:[Heavy_SW]],0))</f>
        <v>Medium_LSB</v>
      </c>
      <c r="AH1043" t="e">
        <f>INDEX([1]!crudeBD.lkup[Number],MATCH(vp.tbl[[#This Row],[Crude_Breakdown]],[1]!crudeBD.lkup[Crude Breakdown],0))</f>
        <v>#REF!</v>
      </c>
      <c r="AI1043">
        <f>MONTH(vp.tbl[[#This Row],[SDate]])</f>
        <v>3</v>
      </c>
      <c r="AJ1043" s="5">
        <f>IFERROR(vp.tbl[[#This Row],[Sulf]]*vp.tbl[[#This Row],[Net Dens]],"")</f>
        <v>1451798.0218560002</v>
      </c>
      <c r="AK1043" s="5">
        <f>IFERROR(vp.tbl[[#This Row],[Dens]]*vp.tbl[[#This Row],[VolumeM3]],"")</f>
        <v>930639.75760000001</v>
      </c>
      <c r="AL1043" s="5">
        <f>IFERROR(vp.tbl[[#This Row],[VP]]*vp.tbl[[#This Row],[VolumeM3]],"")</f>
        <v>70842.666299999997</v>
      </c>
      <c r="AM1043" s="4">
        <f>IFERROR((vp.tbl[[#This Row],[VP]]-INDEX(crudeBD.lkup.complete[Mean_VP],MATCH(vp.tbl[[#This Row],[Crude_Breakdown]],crudeBD.lkup.complete[Crude Breakdown],0)))^2,"")</f>
        <v>227.21326431597407</v>
      </c>
      <c r="AN1043" s="4">
        <f>IFERROR((vp.tbl[[#This Row],[Dens]]-INDEX(crudeBD.lkup.complete[Mean_Dens],MATCH(vp.tbl[[#This Row],[Crude_Breakdown]],crudeBD.lkup.complete[Crude Breakdown],0)))^2,"")</f>
        <v>98.171975727628165</v>
      </c>
      <c r="AO1043" s="4">
        <f>IFERROR((vp.tbl[[#This Row],[Sulf]]-INDEX(crudeBD.lkup.complete[Mean_Sulf],MATCH(vp.tbl[[#This Row],[Crude_Breakdown]],crudeBD.lkup.complete[Crude Breakdown],0)))^2,"")</f>
        <v>1.1039734160019087E-2</v>
      </c>
      <c r="AP1043">
        <f>IF(AND(vp.tbl[[#This Row],[SDate]]&gt;=DATE(YEAR(vp.tbl[[#This Row],[SDate]]),5,1),vp.tbl[[#This Row],[SDate]]&lt;=DATE(YEAR(vp.tbl[[#This Row],[SDate]]),9,15)),1,0)</f>
        <v>0</v>
      </c>
      <c r="AQ1043" s="15">
        <f>IF(vp.tbl[[#This Row],[SDate]]&lt;DATE(2016,12,1),0,1)</f>
        <v>1</v>
      </c>
    </row>
    <row r="1044" spans="1:43" x14ac:dyDescent="0.25">
      <c r="A1044">
        <v>1043</v>
      </c>
      <c r="B1044" t="s">
        <v>62</v>
      </c>
      <c r="C1044" t="s">
        <v>62</v>
      </c>
      <c r="D1044" t="s">
        <v>63</v>
      </c>
      <c r="F1044" s="1">
        <v>42812</v>
      </c>
      <c r="G1044" s="2">
        <v>72</v>
      </c>
      <c r="H1044" s="2"/>
      <c r="I1044" s="2">
        <v>1.74</v>
      </c>
      <c r="J1044" s="2">
        <v>17.600000000000001</v>
      </c>
      <c r="K1044" s="2">
        <v>-4</v>
      </c>
      <c r="L1044" s="2">
        <v>848.3</v>
      </c>
      <c r="M1044" s="2">
        <v>848.3</v>
      </c>
      <c r="N1044" s="2">
        <f ca="1">INDEX(INDIRECT(_xlfn.CONCAT("weather.tbl[",N$1,"]")),MATCH(vp.tbl[[#This Row],[SDate]],weather.tbl[Date],0))</f>
        <v>-1.05</v>
      </c>
      <c r="O1044" s="2">
        <f ca="1">INDEX(INDIRECT(_xlfn.CONCAT("weather.tbl[",O$1,"]")),MATCH(vp.tbl[[#This Row],[SDate]],weather.tbl[Date],0))</f>
        <v>-6.9571428571428573</v>
      </c>
      <c r="P1044" s="2">
        <f ca="1">INDEX(INDIRECT(_xlfn.CONCAT("weather.tbl[",P$1,"]")),MATCH(vp.tbl[[#This Row],[SDate]],weather.tbl[Date],0))</f>
        <v>-0.7</v>
      </c>
      <c r="Q1044" s="2">
        <f ca="1">INDEX(INDIRECT(_xlfn.CONCAT("weather.tbl[",Q$1,"]")),MATCH(vp.tbl[[#This Row],[SDate]],weather.tbl[Date],0))</f>
        <v>-0.3</v>
      </c>
      <c r="R1044" s="2">
        <f ca="1">INDEX(INDIRECT(_xlfn.CONCAT("weather.tbl[",R$1,"]")),MATCH(vp.tbl[[#This Row],[SDate]],weather.tbl[Date],0))</f>
        <v>-2.8</v>
      </c>
      <c r="S1044" s="2">
        <f ca="1">INDEX(INDIRECT(_xlfn.CONCAT("weather.tbl[",S$1,"]")),MATCH(vp.tbl[[#This Row],[SDate]],weather.tbl[Date],0))</f>
        <v>2.2000000000000002</v>
      </c>
      <c r="T1044" s="2">
        <f ca="1">INDEX(INDIRECT(_xlfn.CONCAT("weather.tbl[",T$1,"]")),MATCH(vp.tbl[[#This Row],[SDate]],weather.tbl[Date],0))</f>
        <v>-4.7</v>
      </c>
      <c r="U1044" s="2">
        <f ca="1">INDEX(INDIRECT(_xlfn.CONCAT("weather.tbl[",U$1,"]")),MATCH(vp.tbl[[#This Row],[SDate]],weather.tbl[Date],0))</f>
        <v>0</v>
      </c>
      <c r="V1044" s="2">
        <v>6959.2520000000004</v>
      </c>
      <c r="W1044" t="s">
        <v>48</v>
      </c>
      <c r="X1044">
        <f>IF(OR(vp.tbl[[#This Row],[Sulf]]="",vp.tbl[[#This Row],[Dens]]=""),1,0)</f>
        <v>0</v>
      </c>
      <c r="Y1044">
        <f>IF(vp.tbl[[#This Row],[CrudeType]]="C5+",1,0)</f>
        <v>0</v>
      </c>
      <c r="Z1044">
        <f>IF(AND(vp.tbl[[#This Row],[CrudeType]]="Crude",vp.tbl[[#This Row],[Dens]]&lt;=825,vp.tbl[[#This Row],[Sulf]]&gt;0.5,vp.tbl[[#This Row],[Unknown]]=0),1,0)</f>
        <v>0</v>
      </c>
      <c r="AA1044">
        <f>IF(AND(vp.tbl[[#This Row],[CrudeType]]="Crude",vp.tbl[[#This Row],[Dens]]&lt;=825,vp.tbl[[#This Row],[Sulf]]&lt;=0.5,vp.tbl[[#This Row],[Unknown]]=0),1,0)</f>
        <v>0</v>
      </c>
      <c r="AB1044">
        <f>IF(AND(vp.tbl[[#This Row],[CrudeType]]="Crude",vp.tbl[[#This Row],[Dens]]&gt;825,vp.tbl[[#This Row],[Dens]]&lt;=870,vp.tbl[[#This Row],[Sulf]]&gt;0.5,vp.tbl[[#This Row],[Unknown]]=0),1,0)</f>
        <v>1</v>
      </c>
      <c r="AC1044">
        <f>IF(AND(vp.tbl[[#This Row],[CrudeType]]="Crude",vp.tbl[[#This Row],[Dens]]&gt;825,vp.tbl[[#This Row],[Dens]]&lt;=900,vp.tbl[[#This Row],[Sulf]]&lt;=0.5,vp.tbl[[#This Row],[Unknown]]=0),1,0)</f>
        <v>0</v>
      </c>
      <c r="AD1044">
        <f>IF(AND(vp.tbl[[#This Row],[CrudeType]]="Crude",vp.tbl[[#This Row],[Dens]]&gt;870,vp.tbl[[#This Row],[Dens]]&lt;=900,vp.tbl[[#This Row],[Sulf]]&gt;0.5,vp.tbl[[#This Row],[Unknown]]=0),1,0)</f>
        <v>0</v>
      </c>
      <c r="AE1044">
        <f>IF(AND(vp.tbl[[#This Row],[CrudeType]]="Crude",vp.tbl[[#This Row],[Dens]]&gt;900,vp.tbl[[#This Row],[Sulf]]&lt;=0.5,vp.tbl[[#This Row],[Unknown]]=0),1,0)</f>
        <v>0</v>
      </c>
      <c r="AF1044">
        <f>IF(AND(vp.tbl[[#This Row],[CrudeType]]="Crude",vp.tbl[[#This Row],[Dens]]&gt;900,vp.tbl[[#This Row],[Sulf]]&lt;=0.5,vp.tbl[[#This Row],[Unknown]]=0),1,0)</f>
        <v>0</v>
      </c>
      <c r="AG1044" t="str">
        <f>INDEX(vp.tbl[[#Headers],[Unknown]:[Heavy_SW]],MATCH(1,vp.tbl[[#This Row],[Unknown]:[Heavy_SW]],0))</f>
        <v>Medium_LSB</v>
      </c>
      <c r="AH1044" t="e">
        <f>INDEX([1]!crudeBD.lkup[Number],MATCH(vp.tbl[[#This Row],[Crude_Breakdown]],[1]!crudeBD.lkup[Crude Breakdown],0))</f>
        <v>#REF!</v>
      </c>
      <c r="AI1044">
        <f>MONTH(vp.tbl[[#This Row],[SDate]])</f>
        <v>3</v>
      </c>
      <c r="AJ1044" s="5">
        <f>IFERROR(vp.tbl[[#This Row],[Sulf]]*vp.tbl[[#This Row],[Net Dens]],"")</f>
        <v>10272148.240583999</v>
      </c>
      <c r="AK1044" s="5">
        <f>IFERROR(vp.tbl[[#This Row],[Dens]]*vp.tbl[[#This Row],[VolumeM3]],"")</f>
        <v>5903533.4715999998</v>
      </c>
      <c r="AL1044" s="5">
        <f>IFERROR(vp.tbl[[#This Row],[VP]]*vp.tbl[[#This Row],[VolumeM3]],"")</f>
        <v>501066.14400000003</v>
      </c>
      <c r="AM1044" s="4">
        <f>IFERROR((vp.tbl[[#This Row],[VP]]-INDEX(crudeBD.lkup.complete[Mean_VP],MATCH(vp.tbl[[#This Row],[Crude_Breakdown]],crudeBD.lkup.complete[Crude Breakdown],0)))^2,"")</f>
        <v>66.807654189392125</v>
      </c>
      <c r="AN1044" s="4">
        <f>IFERROR((vp.tbl[[#This Row],[Dens]]-INDEX(crudeBD.lkup.complete[Mean_Dens],MATCH(vp.tbl[[#This Row],[Crude_Breakdown]],crudeBD.lkup.complete[Crude Breakdown],0)))^2,"")</f>
        <v>9.0491301579931527</v>
      </c>
      <c r="AO1044" s="4">
        <f>IFERROR((vp.tbl[[#This Row],[Sulf]]-INDEX(crudeBD.lkup.complete[Mean_Sulf],MATCH(vp.tbl[[#This Row],[Crude_Breakdown]],crudeBD.lkup.complete[Crude Breakdown],0)))^2,"")</f>
        <v>8.1264984286600811E-2</v>
      </c>
      <c r="AP1044">
        <f>IF(AND(vp.tbl[[#This Row],[SDate]]&gt;=DATE(YEAR(vp.tbl[[#This Row],[SDate]]),5,1),vp.tbl[[#This Row],[SDate]]&lt;=DATE(YEAR(vp.tbl[[#This Row],[SDate]]),9,15)),1,0)</f>
        <v>0</v>
      </c>
      <c r="AQ1044" s="15">
        <f>IF(vp.tbl[[#This Row],[SDate]]&lt;DATE(2016,12,1),0,1)</f>
        <v>1</v>
      </c>
    </row>
    <row r="1045" spans="1:43" x14ac:dyDescent="0.25">
      <c r="A1045">
        <v>1044</v>
      </c>
      <c r="B1045" t="s">
        <v>49</v>
      </c>
      <c r="C1045" t="s">
        <v>49</v>
      </c>
      <c r="D1045" t="s">
        <v>67</v>
      </c>
      <c r="F1045" s="1">
        <v>42814</v>
      </c>
      <c r="G1045" s="2">
        <v>93</v>
      </c>
      <c r="H1045" s="2">
        <v>0.34100000000000003</v>
      </c>
      <c r="I1045" s="2">
        <v>0.34100000000000003</v>
      </c>
      <c r="J1045" s="2">
        <v>6.9</v>
      </c>
      <c r="K1045" s="2">
        <v>-1</v>
      </c>
      <c r="L1045" s="2">
        <v>810.3</v>
      </c>
      <c r="M1045" s="2">
        <v>810.3</v>
      </c>
      <c r="N1045" s="2">
        <f ca="1">INDEX(INDIRECT(_xlfn.CONCAT("weather.tbl[",N$1,"]")),MATCH(vp.tbl[[#This Row],[SDate]],weather.tbl[Date],0))</f>
        <v>-2.6166666666666667</v>
      </c>
      <c r="O1045" s="2">
        <f ca="1">INDEX(INDIRECT(_xlfn.CONCAT("weather.tbl[",O$1,"]")),MATCH(vp.tbl[[#This Row],[SDate]],weather.tbl[Date],0))</f>
        <v>-1.9547619047619051</v>
      </c>
      <c r="P1045" s="2">
        <f ca="1">INDEX(INDIRECT(_xlfn.CONCAT("weather.tbl[",P$1,"]")),MATCH(vp.tbl[[#This Row],[SDate]],weather.tbl[Date],0))</f>
        <v>-3.3</v>
      </c>
      <c r="Q1045" s="2">
        <f ca="1">INDEX(INDIRECT(_xlfn.CONCAT("weather.tbl[",Q$1,"]")),MATCH(vp.tbl[[#This Row],[SDate]],weather.tbl[Date],0))</f>
        <v>-2.4</v>
      </c>
      <c r="R1045" s="2">
        <f ca="1">INDEX(INDIRECT(_xlfn.CONCAT("weather.tbl[",R$1,"]")),MATCH(vp.tbl[[#This Row],[SDate]],weather.tbl[Date],0))</f>
        <v>-2</v>
      </c>
      <c r="S1045" s="2">
        <f ca="1">INDEX(INDIRECT(_xlfn.CONCAT("weather.tbl[",S$1,"]")),MATCH(vp.tbl[[#This Row],[SDate]],weather.tbl[Date],0))</f>
        <v>-2.1</v>
      </c>
      <c r="T1045" s="2">
        <f ca="1">INDEX(INDIRECT(_xlfn.CONCAT("weather.tbl[",T$1,"]")),MATCH(vp.tbl[[#This Row],[SDate]],weather.tbl[Date],0))</f>
        <v>-3.9</v>
      </c>
      <c r="U1045" s="2">
        <f ca="1">INDEX(INDIRECT(_xlfn.CONCAT("weather.tbl[",U$1,"]")),MATCH(vp.tbl[[#This Row],[SDate]],weather.tbl[Date],0))</f>
        <v>-2</v>
      </c>
      <c r="V1045" s="2">
        <v>132627.41099999999</v>
      </c>
      <c r="W1045" t="s">
        <v>48</v>
      </c>
      <c r="X1045">
        <f>IF(OR(vp.tbl[[#This Row],[Sulf]]="",vp.tbl[[#This Row],[Dens]]=""),1,0)</f>
        <v>0</v>
      </c>
      <c r="Y1045">
        <f>IF(vp.tbl[[#This Row],[CrudeType]]="C5+",1,0)</f>
        <v>0</v>
      </c>
      <c r="Z1045">
        <f>IF(AND(vp.tbl[[#This Row],[CrudeType]]="Crude",vp.tbl[[#This Row],[Dens]]&lt;=825,vp.tbl[[#This Row],[Sulf]]&gt;0.5,vp.tbl[[#This Row],[Unknown]]=0),1,0)</f>
        <v>0</v>
      </c>
      <c r="AA1045">
        <f>IF(AND(vp.tbl[[#This Row],[CrudeType]]="Crude",vp.tbl[[#This Row],[Dens]]&lt;=825,vp.tbl[[#This Row],[Sulf]]&lt;=0.5,vp.tbl[[#This Row],[Unknown]]=0),1,0)</f>
        <v>1</v>
      </c>
      <c r="AB1045">
        <f>IF(AND(vp.tbl[[#This Row],[CrudeType]]="Crude",vp.tbl[[#This Row],[Dens]]&gt;825,vp.tbl[[#This Row],[Dens]]&lt;=870,vp.tbl[[#This Row],[Sulf]]&gt;0.5,vp.tbl[[#This Row],[Unknown]]=0),1,0)</f>
        <v>0</v>
      </c>
      <c r="AC1045">
        <f>IF(AND(vp.tbl[[#This Row],[CrudeType]]="Crude",vp.tbl[[#This Row],[Dens]]&gt;825,vp.tbl[[#This Row],[Dens]]&lt;=900,vp.tbl[[#This Row],[Sulf]]&lt;=0.5,vp.tbl[[#This Row],[Unknown]]=0),1,0)</f>
        <v>0</v>
      </c>
      <c r="AD1045">
        <f>IF(AND(vp.tbl[[#This Row],[CrudeType]]="Crude",vp.tbl[[#This Row],[Dens]]&gt;870,vp.tbl[[#This Row],[Dens]]&lt;=900,vp.tbl[[#This Row],[Sulf]]&gt;0.5,vp.tbl[[#This Row],[Unknown]]=0),1,0)</f>
        <v>0</v>
      </c>
      <c r="AE1045">
        <f>IF(AND(vp.tbl[[#This Row],[CrudeType]]="Crude",vp.tbl[[#This Row],[Dens]]&gt;900,vp.tbl[[#This Row],[Sulf]]&lt;=0.5,vp.tbl[[#This Row],[Unknown]]=0),1,0)</f>
        <v>0</v>
      </c>
      <c r="AF1045">
        <f>IF(AND(vp.tbl[[#This Row],[CrudeType]]="Crude",vp.tbl[[#This Row],[Dens]]&gt;900,vp.tbl[[#This Row],[Sulf]]&lt;=0.5,vp.tbl[[#This Row],[Unknown]]=0),1,0)</f>
        <v>0</v>
      </c>
      <c r="AG1045" t="str">
        <f>INDEX(vp.tbl[[#Headers],[Unknown]:[Heavy_SW]],MATCH(1,vp.tbl[[#This Row],[Unknown]:[Heavy_SW]],0))</f>
        <v>Light_SW</v>
      </c>
      <c r="AH1045" t="e">
        <f>INDEX([1]!crudeBD.lkup[Number],MATCH(vp.tbl[[#This Row],[Crude_Breakdown]],[1]!crudeBD.lkup[Crude Breakdown],0))</f>
        <v>#REF!</v>
      </c>
      <c r="AI1045">
        <f>MONTH(vp.tbl[[#This Row],[SDate]])</f>
        <v>3</v>
      </c>
      <c r="AJ1045" s="5">
        <f>IFERROR(vp.tbl[[#This Row],[Sulf]]*vp.tbl[[#This Row],[Net Dens]],"")</f>
        <v>36646584.976455301</v>
      </c>
      <c r="AK1045" s="5">
        <f>IFERROR(vp.tbl[[#This Row],[Dens]]*vp.tbl[[#This Row],[VolumeM3]],"")</f>
        <v>107467991.13329999</v>
      </c>
      <c r="AL1045" s="5">
        <f>IFERROR(vp.tbl[[#This Row],[VP]]*vp.tbl[[#This Row],[VolumeM3]],"")</f>
        <v>12334349.222999999</v>
      </c>
      <c r="AM1045" s="4">
        <f>IFERROR((vp.tbl[[#This Row],[VP]]-INDEX(crudeBD.lkup.complete[Mean_VP],MATCH(vp.tbl[[#This Row],[Crude_Breakdown]],crudeBD.lkup.complete[Crude Breakdown],0)))^2,"")</f>
        <v>0.2022178683728367</v>
      </c>
      <c r="AN1045" s="4">
        <f>IFERROR((vp.tbl[[#This Row],[Dens]]-INDEX(crudeBD.lkup.complete[Mean_Dens],MATCH(vp.tbl[[#This Row],[Crude_Breakdown]],crudeBD.lkup.complete[Crude Breakdown],0)))^2,"")</f>
        <v>3.9541391785751512</v>
      </c>
      <c r="AO1045" s="4">
        <f>IFERROR((vp.tbl[[#This Row],[Sulf]]-INDEX(crudeBD.lkup.complete[Mean_Sulf],MATCH(vp.tbl[[#This Row],[Crude_Breakdown]],crudeBD.lkup.complete[Crude Breakdown],0)))^2,"")</f>
        <v>1.0974277985164359E-2</v>
      </c>
      <c r="AP1045">
        <f>IF(AND(vp.tbl[[#This Row],[SDate]]&gt;=DATE(YEAR(vp.tbl[[#This Row],[SDate]]),5,1),vp.tbl[[#This Row],[SDate]]&lt;=DATE(YEAR(vp.tbl[[#This Row],[SDate]]),9,15)),1,0)</f>
        <v>0</v>
      </c>
      <c r="AQ1045" s="15">
        <f>IF(vp.tbl[[#This Row],[SDate]]&lt;DATE(2016,12,1),0,1)</f>
        <v>1</v>
      </c>
    </row>
    <row r="1046" spans="1:43" x14ac:dyDescent="0.25">
      <c r="A1046">
        <v>1045</v>
      </c>
      <c r="B1046" t="s">
        <v>49</v>
      </c>
      <c r="C1046" t="s">
        <v>49</v>
      </c>
      <c r="D1046" t="s">
        <v>80</v>
      </c>
      <c r="F1046" s="1">
        <v>42814</v>
      </c>
      <c r="G1046" s="2">
        <v>89.6</v>
      </c>
      <c r="H1046" s="2">
        <v>0.41160000000000002</v>
      </c>
      <c r="I1046" s="2">
        <v>0.41160000000000002</v>
      </c>
      <c r="J1046" s="2">
        <v>17.5</v>
      </c>
      <c r="K1046" s="2">
        <v>-1</v>
      </c>
      <c r="L1046" s="2">
        <v>812.4</v>
      </c>
      <c r="M1046" s="2">
        <v>812.4</v>
      </c>
      <c r="N1046" s="2">
        <f ca="1">INDEX(INDIRECT(_xlfn.CONCAT("weather.tbl[",N$1,"]")),MATCH(vp.tbl[[#This Row],[SDate]],weather.tbl[Date],0))</f>
        <v>-2.6166666666666667</v>
      </c>
      <c r="O1046" s="2">
        <f ca="1">INDEX(INDIRECT(_xlfn.CONCAT("weather.tbl[",O$1,"]")),MATCH(vp.tbl[[#This Row],[SDate]],weather.tbl[Date],0))</f>
        <v>-1.9547619047619051</v>
      </c>
      <c r="P1046" s="2">
        <f ca="1">INDEX(INDIRECT(_xlfn.CONCAT("weather.tbl[",P$1,"]")),MATCH(vp.tbl[[#This Row],[SDate]],weather.tbl[Date],0))</f>
        <v>-3.3</v>
      </c>
      <c r="Q1046" s="2">
        <f ca="1">INDEX(INDIRECT(_xlfn.CONCAT("weather.tbl[",Q$1,"]")),MATCH(vp.tbl[[#This Row],[SDate]],weather.tbl[Date],0))</f>
        <v>-2.4</v>
      </c>
      <c r="R1046" s="2">
        <f ca="1">INDEX(INDIRECT(_xlfn.CONCAT("weather.tbl[",R$1,"]")),MATCH(vp.tbl[[#This Row],[SDate]],weather.tbl[Date],0))</f>
        <v>-2</v>
      </c>
      <c r="S1046" s="2">
        <f ca="1">INDEX(INDIRECT(_xlfn.CONCAT("weather.tbl[",S$1,"]")),MATCH(vp.tbl[[#This Row],[SDate]],weather.tbl[Date],0))</f>
        <v>-2.1</v>
      </c>
      <c r="T1046" s="2">
        <f ca="1">INDEX(INDIRECT(_xlfn.CONCAT("weather.tbl[",T$1,"]")),MATCH(vp.tbl[[#This Row],[SDate]],weather.tbl[Date],0))</f>
        <v>-3.9</v>
      </c>
      <c r="U1046" s="2">
        <f ca="1">INDEX(INDIRECT(_xlfn.CONCAT("weather.tbl[",U$1,"]")),MATCH(vp.tbl[[#This Row],[SDate]],weather.tbl[Date],0))</f>
        <v>-2</v>
      </c>
      <c r="V1046" s="2">
        <v>23623.538</v>
      </c>
      <c r="W1046" t="s">
        <v>48</v>
      </c>
      <c r="X1046">
        <f>IF(OR(vp.tbl[[#This Row],[Sulf]]="",vp.tbl[[#This Row],[Dens]]=""),1,0)</f>
        <v>0</v>
      </c>
      <c r="Y1046">
        <f>IF(vp.tbl[[#This Row],[CrudeType]]="C5+",1,0)</f>
        <v>0</v>
      </c>
      <c r="Z1046">
        <f>IF(AND(vp.tbl[[#This Row],[CrudeType]]="Crude",vp.tbl[[#This Row],[Dens]]&lt;=825,vp.tbl[[#This Row],[Sulf]]&gt;0.5,vp.tbl[[#This Row],[Unknown]]=0),1,0)</f>
        <v>0</v>
      </c>
      <c r="AA1046">
        <f>IF(AND(vp.tbl[[#This Row],[CrudeType]]="Crude",vp.tbl[[#This Row],[Dens]]&lt;=825,vp.tbl[[#This Row],[Sulf]]&lt;=0.5,vp.tbl[[#This Row],[Unknown]]=0),1,0)</f>
        <v>1</v>
      </c>
      <c r="AB1046">
        <f>IF(AND(vp.tbl[[#This Row],[CrudeType]]="Crude",vp.tbl[[#This Row],[Dens]]&gt;825,vp.tbl[[#This Row],[Dens]]&lt;=870,vp.tbl[[#This Row],[Sulf]]&gt;0.5,vp.tbl[[#This Row],[Unknown]]=0),1,0)</f>
        <v>0</v>
      </c>
      <c r="AC1046">
        <f>IF(AND(vp.tbl[[#This Row],[CrudeType]]="Crude",vp.tbl[[#This Row],[Dens]]&gt;825,vp.tbl[[#This Row],[Dens]]&lt;=900,vp.tbl[[#This Row],[Sulf]]&lt;=0.5,vp.tbl[[#This Row],[Unknown]]=0),1,0)</f>
        <v>0</v>
      </c>
      <c r="AD1046">
        <f>IF(AND(vp.tbl[[#This Row],[CrudeType]]="Crude",vp.tbl[[#This Row],[Dens]]&gt;870,vp.tbl[[#This Row],[Dens]]&lt;=900,vp.tbl[[#This Row],[Sulf]]&gt;0.5,vp.tbl[[#This Row],[Unknown]]=0),1,0)</f>
        <v>0</v>
      </c>
      <c r="AE1046">
        <f>IF(AND(vp.tbl[[#This Row],[CrudeType]]="Crude",vp.tbl[[#This Row],[Dens]]&gt;900,vp.tbl[[#This Row],[Sulf]]&lt;=0.5,vp.tbl[[#This Row],[Unknown]]=0),1,0)</f>
        <v>0</v>
      </c>
      <c r="AF1046">
        <f>IF(AND(vp.tbl[[#This Row],[CrudeType]]="Crude",vp.tbl[[#This Row],[Dens]]&gt;900,vp.tbl[[#This Row],[Sulf]]&lt;=0.5,vp.tbl[[#This Row],[Unknown]]=0),1,0)</f>
        <v>0</v>
      </c>
      <c r="AG1046" t="str">
        <f>INDEX(vp.tbl[[#Headers],[Unknown]:[Heavy_SW]],MATCH(1,vp.tbl[[#This Row],[Unknown]:[Heavy_SW]],0))</f>
        <v>Light_SW</v>
      </c>
      <c r="AH1046" t="e">
        <f>INDEX([1]!crudeBD.lkup[Number],MATCH(vp.tbl[[#This Row],[Crude_Breakdown]],[1]!crudeBD.lkup[Crude Breakdown],0))</f>
        <v>#REF!</v>
      </c>
      <c r="AI1046">
        <f>MONTH(vp.tbl[[#This Row],[SDate]])</f>
        <v>3</v>
      </c>
      <c r="AJ1046" s="5">
        <f>IFERROR(vp.tbl[[#This Row],[Sulf]]*vp.tbl[[#This Row],[Net Dens]],"")</f>
        <v>7899329.3508259207</v>
      </c>
      <c r="AK1046" s="5">
        <f>IFERROR(vp.tbl[[#This Row],[Dens]]*vp.tbl[[#This Row],[VolumeM3]],"")</f>
        <v>19191762.271200001</v>
      </c>
      <c r="AL1046" s="5">
        <f>IFERROR(vp.tbl[[#This Row],[VP]]*vp.tbl[[#This Row],[VolumeM3]],"")</f>
        <v>2116669.0047999998</v>
      </c>
      <c r="AM1046" s="4">
        <f>IFERROR((vp.tbl[[#This Row],[VP]]-INDEX(crudeBD.lkup.complete[Mean_VP],MATCH(vp.tbl[[#This Row],[Crude_Breakdown]],crudeBD.lkup.complete[Crude Breakdown],0)))^2,"")</f>
        <v>8.7043502725538549</v>
      </c>
      <c r="AN1046" s="4">
        <f>IFERROR((vp.tbl[[#This Row],[Dens]]-INDEX(crudeBD.lkup.complete[Mean_Dens],MATCH(vp.tbl[[#This Row],[Crude_Breakdown]],crudeBD.lkup.complete[Crude Breakdown],0)))^2,"")</f>
        <v>16.715846495649235</v>
      </c>
      <c r="AO1046" s="4">
        <f>IFERROR((vp.tbl[[#This Row],[Sulf]]-INDEX(crudeBD.lkup.complete[Mean_Sulf],MATCH(vp.tbl[[#This Row],[Crude_Breakdown]],crudeBD.lkup.complete[Crude Breakdown],0)))^2,"")</f>
        <v>3.075049415241177E-2</v>
      </c>
      <c r="AP1046">
        <f>IF(AND(vp.tbl[[#This Row],[SDate]]&gt;=DATE(YEAR(vp.tbl[[#This Row],[SDate]]),5,1),vp.tbl[[#This Row],[SDate]]&lt;=DATE(YEAR(vp.tbl[[#This Row],[SDate]]),9,15)),1,0)</f>
        <v>0</v>
      </c>
      <c r="AQ1046" s="15">
        <f>IF(vp.tbl[[#This Row],[SDate]]&lt;DATE(2016,12,1),0,1)</f>
        <v>1</v>
      </c>
    </row>
    <row r="1047" spans="1:43" x14ac:dyDescent="0.25">
      <c r="A1047">
        <v>1046</v>
      </c>
      <c r="B1047" t="s">
        <v>49</v>
      </c>
      <c r="C1047" t="s">
        <v>49</v>
      </c>
      <c r="D1047" t="s">
        <v>100</v>
      </c>
      <c r="F1047" s="1">
        <v>42814</v>
      </c>
      <c r="G1047" s="2">
        <v>87.1</v>
      </c>
      <c r="H1047" s="2">
        <v>0.56399999999999995</v>
      </c>
      <c r="I1047" s="2">
        <v>0.56399999999999995</v>
      </c>
      <c r="J1047" s="2">
        <v>13</v>
      </c>
      <c r="K1047" s="2">
        <v>-1</v>
      </c>
      <c r="L1047" s="2">
        <v>817.6</v>
      </c>
      <c r="M1047" s="2">
        <v>817.6</v>
      </c>
      <c r="N1047" s="2">
        <f ca="1">INDEX(INDIRECT(_xlfn.CONCAT("weather.tbl[",N$1,"]")),MATCH(vp.tbl[[#This Row],[SDate]],weather.tbl[Date],0))</f>
        <v>-2.6166666666666667</v>
      </c>
      <c r="O1047" s="2">
        <f ca="1">INDEX(INDIRECT(_xlfn.CONCAT("weather.tbl[",O$1,"]")),MATCH(vp.tbl[[#This Row],[SDate]],weather.tbl[Date],0))</f>
        <v>-1.9547619047619051</v>
      </c>
      <c r="P1047" s="2">
        <f ca="1">INDEX(INDIRECT(_xlfn.CONCAT("weather.tbl[",P$1,"]")),MATCH(vp.tbl[[#This Row],[SDate]],weather.tbl[Date],0))</f>
        <v>-3.3</v>
      </c>
      <c r="Q1047" s="2">
        <f ca="1">INDEX(INDIRECT(_xlfn.CONCAT("weather.tbl[",Q$1,"]")),MATCH(vp.tbl[[#This Row],[SDate]],weather.tbl[Date],0))</f>
        <v>-2.4</v>
      </c>
      <c r="R1047" s="2">
        <f ca="1">INDEX(INDIRECT(_xlfn.CONCAT("weather.tbl[",R$1,"]")),MATCH(vp.tbl[[#This Row],[SDate]],weather.tbl[Date],0))</f>
        <v>-2</v>
      </c>
      <c r="S1047" s="2">
        <f ca="1">INDEX(INDIRECT(_xlfn.CONCAT("weather.tbl[",S$1,"]")),MATCH(vp.tbl[[#This Row],[SDate]],weather.tbl[Date],0))</f>
        <v>-2.1</v>
      </c>
      <c r="T1047" s="2">
        <f ca="1">INDEX(INDIRECT(_xlfn.CONCAT("weather.tbl[",T$1,"]")),MATCH(vp.tbl[[#This Row],[SDate]],weather.tbl[Date],0))</f>
        <v>-3.9</v>
      </c>
      <c r="U1047" s="2">
        <f ca="1">INDEX(INDIRECT(_xlfn.CONCAT("weather.tbl[",U$1,"]")),MATCH(vp.tbl[[#This Row],[SDate]],weather.tbl[Date],0))</f>
        <v>-2</v>
      </c>
      <c r="V1047" s="2">
        <v>10867.904</v>
      </c>
      <c r="W1047" t="s">
        <v>48</v>
      </c>
      <c r="X1047">
        <f>IF(OR(vp.tbl[[#This Row],[Sulf]]="",vp.tbl[[#This Row],[Dens]]=""),1,0)</f>
        <v>0</v>
      </c>
      <c r="Y1047">
        <f>IF(vp.tbl[[#This Row],[CrudeType]]="C5+",1,0)</f>
        <v>0</v>
      </c>
      <c r="Z1047">
        <f>IF(AND(vp.tbl[[#This Row],[CrudeType]]="Crude",vp.tbl[[#This Row],[Dens]]&lt;=825,vp.tbl[[#This Row],[Sulf]]&gt;0.5,vp.tbl[[#This Row],[Unknown]]=0),1,0)</f>
        <v>1</v>
      </c>
      <c r="AA1047">
        <f>IF(AND(vp.tbl[[#This Row],[CrudeType]]="Crude",vp.tbl[[#This Row],[Dens]]&lt;=825,vp.tbl[[#This Row],[Sulf]]&lt;=0.5,vp.tbl[[#This Row],[Unknown]]=0),1,0)</f>
        <v>0</v>
      </c>
      <c r="AB1047">
        <f>IF(AND(vp.tbl[[#This Row],[CrudeType]]="Crude",vp.tbl[[#This Row],[Dens]]&gt;825,vp.tbl[[#This Row],[Dens]]&lt;=870,vp.tbl[[#This Row],[Sulf]]&gt;0.5,vp.tbl[[#This Row],[Unknown]]=0),1,0)</f>
        <v>0</v>
      </c>
      <c r="AC1047">
        <f>IF(AND(vp.tbl[[#This Row],[CrudeType]]="Crude",vp.tbl[[#This Row],[Dens]]&gt;825,vp.tbl[[#This Row],[Dens]]&lt;=900,vp.tbl[[#This Row],[Sulf]]&lt;=0.5,vp.tbl[[#This Row],[Unknown]]=0),1,0)</f>
        <v>0</v>
      </c>
      <c r="AD1047">
        <f>IF(AND(vp.tbl[[#This Row],[CrudeType]]="Crude",vp.tbl[[#This Row],[Dens]]&gt;870,vp.tbl[[#This Row],[Dens]]&lt;=900,vp.tbl[[#This Row],[Sulf]]&gt;0.5,vp.tbl[[#This Row],[Unknown]]=0),1,0)</f>
        <v>0</v>
      </c>
      <c r="AE1047">
        <f>IF(AND(vp.tbl[[#This Row],[CrudeType]]="Crude",vp.tbl[[#This Row],[Dens]]&gt;900,vp.tbl[[#This Row],[Sulf]]&lt;=0.5,vp.tbl[[#This Row],[Unknown]]=0),1,0)</f>
        <v>0</v>
      </c>
      <c r="AF1047">
        <f>IF(AND(vp.tbl[[#This Row],[CrudeType]]="Crude",vp.tbl[[#This Row],[Dens]]&gt;900,vp.tbl[[#This Row],[Sulf]]&lt;=0.5,vp.tbl[[#This Row],[Unknown]]=0),1,0)</f>
        <v>0</v>
      </c>
      <c r="AG1047" t="str">
        <f>INDEX(vp.tbl[[#Headers],[Unknown]:[Heavy_SW]],MATCH(1,vp.tbl[[#This Row],[Unknown]:[Heavy_SW]],0))</f>
        <v>Light_LSB</v>
      </c>
      <c r="AH1047" t="e">
        <f>INDEX([1]!crudeBD.lkup[Number],MATCH(vp.tbl[[#This Row],[Crude_Breakdown]],[1]!crudeBD.lkup[Crude Breakdown],0))</f>
        <v>#REF!</v>
      </c>
      <c r="AI1047">
        <f>MONTH(vp.tbl[[#This Row],[SDate]])</f>
        <v>3</v>
      </c>
      <c r="AJ1047" s="5">
        <f>IFERROR(vp.tbl[[#This Row],[Sulf]]*vp.tbl[[#This Row],[Net Dens]],"")</f>
        <v>5011477.4470655993</v>
      </c>
      <c r="AK1047" s="5">
        <f>IFERROR(vp.tbl[[#This Row],[Dens]]*vp.tbl[[#This Row],[VolumeM3]],"")</f>
        <v>8885598.3103999998</v>
      </c>
      <c r="AL1047" s="5">
        <f>IFERROR(vp.tbl[[#This Row],[VP]]*vp.tbl[[#This Row],[VolumeM3]],"")</f>
        <v>946594.43839999998</v>
      </c>
      <c r="AM1047" s="4">
        <f>IFERROR((vp.tbl[[#This Row],[VP]]-INDEX(crudeBD.lkup.complete[Mean_VP],MATCH(vp.tbl[[#This Row],[Crude_Breakdown]],crudeBD.lkup.complete[Crude Breakdown],0)))^2,"")</f>
        <v>19.768566096291114</v>
      </c>
      <c r="AN1047" s="4">
        <f>IFERROR((vp.tbl[[#This Row],[Dens]]-INDEX(crudeBD.lkup.complete[Mean_Dens],MATCH(vp.tbl[[#This Row],[Crude_Breakdown]],crudeBD.lkup.complete[Crude Breakdown],0)))^2,"")</f>
        <v>0.84046679184170825</v>
      </c>
      <c r="AO1047" s="4">
        <f>IFERROR((vp.tbl[[#This Row],[Sulf]]-INDEX(crudeBD.lkup.complete[Mean_Sulf],MATCH(vp.tbl[[#This Row],[Crude_Breakdown]],crudeBD.lkup.complete[Crude Breakdown],0)))^2,"")</f>
        <v>0.12886029973160554</v>
      </c>
      <c r="AP1047">
        <f>IF(AND(vp.tbl[[#This Row],[SDate]]&gt;=DATE(YEAR(vp.tbl[[#This Row],[SDate]]),5,1),vp.tbl[[#This Row],[SDate]]&lt;=DATE(YEAR(vp.tbl[[#This Row],[SDate]]),9,15)),1,0)</f>
        <v>0</v>
      </c>
      <c r="AQ1047" s="15">
        <f>IF(vp.tbl[[#This Row],[SDate]]&lt;DATE(2016,12,1),0,1)</f>
        <v>1</v>
      </c>
    </row>
    <row r="1048" spans="1:43" x14ac:dyDescent="0.25">
      <c r="A1048">
        <v>1047</v>
      </c>
      <c r="B1048" t="s">
        <v>49</v>
      </c>
      <c r="C1048" t="s">
        <v>49</v>
      </c>
      <c r="D1048" t="s">
        <v>89</v>
      </c>
      <c r="F1048" s="1">
        <v>42814</v>
      </c>
      <c r="G1048" s="2">
        <v>93.5</v>
      </c>
      <c r="H1048" s="2">
        <v>0.63400000000000001</v>
      </c>
      <c r="I1048" s="2">
        <v>0.63400000000000001</v>
      </c>
      <c r="J1048" s="2">
        <v>5.6</v>
      </c>
      <c r="K1048" s="2">
        <v>-1</v>
      </c>
      <c r="L1048" s="2">
        <v>815.5</v>
      </c>
      <c r="M1048" s="2">
        <v>815.5</v>
      </c>
      <c r="N1048" s="2">
        <f ca="1">INDEX(INDIRECT(_xlfn.CONCAT("weather.tbl[",N$1,"]")),MATCH(vp.tbl[[#This Row],[SDate]],weather.tbl[Date],0))</f>
        <v>-2.6166666666666667</v>
      </c>
      <c r="O1048" s="2">
        <f ca="1">INDEX(INDIRECT(_xlfn.CONCAT("weather.tbl[",O$1,"]")),MATCH(vp.tbl[[#This Row],[SDate]],weather.tbl[Date],0))</f>
        <v>-1.9547619047619051</v>
      </c>
      <c r="P1048" s="2">
        <f ca="1">INDEX(INDIRECT(_xlfn.CONCAT("weather.tbl[",P$1,"]")),MATCH(vp.tbl[[#This Row],[SDate]],weather.tbl[Date],0))</f>
        <v>-3.3</v>
      </c>
      <c r="Q1048" s="2">
        <f ca="1">INDEX(INDIRECT(_xlfn.CONCAT("weather.tbl[",Q$1,"]")),MATCH(vp.tbl[[#This Row],[SDate]],weather.tbl[Date],0))</f>
        <v>-2.4</v>
      </c>
      <c r="R1048" s="2">
        <f ca="1">INDEX(INDIRECT(_xlfn.CONCAT("weather.tbl[",R$1,"]")),MATCH(vp.tbl[[#This Row],[SDate]],weather.tbl[Date],0))</f>
        <v>-2</v>
      </c>
      <c r="S1048" s="2">
        <f ca="1">INDEX(INDIRECT(_xlfn.CONCAT("weather.tbl[",S$1,"]")),MATCH(vp.tbl[[#This Row],[SDate]],weather.tbl[Date],0))</f>
        <v>-2.1</v>
      </c>
      <c r="T1048" s="2">
        <f ca="1">INDEX(INDIRECT(_xlfn.CONCAT("weather.tbl[",T$1,"]")),MATCH(vp.tbl[[#This Row],[SDate]],weather.tbl[Date],0))</f>
        <v>-3.9</v>
      </c>
      <c r="U1048" s="2">
        <f ca="1">INDEX(INDIRECT(_xlfn.CONCAT("weather.tbl[",U$1,"]")),MATCH(vp.tbl[[#This Row],[SDate]],weather.tbl[Date],0))</f>
        <v>-2</v>
      </c>
      <c r="V1048" s="2">
        <v>6514.0349999999999</v>
      </c>
      <c r="W1048" t="s">
        <v>48</v>
      </c>
      <c r="X1048">
        <f>IF(OR(vp.tbl[[#This Row],[Sulf]]="",vp.tbl[[#This Row],[Dens]]=""),1,0)</f>
        <v>0</v>
      </c>
      <c r="Y1048">
        <f>IF(vp.tbl[[#This Row],[CrudeType]]="C5+",1,0)</f>
        <v>0</v>
      </c>
      <c r="Z1048">
        <f>IF(AND(vp.tbl[[#This Row],[CrudeType]]="Crude",vp.tbl[[#This Row],[Dens]]&lt;=825,vp.tbl[[#This Row],[Sulf]]&gt;0.5,vp.tbl[[#This Row],[Unknown]]=0),1,0)</f>
        <v>1</v>
      </c>
      <c r="AA1048">
        <f>IF(AND(vp.tbl[[#This Row],[CrudeType]]="Crude",vp.tbl[[#This Row],[Dens]]&lt;=825,vp.tbl[[#This Row],[Sulf]]&lt;=0.5,vp.tbl[[#This Row],[Unknown]]=0),1,0)</f>
        <v>0</v>
      </c>
      <c r="AB1048">
        <f>IF(AND(vp.tbl[[#This Row],[CrudeType]]="Crude",vp.tbl[[#This Row],[Dens]]&gt;825,vp.tbl[[#This Row],[Dens]]&lt;=870,vp.tbl[[#This Row],[Sulf]]&gt;0.5,vp.tbl[[#This Row],[Unknown]]=0),1,0)</f>
        <v>0</v>
      </c>
      <c r="AC1048">
        <f>IF(AND(vp.tbl[[#This Row],[CrudeType]]="Crude",vp.tbl[[#This Row],[Dens]]&gt;825,vp.tbl[[#This Row],[Dens]]&lt;=900,vp.tbl[[#This Row],[Sulf]]&lt;=0.5,vp.tbl[[#This Row],[Unknown]]=0),1,0)</f>
        <v>0</v>
      </c>
      <c r="AD1048">
        <f>IF(AND(vp.tbl[[#This Row],[CrudeType]]="Crude",vp.tbl[[#This Row],[Dens]]&gt;870,vp.tbl[[#This Row],[Dens]]&lt;=900,vp.tbl[[#This Row],[Sulf]]&gt;0.5,vp.tbl[[#This Row],[Unknown]]=0),1,0)</f>
        <v>0</v>
      </c>
      <c r="AE1048">
        <f>IF(AND(vp.tbl[[#This Row],[CrudeType]]="Crude",vp.tbl[[#This Row],[Dens]]&gt;900,vp.tbl[[#This Row],[Sulf]]&lt;=0.5,vp.tbl[[#This Row],[Unknown]]=0),1,0)</f>
        <v>0</v>
      </c>
      <c r="AF1048">
        <f>IF(AND(vp.tbl[[#This Row],[CrudeType]]="Crude",vp.tbl[[#This Row],[Dens]]&gt;900,vp.tbl[[#This Row],[Sulf]]&lt;=0.5,vp.tbl[[#This Row],[Unknown]]=0),1,0)</f>
        <v>0</v>
      </c>
      <c r="AG1048" t="str">
        <f>INDEX(vp.tbl[[#Headers],[Unknown]:[Heavy_SW]],MATCH(1,vp.tbl[[#This Row],[Unknown]:[Heavy_SW]],0))</f>
        <v>Light_LSB</v>
      </c>
      <c r="AH1048" t="e">
        <f>INDEX([1]!crudeBD.lkup[Number],MATCH(vp.tbl[[#This Row],[Crude_Breakdown]],[1]!crudeBD.lkup[Crude Breakdown],0))</f>
        <v>#REF!</v>
      </c>
      <c r="AI1048">
        <f>MONTH(vp.tbl[[#This Row],[SDate]])</f>
        <v>3</v>
      </c>
      <c r="AJ1048" s="5">
        <f>IFERROR(vp.tbl[[#This Row],[Sulf]]*vp.tbl[[#This Row],[Net Dens]],"")</f>
        <v>3367931.9739449997</v>
      </c>
      <c r="AK1048" s="5">
        <f>IFERROR(vp.tbl[[#This Row],[Dens]]*vp.tbl[[#This Row],[VolumeM3]],"")</f>
        <v>5312195.5424999995</v>
      </c>
      <c r="AL1048" s="5">
        <f>IFERROR(vp.tbl[[#This Row],[VP]]*vp.tbl[[#This Row],[VolumeM3]],"")</f>
        <v>609062.27249999996</v>
      </c>
      <c r="AM1048" s="4">
        <f>IFERROR((vp.tbl[[#This Row],[VP]]-INDEX(crudeBD.lkup.complete[Mean_VP],MATCH(vp.tbl[[#This Row],[Crude_Breakdown]],crudeBD.lkup.complete[Crude Breakdown],0)))^2,"")</f>
        <v>3.8173908385587052</v>
      </c>
      <c r="AN1048" s="4">
        <f>IFERROR((vp.tbl[[#This Row],[Dens]]-INDEX(crudeBD.lkup.complete[Mean_Dens],MATCH(vp.tbl[[#This Row],[Crude_Breakdown]],crudeBD.lkup.complete[Crude Breakdown],0)))^2,"")</f>
        <v>9.1008997815311528</v>
      </c>
      <c r="AO1048" s="4">
        <f>IFERROR((vp.tbl[[#This Row],[Sulf]]-INDEX(crudeBD.lkup.complete[Mean_Sulf],MATCH(vp.tbl[[#This Row],[Crude_Breakdown]],crudeBD.lkup.complete[Crude Breakdown],0)))^2,"")</f>
        <v>8.3504336157722361E-2</v>
      </c>
      <c r="AP1048">
        <f>IF(AND(vp.tbl[[#This Row],[SDate]]&gt;=DATE(YEAR(vp.tbl[[#This Row],[SDate]]),5,1),vp.tbl[[#This Row],[SDate]]&lt;=DATE(YEAR(vp.tbl[[#This Row],[SDate]]),9,15)),1,0)</f>
        <v>0</v>
      </c>
      <c r="AQ1048" s="15">
        <f>IF(vp.tbl[[#This Row],[SDate]]&lt;DATE(2016,12,1),0,1)</f>
        <v>1</v>
      </c>
    </row>
    <row r="1049" spans="1:43" x14ac:dyDescent="0.25">
      <c r="A1049">
        <v>1048</v>
      </c>
      <c r="B1049" t="s">
        <v>49</v>
      </c>
      <c r="C1049" t="s">
        <v>49</v>
      </c>
      <c r="D1049" t="s">
        <v>90</v>
      </c>
      <c r="F1049" s="1">
        <v>42814</v>
      </c>
      <c r="G1049" s="2">
        <v>73</v>
      </c>
      <c r="H1049" s="2">
        <v>1.323</v>
      </c>
      <c r="I1049" s="2">
        <v>1.323</v>
      </c>
      <c r="J1049" s="2">
        <v>32.200000000000003</v>
      </c>
      <c r="K1049" s="2">
        <v>-1</v>
      </c>
      <c r="L1049" s="2">
        <v>846.2</v>
      </c>
      <c r="M1049" s="2">
        <v>846.2</v>
      </c>
      <c r="N1049" s="2">
        <f ca="1">INDEX(INDIRECT(_xlfn.CONCAT("weather.tbl[",N$1,"]")),MATCH(vp.tbl[[#This Row],[SDate]],weather.tbl[Date],0))</f>
        <v>-2.6166666666666667</v>
      </c>
      <c r="O1049" s="2">
        <f ca="1">INDEX(INDIRECT(_xlfn.CONCAT("weather.tbl[",O$1,"]")),MATCH(vp.tbl[[#This Row],[SDate]],weather.tbl[Date],0))</f>
        <v>-1.9547619047619051</v>
      </c>
      <c r="P1049" s="2">
        <f ca="1">INDEX(INDIRECT(_xlfn.CONCAT("weather.tbl[",P$1,"]")),MATCH(vp.tbl[[#This Row],[SDate]],weather.tbl[Date],0))</f>
        <v>-3.3</v>
      </c>
      <c r="Q1049" s="2">
        <f ca="1">INDEX(INDIRECT(_xlfn.CONCAT("weather.tbl[",Q$1,"]")),MATCH(vp.tbl[[#This Row],[SDate]],weather.tbl[Date],0))</f>
        <v>-2.4</v>
      </c>
      <c r="R1049" s="2">
        <f ca="1">INDEX(INDIRECT(_xlfn.CONCAT("weather.tbl[",R$1,"]")),MATCH(vp.tbl[[#This Row],[SDate]],weather.tbl[Date],0))</f>
        <v>-2</v>
      </c>
      <c r="S1049" s="2">
        <f ca="1">INDEX(INDIRECT(_xlfn.CONCAT("weather.tbl[",S$1,"]")),MATCH(vp.tbl[[#This Row],[SDate]],weather.tbl[Date],0))</f>
        <v>-2.1</v>
      </c>
      <c r="T1049" s="2">
        <f ca="1">INDEX(INDIRECT(_xlfn.CONCAT("weather.tbl[",T$1,"]")),MATCH(vp.tbl[[#This Row],[SDate]],weather.tbl[Date],0))</f>
        <v>-3.9</v>
      </c>
      <c r="U1049" s="2">
        <f ca="1">INDEX(INDIRECT(_xlfn.CONCAT("weather.tbl[",U$1,"]")),MATCH(vp.tbl[[#This Row],[SDate]],weather.tbl[Date],0))</f>
        <v>-2</v>
      </c>
      <c r="V1049" s="2">
        <v>4661.3360000000002</v>
      </c>
      <c r="W1049" t="s">
        <v>48</v>
      </c>
      <c r="X1049">
        <f>IF(OR(vp.tbl[[#This Row],[Sulf]]="",vp.tbl[[#This Row],[Dens]]=""),1,0)</f>
        <v>0</v>
      </c>
      <c r="Y1049">
        <f>IF(vp.tbl[[#This Row],[CrudeType]]="C5+",1,0)</f>
        <v>0</v>
      </c>
      <c r="Z1049">
        <f>IF(AND(vp.tbl[[#This Row],[CrudeType]]="Crude",vp.tbl[[#This Row],[Dens]]&lt;=825,vp.tbl[[#This Row],[Sulf]]&gt;0.5,vp.tbl[[#This Row],[Unknown]]=0),1,0)</f>
        <v>0</v>
      </c>
      <c r="AA1049">
        <f>IF(AND(vp.tbl[[#This Row],[CrudeType]]="Crude",vp.tbl[[#This Row],[Dens]]&lt;=825,vp.tbl[[#This Row],[Sulf]]&lt;=0.5,vp.tbl[[#This Row],[Unknown]]=0),1,0)</f>
        <v>0</v>
      </c>
      <c r="AB1049">
        <f>IF(AND(vp.tbl[[#This Row],[CrudeType]]="Crude",vp.tbl[[#This Row],[Dens]]&gt;825,vp.tbl[[#This Row],[Dens]]&lt;=870,vp.tbl[[#This Row],[Sulf]]&gt;0.5,vp.tbl[[#This Row],[Unknown]]=0),1,0)</f>
        <v>1</v>
      </c>
      <c r="AC1049">
        <f>IF(AND(vp.tbl[[#This Row],[CrudeType]]="Crude",vp.tbl[[#This Row],[Dens]]&gt;825,vp.tbl[[#This Row],[Dens]]&lt;=900,vp.tbl[[#This Row],[Sulf]]&lt;=0.5,vp.tbl[[#This Row],[Unknown]]=0),1,0)</f>
        <v>0</v>
      </c>
      <c r="AD1049">
        <f>IF(AND(vp.tbl[[#This Row],[CrudeType]]="Crude",vp.tbl[[#This Row],[Dens]]&gt;870,vp.tbl[[#This Row],[Dens]]&lt;=900,vp.tbl[[#This Row],[Sulf]]&gt;0.5,vp.tbl[[#This Row],[Unknown]]=0),1,0)</f>
        <v>0</v>
      </c>
      <c r="AE1049">
        <f>IF(AND(vp.tbl[[#This Row],[CrudeType]]="Crude",vp.tbl[[#This Row],[Dens]]&gt;900,vp.tbl[[#This Row],[Sulf]]&lt;=0.5,vp.tbl[[#This Row],[Unknown]]=0),1,0)</f>
        <v>0</v>
      </c>
      <c r="AF1049">
        <f>IF(AND(vp.tbl[[#This Row],[CrudeType]]="Crude",vp.tbl[[#This Row],[Dens]]&gt;900,vp.tbl[[#This Row],[Sulf]]&lt;=0.5,vp.tbl[[#This Row],[Unknown]]=0),1,0)</f>
        <v>0</v>
      </c>
      <c r="AG1049" t="str">
        <f>INDEX(vp.tbl[[#Headers],[Unknown]:[Heavy_SW]],MATCH(1,vp.tbl[[#This Row],[Unknown]:[Heavy_SW]],0))</f>
        <v>Medium_LSB</v>
      </c>
      <c r="AH1049" t="e">
        <f>INDEX([1]!crudeBD.lkup[Number],MATCH(vp.tbl[[#This Row],[Crude_Breakdown]],[1]!crudeBD.lkup[Crude Breakdown],0))</f>
        <v>#REF!</v>
      </c>
      <c r="AI1049">
        <f>MONTH(vp.tbl[[#This Row],[SDate]])</f>
        <v>3</v>
      </c>
      <c r="AJ1049" s="5">
        <f>IFERROR(vp.tbl[[#This Row],[Sulf]]*vp.tbl[[#This Row],[Net Dens]],"")</f>
        <v>5218470.9981936002</v>
      </c>
      <c r="AK1049" s="5">
        <f>IFERROR(vp.tbl[[#This Row],[Dens]]*vp.tbl[[#This Row],[VolumeM3]],"")</f>
        <v>3944422.5232000006</v>
      </c>
      <c r="AL1049" s="5">
        <f>IFERROR(vp.tbl[[#This Row],[VP]]*vp.tbl[[#This Row],[VolumeM3]],"")</f>
        <v>340277.52799999999</v>
      </c>
      <c r="AM1049" s="4">
        <f>IFERROR((vp.tbl[[#This Row],[VP]]-INDEX(crudeBD.lkup.complete[Mean_VP],MATCH(vp.tbl[[#This Row],[Crude_Breakdown]],crudeBD.lkup.complete[Crude Breakdown],0)))^2,"")</f>
        <v>51.460464315974477</v>
      </c>
      <c r="AN1049" s="4">
        <f>IFERROR((vp.tbl[[#This Row],[Dens]]-INDEX(crudeBD.lkup.complete[Mean_Dens],MATCH(vp.tbl[[#This Row],[Crude_Breakdown]],crudeBD.lkup.complete[Crude Breakdown],0)))^2,"")</f>
        <v>0.82478585419190475</v>
      </c>
      <c r="AO1049" s="4">
        <f>IFERROR((vp.tbl[[#This Row],[Sulf]]-INDEX(crudeBD.lkup.complete[Mean_Sulf],MATCH(vp.tbl[[#This Row],[Crude_Breakdown]],crudeBD.lkup.complete[Crude Breakdown],0)))^2,"")</f>
        <v>1.7405488160019793E-2</v>
      </c>
      <c r="AP1049">
        <f>IF(AND(vp.tbl[[#This Row],[SDate]]&gt;=DATE(YEAR(vp.tbl[[#This Row],[SDate]]),5,1),vp.tbl[[#This Row],[SDate]]&lt;=DATE(YEAR(vp.tbl[[#This Row],[SDate]]),9,15)),1,0)</f>
        <v>0</v>
      </c>
      <c r="AQ1049" s="15">
        <f>IF(vp.tbl[[#This Row],[SDate]]&lt;DATE(2016,12,1),0,1)</f>
        <v>1</v>
      </c>
    </row>
    <row r="1050" spans="1:43" x14ac:dyDescent="0.25">
      <c r="A1050">
        <v>1049</v>
      </c>
      <c r="B1050" t="s">
        <v>62</v>
      </c>
      <c r="C1050" t="s">
        <v>62</v>
      </c>
      <c r="D1050" t="s">
        <v>79</v>
      </c>
      <c r="F1050" s="1">
        <v>42814</v>
      </c>
      <c r="G1050" s="2">
        <v>85.2</v>
      </c>
      <c r="H1050" s="2"/>
      <c r="I1050" s="2">
        <v>0.3</v>
      </c>
      <c r="J1050" s="2">
        <v>23</v>
      </c>
      <c r="K1050" s="2">
        <v>-1</v>
      </c>
      <c r="L1050" s="2">
        <v>807.8</v>
      </c>
      <c r="M1050" s="2">
        <v>807.8</v>
      </c>
      <c r="N1050" s="2">
        <f ca="1">INDEX(INDIRECT(_xlfn.CONCAT("weather.tbl[",N$1,"]")),MATCH(vp.tbl[[#This Row],[SDate]],weather.tbl[Date],0))</f>
        <v>-2.6166666666666667</v>
      </c>
      <c r="O1050" s="2">
        <f ca="1">INDEX(INDIRECT(_xlfn.CONCAT("weather.tbl[",O$1,"]")),MATCH(vp.tbl[[#This Row],[SDate]],weather.tbl[Date],0))</f>
        <v>-1.9547619047619051</v>
      </c>
      <c r="P1050" s="2">
        <f ca="1">INDEX(INDIRECT(_xlfn.CONCAT("weather.tbl[",P$1,"]")),MATCH(vp.tbl[[#This Row],[SDate]],weather.tbl[Date],0))</f>
        <v>-3.3</v>
      </c>
      <c r="Q1050" s="2">
        <f ca="1">INDEX(INDIRECT(_xlfn.CONCAT("weather.tbl[",Q$1,"]")),MATCH(vp.tbl[[#This Row],[SDate]],weather.tbl[Date],0))</f>
        <v>-2.4</v>
      </c>
      <c r="R1050" s="2">
        <f ca="1">INDEX(INDIRECT(_xlfn.CONCAT("weather.tbl[",R$1,"]")),MATCH(vp.tbl[[#This Row],[SDate]],weather.tbl[Date],0))</f>
        <v>-2</v>
      </c>
      <c r="S1050" s="2">
        <f ca="1">INDEX(INDIRECT(_xlfn.CONCAT("weather.tbl[",S$1,"]")),MATCH(vp.tbl[[#This Row],[SDate]],weather.tbl[Date],0))</f>
        <v>-2.1</v>
      </c>
      <c r="T1050" s="2">
        <f ca="1">INDEX(INDIRECT(_xlfn.CONCAT("weather.tbl[",T$1,"]")),MATCH(vp.tbl[[#This Row],[SDate]],weather.tbl[Date],0))</f>
        <v>-3.9</v>
      </c>
      <c r="U1050" s="2">
        <f ca="1">INDEX(INDIRECT(_xlfn.CONCAT("weather.tbl[",U$1,"]")),MATCH(vp.tbl[[#This Row],[SDate]],weather.tbl[Date],0))</f>
        <v>-2</v>
      </c>
      <c r="V1050" s="2">
        <v>15962.98</v>
      </c>
      <c r="W1050" t="s">
        <v>48</v>
      </c>
      <c r="X1050">
        <f>IF(OR(vp.tbl[[#This Row],[Sulf]]="",vp.tbl[[#This Row],[Dens]]=""),1,0)</f>
        <v>0</v>
      </c>
      <c r="Y1050">
        <f>IF(vp.tbl[[#This Row],[CrudeType]]="C5+",1,0)</f>
        <v>0</v>
      </c>
      <c r="Z1050">
        <f>IF(AND(vp.tbl[[#This Row],[CrudeType]]="Crude",vp.tbl[[#This Row],[Dens]]&lt;=825,vp.tbl[[#This Row],[Sulf]]&gt;0.5,vp.tbl[[#This Row],[Unknown]]=0),1,0)</f>
        <v>0</v>
      </c>
      <c r="AA1050">
        <f>IF(AND(vp.tbl[[#This Row],[CrudeType]]="Crude",vp.tbl[[#This Row],[Dens]]&lt;=825,vp.tbl[[#This Row],[Sulf]]&lt;=0.5,vp.tbl[[#This Row],[Unknown]]=0),1,0)</f>
        <v>1</v>
      </c>
      <c r="AB1050">
        <f>IF(AND(vp.tbl[[#This Row],[CrudeType]]="Crude",vp.tbl[[#This Row],[Dens]]&gt;825,vp.tbl[[#This Row],[Dens]]&lt;=870,vp.tbl[[#This Row],[Sulf]]&gt;0.5,vp.tbl[[#This Row],[Unknown]]=0),1,0)</f>
        <v>0</v>
      </c>
      <c r="AC1050">
        <f>IF(AND(vp.tbl[[#This Row],[CrudeType]]="Crude",vp.tbl[[#This Row],[Dens]]&gt;825,vp.tbl[[#This Row],[Dens]]&lt;=900,vp.tbl[[#This Row],[Sulf]]&lt;=0.5,vp.tbl[[#This Row],[Unknown]]=0),1,0)</f>
        <v>0</v>
      </c>
      <c r="AD1050">
        <f>IF(AND(vp.tbl[[#This Row],[CrudeType]]="Crude",vp.tbl[[#This Row],[Dens]]&gt;870,vp.tbl[[#This Row],[Dens]]&lt;=900,vp.tbl[[#This Row],[Sulf]]&gt;0.5,vp.tbl[[#This Row],[Unknown]]=0),1,0)</f>
        <v>0</v>
      </c>
      <c r="AE1050">
        <f>IF(AND(vp.tbl[[#This Row],[CrudeType]]="Crude",vp.tbl[[#This Row],[Dens]]&gt;900,vp.tbl[[#This Row],[Sulf]]&lt;=0.5,vp.tbl[[#This Row],[Unknown]]=0),1,0)</f>
        <v>0</v>
      </c>
      <c r="AF1050">
        <f>IF(AND(vp.tbl[[#This Row],[CrudeType]]="Crude",vp.tbl[[#This Row],[Dens]]&gt;900,vp.tbl[[#This Row],[Sulf]]&lt;=0.5,vp.tbl[[#This Row],[Unknown]]=0),1,0)</f>
        <v>0</v>
      </c>
      <c r="AG1050" t="str">
        <f>INDEX(vp.tbl[[#Headers],[Unknown]:[Heavy_SW]],MATCH(1,vp.tbl[[#This Row],[Unknown]:[Heavy_SW]],0))</f>
        <v>Light_SW</v>
      </c>
      <c r="AH1050" t="e">
        <f>INDEX([1]!crudeBD.lkup[Number],MATCH(vp.tbl[[#This Row],[Crude_Breakdown]],[1]!crudeBD.lkup[Crude Breakdown],0))</f>
        <v>#REF!</v>
      </c>
      <c r="AI1050">
        <f>MONTH(vp.tbl[[#This Row],[SDate]])</f>
        <v>3</v>
      </c>
      <c r="AJ1050" s="5">
        <f>IFERROR(vp.tbl[[#This Row],[Sulf]]*vp.tbl[[#This Row],[Net Dens]],"")</f>
        <v>3868468.5731999995</v>
      </c>
      <c r="AK1050" s="5">
        <f>IFERROR(vp.tbl[[#This Row],[Dens]]*vp.tbl[[#This Row],[VolumeM3]],"")</f>
        <v>12894895.243999999</v>
      </c>
      <c r="AL1050" s="5">
        <f>IFERROR(vp.tbl[[#This Row],[VP]]*vp.tbl[[#This Row],[VolumeM3]],"")</f>
        <v>1360045.8959999999</v>
      </c>
      <c r="AM1050" s="4">
        <f>IFERROR((vp.tbl[[#This Row],[VP]]-INDEX(crudeBD.lkup.complete[Mean_VP],MATCH(vp.tbl[[#This Row],[Crude_Breakdown]],crudeBD.lkup.complete[Crude Breakdown],0)))^2,"")</f>
        <v>54.027109854435054</v>
      </c>
      <c r="AN1050" s="4">
        <f>IFERROR((vp.tbl[[#This Row],[Dens]]-INDEX(crudeBD.lkup.complete[Mean_Dens],MATCH(vp.tbl[[#This Row],[Crude_Breakdown]],crudeBD.lkup.complete[Crude Breakdown],0)))^2,"")</f>
        <v>0.26163046777289312</v>
      </c>
      <c r="AO1050" s="4">
        <f>IFERROR((vp.tbl[[#This Row],[Sulf]]-INDEX(crudeBD.lkup.complete[Mean_Sulf],MATCH(vp.tbl[[#This Row],[Crude_Breakdown]],crudeBD.lkup.complete[Crude Breakdown],0)))^2,"")</f>
        <v>4.0651065565929113E-3</v>
      </c>
      <c r="AP1050">
        <f>IF(AND(vp.tbl[[#This Row],[SDate]]&gt;=DATE(YEAR(vp.tbl[[#This Row],[SDate]]),5,1),vp.tbl[[#This Row],[SDate]]&lt;=DATE(YEAR(vp.tbl[[#This Row],[SDate]]),9,15)),1,0)</f>
        <v>0</v>
      </c>
      <c r="AQ1050" s="15">
        <f>IF(vp.tbl[[#This Row],[SDate]]&lt;DATE(2016,12,1),0,1)</f>
        <v>1</v>
      </c>
    </row>
    <row r="1051" spans="1:43" x14ac:dyDescent="0.25">
      <c r="A1051">
        <v>1050</v>
      </c>
      <c r="B1051" t="s">
        <v>62</v>
      </c>
      <c r="C1051" t="s">
        <v>62</v>
      </c>
      <c r="D1051" t="s">
        <v>87</v>
      </c>
      <c r="F1051" s="1">
        <v>42814</v>
      </c>
      <c r="G1051" s="2">
        <v>78.099999999999994</v>
      </c>
      <c r="H1051" s="2"/>
      <c r="I1051" s="2">
        <v>0.17</v>
      </c>
      <c r="J1051" s="2">
        <v>25.9</v>
      </c>
      <c r="K1051" s="2">
        <v>-1</v>
      </c>
      <c r="L1051" s="2">
        <v>811.2</v>
      </c>
      <c r="M1051" s="2">
        <v>811.2</v>
      </c>
      <c r="N1051" s="2">
        <f ca="1">INDEX(INDIRECT(_xlfn.CONCAT("weather.tbl[",N$1,"]")),MATCH(vp.tbl[[#This Row],[SDate]],weather.tbl[Date],0))</f>
        <v>-2.6166666666666667</v>
      </c>
      <c r="O1051" s="2">
        <f ca="1">INDEX(INDIRECT(_xlfn.CONCAT("weather.tbl[",O$1,"]")),MATCH(vp.tbl[[#This Row],[SDate]],weather.tbl[Date],0))</f>
        <v>-1.9547619047619051</v>
      </c>
      <c r="P1051" s="2">
        <f ca="1">INDEX(INDIRECT(_xlfn.CONCAT("weather.tbl[",P$1,"]")),MATCH(vp.tbl[[#This Row],[SDate]],weather.tbl[Date],0))</f>
        <v>-3.3</v>
      </c>
      <c r="Q1051" s="2">
        <f ca="1">INDEX(INDIRECT(_xlfn.CONCAT("weather.tbl[",Q$1,"]")),MATCH(vp.tbl[[#This Row],[SDate]],weather.tbl[Date],0))</f>
        <v>-2.4</v>
      </c>
      <c r="R1051" s="2">
        <f ca="1">INDEX(INDIRECT(_xlfn.CONCAT("weather.tbl[",R$1,"]")),MATCH(vp.tbl[[#This Row],[SDate]],weather.tbl[Date],0))</f>
        <v>-2</v>
      </c>
      <c r="S1051" s="2">
        <f ca="1">INDEX(INDIRECT(_xlfn.CONCAT("weather.tbl[",S$1,"]")),MATCH(vp.tbl[[#This Row],[SDate]],weather.tbl[Date],0))</f>
        <v>-2.1</v>
      </c>
      <c r="T1051" s="2">
        <f ca="1">INDEX(INDIRECT(_xlfn.CONCAT("weather.tbl[",T$1,"]")),MATCH(vp.tbl[[#This Row],[SDate]],weather.tbl[Date],0))</f>
        <v>-3.9</v>
      </c>
      <c r="U1051" s="2">
        <f ca="1">INDEX(INDIRECT(_xlfn.CONCAT("weather.tbl[",U$1,"]")),MATCH(vp.tbl[[#This Row],[SDate]],weather.tbl[Date],0))</f>
        <v>-2</v>
      </c>
      <c r="V1051" s="2">
        <v>7297.97</v>
      </c>
      <c r="W1051" t="s">
        <v>48</v>
      </c>
      <c r="X1051">
        <f>IF(OR(vp.tbl[[#This Row],[Sulf]]="",vp.tbl[[#This Row],[Dens]]=""),1,0)</f>
        <v>0</v>
      </c>
      <c r="Y1051">
        <f>IF(vp.tbl[[#This Row],[CrudeType]]="C5+",1,0)</f>
        <v>0</v>
      </c>
      <c r="Z1051">
        <f>IF(AND(vp.tbl[[#This Row],[CrudeType]]="Crude",vp.tbl[[#This Row],[Dens]]&lt;=825,vp.tbl[[#This Row],[Sulf]]&gt;0.5,vp.tbl[[#This Row],[Unknown]]=0),1,0)</f>
        <v>0</v>
      </c>
      <c r="AA1051">
        <f>IF(AND(vp.tbl[[#This Row],[CrudeType]]="Crude",vp.tbl[[#This Row],[Dens]]&lt;=825,vp.tbl[[#This Row],[Sulf]]&lt;=0.5,vp.tbl[[#This Row],[Unknown]]=0),1,0)</f>
        <v>1</v>
      </c>
      <c r="AB1051">
        <f>IF(AND(vp.tbl[[#This Row],[CrudeType]]="Crude",vp.tbl[[#This Row],[Dens]]&gt;825,vp.tbl[[#This Row],[Dens]]&lt;=870,vp.tbl[[#This Row],[Sulf]]&gt;0.5,vp.tbl[[#This Row],[Unknown]]=0),1,0)</f>
        <v>0</v>
      </c>
      <c r="AC1051">
        <f>IF(AND(vp.tbl[[#This Row],[CrudeType]]="Crude",vp.tbl[[#This Row],[Dens]]&gt;825,vp.tbl[[#This Row],[Dens]]&lt;=900,vp.tbl[[#This Row],[Sulf]]&lt;=0.5,vp.tbl[[#This Row],[Unknown]]=0),1,0)</f>
        <v>0</v>
      </c>
      <c r="AD1051">
        <f>IF(AND(vp.tbl[[#This Row],[CrudeType]]="Crude",vp.tbl[[#This Row],[Dens]]&gt;870,vp.tbl[[#This Row],[Dens]]&lt;=900,vp.tbl[[#This Row],[Sulf]]&gt;0.5,vp.tbl[[#This Row],[Unknown]]=0),1,0)</f>
        <v>0</v>
      </c>
      <c r="AE1051">
        <f>IF(AND(vp.tbl[[#This Row],[CrudeType]]="Crude",vp.tbl[[#This Row],[Dens]]&gt;900,vp.tbl[[#This Row],[Sulf]]&lt;=0.5,vp.tbl[[#This Row],[Unknown]]=0),1,0)</f>
        <v>0</v>
      </c>
      <c r="AF1051">
        <f>IF(AND(vp.tbl[[#This Row],[CrudeType]]="Crude",vp.tbl[[#This Row],[Dens]]&gt;900,vp.tbl[[#This Row],[Sulf]]&lt;=0.5,vp.tbl[[#This Row],[Unknown]]=0),1,0)</f>
        <v>0</v>
      </c>
      <c r="AG1051" t="str">
        <f>INDEX(vp.tbl[[#Headers],[Unknown]:[Heavy_SW]],MATCH(1,vp.tbl[[#This Row],[Unknown]:[Heavy_SW]],0))</f>
        <v>Light_SW</v>
      </c>
      <c r="AH1051" t="e">
        <f>INDEX([1]!crudeBD.lkup[Number],MATCH(vp.tbl[[#This Row],[Crude_Breakdown]],[1]!crudeBD.lkup[Crude Breakdown],0))</f>
        <v>#REF!</v>
      </c>
      <c r="AI1051">
        <f>MONTH(vp.tbl[[#This Row],[SDate]])</f>
        <v>3</v>
      </c>
      <c r="AJ1051" s="5">
        <f>IFERROR(vp.tbl[[#This Row],[Sulf]]*vp.tbl[[#This Row],[Net Dens]],"")</f>
        <v>1006419.2548800001</v>
      </c>
      <c r="AK1051" s="5">
        <f>IFERROR(vp.tbl[[#This Row],[Dens]]*vp.tbl[[#This Row],[VolumeM3]],"")</f>
        <v>5920113.2640000004</v>
      </c>
      <c r="AL1051" s="5">
        <f>IFERROR(vp.tbl[[#This Row],[VP]]*vp.tbl[[#This Row],[VolumeM3]],"")</f>
        <v>569971.45699999994</v>
      </c>
      <c r="AM1051" s="4">
        <f>IFERROR((vp.tbl[[#This Row],[VP]]-INDEX(crudeBD.lkup.complete[Mean_VP],MATCH(vp.tbl[[#This Row],[Crude_Breakdown]],crudeBD.lkup.complete[Crude Breakdown],0)))^2,"")</f>
        <v>208.81156281610731</v>
      </c>
      <c r="AN1051" s="4">
        <f>IFERROR((vp.tbl[[#This Row],[Dens]]-INDEX(crudeBD.lkup.complete[Mean_Dens],MATCH(vp.tbl[[#This Row],[Crude_Breakdown]],crudeBD.lkup.complete[Crude Breakdown],0)))^2,"")</f>
        <v>8.3434423144644896</v>
      </c>
      <c r="AO1051" s="4">
        <f>IFERROR((vp.tbl[[#This Row],[Sulf]]-INDEX(crudeBD.lkup.complete[Mean_Sulf],MATCH(vp.tbl[[#This Row],[Crude_Breakdown]],crudeBD.lkup.complete[Crude Breakdown],0)))^2,"")</f>
        <v>4.3879776367322437E-3</v>
      </c>
      <c r="AP1051">
        <f>IF(AND(vp.tbl[[#This Row],[SDate]]&gt;=DATE(YEAR(vp.tbl[[#This Row],[SDate]]),5,1),vp.tbl[[#This Row],[SDate]]&lt;=DATE(YEAR(vp.tbl[[#This Row],[SDate]]),9,15)),1,0)</f>
        <v>0</v>
      </c>
      <c r="AQ1051" s="15">
        <f>IF(vp.tbl[[#This Row],[SDate]]&lt;DATE(2016,12,1),0,1)</f>
        <v>1</v>
      </c>
    </row>
    <row r="1052" spans="1:43" x14ac:dyDescent="0.25">
      <c r="A1052">
        <v>1051</v>
      </c>
      <c r="B1052" t="s">
        <v>51</v>
      </c>
      <c r="C1052" t="s">
        <v>51</v>
      </c>
      <c r="D1052" t="s">
        <v>95</v>
      </c>
      <c r="F1052" s="1">
        <v>42814</v>
      </c>
      <c r="G1052" s="2">
        <v>85.4</v>
      </c>
      <c r="H1052" s="2"/>
      <c r="I1052" s="2">
        <v>1.2</v>
      </c>
      <c r="J1052" s="2">
        <v>18</v>
      </c>
      <c r="K1052" s="2">
        <v>-1</v>
      </c>
      <c r="L1052" s="2">
        <v>841</v>
      </c>
      <c r="M1052" s="2">
        <v>841</v>
      </c>
      <c r="N1052" s="2">
        <f ca="1">INDEX(INDIRECT(_xlfn.CONCAT("weather.tbl[",N$1,"]")),MATCH(vp.tbl[[#This Row],[SDate]],weather.tbl[Date],0))</f>
        <v>-2.6166666666666667</v>
      </c>
      <c r="O1052" s="2">
        <f ca="1">INDEX(INDIRECT(_xlfn.CONCAT("weather.tbl[",O$1,"]")),MATCH(vp.tbl[[#This Row],[SDate]],weather.tbl[Date],0))</f>
        <v>-1.9547619047619051</v>
      </c>
      <c r="P1052" s="2">
        <f ca="1">INDEX(INDIRECT(_xlfn.CONCAT("weather.tbl[",P$1,"]")),MATCH(vp.tbl[[#This Row],[SDate]],weather.tbl[Date],0))</f>
        <v>-3.3</v>
      </c>
      <c r="Q1052" s="2">
        <f ca="1">INDEX(INDIRECT(_xlfn.CONCAT("weather.tbl[",Q$1,"]")),MATCH(vp.tbl[[#This Row],[SDate]],weather.tbl[Date],0))</f>
        <v>-2.4</v>
      </c>
      <c r="R1052" s="2">
        <f ca="1">INDEX(INDIRECT(_xlfn.CONCAT("weather.tbl[",R$1,"]")),MATCH(vp.tbl[[#This Row],[SDate]],weather.tbl[Date],0))</f>
        <v>-2</v>
      </c>
      <c r="S1052" s="2">
        <f ca="1">INDEX(INDIRECT(_xlfn.CONCAT("weather.tbl[",S$1,"]")),MATCH(vp.tbl[[#This Row],[SDate]],weather.tbl[Date],0))</f>
        <v>-2.1</v>
      </c>
      <c r="T1052" s="2">
        <f ca="1">INDEX(INDIRECT(_xlfn.CONCAT("weather.tbl[",T$1,"]")),MATCH(vp.tbl[[#This Row],[SDate]],weather.tbl[Date],0))</f>
        <v>-3.9</v>
      </c>
      <c r="U1052" s="2">
        <f ca="1">INDEX(INDIRECT(_xlfn.CONCAT("weather.tbl[",U$1,"]")),MATCH(vp.tbl[[#This Row],[SDate]],weather.tbl[Date],0))</f>
        <v>-2</v>
      </c>
      <c r="V1052" s="2">
        <v>5390.0870000000004</v>
      </c>
      <c r="W1052" t="s">
        <v>48</v>
      </c>
      <c r="X1052">
        <f>IF(OR(vp.tbl[[#This Row],[Sulf]]="",vp.tbl[[#This Row],[Dens]]=""),1,0)</f>
        <v>0</v>
      </c>
      <c r="Y1052">
        <f>IF(vp.tbl[[#This Row],[CrudeType]]="C5+",1,0)</f>
        <v>0</v>
      </c>
      <c r="Z1052">
        <f>IF(AND(vp.tbl[[#This Row],[CrudeType]]="Crude",vp.tbl[[#This Row],[Dens]]&lt;=825,vp.tbl[[#This Row],[Sulf]]&gt;0.5,vp.tbl[[#This Row],[Unknown]]=0),1,0)</f>
        <v>0</v>
      </c>
      <c r="AA1052">
        <f>IF(AND(vp.tbl[[#This Row],[CrudeType]]="Crude",vp.tbl[[#This Row],[Dens]]&lt;=825,vp.tbl[[#This Row],[Sulf]]&lt;=0.5,vp.tbl[[#This Row],[Unknown]]=0),1,0)</f>
        <v>0</v>
      </c>
      <c r="AB1052">
        <f>IF(AND(vp.tbl[[#This Row],[CrudeType]]="Crude",vp.tbl[[#This Row],[Dens]]&gt;825,vp.tbl[[#This Row],[Dens]]&lt;=870,vp.tbl[[#This Row],[Sulf]]&gt;0.5,vp.tbl[[#This Row],[Unknown]]=0),1,0)</f>
        <v>1</v>
      </c>
      <c r="AC1052">
        <f>IF(AND(vp.tbl[[#This Row],[CrudeType]]="Crude",vp.tbl[[#This Row],[Dens]]&gt;825,vp.tbl[[#This Row],[Dens]]&lt;=900,vp.tbl[[#This Row],[Sulf]]&lt;=0.5,vp.tbl[[#This Row],[Unknown]]=0),1,0)</f>
        <v>0</v>
      </c>
      <c r="AD1052">
        <f>IF(AND(vp.tbl[[#This Row],[CrudeType]]="Crude",vp.tbl[[#This Row],[Dens]]&gt;870,vp.tbl[[#This Row],[Dens]]&lt;=900,vp.tbl[[#This Row],[Sulf]]&gt;0.5,vp.tbl[[#This Row],[Unknown]]=0),1,0)</f>
        <v>0</v>
      </c>
      <c r="AE1052">
        <f>IF(AND(vp.tbl[[#This Row],[CrudeType]]="Crude",vp.tbl[[#This Row],[Dens]]&gt;900,vp.tbl[[#This Row],[Sulf]]&lt;=0.5,vp.tbl[[#This Row],[Unknown]]=0),1,0)</f>
        <v>0</v>
      </c>
      <c r="AF1052">
        <f>IF(AND(vp.tbl[[#This Row],[CrudeType]]="Crude",vp.tbl[[#This Row],[Dens]]&gt;900,vp.tbl[[#This Row],[Sulf]]&lt;=0.5,vp.tbl[[#This Row],[Unknown]]=0),1,0)</f>
        <v>0</v>
      </c>
      <c r="AG1052" t="str">
        <f>INDEX(vp.tbl[[#Headers],[Unknown]:[Heavy_SW]],MATCH(1,vp.tbl[[#This Row],[Unknown]:[Heavy_SW]],0))</f>
        <v>Medium_LSB</v>
      </c>
      <c r="AH1052" t="e">
        <f>INDEX([1]!crudeBD.lkup[Number],MATCH(vp.tbl[[#This Row],[Crude_Breakdown]],[1]!crudeBD.lkup[Crude Breakdown],0))</f>
        <v>#REF!</v>
      </c>
      <c r="AI1052">
        <f>MONTH(vp.tbl[[#This Row],[SDate]])</f>
        <v>3</v>
      </c>
      <c r="AJ1052" s="5">
        <f>IFERROR(vp.tbl[[#This Row],[Sulf]]*vp.tbl[[#This Row],[Net Dens]],"")</f>
        <v>5439675.8004000001</v>
      </c>
      <c r="AK1052" s="5">
        <f>IFERROR(vp.tbl[[#This Row],[Dens]]*vp.tbl[[#This Row],[VolumeM3]],"")</f>
        <v>4533063.1670000004</v>
      </c>
      <c r="AL1052" s="5">
        <f>IFERROR(vp.tbl[[#This Row],[VP]]*vp.tbl[[#This Row],[VolumeM3]],"")</f>
        <v>460313.42980000004</v>
      </c>
      <c r="AM1052" s="4">
        <f>IFERROR((vp.tbl[[#This Row],[VP]]-INDEX(crudeBD.lkup.complete[Mean_VP],MATCH(vp.tbl[[#This Row],[Crude_Breakdown]],crudeBD.lkup.complete[Crude Breakdown],0)))^2,"")</f>
        <v>27.315309885595703</v>
      </c>
      <c r="AN1052" s="4">
        <f>IFERROR((vp.tbl[[#This Row],[Dens]]-INDEX(crudeBD.lkup.complete[Mean_Dens],MATCH(vp.tbl[[#This Row],[Crude_Breakdown]],crudeBD.lkup.complete[Crude Breakdown],0)))^2,"")</f>
        <v>18.419742816206899</v>
      </c>
      <c r="AO1052" s="4">
        <f>IFERROR((vp.tbl[[#This Row],[Sulf]]-INDEX(crudeBD.lkup.complete[Mean_Sulf],MATCH(vp.tbl[[#This Row],[Crude_Breakdown]],crudeBD.lkup.complete[Crude Breakdown],0)))^2,"")</f>
        <v>6.4989233906855612E-2</v>
      </c>
      <c r="AP1052">
        <f>IF(AND(vp.tbl[[#This Row],[SDate]]&gt;=DATE(YEAR(vp.tbl[[#This Row],[SDate]]),5,1),vp.tbl[[#This Row],[SDate]]&lt;=DATE(YEAR(vp.tbl[[#This Row],[SDate]]),9,15)),1,0)</f>
        <v>0</v>
      </c>
      <c r="AQ1052" s="15">
        <f>IF(vp.tbl[[#This Row],[SDate]]&lt;DATE(2016,12,1),0,1)</f>
        <v>1</v>
      </c>
    </row>
    <row r="1053" spans="1:43" x14ac:dyDescent="0.25">
      <c r="A1053">
        <v>1052</v>
      </c>
      <c r="B1053" t="s">
        <v>62</v>
      </c>
      <c r="C1053" t="s">
        <v>62</v>
      </c>
      <c r="D1053" t="s">
        <v>63</v>
      </c>
      <c r="F1053" s="1">
        <v>42814</v>
      </c>
      <c r="G1053" s="2">
        <v>68.400000000000006</v>
      </c>
      <c r="H1053" s="2"/>
      <c r="I1053" s="2">
        <v>1.74</v>
      </c>
      <c r="J1053" s="2">
        <v>21.7</v>
      </c>
      <c r="K1053" s="2">
        <v>-1</v>
      </c>
      <c r="L1053" s="2">
        <v>849.9</v>
      </c>
      <c r="M1053" s="2">
        <v>849.9</v>
      </c>
      <c r="N1053" s="2">
        <f ca="1">INDEX(INDIRECT(_xlfn.CONCAT("weather.tbl[",N$1,"]")),MATCH(vp.tbl[[#This Row],[SDate]],weather.tbl[Date],0))</f>
        <v>-2.6166666666666667</v>
      </c>
      <c r="O1053" s="2">
        <f ca="1">INDEX(INDIRECT(_xlfn.CONCAT("weather.tbl[",O$1,"]")),MATCH(vp.tbl[[#This Row],[SDate]],weather.tbl[Date],0))</f>
        <v>-1.9547619047619051</v>
      </c>
      <c r="P1053" s="2">
        <f ca="1">INDEX(INDIRECT(_xlfn.CONCAT("weather.tbl[",P$1,"]")),MATCH(vp.tbl[[#This Row],[SDate]],weather.tbl[Date],0))</f>
        <v>-3.3</v>
      </c>
      <c r="Q1053" s="2">
        <f ca="1">INDEX(INDIRECT(_xlfn.CONCAT("weather.tbl[",Q$1,"]")),MATCH(vp.tbl[[#This Row],[SDate]],weather.tbl[Date],0))</f>
        <v>-2.4</v>
      </c>
      <c r="R1053" s="2">
        <f ca="1">INDEX(INDIRECT(_xlfn.CONCAT("weather.tbl[",R$1,"]")),MATCH(vp.tbl[[#This Row],[SDate]],weather.tbl[Date],0))</f>
        <v>-2</v>
      </c>
      <c r="S1053" s="2">
        <f ca="1">INDEX(INDIRECT(_xlfn.CONCAT("weather.tbl[",S$1,"]")),MATCH(vp.tbl[[#This Row],[SDate]],weather.tbl[Date],0))</f>
        <v>-2.1</v>
      </c>
      <c r="T1053" s="2">
        <f ca="1">INDEX(INDIRECT(_xlfn.CONCAT("weather.tbl[",T$1,"]")),MATCH(vp.tbl[[#This Row],[SDate]],weather.tbl[Date],0))</f>
        <v>-3.9</v>
      </c>
      <c r="U1053" s="2">
        <f ca="1">INDEX(INDIRECT(_xlfn.CONCAT("weather.tbl[",U$1,"]")),MATCH(vp.tbl[[#This Row],[SDate]],weather.tbl[Date],0))</f>
        <v>-2</v>
      </c>
      <c r="V1053" s="2">
        <v>6959.2520000000004</v>
      </c>
      <c r="W1053" t="s">
        <v>48</v>
      </c>
      <c r="X1053">
        <f>IF(OR(vp.tbl[[#This Row],[Sulf]]="",vp.tbl[[#This Row],[Dens]]=""),1,0)</f>
        <v>0</v>
      </c>
      <c r="Y1053">
        <f>IF(vp.tbl[[#This Row],[CrudeType]]="C5+",1,0)</f>
        <v>0</v>
      </c>
      <c r="Z1053">
        <f>IF(AND(vp.tbl[[#This Row],[CrudeType]]="Crude",vp.tbl[[#This Row],[Dens]]&lt;=825,vp.tbl[[#This Row],[Sulf]]&gt;0.5,vp.tbl[[#This Row],[Unknown]]=0),1,0)</f>
        <v>0</v>
      </c>
      <c r="AA1053">
        <f>IF(AND(vp.tbl[[#This Row],[CrudeType]]="Crude",vp.tbl[[#This Row],[Dens]]&lt;=825,vp.tbl[[#This Row],[Sulf]]&lt;=0.5,vp.tbl[[#This Row],[Unknown]]=0),1,0)</f>
        <v>0</v>
      </c>
      <c r="AB1053">
        <f>IF(AND(vp.tbl[[#This Row],[CrudeType]]="Crude",vp.tbl[[#This Row],[Dens]]&gt;825,vp.tbl[[#This Row],[Dens]]&lt;=870,vp.tbl[[#This Row],[Sulf]]&gt;0.5,vp.tbl[[#This Row],[Unknown]]=0),1,0)</f>
        <v>1</v>
      </c>
      <c r="AC1053">
        <f>IF(AND(vp.tbl[[#This Row],[CrudeType]]="Crude",vp.tbl[[#This Row],[Dens]]&gt;825,vp.tbl[[#This Row],[Dens]]&lt;=900,vp.tbl[[#This Row],[Sulf]]&lt;=0.5,vp.tbl[[#This Row],[Unknown]]=0),1,0)</f>
        <v>0</v>
      </c>
      <c r="AD1053">
        <f>IF(AND(vp.tbl[[#This Row],[CrudeType]]="Crude",vp.tbl[[#This Row],[Dens]]&gt;870,vp.tbl[[#This Row],[Dens]]&lt;=900,vp.tbl[[#This Row],[Sulf]]&gt;0.5,vp.tbl[[#This Row],[Unknown]]=0),1,0)</f>
        <v>0</v>
      </c>
      <c r="AE1053">
        <f>IF(AND(vp.tbl[[#This Row],[CrudeType]]="Crude",vp.tbl[[#This Row],[Dens]]&gt;900,vp.tbl[[#This Row],[Sulf]]&lt;=0.5,vp.tbl[[#This Row],[Unknown]]=0),1,0)</f>
        <v>0</v>
      </c>
      <c r="AF1053">
        <f>IF(AND(vp.tbl[[#This Row],[CrudeType]]="Crude",vp.tbl[[#This Row],[Dens]]&gt;900,vp.tbl[[#This Row],[Sulf]]&lt;=0.5,vp.tbl[[#This Row],[Unknown]]=0),1,0)</f>
        <v>0</v>
      </c>
      <c r="AG1053" t="str">
        <f>INDEX(vp.tbl[[#Headers],[Unknown]:[Heavy_SW]],MATCH(1,vp.tbl[[#This Row],[Unknown]:[Heavy_SW]],0))</f>
        <v>Medium_LSB</v>
      </c>
      <c r="AH1053" t="e">
        <f>INDEX([1]!crudeBD.lkup[Number],MATCH(vp.tbl[[#This Row],[Crude_Breakdown]],[1]!crudeBD.lkup[Crude Breakdown],0))</f>
        <v>#REF!</v>
      </c>
      <c r="AI1053">
        <f>MONTH(vp.tbl[[#This Row],[SDate]])</f>
        <v>3</v>
      </c>
      <c r="AJ1053" s="5">
        <f>IFERROR(vp.tbl[[#This Row],[Sulf]]*vp.tbl[[#This Row],[Net Dens]],"")</f>
        <v>10291522.798152</v>
      </c>
      <c r="AK1053" s="5">
        <f>IFERROR(vp.tbl[[#This Row],[Dens]]*vp.tbl[[#This Row],[VolumeM3]],"")</f>
        <v>5914668.2747999998</v>
      </c>
      <c r="AL1053" s="5">
        <f>IFERROR(vp.tbl[[#This Row],[VP]]*vp.tbl[[#This Row],[VolumeM3]],"")</f>
        <v>476012.83680000005</v>
      </c>
      <c r="AM1053" s="4">
        <f>IFERROR((vp.tbl[[#This Row],[VP]]-INDEX(crudeBD.lkup.complete[Mean_VP],MATCH(vp.tbl[[#This Row],[Crude_Breakdown]],crudeBD.lkup.complete[Crude Breakdown],0)))^2,"")</f>
        <v>138.61753773369551</v>
      </c>
      <c r="AN1053" s="4">
        <f>IFERROR((vp.tbl[[#This Row],[Dens]]-INDEX(crudeBD.lkup.complete[Mean_Dens],MATCH(vp.tbl[[#This Row],[Crude_Breakdown]],crudeBD.lkup.complete[Crude Breakdown],0)))^2,"")</f>
        <v>21.235297246603963</v>
      </c>
      <c r="AO1053" s="4">
        <f>IFERROR((vp.tbl[[#This Row],[Sulf]]-INDEX(crudeBD.lkup.complete[Mean_Sulf],MATCH(vp.tbl[[#This Row],[Crude_Breakdown]],crudeBD.lkup.complete[Crude Breakdown],0)))^2,"")</f>
        <v>8.1264984286600811E-2</v>
      </c>
      <c r="AP1053">
        <f>IF(AND(vp.tbl[[#This Row],[SDate]]&gt;=DATE(YEAR(vp.tbl[[#This Row],[SDate]]),5,1),vp.tbl[[#This Row],[SDate]]&lt;=DATE(YEAR(vp.tbl[[#This Row],[SDate]]),9,15)),1,0)</f>
        <v>0</v>
      </c>
      <c r="AQ1053" s="15">
        <f>IF(vp.tbl[[#This Row],[SDate]]&lt;DATE(2016,12,1),0,1)</f>
        <v>1</v>
      </c>
    </row>
    <row r="1054" spans="1:43" x14ac:dyDescent="0.25">
      <c r="A1054">
        <v>1053</v>
      </c>
      <c r="B1054" t="s">
        <v>60</v>
      </c>
      <c r="C1054" t="s">
        <v>60</v>
      </c>
      <c r="D1054" t="s">
        <v>61</v>
      </c>
      <c r="E1054" t="s">
        <v>73</v>
      </c>
      <c r="F1054" s="1">
        <v>42814</v>
      </c>
      <c r="G1054" s="2">
        <v>76.8</v>
      </c>
      <c r="H1054" s="2">
        <v>1.1220000000000001</v>
      </c>
      <c r="I1054" s="2">
        <v>1.1220000000000001</v>
      </c>
      <c r="J1054" s="2">
        <v>3.5</v>
      </c>
      <c r="K1054" s="2">
        <v>-1</v>
      </c>
      <c r="L1054" s="2">
        <v>844.5</v>
      </c>
      <c r="M1054" s="2">
        <v>844.5</v>
      </c>
      <c r="N1054" s="2">
        <f ca="1">INDEX(INDIRECT(_xlfn.CONCAT("weather.tbl[",N$1,"]")),MATCH(vp.tbl[[#This Row],[SDate]],weather.tbl[Date],0))</f>
        <v>-2.6166666666666667</v>
      </c>
      <c r="O1054" s="2">
        <f ca="1">INDEX(INDIRECT(_xlfn.CONCAT("weather.tbl[",O$1,"]")),MATCH(vp.tbl[[#This Row],[SDate]],weather.tbl[Date],0))</f>
        <v>-1.9547619047619051</v>
      </c>
      <c r="P1054" s="2">
        <f ca="1">INDEX(INDIRECT(_xlfn.CONCAT("weather.tbl[",P$1,"]")),MATCH(vp.tbl[[#This Row],[SDate]],weather.tbl[Date],0))</f>
        <v>-3.3</v>
      </c>
      <c r="Q1054" s="2">
        <f ca="1">INDEX(INDIRECT(_xlfn.CONCAT("weather.tbl[",Q$1,"]")),MATCH(vp.tbl[[#This Row],[SDate]],weather.tbl[Date],0))</f>
        <v>-2.4</v>
      </c>
      <c r="R1054" s="2">
        <f ca="1">INDEX(INDIRECT(_xlfn.CONCAT("weather.tbl[",R$1,"]")),MATCH(vp.tbl[[#This Row],[SDate]],weather.tbl[Date],0))</f>
        <v>-2</v>
      </c>
      <c r="S1054" s="2">
        <f ca="1">INDEX(INDIRECT(_xlfn.CONCAT("weather.tbl[",S$1,"]")),MATCH(vp.tbl[[#This Row],[SDate]],weather.tbl[Date],0))</f>
        <v>-2.1</v>
      </c>
      <c r="T1054" s="2">
        <f ca="1">INDEX(INDIRECT(_xlfn.CONCAT("weather.tbl[",T$1,"]")),MATCH(vp.tbl[[#This Row],[SDate]],weather.tbl[Date],0))</f>
        <v>-3.9</v>
      </c>
      <c r="U1054" s="2">
        <f ca="1">INDEX(INDIRECT(_xlfn.CONCAT("weather.tbl[",U$1,"]")),MATCH(vp.tbl[[#This Row],[SDate]],weather.tbl[Date],0))</f>
        <v>-2</v>
      </c>
      <c r="V1054" s="2">
        <v>106074.851</v>
      </c>
      <c r="W1054" t="s">
        <v>48</v>
      </c>
      <c r="X1054">
        <f>IF(OR(vp.tbl[[#This Row],[Sulf]]="",vp.tbl[[#This Row],[Dens]]=""),1,0)</f>
        <v>0</v>
      </c>
      <c r="Y1054">
        <f>IF(vp.tbl[[#This Row],[CrudeType]]="C5+",1,0)</f>
        <v>0</v>
      </c>
      <c r="Z1054">
        <f>IF(AND(vp.tbl[[#This Row],[CrudeType]]="Crude",vp.tbl[[#This Row],[Dens]]&lt;=825,vp.tbl[[#This Row],[Sulf]]&gt;0.5,vp.tbl[[#This Row],[Unknown]]=0),1,0)</f>
        <v>0</v>
      </c>
      <c r="AA1054">
        <f>IF(AND(vp.tbl[[#This Row],[CrudeType]]="Crude",vp.tbl[[#This Row],[Dens]]&lt;=825,vp.tbl[[#This Row],[Sulf]]&lt;=0.5,vp.tbl[[#This Row],[Unknown]]=0),1,0)</f>
        <v>0</v>
      </c>
      <c r="AB1054">
        <f>IF(AND(vp.tbl[[#This Row],[CrudeType]]="Crude",vp.tbl[[#This Row],[Dens]]&gt;825,vp.tbl[[#This Row],[Dens]]&lt;=870,vp.tbl[[#This Row],[Sulf]]&gt;0.5,vp.tbl[[#This Row],[Unknown]]=0),1,0)</f>
        <v>1</v>
      </c>
      <c r="AC1054">
        <f>IF(AND(vp.tbl[[#This Row],[CrudeType]]="Crude",vp.tbl[[#This Row],[Dens]]&gt;825,vp.tbl[[#This Row],[Dens]]&lt;=900,vp.tbl[[#This Row],[Sulf]]&lt;=0.5,vp.tbl[[#This Row],[Unknown]]=0),1,0)</f>
        <v>0</v>
      </c>
      <c r="AD1054">
        <f>IF(AND(vp.tbl[[#This Row],[CrudeType]]="Crude",vp.tbl[[#This Row],[Dens]]&gt;870,vp.tbl[[#This Row],[Dens]]&lt;=900,vp.tbl[[#This Row],[Sulf]]&gt;0.5,vp.tbl[[#This Row],[Unknown]]=0),1,0)</f>
        <v>0</v>
      </c>
      <c r="AE1054">
        <f>IF(AND(vp.tbl[[#This Row],[CrudeType]]="Crude",vp.tbl[[#This Row],[Dens]]&gt;900,vp.tbl[[#This Row],[Sulf]]&lt;=0.5,vp.tbl[[#This Row],[Unknown]]=0),1,0)</f>
        <v>0</v>
      </c>
      <c r="AF1054">
        <f>IF(AND(vp.tbl[[#This Row],[CrudeType]]="Crude",vp.tbl[[#This Row],[Dens]]&gt;900,vp.tbl[[#This Row],[Sulf]]&lt;=0.5,vp.tbl[[#This Row],[Unknown]]=0),1,0)</f>
        <v>0</v>
      </c>
      <c r="AG1054" t="str">
        <f>INDEX(vp.tbl[[#Headers],[Unknown]:[Heavy_SW]],MATCH(1,vp.tbl[[#This Row],[Unknown]:[Heavy_SW]],0))</f>
        <v>Medium_LSB</v>
      </c>
      <c r="AH1054" t="e">
        <f>INDEX([1]!crudeBD.lkup[Number],MATCH(vp.tbl[[#This Row],[Crude_Breakdown]],[1]!crudeBD.lkup[Crude Breakdown],0))</f>
        <v>#REF!</v>
      </c>
      <c r="AI1054">
        <f>MONTH(vp.tbl[[#This Row],[SDate]])</f>
        <v>3</v>
      </c>
      <c r="AJ1054" s="5">
        <f>IFERROR(vp.tbl[[#This Row],[Sulf]]*vp.tbl[[#This Row],[Net Dens]],"")</f>
        <v>100508997.49317901</v>
      </c>
      <c r="AK1054" s="5">
        <f>IFERROR(vp.tbl[[#This Row],[Dens]]*vp.tbl[[#This Row],[VolumeM3]],"")</f>
        <v>89580211.669499993</v>
      </c>
      <c r="AL1054" s="5">
        <f>IFERROR(vp.tbl[[#This Row],[VP]]*vp.tbl[[#This Row],[VolumeM3]],"")</f>
        <v>8146548.5567999994</v>
      </c>
      <c r="AM1054" s="4">
        <f>IFERROR((vp.tbl[[#This Row],[VP]]-INDEX(crudeBD.lkup.complete[Mean_VP],MATCH(vp.tbl[[#This Row],[Crude_Breakdown]],crudeBD.lkup.complete[Crude Breakdown],0)))^2,"")</f>
        <v>11.381142796987433</v>
      </c>
      <c r="AN1054" s="4">
        <f>IFERROR((vp.tbl[[#This Row],[Dens]]-INDEX(crudeBD.lkup.complete[Mean_Dens],MATCH(vp.tbl[[#This Row],[Crude_Breakdown]],crudeBD.lkup.complete[Crude Breakdown],0)))^2,"")</f>
        <v>0.62698332254290468</v>
      </c>
      <c r="AO1054" s="4">
        <f>IFERROR((vp.tbl[[#This Row],[Sulf]]-INDEX(crudeBD.lkup.complete[Mean_Sulf],MATCH(vp.tbl[[#This Row],[Crude_Breakdown]],crudeBD.lkup.complete[Crude Breakdown],0)))^2,"")</f>
        <v>0.11084229218533675</v>
      </c>
      <c r="AP1054">
        <f>IF(AND(vp.tbl[[#This Row],[SDate]]&gt;=DATE(YEAR(vp.tbl[[#This Row],[SDate]]),5,1),vp.tbl[[#This Row],[SDate]]&lt;=DATE(YEAR(vp.tbl[[#This Row],[SDate]]),9,15)),1,0)</f>
        <v>0</v>
      </c>
      <c r="AQ1054" s="15">
        <f>IF(vp.tbl[[#This Row],[SDate]]&lt;DATE(2016,12,1),0,1)</f>
        <v>1</v>
      </c>
    </row>
    <row r="1055" spans="1:43" x14ac:dyDescent="0.25">
      <c r="A1055">
        <v>1054</v>
      </c>
      <c r="B1055" t="s">
        <v>60</v>
      </c>
      <c r="C1055" t="s">
        <v>60</v>
      </c>
      <c r="D1055" t="s">
        <v>61</v>
      </c>
      <c r="E1055" t="s">
        <v>55</v>
      </c>
      <c r="F1055" s="1">
        <v>42814</v>
      </c>
      <c r="G1055" s="2">
        <v>93.9</v>
      </c>
      <c r="H1055" s="2">
        <v>0.997</v>
      </c>
      <c r="I1055" s="2">
        <v>0.997</v>
      </c>
      <c r="J1055" s="2">
        <v>6.4</v>
      </c>
      <c r="K1055" s="2">
        <v>-1</v>
      </c>
      <c r="L1055" s="2">
        <v>830.6</v>
      </c>
      <c r="M1055" s="2">
        <v>830.6</v>
      </c>
      <c r="N1055" s="2">
        <f ca="1">INDEX(INDIRECT(_xlfn.CONCAT("weather.tbl[",N$1,"]")),MATCH(vp.tbl[[#This Row],[SDate]],weather.tbl[Date],0))</f>
        <v>-2.6166666666666667</v>
      </c>
      <c r="O1055" s="2">
        <f ca="1">INDEX(INDIRECT(_xlfn.CONCAT("weather.tbl[",O$1,"]")),MATCH(vp.tbl[[#This Row],[SDate]],weather.tbl[Date],0))</f>
        <v>-1.9547619047619051</v>
      </c>
      <c r="P1055" s="2">
        <f ca="1">INDEX(INDIRECT(_xlfn.CONCAT("weather.tbl[",P$1,"]")),MATCH(vp.tbl[[#This Row],[SDate]],weather.tbl[Date],0))</f>
        <v>-3.3</v>
      </c>
      <c r="Q1055" s="2">
        <f ca="1">INDEX(INDIRECT(_xlfn.CONCAT("weather.tbl[",Q$1,"]")),MATCH(vp.tbl[[#This Row],[SDate]],weather.tbl[Date],0))</f>
        <v>-2.4</v>
      </c>
      <c r="R1055" s="2">
        <f ca="1">INDEX(INDIRECT(_xlfn.CONCAT("weather.tbl[",R$1,"]")),MATCH(vp.tbl[[#This Row],[SDate]],weather.tbl[Date],0))</f>
        <v>-2</v>
      </c>
      <c r="S1055" s="2">
        <f ca="1">INDEX(INDIRECT(_xlfn.CONCAT("weather.tbl[",S$1,"]")),MATCH(vp.tbl[[#This Row],[SDate]],weather.tbl[Date],0))</f>
        <v>-2.1</v>
      </c>
      <c r="T1055" s="2">
        <f ca="1">INDEX(INDIRECT(_xlfn.CONCAT("weather.tbl[",T$1,"]")),MATCH(vp.tbl[[#This Row],[SDate]],weather.tbl[Date],0))</f>
        <v>-3.9</v>
      </c>
      <c r="U1055" s="2">
        <f ca="1">INDEX(INDIRECT(_xlfn.CONCAT("weather.tbl[",U$1,"]")),MATCH(vp.tbl[[#This Row],[SDate]],weather.tbl[Date],0))</f>
        <v>-2</v>
      </c>
      <c r="V1055" s="2">
        <v>106074.851</v>
      </c>
      <c r="W1055" t="s">
        <v>48</v>
      </c>
      <c r="X1055">
        <f>IF(OR(vp.tbl[[#This Row],[Sulf]]="",vp.tbl[[#This Row],[Dens]]=""),1,0)</f>
        <v>0</v>
      </c>
      <c r="Y1055">
        <f>IF(vp.tbl[[#This Row],[CrudeType]]="C5+",1,0)</f>
        <v>0</v>
      </c>
      <c r="Z1055">
        <f>IF(AND(vp.tbl[[#This Row],[CrudeType]]="Crude",vp.tbl[[#This Row],[Dens]]&lt;=825,vp.tbl[[#This Row],[Sulf]]&gt;0.5,vp.tbl[[#This Row],[Unknown]]=0),1,0)</f>
        <v>0</v>
      </c>
      <c r="AA1055">
        <f>IF(AND(vp.tbl[[#This Row],[CrudeType]]="Crude",vp.tbl[[#This Row],[Dens]]&lt;=825,vp.tbl[[#This Row],[Sulf]]&lt;=0.5,vp.tbl[[#This Row],[Unknown]]=0),1,0)</f>
        <v>0</v>
      </c>
      <c r="AB1055">
        <f>IF(AND(vp.tbl[[#This Row],[CrudeType]]="Crude",vp.tbl[[#This Row],[Dens]]&gt;825,vp.tbl[[#This Row],[Dens]]&lt;=870,vp.tbl[[#This Row],[Sulf]]&gt;0.5,vp.tbl[[#This Row],[Unknown]]=0),1,0)</f>
        <v>1</v>
      </c>
      <c r="AC1055">
        <f>IF(AND(vp.tbl[[#This Row],[CrudeType]]="Crude",vp.tbl[[#This Row],[Dens]]&gt;825,vp.tbl[[#This Row],[Dens]]&lt;=900,vp.tbl[[#This Row],[Sulf]]&lt;=0.5,vp.tbl[[#This Row],[Unknown]]=0),1,0)</f>
        <v>0</v>
      </c>
      <c r="AD1055">
        <f>IF(AND(vp.tbl[[#This Row],[CrudeType]]="Crude",vp.tbl[[#This Row],[Dens]]&gt;870,vp.tbl[[#This Row],[Dens]]&lt;=900,vp.tbl[[#This Row],[Sulf]]&gt;0.5,vp.tbl[[#This Row],[Unknown]]=0),1,0)</f>
        <v>0</v>
      </c>
      <c r="AE1055">
        <f>IF(AND(vp.tbl[[#This Row],[CrudeType]]="Crude",vp.tbl[[#This Row],[Dens]]&gt;900,vp.tbl[[#This Row],[Sulf]]&lt;=0.5,vp.tbl[[#This Row],[Unknown]]=0),1,0)</f>
        <v>0</v>
      </c>
      <c r="AF1055">
        <f>IF(AND(vp.tbl[[#This Row],[CrudeType]]="Crude",vp.tbl[[#This Row],[Dens]]&gt;900,vp.tbl[[#This Row],[Sulf]]&lt;=0.5,vp.tbl[[#This Row],[Unknown]]=0),1,0)</f>
        <v>0</v>
      </c>
      <c r="AG1055" t="str">
        <f>INDEX(vp.tbl[[#Headers],[Unknown]:[Heavy_SW]],MATCH(1,vp.tbl[[#This Row],[Unknown]:[Heavy_SW]],0))</f>
        <v>Medium_LSB</v>
      </c>
      <c r="AH1055" t="e">
        <f>INDEX([1]!crudeBD.lkup[Number],MATCH(vp.tbl[[#This Row],[Crude_Breakdown]],[1]!crudeBD.lkup[Crude Breakdown],0))</f>
        <v>#REF!</v>
      </c>
      <c r="AI1055">
        <f>MONTH(vp.tbl[[#This Row],[SDate]])</f>
        <v>3</v>
      </c>
      <c r="AJ1055" s="5">
        <f>IFERROR(vp.tbl[[#This Row],[Sulf]]*vp.tbl[[#This Row],[Net Dens]],"")</f>
        <v>87841453.926878199</v>
      </c>
      <c r="AK1055" s="5">
        <f>IFERROR(vp.tbl[[#This Row],[Dens]]*vp.tbl[[#This Row],[VolumeM3]],"")</f>
        <v>88105771.240600005</v>
      </c>
      <c r="AL1055" s="5">
        <f>IFERROR(vp.tbl[[#This Row],[VP]]*vp.tbl[[#This Row],[VolumeM3]],"")</f>
        <v>9960428.5088999998</v>
      </c>
      <c r="AM1055" s="4">
        <f>IFERROR((vp.tbl[[#This Row],[VP]]-INDEX(crudeBD.lkup.complete[Mean_VP],MATCH(vp.tbl[[#This Row],[Crude_Breakdown]],crudeBD.lkup.complete[Crude Breakdown],0)))^2,"")</f>
        <v>188.4141959615458</v>
      </c>
      <c r="AN1055" s="4">
        <f>IFERROR((vp.tbl[[#This Row],[Dens]]-INDEX(crudeBD.lkup.complete[Mean_Dens],MATCH(vp.tbl[[#This Row],[Crude_Breakdown]],crudeBD.lkup.complete[Crude Breakdown],0)))^2,"")</f>
        <v>215.84965674023638</v>
      </c>
      <c r="AO1055" s="4">
        <f>IFERROR((vp.tbl[[#This Row],[Sulf]]-INDEX(crudeBD.lkup.complete[Mean_Sulf],MATCH(vp.tbl[[#This Row],[Crude_Breakdown]],crudeBD.lkup.complete[Crude Breakdown],0)))^2,"")</f>
        <v>0.20969975737521063</v>
      </c>
      <c r="AP1055">
        <f>IF(AND(vp.tbl[[#This Row],[SDate]]&gt;=DATE(YEAR(vp.tbl[[#This Row],[SDate]]),5,1),vp.tbl[[#This Row],[SDate]]&lt;=DATE(YEAR(vp.tbl[[#This Row],[SDate]]),9,15)),1,0)</f>
        <v>0</v>
      </c>
      <c r="AQ1055" s="15">
        <f>IF(vp.tbl[[#This Row],[SDate]]&lt;DATE(2016,12,1),0,1)</f>
        <v>1</v>
      </c>
    </row>
    <row r="1056" spans="1:43" x14ac:dyDescent="0.25">
      <c r="A1056">
        <v>1055</v>
      </c>
      <c r="B1056" t="s">
        <v>53</v>
      </c>
      <c r="C1056" t="s">
        <v>53</v>
      </c>
      <c r="D1056" t="s">
        <v>54</v>
      </c>
      <c r="E1056" t="s">
        <v>73</v>
      </c>
      <c r="F1056" s="1">
        <v>42815</v>
      </c>
      <c r="G1056" s="2">
        <v>81</v>
      </c>
      <c r="H1056" s="2"/>
      <c r="I1056" s="2">
        <v>1.32</v>
      </c>
      <c r="J1056" s="2">
        <v>3</v>
      </c>
      <c r="K1056" s="2">
        <v>-11</v>
      </c>
      <c r="L1056" s="2">
        <v>828.8</v>
      </c>
      <c r="M1056" s="2">
        <v>828.8</v>
      </c>
      <c r="N1056" s="2">
        <f ca="1">INDEX(INDIRECT(_xlfn.CONCAT("weather.tbl[",N$1,"]")),MATCH(vp.tbl[[#This Row],[SDate]],weather.tbl[Date],0))</f>
        <v>-9.8166666666666682</v>
      </c>
      <c r="O1056" s="2">
        <f ca="1">INDEX(INDIRECT(_xlfn.CONCAT("weather.tbl[",O$1,"]")),MATCH(vp.tbl[[#This Row],[SDate]],weather.tbl[Date],0))</f>
        <v>-2.0214285714285718</v>
      </c>
      <c r="P1056" s="2">
        <f ca="1">INDEX(INDIRECT(_xlfn.CONCAT("weather.tbl[",P$1,"]")),MATCH(vp.tbl[[#This Row],[SDate]],weather.tbl[Date],0))</f>
        <v>-9.3000000000000007</v>
      </c>
      <c r="Q1056" s="2">
        <f ca="1">INDEX(INDIRECT(_xlfn.CONCAT("weather.tbl[",Q$1,"]")),MATCH(vp.tbl[[#This Row],[SDate]],weather.tbl[Date],0))</f>
        <v>-8.1999999999999993</v>
      </c>
      <c r="R1056" s="2">
        <f ca="1">INDEX(INDIRECT(_xlfn.CONCAT("weather.tbl[",R$1,"]")),MATCH(vp.tbl[[#This Row],[SDate]],weather.tbl[Date],0))</f>
        <v>-11.8</v>
      </c>
      <c r="S1056" s="2">
        <f ca="1">INDEX(INDIRECT(_xlfn.CONCAT("weather.tbl[",S$1,"]")),MATCH(vp.tbl[[#This Row],[SDate]],weather.tbl[Date],0))</f>
        <v>-6.8</v>
      </c>
      <c r="T1056" s="2">
        <f ca="1">INDEX(INDIRECT(_xlfn.CONCAT("weather.tbl[",T$1,"]")),MATCH(vp.tbl[[#This Row],[SDate]],weather.tbl[Date],0))</f>
        <v>-12.8</v>
      </c>
      <c r="U1056" s="2">
        <f ca="1">INDEX(INDIRECT(_xlfn.CONCAT("weather.tbl[",U$1,"]")),MATCH(vp.tbl[[#This Row],[SDate]],weather.tbl[Date],0))</f>
        <v>-10</v>
      </c>
      <c r="V1056" s="2">
        <v>9106.7160000000003</v>
      </c>
      <c r="W1056" t="s">
        <v>48</v>
      </c>
      <c r="X1056">
        <f>IF(OR(vp.tbl[[#This Row],[Sulf]]="",vp.tbl[[#This Row],[Dens]]=""),1,0)</f>
        <v>0</v>
      </c>
      <c r="Y1056">
        <f>IF(vp.tbl[[#This Row],[CrudeType]]="C5+",1,0)</f>
        <v>0</v>
      </c>
      <c r="Z1056">
        <f>IF(AND(vp.tbl[[#This Row],[CrudeType]]="Crude",vp.tbl[[#This Row],[Dens]]&lt;=825,vp.tbl[[#This Row],[Sulf]]&gt;0.5,vp.tbl[[#This Row],[Unknown]]=0),1,0)</f>
        <v>0</v>
      </c>
      <c r="AA1056">
        <f>IF(AND(vp.tbl[[#This Row],[CrudeType]]="Crude",vp.tbl[[#This Row],[Dens]]&lt;=825,vp.tbl[[#This Row],[Sulf]]&lt;=0.5,vp.tbl[[#This Row],[Unknown]]=0),1,0)</f>
        <v>0</v>
      </c>
      <c r="AB1056">
        <f>IF(AND(vp.tbl[[#This Row],[CrudeType]]="Crude",vp.tbl[[#This Row],[Dens]]&gt;825,vp.tbl[[#This Row],[Dens]]&lt;=870,vp.tbl[[#This Row],[Sulf]]&gt;0.5,vp.tbl[[#This Row],[Unknown]]=0),1,0)</f>
        <v>1</v>
      </c>
      <c r="AC1056">
        <f>IF(AND(vp.tbl[[#This Row],[CrudeType]]="Crude",vp.tbl[[#This Row],[Dens]]&gt;825,vp.tbl[[#This Row],[Dens]]&lt;=900,vp.tbl[[#This Row],[Sulf]]&lt;=0.5,vp.tbl[[#This Row],[Unknown]]=0),1,0)</f>
        <v>0</v>
      </c>
      <c r="AD1056">
        <f>IF(AND(vp.tbl[[#This Row],[CrudeType]]="Crude",vp.tbl[[#This Row],[Dens]]&gt;870,vp.tbl[[#This Row],[Dens]]&lt;=900,vp.tbl[[#This Row],[Sulf]]&gt;0.5,vp.tbl[[#This Row],[Unknown]]=0),1,0)</f>
        <v>0</v>
      </c>
      <c r="AE1056">
        <f>IF(AND(vp.tbl[[#This Row],[CrudeType]]="Crude",vp.tbl[[#This Row],[Dens]]&gt;900,vp.tbl[[#This Row],[Sulf]]&lt;=0.5,vp.tbl[[#This Row],[Unknown]]=0),1,0)</f>
        <v>0</v>
      </c>
      <c r="AF1056">
        <f>IF(AND(vp.tbl[[#This Row],[CrudeType]]="Crude",vp.tbl[[#This Row],[Dens]]&gt;900,vp.tbl[[#This Row],[Sulf]]&lt;=0.5,vp.tbl[[#This Row],[Unknown]]=0),1,0)</f>
        <v>0</v>
      </c>
      <c r="AG1056" t="str">
        <f>INDEX(vp.tbl[[#Headers],[Unknown]:[Heavy_SW]],MATCH(1,vp.tbl[[#This Row],[Unknown]:[Heavy_SW]],0))</f>
        <v>Medium_LSB</v>
      </c>
      <c r="AH1056" t="e">
        <f>INDEX([1]!crudeBD.lkup[Number],MATCH(vp.tbl[[#This Row],[Crude_Breakdown]],[1]!crudeBD.lkup[Crude Breakdown],0))</f>
        <v>#REF!</v>
      </c>
      <c r="AI1056">
        <f>MONTH(vp.tbl[[#This Row],[SDate]])</f>
        <v>3</v>
      </c>
      <c r="AJ1056" s="5">
        <f>IFERROR(vp.tbl[[#This Row],[Sulf]]*vp.tbl[[#This Row],[Net Dens]],"")</f>
        <v>9962893.0114560015</v>
      </c>
      <c r="AK1056" s="5">
        <f>IFERROR(vp.tbl[[#This Row],[Dens]]*vp.tbl[[#This Row],[VolumeM3]],"")</f>
        <v>7547646.2208000002</v>
      </c>
      <c r="AL1056" s="5">
        <f>IFERROR(vp.tbl[[#This Row],[VP]]*vp.tbl[[#This Row],[VolumeM3]],"")</f>
        <v>737643.99600000004</v>
      </c>
      <c r="AM1056" s="4">
        <f>IFERROR((vp.tbl[[#This Row],[VP]]-INDEX(crudeBD.lkup.complete[Mean_VP],MATCH(vp.tbl[[#This Row],[Crude_Breakdown]],crudeBD.lkup.complete[Crude Breakdown],0)))^2,"")</f>
        <v>0.68294532863329283</v>
      </c>
      <c r="AN1056" s="4">
        <f>IFERROR((vp.tbl[[#This Row],[Dens]]-INDEX(crudeBD.lkup.complete[Mean_Dens],MATCH(vp.tbl[[#This Row],[Crude_Breakdown]],crudeBD.lkup.complete[Crude Breakdown],0)))^2,"")</f>
        <v>271.98021876555146</v>
      </c>
      <c r="AO1056" s="4">
        <f>IFERROR((vp.tbl[[#This Row],[Sulf]]-INDEX(crudeBD.lkup.complete[Mean_Sulf],MATCH(vp.tbl[[#This Row],[Crude_Breakdown]],crudeBD.lkup.complete[Crude Breakdown],0)))^2,"")</f>
        <v>1.8206067324576733E-2</v>
      </c>
      <c r="AP1056">
        <f>IF(AND(vp.tbl[[#This Row],[SDate]]&gt;=DATE(YEAR(vp.tbl[[#This Row],[SDate]]),5,1),vp.tbl[[#This Row],[SDate]]&lt;=DATE(YEAR(vp.tbl[[#This Row],[SDate]]),9,15)),1,0)</f>
        <v>0</v>
      </c>
      <c r="AQ1056" s="15">
        <f>IF(vp.tbl[[#This Row],[SDate]]&lt;DATE(2016,12,1),0,1)</f>
        <v>1</v>
      </c>
    </row>
    <row r="1057" spans="1:43" x14ac:dyDescent="0.25">
      <c r="A1057">
        <v>1056</v>
      </c>
      <c r="B1057" t="s">
        <v>49</v>
      </c>
      <c r="C1057" t="s">
        <v>49</v>
      </c>
      <c r="D1057" t="s">
        <v>81</v>
      </c>
      <c r="F1057" s="1">
        <v>42815</v>
      </c>
      <c r="G1057" s="2">
        <v>77.7</v>
      </c>
      <c r="H1057" s="2">
        <v>0.56699999999999995</v>
      </c>
      <c r="I1057" s="2">
        <v>0.56699999999999995</v>
      </c>
      <c r="J1057" s="2">
        <v>4</v>
      </c>
      <c r="K1057" s="2">
        <v>-11</v>
      </c>
      <c r="L1057" s="2">
        <v>823.6</v>
      </c>
      <c r="M1057" s="2">
        <v>823.6</v>
      </c>
      <c r="N1057" s="2">
        <f ca="1">INDEX(INDIRECT(_xlfn.CONCAT("weather.tbl[",N$1,"]")),MATCH(vp.tbl[[#This Row],[SDate]],weather.tbl[Date],0))</f>
        <v>-9.8166666666666682</v>
      </c>
      <c r="O1057" s="2">
        <f ca="1">INDEX(INDIRECT(_xlfn.CONCAT("weather.tbl[",O$1,"]")),MATCH(vp.tbl[[#This Row],[SDate]],weather.tbl[Date],0))</f>
        <v>-2.0214285714285718</v>
      </c>
      <c r="P1057" s="2">
        <f ca="1">INDEX(INDIRECT(_xlfn.CONCAT("weather.tbl[",P$1,"]")),MATCH(vp.tbl[[#This Row],[SDate]],weather.tbl[Date],0))</f>
        <v>-9.3000000000000007</v>
      </c>
      <c r="Q1057" s="2">
        <f ca="1">INDEX(INDIRECT(_xlfn.CONCAT("weather.tbl[",Q$1,"]")),MATCH(vp.tbl[[#This Row],[SDate]],weather.tbl[Date],0))</f>
        <v>-8.1999999999999993</v>
      </c>
      <c r="R1057" s="2">
        <f ca="1">INDEX(INDIRECT(_xlfn.CONCAT("weather.tbl[",R$1,"]")),MATCH(vp.tbl[[#This Row],[SDate]],weather.tbl[Date],0))</f>
        <v>-11.8</v>
      </c>
      <c r="S1057" s="2">
        <f ca="1">INDEX(INDIRECT(_xlfn.CONCAT("weather.tbl[",S$1,"]")),MATCH(vp.tbl[[#This Row],[SDate]],weather.tbl[Date],0))</f>
        <v>-6.8</v>
      </c>
      <c r="T1057" s="2">
        <f ca="1">INDEX(INDIRECT(_xlfn.CONCAT("weather.tbl[",T$1,"]")),MATCH(vp.tbl[[#This Row],[SDate]],weather.tbl[Date],0))</f>
        <v>-12.8</v>
      </c>
      <c r="U1057" s="2">
        <f ca="1">INDEX(INDIRECT(_xlfn.CONCAT("weather.tbl[",U$1,"]")),MATCH(vp.tbl[[#This Row],[SDate]],weather.tbl[Date],0))</f>
        <v>-10</v>
      </c>
      <c r="V1057" s="2">
        <v>20568.135999999999</v>
      </c>
      <c r="W1057" t="s">
        <v>48</v>
      </c>
      <c r="X1057">
        <f>IF(OR(vp.tbl[[#This Row],[Sulf]]="",vp.tbl[[#This Row],[Dens]]=""),1,0)</f>
        <v>0</v>
      </c>
      <c r="Y1057">
        <f>IF(vp.tbl[[#This Row],[CrudeType]]="C5+",1,0)</f>
        <v>0</v>
      </c>
      <c r="Z1057">
        <f>IF(AND(vp.tbl[[#This Row],[CrudeType]]="Crude",vp.tbl[[#This Row],[Dens]]&lt;=825,vp.tbl[[#This Row],[Sulf]]&gt;0.5,vp.tbl[[#This Row],[Unknown]]=0),1,0)</f>
        <v>1</v>
      </c>
      <c r="AA1057">
        <f>IF(AND(vp.tbl[[#This Row],[CrudeType]]="Crude",vp.tbl[[#This Row],[Dens]]&lt;=825,vp.tbl[[#This Row],[Sulf]]&lt;=0.5,vp.tbl[[#This Row],[Unknown]]=0),1,0)</f>
        <v>0</v>
      </c>
      <c r="AB1057">
        <f>IF(AND(vp.tbl[[#This Row],[CrudeType]]="Crude",vp.tbl[[#This Row],[Dens]]&gt;825,vp.tbl[[#This Row],[Dens]]&lt;=870,vp.tbl[[#This Row],[Sulf]]&gt;0.5,vp.tbl[[#This Row],[Unknown]]=0),1,0)</f>
        <v>0</v>
      </c>
      <c r="AC1057">
        <f>IF(AND(vp.tbl[[#This Row],[CrudeType]]="Crude",vp.tbl[[#This Row],[Dens]]&gt;825,vp.tbl[[#This Row],[Dens]]&lt;=900,vp.tbl[[#This Row],[Sulf]]&lt;=0.5,vp.tbl[[#This Row],[Unknown]]=0),1,0)</f>
        <v>0</v>
      </c>
      <c r="AD1057">
        <f>IF(AND(vp.tbl[[#This Row],[CrudeType]]="Crude",vp.tbl[[#This Row],[Dens]]&gt;870,vp.tbl[[#This Row],[Dens]]&lt;=900,vp.tbl[[#This Row],[Sulf]]&gt;0.5,vp.tbl[[#This Row],[Unknown]]=0),1,0)</f>
        <v>0</v>
      </c>
      <c r="AE1057">
        <f>IF(AND(vp.tbl[[#This Row],[CrudeType]]="Crude",vp.tbl[[#This Row],[Dens]]&gt;900,vp.tbl[[#This Row],[Sulf]]&lt;=0.5,vp.tbl[[#This Row],[Unknown]]=0),1,0)</f>
        <v>0</v>
      </c>
      <c r="AF1057">
        <f>IF(AND(vp.tbl[[#This Row],[CrudeType]]="Crude",vp.tbl[[#This Row],[Dens]]&gt;900,vp.tbl[[#This Row],[Sulf]]&lt;=0.5,vp.tbl[[#This Row],[Unknown]]=0),1,0)</f>
        <v>0</v>
      </c>
      <c r="AG1057" t="str">
        <f>INDEX(vp.tbl[[#Headers],[Unknown]:[Heavy_SW]],MATCH(1,vp.tbl[[#This Row],[Unknown]:[Heavy_SW]],0))</f>
        <v>Light_LSB</v>
      </c>
      <c r="AH1057" t="e">
        <f>INDEX([1]!crudeBD.lkup[Number],MATCH(vp.tbl[[#This Row],[Crude_Breakdown]],[1]!crudeBD.lkup[Crude Breakdown],0))</f>
        <v>#REF!</v>
      </c>
      <c r="AI1057">
        <f>MONTH(vp.tbl[[#This Row],[SDate]])</f>
        <v>3</v>
      </c>
      <c r="AJ1057" s="5">
        <f>IFERROR(vp.tbl[[#This Row],[Sulf]]*vp.tbl[[#This Row],[Net Dens]],"")</f>
        <v>9604932.8310431987</v>
      </c>
      <c r="AK1057" s="5">
        <f>IFERROR(vp.tbl[[#This Row],[Dens]]*vp.tbl[[#This Row],[VolumeM3]],"")</f>
        <v>16939916.809599999</v>
      </c>
      <c r="AL1057" s="5">
        <f>IFERROR(vp.tbl[[#This Row],[VP]]*vp.tbl[[#This Row],[VolumeM3]],"")</f>
        <v>1598144.1672</v>
      </c>
      <c r="AM1057" s="4">
        <f>IFERROR((vp.tbl[[#This Row],[VP]]-INDEX(crudeBD.lkup.complete[Mean_VP],MATCH(vp.tbl[[#This Row],[Crude_Breakdown]],crudeBD.lkup.complete[Crude Breakdown],0)))^2,"")</f>
        <v>191.71685475608538</v>
      </c>
      <c r="AN1057" s="4">
        <f>IFERROR((vp.tbl[[#This Row],[Dens]]-INDEX(crudeBD.lkup.complete[Mean_Dens],MATCH(vp.tbl[[#This Row],[Crude_Breakdown]],crudeBD.lkup.complete[Crude Breakdown],0)))^2,"")</f>
        <v>25.83922967844369</v>
      </c>
      <c r="AO1057" s="4">
        <f>IFERROR((vp.tbl[[#This Row],[Sulf]]-INDEX(crudeBD.lkup.complete[Mean_Sulf],MATCH(vp.tbl[[#This Row],[Crude_Breakdown]],crudeBD.lkup.complete[Crude Breakdown],0)))^2,"")</f>
        <v>0.12671547272129624</v>
      </c>
      <c r="AP1057">
        <f>IF(AND(vp.tbl[[#This Row],[SDate]]&gt;=DATE(YEAR(vp.tbl[[#This Row],[SDate]]),5,1),vp.tbl[[#This Row],[SDate]]&lt;=DATE(YEAR(vp.tbl[[#This Row],[SDate]]),9,15)),1,0)</f>
        <v>0</v>
      </c>
      <c r="AQ1057" s="15">
        <f>IF(vp.tbl[[#This Row],[SDate]]&lt;DATE(2016,12,1),0,1)</f>
        <v>1</v>
      </c>
    </row>
    <row r="1058" spans="1:43" x14ac:dyDescent="0.25">
      <c r="A1058">
        <v>1057</v>
      </c>
      <c r="B1058" t="s">
        <v>49</v>
      </c>
      <c r="C1058" t="s">
        <v>49</v>
      </c>
      <c r="D1058" t="s">
        <v>70</v>
      </c>
      <c r="F1058" s="1">
        <v>42815</v>
      </c>
      <c r="G1058" s="2">
        <v>88.2</v>
      </c>
      <c r="H1058" s="2">
        <v>0.90400000000000003</v>
      </c>
      <c r="I1058" s="2">
        <v>0.90400000000000003</v>
      </c>
      <c r="J1058" s="2">
        <v>13</v>
      </c>
      <c r="K1058" s="2">
        <v>-11</v>
      </c>
      <c r="L1058" s="2">
        <v>824.9</v>
      </c>
      <c r="M1058" s="2">
        <v>824.9</v>
      </c>
      <c r="N1058" s="2">
        <f ca="1">INDEX(INDIRECT(_xlfn.CONCAT("weather.tbl[",N$1,"]")),MATCH(vp.tbl[[#This Row],[SDate]],weather.tbl[Date],0))</f>
        <v>-9.8166666666666682</v>
      </c>
      <c r="O1058" s="2">
        <f ca="1">INDEX(INDIRECT(_xlfn.CONCAT("weather.tbl[",O$1,"]")),MATCH(vp.tbl[[#This Row],[SDate]],weather.tbl[Date],0))</f>
        <v>-2.0214285714285718</v>
      </c>
      <c r="P1058" s="2">
        <f ca="1">INDEX(INDIRECT(_xlfn.CONCAT("weather.tbl[",P$1,"]")),MATCH(vp.tbl[[#This Row],[SDate]],weather.tbl[Date],0))</f>
        <v>-9.3000000000000007</v>
      </c>
      <c r="Q1058" s="2">
        <f ca="1">INDEX(INDIRECT(_xlfn.CONCAT("weather.tbl[",Q$1,"]")),MATCH(vp.tbl[[#This Row],[SDate]],weather.tbl[Date],0))</f>
        <v>-8.1999999999999993</v>
      </c>
      <c r="R1058" s="2">
        <f ca="1">INDEX(INDIRECT(_xlfn.CONCAT("weather.tbl[",R$1,"]")),MATCH(vp.tbl[[#This Row],[SDate]],weather.tbl[Date],0))</f>
        <v>-11.8</v>
      </c>
      <c r="S1058" s="2">
        <f ca="1">INDEX(INDIRECT(_xlfn.CONCAT("weather.tbl[",S$1,"]")),MATCH(vp.tbl[[#This Row],[SDate]],weather.tbl[Date],0))</f>
        <v>-6.8</v>
      </c>
      <c r="T1058" s="2">
        <f ca="1">INDEX(INDIRECT(_xlfn.CONCAT("weather.tbl[",T$1,"]")),MATCH(vp.tbl[[#This Row],[SDate]],weather.tbl[Date],0))</f>
        <v>-12.8</v>
      </c>
      <c r="U1058" s="2">
        <f ca="1">INDEX(INDIRECT(_xlfn.CONCAT("weather.tbl[",U$1,"]")),MATCH(vp.tbl[[#This Row],[SDate]],weather.tbl[Date],0))</f>
        <v>-10</v>
      </c>
      <c r="V1058" s="2">
        <v>2628.259</v>
      </c>
      <c r="W1058" t="s">
        <v>48</v>
      </c>
      <c r="X1058">
        <f>IF(OR(vp.tbl[[#This Row],[Sulf]]="",vp.tbl[[#This Row],[Dens]]=""),1,0)</f>
        <v>0</v>
      </c>
      <c r="Y1058">
        <f>IF(vp.tbl[[#This Row],[CrudeType]]="C5+",1,0)</f>
        <v>0</v>
      </c>
      <c r="Z1058">
        <f>IF(AND(vp.tbl[[#This Row],[CrudeType]]="Crude",vp.tbl[[#This Row],[Dens]]&lt;=825,vp.tbl[[#This Row],[Sulf]]&gt;0.5,vp.tbl[[#This Row],[Unknown]]=0),1,0)</f>
        <v>1</v>
      </c>
      <c r="AA1058">
        <f>IF(AND(vp.tbl[[#This Row],[CrudeType]]="Crude",vp.tbl[[#This Row],[Dens]]&lt;=825,vp.tbl[[#This Row],[Sulf]]&lt;=0.5,vp.tbl[[#This Row],[Unknown]]=0),1,0)</f>
        <v>0</v>
      </c>
      <c r="AB1058">
        <f>IF(AND(vp.tbl[[#This Row],[CrudeType]]="Crude",vp.tbl[[#This Row],[Dens]]&gt;825,vp.tbl[[#This Row],[Dens]]&lt;=870,vp.tbl[[#This Row],[Sulf]]&gt;0.5,vp.tbl[[#This Row],[Unknown]]=0),1,0)</f>
        <v>0</v>
      </c>
      <c r="AC1058">
        <f>IF(AND(vp.tbl[[#This Row],[CrudeType]]="Crude",vp.tbl[[#This Row],[Dens]]&gt;825,vp.tbl[[#This Row],[Dens]]&lt;=900,vp.tbl[[#This Row],[Sulf]]&lt;=0.5,vp.tbl[[#This Row],[Unknown]]=0),1,0)</f>
        <v>0</v>
      </c>
      <c r="AD1058">
        <f>IF(AND(vp.tbl[[#This Row],[CrudeType]]="Crude",vp.tbl[[#This Row],[Dens]]&gt;870,vp.tbl[[#This Row],[Dens]]&lt;=900,vp.tbl[[#This Row],[Sulf]]&gt;0.5,vp.tbl[[#This Row],[Unknown]]=0),1,0)</f>
        <v>0</v>
      </c>
      <c r="AE1058">
        <f>IF(AND(vp.tbl[[#This Row],[CrudeType]]="Crude",vp.tbl[[#This Row],[Dens]]&gt;900,vp.tbl[[#This Row],[Sulf]]&lt;=0.5,vp.tbl[[#This Row],[Unknown]]=0),1,0)</f>
        <v>0</v>
      </c>
      <c r="AF1058">
        <f>IF(AND(vp.tbl[[#This Row],[CrudeType]]="Crude",vp.tbl[[#This Row],[Dens]]&gt;900,vp.tbl[[#This Row],[Sulf]]&lt;=0.5,vp.tbl[[#This Row],[Unknown]]=0),1,0)</f>
        <v>0</v>
      </c>
      <c r="AG1058" t="str">
        <f>INDEX(vp.tbl[[#Headers],[Unknown]:[Heavy_SW]],MATCH(1,vp.tbl[[#This Row],[Unknown]:[Heavy_SW]],0))</f>
        <v>Light_LSB</v>
      </c>
      <c r="AH1058" t="e">
        <f>INDEX([1]!crudeBD.lkup[Number],MATCH(vp.tbl[[#This Row],[Crude_Breakdown]],[1]!crudeBD.lkup[Crude Breakdown],0))</f>
        <v>#REF!</v>
      </c>
      <c r="AI1058">
        <f>MONTH(vp.tbl[[#This Row],[SDate]])</f>
        <v>3</v>
      </c>
      <c r="AJ1058" s="5">
        <f>IFERROR(vp.tbl[[#This Row],[Sulf]]*vp.tbl[[#This Row],[Net Dens]],"")</f>
        <v>1959917.9675863998</v>
      </c>
      <c r="AK1058" s="5">
        <f>IFERROR(vp.tbl[[#This Row],[Dens]]*vp.tbl[[#This Row],[VolumeM3]],"")</f>
        <v>2168050.8490999998</v>
      </c>
      <c r="AL1058" s="5">
        <f>IFERROR(vp.tbl[[#This Row],[VP]]*vp.tbl[[#This Row],[VolumeM3]],"")</f>
        <v>231812.44380000001</v>
      </c>
      <c r="AM1058" s="4">
        <f>IFERROR((vp.tbl[[#This Row],[VP]]-INDEX(crudeBD.lkup.complete[Mean_VP],MATCH(vp.tbl[[#This Row],[Crude_Breakdown]],crudeBD.lkup.complete[Crude Breakdown],0)))^2,"")</f>
        <v>11.196957848868294</v>
      </c>
      <c r="AN1058" s="4">
        <f>IFERROR((vp.tbl[[#This Row],[Dens]]-INDEX(crudeBD.lkup.complete[Mean_Dens],MATCH(vp.tbl[[#This Row],[Crude_Breakdown]],crudeBD.lkup.complete[Crude Breakdown],0)))^2,"")</f>
        <v>40.745628303873538</v>
      </c>
      <c r="AO1058" s="4">
        <f>IFERROR((vp.tbl[[#This Row],[Sulf]]-INDEX(crudeBD.lkup.complete[Mean_Sulf],MATCH(vp.tbl[[#This Row],[Crude_Breakdown]],crudeBD.lkup.complete[Crude Breakdown],0)))^2,"")</f>
        <v>3.5990522988744935E-4</v>
      </c>
      <c r="AP1058">
        <f>IF(AND(vp.tbl[[#This Row],[SDate]]&gt;=DATE(YEAR(vp.tbl[[#This Row],[SDate]]),5,1),vp.tbl[[#This Row],[SDate]]&lt;=DATE(YEAR(vp.tbl[[#This Row],[SDate]]),9,15)),1,0)</f>
        <v>0</v>
      </c>
      <c r="AQ1058" s="15">
        <f>IF(vp.tbl[[#This Row],[SDate]]&lt;DATE(2016,12,1),0,1)</f>
        <v>1</v>
      </c>
    </row>
    <row r="1059" spans="1:43" x14ac:dyDescent="0.25">
      <c r="A1059">
        <v>1058</v>
      </c>
      <c r="B1059" t="s">
        <v>96</v>
      </c>
      <c r="C1059" t="s">
        <v>96</v>
      </c>
      <c r="D1059" t="s">
        <v>97</v>
      </c>
      <c r="F1059" s="1">
        <v>42815</v>
      </c>
      <c r="G1059" s="2">
        <v>75.8</v>
      </c>
      <c r="H1059" s="2"/>
      <c r="I1059" s="2">
        <v>0.53</v>
      </c>
      <c r="J1059" s="2">
        <v>30</v>
      </c>
      <c r="K1059" s="2">
        <v>-11</v>
      </c>
      <c r="L1059" s="2">
        <v>819.78</v>
      </c>
      <c r="M1059" s="2">
        <v>819.78</v>
      </c>
      <c r="N1059" s="2">
        <f ca="1">INDEX(INDIRECT(_xlfn.CONCAT("weather.tbl[",N$1,"]")),MATCH(vp.tbl[[#This Row],[SDate]],weather.tbl[Date],0))</f>
        <v>-9.8166666666666682</v>
      </c>
      <c r="O1059" s="2">
        <f ca="1">INDEX(INDIRECT(_xlfn.CONCAT("weather.tbl[",O$1,"]")),MATCH(vp.tbl[[#This Row],[SDate]],weather.tbl[Date],0))</f>
        <v>-2.0214285714285718</v>
      </c>
      <c r="P1059" s="2">
        <f ca="1">INDEX(INDIRECT(_xlfn.CONCAT("weather.tbl[",P$1,"]")),MATCH(vp.tbl[[#This Row],[SDate]],weather.tbl[Date],0))</f>
        <v>-9.3000000000000007</v>
      </c>
      <c r="Q1059" s="2">
        <f ca="1">INDEX(INDIRECT(_xlfn.CONCAT("weather.tbl[",Q$1,"]")),MATCH(vp.tbl[[#This Row],[SDate]],weather.tbl[Date],0))</f>
        <v>-8.1999999999999993</v>
      </c>
      <c r="R1059" s="2">
        <f ca="1">INDEX(INDIRECT(_xlfn.CONCAT("weather.tbl[",R$1,"]")),MATCH(vp.tbl[[#This Row],[SDate]],weather.tbl[Date],0))</f>
        <v>-11.8</v>
      </c>
      <c r="S1059" s="2">
        <f ca="1">INDEX(INDIRECT(_xlfn.CONCAT("weather.tbl[",S$1,"]")),MATCH(vp.tbl[[#This Row],[SDate]],weather.tbl[Date],0))</f>
        <v>-6.8</v>
      </c>
      <c r="T1059" s="2">
        <f ca="1">INDEX(INDIRECT(_xlfn.CONCAT("weather.tbl[",T$1,"]")),MATCH(vp.tbl[[#This Row],[SDate]],weather.tbl[Date],0))</f>
        <v>-12.8</v>
      </c>
      <c r="U1059" s="2">
        <f ca="1">INDEX(INDIRECT(_xlfn.CONCAT("weather.tbl[",U$1,"]")),MATCH(vp.tbl[[#This Row],[SDate]],weather.tbl[Date],0))</f>
        <v>-10</v>
      </c>
      <c r="V1059" s="2">
        <v>6750.8019999999997</v>
      </c>
      <c r="W1059" t="s">
        <v>48</v>
      </c>
      <c r="X1059">
        <f>IF(OR(vp.tbl[[#This Row],[Sulf]]="",vp.tbl[[#This Row],[Dens]]=""),1,0)</f>
        <v>0</v>
      </c>
      <c r="Y1059">
        <f>IF(vp.tbl[[#This Row],[CrudeType]]="C5+",1,0)</f>
        <v>0</v>
      </c>
      <c r="Z1059">
        <f>IF(AND(vp.tbl[[#This Row],[CrudeType]]="Crude",vp.tbl[[#This Row],[Dens]]&lt;=825,vp.tbl[[#This Row],[Sulf]]&gt;0.5,vp.tbl[[#This Row],[Unknown]]=0),1,0)</f>
        <v>1</v>
      </c>
      <c r="AA1059">
        <f>IF(AND(vp.tbl[[#This Row],[CrudeType]]="Crude",vp.tbl[[#This Row],[Dens]]&lt;=825,vp.tbl[[#This Row],[Sulf]]&lt;=0.5,vp.tbl[[#This Row],[Unknown]]=0),1,0)</f>
        <v>0</v>
      </c>
      <c r="AB1059">
        <f>IF(AND(vp.tbl[[#This Row],[CrudeType]]="Crude",vp.tbl[[#This Row],[Dens]]&gt;825,vp.tbl[[#This Row],[Dens]]&lt;=870,vp.tbl[[#This Row],[Sulf]]&gt;0.5,vp.tbl[[#This Row],[Unknown]]=0),1,0)</f>
        <v>0</v>
      </c>
      <c r="AC1059">
        <f>IF(AND(vp.tbl[[#This Row],[CrudeType]]="Crude",vp.tbl[[#This Row],[Dens]]&gt;825,vp.tbl[[#This Row],[Dens]]&lt;=900,vp.tbl[[#This Row],[Sulf]]&lt;=0.5,vp.tbl[[#This Row],[Unknown]]=0),1,0)</f>
        <v>0</v>
      </c>
      <c r="AD1059">
        <f>IF(AND(vp.tbl[[#This Row],[CrudeType]]="Crude",vp.tbl[[#This Row],[Dens]]&gt;870,vp.tbl[[#This Row],[Dens]]&lt;=900,vp.tbl[[#This Row],[Sulf]]&gt;0.5,vp.tbl[[#This Row],[Unknown]]=0),1,0)</f>
        <v>0</v>
      </c>
      <c r="AE1059">
        <f>IF(AND(vp.tbl[[#This Row],[CrudeType]]="Crude",vp.tbl[[#This Row],[Dens]]&gt;900,vp.tbl[[#This Row],[Sulf]]&lt;=0.5,vp.tbl[[#This Row],[Unknown]]=0),1,0)</f>
        <v>0</v>
      </c>
      <c r="AF1059">
        <f>IF(AND(vp.tbl[[#This Row],[CrudeType]]="Crude",vp.tbl[[#This Row],[Dens]]&gt;900,vp.tbl[[#This Row],[Sulf]]&lt;=0.5,vp.tbl[[#This Row],[Unknown]]=0),1,0)</f>
        <v>0</v>
      </c>
      <c r="AG1059" t="str">
        <f>INDEX(vp.tbl[[#Headers],[Unknown]:[Heavy_SW]],MATCH(1,vp.tbl[[#This Row],[Unknown]:[Heavy_SW]],0))</f>
        <v>Light_LSB</v>
      </c>
      <c r="AH1059" t="e">
        <f>INDEX([1]!crudeBD.lkup[Number],MATCH(vp.tbl[[#This Row],[Crude_Breakdown]],[1]!crudeBD.lkup[Crude Breakdown],0))</f>
        <v>#REF!</v>
      </c>
      <c r="AI1059">
        <f>MONTH(vp.tbl[[#This Row],[SDate]])</f>
        <v>3</v>
      </c>
      <c r="AJ1059" s="5">
        <f>IFERROR(vp.tbl[[#This Row],[Sulf]]*vp.tbl[[#This Row],[Net Dens]],"")</f>
        <v>2933111.4056867999</v>
      </c>
      <c r="AK1059" s="5">
        <f>IFERROR(vp.tbl[[#This Row],[Dens]]*vp.tbl[[#This Row],[VolumeM3]],"")</f>
        <v>5534172.4635599991</v>
      </c>
      <c r="AL1059" s="5">
        <f>IFERROR(vp.tbl[[#This Row],[VP]]*vp.tbl[[#This Row],[VolumeM3]],"")</f>
        <v>511710.79159999994</v>
      </c>
      <c r="AM1059" s="4">
        <f>IFERROR((vp.tbl[[#This Row],[VP]]-INDEX(crudeBD.lkup.complete[Mean_VP],MATCH(vp.tbl[[#This Row],[Crude_Breakdown]],crudeBD.lkup.complete[Crude Breakdown],0)))^2,"")</f>
        <v>247.94235991072483</v>
      </c>
      <c r="AN1059" s="4">
        <f>IFERROR((vp.tbl[[#This Row],[Dens]]-INDEX(crudeBD.lkup.complete[Mean_Dens],MATCH(vp.tbl[[#This Row],[Crude_Breakdown]],crudeBD.lkup.complete[Crude Breakdown],0)))^2,"")</f>
        <v>1.5957506406403015</v>
      </c>
      <c r="AO1059" s="4">
        <f>IFERROR((vp.tbl[[#This Row],[Sulf]]-INDEX(crudeBD.lkup.complete[Mean_Sulf],MATCH(vp.tbl[[#This Row],[Crude_Breakdown]],crudeBD.lkup.complete[Crude Breakdown],0)))^2,"")</f>
        <v>0.15442633918177728</v>
      </c>
      <c r="AP1059">
        <f>IF(AND(vp.tbl[[#This Row],[SDate]]&gt;=DATE(YEAR(vp.tbl[[#This Row],[SDate]]),5,1),vp.tbl[[#This Row],[SDate]]&lt;=DATE(YEAR(vp.tbl[[#This Row],[SDate]]),9,15)),1,0)</f>
        <v>0</v>
      </c>
      <c r="AQ1059" s="15">
        <f>IF(vp.tbl[[#This Row],[SDate]]&lt;DATE(2016,12,1),0,1)</f>
        <v>1</v>
      </c>
    </row>
    <row r="1060" spans="1:43" x14ac:dyDescent="0.25">
      <c r="A1060">
        <v>1059</v>
      </c>
      <c r="B1060" t="s">
        <v>51</v>
      </c>
      <c r="C1060" t="s">
        <v>51</v>
      </c>
      <c r="D1060" t="s">
        <v>66</v>
      </c>
      <c r="F1060" s="1">
        <v>42815</v>
      </c>
      <c r="G1060" s="2">
        <v>83.2</v>
      </c>
      <c r="H1060" s="2"/>
      <c r="I1060" s="2">
        <v>1.36</v>
      </c>
      <c r="J1060" s="2">
        <v>6</v>
      </c>
      <c r="K1060" s="2">
        <v>-11</v>
      </c>
      <c r="L1060" s="2">
        <v>824.8</v>
      </c>
      <c r="M1060" s="2">
        <v>824.8</v>
      </c>
      <c r="N1060" s="2">
        <f ca="1">INDEX(INDIRECT(_xlfn.CONCAT("weather.tbl[",N$1,"]")),MATCH(vp.tbl[[#This Row],[SDate]],weather.tbl[Date],0))</f>
        <v>-9.8166666666666682</v>
      </c>
      <c r="O1060" s="2">
        <f ca="1">INDEX(INDIRECT(_xlfn.CONCAT("weather.tbl[",O$1,"]")),MATCH(vp.tbl[[#This Row],[SDate]],weather.tbl[Date],0))</f>
        <v>-2.0214285714285718</v>
      </c>
      <c r="P1060" s="2">
        <f ca="1">INDEX(INDIRECT(_xlfn.CONCAT("weather.tbl[",P$1,"]")),MATCH(vp.tbl[[#This Row],[SDate]],weather.tbl[Date],0))</f>
        <v>-9.3000000000000007</v>
      </c>
      <c r="Q1060" s="2">
        <f ca="1">INDEX(INDIRECT(_xlfn.CONCAT("weather.tbl[",Q$1,"]")),MATCH(vp.tbl[[#This Row],[SDate]],weather.tbl[Date],0))</f>
        <v>-8.1999999999999993</v>
      </c>
      <c r="R1060" s="2">
        <f ca="1">INDEX(INDIRECT(_xlfn.CONCAT("weather.tbl[",R$1,"]")),MATCH(vp.tbl[[#This Row],[SDate]],weather.tbl[Date],0))</f>
        <v>-11.8</v>
      </c>
      <c r="S1060" s="2">
        <f ca="1">INDEX(INDIRECT(_xlfn.CONCAT("weather.tbl[",S$1,"]")),MATCH(vp.tbl[[#This Row],[SDate]],weather.tbl[Date],0))</f>
        <v>-6.8</v>
      </c>
      <c r="T1060" s="2">
        <f ca="1">INDEX(INDIRECT(_xlfn.CONCAT("weather.tbl[",T$1,"]")),MATCH(vp.tbl[[#This Row],[SDate]],weather.tbl[Date],0))</f>
        <v>-12.8</v>
      </c>
      <c r="U1060" s="2">
        <f ca="1">INDEX(INDIRECT(_xlfn.CONCAT("weather.tbl[",U$1,"]")),MATCH(vp.tbl[[#This Row],[SDate]],weather.tbl[Date],0))</f>
        <v>-10</v>
      </c>
      <c r="V1060" s="2">
        <v>3482.7910000000002</v>
      </c>
      <c r="W1060" t="s">
        <v>48</v>
      </c>
      <c r="X1060">
        <f>IF(OR(vp.tbl[[#This Row],[Sulf]]="",vp.tbl[[#This Row],[Dens]]=""),1,0)</f>
        <v>0</v>
      </c>
      <c r="Y1060">
        <f>IF(vp.tbl[[#This Row],[CrudeType]]="C5+",1,0)</f>
        <v>0</v>
      </c>
      <c r="Z1060">
        <f>IF(AND(vp.tbl[[#This Row],[CrudeType]]="Crude",vp.tbl[[#This Row],[Dens]]&lt;=825,vp.tbl[[#This Row],[Sulf]]&gt;0.5,vp.tbl[[#This Row],[Unknown]]=0),1,0)</f>
        <v>1</v>
      </c>
      <c r="AA1060">
        <f>IF(AND(vp.tbl[[#This Row],[CrudeType]]="Crude",vp.tbl[[#This Row],[Dens]]&lt;=825,vp.tbl[[#This Row],[Sulf]]&lt;=0.5,vp.tbl[[#This Row],[Unknown]]=0),1,0)</f>
        <v>0</v>
      </c>
      <c r="AB1060">
        <f>IF(AND(vp.tbl[[#This Row],[CrudeType]]="Crude",vp.tbl[[#This Row],[Dens]]&gt;825,vp.tbl[[#This Row],[Dens]]&lt;=870,vp.tbl[[#This Row],[Sulf]]&gt;0.5,vp.tbl[[#This Row],[Unknown]]=0),1,0)</f>
        <v>0</v>
      </c>
      <c r="AC1060">
        <f>IF(AND(vp.tbl[[#This Row],[CrudeType]]="Crude",vp.tbl[[#This Row],[Dens]]&gt;825,vp.tbl[[#This Row],[Dens]]&lt;=900,vp.tbl[[#This Row],[Sulf]]&lt;=0.5,vp.tbl[[#This Row],[Unknown]]=0),1,0)</f>
        <v>0</v>
      </c>
      <c r="AD1060">
        <f>IF(AND(vp.tbl[[#This Row],[CrudeType]]="Crude",vp.tbl[[#This Row],[Dens]]&gt;870,vp.tbl[[#This Row],[Dens]]&lt;=900,vp.tbl[[#This Row],[Sulf]]&gt;0.5,vp.tbl[[#This Row],[Unknown]]=0),1,0)</f>
        <v>0</v>
      </c>
      <c r="AE1060">
        <f>IF(AND(vp.tbl[[#This Row],[CrudeType]]="Crude",vp.tbl[[#This Row],[Dens]]&gt;900,vp.tbl[[#This Row],[Sulf]]&lt;=0.5,vp.tbl[[#This Row],[Unknown]]=0),1,0)</f>
        <v>0</v>
      </c>
      <c r="AF1060">
        <f>IF(AND(vp.tbl[[#This Row],[CrudeType]]="Crude",vp.tbl[[#This Row],[Dens]]&gt;900,vp.tbl[[#This Row],[Sulf]]&lt;=0.5,vp.tbl[[#This Row],[Unknown]]=0),1,0)</f>
        <v>0</v>
      </c>
      <c r="AG1060" t="str">
        <f>INDEX(vp.tbl[[#Headers],[Unknown]:[Heavy_SW]],MATCH(1,vp.tbl[[#This Row],[Unknown]:[Heavy_SW]],0))</f>
        <v>Light_LSB</v>
      </c>
      <c r="AH1060" t="e">
        <f>INDEX([1]!crudeBD.lkup[Number],MATCH(vp.tbl[[#This Row],[Crude_Breakdown]],[1]!crudeBD.lkup[Crude Breakdown],0))</f>
        <v>#REF!</v>
      </c>
      <c r="AI1060">
        <f>MONTH(vp.tbl[[#This Row],[SDate]])</f>
        <v>3</v>
      </c>
      <c r="AJ1060" s="5">
        <f>IFERROR(vp.tbl[[#This Row],[Sulf]]*vp.tbl[[#This Row],[Net Dens]],"")</f>
        <v>3906744.182848</v>
      </c>
      <c r="AK1060" s="5">
        <f>IFERROR(vp.tbl[[#This Row],[Dens]]*vp.tbl[[#This Row],[VolumeM3]],"")</f>
        <v>2872606.0167999999</v>
      </c>
      <c r="AL1060" s="5">
        <f>IFERROR(vp.tbl[[#This Row],[VP]]*vp.tbl[[#This Row],[VolumeM3]],"")</f>
        <v>289768.21120000002</v>
      </c>
      <c r="AM1060" s="4">
        <f>IFERROR((vp.tbl[[#This Row],[VP]]-INDEX(crudeBD.lkup.complete[Mean_VP],MATCH(vp.tbl[[#This Row],[Crude_Breakdown]],crudeBD.lkup.complete[Crude Breakdown],0)))^2,"")</f>
        <v>69.65881351897167</v>
      </c>
      <c r="AN1060" s="4">
        <f>IFERROR((vp.tbl[[#This Row],[Dens]]-INDEX(crudeBD.lkup.complete[Mean_Dens],MATCH(vp.tbl[[#This Row],[Crude_Breakdown]],crudeBD.lkup.complete[Crude Breakdown],0)))^2,"")</f>
        <v>39.478982255763228</v>
      </c>
      <c r="AO1060" s="4">
        <f>IFERROR((vp.tbl[[#This Row],[Sulf]]-INDEX(crudeBD.lkup.complete[Mean_Sulf],MATCH(vp.tbl[[#This Row],[Crude_Breakdown]],crudeBD.lkup.complete[Crude Breakdown],0)))^2,"")</f>
        <v>0.19099419966287745</v>
      </c>
      <c r="AP1060">
        <f>IF(AND(vp.tbl[[#This Row],[SDate]]&gt;=DATE(YEAR(vp.tbl[[#This Row],[SDate]]),5,1),vp.tbl[[#This Row],[SDate]]&lt;=DATE(YEAR(vp.tbl[[#This Row],[SDate]]),9,15)),1,0)</f>
        <v>0</v>
      </c>
      <c r="AQ1060" s="15">
        <f>IF(vp.tbl[[#This Row],[SDate]]&lt;DATE(2016,12,1),0,1)</f>
        <v>1</v>
      </c>
    </row>
    <row r="1061" spans="1:43" x14ac:dyDescent="0.25">
      <c r="A1061">
        <v>1060</v>
      </c>
      <c r="B1061" t="s">
        <v>51</v>
      </c>
      <c r="C1061" t="s">
        <v>51</v>
      </c>
      <c r="D1061" t="s">
        <v>72</v>
      </c>
      <c r="F1061" s="1">
        <v>42815</v>
      </c>
      <c r="G1061" s="2">
        <v>86.2</v>
      </c>
      <c r="H1061" s="2"/>
      <c r="I1061" s="2">
        <v>1.08</v>
      </c>
      <c r="J1061" s="2">
        <v>26</v>
      </c>
      <c r="K1061" s="2">
        <v>-11</v>
      </c>
      <c r="L1061" s="2">
        <v>832.8</v>
      </c>
      <c r="M1061" s="2">
        <v>832.8</v>
      </c>
      <c r="N1061" s="2">
        <f ca="1">INDEX(INDIRECT(_xlfn.CONCAT("weather.tbl[",N$1,"]")),MATCH(vp.tbl[[#This Row],[SDate]],weather.tbl[Date],0))</f>
        <v>-9.8166666666666682</v>
      </c>
      <c r="O1061" s="2">
        <f ca="1">INDEX(INDIRECT(_xlfn.CONCAT("weather.tbl[",O$1,"]")),MATCH(vp.tbl[[#This Row],[SDate]],weather.tbl[Date],0))</f>
        <v>-2.0214285714285718</v>
      </c>
      <c r="P1061" s="2">
        <f ca="1">INDEX(INDIRECT(_xlfn.CONCAT("weather.tbl[",P$1,"]")),MATCH(vp.tbl[[#This Row],[SDate]],weather.tbl[Date],0))</f>
        <v>-9.3000000000000007</v>
      </c>
      <c r="Q1061" s="2">
        <f ca="1">INDEX(INDIRECT(_xlfn.CONCAT("weather.tbl[",Q$1,"]")),MATCH(vp.tbl[[#This Row],[SDate]],weather.tbl[Date],0))</f>
        <v>-8.1999999999999993</v>
      </c>
      <c r="R1061" s="2">
        <f ca="1">INDEX(INDIRECT(_xlfn.CONCAT("weather.tbl[",R$1,"]")),MATCH(vp.tbl[[#This Row],[SDate]],weather.tbl[Date],0))</f>
        <v>-11.8</v>
      </c>
      <c r="S1061" s="2">
        <f ca="1">INDEX(INDIRECT(_xlfn.CONCAT("weather.tbl[",S$1,"]")),MATCH(vp.tbl[[#This Row],[SDate]],weather.tbl[Date],0))</f>
        <v>-6.8</v>
      </c>
      <c r="T1061" s="2">
        <f ca="1">INDEX(INDIRECT(_xlfn.CONCAT("weather.tbl[",T$1,"]")),MATCH(vp.tbl[[#This Row],[SDate]],weather.tbl[Date],0))</f>
        <v>-12.8</v>
      </c>
      <c r="U1061" s="2">
        <f ca="1">INDEX(INDIRECT(_xlfn.CONCAT("weather.tbl[",U$1,"]")),MATCH(vp.tbl[[#This Row],[SDate]],weather.tbl[Date],0))</f>
        <v>-10</v>
      </c>
      <c r="V1061" s="2">
        <v>13878.534</v>
      </c>
      <c r="W1061" t="s">
        <v>48</v>
      </c>
      <c r="X1061">
        <f>IF(OR(vp.tbl[[#This Row],[Sulf]]="",vp.tbl[[#This Row],[Dens]]=""),1,0)</f>
        <v>0</v>
      </c>
      <c r="Y1061">
        <f>IF(vp.tbl[[#This Row],[CrudeType]]="C5+",1,0)</f>
        <v>0</v>
      </c>
      <c r="Z1061">
        <f>IF(AND(vp.tbl[[#This Row],[CrudeType]]="Crude",vp.tbl[[#This Row],[Dens]]&lt;=825,vp.tbl[[#This Row],[Sulf]]&gt;0.5,vp.tbl[[#This Row],[Unknown]]=0),1,0)</f>
        <v>0</v>
      </c>
      <c r="AA1061">
        <f>IF(AND(vp.tbl[[#This Row],[CrudeType]]="Crude",vp.tbl[[#This Row],[Dens]]&lt;=825,vp.tbl[[#This Row],[Sulf]]&lt;=0.5,vp.tbl[[#This Row],[Unknown]]=0),1,0)</f>
        <v>0</v>
      </c>
      <c r="AB1061">
        <f>IF(AND(vp.tbl[[#This Row],[CrudeType]]="Crude",vp.tbl[[#This Row],[Dens]]&gt;825,vp.tbl[[#This Row],[Dens]]&lt;=870,vp.tbl[[#This Row],[Sulf]]&gt;0.5,vp.tbl[[#This Row],[Unknown]]=0),1,0)</f>
        <v>1</v>
      </c>
      <c r="AC1061">
        <f>IF(AND(vp.tbl[[#This Row],[CrudeType]]="Crude",vp.tbl[[#This Row],[Dens]]&gt;825,vp.tbl[[#This Row],[Dens]]&lt;=900,vp.tbl[[#This Row],[Sulf]]&lt;=0.5,vp.tbl[[#This Row],[Unknown]]=0),1,0)</f>
        <v>0</v>
      </c>
      <c r="AD1061">
        <f>IF(AND(vp.tbl[[#This Row],[CrudeType]]="Crude",vp.tbl[[#This Row],[Dens]]&gt;870,vp.tbl[[#This Row],[Dens]]&lt;=900,vp.tbl[[#This Row],[Sulf]]&gt;0.5,vp.tbl[[#This Row],[Unknown]]=0),1,0)</f>
        <v>0</v>
      </c>
      <c r="AE1061">
        <f>IF(AND(vp.tbl[[#This Row],[CrudeType]]="Crude",vp.tbl[[#This Row],[Dens]]&gt;900,vp.tbl[[#This Row],[Sulf]]&lt;=0.5,vp.tbl[[#This Row],[Unknown]]=0),1,0)</f>
        <v>0</v>
      </c>
      <c r="AF1061">
        <f>IF(AND(vp.tbl[[#This Row],[CrudeType]]="Crude",vp.tbl[[#This Row],[Dens]]&gt;900,vp.tbl[[#This Row],[Sulf]]&lt;=0.5,vp.tbl[[#This Row],[Unknown]]=0),1,0)</f>
        <v>0</v>
      </c>
      <c r="AG1061" t="str">
        <f>INDEX(vp.tbl[[#Headers],[Unknown]:[Heavy_SW]],MATCH(1,vp.tbl[[#This Row],[Unknown]:[Heavy_SW]],0))</f>
        <v>Medium_LSB</v>
      </c>
      <c r="AH1061" t="e">
        <f>INDEX([1]!crudeBD.lkup[Number],MATCH(vp.tbl[[#This Row],[Crude_Breakdown]],[1]!crudeBD.lkup[Crude Breakdown],0))</f>
        <v>#REF!</v>
      </c>
      <c r="AI1061">
        <f>MONTH(vp.tbl[[#This Row],[SDate]])</f>
        <v>3</v>
      </c>
      <c r="AJ1061" s="5">
        <f>IFERROR(vp.tbl[[#This Row],[Sulf]]*vp.tbl[[#This Row],[Net Dens]],"")</f>
        <v>12482686.564416001</v>
      </c>
      <c r="AK1061" s="5">
        <f>IFERROR(vp.tbl[[#This Row],[Dens]]*vp.tbl[[#This Row],[VolumeM3]],"")</f>
        <v>11558043.1152</v>
      </c>
      <c r="AL1061" s="5">
        <f>IFERROR(vp.tbl[[#This Row],[VP]]*vp.tbl[[#This Row],[VolumeM3]],"")</f>
        <v>1196329.6307999999</v>
      </c>
      <c r="AM1061" s="4">
        <f>IFERROR((vp.tbl[[#This Row],[VP]]-INDEX(crudeBD.lkup.complete[Mean_VP],MATCH(vp.tbl[[#This Row],[Crude_Breakdown]],crudeBD.lkup.complete[Crude Breakdown],0)))^2,"")</f>
        <v>36.317557986861559</v>
      </c>
      <c r="AN1061" s="4">
        <f>IFERROR((vp.tbl[[#This Row],[Dens]]-INDEX(crudeBD.lkup.complete[Mean_Dens],MATCH(vp.tbl[[#This Row],[Crude_Breakdown]],crudeBD.lkup.complete[Crude Breakdown],0)))^2,"")</f>
        <v>156.04563648707796</v>
      </c>
      <c r="AO1061" s="4">
        <f>IFERROR((vp.tbl[[#This Row],[Sulf]]-INDEX(crudeBD.lkup.complete[Mean_Sulf],MATCH(vp.tbl[[#This Row],[Crude_Breakdown]],crudeBD.lkup.complete[Crude Breakdown],0)))^2,"")</f>
        <v>0.14057240048913436</v>
      </c>
      <c r="AP1061">
        <f>IF(AND(vp.tbl[[#This Row],[SDate]]&gt;=DATE(YEAR(vp.tbl[[#This Row],[SDate]]),5,1),vp.tbl[[#This Row],[SDate]]&lt;=DATE(YEAR(vp.tbl[[#This Row],[SDate]]),9,15)),1,0)</f>
        <v>0</v>
      </c>
      <c r="AQ1061" s="15">
        <f>IF(vp.tbl[[#This Row],[SDate]]&lt;DATE(2016,12,1),0,1)</f>
        <v>1</v>
      </c>
    </row>
    <row r="1062" spans="1:43" x14ac:dyDescent="0.25">
      <c r="A1062">
        <v>1061</v>
      </c>
      <c r="B1062" t="s">
        <v>108</v>
      </c>
      <c r="C1062" t="s">
        <v>108</v>
      </c>
      <c r="D1062" t="s">
        <v>109</v>
      </c>
      <c r="F1062" s="1">
        <v>42815</v>
      </c>
      <c r="G1062" s="2">
        <v>92.4</v>
      </c>
      <c r="H1062" s="2"/>
      <c r="I1062" s="2">
        <v>0.79</v>
      </c>
      <c r="J1062" s="2">
        <v>23</v>
      </c>
      <c r="K1062" s="2">
        <v>-11</v>
      </c>
      <c r="L1062" s="2">
        <v>834.4</v>
      </c>
      <c r="M1062" s="2">
        <v>834.4</v>
      </c>
      <c r="N1062" s="2">
        <f ca="1">INDEX(INDIRECT(_xlfn.CONCAT("weather.tbl[",N$1,"]")),MATCH(vp.tbl[[#This Row],[SDate]],weather.tbl[Date],0))</f>
        <v>-9.8166666666666682</v>
      </c>
      <c r="O1062" s="2">
        <f ca="1">INDEX(INDIRECT(_xlfn.CONCAT("weather.tbl[",O$1,"]")),MATCH(vp.tbl[[#This Row],[SDate]],weather.tbl[Date],0))</f>
        <v>-2.0214285714285718</v>
      </c>
      <c r="P1062" s="2">
        <f ca="1">INDEX(INDIRECT(_xlfn.CONCAT("weather.tbl[",P$1,"]")),MATCH(vp.tbl[[#This Row],[SDate]],weather.tbl[Date],0))</f>
        <v>-9.3000000000000007</v>
      </c>
      <c r="Q1062" s="2">
        <f ca="1">INDEX(INDIRECT(_xlfn.CONCAT("weather.tbl[",Q$1,"]")),MATCH(vp.tbl[[#This Row],[SDate]],weather.tbl[Date],0))</f>
        <v>-8.1999999999999993</v>
      </c>
      <c r="R1062" s="2">
        <f ca="1">INDEX(INDIRECT(_xlfn.CONCAT("weather.tbl[",R$1,"]")),MATCH(vp.tbl[[#This Row],[SDate]],weather.tbl[Date],0))</f>
        <v>-11.8</v>
      </c>
      <c r="S1062" s="2">
        <f ca="1">INDEX(INDIRECT(_xlfn.CONCAT("weather.tbl[",S$1,"]")),MATCH(vp.tbl[[#This Row],[SDate]],weather.tbl[Date],0))</f>
        <v>-6.8</v>
      </c>
      <c r="T1062" s="2">
        <f ca="1">INDEX(INDIRECT(_xlfn.CONCAT("weather.tbl[",T$1,"]")),MATCH(vp.tbl[[#This Row],[SDate]],weather.tbl[Date],0))</f>
        <v>-12.8</v>
      </c>
      <c r="U1062" s="2">
        <f ca="1">INDEX(INDIRECT(_xlfn.CONCAT("weather.tbl[",U$1,"]")),MATCH(vp.tbl[[#This Row],[SDate]],weather.tbl[Date],0))</f>
        <v>-10</v>
      </c>
      <c r="V1062" s="2">
        <v>9449.0609999999997</v>
      </c>
      <c r="W1062" t="s">
        <v>48</v>
      </c>
      <c r="X1062">
        <f>IF(OR(vp.tbl[[#This Row],[Sulf]]="",vp.tbl[[#This Row],[Dens]]=""),1,0)</f>
        <v>0</v>
      </c>
      <c r="Y1062">
        <f>IF(vp.tbl[[#This Row],[CrudeType]]="C5+",1,0)</f>
        <v>0</v>
      </c>
      <c r="Z1062">
        <f>IF(AND(vp.tbl[[#This Row],[CrudeType]]="Crude",vp.tbl[[#This Row],[Dens]]&lt;=825,vp.tbl[[#This Row],[Sulf]]&gt;0.5,vp.tbl[[#This Row],[Unknown]]=0),1,0)</f>
        <v>0</v>
      </c>
      <c r="AA1062">
        <f>IF(AND(vp.tbl[[#This Row],[CrudeType]]="Crude",vp.tbl[[#This Row],[Dens]]&lt;=825,vp.tbl[[#This Row],[Sulf]]&lt;=0.5,vp.tbl[[#This Row],[Unknown]]=0),1,0)</f>
        <v>0</v>
      </c>
      <c r="AB1062">
        <f>IF(AND(vp.tbl[[#This Row],[CrudeType]]="Crude",vp.tbl[[#This Row],[Dens]]&gt;825,vp.tbl[[#This Row],[Dens]]&lt;=870,vp.tbl[[#This Row],[Sulf]]&gt;0.5,vp.tbl[[#This Row],[Unknown]]=0),1,0)</f>
        <v>1</v>
      </c>
      <c r="AC1062">
        <f>IF(AND(vp.tbl[[#This Row],[CrudeType]]="Crude",vp.tbl[[#This Row],[Dens]]&gt;825,vp.tbl[[#This Row],[Dens]]&lt;=900,vp.tbl[[#This Row],[Sulf]]&lt;=0.5,vp.tbl[[#This Row],[Unknown]]=0),1,0)</f>
        <v>0</v>
      </c>
      <c r="AD1062">
        <f>IF(AND(vp.tbl[[#This Row],[CrudeType]]="Crude",vp.tbl[[#This Row],[Dens]]&gt;870,vp.tbl[[#This Row],[Dens]]&lt;=900,vp.tbl[[#This Row],[Sulf]]&gt;0.5,vp.tbl[[#This Row],[Unknown]]=0),1,0)</f>
        <v>0</v>
      </c>
      <c r="AE1062">
        <f>IF(AND(vp.tbl[[#This Row],[CrudeType]]="Crude",vp.tbl[[#This Row],[Dens]]&gt;900,vp.tbl[[#This Row],[Sulf]]&lt;=0.5,vp.tbl[[#This Row],[Unknown]]=0),1,0)</f>
        <v>0</v>
      </c>
      <c r="AF1062">
        <f>IF(AND(vp.tbl[[#This Row],[CrudeType]]="Crude",vp.tbl[[#This Row],[Dens]]&gt;900,vp.tbl[[#This Row],[Sulf]]&lt;=0.5,vp.tbl[[#This Row],[Unknown]]=0),1,0)</f>
        <v>0</v>
      </c>
      <c r="AG1062" t="str">
        <f>INDEX(vp.tbl[[#Headers],[Unknown]:[Heavy_SW]],MATCH(1,vp.tbl[[#This Row],[Unknown]:[Heavy_SW]],0))</f>
        <v>Medium_LSB</v>
      </c>
      <c r="AH1062" t="e">
        <f>INDEX([1]!crudeBD.lkup[Number],MATCH(vp.tbl[[#This Row],[Crude_Breakdown]],[1]!crudeBD.lkup[Crude Breakdown],0))</f>
        <v>#REF!</v>
      </c>
      <c r="AI1062">
        <f>MONTH(vp.tbl[[#This Row],[SDate]])</f>
        <v>3</v>
      </c>
      <c r="AJ1062" s="5">
        <f>IFERROR(vp.tbl[[#This Row],[Sulf]]*vp.tbl[[#This Row],[Net Dens]],"")</f>
        <v>6228594.233736</v>
      </c>
      <c r="AK1062" s="5">
        <f>IFERROR(vp.tbl[[#This Row],[Dens]]*vp.tbl[[#This Row],[VolumeM3]],"")</f>
        <v>7884296.4983999999</v>
      </c>
      <c r="AL1062" s="5">
        <f>IFERROR(vp.tbl[[#This Row],[VP]]*vp.tbl[[#This Row],[VolumeM3]],"")</f>
        <v>873093.23640000005</v>
      </c>
      <c r="AM1062" s="4">
        <f>IFERROR((vp.tbl[[#This Row],[VP]]-INDEX(crudeBD.lkup.complete[Mean_VP],MATCH(vp.tbl[[#This Row],[Crude_Breakdown]],crudeBD.lkup.complete[Crude Breakdown],0)))^2,"")</f>
        <v>149.48498077167224</v>
      </c>
      <c r="AN1062" s="4">
        <f>IFERROR((vp.tbl[[#This Row],[Dens]]-INDEX(crudeBD.lkup.complete[Mean_Dens],MATCH(vp.tbl[[#This Row],[Crude_Breakdown]],crudeBD.lkup.complete[Crude Breakdown],0)))^2,"")</f>
        <v>118.63180357568807</v>
      </c>
      <c r="AO1062" s="4">
        <f>IFERROR((vp.tbl[[#This Row],[Sulf]]-INDEX(crudeBD.lkup.complete[Mean_Sulf],MATCH(vp.tbl[[#This Row],[Crude_Breakdown]],crudeBD.lkup.complete[Crude Breakdown],0)))^2,"")</f>
        <v>0.44213171972964155</v>
      </c>
      <c r="AP1062">
        <f>IF(AND(vp.tbl[[#This Row],[SDate]]&gt;=DATE(YEAR(vp.tbl[[#This Row],[SDate]]),5,1),vp.tbl[[#This Row],[SDate]]&lt;=DATE(YEAR(vp.tbl[[#This Row],[SDate]]),9,15)),1,0)</f>
        <v>0</v>
      </c>
      <c r="AQ1062" s="15">
        <f>IF(vp.tbl[[#This Row],[SDate]]&lt;DATE(2016,12,1),0,1)</f>
        <v>1</v>
      </c>
    </row>
    <row r="1063" spans="1:43" x14ac:dyDescent="0.25">
      <c r="A1063">
        <v>1062</v>
      </c>
      <c r="B1063" t="s">
        <v>62</v>
      </c>
      <c r="C1063" t="s">
        <v>62</v>
      </c>
      <c r="D1063" t="s">
        <v>63</v>
      </c>
      <c r="F1063" s="1">
        <v>42815</v>
      </c>
      <c r="G1063" s="2">
        <v>79.2</v>
      </c>
      <c r="H1063" s="2"/>
      <c r="I1063" s="2">
        <v>1.74</v>
      </c>
      <c r="J1063" s="2">
        <v>21</v>
      </c>
      <c r="K1063" s="2">
        <v>-11</v>
      </c>
      <c r="L1063" s="2">
        <v>837.6</v>
      </c>
      <c r="M1063" s="2">
        <v>837.6</v>
      </c>
      <c r="N1063" s="2">
        <f ca="1">INDEX(INDIRECT(_xlfn.CONCAT("weather.tbl[",N$1,"]")),MATCH(vp.tbl[[#This Row],[SDate]],weather.tbl[Date],0))</f>
        <v>-9.8166666666666682</v>
      </c>
      <c r="O1063" s="2">
        <f ca="1">INDEX(INDIRECT(_xlfn.CONCAT("weather.tbl[",O$1,"]")),MATCH(vp.tbl[[#This Row],[SDate]],weather.tbl[Date],0))</f>
        <v>-2.0214285714285718</v>
      </c>
      <c r="P1063" s="2">
        <f ca="1">INDEX(INDIRECT(_xlfn.CONCAT("weather.tbl[",P$1,"]")),MATCH(vp.tbl[[#This Row],[SDate]],weather.tbl[Date],0))</f>
        <v>-9.3000000000000007</v>
      </c>
      <c r="Q1063" s="2">
        <f ca="1">INDEX(INDIRECT(_xlfn.CONCAT("weather.tbl[",Q$1,"]")),MATCH(vp.tbl[[#This Row],[SDate]],weather.tbl[Date],0))</f>
        <v>-8.1999999999999993</v>
      </c>
      <c r="R1063" s="2">
        <f ca="1">INDEX(INDIRECT(_xlfn.CONCAT("weather.tbl[",R$1,"]")),MATCH(vp.tbl[[#This Row],[SDate]],weather.tbl[Date],0))</f>
        <v>-11.8</v>
      </c>
      <c r="S1063" s="2">
        <f ca="1">INDEX(INDIRECT(_xlfn.CONCAT("weather.tbl[",S$1,"]")),MATCH(vp.tbl[[#This Row],[SDate]],weather.tbl[Date],0))</f>
        <v>-6.8</v>
      </c>
      <c r="T1063" s="2">
        <f ca="1">INDEX(INDIRECT(_xlfn.CONCAT("weather.tbl[",T$1,"]")),MATCH(vp.tbl[[#This Row],[SDate]],weather.tbl[Date],0))</f>
        <v>-12.8</v>
      </c>
      <c r="U1063" s="2">
        <f ca="1">INDEX(INDIRECT(_xlfn.CONCAT("weather.tbl[",U$1,"]")),MATCH(vp.tbl[[#This Row],[SDate]],weather.tbl[Date],0))</f>
        <v>-10</v>
      </c>
      <c r="V1063" s="2">
        <v>6959.2520000000004</v>
      </c>
      <c r="W1063" t="s">
        <v>48</v>
      </c>
      <c r="X1063">
        <f>IF(OR(vp.tbl[[#This Row],[Sulf]]="",vp.tbl[[#This Row],[Dens]]=""),1,0)</f>
        <v>0</v>
      </c>
      <c r="Y1063">
        <f>IF(vp.tbl[[#This Row],[CrudeType]]="C5+",1,0)</f>
        <v>0</v>
      </c>
      <c r="Z1063">
        <f>IF(AND(vp.tbl[[#This Row],[CrudeType]]="Crude",vp.tbl[[#This Row],[Dens]]&lt;=825,vp.tbl[[#This Row],[Sulf]]&gt;0.5,vp.tbl[[#This Row],[Unknown]]=0),1,0)</f>
        <v>0</v>
      </c>
      <c r="AA1063">
        <f>IF(AND(vp.tbl[[#This Row],[CrudeType]]="Crude",vp.tbl[[#This Row],[Dens]]&lt;=825,vp.tbl[[#This Row],[Sulf]]&lt;=0.5,vp.tbl[[#This Row],[Unknown]]=0),1,0)</f>
        <v>0</v>
      </c>
      <c r="AB1063">
        <f>IF(AND(vp.tbl[[#This Row],[CrudeType]]="Crude",vp.tbl[[#This Row],[Dens]]&gt;825,vp.tbl[[#This Row],[Dens]]&lt;=870,vp.tbl[[#This Row],[Sulf]]&gt;0.5,vp.tbl[[#This Row],[Unknown]]=0),1,0)</f>
        <v>1</v>
      </c>
      <c r="AC1063">
        <f>IF(AND(vp.tbl[[#This Row],[CrudeType]]="Crude",vp.tbl[[#This Row],[Dens]]&gt;825,vp.tbl[[#This Row],[Dens]]&lt;=900,vp.tbl[[#This Row],[Sulf]]&lt;=0.5,vp.tbl[[#This Row],[Unknown]]=0),1,0)</f>
        <v>0</v>
      </c>
      <c r="AD1063">
        <f>IF(AND(vp.tbl[[#This Row],[CrudeType]]="Crude",vp.tbl[[#This Row],[Dens]]&gt;870,vp.tbl[[#This Row],[Dens]]&lt;=900,vp.tbl[[#This Row],[Sulf]]&gt;0.5,vp.tbl[[#This Row],[Unknown]]=0),1,0)</f>
        <v>0</v>
      </c>
      <c r="AE1063">
        <f>IF(AND(vp.tbl[[#This Row],[CrudeType]]="Crude",vp.tbl[[#This Row],[Dens]]&gt;900,vp.tbl[[#This Row],[Sulf]]&lt;=0.5,vp.tbl[[#This Row],[Unknown]]=0),1,0)</f>
        <v>0</v>
      </c>
      <c r="AF1063">
        <f>IF(AND(vp.tbl[[#This Row],[CrudeType]]="Crude",vp.tbl[[#This Row],[Dens]]&gt;900,vp.tbl[[#This Row],[Sulf]]&lt;=0.5,vp.tbl[[#This Row],[Unknown]]=0),1,0)</f>
        <v>0</v>
      </c>
      <c r="AG1063" t="str">
        <f>INDEX(vp.tbl[[#Headers],[Unknown]:[Heavy_SW]],MATCH(1,vp.tbl[[#This Row],[Unknown]:[Heavy_SW]],0))</f>
        <v>Medium_LSB</v>
      </c>
      <c r="AH1063" t="e">
        <f>INDEX([1]!crudeBD.lkup[Number],MATCH(vp.tbl[[#This Row],[Crude_Breakdown]],[1]!crudeBD.lkup[Crude Breakdown],0))</f>
        <v>#REF!</v>
      </c>
      <c r="AI1063">
        <f>MONTH(vp.tbl[[#This Row],[SDate]])</f>
        <v>3</v>
      </c>
      <c r="AJ1063" s="5">
        <f>IFERROR(vp.tbl[[#This Row],[Sulf]]*vp.tbl[[#This Row],[Net Dens]],"")</f>
        <v>10142580.886848001</v>
      </c>
      <c r="AK1063" s="5">
        <f>IFERROR(vp.tbl[[#This Row],[Dens]]*vp.tbl[[#This Row],[VolumeM3]],"")</f>
        <v>5829069.4752000002</v>
      </c>
      <c r="AL1063" s="5">
        <f>IFERROR(vp.tbl[[#This Row],[VP]]*vp.tbl[[#This Row],[VolumeM3]],"")</f>
        <v>551172.75840000005</v>
      </c>
      <c r="AM1063" s="4">
        <f>IFERROR((vp.tbl[[#This Row],[VP]]-INDEX(crudeBD.lkup.complete[Mean_VP],MATCH(vp.tbl[[#This Row],[Crude_Breakdown]],crudeBD.lkup.complete[Crude Breakdown],0)))^2,"")</f>
        <v>0.94788710078505323</v>
      </c>
      <c r="AN1063" s="4">
        <f>IFERROR((vp.tbl[[#This Row],[Dens]]-INDEX(crudeBD.lkup.complete[Mean_Dens],MATCH(vp.tbl[[#This Row],[Crude_Breakdown]],crudeBD.lkup.complete[Crude Breakdown],0)))^2,"")</f>
        <v>59.164137752908715</v>
      </c>
      <c r="AO1063" s="4">
        <f>IFERROR((vp.tbl[[#This Row],[Sulf]]-INDEX(crudeBD.lkup.complete[Mean_Sulf],MATCH(vp.tbl[[#This Row],[Crude_Breakdown]],crudeBD.lkup.complete[Crude Breakdown],0)))^2,"")</f>
        <v>8.1264984286600811E-2</v>
      </c>
      <c r="AP1063">
        <f>IF(AND(vp.tbl[[#This Row],[SDate]]&gt;=DATE(YEAR(vp.tbl[[#This Row],[SDate]]),5,1),vp.tbl[[#This Row],[SDate]]&lt;=DATE(YEAR(vp.tbl[[#This Row],[SDate]]),9,15)),1,0)</f>
        <v>0</v>
      </c>
      <c r="AQ1063" s="15">
        <f>IF(vp.tbl[[#This Row],[SDate]]&lt;DATE(2016,12,1),0,1)</f>
        <v>1</v>
      </c>
    </row>
    <row r="1064" spans="1:43" x14ac:dyDescent="0.25">
      <c r="A1064">
        <v>1063</v>
      </c>
      <c r="B1064" t="s">
        <v>68</v>
      </c>
      <c r="C1064" t="s">
        <v>68</v>
      </c>
      <c r="D1064" t="s">
        <v>98</v>
      </c>
      <c r="F1064" s="1">
        <v>42815</v>
      </c>
      <c r="G1064" s="2">
        <v>59.4</v>
      </c>
      <c r="H1064" s="2"/>
      <c r="I1064" s="2">
        <v>1.21</v>
      </c>
      <c r="J1064" s="2">
        <v>32</v>
      </c>
      <c r="K1064" s="2">
        <v>-11</v>
      </c>
      <c r="L1064" s="2">
        <v>853.2</v>
      </c>
      <c r="M1064" s="2">
        <v>853.2</v>
      </c>
      <c r="N1064" s="2">
        <f ca="1">INDEX(INDIRECT(_xlfn.CONCAT("weather.tbl[",N$1,"]")),MATCH(vp.tbl[[#This Row],[SDate]],weather.tbl[Date],0))</f>
        <v>-9.8166666666666682</v>
      </c>
      <c r="O1064" s="2">
        <f ca="1">INDEX(INDIRECT(_xlfn.CONCAT("weather.tbl[",O$1,"]")),MATCH(vp.tbl[[#This Row],[SDate]],weather.tbl[Date],0))</f>
        <v>-2.0214285714285718</v>
      </c>
      <c r="P1064" s="2">
        <f ca="1">INDEX(INDIRECT(_xlfn.CONCAT("weather.tbl[",P$1,"]")),MATCH(vp.tbl[[#This Row],[SDate]],weather.tbl[Date],0))</f>
        <v>-9.3000000000000007</v>
      </c>
      <c r="Q1064" s="2">
        <f ca="1">INDEX(INDIRECT(_xlfn.CONCAT("weather.tbl[",Q$1,"]")),MATCH(vp.tbl[[#This Row],[SDate]],weather.tbl[Date],0))</f>
        <v>-8.1999999999999993</v>
      </c>
      <c r="R1064" s="2">
        <f ca="1">INDEX(INDIRECT(_xlfn.CONCAT("weather.tbl[",R$1,"]")),MATCH(vp.tbl[[#This Row],[SDate]],weather.tbl[Date],0))</f>
        <v>-11.8</v>
      </c>
      <c r="S1064" s="2">
        <f ca="1">INDEX(INDIRECT(_xlfn.CONCAT("weather.tbl[",S$1,"]")),MATCH(vp.tbl[[#This Row],[SDate]],weather.tbl[Date],0))</f>
        <v>-6.8</v>
      </c>
      <c r="T1064" s="2">
        <f ca="1">INDEX(INDIRECT(_xlfn.CONCAT("weather.tbl[",T$1,"]")),MATCH(vp.tbl[[#This Row],[SDate]],weather.tbl[Date],0))</f>
        <v>-12.8</v>
      </c>
      <c r="U1064" s="2">
        <f ca="1">INDEX(INDIRECT(_xlfn.CONCAT("weather.tbl[",U$1,"]")),MATCH(vp.tbl[[#This Row],[SDate]],weather.tbl[Date],0))</f>
        <v>-10</v>
      </c>
      <c r="V1064" s="2">
        <v>4943.8360000000002</v>
      </c>
      <c r="W1064" t="s">
        <v>48</v>
      </c>
      <c r="X1064">
        <f>IF(OR(vp.tbl[[#This Row],[Sulf]]="",vp.tbl[[#This Row],[Dens]]=""),1,0)</f>
        <v>0</v>
      </c>
      <c r="Y1064">
        <f>IF(vp.tbl[[#This Row],[CrudeType]]="C5+",1,0)</f>
        <v>0</v>
      </c>
      <c r="Z1064">
        <f>IF(AND(vp.tbl[[#This Row],[CrudeType]]="Crude",vp.tbl[[#This Row],[Dens]]&lt;=825,vp.tbl[[#This Row],[Sulf]]&gt;0.5,vp.tbl[[#This Row],[Unknown]]=0),1,0)</f>
        <v>0</v>
      </c>
      <c r="AA1064">
        <f>IF(AND(vp.tbl[[#This Row],[CrudeType]]="Crude",vp.tbl[[#This Row],[Dens]]&lt;=825,vp.tbl[[#This Row],[Sulf]]&lt;=0.5,vp.tbl[[#This Row],[Unknown]]=0),1,0)</f>
        <v>0</v>
      </c>
      <c r="AB1064">
        <f>IF(AND(vp.tbl[[#This Row],[CrudeType]]="Crude",vp.tbl[[#This Row],[Dens]]&gt;825,vp.tbl[[#This Row],[Dens]]&lt;=870,vp.tbl[[#This Row],[Sulf]]&gt;0.5,vp.tbl[[#This Row],[Unknown]]=0),1,0)</f>
        <v>1</v>
      </c>
      <c r="AC1064">
        <f>IF(AND(vp.tbl[[#This Row],[CrudeType]]="Crude",vp.tbl[[#This Row],[Dens]]&gt;825,vp.tbl[[#This Row],[Dens]]&lt;=900,vp.tbl[[#This Row],[Sulf]]&lt;=0.5,vp.tbl[[#This Row],[Unknown]]=0),1,0)</f>
        <v>0</v>
      </c>
      <c r="AD1064">
        <f>IF(AND(vp.tbl[[#This Row],[CrudeType]]="Crude",vp.tbl[[#This Row],[Dens]]&gt;870,vp.tbl[[#This Row],[Dens]]&lt;=900,vp.tbl[[#This Row],[Sulf]]&gt;0.5,vp.tbl[[#This Row],[Unknown]]=0),1,0)</f>
        <v>0</v>
      </c>
      <c r="AE1064">
        <f>IF(AND(vp.tbl[[#This Row],[CrudeType]]="Crude",vp.tbl[[#This Row],[Dens]]&gt;900,vp.tbl[[#This Row],[Sulf]]&lt;=0.5,vp.tbl[[#This Row],[Unknown]]=0),1,0)</f>
        <v>0</v>
      </c>
      <c r="AF1064">
        <f>IF(AND(vp.tbl[[#This Row],[CrudeType]]="Crude",vp.tbl[[#This Row],[Dens]]&gt;900,vp.tbl[[#This Row],[Sulf]]&lt;=0.5,vp.tbl[[#This Row],[Unknown]]=0),1,0)</f>
        <v>0</v>
      </c>
      <c r="AG1064" t="str">
        <f>INDEX(vp.tbl[[#Headers],[Unknown]:[Heavy_SW]],MATCH(1,vp.tbl[[#This Row],[Unknown]:[Heavy_SW]],0))</f>
        <v>Medium_LSB</v>
      </c>
      <c r="AH1064" t="e">
        <f>INDEX([1]!crudeBD.lkup[Number],MATCH(vp.tbl[[#This Row],[Crude_Breakdown]],[1]!crudeBD.lkup[Crude Breakdown],0))</f>
        <v>#REF!</v>
      </c>
      <c r="AI1064">
        <f>MONTH(vp.tbl[[#This Row],[SDate]])</f>
        <v>3</v>
      </c>
      <c r="AJ1064" s="5">
        <f>IFERROR(vp.tbl[[#This Row],[Sulf]]*vp.tbl[[#This Row],[Net Dens]],"")</f>
        <v>5103877.8589920001</v>
      </c>
      <c r="AK1064" s="5">
        <f>IFERROR(vp.tbl[[#This Row],[Dens]]*vp.tbl[[#This Row],[VolumeM3]],"")</f>
        <v>4218080.8752000006</v>
      </c>
      <c r="AL1064" s="5">
        <f>IFERROR(vp.tbl[[#This Row],[VP]]*vp.tbl[[#This Row],[VolumeM3]],"")</f>
        <v>293663.85840000003</v>
      </c>
      <c r="AM1064" s="4">
        <f>IFERROR((vp.tbl[[#This Row],[VP]]-INDEX(crudeBD.lkup.complete[Mean_VP],MATCH(vp.tbl[[#This Row],[Crude_Breakdown]],crudeBD.lkup.complete[Crude Breakdown],0)))^2,"")</f>
        <v>431.54224659445453</v>
      </c>
      <c r="AN1064" s="4">
        <f>IFERROR((vp.tbl[[#This Row],[Dens]]-INDEX(crudeBD.lkup.complete[Mean_Dens],MATCH(vp.tbl[[#This Row],[Crude_Breakdown]],crudeBD.lkup.complete[Crude Breakdown],0)))^2,"")</f>
        <v>62.539266866864551</v>
      </c>
      <c r="AO1064" s="4">
        <f>IFERROR((vp.tbl[[#This Row],[Sulf]]-INDEX(crudeBD.lkup.complete[Mean_Sulf],MATCH(vp.tbl[[#This Row],[Crude_Breakdown]],crudeBD.lkup.complete[Crude Breakdown],0)))^2,"")</f>
        <v>5.9990636691665704E-2</v>
      </c>
      <c r="AP1064">
        <f>IF(AND(vp.tbl[[#This Row],[SDate]]&gt;=DATE(YEAR(vp.tbl[[#This Row],[SDate]]),5,1),vp.tbl[[#This Row],[SDate]]&lt;=DATE(YEAR(vp.tbl[[#This Row],[SDate]]),9,15)),1,0)</f>
        <v>0</v>
      </c>
      <c r="AQ1064" s="15">
        <f>IF(vp.tbl[[#This Row],[SDate]]&lt;DATE(2016,12,1),0,1)</f>
        <v>1</v>
      </c>
    </row>
    <row r="1065" spans="1:43" x14ac:dyDescent="0.25">
      <c r="A1065">
        <v>1064</v>
      </c>
      <c r="B1065" t="s">
        <v>68</v>
      </c>
      <c r="C1065" t="s">
        <v>68</v>
      </c>
      <c r="D1065" t="s">
        <v>110</v>
      </c>
      <c r="F1065" s="1">
        <v>42815</v>
      </c>
      <c r="G1065" s="2">
        <v>67</v>
      </c>
      <c r="H1065" s="2"/>
      <c r="I1065" s="2">
        <v>1.41</v>
      </c>
      <c r="J1065" s="2">
        <v>32</v>
      </c>
      <c r="K1065" s="2">
        <v>-11</v>
      </c>
      <c r="L1065" s="2">
        <v>853.9</v>
      </c>
      <c r="M1065" s="2">
        <v>853.9</v>
      </c>
      <c r="N1065" s="2">
        <f ca="1">INDEX(INDIRECT(_xlfn.CONCAT("weather.tbl[",N$1,"]")),MATCH(vp.tbl[[#This Row],[SDate]],weather.tbl[Date],0))</f>
        <v>-9.8166666666666682</v>
      </c>
      <c r="O1065" s="2">
        <f ca="1">INDEX(INDIRECT(_xlfn.CONCAT("weather.tbl[",O$1,"]")),MATCH(vp.tbl[[#This Row],[SDate]],weather.tbl[Date],0))</f>
        <v>-2.0214285714285718</v>
      </c>
      <c r="P1065" s="2">
        <f ca="1">INDEX(INDIRECT(_xlfn.CONCAT("weather.tbl[",P$1,"]")),MATCH(vp.tbl[[#This Row],[SDate]],weather.tbl[Date],0))</f>
        <v>-9.3000000000000007</v>
      </c>
      <c r="Q1065" s="2">
        <f ca="1">INDEX(INDIRECT(_xlfn.CONCAT("weather.tbl[",Q$1,"]")),MATCH(vp.tbl[[#This Row],[SDate]],weather.tbl[Date],0))</f>
        <v>-8.1999999999999993</v>
      </c>
      <c r="R1065" s="2">
        <f ca="1">INDEX(INDIRECT(_xlfn.CONCAT("weather.tbl[",R$1,"]")),MATCH(vp.tbl[[#This Row],[SDate]],weather.tbl[Date],0))</f>
        <v>-11.8</v>
      </c>
      <c r="S1065" s="2">
        <f ca="1">INDEX(INDIRECT(_xlfn.CONCAT("weather.tbl[",S$1,"]")),MATCH(vp.tbl[[#This Row],[SDate]],weather.tbl[Date],0))</f>
        <v>-6.8</v>
      </c>
      <c r="T1065" s="2">
        <f ca="1">INDEX(INDIRECT(_xlfn.CONCAT("weather.tbl[",T$1,"]")),MATCH(vp.tbl[[#This Row],[SDate]],weather.tbl[Date],0))</f>
        <v>-12.8</v>
      </c>
      <c r="U1065" s="2">
        <f ca="1">INDEX(INDIRECT(_xlfn.CONCAT("weather.tbl[",U$1,"]")),MATCH(vp.tbl[[#This Row],[SDate]],weather.tbl[Date],0))</f>
        <v>-10</v>
      </c>
      <c r="V1065" s="2">
        <v>4854.1400000000003</v>
      </c>
      <c r="W1065" t="s">
        <v>48</v>
      </c>
      <c r="X1065">
        <f>IF(OR(vp.tbl[[#This Row],[Sulf]]="",vp.tbl[[#This Row],[Dens]]=""),1,0)</f>
        <v>0</v>
      </c>
      <c r="Y1065">
        <f>IF(vp.tbl[[#This Row],[CrudeType]]="C5+",1,0)</f>
        <v>0</v>
      </c>
      <c r="Z1065">
        <f>IF(AND(vp.tbl[[#This Row],[CrudeType]]="Crude",vp.tbl[[#This Row],[Dens]]&lt;=825,vp.tbl[[#This Row],[Sulf]]&gt;0.5,vp.tbl[[#This Row],[Unknown]]=0),1,0)</f>
        <v>0</v>
      </c>
      <c r="AA1065">
        <f>IF(AND(vp.tbl[[#This Row],[CrudeType]]="Crude",vp.tbl[[#This Row],[Dens]]&lt;=825,vp.tbl[[#This Row],[Sulf]]&lt;=0.5,vp.tbl[[#This Row],[Unknown]]=0),1,0)</f>
        <v>0</v>
      </c>
      <c r="AB1065">
        <f>IF(AND(vp.tbl[[#This Row],[CrudeType]]="Crude",vp.tbl[[#This Row],[Dens]]&gt;825,vp.tbl[[#This Row],[Dens]]&lt;=870,vp.tbl[[#This Row],[Sulf]]&gt;0.5,vp.tbl[[#This Row],[Unknown]]=0),1,0)</f>
        <v>1</v>
      </c>
      <c r="AC1065">
        <f>IF(AND(vp.tbl[[#This Row],[CrudeType]]="Crude",vp.tbl[[#This Row],[Dens]]&gt;825,vp.tbl[[#This Row],[Dens]]&lt;=900,vp.tbl[[#This Row],[Sulf]]&lt;=0.5,vp.tbl[[#This Row],[Unknown]]=0),1,0)</f>
        <v>0</v>
      </c>
      <c r="AD1065">
        <f>IF(AND(vp.tbl[[#This Row],[CrudeType]]="Crude",vp.tbl[[#This Row],[Dens]]&gt;870,vp.tbl[[#This Row],[Dens]]&lt;=900,vp.tbl[[#This Row],[Sulf]]&gt;0.5,vp.tbl[[#This Row],[Unknown]]=0),1,0)</f>
        <v>0</v>
      </c>
      <c r="AE1065">
        <f>IF(AND(vp.tbl[[#This Row],[CrudeType]]="Crude",vp.tbl[[#This Row],[Dens]]&gt;900,vp.tbl[[#This Row],[Sulf]]&lt;=0.5,vp.tbl[[#This Row],[Unknown]]=0),1,0)</f>
        <v>0</v>
      </c>
      <c r="AF1065">
        <f>IF(AND(vp.tbl[[#This Row],[CrudeType]]="Crude",vp.tbl[[#This Row],[Dens]]&gt;900,vp.tbl[[#This Row],[Sulf]]&lt;=0.5,vp.tbl[[#This Row],[Unknown]]=0),1,0)</f>
        <v>0</v>
      </c>
      <c r="AG1065" t="str">
        <f>INDEX(vp.tbl[[#Headers],[Unknown]:[Heavy_SW]],MATCH(1,vp.tbl[[#This Row],[Unknown]:[Heavy_SW]],0))</f>
        <v>Medium_LSB</v>
      </c>
      <c r="AH1065" t="e">
        <f>INDEX([1]!crudeBD.lkup[Number],MATCH(vp.tbl[[#This Row],[Crude_Breakdown]],[1]!crudeBD.lkup[Crude Breakdown],0))</f>
        <v>#REF!</v>
      </c>
      <c r="AI1065">
        <f>MONTH(vp.tbl[[#This Row],[SDate]])</f>
        <v>3</v>
      </c>
      <c r="AJ1065" s="5">
        <f>IFERROR(vp.tbl[[#This Row],[Sulf]]*vp.tbl[[#This Row],[Net Dens]],"")</f>
        <v>5844379.7058600001</v>
      </c>
      <c r="AK1065" s="5">
        <f>IFERROR(vp.tbl[[#This Row],[Dens]]*vp.tbl[[#This Row],[VolumeM3]],"")</f>
        <v>4144950.1460000002</v>
      </c>
      <c r="AL1065" s="5">
        <f>IFERROR(vp.tbl[[#This Row],[VP]]*vp.tbl[[#This Row],[VolumeM3]],"")</f>
        <v>325227.38</v>
      </c>
      <c r="AM1065" s="4">
        <f>IFERROR((vp.tbl[[#This Row],[VP]]-INDEX(crudeBD.lkup.complete[Mean_VP],MATCH(vp.tbl[[#This Row],[Crude_Breakdown]],crudeBD.lkup.complete[Crude Breakdown],0)))^2,"")</f>
        <v>173.54360355648035</v>
      </c>
      <c r="AN1065" s="4">
        <f>IFERROR((vp.tbl[[#This Row],[Dens]]-INDEX(crudeBD.lkup.complete[Mean_Dens],MATCH(vp.tbl[[#This Row],[Crude_Breakdown]],crudeBD.lkup.complete[Crude Breakdown],0)))^2,"")</f>
        <v>74.100714968130646</v>
      </c>
      <c r="AO1065" s="4">
        <f>IFERROR((vp.tbl[[#This Row],[Sulf]]-INDEX(crudeBD.lkup.complete[Mean_Sulf],MATCH(vp.tbl[[#This Row],[Crude_Breakdown]],crudeBD.lkup.complete[Crude Breakdown],0)))^2,"")</f>
        <v>2.0186923878676294E-3</v>
      </c>
      <c r="AP1065">
        <f>IF(AND(vp.tbl[[#This Row],[SDate]]&gt;=DATE(YEAR(vp.tbl[[#This Row],[SDate]]),5,1),vp.tbl[[#This Row],[SDate]]&lt;=DATE(YEAR(vp.tbl[[#This Row],[SDate]]),9,15)),1,0)</f>
        <v>0</v>
      </c>
      <c r="AQ1065" s="15">
        <f>IF(vp.tbl[[#This Row],[SDate]]&lt;DATE(2016,12,1),0,1)</f>
        <v>1</v>
      </c>
    </row>
    <row r="1066" spans="1:43" x14ac:dyDescent="0.25">
      <c r="A1066">
        <v>1065</v>
      </c>
      <c r="B1066" t="s">
        <v>68</v>
      </c>
      <c r="C1066" t="s">
        <v>68</v>
      </c>
      <c r="D1066" t="s">
        <v>69</v>
      </c>
      <c r="F1066" s="1">
        <v>42815</v>
      </c>
      <c r="G1066" s="2">
        <v>72.400000000000006</v>
      </c>
      <c r="H1066" s="2"/>
      <c r="I1066" s="2">
        <v>1.7</v>
      </c>
      <c r="J1066" s="2">
        <v>19</v>
      </c>
      <c r="K1066" s="2">
        <v>-11</v>
      </c>
      <c r="L1066" s="2">
        <v>861.8</v>
      </c>
      <c r="M1066" s="2">
        <v>861.8</v>
      </c>
      <c r="N1066" s="2">
        <f ca="1">INDEX(INDIRECT(_xlfn.CONCAT("weather.tbl[",N$1,"]")),MATCH(vp.tbl[[#This Row],[SDate]],weather.tbl[Date],0))</f>
        <v>-9.8166666666666682</v>
      </c>
      <c r="O1066" s="2">
        <f ca="1">INDEX(INDIRECT(_xlfn.CONCAT("weather.tbl[",O$1,"]")),MATCH(vp.tbl[[#This Row],[SDate]],weather.tbl[Date],0))</f>
        <v>-2.0214285714285718</v>
      </c>
      <c r="P1066" s="2">
        <f ca="1">INDEX(INDIRECT(_xlfn.CONCAT("weather.tbl[",P$1,"]")),MATCH(vp.tbl[[#This Row],[SDate]],weather.tbl[Date],0))</f>
        <v>-9.3000000000000007</v>
      </c>
      <c r="Q1066" s="2">
        <f ca="1">INDEX(INDIRECT(_xlfn.CONCAT("weather.tbl[",Q$1,"]")),MATCH(vp.tbl[[#This Row],[SDate]],weather.tbl[Date],0))</f>
        <v>-8.1999999999999993</v>
      </c>
      <c r="R1066" s="2">
        <f ca="1">INDEX(INDIRECT(_xlfn.CONCAT("weather.tbl[",R$1,"]")),MATCH(vp.tbl[[#This Row],[SDate]],weather.tbl[Date],0))</f>
        <v>-11.8</v>
      </c>
      <c r="S1066" s="2">
        <f ca="1">INDEX(INDIRECT(_xlfn.CONCAT("weather.tbl[",S$1,"]")),MATCH(vp.tbl[[#This Row],[SDate]],weather.tbl[Date],0))</f>
        <v>-6.8</v>
      </c>
      <c r="T1066" s="2">
        <f ca="1">INDEX(INDIRECT(_xlfn.CONCAT("weather.tbl[",T$1,"]")),MATCH(vp.tbl[[#This Row],[SDate]],weather.tbl[Date],0))</f>
        <v>-12.8</v>
      </c>
      <c r="U1066" s="2">
        <f ca="1">INDEX(INDIRECT(_xlfn.CONCAT("weather.tbl[",U$1,"]")),MATCH(vp.tbl[[#This Row],[SDate]],weather.tbl[Date],0))</f>
        <v>-10</v>
      </c>
      <c r="V1066" s="2">
        <v>1425.6389999999999</v>
      </c>
      <c r="W1066" t="s">
        <v>48</v>
      </c>
      <c r="X1066">
        <f>IF(OR(vp.tbl[[#This Row],[Sulf]]="",vp.tbl[[#This Row],[Dens]]=""),1,0)</f>
        <v>0</v>
      </c>
      <c r="Y1066">
        <f>IF(vp.tbl[[#This Row],[CrudeType]]="C5+",1,0)</f>
        <v>0</v>
      </c>
      <c r="Z1066">
        <f>IF(AND(vp.tbl[[#This Row],[CrudeType]]="Crude",vp.tbl[[#This Row],[Dens]]&lt;=825,vp.tbl[[#This Row],[Sulf]]&gt;0.5,vp.tbl[[#This Row],[Unknown]]=0),1,0)</f>
        <v>0</v>
      </c>
      <c r="AA1066">
        <f>IF(AND(vp.tbl[[#This Row],[CrudeType]]="Crude",vp.tbl[[#This Row],[Dens]]&lt;=825,vp.tbl[[#This Row],[Sulf]]&lt;=0.5,vp.tbl[[#This Row],[Unknown]]=0),1,0)</f>
        <v>0</v>
      </c>
      <c r="AB1066">
        <f>IF(AND(vp.tbl[[#This Row],[CrudeType]]="Crude",vp.tbl[[#This Row],[Dens]]&gt;825,vp.tbl[[#This Row],[Dens]]&lt;=870,vp.tbl[[#This Row],[Sulf]]&gt;0.5,vp.tbl[[#This Row],[Unknown]]=0),1,0)</f>
        <v>1</v>
      </c>
      <c r="AC1066">
        <f>IF(AND(vp.tbl[[#This Row],[CrudeType]]="Crude",vp.tbl[[#This Row],[Dens]]&gt;825,vp.tbl[[#This Row],[Dens]]&lt;=900,vp.tbl[[#This Row],[Sulf]]&lt;=0.5,vp.tbl[[#This Row],[Unknown]]=0),1,0)</f>
        <v>0</v>
      </c>
      <c r="AD1066">
        <f>IF(AND(vp.tbl[[#This Row],[CrudeType]]="Crude",vp.tbl[[#This Row],[Dens]]&gt;870,vp.tbl[[#This Row],[Dens]]&lt;=900,vp.tbl[[#This Row],[Sulf]]&gt;0.5,vp.tbl[[#This Row],[Unknown]]=0),1,0)</f>
        <v>0</v>
      </c>
      <c r="AE1066">
        <f>IF(AND(vp.tbl[[#This Row],[CrudeType]]="Crude",vp.tbl[[#This Row],[Dens]]&gt;900,vp.tbl[[#This Row],[Sulf]]&lt;=0.5,vp.tbl[[#This Row],[Unknown]]=0),1,0)</f>
        <v>0</v>
      </c>
      <c r="AF1066">
        <f>IF(AND(vp.tbl[[#This Row],[CrudeType]]="Crude",vp.tbl[[#This Row],[Dens]]&gt;900,vp.tbl[[#This Row],[Sulf]]&lt;=0.5,vp.tbl[[#This Row],[Unknown]]=0),1,0)</f>
        <v>0</v>
      </c>
      <c r="AG1066" t="str">
        <f>INDEX(vp.tbl[[#Headers],[Unknown]:[Heavy_SW]],MATCH(1,vp.tbl[[#This Row],[Unknown]:[Heavy_SW]],0))</f>
        <v>Medium_LSB</v>
      </c>
      <c r="AH1066" t="e">
        <f>INDEX([1]!crudeBD.lkup[Number],MATCH(vp.tbl[[#This Row],[Crude_Breakdown]],[1]!crudeBD.lkup[Crude Breakdown],0))</f>
        <v>#REF!</v>
      </c>
      <c r="AI1066">
        <f>MONTH(vp.tbl[[#This Row],[SDate]])</f>
        <v>3</v>
      </c>
      <c r="AJ1066" s="5">
        <f>IFERROR(vp.tbl[[#This Row],[Sulf]]*vp.tbl[[#This Row],[Net Dens]],"")</f>
        <v>2088646.6733399997</v>
      </c>
      <c r="AK1066" s="5">
        <f>IFERROR(vp.tbl[[#This Row],[Dens]]*vp.tbl[[#This Row],[VolumeM3]],"")</f>
        <v>1228615.6901999998</v>
      </c>
      <c r="AL1066" s="5">
        <f>IFERROR(vp.tbl[[#This Row],[VP]]*vp.tbl[[#This Row],[VolumeM3]],"")</f>
        <v>103216.26360000001</v>
      </c>
      <c r="AM1066" s="4">
        <f>IFERROR((vp.tbl[[#This Row],[VP]]-INDEX(crudeBD.lkup.complete[Mean_VP],MATCH(vp.tbl[[#This Row],[Crude_Breakdown]],crudeBD.lkup.complete[Crude Breakdown],0)))^2,"")</f>
        <v>60.428778240024975</v>
      </c>
      <c r="AN1066" s="4">
        <f>IFERROR((vp.tbl[[#This Row],[Dens]]-INDEX(crudeBD.lkup.complete[Mean_Dens],MATCH(vp.tbl[[#This Row],[Crude_Breakdown]],crudeBD.lkup.complete[Crude Breakdown],0)))^2,"")</f>
        <v>272.51991496814509</v>
      </c>
      <c r="AO1066" s="4">
        <f>IFERROR((vp.tbl[[#This Row],[Sulf]]-INDEX(crudeBD.lkup.complete[Mean_Sulf],MATCH(vp.tbl[[#This Row],[Crude_Breakdown]],crudeBD.lkup.complete[Crude Breakdown],0)))^2,"")</f>
        <v>6.0059373147360415E-2</v>
      </c>
      <c r="AP1066">
        <f>IF(AND(vp.tbl[[#This Row],[SDate]]&gt;=DATE(YEAR(vp.tbl[[#This Row],[SDate]]),5,1),vp.tbl[[#This Row],[SDate]]&lt;=DATE(YEAR(vp.tbl[[#This Row],[SDate]]),9,15)),1,0)</f>
        <v>0</v>
      </c>
      <c r="AQ1066" s="15">
        <f>IF(vp.tbl[[#This Row],[SDate]]&lt;DATE(2016,12,1),0,1)</f>
        <v>1</v>
      </c>
    </row>
    <row r="1067" spans="1:43" x14ac:dyDescent="0.25">
      <c r="A1067">
        <v>1066</v>
      </c>
      <c r="B1067" t="s">
        <v>46</v>
      </c>
      <c r="C1067" t="s">
        <v>46</v>
      </c>
      <c r="D1067" t="s">
        <v>47</v>
      </c>
      <c r="F1067" s="1">
        <v>42815</v>
      </c>
      <c r="G1067" s="2">
        <v>58.7</v>
      </c>
      <c r="H1067" s="2"/>
      <c r="I1067" s="2">
        <v>2.38</v>
      </c>
      <c r="J1067" s="2">
        <v>27</v>
      </c>
      <c r="K1067" s="2">
        <v>-11</v>
      </c>
      <c r="L1067" s="2">
        <v>867.7</v>
      </c>
      <c r="M1067" s="2">
        <v>867.7</v>
      </c>
      <c r="N1067" s="2">
        <f ca="1">INDEX(INDIRECT(_xlfn.CONCAT("weather.tbl[",N$1,"]")),MATCH(vp.tbl[[#This Row],[SDate]],weather.tbl[Date],0))</f>
        <v>-9.8166666666666682</v>
      </c>
      <c r="O1067" s="2">
        <f ca="1">INDEX(INDIRECT(_xlfn.CONCAT("weather.tbl[",O$1,"]")),MATCH(vp.tbl[[#This Row],[SDate]],weather.tbl[Date],0))</f>
        <v>-2.0214285714285718</v>
      </c>
      <c r="P1067" s="2">
        <f ca="1">INDEX(INDIRECT(_xlfn.CONCAT("weather.tbl[",P$1,"]")),MATCH(vp.tbl[[#This Row],[SDate]],weather.tbl[Date],0))</f>
        <v>-9.3000000000000007</v>
      </c>
      <c r="Q1067" s="2">
        <f ca="1">INDEX(INDIRECT(_xlfn.CONCAT("weather.tbl[",Q$1,"]")),MATCH(vp.tbl[[#This Row],[SDate]],weather.tbl[Date],0))</f>
        <v>-8.1999999999999993</v>
      </c>
      <c r="R1067" s="2">
        <f ca="1">INDEX(INDIRECT(_xlfn.CONCAT("weather.tbl[",R$1,"]")),MATCH(vp.tbl[[#This Row],[SDate]],weather.tbl[Date],0))</f>
        <v>-11.8</v>
      </c>
      <c r="S1067" s="2">
        <f ca="1">INDEX(INDIRECT(_xlfn.CONCAT("weather.tbl[",S$1,"]")),MATCH(vp.tbl[[#This Row],[SDate]],weather.tbl[Date],0))</f>
        <v>-6.8</v>
      </c>
      <c r="T1067" s="2">
        <f ca="1">INDEX(INDIRECT(_xlfn.CONCAT("weather.tbl[",T$1,"]")),MATCH(vp.tbl[[#This Row],[SDate]],weather.tbl[Date],0))</f>
        <v>-12.8</v>
      </c>
      <c r="U1067" s="2">
        <f ca="1">INDEX(INDIRECT(_xlfn.CONCAT("weather.tbl[",U$1,"]")),MATCH(vp.tbl[[#This Row],[SDate]],weather.tbl[Date],0))</f>
        <v>-10</v>
      </c>
      <c r="V1067" s="2">
        <v>118908.394</v>
      </c>
      <c r="W1067" t="s">
        <v>48</v>
      </c>
      <c r="X1067">
        <f>IF(OR(vp.tbl[[#This Row],[Sulf]]="",vp.tbl[[#This Row],[Dens]]=""),1,0)</f>
        <v>0</v>
      </c>
      <c r="Y1067">
        <f>IF(vp.tbl[[#This Row],[CrudeType]]="C5+",1,0)</f>
        <v>0</v>
      </c>
      <c r="Z1067">
        <f>IF(AND(vp.tbl[[#This Row],[CrudeType]]="Crude",vp.tbl[[#This Row],[Dens]]&lt;=825,vp.tbl[[#This Row],[Sulf]]&gt;0.5,vp.tbl[[#This Row],[Unknown]]=0),1,0)</f>
        <v>0</v>
      </c>
      <c r="AA1067">
        <f>IF(AND(vp.tbl[[#This Row],[CrudeType]]="Crude",vp.tbl[[#This Row],[Dens]]&lt;=825,vp.tbl[[#This Row],[Sulf]]&lt;=0.5,vp.tbl[[#This Row],[Unknown]]=0),1,0)</f>
        <v>0</v>
      </c>
      <c r="AB1067">
        <f>IF(AND(vp.tbl[[#This Row],[CrudeType]]="Crude",vp.tbl[[#This Row],[Dens]]&gt;825,vp.tbl[[#This Row],[Dens]]&lt;=870,vp.tbl[[#This Row],[Sulf]]&gt;0.5,vp.tbl[[#This Row],[Unknown]]=0),1,0)</f>
        <v>1</v>
      </c>
      <c r="AC1067">
        <f>IF(AND(vp.tbl[[#This Row],[CrudeType]]="Crude",vp.tbl[[#This Row],[Dens]]&gt;825,vp.tbl[[#This Row],[Dens]]&lt;=900,vp.tbl[[#This Row],[Sulf]]&lt;=0.5,vp.tbl[[#This Row],[Unknown]]=0),1,0)</f>
        <v>0</v>
      </c>
      <c r="AD1067">
        <f>IF(AND(vp.tbl[[#This Row],[CrudeType]]="Crude",vp.tbl[[#This Row],[Dens]]&gt;870,vp.tbl[[#This Row],[Dens]]&lt;=900,vp.tbl[[#This Row],[Sulf]]&gt;0.5,vp.tbl[[#This Row],[Unknown]]=0),1,0)</f>
        <v>0</v>
      </c>
      <c r="AE1067">
        <f>IF(AND(vp.tbl[[#This Row],[CrudeType]]="Crude",vp.tbl[[#This Row],[Dens]]&gt;900,vp.tbl[[#This Row],[Sulf]]&lt;=0.5,vp.tbl[[#This Row],[Unknown]]=0),1,0)</f>
        <v>0</v>
      </c>
      <c r="AF1067">
        <f>IF(AND(vp.tbl[[#This Row],[CrudeType]]="Crude",vp.tbl[[#This Row],[Dens]]&gt;900,vp.tbl[[#This Row],[Sulf]]&lt;=0.5,vp.tbl[[#This Row],[Unknown]]=0),1,0)</f>
        <v>0</v>
      </c>
      <c r="AG1067" t="str">
        <f>INDEX(vp.tbl[[#Headers],[Unknown]:[Heavy_SW]],MATCH(1,vp.tbl[[#This Row],[Unknown]:[Heavy_SW]],0))</f>
        <v>Medium_LSB</v>
      </c>
      <c r="AH1067" t="e">
        <f>INDEX([1]!crudeBD.lkup[Number],MATCH(vp.tbl[[#This Row],[Crude_Breakdown]],[1]!crudeBD.lkup[Crude Breakdown],0))</f>
        <v>#REF!</v>
      </c>
      <c r="AI1067">
        <f>MONTH(vp.tbl[[#This Row],[SDate]])</f>
        <v>3</v>
      </c>
      <c r="AJ1067" s="5">
        <f>IFERROR(vp.tbl[[#This Row],[Sulf]]*vp.tbl[[#This Row],[Net Dens]],"")</f>
        <v>245560816.067644</v>
      </c>
      <c r="AK1067" s="5">
        <f>IFERROR(vp.tbl[[#This Row],[Dens]]*vp.tbl[[#This Row],[VolumeM3]],"")</f>
        <v>103176813.4738</v>
      </c>
      <c r="AL1067" s="5">
        <f>IFERROR(vp.tbl[[#This Row],[VP]]*vp.tbl[[#This Row],[VolumeM3]],"")</f>
        <v>6979922.7278000005</v>
      </c>
      <c r="AM1067" s="4">
        <f>IFERROR((vp.tbl[[#This Row],[VP]]-INDEX(crudeBD.lkup.complete[Mean_VP],MATCH(vp.tbl[[#This Row],[Crude_Breakdown]],crudeBD.lkup.complete[Crude Breakdown],0)))^2,"")</f>
        <v>461.11527950584673</v>
      </c>
      <c r="AN1067" s="4">
        <f>IFERROR((vp.tbl[[#This Row],[Dens]]-INDEX(crudeBD.lkup.complete[Mean_Dens],MATCH(vp.tbl[[#This Row],[Crude_Breakdown]],crudeBD.lkup.complete[Crude Breakdown],0)))^2,"")</f>
        <v>502.12640610740078</v>
      </c>
      <c r="AO1067" s="4">
        <f>IFERROR((vp.tbl[[#This Row],[Sulf]]-INDEX(crudeBD.lkup.complete[Mean_Sulf],MATCH(vp.tbl[[#This Row],[Crude_Breakdown]],crudeBD.lkup.complete[Crude Breakdown],0)))^2,"")</f>
        <v>0.85575476251444682</v>
      </c>
      <c r="AP1067">
        <f>IF(AND(vp.tbl[[#This Row],[SDate]]&gt;=DATE(YEAR(vp.tbl[[#This Row],[SDate]]),5,1),vp.tbl[[#This Row],[SDate]]&lt;=DATE(YEAR(vp.tbl[[#This Row],[SDate]]),9,15)),1,0)</f>
        <v>0</v>
      </c>
      <c r="AQ1067" s="15">
        <f>IF(vp.tbl[[#This Row],[SDate]]&lt;DATE(2016,12,1),0,1)</f>
        <v>1</v>
      </c>
    </row>
    <row r="1068" spans="1:43" x14ac:dyDescent="0.25">
      <c r="A1068">
        <v>1067</v>
      </c>
      <c r="B1068" t="s">
        <v>108</v>
      </c>
      <c r="C1068" t="s">
        <v>108</v>
      </c>
      <c r="D1068" t="s">
        <v>209</v>
      </c>
      <c r="F1068" s="1">
        <v>42815</v>
      </c>
      <c r="G1068" s="2">
        <v>67.400000000000006</v>
      </c>
      <c r="H1068" s="2"/>
      <c r="I1068" s="2">
        <v>1.9</v>
      </c>
      <c r="J1068" s="2">
        <v>4</v>
      </c>
      <c r="K1068" s="2">
        <v>-30</v>
      </c>
      <c r="L1068" s="2">
        <v>868.2</v>
      </c>
      <c r="M1068" s="2">
        <v>868.2</v>
      </c>
      <c r="N1068" s="2">
        <f ca="1">INDEX(INDIRECT(_xlfn.CONCAT("weather.tbl[",N$1,"]")),MATCH(vp.tbl[[#This Row],[SDate]],weather.tbl[Date],0))</f>
        <v>-9.8166666666666682</v>
      </c>
      <c r="O1068" s="2">
        <f ca="1">INDEX(INDIRECT(_xlfn.CONCAT("weather.tbl[",O$1,"]")),MATCH(vp.tbl[[#This Row],[SDate]],weather.tbl[Date],0))</f>
        <v>-2.0214285714285718</v>
      </c>
      <c r="P1068" s="2">
        <f ca="1">INDEX(INDIRECT(_xlfn.CONCAT("weather.tbl[",P$1,"]")),MATCH(vp.tbl[[#This Row],[SDate]],weather.tbl[Date],0))</f>
        <v>-9.3000000000000007</v>
      </c>
      <c r="Q1068" s="2">
        <f ca="1">INDEX(INDIRECT(_xlfn.CONCAT("weather.tbl[",Q$1,"]")),MATCH(vp.tbl[[#This Row],[SDate]],weather.tbl[Date],0))</f>
        <v>-8.1999999999999993</v>
      </c>
      <c r="R1068" s="2">
        <f ca="1">INDEX(INDIRECT(_xlfn.CONCAT("weather.tbl[",R$1,"]")),MATCH(vp.tbl[[#This Row],[SDate]],weather.tbl[Date],0))</f>
        <v>-11.8</v>
      </c>
      <c r="S1068" s="2">
        <f ca="1">INDEX(INDIRECT(_xlfn.CONCAT("weather.tbl[",S$1,"]")),MATCH(vp.tbl[[#This Row],[SDate]],weather.tbl[Date],0))</f>
        <v>-6.8</v>
      </c>
      <c r="T1068" s="2">
        <f ca="1">INDEX(INDIRECT(_xlfn.CONCAT("weather.tbl[",T$1,"]")),MATCH(vp.tbl[[#This Row],[SDate]],weather.tbl[Date],0))</f>
        <v>-12.8</v>
      </c>
      <c r="U1068" s="2">
        <f ca="1">INDEX(INDIRECT(_xlfn.CONCAT("weather.tbl[",U$1,"]")),MATCH(vp.tbl[[#This Row],[SDate]],weather.tbl[Date],0))</f>
        <v>-10</v>
      </c>
      <c r="V1068" s="2">
        <v>814.29399999999998</v>
      </c>
      <c r="W1068" t="s">
        <v>48</v>
      </c>
      <c r="X1068">
        <f>IF(OR(vp.tbl[[#This Row],[Sulf]]="",vp.tbl[[#This Row],[Dens]]=""),1,0)</f>
        <v>0</v>
      </c>
      <c r="Y1068">
        <f>IF(vp.tbl[[#This Row],[CrudeType]]="C5+",1,0)</f>
        <v>0</v>
      </c>
      <c r="Z1068">
        <f>IF(AND(vp.tbl[[#This Row],[CrudeType]]="Crude",vp.tbl[[#This Row],[Dens]]&lt;=825,vp.tbl[[#This Row],[Sulf]]&gt;0.5,vp.tbl[[#This Row],[Unknown]]=0),1,0)</f>
        <v>0</v>
      </c>
      <c r="AA1068">
        <f>IF(AND(vp.tbl[[#This Row],[CrudeType]]="Crude",vp.tbl[[#This Row],[Dens]]&lt;=825,vp.tbl[[#This Row],[Sulf]]&lt;=0.5,vp.tbl[[#This Row],[Unknown]]=0),1,0)</f>
        <v>0</v>
      </c>
      <c r="AB1068">
        <f>IF(AND(vp.tbl[[#This Row],[CrudeType]]="Crude",vp.tbl[[#This Row],[Dens]]&gt;825,vp.tbl[[#This Row],[Dens]]&lt;=870,vp.tbl[[#This Row],[Sulf]]&gt;0.5,vp.tbl[[#This Row],[Unknown]]=0),1,0)</f>
        <v>1</v>
      </c>
      <c r="AC1068">
        <f>IF(AND(vp.tbl[[#This Row],[CrudeType]]="Crude",vp.tbl[[#This Row],[Dens]]&gt;825,vp.tbl[[#This Row],[Dens]]&lt;=900,vp.tbl[[#This Row],[Sulf]]&lt;=0.5,vp.tbl[[#This Row],[Unknown]]=0),1,0)</f>
        <v>0</v>
      </c>
      <c r="AD1068">
        <f>IF(AND(vp.tbl[[#This Row],[CrudeType]]="Crude",vp.tbl[[#This Row],[Dens]]&gt;870,vp.tbl[[#This Row],[Dens]]&lt;=900,vp.tbl[[#This Row],[Sulf]]&gt;0.5,vp.tbl[[#This Row],[Unknown]]=0),1,0)</f>
        <v>0</v>
      </c>
      <c r="AE1068">
        <f>IF(AND(vp.tbl[[#This Row],[CrudeType]]="Crude",vp.tbl[[#This Row],[Dens]]&gt;900,vp.tbl[[#This Row],[Sulf]]&lt;=0.5,vp.tbl[[#This Row],[Unknown]]=0),1,0)</f>
        <v>0</v>
      </c>
      <c r="AF1068">
        <f>IF(AND(vp.tbl[[#This Row],[CrudeType]]="Crude",vp.tbl[[#This Row],[Dens]]&gt;900,vp.tbl[[#This Row],[Sulf]]&lt;=0.5,vp.tbl[[#This Row],[Unknown]]=0),1,0)</f>
        <v>0</v>
      </c>
      <c r="AG1068" t="str">
        <f>INDEX(vp.tbl[[#Headers],[Unknown]:[Heavy_SW]],MATCH(1,vp.tbl[[#This Row],[Unknown]:[Heavy_SW]],0))</f>
        <v>Medium_LSB</v>
      </c>
      <c r="AH1068" t="e">
        <f>INDEX([1]!crudeBD.lkup[Number],MATCH(vp.tbl[[#This Row],[Crude_Breakdown]],[1]!crudeBD.lkup[Crude Breakdown],0))</f>
        <v>#REF!</v>
      </c>
      <c r="AI1068">
        <f>MONTH(vp.tbl[[#This Row],[SDate]])</f>
        <v>3</v>
      </c>
      <c r="AJ1068" s="5">
        <f>IFERROR(vp.tbl[[#This Row],[Sulf]]*vp.tbl[[#This Row],[Net Dens]],"")</f>
        <v>1343243.0965199999</v>
      </c>
      <c r="AK1068" s="5">
        <f>IFERROR(vp.tbl[[#This Row],[Dens]]*vp.tbl[[#This Row],[VolumeM3]],"")</f>
        <v>706970.05079999997</v>
      </c>
      <c r="AL1068" s="5">
        <f>IFERROR(vp.tbl[[#This Row],[VP]]*vp.tbl[[#This Row],[VolumeM3]],"")</f>
        <v>54883.4156</v>
      </c>
      <c r="AM1068" s="4">
        <f>IFERROR((vp.tbl[[#This Row],[VP]]-INDEX(crudeBD.lkup.complete[Mean_VP],MATCH(vp.tbl[[#This Row],[Crude_Breakdown]],crudeBD.lkup.complete[Crude Breakdown],0)))^2,"")</f>
        <v>163.16472760711315</v>
      </c>
      <c r="AN1068" s="4">
        <f>IFERROR((vp.tbl[[#This Row],[Dens]]-INDEX(crudeBD.lkup.complete[Mean_Dens],MATCH(vp.tbl[[#This Row],[Crude_Breakdown]],crudeBD.lkup.complete[Crude Breakdown],0)))^2,"")</f>
        <v>524.78458332259163</v>
      </c>
      <c r="AO1068" s="4">
        <f>IFERROR((vp.tbl[[#This Row],[Sulf]]-INDEX(crudeBD.lkup.complete[Mean_Sulf],MATCH(vp.tbl[[#This Row],[Crude_Breakdown]],crudeBD.lkup.complete[Crude Breakdown],0)))^2,"")</f>
        <v>0.19808742884356229</v>
      </c>
      <c r="AP1068">
        <f>IF(AND(vp.tbl[[#This Row],[SDate]]&gt;=DATE(YEAR(vp.tbl[[#This Row],[SDate]]),5,1),vp.tbl[[#This Row],[SDate]]&lt;=DATE(YEAR(vp.tbl[[#This Row],[SDate]]),9,15)),1,0)</f>
        <v>0</v>
      </c>
      <c r="AQ1068" s="15">
        <f>IF(vp.tbl[[#This Row],[SDate]]&lt;DATE(2016,12,1),0,1)</f>
        <v>1</v>
      </c>
    </row>
    <row r="1069" spans="1:43" x14ac:dyDescent="0.25">
      <c r="A1069">
        <v>1068</v>
      </c>
      <c r="B1069" t="s">
        <v>68</v>
      </c>
      <c r="C1069" t="s">
        <v>68</v>
      </c>
      <c r="D1069" t="s">
        <v>210</v>
      </c>
      <c r="F1069" s="1">
        <v>42815</v>
      </c>
      <c r="G1069" s="2">
        <v>67.7</v>
      </c>
      <c r="H1069" s="2"/>
      <c r="I1069" s="2">
        <v>1.93</v>
      </c>
      <c r="J1069" s="2">
        <v>4</v>
      </c>
      <c r="K1069" s="2">
        <v>-30</v>
      </c>
      <c r="L1069" s="2">
        <v>869.1</v>
      </c>
      <c r="M1069" s="2">
        <v>869.1</v>
      </c>
      <c r="N1069" s="2">
        <f ca="1">INDEX(INDIRECT(_xlfn.CONCAT("weather.tbl[",N$1,"]")),MATCH(vp.tbl[[#This Row],[SDate]],weather.tbl[Date],0))</f>
        <v>-9.8166666666666682</v>
      </c>
      <c r="O1069" s="2">
        <f ca="1">INDEX(INDIRECT(_xlfn.CONCAT("weather.tbl[",O$1,"]")),MATCH(vp.tbl[[#This Row],[SDate]],weather.tbl[Date],0))</f>
        <v>-2.0214285714285718</v>
      </c>
      <c r="P1069" s="2">
        <f ca="1">INDEX(INDIRECT(_xlfn.CONCAT("weather.tbl[",P$1,"]")),MATCH(vp.tbl[[#This Row],[SDate]],weather.tbl[Date],0))</f>
        <v>-9.3000000000000007</v>
      </c>
      <c r="Q1069" s="2">
        <f ca="1">INDEX(INDIRECT(_xlfn.CONCAT("weather.tbl[",Q$1,"]")),MATCH(vp.tbl[[#This Row],[SDate]],weather.tbl[Date],0))</f>
        <v>-8.1999999999999993</v>
      </c>
      <c r="R1069" s="2">
        <f ca="1">INDEX(INDIRECT(_xlfn.CONCAT("weather.tbl[",R$1,"]")),MATCH(vp.tbl[[#This Row],[SDate]],weather.tbl[Date],0))</f>
        <v>-11.8</v>
      </c>
      <c r="S1069" s="2">
        <f ca="1">INDEX(INDIRECT(_xlfn.CONCAT("weather.tbl[",S$1,"]")),MATCH(vp.tbl[[#This Row],[SDate]],weather.tbl[Date],0))</f>
        <v>-6.8</v>
      </c>
      <c r="T1069" s="2">
        <f ca="1">INDEX(INDIRECT(_xlfn.CONCAT("weather.tbl[",T$1,"]")),MATCH(vp.tbl[[#This Row],[SDate]],weather.tbl[Date],0))</f>
        <v>-12.8</v>
      </c>
      <c r="U1069" s="2">
        <f ca="1">INDEX(INDIRECT(_xlfn.CONCAT("weather.tbl[",U$1,"]")),MATCH(vp.tbl[[#This Row],[SDate]],weather.tbl[Date],0))</f>
        <v>-10</v>
      </c>
      <c r="V1069" s="2">
        <v>453.82</v>
      </c>
      <c r="W1069" t="s">
        <v>48</v>
      </c>
      <c r="X1069">
        <f>IF(OR(vp.tbl[[#This Row],[Sulf]]="",vp.tbl[[#This Row],[Dens]]=""),1,0)</f>
        <v>0</v>
      </c>
      <c r="Y1069">
        <f>IF(vp.tbl[[#This Row],[CrudeType]]="C5+",1,0)</f>
        <v>0</v>
      </c>
      <c r="Z1069">
        <f>IF(AND(vp.tbl[[#This Row],[CrudeType]]="Crude",vp.tbl[[#This Row],[Dens]]&lt;=825,vp.tbl[[#This Row],[Sulf]]&gt;0.5,vp.tbl[[#This Row],[Unknown]]=0),1,0)</f>
        <v>0</v>
      </c>
      <c r="AA1069">
        <f>IF(AND(vp.tbl[[#This Row],[CrudeType]]="Crude",vp.tbl[[#This Row],[Dens]]&lt;=825,vp.tbl[[#This Row],[Sulf]]&lt;=0.5,vp.tbl[[#This Row],[Unknown]]=0),1,0)</f>
        <v>0</v>
      </c>
      <c r="AB1069">
        <f>IF(AND(vp.tbl[[#This Row],[CrudeType]]="Crude",vp.tbl[[#This Row],[Dens]]&gt;825,vp.tbl[[#This Row],[Dens]]&lt;=870,vp.tbl[[#This Row],[Sulf]]&gt;0.5,vp.tbl[[#This Row],[Unknown]]=0),1,0)</f>
        <v>1</v>
      </c>
      <c r="AC1069">
        <f>IF(AND(vp.tbl[[#This Row],[CrudeType]]="Crude",vp.tbl[[#This Row],[Dens]]&gt;825,vp.tbl[[#This Row],[Dens]]&lt;=900,vp.tbl[[#This Row],[Sulf]]&lt;=0.5,vp.tbl[[#This Row],[Unknown]]=0),1,0)</f>
        <v>0</v>
      </c>
      <c r="AD1069">
        <f>IF(AND(vp.tbl[[#This Row],[CrudeType]]="Crude",vp.tbl[[#This Row],[Dens]]&gt;870,vp.tbl[[#This Row],[Dens]]&lt;=900,vp.tbl[[#This Row],[Sulf]]&gt;0.5,vp.tbl[[#This Row],[Unknown]]=0),1,0)</f>
        <v>0</v>
      </c>
      <c r="AE1069">
        <f>IF(AND(vp.tbl[[#This Row],[CrudeType]]="Crude",vp.tbl[[#This Row],[Dens]]&gt;900,vp.tbl[[#This Row],[Sulf]]&lt;=0.5,vp.tbl[[#This Row],[Unknown]]=0),1,0)</f>
        <v>0</v>
      </c>
      <c r="AF1069">
        <f>IF(AND(vp.tbl[[#This Row],[CrudeType]]="Crude",vp.tbl[[#This Row],[Dens]]&gt;900,vp.tbl[[#This Row],[Sulf]]&lt;=0.5,vp.tbl[[#This Row],[Unknown]]=0),1,0)</f>
        <v>0</v>
      </c>
      <c r="AG1069" t="str">
        <f>INDEX(vp.tbl[[#Headers],[Unknown]:[Heavy_SW]],MATCH(1,vp.tbl[[#This Row],[Unknown]:[Heavy_SW]],0))</f>
        <v>Medium_LSB</v>
      </c>
      <c r="AH1069" t="e">
        <f>INDEX([1]!crudeBD.lkup[Number],MATCH(vp.tbl[[#This Row],[Crude_Breakdown]],[1]!crudeBD.lkup[Crude Breakdown],0))</f>
        <v>#REF!</v>
      </c>
      <c r="AI1069">
        <f>MONTH(vp.tbl[[#This Row],[SDate]])</f>
        <v>3</v>
      </c>
      <c r="AJ1069" s="5">
        <f>IFERROR(vp.tbl[[#This Row],[Sulf]]*vp.tbl[[#This Row],[Net Dens]],"")</f>
        <v>761220.87665999995</v>
      </c>
      <c r="AK1069" s="5">
        <f>IFERROR(vp.tbl[[#This Row],[Dens]]*vp.tbl[[#This Row],[VolumeM3]],"")</f>
        <v>394414.962</v>
      </c>
      <c r="AL1069" s="5">
        <f>IFERROR(vp.tbl[[#This Row],[VP]]*vp.tbl[[#This Row],[VolumeM3]],"")</f>
        <v>30723.614000000001</v>
      </c>
      <c r="AM1069" s="4">
        <f>IFERROR((vp.tbl[[#This Row],[VP]]-INDEX(crudeBD.lkup.complete[Mean_VP],MATCH(vp.tbl[[#This Row],[Crude_Breakdown]],crudeBD.lkup.complete[Crude Breakdown],0)))^2,"")</f>
        <v>155.59057064508795</v>
      </c>
      <c r="AN1069" s="4">
        <f>IFERROR((vp.tbl[[#This Row],[Dens]]-INDEX(crudeBD.lkup.complete[Mean_Dens],MATCH(vp.tbl[[#This Row],[Crude_Breakdown]],crudeBD.lkup.complete[Crude Breakdown],0)))^2,"")</f>
        <v>566.82930230993418</v>
      </c>
      <c r="AO1069" s="4">
        <f>IFERROR((vp.tbl[[#This Row],[Sulf]]-INDEX(crudeBD.lkup.complete[Mean_Sulf],MATCH(vp.tbl[[#This Row],[Crude_Breakdown]],crudeBD.lkup.complete[Crude Breakdown],0)))^2,"")</f>
        <v>0.2256916371979926</v>
      </c>
      <c r="AP1069">
        <f>IF(AND(vp.tbl[[#This Row],[SDate]]&gt;=DATE(YEAR(vp.tbl[[#This Row],[SDate]]),5,1),vp.tbl[[#This Row],[SDate]]&lt;=DATE(YEAR(vp.tbl[[#This Row],[SDate]]),9,15)),1,0)</f>
        <v>0</v>
      </c>
      <c r="AQ1069" s="15">
        <f>IF(vp.tbl[[#This Row],[SDate]]&lt;DATE(2016,12,1),0,1)</f>
        <v>1</v>
      </c>
    </row>
    <row r="1070" spans="1:43" x14ac:dyDescent="0.25">
      <c r="A1070">
        <v>1069</v>
      </c>
      <c r="B1070" t="s">
        <v>64</v>
      </c>
      <c r="C1070" t="s">
        <v>64</v>
      </c>
      <c r="D1070" t="s">
        <v>65</v>
      </c>
      <c r="F1070" s="1">
        <v>42815</v>
      </c>
      <c r="G1070" s="2">
        <v>45.7</v>
      </c>
      <c r="H1070" s="2"/>
      <c r="I1070" s="2">
        <v>2.09</v>
      </c>
      <c r="J1070" s="2">
        <v>28</v>
      </c>
      <c r="K1070" s="2">
        <v>-11</v>
      </c>
      <c r="L1070" s="2">
        <v>876</v>
      </c>
      <c r="M1070" s="2">
        <v>876</v>
      </c>
      <c r="N1070" s="2">
        <f ca="1">INDEX(INDIRECT(_xlfn.CONCAT("weather.tbl[",N$1,"]")),MATCH(vp.tbl[[#This Row],[SDate]],weather.tbl[Date],0))</f>
        <v>-9.8166666666666682</v>
      </c>
      <c r="O1070" s="2">
        <f ca="1">INDEX(INDIRECT(_xlfn.CONCAT("weather.tbl[",O$1,"]")),MATCH(vp.tbl[[#This Row],[SDate]],weather.tbl[Date],0))</f>
        <v>-2.0214285714285718</v>
      </c>
      <c r="P1070" s="2">
        <f ca="1">INDEX(INDIRECT(_xlfn.CONCAT("weather.tbl[",P$1,"]")),MATCH(vp.tbl[[#This Row],[SDate]],weather.tbl[Date],0))</f>
        <v>-9.3000000000000007</v>
      </c>
      <c r="Q1070" s="2">
        <f ca="1">INDEX(INDIRECT(_xlfn.CONCAT("weather.tbl[",Q$1,"]")),MATCH(vp.tbl[[#This Row],[SDate]],weather.tbl[Date],0))</f>
        <v>-8.1999999999999993</v>
      </c>
      <c r="R1070" s="2">
        <f ca="1">INDEX(INDIRECT(_xlfn.CONCAT("weather.tbl[",R$1,"]")),MATCH(vp.tbl[[#This Row],[SDate]],weather.tbl[Date],0))</f>
        <v>-11.8</v>
      </c>
      <c r="S1070" s="2">
        <f ca="1">INDEX(INDIRECT(_xlfn.CONCAT("weather.tbl[",S$1,"]")),MATCH(vp.tbl[[#This Row],[SDate]],weather.tbl[Date],0))</f>
        <v>-6.8</v>
      </c>
      <c r="T1070" s="2">
        <f ca="1">INDEX(INDIRECT(_xlfn.CONCAT("weather.tbl[",T$1,"]")),MATCH(vp.tbl[[#This Row],[SDate]],weather.tbl[Date],0))</f>
        <v>-12.8</v>
      </c>
      <c r="U1070" s="2">
        <f ca="1">INDEX(INDIRECT(_xlfn.CONCAT("weather.tbl[",U$1,"]")),MATCH(vp.tbl[[#This Row],[SDate]],weather.tbl[Date],0))</f>
        <v>-10</v>
      </c>
      <c r="V1070" s="2">
        <v>22323.207999999999</v>
      </c>
      <c r="W1070" t="s">
        <v>48</v>
      </c>
      <c r="X1070">
        <f>IF(OR(vp.tbl[[#This Row],[Sulf]]="",vp.tbl[[#This Row],[Dens]]=""),1,0)</f>
        <v>0</v>
      </c>
      <c r="Y1070">
        <f>IF(vp.tbl[[#This Row],[CrudeType]]="C5+",1,0)</f>
        <v>0</v>
      </c>
      <c r="Z1070">
        <f>IF(AND(vp.tbl[[#This Row],[CrudeType]]="Crude",vp.tbl[[#This Row],[Dens]]&lt;=825,vp.tbl[[#This Row],[Sulf]]&gt;0.5,vp.tbl[[#This Row],[Unknown]]=0),1,0)</f>
        <v>0</v>
      </c>
      <c r="AA1070">
        <f>IF(AND(vp.tbl[[#This Row],[CrudeType]]="Crude",vp.tbl[[#This Row],[Dens]]&lt;=825,vp.tbl[[#This Row],[Sulf]]&lt;=0.5,vp.tbl[[#This Row],[Unknown]]=0),1,0)</f>
        <v>0</v>
      </c>
      <c r="AB1070">
        <f>IF(AND(vp.tbl[[#This Row],[CrudeType]]="Crude",vp.tbl[[#This Row],[Dens]]&gt;825,vp.tbl[[#This Row],[Dens]]&lt;=870,vp.tbl[[#This Row],[Sulf]]&gt;0.5,vp.tbl[[#This Row],[Unknown]]=0),1,0)</f>
        <v>0</v>
      </c>
      <c r="AC1070">
        <f>IF(AND(vp.tbl[[#This Row],[CrudeType]]="Crude",vp.tbl[[#This Row],[Dens]]&gt;825,vp.tbl[[#This Row],[Dens]]&lt;=900,vp.tbl[[#This Row],[Sulf]]&lt;=0.5,vp.tbl[[#This Row],[Unknown]]=0),1,0)</f>
        <v>0</v>
      </c>
      <c r="AD1070">
        <f>IF(AND(vp.tbl[[#This Row],[CrudeType]]="Crude",vp.tbl[[#This Row],[Dens]]&gt;870,vp.tbl[[#This Row],[Dens]]&lt;=900,vp.tbl[[#This Row],[Sulf]]&gt;0.5,vp.tbl[[#This Row],[Unknown]]=0),1,0)</f>
        <v>1</v>
      </c>
      <c r="AE1070">
        <f>IF(AND(vp.tbl[[#This Row],[CrudeType]]="Crude",vp.tbl[[#This Row],[Dens]]&gt;900,vp.tbl[[#This Row],[Sulf]]&lt;=0.5,vp.tbl[[#This Row],[Unknown]]=0),1,0)</f>
        <v>0</v>
      </c>
      <c r="AF1070">
        <f>IF(AND(vp.tbl[[#This Row],[CrudeType]]="Crude",vp.tbl[[#This Row],[Dens]]&gt;900,vp.tbl[[#This Row],[Sulf]]&lt;=0.5,vp.tbl[[#This Row],[Unknown]]=0),1,0)</f>
        <v>0</v>
      </c>
      <c r="AG1070" t="str">
        <f>INDEX(vp.tbl[[#Headers],[Unknown]:[Heavy_SW]],MATCH(1,vp.tbl[[#This Row],[Unknown]:[Heavy_SW]],0))</f>
        <v>Midale</v>
      </c>
      <c r="AH1070" t="e">
        <f>INDEX([1]!crudeBD.lkup[Number],MATCH(vp.tbl[[#This Row],[Crude_Breakdown]],[1]!crudeBD.lkup[Crude Breakdown],0))</f>
        <v>#REF!</v>
      </c>
      <c r="AI1070">
        <f>MONTH(vp.tbl[[#This Row],[SDate]])</f>
        <v>3</v>
      </c>
      <c r="AJ1070" s="5">
        <f>IFERROR(vp.tbl[[#This Row],[Sulf]]*vp.tbl[[#This Row],[Net Dens]],"")</f>
        <v>40870222.134719998</v>
      </c>
      <c r="AK1070" s="5">
        <f>IFERROR(vp.tbl[[#This Row],[Dens]]*vp.tbl[[#This Row],[VolumeM3]],"")</f>
        <v>19555130.208000001</v>
      </c>
      <c r="AL1070" s="5">
        <f>IFERROR(vp.tbl[[#This Row],[VP]]*vp.tbl[[#This Row],[VolumeM3]],"")</f>
        <v>1020170.6056</v>
      </c>
      <c r="AM1070" s="4">
        <f>IFERROR((vp.tbl[[#This Row],[VP]]-INDEX(crudeBD.lkup.complete[Mean_VP],MATCH(vp.tbl[[#This Row],[Crude_Breakdown]],crudeBD.lkup.complete[Crude Breakdown],0)))^2,"")</f>
        <v>507.97749859260693</v>
      </c>
      <c r="AN1070" s="4">
        <f>IFERROR((vp.tbl[[#This Row],[Dens]]-INDEX(crudeBD.lkup.complete[Mean_Dens],MATCH(vp.tbl[[#This Row],[Crude_Breakdown]],crudeBD.lkup.complete[Crude Breakdown],0)))^2,"")</f>
        <v>2.4088740851932804</v>
      </c>
      <c r="AO1070" s="4">
        <f>IFERROR((vp.tbl[[#This Row],[Sulf]]-INDEX(crudeBD.lkup.complete[Mean_Sulf],MATCH(vp.tbl[[#This Row],[Crude_Breakdown]],crudeBD.lkup.complete[Crude Breakdown],0)))^2,"")</f>
        <v>0.10584620473426462</v>
      </c>
      <c r="AP1070">
        <f>IF(AND(vp.tbl[[#This Row],[SDate]]&gt;=DATE(YEAR(vp.tbl[[#This Row],[SDate]]),5,1),vp.tbl[[#This Row],[SDate]]&lt;=DATE(YEAR(vp.tbl[[#This Row],[SDate]]),9,15)),1,0)</f>
        <v>0</v>
      </c>
      <c r="AQ1070" s="15">
        <f>IF(vp.tbl[[#This Row],[SDate]]&lt;DATE(2016,12,1),0,1)</f>
        <v>1</v>
      </c>
    </row>
    <row r="1071" spans="1:43" x14ac:dyDescent="0.25">
      <c r="A1071">
        <v>1070</v>
      </c>
      <c r="B1071" t="s">
        <v>49</v>
      </c>
      <c r="C1071" t="s">
        <v>49</v>
      </c>
      <c r="D1071" t="s">
        <v>78</v>
      </c>
      <c r="F1071" s="1">
        <v>42816</v>
      </c>
      <c r="G1071" s="2">
        <v>82.4</v>
      </c>
      <c r="H1071" s="2">
        <v>0.183</v>
      </c>
      <c r="I1071" s="2">
        <v>0.183</v>
      </c>
      <c r="J1071" s="2">
        <v>11</v>
      </c>
      <c r="K1071" s="2">
        <v>2</v>
      </c>
      <c r="L1071" s="2">
        <v>802.8</v>
      </c>
      <c r="M1071" s="2">
        <v>802.8</v>
      </c>
      <c r="N1071" s="2">
        <f ca="1">INDEX(INDIRECT(_xlfn.CONCAT("weather.tbl[",N$1,"]")),MATCH(vp.tbl[[#This Row],[SDate]],weather.tbl[Date],0))</f>
        <v>-4.8666666666666663</v>
      </c>
      <c r="O1071" s="2">
        <f ca="1">INDEX(INDIRECT(_xlfn.CONCAT("weather.tbl[",O$1,"]")),MATCH(vp.tbl[[#This Row],[SDate]],weather.tbl[Date],0))</f>
        <v>-2.2428571428571433</v>
      </c>
      <c r="P1071" s="2">
        <f ca="1">INDEX(INDIRECT(_xlfn.CONCAT("weather.tbl[",P$1,"]")),MATCH(vp.tbl[[#This Row],[SDate]],weather.tbl[Date],0))</f>
        <v>-2.9</v>
      </c>
      <c r="Q1071" s="2">
        <f ca="1">INDEX(INDIRECT(_xlfn.CONCAT("weather.tbl[",Q$1,"]")),MATCH(vp.tbl[[#This Row],[SDate]],weather.tbl[Date],0))</f>
        <v>-2.6</v>
      </c>
      <c r="R1071" s="2">
        <f ca="1">INDEX(INDIRECT(_xlfn.CONCAT("weather.tbl[",R$1,"]")),MATCH(vp.tbl[[#This Row],[SDate]],weather.tbl[Date],0))</f>
        <v>-11.8</v>
      </c>
      <c r="S1071" s="2">
        <f ca="1">INDEX(INDIRECT(_xlfn.CONCAT("weather.tbl[",S$1,"]")),MATCH(vp.tbl[[#This Row],[SDate]],weather.tbl[Date],0))</f>
        <v>-1.2</v>
      </c>
      <c r="T1071" s="2">
        <f ca="1">INDEX(INDIRECT(_xlfn.CONCAT("weather.tbl[",T$1,"]")),MATCH(vp.tbl[[#This Row],[SDate]],weather.tbl[Date],0))</f>
        <v>-6.2</v>
      </c>
      <c r="U1071" s="2">
        <f ca="1">INDEX(INDIRECT(_xlfn.CONCAT("weather.tbl[",U$1,"]")),MATCH(vp.tbl[[#This Row],[SDate]],weather.tbl[Date],0))</f>
        <v>-4.5</v>
      </c>
      <c r="V1071" s="2">
        <v>19019.342000000001</v>
      </c>
      <c r="W1071" t="s">
        <v>48</v>
      </c>
      <c r="X1071">
        <f>IF(OR(vp.tbl[[#This Row],[Sulf]]="",vp.tbl[[#This Row],[Dens]]=""),1,0)</f>
        <v>0</v>
      </c>
      <c r="Y1071">
        <f>IF(vp.tbl[[#This Row],[CrudeType]]="C5+",1,0)</f>
        <v>0</v>
      </c>
      <c r="Z1071">
        <f>IF(AND(vp.tbl[[#This Row],[CrudeType]]="Crude",vp.tbl[[#This Row],[Dens]]&lt;=825,vp.tbl[[#This Row],[Sulf]]&gt;0.5,vp.tbl[[#This Row],[Unknown]]=0),1,0)</f>
        <v>0</v>
      </c>
      <c r="AA1071">
        <f>IF(AND(vp.tbl[[#This Row],[CrudeType]]="Crude",vp.tbl[[#This Row],[Dens]]&lt;=825,vp.tbl[[#This Row],[Sulf]]&lt;=0.5,vp.tbl[[#This Row],[Unknown]]=0),1,0)</f>
        <v>1</v>
      </c>
      <c r="AB1071">
        <f>IF(AND(vp.tbl[[#This Row],[CrudeType]]="Crude",vp.tbl[[#This Row],[Dens]]&gt;825,vp.tbl[[#This Row],[Dens]]&lt;=870,vp.tbl[[#This Row],[Sulf]]&gt;0.5,vp.tbl[[#This Row],[Unknown]]=0),1,0)</f>
        <v>0</v>
      </c>
      <c r="AC1071">
        <f>IF(AND(vp.tbl[[#This Row],[CrudeType]]="Crude",vp.tbl[[#This Row],[Dens]]&gt;825,vp.tbl[[#This Row],[Dens]]&lt;=900,vp.tbl[[#This Row],[Sulf]]&lt;=0.5,vp.tbl[[#This Row],[Unknown]]=0),1,0)</f>
        <v>0</v>
      </c>
      <c r="AD1071">
        <f>IF(AND(vp.tbl[[#This Row],[CrudeType]]="Crude",vp.tbl[[#This Row],[Dens]]&gt;870,vp.tbl[[#This Row],[Dens]]&lt;=900,vp.tbl[[#This Row],[Sulf]]&gt;0.5,vp.tbl[[#This Row],[Unknown]]=0),1,0)</f>
        <v>0</v>
      </c>
      <c r="AE1071">
        <f>IF(AND(vp.tbl[[#This Row],[CrudeType]]="Crude",vp.tbl[[#This Row],[Dens]]&gt;900,vp.tbl[[#This Row],[Sulf]]&lt;=0.5,vp.tbl[[#This Row],[Unknown]]=0),1,0)</f>
        <v>0</v>
      </c>
      <c r="AF1071">
        <f>IF(AND(vp.tbl[[#This Row],[CrudeType]]="Crude",vp.tbl[[#This Row],[Dens]]&gt;900,vp.tbl[[#This Row],[Sulf]]&lt;=0.5,vp.tbl[[#This Row],[Unknown]]=0),1,0)</f>
        <v>0</v>
      </c>
      <c r="AG1071" t="str">
        <f>INDEX(vp.tbl[[#Headers],[Unknown]:[Heavy_SW]],MATCH(1,vp.tbl[[#This Row],[Unknown]:[Heavy_SW]],0))</f>
        <v>Light_SW</v>
      </c>
      <c r="AH1071" t="e">
        <f>INDEX([1]!crudeBD.lkup[Number],MATCH(vp.tbl[[#This Row],[Crude_Breakdown]],[1]!crudeBD.lkup[Crude Breakdown],0))</f>
        <v>#REF!</v>
      </c>
      <c r="AI1071">
        <f>MONTH(vp.tbl[[#This Row],[SDate]])</f>
        <v>3</v>
      </c>
      <c r="AJ1071" s="5">
        <f>IFERROR(vp.tbl[[#This Row],[Sulf]]*vp.tbl[[#This Row],[Net Dens]],"")</f>
        <v>2794177.1796407998</v>
      </c>
      <c r="AK1071" s="5">
        <f>IFERROR(vp.tbl[[#This Row],[Dens]]*vp.tbl[[#This Row],[VolumeM3]],"")</f>
        <v>15268727.7576</v>
      </c>
      <c r="AL1071" s="5">
        <f>IFERROR(vp.tbl[[#This Row],[VP]]*vp.tbl[[#This Row],[VolumeM3]],"")</f>
        <v>1567193.7808000001</v>
      </c>
      <c r="AM1071" s="4">
        <f>IFERROR((vp.tbl[[#This Row],[VP]]-INDEX(crudeBD.lkup.complete[Mean_VP],MATCH(vp.tbl[[#This Row],[Crude_Breakdown]],crudeBD.lkup.complete[Crude Breakdown],0)))^2,"")</f>
        <v>103.02886595199578</v>
      </c>
      <c r="AN1071" s="4">
        <f>IFERROR((vp.tbl[[#This Row],[Dens]]-INDEX(crudeBD.lkup.complete[Mean_Dens],MATCH(vp.tbl[[#This Row],[Crude_Breakdown]],crudeBD.lkup.complete[Crude Breakdown],0)))^2,"")</f>
        <v>30.376613046168377</v>
      </c>
      <c r="AO1071" s="4">
        <f>IFERROR((vp.tbl[[#This Row],[Sulf]]-INDEX(crudeBD.lkup.complete[Mean_Sulf],MATCH(vp.tbl[[#This Row],[Crude_Breakdown]],crudeBD.lkup.complete[Crude Breakdown],0)))^2,"")</f>
        <v>2.8346905287183126E-3</v>
      </c>
      <c r="AP1071">
        <f>IF(AND(vp.tbl[[#This Row],[SDate]]&gt;=DATE(YEAR(vp.tbl[[#This Row],[SDate]]),5,1),vp.tbl[[#This Row],[SDate]]&lt;=DATE(YEAR(vp.tbl[[#This Row],[SDate]]),9,15)),1,0)</f>
        <v>0</v>
      </c>
      <c r="AQ1071" s="15">
        <f>IF(vp.tbl[[#This Row],[SDate]]&lt;DATE(2016,12,1),0,1)</f>
        <v>1</v>
      </c>
    </row>
    <row r="1072" spans="1:43" x14ac:dyDescent="0.25">
      <c r="A1072">
        <v>1071</v>
      </c>
      <c r="B1072" t="s">
        <v>49</v>
      </c>
      <c r="C1072" t="s">
        <v>49</v>
      </c>
      <c r="D1072" t="s">
        <v>92</v>
      </c>
      <c r="F1072" s="1">
        <v>42816</v>
      </c>
      <c r="G1072" s="2">
        <v>78.3</v>
      </c>
      <c r="H1072" s="2">
        <v>0.59899999999999998</v>
      </c>
      <c r="I1072" s="2">
        <v>0.59899999999999998</v>
      </c>
      <c r="J1072" s="2">
        <v>26</v>
      </c>
      <c r="K1072" s="2">
        <v>2</v>
      </c>
      <c r="L1072" s="2">
        <v>823</v>
      </c>
      <c r="M1072" s="2">
        <v>823</v>
      </c>
      <c r="N1072" s="2">
        <f ca="1">INDEX(INDIRECT(_xlfn.CONCAT("weather.tbl[",N$1,"]")),MATCH(vp.tbl[[#This Row],[SDate]],weather.tbl[Date],0))</f>
        <v>-4.8666666666666663</v>
      </c>
      <c r="O1072" s="2">
        <f ca="1">INDEX(INDIRECT(_xlfn.CONCAT("weather.tbl[",O$1,"]")),MATCH(vp.tbl[[#This Row],[SDate]],weather.tbl[Date],0))</f>
        <v>-2.2428571428571433</v>
      </c>
      <c r="P1072" s="2">
        <f ca="1">INDEX(INDIRECT(_xlfn.CONCAT("weather.tbl[",P$1,"]")),MATCH(vp.tbl[[#This Row],[SDate]],weather.tbl[Date],0))</f>
        <v>-2.9</v>
      </c>
      <c r="Q1072" s="2">
        <f ca="1">INDEX(INDIRECT(_xlfn.CONCAT("weather.tbl[",Q$1,"]")),MATCH(vp.tbl[[#This Row],[SDate]],weather.tbl[Date],0))</f>
        <v>-2.6</v>
      </c>
      <c r="R1072" s="2">
        <f ca="1">INDEX(INDIRECT(_xlfn.CONCAT("weather.tbl[",R$1,"]")),MATCH(vp.tbl[[#This Row],[SDate]],weather.tbl[Date],0))</f>
        <v>-11.8</v>
      </c>
      <c r="S1072" s="2">
        <f ca="1">INDEX(INDIRECT(_xlfn.CONCAT("weather.tbl[",S$1,"]")),MATCH(vp.tbl[[#This Row],[SDate]],weather.tbl[Date],0))</f>
        <v>-1.2</v>
      </c>
      <c r="T1072" s="2">
        <f ca="1">INDEX(INDIRECT(_xlfn.CONCAT("weather.tbl[",T$1,"]")),MATCH(vp.tbl[[#This Row],[SDate]],weather.tbl[Date],0))</f>
        <v>-6.2</v>
      </c>
      <c r="U1072" s="2">
        <f ca="1">INDEX(INDIRECT(_xlfn.CONCAT("weather.tbl[",U$1,"]")),MATCH(vp.tbl[[#This Row],[SDate]],weather.tbl[Date],0))</f>
        <v>-4.5</v>
      </c>
      <c r="V1072" s="2">
        <v>21566.571</v>
      </c>
      <c r="W1072" t="s">
        <v>48</v>
      </c>
      <c r="X1072">
        <f>IF(OR(vp.tbl[[#This Row],[Sulf]]="",vp.tbl[[#This Row],[Dens]]=""),1,0)</f>
        <v>0</v>
      </c>
      <c r="Y1072">
        <f>IF(vp.tbl[[#This Row],[CrudeType]]="C5+",1,0)</f>
        <v>0</v>
      </c>
      <c r="Z1072">
        <f>IF(AND(vp.tbl[[#This Row],[CrudeType]]="Crude",vp.tbl[[#This Row],[Dens]]&lt;=825,vp.tbl[[#This Row],[Sulf]]&gt;0.5,vp.tbl[[#This Row],[Unknown]]=0),1,0)</f>
        <v>1</v>
      </c>
      <c r="AA1072">
        <f>IF(AND(vp.tbl[[#This Row],[CrudeType]]="Crude",vp.tbl[[#This Row],[Dens]]&lt;=825,vp.tbl[[#This Row],[Sulf]]&lt;=0.5,vp.tbl[[#This Row],[Unknown]]=0),1,0)</f>
        <v>0</v>
      </c>
      <c r="AB1072">
        <f>IF(AND(vp.tbl[[#This Row],[CrudeType]]="Crude",vp.tbl[[#This Row],[Dens]]&gt;825,vp.tbl[[#This Row],[Dens]]&lt;=870,vp.tbl[[#This Row],[Sulf]]&gt;0.5,vp.tbl[[#This Row],[Unknown]]=0),1,0)</f>
        <v>0</v>
      </c>
      <c r="AC1072">
        <f>IF(AND(vp.tbl[[#This Row],[CrudeType]]="Crude",vp.tbl[[#This Row],[Dens]]&gt;825,vp.tbl[[#This Row],[Dens]]&lt;=900,vp.tbl[[#This Row],[Sulf]]&lt;=0.5,vp.tbl[[#This Row],[Unknown]]=0),1,0)</f>
        <v>0</v>
      </c>
      <c r="AD1072">
        <f>IF(AND(vp.tbl[[#This Row],[CrudeType]]="Crude",vp.tbl[[#This Row],[Dens]]&gt;870,vp.tbl[[#This Row],[Dens]]&lt;=900,vp.tbl[[#This Row],[Sulf]]&gt;0.5,vp.tbl[[#This Row],[Unknown]]=0),1,0)</f>
        <v>0</v>
      </c>
      <c r="AE1072">
        <f>IF(AND(vp.tbl[[#This Row],[CrudeType]]="Crude",vp.tbl[[#This Row],[Dens]]&gt;900,vp.tbl[[#This Row],[Sulf]]&lt;=0.5,vp.tbl[[#This Row],[Unknown]]=0),1,0)</f>
        <v>0</v>
      </c>
      <c r="AF1072">
        <f>IF(AND(vp.tbl[[#This Row],[CrudeType]]="Crude",vp.tbl[[#This Row],[Dens]]&gt;900,vp.tbl[[#This Row],[Sulf]]&lt;=0.5,vp.tbl[[#This Row],[Unknown]]=0),1,0)</f>
        <v>0</v>
      </c>
      <c r="AG1072" t="str">
        <f>INDEX(vp.tbl[[#Headers],[Unknown]:[Heavy_SW]],MATCH(1,vp.tbl[[#This Row],[Unknown]:[Heavy_SW]],0))</f>
        <v>Light_LSB</v>
      </c>
      <c r="AH1072" t="e">
        <f>INDEX([1]!crudeBD.lkup[Number],MATCH(vp.tbl[[#This Row],[Crude_Breakdown]],[1]!crudeBD.lkup[Crude Breakdown],0))</f>
        <v>#REF!</v>
      </c>
      <c r="AI1072">
        <f>MONTH(vp.tbl[[#This Row],[SDate]])</f>
        <v>3</v>
      </c>
      <c r="AJ1072" s="5">
        <f>IFERROR(vp.tbl[[#This Row],[Sulf]]*vp.tbl[[#This Row],[Net Dens]],"")</f>
        <v>10631823.471866999</v>
      </c>
      <c r="AK1072" s="5">
        <f>IFERROR(vp.tbl[[#This Row],[Dens]]*vp.tbl[[#This Row],[VolumeM3]],"")</f>
        <v>17749287.932999998</v>
      </c>
      <c r="AL1072" s="5">
        <f>IFERROR(vp.tbl[[#This Row],[VP]]*vp.tbl[[#This Row],[VolumeM3]],"")</f>
        <v>1688662.5093</v>
      </c>
      <c r="AM1072" s="4">
        <f>IFERROR((vp.tbl[[#This Row],[VP]]-INDEX(crudeBD.lkup.complete[Mean_VP],MATCH(vp.tbl[[#This Row],[Crude_Breakdown]],crudeBD.lkup.complete[Crude Breakdown],0)))^2,"")</f>
        <v>175.46143207567312</v>
      </c>
      <c r="AN1072" s="4">
        <f>IFERROR((vp.tbl[[#This Row],[Dens]]-INDEX(crudeBD.lkup.complete[Mean_Dens],MATCH(vp.tbl[[#This Row],[Crude_Breakdown]],crudeBD.lkup.complete[Crude Breakdown],0)))^2,"")</f>
        <v>20.099353389783285</v>
      </c>
      <c r="AO1072" s="4">
        <f>IFERROR((vp.tbl[[#This Row],[Sulf]]-INDEX(crudeBD.lkup.complete[Mean_Sulf],MATCH(vp.tbl[[#This Row],[Crude_Breakdown]],crudeBD.lkup.complete[Crude Breakdown],0)))^2,"")</f>
        <v>0.10495731794466394</v>
      </c>
      <c r="AP1072">
        <f>IF(AND(vp.tbl[[#This Row],[SDate]]&gt;=DATE(YEAR(vp.tbl[[#This Row],[SDate]]),5,1),vp.tbl[[#This Row],[SDate]]&lt;=DATE(YEAR(vp.tbl[[#This Row],[SDate]]),9,15)),1,0)</f>
        <v>0</v>
      </c>
      <c r="AQ1072" s="15">
        <f>IF(vp.tbl[[#This Row],[SDate]]&lt;DATE(2016,12,1),0,1)</f>
        <v>1</v>
      </c>
    </row>
    <row r="1073" spans="1:43" x14ac:dyDescent="0.25">
      <c r="A1073">
        <v>1072</v>
      </c>
      <c r="B1073" t="s">
        <v>49</v>
      </c>
      <c r="C1073" t="s">
        <v>49</v>
      </c>
      <c r="D1073" t="s">
        <v>50</v>
      </c>
      <c r="F1073" s="1">
        <v>42816</v>
      </c>
      <c r="G1073" s="2">
        <v>78.099999999999994</v>
      </c>
      <c r="H1073" s="2">
        <v>2.903</v>
      </c>
      <c r="I1073" s="2">
        <v>2.903</v>
      </c>
      <c r="J1073" s="2">
        <v>2</v>
      </c>
      <c r="K1073" s="2">
        <v>2</v>
      </c>
      <c r="L1073" s="2">
        <v>870.9</v>
      </c>
      <c r="M1073" s="2">
        <v>870.9</v>
      </c>
      <c r="N1073" s="2">
        <f ca="1">INDEX(INDIRECT(_xlfn.CONCAT("weather.tbl[",N$1,"]")),MATCH(vp.tbl[[#This Row],[SDate]],weather.tbl[Date],0))</f>
        <v>-4.8666666666666663</v>
      </c>
      <c r="O1073" s="2">
        <f ca="1">INDEX(INDIRECT(_xlfn.CONCAT("weather.tbl[",O$1,"]")),MATCH(vp.tbl[[#This Row],[SDate]],weather.tbl[Date],0))</f>
        <v>-2.2428571428571433</v>
      </c>
      <c r="P1073" s="2">
        <f ca="1">INDEX(INDIRECT(_xlfn.CONCAT("weather.tbl[",P$1,"]")),MATCH(vp.tbl[[#This Row],[SDate]],weather.tbl[Date],0))</f>
        <v>-2.9</v>
      </c>
      <c r="Q1073" s="2">
        <f ca="1">INDEX(INDIRECT(_xlfn.CONCAT("weather.tbl[",Q$1,"]")),MATCH(vp.tbl[[#This Row],[SDate]],weather.tbl[Date],0))</f>
        <v>-2.6</v>
      </c>
      <c r="R1073" s="2">
        <f ca="1">INDEX(INDIRECT(_xlfn.CONCAT("weather.tbl[",R$1,"]")),MATCH(vp.tbl[[#This Row],[SDate]],weather.tbl[Date],0))</f>
        <v>-11.8</v>
      </c>
      <c r="S1073" s="2">
        <f ca="1">INDEX(INDIRECT(_xlfn.CONCAT("weather.tbl[",S$1,"]")),MATCH(vp.tbl[[#This Row],[SDate]],weather.tbl[Date],0))</f>
        <v>-1.2</v>
      </c>
      <c r="T1073" s="2">
        <f ca="1">INDEX(INDIRECT(_xlfn.CONCAT("weather.tbl[",T$1,"]")),MATCH(vp.tbl[[#This Row],[SDate]],weather.tbl[Date],0))</f>
        <v>-6.2</v>
      </c>
      <c r="U1073" s="2">
        <f ca="1">INDEX(INDIRECT(_xlfn.CONCAT("weather.tbl[",U$1,"]")),MATCH(vp.tbl[[#This Row],[SDate]],weather.tbl[Date],0))</f>
        <v>-4.5</v>
      </c>
      <c r="V1073" s="2">
        <v>6292.7340000000004</v>
      </c>
      <c r="W1073" t="s">
        <v>48</v>
      </c>
      <c r="X1073">
        <f>IF(OR(vp.tbl[[#This Row],[Sulf]]="",vp.tbl[[#This Row],[Dens]]=""),1,0)</f>
        <v>0</v>
      </c>
      <c r="Y1073">
        <f>IF(vp.tbl[[#This Row],[CrudeType]]="C5+",1,0)</f>
        <v>0</v>
      </c>
      <c r="Z1073">
        <f>IF(AND(vp.tbl[[#This Row],[CrudeType]]="Crude",vp.tbl[[#This Row],[Dens]]&lt;=825,vp.tbl[[#This Row],[Sulf]]&gt;0.5,vp.tbl[[#This Row],[Unknown]]=0),1,0)</f>
        <v>0</v>
      </c>
      <c r="AA1073">
        <f>IF(AND(vp.tbl[[#This Row],[CrudeType]]="Crude",vp.tbl[[#This Row],[Dens]]&lt;=825,vp.tbl[[#This Row],[Sulf]]&lt;=0.5,vp.tbl[[#This Row],[Unknown]]=0),1,0)</f>
        <v>0</v>
      </c>
      <c r="AB1073">
        <f>IF(AND(vp.tbl[[#This Row],[CrudeType]]="Crude",vp.tbl[[#This Row],[Dens]]&gt;825,vp.tbl[[#This Row],[Dens]]&lt;=870,vp.tbl[[#This Row],[Sulf]]&gt;0.5,vp.tbl[[#This Row],[Unknown]]=0),1,0)</f>
        <v>0</v>
      </c>
      <c r="AC1073">
        <f>IF(AND(vp.tbl[[#This Row],[CrudeType]]="Crude",vp.tbl[[#This Row],[Dens]]&gt;825,vp.tbl[[#This Row],[Dens]]&lt;=900,vp.tbl[[#This Row],[Sulf]]&lt;=0.5,vp.tbl[[#This Row],[Unknown]]=0),1,0)</f>
        <v>0</v>
      </c>
      <c r="AD1073">
        <f>IF(AND(vp.tbl[[#This Row],[CrudeType]]="Crude",vp.tbl[[#This Row],[Dens]]&gt;870,vp.tbl[[#This Row],[Dens]]&lt;=900,vp.tbl[[#This Row],[Sulf]]&gt;0.5,vp.tbl[[#This Row],[Unknown]]=0),1,0)</f>
        <v>1</v>
      </c>
      <c r="AE1073">
        <f>IF(AND(vp.tbl[[#This Row],[CrudeType]]="Crude",vp.tbl[[#This Row],[Dens]]&gt;900,vp.tbl[[#This Row],[Sulf]]&lt;=0.5,vp.tbl[[#This Row],[Unknown]]=0),1,0)</f>
        <v>0</v>
      </c>
      <c r="AF1073">
        <f>IF(AND(vp.tbl[[#This Row],[CrudeType]]="Crude",vp.tbl[[#This Row],[Dens]]&gt;900,vp.tbl[[#This Row],[Sulf]]&lt;=0.5,vp.tbl[[#This Row],[Unknown]]=0),1,0)</f>
        <v>0</v>
      </c>
      <c r="AG1073" t="str">
        <f>INDEX(vp.tbl[[#Headers],[Unknown]:[Heavy_SW]],MATCH(1,vp.tbl[[#This Row],[Unknown]:[Heavy_SW]],0))</f>
        <v>Midale</v>
      </c>
      <c r="AH1073" t="e">
        <f>INDEX([1]!crudeBD.lkup[Number],MATCH(vp.tbl[[#This Row],[Crude_Breakdown]],[1]!crudeBD.lkup[Crude Breakdown],0))</f>
        <v>#REF!</v>
      </c>
      <c r="AI1073">
        <f>MONTH(vp.tbl[[#This Row],[SDate]])</f>
        <v>3</v>
      </c>
      <c r="AJ1073" s="5">
        <f>IFERROR(vp.tbl[[#This Row],[Sulf]]*vp.tbl[[#This Row],[Net Dens]],"")</f>
        <v>15909432.943861799</v>
      </c>
      <c r="AK1073" s="5">
        <f>IFERROR(vp.tbl[[#This Row],[Dens]]*vp.tbl[[#This Row],[VolumeM3]],"")</f>
        <v>5480342.0405999999</v>
      </c>
      <c r="AL1073" s="5">
        <f>IFERROR(vp.tbl[[#This Row],[VP]]*vp.tbl[[#This Row],[VolumeM3]],"")</f>
        <v>491462.52539999998</v>
      </c>
      <c r="AM1073" s="4">
        <f>IFERROR((vp.tbl[[#This Row],[VP]]-INDEX(crudeBD.lkup.complete[Mean_VP],MATCH(vp.tbl[[#This Row],[Crude_Breakdown]],crudeBD.lkup.complete[Crude Breakdown],0)))^2,"")</f>
        <v>97.252019140551326</v>
      </c>
      <c r="AN1073" s="4">
        <f>IFERROR((vp.tbl[[#This Row],[Dens]]-INDEX(crudeBD.lkup.complete[Mean_Dens],MATCH(vp.tbl[[#This Row],[Crude_Breakdown]],crudeBD.lkup.complete[Crude Breakdown],0)))^2,"")</f>
        <v>44.249832989300081</v>
      </c>
      <c r="AO1073" s="4">
        <f>IFERROR((vp.tbl[[#This Row],[Sulf]]-INDEX(crudeBD.lkup.complete[Mean_Sulf],MATCH(vp.tbl[[#This Row],[Crude_Breakdown]],crudeBD.lkup.complete[Crude Breakdown],0)))^2,"")</f>
        <v>0.23781214199454057</v>
      </c>
      <c r="AP1073">
        <f>IF(AND(vp.tbl[[#This Row],[SDate]]&gt;=DATE(YEAR(vp.tbl[[#This Row],[SDate]]),5,1),vp.tbl[[#This Row],[SDate]]&lt;=DATE(YEAR(vp.tbl[[#This Row],[SDate]]),9,15)),1,0)</f>
        <v>0</v>
      </c>
      <c r="AQ1073" s="15">
        <f>IF(vp.tbl[[#This Row],[SDate]]&lt;DATE(2016,12,1),0,1)</f>
        <v>1</v>
      </c>
    </row>
    <row r="1074" spans="1:43" x14ac:dyDescent="0.25">
      <c r="A1074">
        <v>1073</v>
      </c>
      <c r="B1074" t="s">
        <v>62</v>
      </c>
      <c r="C1074" t="s">
        <v>62</v>
      </c>
      <c r="D1074" t="s">
        <v>83</v>
      </c>
      <c r="F1074" s="1">
        <v>42816</v>
      </c>
      <c r="G1074" s="2">
        <v>91</v>
      </c>
      <c r="H1074" s="2"/>
      <c r="I1074" s="2">
        <v>0.19</v>
      </c>
      <c r="J1074" s="2">
        <v>0.2</v>
      </c>
      <c r="K1074" s="2">
        <v>2</v>
      </c>
      <c r="L1074" s="2">
        <v>807.2</v>
      </c>
      <c r="M1074" s="2">
        <v>807.2</v>
      </c>
      <c r="N1074" s="2">
        <f ca="1">INDEX(INDIRECT(_xlfn.CONCAT("weather.tbl[",N$1,"]")),MATCH(vp.tbl[[#This Row],[SDate]],weather.tbl[Date],0))</f>
        <v>-4.8666666666666663</v>
      </c>
      <c r="O1074" s="2">
        <f ca="1">INDEX(INDIRECT(_xlfn.CONCAT("weather.tbl[",O$1,"]")),MATCH(vp.tbl[[#This Row],[SDate]],weather.tbl[Date],0))</f>
        <v>-2.2428571428571433</v>
      </c>
      <c r="P1074" s="2">
        <f ca="1">INDEX(INDIRECT(_xlfn.CONCAT("weather.tbl[",P$1,"]")),MATCH(vp.tbl[[#This Row],[SDate]],weather.tbl[Date],0))</f>
        <v>-2.9</v>
      </c>
      <c r="Q1074" s="2">
        <f ca="1">INDEX(INDIRECT(_xlfn.CONCAT("weather.tbl[",Q$1,"]")),MATCH(vp.tbl[[#This Row],[SDate]],weather.tbl[Date],0))</f>
        <v>-2.6</v>
      </c>
      <c r="R1074" s="2">
        <f ca="1">INDEX(INDIRECT(_xlfn.CONCAT("weather.tbl[",R$1,"]")),MATCH(vp.tbl[[#This Row],[SDate]],weather.tbl[Date],0))</f>
        <v>-11.8</v>
      </c>
      <c r="S1074" s="2">
        <f ca="1">INDEX(INDIRECT(_xlfn.CONCAT("weather.tbl[",S$1,"]")),MATCH(vp.tbl[[#This Row],[SDate]],weather.tbl[Date],0))</f>
        <v>-1.2</v>
      </c>
      <c r="T1074" s="2">
        <f ca="1">INDEX(INDIRECT(_xlfn.CONCAT("weather.tbl[",T$1,"]")),MATCH(vp.tbl[[#This Row],[SDate]],weather.tbl[Date],0))</f>
        <v>-6.2</v>
      </c>
      <c r="U1074" s="2">
        <f ca="1">INDEX(INDIRECT(_xlfn.CONCAT("weather.tbl[",U$1,"]")),MATCH(vp.tbl[[#This Row],[SDate]],weather.tbl[Date],0))</f>
        <v>-4.5</v>
      </c>
      <c r="V1074" s="2">
        <v>6312.9459999999999</v>
      </c>
      <c r="W1074" t="s">
        <v>48</v>
      </c>
      <c r="X1074">
        <f>IF(OR(vp.tbl[[#This Row],[Sulf]]="",vp.tbl[[#This Row],[Dens]]=""),1,0)</f>
        <v>0</v>
      </c>
      <c r="Y1074">
        <f>IF(vp.tbl[[#This Row],[CrudeType]]="C5+",1,0)</f>
        <v>0</v>
      </c>
      <c r="Z1074">
        <f>IF(AND(vp.tbl[[#This Row],[CrudeType]]="Crude",vp.tbl[[#This Row],[Dens]]&lt;=825,vp.tbl[[#This Row],[Sulf]]&gt;0.5,vp.tbl[[#This Row],[Unknown]]=0),1,0)</f>
        <v>0</v>
      </c>
      <c r="AA1074">
        <f>IF(AND(vp.tbl[[#This Row],[CrudeType]]="Crude",vp.tbl[[#This Row],[Dens]]&lt;=825,vp.tbl[[#This Row],[Sulf]]&lt;=0.5,vp.tbl[[#This Row],[Unknown]]=0),1,0)</f>
        <v>1</v>
      </c>
      <c r="AB1074">
        <f>IF(AND(vp.tbl[[#This Row],[CrudeType]]="Crude",vp.tbl[[#This Row],[Dens]]&gt;825,vp.tbl[[#This Row],[Dens]]&lt;=870,vp.tbl[[#This Row],[Sulf]]&gt;0.5,vp.tbl[[#This Row],[Unknown]]=0),1,0)</f>
        <v>0</v>
      </c>
      <c r="AC1074">
        <f>IF(AND(vp.tbl[[#This Row],[CrudeType]]="Crude",vp.tbl[[#This Row],[Dens]]&gt;825,vp.tbl[[#This Row],[Dens]]&lt;=900,vp.tbl[[#This Row],[Sulf]]&lt;=0.5,vp.tbl[[#This Row],[Unknown]]=0),1,0)</f>
        <v>0</v>
      </c>
      <c r="AD1074">
        <f>IF(AND(vp.tbl[[#This Row],[CrudeType]]="Crude",vp.tbl[[#This Row],[Dens]]&gt;870,vp.tbl[[#This Row],[Dens]]&lt;=900,vp.tbl[[#This Row],[Sulf]]&gt;0.5,vp.tbl[[#This Row],[Unknown]]=0),1,0)</f>
        <v>0</v>
      </c>
      <c r="AE1074">
        <f>IF(AND(vp.tbl[[#This Row],[CrudeType]]="Crude",vp.tbl[[#This Row],[Dens]]&gt;900,vp.tbl[[#This Row],[Sulf]]&lt;=0.5,vp.tbl[[#This Row],[Unknown]]=0),1,0)</f>
        <v>0</v>
      </c>
      <c r="AF1074">
        <f>IF(AND(vp.tbl[[#This Row],[CrudeType]]="Crude",vp.tbl[[#This Row],[Dens]]&gt;900,vp.tbl[[#This Row],[Sulf]]&lt;=0.5,vp.tbl[[#This Row],[Unknown]]=0),1,0)</f>
        <v>0</v>
      </c>
      <c r="AG1074" t="str">
        <f>INDEX(vp.tbl[[#Headers],[Unknown]:[Heavy_SW]],MATCH(1,vp.tbl[[#This Row],[Unknown]:[Heavy_SW]],0))</f>
        <v>Light_SW</v>
      </c>
      <c r="AH1074" t="e">
        <f>INDEX([1]!crudeBD.lkup[Number],MATCH(vp.tbl[[#This Row],[Crude_Breakdown]],[1]!crudeBD.lkup[Crude Breakdown],0))</f>
        <v>#REF!</v>
      </c>
      <c r="AI1074">
        <f>MONTH(vp.tbl[[#This Row],[SDate]])</f>
        <v>3</v>
      </c>
      <c r="AJ1074" s="5">
        <f>IFERROR(vp.tbl[[#This Row],[Sulf]]*vp.tbl[[#This Row],[Net Dens]],"")</f>
        <v>968203.90212800016</v>
      </c>
      <c r="AK1074" s="5">
        <f>IFERROR(vp.tbl[[#This Row],[Dens]]*vp.tbl[[#This Row],[VolumeM3]],"")</f>
        <v>5095810.0112000005</v>
      </c>
      <c r="AL1074" s="5">
        <f>IFERROR(vp.tbl[[#This Row],[VP]]*vp.tbl[[#This Row],[VolumeM3]],"")</f>
        <v>574478.08600000001</v>
      </c>
      <c r="AM1074" s="4">
        <f>IFERROR((vp.tbl[[#This Row],[VP]]-INDEX(crudeBD.lkup.complete[Mean_VP],MATCH(vp.tbl[[#This Row],[Crude_Breakdown]],crudeBD.lkup.complete[Crude Breakdown],0)))^2,"")</f>
        <v>2.4034722237734156</v>
      </c>
      <c r="AN1074" s="4">
        <f>IFERROR((vp.tbl[[#This Row],[Dens]]-INDEX(crudeBD.lkup.complete[Mean_Dens],MATCH(vp.tbl[[#This Row],[Crude_Breakdown]],crudeBD.lkup.complete[Crude Breakdown],0)))^2,"")</f>
        <v>1.2354283771801491</v>
      </c>
      <c r="AO1074" s="4">
        <f>IFERROR((vp.tbl[[#This Row],[Sulf]]-INDEX(crudeBD.lkup.complete[Mean_Sulf],MATCH(vp.tbl[[#This Row],[Crude_Breakdown]],crudeBD.lkup.complete[Crude Breakdown],0)))^2,"")</f>
        <v>2.1383051628646554E-3</v>
      </c>
      <c r="AP1074">
        <f>IF(AND(vp.tbl[[#This Row],[SDate]]&gt;=DATE(YEAR(vp.tbl[[#This Row],[SDate]]),5,1),vp.tbl[[#This Row],[SDate]]&lt;=DATE(YEAR(vp.tbl[[#This Row],[SDate]]),9,15)),1,0)</f>
        <v>0</v>
      </c>
      <c r="AQ1074" s="15">
        <f>IF(vp.tbl[[#This Row],[SDate]]&lt;DATE(2016,12,1),0,1)</f>
        <v>1</v>
      </c>
    </row>
    <row r="1075" spans="1:43" x14ac:dyDescent="0.25">
      <c r="A1075">
        <v>1074</v>
      </c>
      <c r="B1075" t="s">
        <v>51</v>
      </c>
      <c r="C1075" t="s">
        <v>51</v>
      </c>
      <c r="D1075" t="s">
        <v>71</v>
      </c>
      <c r="F1075" s="1">
        <v>42816</v>
      </c>
      <c r="G1075" s="2">
        <v>94</v>
      </c>
      <c r="H1075" s="2"/>
      <c r="I1075" s="2">
        <v>1.62</v>
      </c>
      <c r="J1075" s="2">
        <v>13</v>
      </c>
      <c r="K1075" s="2">
        <v>4</v>
      </c>
      <c r="L1075" s="2">
        <v>810.1</v>
      </c>
      <c r="M1075" s="2">
        <v>810.1</v>
      </c>
      <c r="N1075" s="2">
        <f ca="1">INDEX(INDIRECT(_xlfn.CONCAT("weather.tbl[",N$1,"]")),MATCH(vp.tbl[[#This Row],[SDate]],weather.tbl[Date],0))</f>
        <v>-4.8666666666666663</v>
      </c>
      <c r="O1075" s="2">
        <f ca="1">INDEX(INDIRECT(_xlfn.CONCAT("weather.tbl[",O$1,"]")),MATCH(vp.tbl[[#This Row],[SDate]],weather.tbl[Date],0))</f>
        <v>-2.2428571428571433</v>
      </c>
      <c r="P1075" s="2">
        <f ca="1">INDEX(INDIRECT(_xlfn.CONCAT("weather.tbl[",P$1,"]")),MATCH(vp.tbl[[#This Row],[SDate]],weather.tbl[Date],0))</f>
        <v>-2.9</v>
      </c>
      <c r="Q1075" s="2">
        <f ca="1">INDEX(INDIRECT(_xlfn.CONCAT("weather.tbl[",Q$1,"]")),MATCH(vp.tbl[[#This Row],[SDate]],weather.tbl[Date],0))</f>
        <v>-2.6</v>
      </c>
      <c r="R1075" s="2">
        <f ca="1">INDEX(INDIRECT(_xlfn.CONCAT("weather.tbl[",R$1,"]")),MATCH(vp.tbl[[#This Row],[SDate]],weather.tbl[Date],0))</f>
        <v>-11.8</v>
      </c>
      <c r="S1075" s="2">
        <f ca="1">INDEX(INDIRECT(_xlfn.CONCAT("weather.tbl[",S$1,"]")),MATCH(vp.tbl[[#This Row],[SDate]],weather.tbl[Date],0))</f>
        <v>-1.2</v>
      </c>
      <c r="T1075" s="2">
        <f ca="1">INDEX(INDIRECT(_xlfn.CONCAT("weather.tbl[",T$1,"]")),MATCH(vp.tbl[[#This Row],[SDate]],weather.tbl[Date],0))</f>
        <v>-6.2</v>
      </c>
      <c r="U1075" s="2">
        <f ca="1">INDEX(INDIRECT(_xlfn.CONCAT("weather.tbl[",U$1,"]")),MATCH(vp.tbl[[#This Row],[SDate]],weather.tbl[Date],0))</f>
        <v>-4.5</v>
      </c>
      <c r="V1075" s="2">
        <v>7995.5450000000001</v>
      </c>
      <c r="W1075" t="s">
        <v>48</v>
      </c>
      <c r="X1075">
        <f>IF(OR(vp.tbl[[#This Row],[Sulf]]="",vp.tbl[[#This Row],[Dens]]=""),1,0)</f>
        <v>0</v>
      </c>
      <c r="Y1075">
        <f>IF(vp.tbl[[#This Row],[CrudeType]]="C5+",1,0)</f>
        <v>0</v>
      </c>
      <c r="Z1075">
        <f>IF(AND(vp.tbl[[#This Row],[CrudeType]]="Crude",vp.tbl[[#This Row],[Dens]]&lt;=825,vp.tbl[[#This Row],[Sulf]]&gt;0.5,vp.tbl[[#This Row],[Unknown]]=0),1,0)</f>
        <v>1</v>
      </c>
      <c r="AA1075">
        <f>IF(AND(vp.tbl[[#This Row],[CrudeType]]="Crude",vp.tbl[[#This Row],[Dens]]&lt;=825,vp.tbl[[#This Row],[Sulf]]&lt;=0.5,vp.tbl[[#This Row],[Unknown]]=0),1,0)</f>
        <v>0</v>
      </c>
      <c r="AB1075">
        <f>IF(AND(vp.tbl[[#This Row],[CrudeType]]="Crude",vp.tbl[[#This Row],[Dens]]&gt;825,vp.tbl[[#This Row],[Dens]]&lt;=870,vp.tbl[[#This Row],[Sulf]]&gt;0.5,vp.tbl[[#This Row],[Unknown]]=0),1,0)</f>
        <v>0</v>
      </c>
      <c r="AC1075">
        <f>IF(AND(vp.tbl[[#This Row],[CrudeType]]="Crude",vp.tbl[[#This Row],[Dens]]&gt;825,vp.tbl[[#This Row],[Dens]]&lt;=900,vp.tbl[[#This Row],[Sulf]]&lt;=0.5,vp.tbl[[#This Row],[Unknown]]=0),1,0)</f>
        <v>0</v>
      </c>
      <c r="AD1075">
        <f>IF(AND(vp.tbl[[#This Row],[CrudeType]]="Crude",vp.tbl[[#This Row],[Dens]]&gt;870,vp.tbl[[#This Row],[Dens]]&lt;=900,vp.tbl[[#This Row],[Sulf]]&gt;0.5,vp.tbl[[#This Row],[Unknown]]=0),1,0)</f>
        <v>0</v>
      </c>
      <c r="AE1075">
        <f>IF(AND(vp.tbl[[#This Row],[CrudeType]]="Crude",vp.tbl[[#This Row],[Dens]]&gt;900,vp.tbl[[#This Row],[Sulf]]&lt;=0.5,vp.tbl[[#This Row],[Unknown]]=0),1,0)</f>
        <v>0</v>
      </c>
      <c r="AF1075">
        <f>IF(AND(vp.tbl[[#This Row],[CrudeType]]="Crude",vp.tbl[[#This Row],[Dens]]&gt;900,vp.tbl[[#This Row],[Sulf]]&lt;=0.5,vp.tbl[[#This Row],[Unknown]]=0),1,0)</f>
        <v>0</v>
      </c>
      <c r="AG1075" t="str">
        <f>INDEX(vp.tbl[[#Headers],[Unknown]:[Heavy_SW]],MATCH(1,vp.tbl[[#This Row],[Unknown]:[Heavy_SW]],0))</f>
        <v>Light_LSB</v>
      </c>
      <c r="AH1075" t="e">
        <f>INDEX([1]!crudeBD.lkup[Number],MATCH(vp.tbl[[#This Row],[Crude_Breakdown]],[1]!crudeBD.lkup[Crude Breakdown],0))</f>
        <v>#REF!</v>
      </c>
      <c r="AI1075">
        <f>MONTH(vp.tbl[[#This Row],[SDate]])</f>
        <v>3</v>
      </c>
      <c r="AJ1075" s="5">
        <f>IFERROR(vp.tbl[[#This Row],[Sulf]]*vp.tbl[[#This Row],[Net Dens]],"")</f>
        <v>10493049.42729</v>
      </c>
      <c r="AK1075" s="5">
        <f>IFERROR(vp.tbl[[#This Row],[Dens]]*vp.tbl[[#This Row],[VolumeM3]],"")</f>
        <v>6477191.0044999998</v>
      </c>
      <c r="AL1075" s="5">
        <f>IFERROR(vp.tbl[[#This Row],[VP]]*vp.tbl[[#This Row],[VolumeM3]],"")</f>
        <v>751581.23</v>
      </c>
      <c r="AM1075" s="4">
        <f>IFERROR((vp.tbl[[#This Row],[VP]]-INDEX(crudeBD.lkup.complete[Mean_VP],MATCH(vp.tbl[[#This Row],[Crude_Breakdown]],crudeBD.lkup.complete[Crude Breakdown],0)))^2,"")</f>
        <v>6.0212052715483644</v>
      </c>
      <c r="AN1075" s="4">
        <f>IFERROR((vp.tbl[[#This Row],[Dens]]-INDEX(crudeBD.lkup.complete[Mean_Dens],MATCH(vp.tbl[[#This Row],[Crude_Breakdown]],crudeBD.lkup.complete[Crude Breakdown],0)))^2,"")</f>
        <v>70.842013183589231</v>
      </c>
      <c r="AO1075" s="4">
        <f>IFERROR((vp.tbl[[#This Row],[Sulf]]-INDEX(crudeBD.lkup.complete[Mean_Sulf],MATCH(vp.tbl[[#This Row],[Crude_Breakdown]],crudeBD.lkup.complete[Crude Breakdown],0)))^2,"")</f>
        <v>0.48584919210274019</v>
      </c>
      <c r="AP1075">
        <f>IF(AND(vp.tbl[[#This Row],[SDate]]&gt;=DATE(YEAR(vp.tbl[[#This Row],[SDate]]),5,1),vp.tbl[[#This Row],[SDate]]&lt;=DATE(YEAR(vp.tbl[[#This Row],[SDate]]),9,15)),1,0)</f>
        <v>0</v>
      </c>
      <c r="AQ1075" s="15">
        <f>IF(vp.tbl[[#This Row],[SDate]]&lt;DATE(2016,12,1),0,1)</f>
        <v>1</v>
      </c>
    </row>
    <row r="1076" spans="1:43" x14ac:dyDescent="0.25">
      <c r="A1076">
        <v>1075</v>
      </c>
      <c r="B1076" t="s">
        <v>51</v>
      </c>
      <c r="C1076" t="s">
        <v>51</v>
      </c>
      <c r="D1076" t="s">
        <v>58</v>
      </c>
      <c r="F1076" s="1">
        <v>42816</v>
      </c>
      <c r="G1076" s="2">
        <v>92</v>
      </c>
      <c r="H1076" s="2"/>
      <c r="I1076" s="2">
        <v>1.31</v>
      </c>
      <c r="J1076" s="2">
        <v>27</v>
      </c>
      <c r="K1076" s="2">
        <v>2</v>
      </c>
      <c r="L1076" s="2">
        <v>828.5</v>
      </c>
      <c r="M1076" s="2">
        <v>828.5</v>
      </c>
      <c r="N1076" s="2">
        <f ca="1">INDEX(INDIRECT(_xlfn.CONCAT("weather.tbl[",N$1,"]")),MATCH(vp.tbl[[#This Row],[SDate]],weather.tbl[Date],0))</f>
        <v>-4.8666666666666663</v>
      </c>
      <c r="O1076" s="2">
        <f ca="1">INDEX(INDIRECT(_xlfn.CONCAT("weather.tbl[",O$1,"]")),MATCH(vp.tbl[[#This Row],[SDate]],weather.tbl[Date],0))</f>
        <v>-2.2428571428571433</v>
      </c>
      <c r="P1076" s="2">
        <f ca="1">INDEX(INDIRECT(_xlfn.CONCAT("weather.tbl[",P$1,"]")),MATCH(vp.tbl[[#This Row],[SDate]],weather.tbl[Date],0))</f>
        <v>-2.9</v>
      </c>
      <c r="Q1076" s="2">
        <f ca="1">INDEX(INDIRECT(_xlfn.CONCAT("weather.tbl[",Q$1,"]")),MATCH(vp.tbl[[#This Row],[SDate]],weather.tbl[Date],0))</f>
        <v>-2.6</v>
      </c>
      <c r="R1076" s="2">
        <f ca="1">INDEX(INDIRECT(_xlfn.CONCAT("weather.tbl[",R$1,"]")),MATCH(vp.tbl[[#This Row],[SDate]],weather.tbl[Date],0))</f>
        <v>-11.8</v>
      </c>
      <c r="S1076" s="2">
        <f ca="1">INDEX(INDIRECT(_xlfn.CONCAT("weather.tbl[",S$1,"]")),MATCH(vp.tbl[[#This Row],[SDate]],weather.tbl[Date],0))</f>
        <v>-1.2</v>
      </c>
      <c r="T1076" s="2">
        <f ca="1">INDEX(INDIRECT(_xlfn.CONCAT("weather.tbl[",T$1,"]")),MATCH(vp.tbl[[#This Row],[SDate]],weather.tbl[Date],0))</f>
        <v>-6.2</v>
      </c>
      <c r="U1076" s="2">
        <f ca="1">INDEX(INDIRECT(_xlfn.CONCAT("weather.tbl[",U$1,"]")),MATCH(vp.tbl[[#This Row],[SDate]],weather.tbl[Date],0))</f>
        <v>-4.5</v>
      </c>
      <c r="V1076" s="2">
        <v>6071.2709999999997</v>
      </c>
      <c r="W1076" t="s">
        <v>48</v>
      </c>
      <c r="X1076">
        <f>IF(OR(vp.tbl[[#This Row],[Sulf]]="",vp.tbl[[#This Row],[Dens]]=""),1,0)</f>
        <v>0</v>
      </c>
      <c r="Y1076">
        <f>IF(vp.tbl[[#This Row],[CrudeType]]="C5+",1,0)</f>
        <v>0</v>
      </c>
      <c r="Z1076">
        <f>IF(AND(vp.tbl[[#This Row],[CrudeType]]="Crude",vp.tbl[[#This Row],[Dens]]&lt;=825,vp.tbl[[#This Row],[Sulf]]&gt;0.5,vp.tbl[[#This Row],[Unknown]]=0),1,0)</f>
        <v>0</v>
      </c>
      <c r="AA1076">
        <f>IF(AND(vp.tbl[[#This Row],[CrudeType]]="Crude",vp.tbl[[#This Row],[Dens]]&lt;=825,vp.tbl[[#This Row],[Sulf]]&lt;=0.5,vp.tbl[[#This Row],[Unknown]]=0),1,0)</f>
        <v>0</v>
      </c>
      <c r="AB1076">
        <f>IF(AND(vp.tbl[[#This Row],[CrudeType]]="Crude",vp.tbl[[#This Row],[Dens]]&gt;825,vp.tbl[[#This Row],[Dens]]&lt;=870,vp.tbl[[#This Row],[Sulf]]&gt;0.5,vp.tbl[[#This Row],[Unknown]]=0),1,0)</f>
        <v>1</v>
      </c>
      <c r="AC1076">
        <f>IF(AND(vp.tbl[[#This Row],[CrudeType]]="Crude",vp.tbl[[#This Row],[Dens]]&gt;825,vp.tbl[[#This Row],[Dens]]&lt;=900,vp.tbl[[#This Row],[Sulf]]&lt;=0.5,vp.tbl[[#This Row],[Unknown]]=0),1,0)</f>
        <v>0</v>
      </c>
      <c r="AD1076">
        <f>IF(AND(vp.tbl[[#This Row],[CrudeType]]="Crude",vp.tbl[[#This Row],[Dens]]&gt;870,vp.tbl[[#This Row],[Dens]]&lt;=900,vp.tbl[[#This Row],[Sulf]]&gt;0.5,vp.tbl[[#This Row],[Unknown]]=0),1,0)</f>
        <v>0</v>
      </c>
      <c r="AE1076">
        <f>IF(AND(vp.tbl[[#This Row],[CrudeType]]="Crude",vp.tbl[[#This Row],[Dens]]&gt;900,vp.tbl[[#This Row],[Sulf]]&lt;=0.5,vp.tbl[[#This Row],[Unknown]]=0),1,0)</f>
        <v>0</v>
      </c>
      <c r="AF1076">
        <f>IF(AND(vp.tbl[[#This Row],[CrudeType]]="Crude",vp.tbl[[#This Row],[Dens]]&gt;900,vp.tbl[[#This Row],[Sulf]]&lt;=0.5,vp.tbl[[#This Row],[Unknown]]=0),1,0)</f>
        <v>0</v>
      </c>
      <c r="AG1076" t="str">
        <f>INDEX(vp.tbl[[#Headers],[Unknown]:[Heavy_SW]],MATCH(1,vp.tbl[[#This Row],[Unknown]:[Heavy_SW]],0))</f>
        <v>Medium_LSB</v>
      </c>
      <c r="AH1076" t="e">
        <f>INDEX([1]!crudeBD.lkup[Number],MATCH(vp.tbl[[#This Row],[Crude_Breakdown]],[1]!crudeBD.lkup[Crude Breakdown],0))</f>
        <v>#REF!</v>
      </c>
      <c r="AI1076">
        <f>MONTH(vp.tbl[[#This Row],[SDate]])</f>
        <v>3</v>
      </c>
      <c r="AJ1076" s="5">
        <f>IFERROR(vp.tbl[[#This Row],[Sulf]]*vp.tbl[[#This Row],[Net Dens]],"")</f>
        <v>6589362.9107850008</v>
      </c>
      <c r="AK1076" s="5">
        <f>IFERROR(vp.tbl[[#This Row],[Dens]]*vp.tbl[[#This Row],[VolumeM3]],"")</f>
        <v>5030048.0235000001</v>
      </c>
      <c r="AL1076" s="5">
        <f>IFERROR(vp.tbl[[#This Row],[VP]]*vp.tbl[[#This Row],[VolumeM3]],"")</f>
        <v>558556.93200000003</v>
      </c>
      <c r="AM1076" s="4">
        <f>IFERROR((vp.tbl[[#This Row],[VP]]-INDEX(crudeBD.lkup.complete[Mean_VP],MATCH(vp.tbl[[#This Row],[Crude_Breakdown]],crudeBD.lkup.complete[Crude Breakdown],0)))^2,"")</f>
        <v>139.86385672103916</v>
      </c>
      <c r="AN1076" s="4">
        <f>IFERROR((vp.tbl[[#This Row],[Dens]]-INDEX(crudeBD.lkup.complete[Mean_Dens],MATCH(vp.tbl[[#This Row],[Crude_Breakdown]],crudeBD.lkup.complete[Crude Breakdown],0)))^2,"")</f>
        <v>281.96531243643545</v>
      </c>
      <c r="AO1076" s="4">
        <f>IFERROR((vp.tbl[[#This Row],[Sulf]]-INDEX(crudeBD.lkup.complete[Mean_Sulf],MATCH(vp.tbl[[#This Row],[Crude_Breakdown]],crudeBD.lkup.complete[Crude Breakdown],0)))^2,"")</f>
        <v>2.1004664539766637E-2</v>
      </c>
      <c r="AP1076">
        <f>IF(AND(vp.tbl[[#This Row],[SDate]]&gt;=DATE(YEAR(vp.tbl[[#This Row],[SDate]]),5,1),vp.tbl[[#This Row],[SDate]]&lt;=DATE(YEAR(vp.tbl[[#This Row],[SDate]]),9,15)),1,0)</f>
        <v>0</v>
      </c>
      <c r="AQ1076" s="15">
        <f>IF(vp.tbl[[#This Row],[SDate]]&lt;DATE(2016,12,1),0,1)</f>
        <v>1</v>
      </c>
    </row>
    <row r="1077" spans="1:43" x14ac:dyDescent="0.25">
      <c r="A1077">
        <v>1076</v>
      </c>
      <c r="B1077" t="s">
        <v>56</v>
      </c>
      <c r="C1077" t="s">
        <v>56</v>
      </c>
      <c r="D1077" t="s">
        <v>57</v>
      </c>
      <c r="F1077" s="1">
        <v>42816</v>
      </c>
      <c r="G1077" s="2">
        <v>57.1</v>
      </c>
      <c r="H1077" s="2"/>
      <c r="I1077" s="2">
        <v>1.63</v>
      </c>
      <c r="J1077" s="2">
        <v>9</v>
      </c>
      <c r="K1077" s="2">
        <v>2</v>
      </c>
      <c r="L1077" s="2">
        <v>847.8</v>
      </c>
      <c r="M1077" s="2">
        <v>847.8</v>
      </c>
      <c r="N1077" s="2">
        <f ca="1">INDEX(INDIRECT(_xlfn.CONCAT("weather.tbl[",N$1,"]")),MATCH(vp.tbl[[#This Row],[SDate]],weather.tbl[Date],0))</f>
        <v>-4.8666666666666663</v>
      </c>
      <c r="O1077" s="2">
        <f ca="1">INDEX(INDIRECT(_xlfn.CONCAT("weather.tbl[",O$1,"]")),MATCH(vp.tbl[[#This Row],[SDate]],weather.tbl[Date],0))</f>
        <v>-2.2428571428571433</v>
      </c>
      <c r="P1077" s="2">
        <f ca="1">INDEX(INDIRECT(_xlfn.CONCAT("weather.tbl[",P$1,"]")),MATCH(vp.tbl[[#This Row],[SDate]],weather.tbl[Date],0))</f>
        <v>-2.9</v>
      </c>
      <c r="Q1077" s="2">
        <f ca="1">INDEX(INDIRECT(_xlfn.CONCAT("weather.tbl[",Q$1,"]")),MATCH(vp.tbl[[#This Row],[SDate]],weather.tbl[Date],0))</f>
        <v>-2.6</v>
      </c>
      <c r="R1077" s="2">
        <f ca="1">INDEX(INDIRECT(_xlfn.CONCAT("weather.tbl[",R$1,"]")),MATCH(vp.tbl[[#This Row],[SDate]],weather.tbl[Date],0))</f>
        <v>-11.8</v>
      </c>
      <c r="S1077" s="2">
        <f ca="1">INDEX(INDIRECT(_xlfn.CONCAT("weather.tbl[",S$1,"]")),MATCH(vp.tbl[[#This Row],[SDate]],weather.tbl[Date],0))</f>
        <v>-1.2</v>
      </c>
      <c r="T1077" s="2">
        <f ca="1">INDEX(INDIRECT(_xlfn.CONCAT("weather.tbl[",T$1,"]")),MATCH(vp.tbl[[#This Row],[SDate]],weather.tbl[Date],0))</f>
        <v>-6.2</v>
      </c>
      <c r="U1077" s="2">
        <f ca="1">INDEX(INDIRECT(_xlfn.CONCAT("weather.tbl[",U$1,"]")),MATCH(vp.tbl[[#This Row],[SDate]],weather.tbl[Date],0))</f>
        <v>-4.5</v>
      </c>
      <c r="V1077" s="2">
        <v>2822.4540000000002</v>
      </c>
      <c r="W1077" t="s">
        <v>48</v>
      </c>
      <c r="X1077">
        <f>IF(OR(vp.tbl[[#This Row],[Sulf]]="",vp.tbl[[#This Row],[Dens]]=""),1,0)</f>
        <v>0</v>
      </c>
      <c r="Y1077">
        <f>IF(vp.tbl[[#This Row],[CrudeType]]="C5+",1,0)</f>
        <v>0</v>
      </c>
      <c r="Z1077">
        <f>IF(AND(vp.tbl[[#This Row],[CrudeType]]="Crude",vp.tbl[[#This Row],[Dens]]&lt;=825,vp.tbl[[#This Row],[Sulf]]&gt;0.5,vp.tbl[[#This Row],[Unknown]]=0),1,0)</f>
        <v>0</v>
      </c>
      <c r="AA1077">
        <f>IF(AND(vp.tbl[[#This Row],[CrudeType]]="Crude",vp.tbl[[#This Row],[Dens]]&lt;=825,vp.tbl[[#This Row],[Sulf]]&lt;=0.5,vp.tbl[[#This Row],[Unknown]]=0),1,0)</f>
        <v>0</v>
      </c>
      <c r="AB1077">
        <f>IF(AND(vp.tbl[[#This Row],[CrudeType]]="Crude",vp.tbl[[#This Row],[Dens]]&gt;825,vp.tbl[[#This Row],[Dens]]&lt;=870,vp.tbl[[#This Row],[Sulf]]&gt;0.5,vp.tbl[[#This Row],[Unknown]]=0),1,0)</f>
        <v>1</v>
      </c>
      <c r="AC1077">
        <f>IF(AND(vp.tbl[[#This Row],[CrudeType]]="Crude",vp.tbl[[#This Row],[Dens]]&gt;825,vp.tbl[[#This Row],[Dens]]&lt;=900,vp.tbl[[#This Row],[Sulf]]&lt;=0.5,vp.tbl[[#This Row],[Unknown]]=0),1,0)</f>
        <v>0</v>
      </c>
      <c r="AD1077">
        <f>IF(AND(vp.tbl[[#This Row],[CrudeType]]="Crude",vp.tbl[[#This Row],[Dens]]&gt;870,vp.tbl[[#This Row],[Dens]]&lt;=900,vp.tbl[[#This Row],[Sulf]]&gt;0.5,vp.tbl[[#This Row],[Unknown]]=0),1,0)</f>
        <v>0</v>
      </c>
      <c r="AE1077">
        <f>IF(AND(vp.tbl[[#This Row],[CrudeType]]="Crude",vp.tbl[[#This Row],[Dens]]&gt;900,vp.tbl[[#This Row],[Sulf]]&lt;=0.5,vp.tbl[[#This Row],[Unknown]]=0),1,0)</f>
        <v>0</v>
      </c>
      <c r="AF1077">
        <f>IF(AND(vp.tbl[[#This Row],[CrudeType]]="Crude",vp.tbl[[#This Row],[Dens]]&gt;900,vp.tbl[[#This Row],[Sulf]]&lt;=0.5,vp.tbl[[#This Row],[Unknown]]=0),1,0)</f>
        <v>0</v>
      </c>
      <c r="AG1077" t="str">
        <f>INDEX(vp.tbl[[#Headers],[Unknown]:[Heavy_SW]],MATCH(1,vp.tbl[[#This Row],[Unknown]:[Heavy_SW]],0))</f>
        <v>Medium_LSB</v>
      </c>
      <c r="AH1077" t="e">
        <f>INDEX([1]!crudeBD.lkup[Number],MATCH(vp.tbl[[#This Row],[Crude_Breakdown]],[1]!crudeBD.lkup[Crude Breakdown],0))</f>
        <v>#REF!</v>
      </c>
      <c r="AI1077">
        <f>MONTH(vp.tbl[[#This Row],[SDate]])</f>
        <v>3</v>
      </c>
      <c r="AJ1077" s="5">
        <f>IFERROR(vp.tbl[[#This Row],[Sulf]]*vp.tbl[[#This Row],[Net Dens]],"")</f>
        <v>3900388.6969559994</v>
      </c>
      <c r="AK1077" s="5">
        <f>IFERROR(vp.tbl[[#This Row],[Dens]]*vp.tbl[[#This Row],[VolumeM3]],"")</f>
        <v>2392876.5011999998</v>
      </c>
      <c r="AL1077" s="5">
        <f>IFERROR(vp.tbl[[#This Row],[VP]]*vp.tbl[[#This Row],[VolumeM3]],"")</f>
        <v>161162.12340000001</v>
      </c>
      <c r="AM1077" s="4">
        <f>IFERROR((vp.tbl[[#This Row],[VP]]-INDEX(crudeBD.lkup.complete[Mean_VP],MATCH(vp.tbl[[#This Row],[Crude_Breakdown]],crudeBD.lkup.complete[Crude Breakdown],0)))^2,"")</f>
        <v>532.39078330331506</v>
      </c>
      <c r="AN1077" s="4">
        <f>IFERROR((vp.tbl[[#This Row],[Dens]]-INDEX(crudeBD.lkup.complete[Mean_Dens],MATCH(vp.tbl[[#This Row],[Crude_Breakdown]],crudeBD.lkup.complete[Crude Breakdown],0)))^2,"")</f>
        <v>6.2909529428023401</v>
      </c>
      <c r="AO1077" s="4">
        <f>IFERROR((vp.tbl[[#This Row],[Sulf]]-INDEX(crudeBD.lkup.complete[Mean_Sulf],MATCH(vp.tbl[[#This Row],[Crude_Breakdown]],crudeBD.lkup.complete[Crude Breakdown],0)))^2,"")</f>
        <v>3.0649553653689716E-2</v>
      </c>
      <c r="AP1077">
        <f>IF(AND(vp.tbl[[#This Row],[SDate]]&gt;=DATE(YEAR(vp.tbl[[#This Row],[SDate]]),5,1),vp.tbl[[#This Row],[SDate]]&lt;=DATE(YEAR(vp.tbl[[#This Row],[SDate]]),9,15)),1,0)</f>
        <v>0</v>
      </c>
      <c r="AQ1077" s="15">
        <f>IF(vp.tbl[[#This Row],[SDate]]&lt;DATE(2016,12,1),0,1)</f>
        <v>1</v>
      </c>
    </row>
    <row r="1078" spans="1:43" x14ac:dyDescent="0.25">
      <c r="A1078">
        <v>1077</v>
      </c>
      <c r="B1078" t="s">
        <v>111</v>
      </c>
      <c r="C1078" t="s">
        <v>111</v>
      </c>
      <c r="D1078" t="s">
        <v>112</v>
      </c>
      <c r="F1078" s="1">
        <v>42816</v>
      </c>
      <c r="G1078" s="2">
        <v>76.3</v>
      </c>
      <c r="H1078" s="2"/>
      <c r="I1078" s="2">
        <v>1.86</v>
      </c>
      <c r="J1078" s="2">
        <v>26</v>
      </c>
      <c r="K1078" s="2">
        <v>2</v>
      </c>
      <c r="L1078" s="2">
        <v>856.7</v>
      </c>
      <c r="M1078" s="2">
        <v>856.7</v>
      </c>
      <c r="N1078" s="2">
        <f ca="1">INDEX(INDIRECT(_xlfn.CONCAT("weather.tbl[",N$1,"]")),MATCH(vp.tbl[[#This Row],[SDate]],weather.tbl[Date],0))</f>
        <v>-4.8666666666666663</v>
      </c>
      <c r="O1078" s="2">
        <f ca="1">INDEX(INDIRECT(_xlfn.CONCAT("weather.tbl[",O$1,"]")),MATCH(vp.tbl[[#This Row],[SDate]],weather.tbl[Date],0))</f>
        <v>-2.2428571428571433</v>
      </c>
      <c r="P1078" s="2">
        <f ca="1">INDEX(INDIRECT(_xlfn.CONCAT("weather.tbl[",P$1,"]")),MATCH(vp.tbl[[#This Row],[SDate]],weather.tbl[Date],0))</f>
        <v>-2.9</v>
      </c>
      <c r="Q1078" s="2">
        <f ca="1">INDEX(INDIRECT(_xlfn.CONCAT("weather.tbl[",Q$1,"]")),MATCH(vp.tbl[[#This Row],[SDate]],weather.tbl[Date],0))</f>
        <v>-2.6</v>
      </c>
      <c r="R1078" s="2">
        <f ca="1">INDEX(INDIRECT(_xlfn.CONCAT("weather.tbl[",R$1,"]")),MATCH(vp.tbl[[#This Row],[SDate]],weather.tbl[Date],0))</f>
        <v>-11.8</v>
      </c>
      <c r="S1078" s="2">
        <f ca="1">INDEX(INDIRECT(_xlfn.CONCAT("weather.tbl[",S$1,"]")),MATCH(vp.tbl[[#This Row],[SDate]],weather.tbl[Date],0))</f>
        <v>-1.2</v>
      </c>
      <c r="T1078" s="2">
        <f ca="1">INDEX(INDIRECT(_xlfn.CONCAT("weather.tbl[",T$1,"]")),MATCH(vp.tbl[[#This Row],[SDate]],weather.tbl[Date],0))</f>
        <v>-6.2</v>
      </c>
      <c r="U1078" s="2">
        <f ca="1">INDEX(INDIRECT(_xlfn.CONCAT("weather.tbl[",U$1,"]")),MATCH(vp.tbl[[#This Row],[SDate]],weather.tbl[Date],0))</f>
        <v>-4.5</v>
      </c>
      <c r="V1078" s="2">
        <v>7909.2460000000001</v>
      </c>
      <c r="W1078" t="s">
        <v>48</v>
      </c>
      <c r="X1078">
        <f>IF(OR(vp.tbl[[#This Row],[Sulf]]="",vp.tbl[[#This Row],[Dens]]=""),1,0)</f>
        <v>0</v>
      </c>
      <c r="Y1078">
        <f>IF(vp.tbl[[#This Row],[CrudeType]]="C5+",1,0)</f>
        <v>0</v>
      </c>
      <c r="Z1078">
        <f>IF(AND(vp.tbl[[#This Row],[CrudeType]]="Crude",vp.tbl[[#This Row],[Dens]]&lt;=825,vp.tbl[[#This Row],[Sulf]]&gt;0.5,vp.tbl[[#This Row],[Unknown]]=0),1,0)</f>
        <v>0</v>
      </c>
      <c r="AA1078">
        <f>IF(AND(vp.tbl[[#This Row],[CrudeType]]="Crude",vp.tbl[[#This Row],[Dens]]&lt;=825,vp.tbl[[#This Row],[Sulf]]&lt;=0.5,vp.tbl[[#This Row],[Unknown]]=0),1,0)</f>
        <v>0</v>
      </c>
      <c r="AB1078">
        <f>IF(AND(vp.tbl[[#This Row],[CrudeType]]="Crude",vp.tbl[[#This Row],[Dens]]&gt;825,vp.tbl[[#This Row],[Dens]]&lt;=870,vp.tbl[[#This Row],[Sulf]]&gt;0.5,vp.tbl[[#This Row],[Unknown]]=0),1,0)</f>
        <v>1</v>
      </c>
      <c r="AC1078">
        <f>IF(AND(vp.tbl[[#This Row],[CrudeType]]="Crude",vp.tbl[[#This Row],[Dens]]&gt;825,vp.tbl[[#This Row],[Dens]]&lt;=900,vp.tbl[[#This Row],[Sulf]]&lt;=0.5,vp.tbl[[#This Row],[Unknown]]=0),1,0)</f>
        <v>0</v>
      </c>
      <c r="AD1078">
        <f>IF(AND(vp.tbl[[#This Row],[CrudeType]]="Crude",vp.tbl[[#This Row],[Dens]]&gt;870,vp.tbl[[#This Row],[Dens]]&lt;=900,vp.tbl[[#This Row],[Sulf]]&gt;0.5,vp.tbl[[#This Row],[Unknown]]=0),1,0)</f>
        <v>0</v>
      </c>
      <c r="AE1078">
        <f>IF(AND(vp.tbl[[#This Row],[CrudeType]]="Crude",vp.tbl[[#This Row],[Dens]]&gt;900,vp.tbl[[#This Row],[Sulf]]&lt;=0.5,vp.tbl[[#This Row],[Unknown]]=0),1,0)</f>
        <v>0</v>
      </c>
      <c r="AF1078">
        <f>IF(AND(vp.tbl[[#This Row],[CrudeType]]="Crude",vp.tbl[[#This Row],[Dens]]&gt;900,vp.tbl[[#This Row],[Sulf]]&lt;=0.5,vp.tbl[[#This Row],[Unknown]]=0),1,0)</f>
        <v>0</v>
      </c>
      <c r="AG1078" t="str">
        <f>INDEX(vp.tbl[[#Headers],[Unknown]:[Heavy_SW]],MATCH(1,vp.tbl[[#This Row],[Unknown]:[Heavy_SW]],0))</f>
        <v>Medium_LSB</v>
      </c>
      <c r="AH1078" t="e">
        <f>INDEX([1]!crudeBD.lkup[Number],MATCH(vp.tbl[[#This Row],[Crude_Breakdown]],[1]!crudeBD.lkup[Crude Breakdown],0))</f>
        <v>#REF!</v>
      </c>
      <c r="AI1078">
        <f>MONTH(vp.tbl[[#This Row],[SDate]])</f>
        <v>3</v>
      </c>
      <c r="AJ1078" s="5">
        <f>IFERROR(vp.tbl[[#This Row],[Sulf]]*vp.tbl[[#This Row],[Net Dens]],"")</f>
        <v>12603082.949652001</v>
      </c>
      <c r="AK1078" s="5">
        <f>IFERROR(vp.tbl[[#This Row],[Dens]]*vp.tbl[[#This Row],[VolumeM3]],"")</f>
        <v>6775851.0482000001</v>
      </c>
      <c r="AL1078" s="5">
        <f>IFERROR(vp.tbl[[#This Row],[VP]]*vp.tbl[[#This Row],[VolumeM3]],"")</f>
        <v>603475.46979999996</v>
      </c>
      <c r="AM1078" s="4">
        <f>IFERROR((vp.tbl[[#This Row],[VP]]-INDEX(crudeBD.lkup.complete[Mean_VP],MATCH(vp.tbl[[#This Row],[Crude_Breakdown]],crudeBD.lkup.complete[Crude Breakdown],0)))^2,"")</f>
        <v>15.00473773369626</v>
      </c>
      <c r="AN1078" s="4">
        <f>IFERROR((vp.tbl[[#This Row],[Dens]]-INDEX(crudeBD.lkup.complete[Mean_Dens],MATCH(vp.tbl[[#This Row],[Crude_Breakdown]],crudeBD.lkup.complete[Crude Breakdown],0)))^2,"")</f>
        <v>130.14650737320088</v>
      </c>
      <c r="AO1078" s="4">
        <f>IFERROR((vp.tbl[[#This Row],[Sulf]]-INDEX(crudeBD.lkup.complete[Mean_Sulf],MATCH(vp.tbl[[#This Row],[Crude_Breakdown]],crudeBD.lkup.complete[Crude Breakdown],0)))^2,"")</f>
        <v>0.16408181770432206</v>
      </c>
      <c r="AP1078">
        <f>IF(AND(vp.tbl[[#This Row],[SDate]]&gt;=DATE(YEAR(vp.tbl[[#This Row],[SDate]]),5,1),vp.tbl[[#This Row],[SDate]]&lt;=DATE(YEAR(vp.tbl[[#This Row],[SDate]]),9,15)),1,0)</f>
        <v>0</v>
      </c>
      <c r="AQ1078" s="15">
        <f>IF(vp.tbl[[#This Row],[SDate]]&lt;DATE(2016,12,1),0,1)</f>
        <v>1</v>
      </c>
    </row>
    <row r="1079" spans="1:43" x14ac:dyDescent="0.25">
      <c r="A1079">
        <v>1078</v>
      </c>
      <c r="B1079" t="s">
        <v>56</v>
      </c>
      <c r="C1079" t="s">
        <v>56</v>
      </c>
      <c r="D1079" t="s">
        <v>94</v>
      </c>
      <c r="F1079" s="1">
        <v>42816</v>
      </c>
      <c r="G1079" s="2">
        <v>73.400000000000006</v>
      </c>
      <c r="H1079" s="2"/>
      <c r="I1079" s="2">
        <v>1.9</v>
      </c>
      <c r="J1079" s="2">
        <v>18</v>
      </c>
      <c r="K1079" s="2">
        <v>2</v>
      </c>
      <c r="L1079" s="2">
        <v>866.3</v>
      </c>
      <c r="M1079" s="2">
        <v>866.3</v>
      </c>
      <c r="N1079" s="2">
        <f ca="1">INDEX(INDIRECT(_xlfn.CONCAT("weather.tbl[",N$1,"]")),MATCH(vp.tbl[[#This Row],[SDate]],weather.tbl[Date],0))</f>
        <v>-4.8666666666666663</v>
      </c>
      <c r="O1079" s="2">
        <f ca="1">INDEX(INDIRECT(_xlfn.CONCAT("weather.tbl[",O$1,"]")),MATCH(vp.tbl[[#This Row],[SDate]],weather.tbl[Date],0))</f>
        <v>-2.2428571428571433</v>
      </c>
      <c r="P1079" s="2">
        <f ca="1">INDEX(INDIRECT(_xlfn.CONCAT("weather.tbl[",P$1,"]")),MATCH(vp.tbl[[#This Row],[SDate]],weather.tbl[Date],0))</f>
        <v>-2.9</v>
      </c>
      <c r="Q1079" s="2">
        <f ca="1">INDEX(INDIRECT(_xlfn.CONCAT("weather.tbl[",Q$1,"]")),MATCH(vp.tbl[[#This Row],[SDate]],weather.tbl[Date],0))</f>
        <v>-2.6</v>
      </c>
      <c r="R1079" s="2">
        <f ca="1">INDEX(INDIRECT(_xlfn.CONCAT("weather.tbl[",R$1,"]")),MATCH(vp.tbl[[#This Row],[SDate]],weather.tbl[Date],0))</f>
        <v>-11.8</v>
      </c>
      <c r="S1079" s="2">
        <f ca="1">INDEX(INDIRECT(_xlfn.CONCAT("weather.tbl[",S$1,"]")),MATCH(vp.tbl[[#This Row],[SDate]],weather.tbl[Date],0))</f>
        <v>-1.2</v>
      </c>
      <c r="T1079" s="2">
        <f ca="1">INDEX(INDIRECT(_xlfn.CONCAT("weather.tbl[",T$1,"]")),MATCH(vp.tbl[[#This Row],[SDate]],weather.tbl[Date],0))</f>
        <v>-6.2</v>
      </c>
      <c r="U1079" s="2">
        <f ca="1">INDEX(INDIRECT(_xlfn.CONCAT("weather.tbl[",U$1,"]")),MATCH(vp.tbl[[#This Row],[SDate]],weather.tbl[Date],0))</f>
        <v>-4.5</v>
      </c>
      <c r="V1079" s="2">
        <v>4141.4380000000001</v>
      </c>
      <c r="W1079" t="s">
        <v>48</v>
      </c>
      <c r="X1079">
        <f>IF(OR(vp.tbl[[#This Row],[Sulf]]="",vp.tbl[[#This Row],[Dens]]=""),1,0)</f>
        <v>0</v>
      </c>
      <c r="Y1079">
        <f>IF(vp.tbl[[#This Row],[CrudeType]]="C5+",1,0)</f>
        <v>0</v>
      </c>
      <c r="Z1079">
        <f>IF(AND(vp.tbl[[#This Row],[CrudeType]]="Crude",vp.tbl[[#This Row],[Dens]]&lt;=825,vp.tbl[[#This Row],[Sulf]]&gt;0.5,vp.tbl[[#This Row],[Unknown]]=0),1,0)</f>
        <v>0</v>
      </c>
      <c r="AA1079">
        <f>IF(AND(vp.tbl[[#This Row],[CrudeType]]="Crude",vp.tbl[[#This Row],[Dens]]&lt;=825,vp.tbl[[#This Row],[Sulf]]&lt;=0.5,vp.tbl[[#This Row],[Unknown]]=0),1,0)</f>
        <v>0</v>
      </c>
      <c r="AB1079">
        <f>IF(AND(vp.tbl[[#This Row],[CrudeType]]="Crude",vp.tbl[[#This Row],[Dens]]&gt;825,vp.tbl[[#This Row],[Dens]]&lt;=870,vp.tbl[[#This Row],[Sulf]]&gt;0.5,vp.tbl[[#This Row],[Unknown]]=0),1,0)</f>
        <v>1</v>
      </c>
      <c r="AC1079">
        <f>IF(AND(vp.tbl[[#This Row],[CrudeType]]="Crude",vp.tbl[[#This Row],[Dens]]&gt;825,vp.tbl[[#This Row],[Dens]]&lt;=900,vp.tbl[[#This Row],[Sulf]]&lt;=0.5,vp.tbl[[#This Row],[Unknown]]=0),1,0)</f>
        <v>0</v>
      </c>
      <c r="AD1079">
        <f>IF(AND(vp.tbl[[#This Row],[CrudeType]]="Crude",vp.tbl[[#This Row],[Dens]]&gt;870,vp.tbl[[#This Row],[Dens]]&lt;=900,vp.tbl[[#This Row],[Sulf]]&gt;0.5,vp.tbl[[#This Row],[Unknown]]=0),1,0)</f>
        <v>0</v>
      </c>
      <c r="AE1079">
        <f>IF(AND(vp.tbl[[#This Row],[CrudeType]]="Crude",vp.tbl[[#This Row],[Dens]]&gt;900,vp.tbl[[#This Row],[Sulf]]&lt;=0.5,vp.tbl[[#This Row],[Unknown]]=0),1,0)</f>
        <v>0</v>
      </c>
      <c r="AF1079">
        <f>IF(AND(vp.tbl[[#This Row],[CrudeType]]="Crude",vp.tbl[[#This Row],[Dens]]&gt;900,vp.tbl[[#This Row],[Sulf]]&lt;=0.5,vp.tbl[[#This Row],[Unknown]]=0),1,0)</f>
        <v>0</v>
      </c>
      <c r="AG1079" t="str">
        <f>INDEX(vp.tbl[[#Headers],[Unknown]:[Heavy_SW]],MATCH(1,vp.tbl[[#This Row],[Unknown]:[Heavy_SW]],0))</f>
        <v>Medium_LSB</v>
      </c>
      <c r="AH1079" t="e">
        <f>INDEX([1]!crudeBD.lkup[Number],MATCH(vp.tbl[[#This Row],[Crude_Breakdown]],[1]!crudeBD.lkup[Crude Breakdown],0))</f>
        <v>#REF!</v>
      </c>
      <c r="AI1079">
        <f>MONTH(vp.tbl[[#This Row],[SDate]])</f>
        <v>3</v>
      </c>
      <c r="AJ1079" s="5">
        <f>IFERROR(vp.tbl[[#This Row],[Sulf]]*vp.tbl[[#This Row],[Net Dens]],"")</f>
        <v>6816682.704859999</v>
      </c>
      <c r="AK1079" s="5">
        <f>IFERROR(vp.tbl[[#This Row],[Dens]]*vp.tbl[[#This Row],[VolumeM3]],"")</f>
        <v>3587727.7393999998</v>
      </c>
      <c r="AL1079" s="5">
        <f>IFERROR(vp.tbl[[#This Row],[VP]]*vp.tbl[[#This Row],[VolumeM3]],"")</f>
        <v>303981.54920000001</v>
      </c>
      <c r="AM1079" s="4">
        <f>IFERROR((vp.tbl[[#This Row],[VP]]-INDEX(crudeBD.lkup.complete[Mean_VP],MATCH(vp.tbl[[#This Row],[Crude_Breakdown]],crudeBD.lkup.complete[Crude Breakdown],0)))^2,"")</f>
        <v>45.881588366607339</v>
      </c>
      <c r="AN1079" s="4">
        <f>IFERROR((vp.tbl[[#This Row],[Dens]]-INDEX(crudeBD.lkup.complete[Mean_Dens],MATCH(vp.tbl[[#This Row],[Crude_Breakdown]],crudeBD.lkup.complete[Crude Breakdown],0)))^2,"")</f>
        <v>441.3435099048624</v>
      </c>
      <c r="AO1079" s="4">
        <f>IFERROR((vp.tbl[[#This Row],[Sulf]]-INDEX(crudeBD.lkup.complete[Mean_Sulf],MATCH(vp.tbl[[#This Row],[Crude_Breakdown]],crudeBD.lkup.complete[Crude Breakdown],0)))^2,"")</f>
        <v>0.19808742884356229</v>
      </c>
      <c r="AP1079">
        <f>IF(AND(vp.tbl[[#This Row],[SDate]]&gt;=DATE(YEAR(vp.tbl[[#This Row],[SDate]]),5,1),vp.tbl[[#This Row],[SDate]]&lt;=DATE(YEAR(vp.tbl[[#This Row],[SDate]]),9,15)),1,0)</f>
        <v>0</v>
      </c>
      <c r="AQ1079" s="15">
        <f>IF(vp.tbl[[#This Row],[SDate]]&lt;DATE(2016,12,1),0,1)</f>
        <v>1</v>
      </c>
    </row>
    <row r="1080" spans="1:43" x14ac:dyDescent="0.25">
      <c r="A1080">
        <v>1079</v>
      </c>
      <c r="B1080" t="s">
        <v>49</v>
      </c>
      <c r="C1080" t="s">
        <v>49</v>
      </c>
      <c r="D1080" t="s">
        <v>154</v>
      </c>
      <c r="F1080" s="1">
        <v>42818</v>
      </c>
      <c r="G1080" s="2">
        <v>83.6</v>
      </c>
      <c r="H1080" s="2">
        <v>1.234</v>
      </c>
      <c r="I1080" s="2">
        <v>1.234</v>
      </c>
      <c r="J1080" s="2">
        <v>22</v>
      </c>
      <c r="K1080" s="2">
        <v>4</v>
      </c>
      <c r="L1080" s="2">
        <v>841.2</v>
      </c>
      <c r="M1080" s="2">
        <v>841.2</v>
      </c>
      <c r="N1080" s="2">
        <f ca="1">INDEX(INDIRECT(_xlfn.CONCAT("weather.tbl[",N$1,"]")),MATCH(vp.tbl[[#This Row],[SDate]],weather.tbl[Date],0))</f>
        <v>-2.2833333333333337</v>
      </c>
      <c r="O1080" s="2">
        <f ca="1">INDEX(INDIRECT(_xlfn.CONCAT("weather.tbl[",O$1,"]")),MATCH(vp.tbl[[#This Row],[SDate]],weather.tbl[Date],0))</f>
        <v>-2.7095238095238097</v>
      </c>
      <c r="P1080" s="2">
        <f ca="1">INDEX(INDIRECT(_xlfn.CONCAT("weather.tbl[",P$1,"]")),MATCH(vp.tbl[[#This Row],[SDate]],weather.tbl[Date],0))</f>
        <v>-0.1</v>
      </c>
      <c r="Q1080" s="2">
        <f ca="1">INDEX(INDIRECT(_xlfn.CONCAT("weather.tbl[",Q$1,"]")),MATCH(vp.tbl[[#This Row],[SDate]],weather.tbl[Date],0))</f>
        <v>0.3</v>
      </c>
      <c r="R1080" s="2">
        <f ca="1">INDEX(INDIRECT(_xlfn.CONCAT("weather.tbl[",R$1,"]")),MATCH(vp.tbl[[#This Row],[SDate]],weather.tbl[Date],0))</f>
        <v>-11.8</v>
      </c>
      <c r="S1080" s="2">
        <f ca="1">INDEX(INDIRECT(_xlfn.CONCAT("weather.tbl[",S$1,"]")),MATCH(vp.tbl[[#This Row],[SDate]],weather.tbl[Date],0))</f>
        <v>1.1000000000000001</v>
      </c>
      <c r="T1080" s="2">
        <f ca="1">INDEX(INDIRECT(_xlfn.CONCAT("weather.tbl[",T$1,"]")),MATCH(vp.tbl[[#This Row],[SDate]],weather.tbl[Date],0))</f>
        <v>-2.7</v>
      </c>
      <c r="U1080" s="2">
        <f ca="1">INDEX(INDIRECT(_xlfn.CONCAT("weather.tbl[",U$1,"]")),MATCH(vp.tbl[[#This Row],[SDate]],weather.tbl[Date],0))</f>
        <v>-0.5</v>
      </c>
      <c r="V1080" s="2">
        <v>2666.2469999999998</v>
      </c>
      <c r="W1080" t="s">
        <v>48</v>
      </c>
      <c r="X1080">
        <f>IF(OR(vp.tbl[[#This Row],[Sulf]]="",vp.tbl[[#This Row],[Dens]]=""),1,0)</f>
        <v>0</v>
      </c>
      <c r="Y1080">
        <f>IF(vp.tbl[[#This Row],[CrudeType]]="C5+",1,0)</f>
        <v>0</v>
      </c>
      <c r="Z1080">
        <f>IF(AND(vp.tbl[[#This Row],[CrudeType]]="Crude",vp.tbl[[#This Row],[Dens]]&lt;=825,vp.tbl[[#This Row],[Sulf]]&gt;0.5,vp.tbl[[#This Row],[Unknown]]=0),1,0)</f>
        <v>0</v>
      </c>
      <c r="AA1080">
        <f>IF(AND(vp.tbl[[#This Row],[CrudeType]]="Crude",vp.tbl[[#This Row],[Dens]]&lt;=825,vp.tbl[[#This Row],[Sulf]]&lt;=0.5,vp.tbl[[#This Row],[Unknown]]=0),1,0)</f>
        <v>0</v>
      </c>
      <c r="AB1080">
        <f>IF(AND(vp.tbl[[#This Row],[CrudeType]]="Crude",vp.tbl[[#This Row],[Dens]]&gt;825,vp.tbl[[#This Row],[Dens]]&lt;=870,vp.tbl[[#This Row],[Sulf]]&gt;0.5,vp.tbl[[#This Row],[Unknown]]=0),1,0)</f>
        <v>1</v>
      </c>
      <c r="AC1080">
        <f>IF(AND(vp.tbl[[#This Row],[CrudeType]]="Crude",vp.tbl[[#This Row],[Dens]]&gt;825,vp.tbl[[#This Row],[Dens]]&lt;=900,vp.tbl[[#This Row],[Sulf]]&lt;=0.5,vp.tbl[[#This Row],[Unknown]]=0),1,0)</f>
        <v>0</v>
      </c>
      <c r="AD1080">
        <f>IF(AND(vp.tbl[[#This Row],[CrudeType]]="Crude",vp.tbl[[#This Row],[Dens]]&gt;870,vp.tbl[[#This Row],[Dens]]&lt;=900,vp.tbl[[#This Row],[Sulf]]&gt;0.5,vp.tbl[[#This Row],[Unknown]]=0),1,0)</f>
        <v>0</v>
      </c>
      <c r="AE1080">
        <f>IF(AND(vp.tbl[[#This Row],[CrudeType]]="Crude",vp.tbl[[#This Row],[Dens]]&gt;900,vp.tbl[[#This Row],[Sulf]]&lt;=0.5,vp.tbl[[#This Row],[Unknown]]=0),1,0)</f>
        <v>0</v>
      </c>
      <c r="AF1080">
        <f>IF(AND(vp.tbl[[#This Row],[CrudeType]]="Crude",vp.tbl[[#This Row],[Dens]]&gt;900,vp.tbl[[#This Row],[Sulf]]&lt;=0.5,vp.tbl[[#This Row],[Unknown]]=0),1,0)</f>
        <v>0</v>
      </c>
      <c r="AG1080" t="str">
        <f>INDEX(vp.tbl[[#Headers],[Unknown]:[Heavy_SW]],MATCH(1,vp.tbl[[#This Row],[Unknown]:[Heavy_SW]],0))</f>
        <v>Medium_LSB</v>
      </c>
      <c r="AH1080" t="e">
        <f>INDEX([1]!crudeBD.lkup[Number],MATCH(vp.tbl[[#This Row],[Crude_Breakdown]],[1]!crudeBD.lkup[Crude Breakdown],0))</f>
        <v>#REF!</v>
      </c>
      <c r="AI1080">
        <f>MONTH(vp.tbl[[#This Row],[SDate]])</f>
        <v>3</v>
      </c>
      <c r="AJ1080" s="5">
        <f>IFERROR(vp.tbl[[#This Row],[Sulf]]*vp.tbl[[#This Row],[Net Dens]],"")</f>
        <v>2767673.1688776002</v>
      </c>
      <c r="AK1080" s="5">
        <f>IFERROR(vp.tbl[[#This Row],[Dens]]*vp.tbl[[#This Row],[VolumeM3]],"")</f>
        <v>2242846.9764</v>
      </c>
      <c r="AL1080" s="5">
        <f>IFERROR(vp.tbl[[#This Row],[VP]]*vp.tbl[[#This Row],[VolumeM3]],"")</f>
        <v>222898.24919999996</v>
      </c>
      <c r="AM1080" s="4">
        <f>IFERROR((vp.tbl[[#This Row],[VP]]-INDEX(crudeBD.lkup.complete[Mean_VP],MATCH(vp.tbl[[#This Row],[Crude_Breakdown]],crudeBD.lkup.complete[Crude Breakdown],0)))^2,"")</f>
        <v>11.74025165774737</v>
      </c>
      <c r="AN1080" s="4">
        <f>IFERROR((vp.tbl[[#This Row],[Dens]]-INDEX(crudeBD.lkup.complete[Mean_Dens],MATCH(vp.tbl[[#This Row],[Crude_Breakdown]],crudeBD.lkup.complete[Crude Breakdown],0)))^2,"")</f>
        <v>16.74301370228287</v>
      </c>
      <c r="AO1080" s="4">
        <f>IFERROR((vp.tbl[[#This Row],[Sulf]]-INDEX(crudeBD.lkup.complete[Mean_Sulf],MATCH(vp.tbl[[#This Row],[Crude_Breakdown]],crudeBD.lkup.complete[Crude Breakdown],0)))^2,"")</f>
        <v>4.8810003375209923E-2</v>
      </c>
      <c r="AP1080">
        <f>IF(AND(vp.tbl[[#This Row],[SDate]]&gt;=DATE(YEAR(vp.tbl[[#This Row],[SDate]]),5,1),vp.tbl[[#This Row],[SDate]]&lt;=DATE(YEAR(vp.tbl[[#This Row],[SDate]]),9,15)),1,0)</f>
        <v>0</v>
      </c>
      <c r="AQ1080" s="15">
        <f>IF(vp.tbl[[#This Row],[SDate]]&lt;DATE(2016,12,1),0,1)</f>
        <v>1</v>
      </c>
    </row>
    <row r="1081" spans="1:43" x14ac:dyDescent="0.25">
      <c r="A1081">
        <v>1080</v>
      </c>
      <c r="B1081" t="s">
        <v>49</v>
      </c>
      <c r="C1081" t="s">
        <v>49</v>
      </c>
      <c r="D1081" t="s">
        <v>196</v>
      </c>
      <c r="F1081" s="1">
        <v>42818</v>
      </c>
      <c r="G1081" s="2">
        <v>91</v>
      </c>
      <c r="H1081" s="2">
        <v>1.8</v>
      </c>
      <c r="I1081" s="2">
        <v>1.8</v>
      </c>
      <c r="J1081" s="2">
        <v>3.4</v>
      </c>
      <c r="K1081" s="2">
        <v>4</v>
      </c>
      <c r="L1081" s="2">
        <v>851.8</v>
      </c>
      <c r="M1081" s="2">
        <v>851.8</v>
      </c>
      <c r="N1081" s="2">
        <f ca="1">INDEX(INDIRECT(_xlfn.CONCAT("weather.tbl[",N$1,"]")),MATCH(vp.tbl[[#This Row],[SDate]],weather.tbl[Date],0))</f>
        <v>-2.2833333333333337</v>
      </c>
      <c r="O1081" s="2">
        <f ca="1">INDEX(INDIRECT(_xlfn.CONCAT("weather.tbl[",O$1,"]")),MATCH(vp.tbl[[#This Row],[SDate]],weather.tbl[Date],0))</f>
        <v>-2.7095238095238097</v>
      </c>
      <c r="P1081" s="2">
        <f ca="1">INDEX(INDIRECT(_xlfn.CONCAT("weather.tbl[",P$1,"]")),MATCH(vp.tbl[[#This Row],[SDate]],weather.tbl[Date],0))</f>
        <v>-0.1</v>
      </c>
      <c r="Q1081" s="2">
        <f ca="1">INDEX(INDIRECT(_xlfn.CONCAT("weather.tbl[",Q$1,"]")),MATCH(vp.tbl[[#This Row],[SDate]],weather.tbl[Date],0))</f>
        <v>0.3</v>
      </c>
      <c r="R1081" s="2">
        <f ca="1">INDEX(INDIRECT(_xlfn.CONCAT("weather.tbl[",R$1,"]")),MATCH(vp.tbl[[#This Row],[SDate]],weather.tbl[Date],0))</f>
        <v>-11.8</v>
      </c>
      <c r="S1081" s="2">
        <f ca="1">INDEX(INDIRECT(_xlfn.CONCAT("weather.tbl[",S$1,"]")),MATCH(vp.tbl[[#This Row],[SDate]],weather.tbl[Date],0))</f>
        <v>1.1000000000000001</v>
      </c>
      <c r="T1081" s="2">
        <f ca="1">INDEX(INDIRECT(_xlfn.CONCAT("weather.tbl[",T$1,"]")),MATCH(vp.tbl[[#This Row],[SDate]],weather.tbl[Date],0))</f>
        <v>-2.7</v>
      </c>
      <c r="U1081" s="2">
        <f ca="1">INDEX(INDIRECT(_xlfn.CONCAT("weather.tbl[",U$1,"]")),MATCH(vp.tbl[[#This Row],[SDate]],weather.tbl[Date],0))</f>
        <v>-0.5</v>
      </c>
      <c r="V1081" s="2">
        <v>335.488</v>
      </c>
      <c r="W1081" t="s">
        <v>48</v>
      </c>
      <c r="X1081">
        <f>IF(OR(vp.tbl[[#This Row],[Sulf]]="",vp.tbl[[#This Row],[Dens]]=""),1,0)</f>
        <v>0</v>
      </c>
      <c r="Y1081">
        <f>IF(vp.tbl[[#This Row],[CrudeType]]="C5+",1,0)</f>
        <v>0</v>
      </c>
      <c r="Z1081">
        <f>IF(AND(vp.tbl[[#This Row],[CrudeType]]="Crude",vp.tbl[[#This Row],[Dens]]&lt;=825,vp.tbl[[#This Row],[Sulf]]&gt;0.5,vp.tbl[[#This Row],[Unknown]]=0),1,0)</f>
        <v>0</v>
      </c>
      <c r="AA1081">
        <f>IF(AND(vp.tbl[[#This Row],[CrudeType]]="Crude",vp.tbl[[#This Row],[Dens]]&lt;=825,vp.tbl[[#This Row],[Sulf]]&lt;=0.5,vp.tbl[[#This Row],[Unknown]]=0),1,0)</f>
        <v>0</v>
      </c>
      <c r="AB1081">
        <f>IF(AND(vp.tbl[[#This Row],[CrudeType]]="Crude",vp.tbl[[#This Row],[Dens]]&gt;825,vp.tbl[[#This Row],[Dens]]&lt;=870,vp.tbl[[#This Row],[Sulf]]&gt;0.5,vp.tbl[[#This Row],[Unknown]]=0),1,0)</f>
        <v>1</v>
      </c>
      <c r="AC1081">
        <f>IF(AND(vp.tbl[[#This Row],[CrudeType]]="Crude",vp.tbl[[#This Row],[Dens]]&gt;825,vp.tbl[[#This Row],[Dens]]&lt;=900,vp.tbl[[#This Row],[Sulf]]&lt;=0.5,vp.tbl[[#This Row],[Unknown]]=0),1,0)</f>
        <v>0</v>
      </c>
      <c r="AD1081">
        <f>IF(AND(vp.tbl[[#This Row],[CrudeType]]="Crude",vp.tbl[[#This Row],[Dens]]&gt;870,vp.tbl[[#This Row],[Dens]]&lt;=900,vp.tbl[[#This Row],[Sulf]]&gt;0.5,vp.tbl[[#This Row],[Unknown]]=0),1,0)</f>
        <v>0</v>
      </c>
      <c r="AE1081">
        <f>IF(AND(vp.tbl[[#This Row],[CrudeType]]="Crude",vp.tbl[[#This Row],[Dens]]&gt;900,vp.tbl[[#This Row],[Sulf]]&lt;=0.5,vp.tbl[[#This Row],[Unknown]]=0),1,0)</f>
        <v>0</v>
      </c>
      <c r="AF1081">
        <f>IF(AND(vp.tbl[[#This Row],[CrudeType]]="Crude",vp.tbl[[#This Row],[Dens]]&gt;900,vp.tbl[[#This Row],[Sulf]]&lt;=0.5,vp.tbl[[#This Row],[Unknown]]=0),1,0)</f>
        <v>0</v>
      </c>
      <c r="AG1081" t="str">
        <f>INDEX(vp.tbl[[#Headers],[Unknown]:[Heavy_SW]],MATCH(1,vp.tbl[[#This Row],[Unknown]:[Heavy_SW]],0))</f>
        <v>Medium_LSB</v>
      </c>
      <c r="AH1081" t="e">
        <f>INDEX([1]!crudeBD.lkup[Number],MATCH(vp.tbl[[#This Row],[Crude_Breakdown]],[1]!crudeBD.lkup[Crude Breakdown],0))</f>
        <v>#REF!</v>
      </c>
      <c r="AI1081">
        <f>MONTH(vp.tbl[[#This Row],[SDate]])</f>
        <v>3</v>
      </c>
      <c r="AJ1081" s="5">
        <f>IFERROR(vp.tbl[[#This Row],[Sulf]]*vp.tbl[[#This Row],[Net Dens]],"")</f>
        <v>514383.62111999997</v>
      </c>
      <c r="AK1081" s="5">
        <f>IFERROR(vp.tbl[[#This Row],[Dens]]*vp.tbl[[#This Row],[VolumeM3]],"")</f>
        <v>285768.67839999998</v>
      </c>
      <c r="AL1081" s="5">
        <f>IFERROR(vp.tbl[[#This Row],[VP]]*vp.tbl[[#This Row],[VolumeM3]],"")</f>
        <v>30529.407999999999</v>
      </c>
      <c r="AM1081" s="4">
        <f>IFERROR((vp.tbl[[#This Row],[VP]]-INDEX(crudeBD.lkup.complete[Mean_VP],MATCH(vp.tbl[[#This Row],[Crude_Breakdown]],crudeBD.lkup.complete[Crude Breakdown],0)))^2,"")</f>
        <v>117.21104659445682</v>
      </c>
      <c r="AN1081" s="4">
        <f>IFERROR((vp.tbl[[#This Row],[Dens]]-INDEX(crudeBD.lkup.complete[Mean_Dens],MATCH(vp.tbl[[#This Row],[Crude_Breakdown]],crudeBD.lkup.complete[Crude Breakdown],0)))^2,"")</f>
        <v>42.356370664328843</v>
      </c>
      <c r="AO1081" s="4">
        <f>IFERROR((vp.tbl[[#This Row],[Sulf]]-INDEX(crudeBD.lkup.complete[Mean_Sulf],MATCH(vp.tbl[[#This Row],[Crude_Breakdown]],crudeBD.lkup.complete[Crude Breakdown],0)))^2,"")</f>
        <v>0.11907340099546143</v>
      </c>
      <c r="AP1081">
        <f>IF(AND(vp.tbl[[#This Row],[SDate]]&gt;=DATE(YEAR(vp.tbl[[#This Row],[SDate]]),5,1),vp.tbl[[#This Row],[SDate]]&lt;=DATE(YEAR(vp.tbl[[#This Row],[SDate]]),9,15)),1,0)</f>
        <v>0</v>
      </c>
      <c r="AQ1081" s="15">
        <f>IF(vp.tbl[[#This Row],[SDate]]&lt;DATE(2016,12,1),0,1)</f>
        <v>1</v>
      </c>
    </row>
    <row r="1082" spans="1:43" x14ac:dyDescent="0.25">
      <c r="A1082">
        <v>1081</v>
      </c>
      <c r="B1082" t="s">
        <v>51</v>
      </c>
      <c r="C1082" t="s">
        <v>51</v>
      </c>
      <c r="D1082" t="s">
        <v>72</v>
      </c>
      <c r="F1082" s="1">
        <v>42818</v>
      </c>
      <c r="G1082" s="2">
        <v>105.4</v>
      </c>
      <c r="H1082" s="2"/>
      <c r="I1082" s="2">
        <v>1.08</v>
      </c>
      <c r="J1082" s="2">
        <v>21.7</v>
      </c>
      <c r="K1082" s="2">
        <v>-18</v>
      </c>
      <c r="L1082" s="2">
        <v>825.5</v>
      </c>
      <c r="M1082" s="2">
        <v>825.5</v>
      </c>
      <c r="N1082" s="2">
        <f ca="1">INDEX(INDIRECT(_xlfn.CONCAT("weather.tbl[",N$1,"]")),MATCH(vp.tbl[[#This Row],[SDate]],weather.tbl[Date],0))</f>
        <v>-2.2833333333333337</v>
      </c>
      <c r="O1082" s="2">
        <f ca="1">INDEX(INDIRECT(_xlfn.CONCAT("weather.tbl[",O$1,"]")),MATCH(vp.tbl[[#This Row],[SDate]],weather.tbl[Date],0))</f>
        <v>-2.7095238095238097</v>
      </c>
      <c r="P1082" s="2">
        <f ca="1">INDEX(INDIRECT(_xlfn.CONCAT("weather.tbl[",P$1,"]")),MATCH(vp.tbl[[#This Row],[SDate]],weather.tbl[Date],0))</f>
        <v>-0.1</v>
      </c>
      <c r="Q1082" s="2">
        <f ca="1">INDEX(INDIRECT(_xlfn.CONCAT("weather.tbl[",Q$1,"]")),MATCH(vp.tbl[[#This Row],[SDate]],weather.tbl[Date],0))</f>
        <v>0.3</v>
      </c>
      <c r="R1082" s="2">
        <f ca="1">INDEX(INDIRECT(_xlfn.CONCAT("weather.tbl[",R$1,"]")),MATCH(vp.tbl[[#This Row],[SDate]],weather.tbl[Date],0))</f>
        <v>-11.8</v>
      </c>
      <c r="S1082" s="2">
        <f ca="1">INDEX(INDIRECT(_xlfn.CONCAT("weather.tbl[",S$1,"]")),MATCH(vp.tbl[[#This Row],[SDate]],weather.tbl[Date],0))</f>
        <v>1.1000000000000001</v>
      </c>
      <c r="T1082" s="2">
        <f ca="1">INDEX(INDIRECT(_xlfn.CONCAT("weather.tbl[",T$1,"]")),MATCH(vp.tbl[[#This Row],[SDate]],weather.tbl[Date],0))</f>
        <v>-2.7</v>
      </c>
      <c r="U1082" s="2">
        <f ca="1">INDEX(INDIRECT(_xlfn.CONCAT("weather.tbl[",U$1,"]")),MATCH(vp.tbl[[#This Row],[SDate]],weather.tbl[Date],0))</f>
        <v>-0.5</v>
      </c>
      <c r="V1082" s="2">
        <v>13878.534</v>
      </c>
      <c r="W1082" t="s">
        <v>48</v>
      </c>
      <c r="X1082">
        <f>IF(OR(vp.tbl[[#This Row],[Sulf]]="",vp.tbl[[#This Row],[Dens]]=""),1,0)</f>
        <v>0</v>
      </c>
      <c r="Y1082">
        <f>IF(vp.tbl[[#This Row],[CrudeType]]="C5+",1,0)</f>
        <v>0</v>
      </c>
      <c r="Z1082">
        <f>IF(AND(vp.tbl[[#This Row],[CrudeType]]="Crude",vp.tbl[[#This Row],[Dens]]&lt;=825,vp.tbl[[#This Row],[Sulf]]&gt;0.5,vp.tbl[[#This Row],[Unknown]]=0),1,0)</f>
        <v>0</v>
      </c>
      <c r="AA1082">
        <f>IF(AND(vp.tbl[[#This Row],[CrudeType]]="Crude",vp.tbl[[#This Row],[Dens]]&lt;=825,vp.tbl[[#This Row],[Sulf]]&lt;=0.5,vp.tbl[[#This Row],[Unknown]]=0),1,0)</f>
        <v>0</v>
      </c>
      <c r="AB1082">
        <f>IF(AND(vp.tbl[[#This Row],[CrudeType]]="Crude",vp.tbl[[#This Row],[Dens]]&gt;825,vp.tbl[[#This Row],[Dens]]&lt;=870,vp.tbl[[#This Row],[Sulf]]&gt;0.5,vp.tbl[[#This Row],[Unknown]]=0),1,0)</f>
        <v>1</v>
      </c>
      <c r="AC1082">
        <f>IF(AND(vp.tbl[[#This Row],[CrudeType]]="Crude",vp.tbl[[#This Row],[Dens]]&gt;825,vp.tbl[[#This Row],[Dens]]&lt;=900,vp.tbl[[#This Row],[Sulf]]&lt;=0.5,vp.tbl[[#This Row],[Unknown]]=0),1,0)</f>
        <v>0</v>
      </c>
      <c r="AD1082">
        <f>IF(AND(vp.tbl[[#This Row],[CrudeType]]="Crude",vp.tbl[[#This Row],[Dens]]&gt;870,vp.tbl[[#This Row],[Dens]]&lt;=900,vp.tbl[[#This Row],[Sulf]]&gt;0.5,vp.tbl[[#This Row],[Unknown]]=0),1,0)</f>
        <v>0</v>
      </c>
      <c r="AE1082">
        <f>IF(AND(vp.tbl[[#This Row],[CrudeType]]="Crude",vp.tbl[[#This Row],[Dens]]&gt;900,vp.tbl[[#This Row],[Sulf]]&lt;=0.5,vp.tbl[[#This Row],[Unknown]]=0),1,0)</f>
        <v>0</v>
      </c>
      <c r="AF1082">
        <f>IF(AND(vp.tbl[[#This Row],[CrudeType]]="Crude",vp.tbl[[#This Row],[Dens]]&gt;900,vp.tbl[[#This Row],[Sulf]]&lt;=0.5,vp.tbl[[#This Row],[Unknown]]=0),1,0)</f>
        <v>0</v>
      </c>
      <c r="AG1082" t="str">
        <f>INDEX(vp.tbl[[#Headers],[Unknown]:[Heavy_SW]],MATCH(1,vp.tbl[[#This Row],[Unknown]:[Heavy_SW]],0))</f>
        <v>Medium_LSB</v>
      </c>
      <c r="AH1082" t="e">
        <f>INDEX([1]!crudeBD.lkup[Number],MATCH(vp.tbl[[#This Row],[Crude_Breakdown]],[1]!crudeBD.lkup[Crude Breakdown],0))</f>
        <v>#REF!</v>
      </c>
      <c r="AI1082">
        <f>MONTH(vp.tbl[[#This Row],[SDate]])</f>
        <v>3</v>
      </c>
      <c r="AJ1082" s="5">
        <f>IFERROR(vp.tbl[[#This Row],[Sulf]]*vp.tbl[[#This Row],[Net Dens]],"")</f>
        <v>12373268.20236</v>
      </c>
      <c r="AK1082" s="5">
        <f>IFERROR(vp.tbl[[#This Row],[Dens]]*vp.tbl[[#This Row],[VolumeM3]],"")</f>
        <v>11456729.817</v>
      </c>
      <c r="AL1082" s="5">
        <f>IFERROR(vp.tbl[[#This Row],[VP]]*vp.tbl[[#This Row],[VolumeM3]],"")</f>
        <v>1462797.4836000002</v>
      </c>
      <c r="AM1082" s="4">
        <f>IFERROR((vp.tbl[[#This Row],[VP]]-INDEX(crudeBD.lkup.complete[Mean_VP],MATCH(vp.tbl[[#This Row],[Crude_Breakdown]],crudeBD.lkup.complete[Crude Breakdown],0)))^2,"")</f>
        <v>636.37151241724303</v>
      </c>
      <c r="AN1082" s="4">
        <f>IFERROR((vp.tbl[[#This Row],[Dens]]-INDEX(crudeBD.lkup.complete[Mean_Dens],MATCH(vp.tbl[[#This Row],[Crude_Breakdown]],crudeBD.lkup.complete[Crude Breakdown],0)))^2,"")</f>
        <v>391.71624914529031</v>
      </c>
      <c r="AO1082" s="4">
        <f>IFERROR((vp.tbl[[#This Row],[Sulf]]-INDEX(crudeBD.lkup.complete[Mean_Sulf],MATCH(vp.tbl[[#This Row],[Crude_Breakdown]],crudeBD.lkup.complete[Crude Breakdown],0)))^2,"")</f>
        <v>0.14057240048913436</v>
      </c>
      <c r="AP1082">
        <f>IF(AND(vp.tbl[[#This Row],[SDate]]&gt;=DATE(YEAR(vp.tbl[[#This Row],[SDate]]),5,1),vp.tbl[[#This Row],[SDate]]&lt;=DATE(YEAR(vp.tbl[[#This Row],[SDate]]),9,15)),1,0)</f>
        <v>0</v>
      </c>
      <c r="AQ1082" s="15">
        <f>IF(vp.tbl[[#This Row],[SDate]]&lt;DATE(2016,12,1),0,1)</f>
        <v>1</v>
      </c>
    </row>
    <row r="1083" spans="1:43" x14ac:dyDescent="0.25">
      <c r="A1083">
        <v>1082</v>
      </c>
      <c r="B1083" t="s">
        <v>62</v>
      </c>
      <c r="C1083" t="s">
        <v>62</v>
      </c>
      <c r="D1083" t="s">
        <v>63</v>
      </c>
      <c r="F1083" s="1">
        <v>42818</v>
      </c>
      <c r="G1083" s="2">
        <v>77.900000000000006</v>
      </c>
      <c r="H1083" s="2"/>
      <c r="I1083" s="2">
        <v>1.74</v>
      </c>
      <c r="J1083" s="2">
        <v>17.600000000000001</v>
      </c>
      <c r="K1083" s="2">
        <v>4</v>
      </c>
      <c r="L1083" s="2">
        <v>830.9</v>
      </c>
      <c r="M1083" s="2">
        <v>830.9</v>
      </c>
      <c r="N1083" s="2">
        <f ca="1">INDEX(INDIRECT(_xlfn.CONCAT("weather.tbl[",N$1,"]")),MATCH(vp.tbl[[#This Row],[SDate]],weather.tbl[Date],0))</f>
        <v>-2.2833333333333337</v>
      </c>
      <c r="O1083" s="2">
        <f ca="1">INDEX(INDIRECT(_xlfn.CONCAT("weather.tbl[",O$1,"]")),MATCH(vp.tbl[[#This Row],[SDate]],weather.tbl[Date],0))</f>
        <v>-2.7095238095238097</v>
      </c>
      <c r="P1083" s="2">
        <f ca="1">INDEX(INDIRECT(_xlfn.CONCAT("weather.tbl[",P$1,"]")),MATCH(vp.tbl[[#This Row],[SDate]],weather.tbl[Date],0))</f>
        <v>-0.1</v>
      </c>
      <c r="Q1083" s="2">
        <f ca="1">INDEX(INDIRECT(_xlfn.CONCAT("weather.tbl[",Q$1,"]")),MATCH(vp.tbl[[#This Row],[SDate]],weather.tbl[Date],0))</f>
        <v>0.3</v>
      </c>
      <c r="R1083" s="2">
        <f ca="1">INDEX(INDIRECT(_xlfn.CONCAT("weather.tbl[",R$1,"]")),MATCH(vp.tbl[[#This Row],[SDate]],weather.tbl[Date],0))</f>
        <v>-11.8</v>
      </c>
      <c r="S1083" s="2">
        <f ca="1">INDEX(INDIRECT(_xlfn.CONCAT("weather.tbl[",S$1,"]")),MATCH(vp.tbl[[#This Row],[SDate]],weather.tbl[Date],0))</f>
        <v>1.1000000000000001</v>
      </c>
      <c r="T1083" s="2">
        <f ca="1">INDEX(INDIRECT(_xlfn.CONCAT("weather.tbl[",T$1,"]")),MATCH(vp.tbl[[#This Row],[SDate]],weather.tbl[Date],0))</f>
        <v>-2.7</v>
      </c>
      <c r="U1083" s="2">
        <f ca="1">INDEX(INDIRECT(_xlfn.CONCAT("weather.tbl[",U$1,"]")),MATCH(vp.tbl[[#This Row],[SDate]],weather.tbl[Date],0))</f>
        <v>-0.5</v>
      </c>
      <c r="V1083" s="2">
        <v>6959.2520000000004</v>
      </c>
      <c r="W1083" t="s">
        <v>48</v>
      </c>
      <c r="X1083">
        <f>IF(OR(vp.tbl[[#This Row],[Sulf]]="",vp.tbl[[#This Row],[Dens]]=""),1,0)</f>
        <v>0</v>
      </c>
      <c r="Y1083">
        <f>IF(vp.tbl[[#This Row],[CrudeType]]="C5+",1,0)</f>
        <v>0</v>
      </c>
      <c r="Z1083">
        <f>IF(AND(vp.tbl[[#This Row],[CrudeType]]="Crude",vp.tbl[[#This Row],[Dens]]&lt;=825,vp.tbl[[#This Row],[Sulf]]&gt;0.5,vp.tbl[[#This Row],[Unknown]]=0),1,0)</f>
        <v>0</v>
      </c>
      <c r="AA1083">
        <f>IF(AND(vp.tbl[[#This Row],[CrudeType]]="Crude",vp.tbl[[#This Row],[Dens]]&lt;=825,vp.tbl[[#This Row],[Sulf]]&lt;=0.5,vp.tbl[[#This Row],[Unknown]]=0),1,0)</f>
        <v>0</v>
      </c>
      <c r="AB1083">
        <f>IF(AND(vp.tbl[[#This Row],[CrudeType]]="Crude",vp.tbl[[#This Row],[Dens]]&gt;825,vp.tbl[[#This Row],[Dens]]&lt;=870,vp.tbl[[#This Row],[Sulf]]&gt;0.5,vp.tbl[[#This Row],[Unknown]]=0),1,0)</f>
        <v>1</v>
      </c>
      <c r="AC1083">
        <f>IF(AND(vp.tbl[[#This Row],[CrudeType]]="Crude",vp.tbl[[#This Row],[Dens]]&gt;825,vp.tbl[[#This Row],[Dens]]&lt;=900,vp.tbl[[#This Row],[Sulf]]&lt;=0.5,vp.tbl[[#This Row],[Unknown]]=0),1,0)</f>
        <v>0</v>
      </c>
      <c r="AD1083">
        <f>IF(AND(vp.tbl[[#This Row],[CrudeType]]="Crude",vp.tbl[[#This Row],[Dens]]&gt;870,vp.tbl[[#This Row],[Dens]]&lt;=900,vp.tbl[[#This Row],[Sulf]]&gt;0.5,vp.tbl[[#This Row],[Unknown]]=0),1,0)</f>
        <v>0</v>
      </c>
      <c r="AE1083">
        <f>IF(AND(vp.tbl[[#This Row],[CrudeType]]="Crude",vp.tbl[[#This Row],[Dens]]&gt;900,vp.tbl[[#This Row],[Sulf]]&lt;=0.5,vp.tbl[[#This Row],[Unknown]]=0),1,0)</f>
        <v>0</v>
      </c>
      <c r="AF1083">
        <f>IF(AND(vp.tbl[[#This Row],[CrudeType]]="Crude",vp.tbl[[#This Row],[Dens]]&gt;900,vp.tbl[[#This Row],[Sulf]]&lt;=0.5,vp.tbl[[#This Row],[Unknown]]=0),1,0)</f>
        <v>0</v>
      </c>
      <c r="AG1083" t="str">
        <f>INDEX(vp.tbl[[#Headers],[Unknown]:[Heavy_SW]],MATCH(1,vp.tbl[[#This Row],[Unknown]:[Heavy_SW]],0))</f>
        <v>Medium_LSB</v>
      </c>
      <c r="AH1083" t="e">
        <f>INDEX([1]!crudeBD.lkup[Number],MATCH(vp.tbl[[#This Row],[Crude_Breakdown]],[1]!crudeBD.lkup[Crude Breakdown],0))</f>
        <v>#REF!</v>
      </c>
      <c r="AI1083">
        <f>MONTH(vp.tbl[[#This Row],[SDate]])</f>
        <v>3</v>
      </c>
      <c r="AJ1083" s="5">
        <f>IFERROR(vp.tbl[[#This Row],[Sulf]]*vp.tbl[[#This Row],[Net Dens]],"")</f>
        <v>10061449.927031999</v>
      </c>
      <c r="AK1083" s="5">
        <f>IFERROR(vp.tbl[[#This Row],[Dens]]*vp.tbl[[#This Row],[VolumeM3]],"")</f>
        <v>5782442.4868000001</v>
      </c>
      <c r="AL1083" s="5">
        <f>IFERROR(vp.tbl[[#This Row],[VP]]*vp.tbl[[#This Row],[VolumeM3]],"")</f>
        <v>542125.73080000002</v>
      </c>
      <c r="AM1083" s="4">
        <f>IFERROR((vp.tbl[[#This Row],[VP]]-INDEX(crudeBD.lkup.complete[Mean_VP],MATCH(vp.tbl[[#This Row],[Crude_Breakdown]],crudeBD.lkup.complete[Crude Breakdown],0)))^2,"")</f>
        <v>5.1692339362279753</v>
      </c>
      <c r="AN1083" s="4">
        <f>IFERROR((vp.tbl[[#This Row],[Dens]]-INDEX(crudeBD.lkup.complete[Mean_Dens],MATCH(vp.tbl[[#This Row],[Crude_Breakdown]],crudeBD.lkup.complete[Crude Breakdown],0)))^2,"")</f>
        <v>207.12456306935221</v>
      </c>
      <c r="AO1083" s="4">
        <f>IFERROR((vp.tbl[[#This Row],[Sulf]]-INDEX(crudeBD.lkup.complete[Mean_Sulf],MATCH(vp.tbl[[#This Row],[Crude_Breakdown]],crudeBD.lkup.complete[Crude Breakdown],0)))^2,"")</f>
        <v>8.1264984286600811E-2</v>
      </c>
      <c r="AP1083">
        <f>IF(AND(vp.tbl[[#This Row],[SDate]]&gt;=DATE(YEAR(vp.tbl[[#This Row],[SDate]]),5,1),vp.tbl[[#This Row],[SDate]]&lt;=DATE(YEAR(vp.tbl[[#This Row],[SDate]]),9,15)),1,0)</f>
        <v>0</v>
      </c>
      <c r="AQ1083" s="15">
        <f>IF(vp.tbl[[#This Row],[SDate]]&lt;DATE(2016,12,1),0,1)</f>
        <v>1</v>
      </c>
    </row>
    <row r="1084" spans="1:43" x14ac:dyDescent="0.25">
      <c r="A1084">
        <v>1083</v>
      </c>
      <c r="B1084" t="s">
        <v>211</v>
      </c>
      <c r="C1084" t="s">
        <v>211</v>
      </c>
      <c r="D1084" t="s">
        <v>212</v>
      </c>
      <c r="F1084" s="1">
        <v>42818</v>
      </c>
      <c r="G1084" s="2">
        <v>80.900000000000006</v>
      </c>
      <c r="H1084" s="2"/>
      <c r="I1084" s="2">
        <v>1.08</v>
      </c>
      <c r="J1084" s="2">
        <v>12</v>
      </c>
      <c r="K1084" s="2">
        <v>4</v>
      </c>
      <c r="L1084" s="2">
        <v>836.4</v>
      </c>
      <c r="M1084" s="2">
        <v>836.4</v>
      </c>
      <c r="N1084" s="2">
        <f ca="1">INDEX(INDIRECT(_xlfn.CONCAT("weather.tbl[",N$1,"]")),MATCH(vp.tbl[[#This Row],[SDate]],weather.tbl[Date],0))</f>
        <v>-2.2833333333333337</v>
      </c>
      <c r="O1084" s="2">
        <f ca="1">INDEX(INDIRECT(_xlfn.CONCAT("weather.tbl[",O$1,"]")),MATCH(vp.tbl[[#This Row],[SDate]],weather.tbl[Date],0))</f>
        <v>-2.7095238095238097</v>
      </c>
      <c r="P1084" s="2">
        <f ca="1">INDEX(INDIRECT(_xlfn.CONCAT("weather.tbl[",P$1,"]")),MATCH(vp.tbl[[#This Row],[SDate]],weather.tbl[Date],0))</f>
        <v>-0.1</v>
      </c>
      <c r="Q1084" s="2">
        <f ca="1">INDEX(INDIRECT(_xlfn.CONCAT("weather.tbl[",Q$1,"]")),MATCH(vp.tbl[[#This Row],[SDate]],weather.tbl[Date],0))</f>
        <v>0.3</v>
      </c>
      <c r="R1084" s="2">
        <f ca="1">INDEX(INDIRECT(_xlfn.CONCAT("weather.tbl[",R$1,"]")),MATCH(vp.tbl[[#This Row],[SDate]],weather.tbl[Date],0))</f>
        <v>-11.8</v>
      </c>
      <c r="S1084" s="2">
        <f ca="1">INDEX(INDIRECT(_xlfn.CONCAT("weather.tbl[",S$1,"]")),MATCH(vp.tbl[[#This Row],[SDate]],weather.tbl[Date],0))</f>
        <v>1.1000000000000001</v>
      </c>
      <c r="T1084" s="2">
        <f ca="1">INDEX(INDIRECT(_xlfn.CONCAT("weather.tbl[",T$1,"]")),MATCH(vp.tbl[[#This Row],[SDate]],weather.tbl[Date],0))</f>
        <v>-2.7</v>
      </c>
      <c r="U1084" s="2">
        <f ca="1">INDEX(INDIRECT(_xlfn.CONCAT("weather.tbl[",U$1,"]")),MATCH(vp.tbl[[#This Row],[SDate]],weather.tbl[Date],0))</f>
        <v>-0.5</v>
      </c>
      <c r="V1084" s="2">
        <v>167.45699999999999</v>
      </c>
      <c r="W1084" t="s">
        <v>48</v>
      </c>
      <c r="X1084">
        <f>IF(OR(vp.tbl[[#This Row],[Sulf]]="",vp.tbl[[#This Row],[Dens]]=""),1,0)</f>
        <v>0</v>
      </c>
      <c r="Y1084">
        <f>IF(vp.tbl[[#This Row],[CrudeType]]="C5+",1,0)</f>
        <v>0</v>
      </c>
      <c r="Z1084">
        <f>IF(AND(vp.tbl[[#This Row],[CrudeType]]="Crude",vp.tbl[[#This Row],[Dens]]&lt;=825,vp.tbl[[#This Row],[Sulf]]&gt;0.5,vp.tbl[[#This Row],[Unknown]]=0),1,0)</f>
        <v>0</v>
      </c>
      <c r="AA1084">
        <f>IF(AND(vp.tbl[[#This Row],[CrudeType]]="Crude",vp.tbl[[#This Row],[Dens]]&lt;=825,vp.tbl[[#This Row],[Sulf]]&lt;=0.5,vp.tbl[[#This Row],[Unknown]]=0),1,0)</f>
        <v>0</v>
      </c>
      <c r="AB1084">
        <f>IF(AND(vp.tbl[[#This Row],[CrudeType]]="Crude",vp.tbl[[#This Row],[Dens]]&gt;825,vp.tbl[[#This Row],[Dens]]&lt;=870,vp.tbl[[#This Row],[Sulf]]&gt;0.5,vp.tbl[[#This Row],[Unknown]]=0),1,0)</f>
        <v>1</v>
      </c>
      <c r="AC1084">
        <f>IF(AND(vp.tbl[[#This Row],[CrudeType]]="Crude",vp.tbl[[#This Row],[Dens]]&gt;825,vp.tbl[[#This Row],[Dens]]&lt;=900,vp.tbl[[#This Row],[Sulf]]&lt;=0.5,vp.tbl[[#This Row],[Unknown]]=0),1,0)</f>
        <v>0</v>
      </c>
      <c r="AD1084">
        <f>IF(AND(vp.tbl[[#This Row],[CrudeType]]="Crude",vp.tbl[[#This Row],[Dens]]&gt;870,vp.tbl[[#This Row],[Dens]]&lt;=900,vp.tbl[[#This Row],[Sulf]]&gt;0.5,vp.tbl[[#This Row],[Unknown]]=0),1,0)</f>
        <v>0</v>
      </c>
      <c r="AE1084">
        <f>IF(AND(vp.tbl[[#This Row],[CrudeType]]="Crude",vp.tbl[[#This Row],[Dens]]&gt;900,vp.tbl[[#This Row],[Sulf]]&lt;=0.5,vp.tbl[[#This Row],[Unknown]]=0),1,0)</f>
        <v>0</v>
      </c>
      <c r="AF1084">
        <f>IF(AND(vp.tbl[[#This Row],[CrudeType]]="Crude",vp.tbl[[#This Row],[Dens]]&gt;900,vp.tbl[[#This Row],[Sulf]]&lt;=0.5,vp.tbl[[#This Row],[Unknown]]=0),1,0)</f>
        <v>0</v>
      </c>
      <c r="AG1084" t="str">
        <f>INDEX(vp.tbl[[#Headers],[Unknown]:[Heavy_SW]],MATCH(1,vp.tbl[[#This Row],[Unknown]:[Heavy_SW]],0))</f>
        <v>Medium_LSB</v>
      </c>
      <c r="AH1084" t="e">
        <f>INDEX([1]!crudeBD.lkup[Number],MATCH(vp.tbl[[#This Row],[Crude_Breakdown]],[1]!crudeBD.lkup[Crude Breakdown],0))</f>
        <v>#REF!</v>
      </c>
      <c r="AI1084">
        <f>MONTH(vp.tbl[[#This Row],[SDate]])</f>
        <v>3</v>
      </c>
      <c r="AJ1084" s="5">
        <f>IFERROR(vp.tbl[[#This Row],[Sulf]]*vp.tbl[[#This Row],[Net Dens]],"")</f>
        <v>151265.91758400001</v>
      </c>
      <c r="AK1084" s="5">
        <f>IFERROR(vp.tbl[[#This Row],[Dens]]*vp.tbl[[#This Row],[VolumeM3]],"")</f>
        <v>140061.03479999999</v>
      </c>
      <c r="AL1084" s="5">
        <f>IFERROR(vp.tbl[[#This Row],[VP]]*vp.tbl[[#This Row],[VolumeM3]],"")</f>
        <v>13547.2713</v>
      </c>
      <c r="AM1084" s="4">
        <f>IFERROR((vp.tbl[[#This Row],[VP]]-INDEX(crudeBD.lkup.complete[Mean_VP],MATCH(vp.tbl[[#This Row],[Crude_Breakdown]],crudeBD.lkup.complete[Crude Breakdown],0)))^2,"")</f>
        <v>0.52766431597506591</v>
      </c>
      <c r="AN1084" s="4">
        <f>IFERROR((vp.tbl[[#This Row],[Dens]]-INDEX(crudeBD.lkup.complete[Mean_Dens],MATCH(vp.tbl[[#This Row],[Crude_Breakdown]],crudeBD.lkup.complete[Crude Breakdown],0)))^2,"")</f>
        <v>79.064512436451409</v>
      </c>
      <c r="AO1084" s="4">
        <f>IFERROR((vp.tbl[[#This Row],[Sulf]]-INDEX(crudeBD.lkup.complete[Mean_Sulf],MATCH(vp.tbl[[#This Row],[Crude_Breakdown]],crudeBD.lkup.complete[Crude Breakdown],0)))^2,"")</f>
        <v>0.14057240048913436</v>
      </c>
      <c r="AP1084">
        <f>IF(AND(vp.tbl[[#This Row],[SDate]]&gt;=DATE(YEAR(vp.tbl[[#This Row],[SDate]]),5,1),vp.tbl[[#This Row],[SDate]]&lt;=DATE(YEAR(vp.tbl[[#This Row],[SDate]]),9,15)),1,0)</f>
        <v>0</v>
      </c>
      <c r="AQ1084" s="15">
        <f>IF(vp.tbl[[#This Row],[SDate]]&lt;DATE(2016,12,1),0,1)</f>
        <v>1</v>
      </c>
    </row>
    <row r="1085" spans="1:43" x14ac:dyDescent="0.25">
      <c r="A1085">
        <v>1084</v>
      </c>
      <c r="B1085" t="s">
        <v>84</v>
      </c>
      <c r="C1085" t="s">
        <v>84</v>
      </c>
      <c r="D1085" t="s">
        <v>213</v>
      </c>
      <c r="F1085" s="1">
        <v>42818</v>
      </c>
      <c r="G1085" s="2">
        <v>89</v>
      </c>
      <c r="H1085" s="2"/>
      <c r="I1085" s="2">
        <v>1.26</v>
      </c>
      <c r="J1085" s="2">
        <v>8</v>
      </c>
      <c r="K1085" s="2">
        <v>4</v>
      </c>
      <c r="L1085" s="2">
        <v>846.6</v>
      </c>
      <c r="M1085" s="2">
        <v>846.6</v>
      </c>
      <c r="N1085" s="2">
        <f ca="1">INDEX(INDIRECT(_xlfn.CONCAT("weather.tbl[",N$1,"]")),MATCH(vp.tbl[[#This Row],[SDate]],weather.tbl[Date],0))</f>
        <v>-2.2833333333333337</v>
      </c>
      <c r="O1085" s="2">
        <f ca="1">INDEX(INDIRECT(_xlfn.CONCAT("weather.tbl[",O$1,"]")),MATCH(vp.tbl[[#This Row],[SDate]],weather.tbl[Date],0))</f>
        <v>-2.7095238095238097</v>
      </c>
      <c r="P1085" s="2">
        <f ca="1">INDEX(INDIRECT(_xlfn.CONCAT("weather.tbl[",P$1,"]")),MATCH(vp.tbl[[#This Row],[SDate]],weather.tbl[Date],0))</f>
        <v>-0.1</v>
      </c>
      <c r="Q1085" s="2">
        <f ca="1">INDEX(INDIRECT(_xlfn.CONCAT("weather.tbl[",Q$1,"]")),MATCH(vp.tbl[[#This Row],[SDate]],weather.tbl[Date],0))</f>
        <v>0.3</v>
      </c>
      <c r="R1085" s="2">
        <f ca="1">INDEX(INDIRECT(_xlfn.CONCAT("weather.tbl[",R$1,"]")),MATCH(vp.tbl[[#This Row],[SDate]],weather.tbl[Date],0))</f>
        <v>-11.8</v>
      </c>
      <c r="S1085" s="2">
        <f ca="1">INDEX(INDIRECT(_xlfn.CONCAT("weather.tbl[",S$1,"]")),MATCH(vp.tbl[[#This Row],[SDate]],weather.tbl[Date],0))</f>
        <v>1.1000000000000001</v>
      </c>
      <c r="T1085" s="2">
        <f ca="1">INDEX(INDIRECT(_xlfn.CONCAT("weather.tbl[",T$1,"]")),MATCH(vp.tbl[[#This Row],[SDate]],weather.tbl[Date],0))</f>
        <v>-2.7</v>
      </c>
      <c r="U1085" s="2">
        <f ca="1">INDEX(INDIRECT(_xlfn.CONCAT("weather.tbl[",U$1,"]")),MATCH(vp.tbl[[#This Row],[SDate]],weather.tbl[Date],0))</f>
        <v>-0.5</v>
      </c>
      <c r="V1085" s="2">
        <v>139.06800000000001</v>
      </c>
      <c r="W1085" t="s">
        <v>48</v>
      </c>
      <c r="X1085">
        <f>IF(OR(vp.tbl[[#This Row],[Sulf]]="",vp.tbl[[#This Row],[Dens]]=""),1,0)</f>
        <v>0</v>
      </c>
      <c r="Y1085">
        <f>IF(vp.tbl[[#This Row],[CrudeType]]="C5+",1,0)</f>
        <v>0</v>
      </c>
      <c r="Z1085">
        <f>IF(AND(vp.tbl[[#This Row],[CrudeType]]="Crude",vp.tbl[[#This Row],[Dens]]&lt;=825,vp.tbl[[#This Row],[Sulf]]&gt;0.5,vp.tbl[[#This Row],[Unknown]]=0),1,0)</f>
        <v>0</v>
      </c>
      <c r="AA1085">
        <f>IF(AND(vp.tbl[[#This Row],[CrudeType]]="Crude",vp.tbl[[#This Row],[Dens]]&lt;=825,vp.tbl[[#This Row],[Sulf]]&lt;=0.5,vp.tbl[[#This Row],[Unknown]]=0),1,0)</f>
        <v>0</v>
      </c>
      <c r="AB1085">
        <f>IF(AND(vp.tbl[[#This Row],[CrudeType]]="Crude",vp.tbl[[#This Row],[Dens]]&gt;825,vp.tbl[[#This Row],[Dens]]&lt;=870,vp.tbl[[#This Row],[Sulf]]&gt;0.5,vp.tbl[[#This Row],[Unknown]]=0),1,0)</f>
        <v>1</v>
      </c>
      <c r="AC1085">
        <f>IF(AND(vp.tbl[[#This Row],[CrudeType]]="Crude",vp.tbl[[#This Row],[Dens]]&gt;825,vp.tbl[[#This Row],[Dens]]&lt;=900,vp.tbl[[#This Row],[Sulf]]&lt;=0.5,vp.tbl[[#This Row],[Unknown]]=0),1,0)</f>
        <v>0</v>
      </c>
      <c r="AD1085">
        <f>IF(AND(vp.tbl[[#This Row],[CrudeType]]="Crude",vp.tbl[[#This Row],[Dens]]&gt;870,vp.tbl[[#This Row],[Dens]]&lt;=900,vp.tbl[[#This Row],[Sulf]]&gt;0.5,vp.tbl[[#This Row],[Unknown]]=0),1,0)</f>
        <v>0</v>
      </c>
      <c r="AE1085">
        <f>IF(AND(vp.tbl[[#This Row],[CrudeType]]="Crude",vp.tbl[[#This Row],[Dens]]&gt;900,vp.tbl[[#This Row],[Sulf]]&lt;=0.5,vp.tbl[[#This Row],[Unknown]]=0),1,0)</f>
        <v>0</v>
      </c>
      <c r="AF1085">
        <f>IF(AND(vp.tbl[[#This Row],[CrudeType]]="Crude",vp.tbl[[#This Row],[Dens]]&gt;900,vp.tbl[[#This Row],[Sulf]]&lt;=0.5,vp.tbl[[#This Row],[Unknown]]=0),1,0)</f>
        <v>0</v>
      </c>
      <c r="AG1085" t="str">
        <f>INDEX(vp.tbl[[#Headers],[Unknown]:[Heavy_SW]],MATCH(1,vp.tbl[[#This Row],[Unknown]:[Heavy_SW]],0))</f>
        <v>Medium_LSB</v>
      </c>
      <c r="AH1085" t="e">
        <f>INDEX([1]!crudeBD.lkup[Number],MATCH(vp.tbl[[#This Row],[Crude_Breakdown]],[1]!crudeBD.lkup[Crude Breakdown],0))</f>
        <v>#REF!</v>
      </c>
      <c r="AI1085">
        <f>MONTH(vp.tbl[[#This Row],[SDate]])</f>
        <v>3</v>
      </c>
      <c r="AJ1085" s="5">
        <f>IFERROR(vp.tbl[[#This Row],[Sulf]]*vp.tbl[[#This Row],[Net Dens]],"")</f>
        <v>148346.06068800003</v>
      </c>
      <c r="AK1085" s="5">
        <f>IFERROR(vp.tbl[[#This Row],[Dens]]*vp.tbl[[#This Row],[VolumeM3]],"")</f>
        <v>117734.96880000002</v>
      </c>
      <c r="AL1085" s="5">
        <f>IFERROR(vp.tbl[[#This Row],[VP]]*vp.tbl[[#This Row],[VolumeM3]],"")</f>
        <v>12377.052000000001</v>
      </c>
      <c r="AM1085" s="4">
        <f>IFERROR((vp.tbl[[#This Row],[VP]]-INDEX(crudeBD.lkup.complete[Mean_VP],MATCH(vp.tbl[[#This Row],[Crude_Breakdown]],crudeBD.lkup.complete[Crude Breakdown],0)))^2,"")</f>
        <v>77.905426341292113</v>
      </c>
      <c r="AN1085" s="4">
        <f>IFERROR((vp.tbl[[#This Row],[Dens]]-INDEX(crudeBD.lkup.complete[Mean_Dens],MATCH(vp.tbl[[#This Row],[Crude_Breakdown]],crudeBD.lkup.complete[Crude Breakdown],0)))^2,"")</f>
        <v>1.711327626344568</v>
      </c>
      <c r="AO1085" s="4">
        <f>IFERROR((vp.tbl[[#This Row],[Sulf]]-INDEX(crudeBD.lkup.complete[Mean_Sulf],MATCH(vp.tbl[[#This Row],[Crude_Breakdown]],crudeBD.lkup.complete[Crude Breakdown],0)))^2,"")</f>
        <v>3.7997650615716166E-2</v>
      </c>
      <c r="AP1085">
        <f>IF(AND(vp.tbl[[#This Row],[SDate]]&gt;=DATE(YEAR(vp.tbl[[#This Row],[SDate]]),5,1),vp.tbl[[#This Row],[SDate]]&lt;=DATE(YEAR(vp.tbl[[#This Row],[SDate]]),9,15)),1,0)</f>
        <v>0</v>
      </c>
      <c r="AQ1085" s="15">
        <f>IF(vp.tbl[[#This Row],[SDate]]&lt;DATE(2016,12,1),0,1)</f>
        <v>1</v>
      </c>
    </row>
    <row r="1086" spans="1:43" x14ac:dyDescent="0.25">
      <c r="A1086">
        <v>1085</v>
      </c>
      <c r="B1086" t="s">
        <v>84</v>
      </c>
      <c r="C1086" t="s">
        <v>84</v>
      </c>
      <c r="D1086" t="s">
        <v>85</v>
      </c>
      <c r="F1086" s="1">
        <v>42818</v>
      </c>
      <c r="G1086" s="2">
        <v>87.9</v>
      </c>
      <c r="H1086" s="2"/>
      <c r="I1086" s="2">
        <v>1.34</v>
      </c>
      <c r="J1086" s="2">
        <v>24</v>
      </c>
      <c r="K1086" s="2">
        <v>4</v>
      </c>
      <c r="L1086" s="2">
        <v>847.1</v>
      </c>
      <c r="M1086" s="2">
        <v>847.1</v>
      </c>
      <c r="N1086" s="2">
        <f ca="1">INDEX(INDIRECT(_xlfn.CONCAT("weather.tbl[",N$1,"]")),MATCH(vp.tbl[[#This Row],[SDate]],weather.tbl[Date],0))</f>
        <v>-2.2833333333333337</v>
      </c>
      <c r="O1086" s="2">
        <f ca="1">INDEX(INDIRECT(_xlfn.CONCAT("weather.tbl[",O$1,"]")),MATCH(vp.tbl[[#This Row],[SDate]],weather.tbl[Date],0))</f>
        <v>-2.7095238095238097</v>
      </c>
      <c r="P1086" s="2">
        <f ca="1">INDEX(INDIRECT(_xlfn.CONCAT("weather.tbl[",P$1,"]")),MATCH(vp.tbl[[#This Row],[SDate]],weather.tbl[Date],0))</f>
        <v>-0.1</v>
      </c>
      <c r="Q1086" s="2">
        <f ca="1">INDEX(INDIRECT(_xlfn.CONCAT("weather.tbl[",Q$1,"]")),MATCH(vp.tbl[[#This Row],[SDate]],weather.tbl[Date],0))</f>
        <v>0.3</v>
      </c>
      <c r="R1086" s="2">
        <f ca="1">INDEX(INDIRECT(_xlfn.CONCAT("weather.tbl[",R$1,"]")),MATCH(vp.tbl[[#This Row],[SDate]],weather.tbl[Date],0))</f>
        <v>-11.8</v>
      </c>
      <c r="S1086" s="2">
        <f ca="1">INDEX(INDIRECT(_xlfn.CONCAT("weather.tbl[",S$1,"]")),MATCH(vp.tbl[[#This Row],[SDate]],weather.tbl[Date],0))</f>
        <v>1.1000000000000001</v>
      </c>
      <c r="T1086" s="2">
        <f ca="1">INDEX(INDIRECT(_xlfn.CONCAT("weather.tbl[",T$1,"]")),MATCH(vp.tbl[[#This Row],[SDate]],weather.tbl[Date],0))</f>
        <v>-2.7</v>
      </c>
      <c r="U1086" s="2">
        <f ca="1">INDEX(INDIRECT(_xlfn.CONCAT("weather.tbl[",U$1,"]")),MATCH(vp.tbl[[#This Row],[SDate]],weather.tbl[Date],0))</f>
        <v>-0.5</v>
      </c>
      <c r="V1086" s="2">
        <v>2456.3589999999999</v>
      </c>
      <c r="W1086" t="s">
        <v>48</v>
      </c>
      <c r="X1086">
        <f>IF(OR(vp.tbl[[#This Row],[Sulf]]="",vp.tbl[[#This Row],[Dens]]=""),1,0)</f>
        <v>0</v>
      </c>
      <c r="Y1086">
        <f>IF(vp.tbl[[#This Row],[CrudeType]]="C5+",1,0)</f>
        <v>0</v>
      </c>
      <c r="Z1086">
        <f>IF(AND(vp.tbl[[#This Row],[CrudeType]]="Crude",vp.tbl[[#This Row],[Dens]]&lt;=825,vp.tbl[[#This Row],[Sulf]]&gt;0.5,vp.tbl[[#This Row],[Unknown]]=0),1,0)</f>
        <v>0</v>
      </c>
      <c r="AA1086">
        <f>IF(AND(vp.tbl[[#This Row],[CrudeType]]="Crude",vp.tbl[[#This Row],[Dens]]&lt;=825,vp.tbl[[#This Row],[Sulf]]&lt;=0.5,vp.tbl[[#This Row],[Unknown]]=0),1,0)</f>
        <v>0</v>
      </c>
      <c r="AB1086">
        <f>IF(AND(vp.tbl[[#This Row],[CrudeType]]="Crude",vp.tbl[[#This Row],[Dens]]&gt;825,vp.tbl[[#This Row],[Dens]]&lt;=870,vp.tbl[[#This Row],[Sulf]]&gt;0.5,vp.tbl[[#This Row],[Unknown]]=0),1,0)</f>
        <v>1</v>
      </c>
      <c r="AC1086">
        <f>IF(AND(vp.tbl[[#This Row],[CrudeType]]="Crude",vp.tbl[[#This Row],[Dens]]&gt;825,vp.tbl[[#This Row],[Dens]]&lt;=900,vp.tbl[[#This Row],[Sulf]]&lt;=0.5,vp.tbl[[#This Row],[Unknown]]=0),1,0)</f>
        <v>0</v>
      </c>
      <c r="AD1086">
        <f>IF(AND(vp.tbl[[#This Row],[CrudeType]]="Crude",vp.tbl[[#This Row],[Dens]]&gt;870,vp.tbl[[#This Row],[Dens]]&lt;=900,vp.tbl[[#This Row],[Sulf]]&gt;0.5,vp.tbl[[#This Row],[Unknown]]=0),1,0)</f>
        <v>0</v>
      </c>
      <c r="AE1086">
        <f>IF(AND(vp.tbl[[#This Row],[CrudeType]]="Crude",vp.tbl[[#This Row],[Dens]]&gt;900,vp.tbl[[#This Row],[Sulf]]&lt;=0.5,vp.tbl[[#This Row],[Unknown]]=0),1,0)</f>
        <v>0</v>
      </c>
      <c r="AF1086">
        <f>IF(AND(vp.tbl[[#This Row],[CrudeType]]="Crude",vp.tbl[[#This Row],[Dens]]&gt;900,vp.tbl[[#This Row],[Sulf]]&lt;=0.5,vp.tbl[[#This Row],[Unknown]]=0),1,0)</f>
        <v>0</v>
      </c>
      <c r="AG1086" t="str">
        <f>INDEX(vp.tbl[[#Headers],[Unknown]:[Heavy_SW]],MATCH(1,vp.tbl[[#This Row],[Unknown]:[Heavy_SW]],0))</f>
        <v>Medium_LSB</v>
      </c>
      <c r="AH1086" t="e">
        <f>INDEX([1]!crudeBD.lkup[Number],MATCH(vp.tbl[[#This Row],[Crude_Breakdown]],[1]!crudeBD.lkup[Crude Breakdown],0))</f>
        <v>#REF!</v>
      </c>
      <c r="AI1086">
        <f>MONTH(vp.tbl[[#This Row],[SDate]])</f>
        <v>3</v>
      </c>
      <c r="AJ1086" s="5">
        <f>IFERROR(vp.tbl[[#This Row],[Sulf]]*vp.tbl[[#This Row],[Net Dens]],"")</f>
        <v>2788247.4899260001</v>
      </c>
      <c r="AK1086" s="5">
        <f>IFERROR(vp.tbl[[#This Row],[Dens]]*vp.tbl[[#This Row],[VolumeM3]],"")</f>
        <v>2080781.7089</v>
      </c>
      <c r="AL1086" s="5">
        <f>IFERROR(vp.tbl[[#This Row],[VP]]*vp.tbl[[#This Row],[VolumeM3]],"")</f>
        <v>215913.95610000001</v>
      </c>
      <c r="AM1086" s="4">
        <f>IFERROR((vp.tbl[[#This Row],[VP]]-INDEX(crudeBD.lkup.complete[Mean_VP],MATCH(vp.tbl[[#This Row],[Crude_Breakdown]],crudeBD.lkup.complete[Crude Breakdown],0)))^2,"")</f>
        <v>59.697335202051612</v>
      </c>
      <c r="AN1086" s="4">
        <f>IFERROR((vp.tbl[[#This Row],[Dens]]-INDEX(crudeBD.lkup.complete[Mean_Dens],MATCH(vp.tbl[[#This Row],[Crude_Breakdown]],crudeBD.lkup.complete[Crude Breakdown],0)))^2,"")</f>
        <v>3.2695048415354488</v>
      </c>
      <c r="AO1086" s="4">
        <f>IFERROR((vp.tbl[[#This Row],[Sulf]]-INDEX(crudeBD.lkup.complete[Mean_Sulf],MATCH(vp.tbl[[#This Row],[Crude_Breakdown]],crudeBD.lkup.complete[Crude Breakdown],0)))^2,"")</f>
        <v>1.3208872894196925E-2</v>
      </c>
      <c r="AP1086">
        <f>IF(AND(vp.tbl[[#This Row],[SDate]]&gt;=DATE(YEAR(vp.tbl[[#This Row],[SDate]]),5,1),vp.tbl[[#This Row],[SDate]]&lt;=DATE(YEAR(vp.tbl[[#This Row],[SDate]]),9,15)),1,0)</f>
        <v>0</v>
      </c>
      <c r="AQ1086" s="15">
        <f>IF(vp.tbl[[#This Row],[SDate]]&lt;DATE(2016,12,1),0,1)</f>
        <v>1</v>
      </c>
    </row>
    <row r="1087" spans="1:43" x14ac:dyDescent="0.25">
      <c r="A1087">
        <v>1086</v>
      </c>
      <c r="B1087" t="s">
        <v>51</v>
      </c>
      <c r="C1087" t="s">
        <v>51</v>
      </c>
      <c r="D1087" t="s">
        <v>214</v>
      </c>
      <c r="F1087" s="1">
        <v>42818</v>
      </c>
      <c r="G1087" s="2">
        <v>92.9</v>
      </c>
      <c r="H1087" s="2"/>
      <c r="I1087" s="2">
        <v>1.74</v>
      </c>
      <c r="J1087" s="2">
        <v>19</v>
      </c>
      <c r="K1087" s="2">
        <v>4</v>
      </c>
      <c r="L1087" s="2">
        <v>853</v>
      </c>
      <c r="M1087" s="2">
        <v>853</v>
      </c>
      <c r="N1087" s="2">
        <f ca="1">INDEX(INDIRECT(_xlfn.CONCAT("weather.tbl[",N$1,"]")),MATCH(vp.tbl[[#This Row],[SDate]],weather.tbl[Date],0))</f>
        <v>-2.2833333333333337</v>
      </c>
      <c r="O1087" s="2">
        <f ca="1">INDEX(INDIRECT(_xlfn.CONCAT("weather.tbl[",O$1,"]")),MATCH(vp.tbl[[#This Row],[SDate]],weather.tbl[Date],0))</f>
        <v>-2.7095238095238097</v>
      </c>
      <c r="P1087" s="2">
        <f ca="1">INDEX(INDIRECT(_xlfn.CONCAT("weather.tbl[",P$1,"]")),MATCH(vp.tbl[[#This Row],[SDate]],weather.tbl[Date],0))</f>
        <v>-0.1</v>
      </c>
      <c r="Q1087" s="2">
        <f ca="1">INDEX(INDIRECT(_xlfn.CONCAT("weather.tbl[",Q$1,"]")),MATCH(vp.tbl[[#This Row],[SDate]],weather.tbl[Date],0))</f>
        <v>0.3</v>
      </c>
      <c r="R1087" s="2">
        <f ca="1">INDEX(INDIRECT(_xlfn.CONCAT("weather.tbl[",R$1,"]")),MATCH(vp.tbl[[#This Row],[SDate]],weather.tbl[Date],0))</f>
        <v>-11.8</v>
      </c>
      <c r="S1087" s="2">
        <f ca="1">INDEX(INDIRECT(_xlfn.CONCAT("weather.tbl[",S$1,"]")),MATCH(vp.tbl[[#This Row],[SDate]],weather.tbl[Date],0))</f>
        <v>1.1000000000000001</v>
      </c>
      <c r="T1087" s="2">
        <f ca="1">INDEX(INDIRECT(_xlfn.CONCAT("weather.tbl[",T$1,"]")),MATCH(vp.tbl[[#This Row],[SDate]],weather.tbl[Date],0))</f>
        <v>-2.7</v>
      </c>
      <c r="U1087" s="2">
        <f ca="1">INDEX(INDIRECT(_xlfn.CONCAT("weather.tbl[",U$1,"]")),MATCH(vp.tbl[[#This Row],[SDate]],weather.tbl[Date],0))</f>
        <v>-0.5</v>
      </c>
      <c r="V1087" s="2">
        <v>658.22500000000002</v>
      </c>
      <c r="W1087" t="s">
        <v>48</v>
      </c>
      <c r="X1087">
        <f>IF(OR(vp.tbl[[#This Row],[Sulf]]="",vp.tbl[[#This Row],[Dens]]=""),1,0)</f>
        <v>0</v>
      </c>
      <c r="Y1087">
        <f>IF(vp.tbl[[#This Row],[CrudeType]]="C5+",1,0)</f>
        <v>0</v>
      </c>
      <c r="Z1087">
        <f>IF(AND(vp.tbl[[#This Row],[CrudeType]]="Crude",vp.tbl[[#This Row],[Dens]]&lt;=825,vp.tbl[[#This Row],[Sulf]]&gt;0.5,vp.tbl[[#This Row],[Unknown]]=0),1,0)</f>
        <v>0</v>
      </c>
      <c r="AA1087">
        <f>IF(AND(vp.tbl[[#This Row],[CrudeType]]="Crude",vp.tbl[[#This Row],[Dens]]&lt;=825,vp.tbl[[#This Row],[Sulf]]&lt;=0.5,vp.tbl[[#This Row],[Unknown]]=0),1,0)</f>
        <v>0</v>
      </c>
      <c r="AB1087">
        <f>IF(AND(vp.tbl[[#This Row],[CrudeType]]="Crude",vp.tbl[[#This Row],[Dens]]&gt;825,vp.tbl[[#This Row],[Dens]]&lt;=870,vp.tbl[[#This Row],[Sulf]]&gt;0.5,vp.tbl[[#This Row],[Unknown]]=0),1,0)</f>
        <v>1</v>
      </c>
      <c r="AC1087">
        <f>IF(AND(vp.tbl[[#This Row],[CrudeType]]="Crude",vp.tbl[[#This Row],[Dens]]&gt;825,vp.tbl[[#This Row],[Dens]]&lt;=900,vp.tbl[[#This Row],[Sulf]]&lt;=0.5,vp.tbl[[#This Row],[Unknown]]=0),1,0)</f>
        <v>0</v>
      </c>
      <c r="AD1087">
        <f>IF(AND(vp.tbl[[#This Row],[CrudeType]]="Crude",vp.tbl[[#This Row],[Dens]]&gt;870,vp.tbl[[#This Row],[Dens]]&lt;=900,vp.tbl[[#This Row],[Sulf]]&gt;0.5,vp.tbl[[#This Row],[Unknown]]=0),1,0)</f>
        <v>0</v>
      </c>
      <c r="AE1087">
        <f>IF(AND(vp.tbl[[#This Row],[CrudeType]]="Crude",vp.tbl[[#This Row],[Dens]]&gt;900,vp.tbl[[#This Row],[Sulf]]&lt;=0.5,vp.tbl[[#This Row],[Unknown]]=0),1,0)</f>
        <v>0</v>
      </c>
      <c r="AF1087">
        <f>IF(AND(vp.tbl[[#This Row],[CrudeType]]="Crude",vp.tbl[[#This Row],[Dens]]&gt;900,vp.tbl[[#This Row],[Sulf]]&lt;=0.5,vp.tbl[[#This Row],[Unknown]]=0),1,0)</f>
        <v>0</v>
      </c>
      <c r="AG1087" t="str">
        <f>INDEX(vp.tbl[[#Headers],[Unknown]:[Heavy_SW]],MATCH(1,vp.tbl[[#This Row],[Unknown]:[Heavy_SW]],0))</f>
        <v>Medium_LSB</v>
      </c>
      <c r="AH1087" t="e">
        <f>INDEX([1]!crudeBD.lkup[Number],MATCH(vp.tbl[[#This Row],[Crude_Breakdown]],[1]!crudeBD.lkup[Crude Breakdown],0))</f>
        <v>#REF!</v>
      </c>
      <c r="AI1087">
        <f>MONTH(vp.tbl[[#This Row],[SDate]])</f>
        <v>3</v>
      </c>
      <c r="AJ1087" s="5">
        <f>IFERROR(vp.tbl[[#This Row],[Sulf]]*vp.tbl[[#This Row],[Net Dens]],"")</f>
        <v>976950.70950000011</v>
      </c>
      <c r="AK1087" s="5">
        <f>IFERROR(vp.tbl[[#This Row],[Dens]]*vp.tbl[[#This Row],[VolumeM3]],"")</f>
        <v>561465.92500000005</v>
      </c>
      <c r="AL1087" s="5">
        <f>IFERROR(vp.tbl[[#This Row],[VP]]*vp.tbl[[#This Row],[VolumeM3]],"")</f>
        <v>61149.102500000008</v>
      </c>
      <c r="AM1087" s="4">
        <f>IFERROR((vp.tbl[[#This Row],[VP]]-INDEX(crudeBD.lkup.complete[Mean_VP],MATCH(vp.tbl[[#This Row],[Crude_Breakdown]],crudeBD.lkup.complete[Crude Breakdown],0)))^2,"")</f>
        <v>161.96138583496344</v>
      </c>
      <c r="AN1087" s="4">
        <f>IFERROR((vp.tbl[[#This Row],[Dens]]-INDEX(crudeBD.lkup.complete[Mean_Dens],MATCH(vp.tbl[[#This Row],[Crude_Breakdown]],crudeBD.lkup.complete[Crude Breakdown],0)))^2,"")</f>
        <v>59.415995980787493</v>
      </c>
      <c r="AO1087" s="4">
        <f>IFERROR((vp.tbl[[#This Row],[Sulf]]-INDEX(crudeBD.lkup.complete[Mean_Sulf],MATCH(vp.tbl[[#This Row],[Crude_Breakdown]],crudeBD.lkup.complete[Crude Breakdown],0)))^2,"")</f>
        <v>8.1264984286600811E-2</v>
      </c>
      <c r="AP1087">
        <f>IF(AND(vp.tbl[[#This Row],[SDate]]&gt;=DATE(YEAR(vp.tbl[[#This Row],[SDate]]),5,1),vp.tbl[[#This Row],[SDate]]&lt;=DATE(YEAR(vp.tbl[[#This Row],[SDate]]),9,15)),1,0)</f>
        <v>0</v>
      </c>
      <c r="AQ1087" s="15">
        <f>IF(vp.tbl[[#This Row],[SDate]]&lt;DATE(2016,12,1),0,1)</f>
        <v>1</v>
      </c>
    </row>
    <row r="1088" spans="1:43" x14ac:dyDescent="0.25">
      <c r="A1088">
        <v>1087</v>
      </c>
      <c r="B1088" t="s">
        <v>84</v>
      </c>
      <c r="C1088" t="s">
        <v>84</v>
      </c>
      <c r="D1088" t="s">
        <v>215</v>
      </c>
      <c r="F1088" s="1">
        <v>42818</v>
      </c>
      <c r="G1088" s="2">
        <v>74.599999999999994</v>
      </c>
      <c r="H1088" s="2"/>
      <c r="I1088" s="2">
        <v>1.46</v>
      </c>
      <c r="J1088" s="2">
        <v>33</v>
      </c>
      <c r="K1088" s="2">
        <v>4</v>
      </c>
      <c r="L1088" s="2">
        <v>853.7</v>
      </c>
      <c r="M1088" s="2">
        <v>853.7</v>
      </c>
      <c r="N1088" s="2">
        <f ca="1">INDEX(INDIRECT(_xlfn.CONCAT("weather.tbl[",N$1,"]")),MATCH(vp.tbl[[#This Row],[SDate]],weather.tbl[Date],0))</f>
        <v>-2.2833333333333337</v>
      </c>
      <c r="O1088" s="2">
        <f ca="1">INDEX(INDIRECT(_xlfn.CONCAT("weather.tbl[",O$1,"]")),MATCH(vp.tbl[[#This Row],[SDate]],weather.tbl[Date],0))</f>
        <v>-2.7095238095238097</v>
      </c>
      <c r="P1088" s="2">
        <f ca="1">INDEX(INDIRECT(_xlfn.CONCAT("weather.tbl[",P$1,"]")),MATCH(vp.tbl[[#This Row],[SDate]],weather.tbl[Date],0))</f>
        <v>-0.1</v>
      </c>
      <c r="Q1088" s="2">
        <f ca="1">INDEX(INDIRECT(_xlfn.CONCAT("weather.tbl[",Q$1,"]")),MATCH(vp.tbl[[#This Row],[SDate]],weather.tbl[Date],0))</f>
        <v>0.3</v>
      </c>
      <c r="R1088" s="2">
        <f ca="1">INDEX(INDIRECT(_xlfn.CONCAT("weather.tbl[",R$1,"]")),MATCH(vp.tbl[[#This Row],[SDate]],weather.tbl[Date],0))</f>
        <v>-11.8</v>
      </c>
      <c r="S1088" s="2">
        <f ca="1">INDEX(INDIRECT(_xlfn.CONCAT("weather.tbl[",S$1,"]")),MATCH(vp.tbl[[#This Row],[SDate]],weather.tbl[Date],0))</f>
        <v>1.1000000000000001</v>
      </c>
      <c r="T1088" s="2">
        <f ca="1">INDEX(INDIRECT(_xlfn.CONCAT("weather.tbl[",T$1,"]")),MATCH(vp.tbl[[#This Row],[SDate]],weather.tbl[Date],0))</f>
        <v>-2.7</v>
      </c>
      <c r="U1088" s="2">
        <f ca="1">INDEX(INDIRECT(_xlfn.CONCAT("weather.tbl[",U$1,"]")),MATCH(vp.tbl[[#This Row],[SDate]],weather.tbl[Date],0))</f>
        <v>-0.5</v>
      </c>
      <c r="V1088" s="2">
        <v>2079.982</v>
      </c>
      <c r="W1088" t="s">
        <v>48</v>
      </c>
      <c r="X1088">
        <f>IF(OR(vp.tbl[[#This Row],[Sulf]]="",vp.tbl[[#This Row],[Dens]]=""),1,0)</f>
        <v>0</v>
      </c>
      <c r="Y1088">
        <f>IF(vp.tbl[[#This Row],[CrudeType]]="C5+",1,0)</f>
        <v>0</v>
      </c>
      <c r="Z1088">
        <f>IF(AND(vp.tbl[[#This Row],[CrudeType]]="Crude",vp.tbl[[#This Row],[Dens]]&lt;=825,vp.tbl[[#This Row],[Sulf]]&gt;0.5,vp.tbl[[#This Row],[Unknown]]=0),1,0)</f>
        <v>0</v>
      </c>
      <c r="AA1088">
        <f>IF(AND(vp.tbl[[#This Row],[CrudeType]]="Crude",vp.tbl[[#This Row],[Dens]]&lt;=825,vp.tbl[[#This Row],[Sulf]]&lt;=0.5,vp.tbl[[#This Row],[Unknown]]=0),1,0)</f>
        <v>0</v>
      </c>
      <c r="AB1088">
        <f>IF(AND(vp.tbl[[#This Row],[CrudeType]]="Crude",vp.tbl[[#This Row],[Dens]]&gt;825,vp.tbl[[#This Row],[Dens]]&lt;=870,vp.tbl[[#This Row],[Sulf]]&gt;0.5,vp.tbl[[#This Row],[Unknown]]=0),1,0)</f>
        <v>1</v>
      </c>
      <c r="AC1088">
        <f>IF(AND(vp.tbl[[#This Row],[CrudeType]]="Crude",vp.tbl[[#This Row],[Dens]]&gt;825,vp.tbl[[#This Row],[Dens]]&lt;=900,vp.tbl[[#This Row],[Sulf]]&lt;=0.5,vp.tbl[[#This Row],[Unknown]]=0),1,0)</f>
        <v>0</v>
      </c>
      <c r="AD1088">
        <f>IF(AND(vp.tbl[[#This Row],[CrudeType]]="Crude",vp.tbl[[#This Row],[Dens]]&gt;870,vp.tbl[[#This Row],[Dens]]&lt;=900,vp.tbl[[#This Row],[Sulf]]&gt;0.5,vp.tbl[[#This Row],[Unknown]]=0),1,0)</f>
        <v>0</v>
      </c>
      <c r="AE1088">
        <f>IF(AND(vp.tbl[[#This Row],[CrudeType]]="Crude",vp.tbl[[#This Row],[Dens]]&gt;900,vp.tbl[[#This Row],[Sulf]]&lt;=0.5,vp.tbl[[#This Row],[Unknown]]=0),1,0)</f>
        <v>0</v>
      </c>
      <c r="AF1088">
        <f>IF(AND(vp.tbl[[#This Row],[CrudeType]]="Crude",vp.tbl[[#This Row],[Dens]]&gt;900,vp.tbl[[#This Row],[Sulf]]&lt;=0.5,vp.tbl[[#This Row],[Unknown]]=0),1,0)</f>
        <v>0</v>
      </c>
      <c r="AG1088" t="str">
        <f>INDEX(vp.tbl[[#Headers],[Unknown]:[Heavy_SW]],MATCH(1,vp.tbl[[#This Row],[Unknown]:[Heavy_SW]],0))</f>
        <v>Medium_LSB</v>
      </c>
      <c r="AH1088" t="e">
        <f>INDEX([1]!crudeBD.lkup[Number],MATCH(vp.tbl[[#This Row],[Crude_Breakdown]],[1]!crudeBD.lkup[Crude Breakdown],0))</f>
        <v>#REF!</v>
      </c>
      <c r="AI1088">
        <f>MONTH(vp.tbl[[#This Row],[SDate]])</f>
        <v>3</v>
      </c>
      <c r="AJ1088" s="5">
        <f>IFERROR(vp.tbl[[#This Row],[Sulf]]*vp.tbl[[#This Row],[Net Dens]],"")</f>
        <v>2592493.7247640002</v>
      </c>
      <c r="AK1088" s="5">
        <f>IFERROR(vp.tbl[[#This Row],[Dens]]*vp.tbl[[#This Row],[VolumeM3]],"")</f>
        <v>1775680.6334000002</v>
      </c>
      <c r="AL1088" s="5">
        <f>IFERROR(vp.tbl[[#This Row],[VP]]*vp.tbl[[#This Row],[VolumeM3]],"")</f>
        <v>155166.65719999999</v>
      </c>
      <c r="AM1088" s="4">
        <f>IFERROR((vp.tbl[[#This Row],[VP]]-INDEX(crudeBD.lkup.complete[Mean_VP],MATCH(vp.tbl[[#This Row],[Crude_Breakdown]],crudeBD.lkup.complete[Crude Breakdown],0)))^2,"")</f>
        <v>31.0649605185063</v>
      </c>
      <c r="AN1088" s="4">
        <f>IFERROR((vp.tbl[[#This Row],[Dens]]-INDEX(crudeBD.lkup.complete[Mean_Dens],MATCH(vp.tbl[[#This Row],[Crude_Breakdown]],crudeBD.lkup.complete[Crude Breakdown],0)))^2,"")</f>
        <v>70.697444082055455</v>
      </c>
      <c r="AO1088" s="4">
        <f>IFERROR((vp.tbl[[#This Row],[Sulf]]-INDEX(crudeBD.lkup.complete[Mean_Sulf],MATCH(vp.tbl[[#This Row],[Crude_Breakdown]],crudeBD.lkup.complete[Crude Breakdown],0)))^2,"")</f>
        <v>2.5706311918106711E-5</v>
      </c>
      <c r="AP1088">
        <f>IF(AND(vp.tbl[[#This Row],[SDate]]&gt;=DATE(YEAR(vp.tbl[[#This Row],[SDate]]),5,1),vp.tbl[[#This Row],[SDate]]&lt;=DATE(YEAR(vp.tbl[[#This Row],[SDate]]),9,15)),1,0)</f>
        <v>0</v>
      </c>
      <c r="AQ1088" s="15">
        <f>IF(vp.tbl[[#This Row],[SDate]]&lt;DATE(2016,12,1),0,1)</f>
        <v>1</v>
      </c>
    </row>
    <row r="1089" spans="1:43" x14ac:dyDescent="0.25">
      <c r="A1089">
        <v>1088</v>
      </c>
      <c r="B1089" t="s">
        <v>51</v>
      </c>
      <c r="C1089" t="s">
        <v>51</v>
      </c>
      <c r="D1089" t="s">
        <v>107</v>
      </c>
      <c r="F1089" s="1">
        <v>42818</v>
      </c>
      <c r="G1089" s="2">
        <v>90.2</v>
      </c>
      <c r="H1089" s="2"/>
      <c r="I1089" s="2">
        <v>0.72</v>
      </c>
      <c r="J1089" s="2">
        <v>21</v>
      </c>
      <c r="K1089" s="2">
        <v>4</v>
      </c>
      <c r="L1089" s="2">
        <v>854.2</v>
      </c>
      <c r="M1089" s="2">
        <v>854.2</v>
      </c>
      <c r="N1089" s="2">
        <f ca="1">INDEX(INDIRECT(_xlfn.CONCAT("weather.tbl[",N$1,"]")),MATCH(vp.tbl[[#This Row],[SDate]],weather.tbl[Date],0))</f>
        <v>-2.2833333333333337</v>
      </c>
      <c r="O1089" s="2">
        <f ca="1">INDEX(INDIRECT(_xlfn.CONCAT("weather.tbl[",O$1,"]")),MATCH(vp.tbl[[#This Row],[SDate]],weather.tbl[Date],0))</f>
        <v>-2.7095238095238097</v>
      </c>
      <c r="P1089" s="2">
        <f ca="1">INDEX(INDIRECT(_xlfn.CONCAT("weather.tbl[",P$1,"]")),MATCH(vp.tbl[[#This Row],[SDate]],weather.tbl[Date],0))</f>
        <v>-0.1</v>
      </c>
      <c r="Q1089" s="2">
        <f ca="1">INDEX(INDIRECT(_xlfn.CONCAT("weather.tbl[",Q$1,"]")),MATCH(vp.tbl[[#This Row],[SDate]],weather.tbl[Date],0))</f>
        <v>0.3</v>
      </c>
      <c r="R1089" s="2">
        <f ca="1">INDEX(INDIRECT(_xlfn.CONCAT("weather.tbl[",R$1,"]")),MATCH(vp.tbl[[#This Row],[SDate]],weather.tbl[Date],0))</f>
        <v>-11.8</v>
      </c>
      <c r="S1089" s="2">
        <f ca="1">INDEX(INDIRECT(_xlfn.CONCAT("weather.tbl[",S$1,"]")),MATCH(vp.tbl[[#This Row],[SDate]],weather.tbl[Date],0))</f>
        <v>1.1000000000000001</v>
      </c>
      <c r="T1089" s="2">
        <f ca="1">INDEX(INDIRECT(_xlfn.CONCAT("weather.tbl[",T$1,"]")),MATCH(vp.tbl[[#This Row],[SDate]],weather.tbl[Date],0))</f>
        <v>-2.7</v>
      </c>
      <c r="U1089" s="2">
        <f ca="1">INDEX(INDIRECT(_xlfn.CONCAT("weather.tbl[",U$1,"]")),MATCH(vp.tbl[[#This Row],[SDate]],weather.tbl[Date],0))</f>
        <v>-0.5</v>
      </c>
      <c r="V1089" s="2">
        <v>2810.9380000000001</v>
      </c>
      <c r="W1089" t="s">
        <v>48</v>
      </c>
      <c r="X1089">
        <f>IF(OR(vp.tbl[[#This Row],[Sulf]]="",vp.tbl[[#This Row],[Dens]]=""),1,0)</f>
        <v>0</v>
      </c>
      <c r="Y1089">
        <f>IF(vp.tbl[[#This Row],[CrudeType]]="C5+",1,0)</f>
        <v>0</v>
      </c>
      <c r="Z1089">
        <f>IF(AND(vp.tbl[[#This Row],[CrudeType]]="Crude",vp.tbl[[#This Row],[Dens]]&lt;=825,vp.tbl[[#This Row],[Sulf]]&gt;0.5,vp.tbl[[#This Row],[Unknown]]=0),1,0)</f>
        <v>0</v>
      </c>
      <c r="AA1089">
        <f>IF(AND(vp.tbl[[#This Row],[CrudeType]]="Crude",vp.tbl[[#This Row],[Dens]]&lt;=825,vp.tbl[[#This Row],[Sulf]]&lt;=0.5,vp.tbl[[#This Row],[Unknown]]=0),1,0)</f>
        <v>0</v>
      </c>
      <c r="AB1089">
        <f>IF(AND(vp.tbl[[#This Row],[CrudeType]]="Crude",vp.tbl[[#This Row],[Dens]]&gt;825,vp.tbl[[#This Row],[Dens]]&lt;=870,vp.tbl[[#This Row],[Sulf]]&gt;0.5,vp.tbl[[#This Row],[Unknown]]=0),1,0)</f>
        <v>1</v>
      </c>
      <c r="AC1089">
        <f>IF(AND(vp.tbl[[#This Row],[CrudeType]]="Crude",vp.tbl[[#This Row],[Dens]]&gt;825,vp.tbl[[#This Row],[Dens]]&lt;=900,vp.tbl[[#This Row],[Sulf]]&lt;=0.5,vp.tbl[[#This Row],[Unknown]]=0),1,0)</f>
        <v>0</v>
      </c>
      <c r="AD1089">
        <f>IF(AND(vp.tbl[[#This Row],[CrudeType]]="Crude",vp.tbl[[#This Row],[Dens]]&gt;870,vp.tbl[[#This Row],[Dens]]&lt;=900,vp.tbl[[#This Row],[Sulf]]&gt;0.5,vp.tbl[[#This Row],[Unknown]]=0),1,0)</f>
        <v>0</v>
      </c>
      <c r="AE1089">
        <f>IF(AND(vp.tbl[[#This Row],[CrudeType]]="Crude",vp.tbl[[#This Row],[Dens]]&gt;900,vp.tbl[[#This Row],[Sulf]]&lt;=0.5,vp.tbl[[#This Row],[Unknown]]=0),1,0)</f>
        <v>0</v>
      </c>
      <c r="AF1089">
        <f>IF(AND(vp.tbl[[#This Row],[CrudeType]]="Crude",vp.tbl[[#This Row],[Dens]]&gt;900,vp.tbl[[#This Row],[Sulf]]&lt;=0.5,vp.tbl[[#This Row],[Unknown]]=0),1,0)</f>
        <v>0</v>
      </c>
      <c r="AG1089" t="str">
        <f>INDEX(vp.tbl[[#Headers],[Unknown]:[Heavy_SW]],MATCH(1,vp.tbl[[#This Row],[Unknown]:[Heavy_SW]],0))</f>
        <v>Medium_LSB</v>
      </c>
      <c r="AH1089" t="e">
        <f>INDEX([1]!crudeBD.lkup[Number],MATCH(vp.tbl[[#This Row],[Crude_Breakdown]],[1]!crudeBD.lkup[Crude Breakdown],0))</f>
        <v>#REF!</v>
      </c>
      <c r="AI1089">
        <f>MONTH(vp.tbl[[#This Row],[SDate]])</f>
        <v>3</v>
      </c>
      <c r="AJ1089" s="5">
        <f>IFERROR(vp.tbl[[#This Row],[Sulf]]*vp.tbl[[#This Row],[Net Dens]],"")</f>
        <v>1728794.3325120003</v>
      </c>
      <c r="AK1089" s="5">
        <f>IFERROR(vp.tbl[[#This Row],[Dens]]*vp.tbl[[#This Row],[VolumeM3]],"")</f>
        <v>2401103.2396000004</v>
      </c>
      <c r="AL1089" s="5">
        <f>IFERROR(vp.tbl[[#This Row],[VP]]*vp.tbl[[#This Row],[VolumeM3]],"")</f>
        <v>253546.60760000002</v>
      </c>
      <c r="AM1089" s="4">
        <f>IFERROR((vp.tbl[[#This Row],[VP]]-INDEX(crudeBD.lkup.complete[Mean_VP],MATCH(vp.tbl[[#This Row],[Crude_Breakdown]],crudeBD.lkup.complete[Crude Breakdown],0)))^2,"")</f>
        <v>100.52879849319099</v>
      </c>
      <c r="AN1089" s="4">
        <f>IFERROR((vp.tbl[[#This Row],[Dens]]-INDEX(crudeBD.lkup.complete[Mean_Dens],MATCH(vp.tbl[[#This Row],[Crude_Breakdown]],crudeBD.lkup.complete[Crude Breakdown],0)))^2,"")</f>
        <v>79.355621297246358</v>
      </c>
      <c r="AO1089" s="4">
        <f>IFERROR((vp.tbl[[#This Row],[Sulf]]-INDEX(crudeBD.lkup.complete[Mean_Sulf],MATCH(vp.tbl[[#This Row],[Crude_Breakdown]],crudeBD.lkup.complete[Crude Breakdown],0)))^2,"")</f>
        <v>0.54012190023597095</v>
      </c>
      <c r="AP1089">
        <f>IF(AND(vp.tbl[[#This Row],[SDate]]&gt;=DATE(YEAR(vp.tbl[[#This Row],[SDate]]),5,1),vp.tbl[[#This Row],[SDate]]&lt;=DATE(YEAR(vp.tbl[[#This Row],[SDate]]),9,15)),1,0)</f>
        <v>0</v>
      </c>
      <c r="AQ1089" s="15">
        <f>IF(vp.tbl[[#This Row],[SDate]]&lt;DATE(2016,12,1),0,1)</f>
        <v>1</v>
      </c>
    </row>
    <row r="1090" spans="1:43" x14ac:dyDescent="0.25">
      <c r="A1090">
        <v>1089</v>
      </c>
      <c r="B1090" t="s">
        <v>56</v>
      </c>
      <c r="C1090" t="s">
        <v>56</v>
      </c>
      <c r="D1090" t="s">
        <v>216</v>
      </c>
      <c r="F1090" s="1">
        <v>42818</v>
      </c>
      <c r="G1090" s="2">
        <v>74.3</v>
      </c>
      <c r="H1090" s="2"/>
      <c r="I1090" s="2">
        <v>1.7</v>
      </c>
      <c r="J1090" s="2">
        <v>17</v>
      </c>
      <c r="K1090" s="2">
        <v>4</v>
      </c>
      <c r="L1090" s="2">
        <v>854.8</v>
      </c>
      <c r="M1090" s="2">
        <v>854.8</v>
      </c>
      <c r="N1090" s="2">
        <f ca="1">INDEX(INDIRECT(_xlfn.CONCAT("weather.tbl[",N$1,"]")),MATCH(vp.tbl[[#This Row],[SDate]],weather.tbl[Date],0))</f>
        <v>-2.2833333333333337</v>
      </c>
      <c r="O1090" s="2">
        <f ca="1">INDEX(INDIRECT(_xlfn.CONCAT("weather.tbl[",O$1,"]")),MATCH(vp.tbl[[#This Row],[SDate]],weather.tbl[Date],0))</f>
        <v>-2.7095238095238097</v>
      </c>
      <c r="P1090" s="2">
        <f ca="1">INDEX(INDIRECT(_xlfn.CONCAT("weather.tbl[",P$1,"]")),MATCH(vp.tbl[[#This Row],[SDate]],weather.tbl[Date],0))</f>
        <v>-0.1</v>
      </c>
      <c r="Q1090" s="2">
        <f ca="1">INDEX(INDIRECT(_xlfn.CONCAT("weather.tbl[",Q$1,"]")),MATCH(vp.tbl[[#This Row],[SDate]],weather.tbl[Date],0))</f>
        <v>0.3</v>
      </c>
      <c r="R1090" s="2">
        <f ca="1">INDEX(INDIRECT(_xlfn.CONCAT("weather.tbl[",R$1,"]")),MATCH(vp.tbl[[#This Row],[SDate]],weather.tbl[Date],0))</f>
        <v>-11.8</v>
      </c>
      <c r="S1090" s="2">
        <f ca="1">INDEX(INDIRECT(_xlfn.CONCAT("weather.tbl[",S$1,"]")),MATCH(vp.tbl[[#This Row],[SDate]],weather.tbl[Date],0))</f>
        <v>1.1000000000000001</v>
      </c>
      <c r="T1090" s="2">
        <f ca="1">INDEX(INDIRECT(_xlfn.CONCAT("weather.tbl[",T$1,"]")),MATCH(vp.tbl[[#This Row],[SDate]],weather.tbl[Date],0))</f>
        <v>-2.7</v>
      </c>
      <c r="U1090" s="2">
        <f ca="1">INDEX(INDIRECT(_xlfn.CONCAT("weather.tbl[",U$1,"]")),MATCH(vp.tbl[[#This Row],[SDate]],weather.tbl[Date],0))</f>
        <v>-0.5</v>
      </c>
      <c r="V1090" s="2">
        <v>461.166</v>
      </c>
      <c r="W1090" t="s">
        <v>48</v>
      </c>
      <c r="X1090">
        <f>IF(OR(vp.tbl[[#This Row],[Sulf]]="",vp.tbl[[#This Row],[Dens]]=""),1,0)</f>
        <v>0</v>
      </c>
      <c r="Y1090">
        <f>IF(vp.tbl[[#This Row],[CrudeType]]="C5+",1,0)</f>
        <v>0</v>
      </c>
      <c r="Z1090">
        <f>IF(AND(vp.tbl[[#This Row],[CrudeType]]="Crude",vp.tbl[[#This Row],[Dens]]&lt;=825,vp.tbl[[#This Row],[Sulf]]&gt;0.5,vp.tbl[[#This Row],[Unknown]]=0),1,0)</f>
        <v>0</v>
      </c>
      <c r="AA1090">
        <f>IF(AND(vp.tbl[[#This Row],[CrudeType]]="Crude",vp.tbl[[#This Row],[Dens]]&lt;=825,vp.tbl[[#This Row],[Sulf]]&lt;=0.5,vp.tbl[[#This Row],[Unknown]]=0),1,0)</f>
        <v>0</v>
      </c>
      <c r="AB1090">
        <f>IF(AND(vp.tbl[[#This Row],[CrudeType]]="Crude",vp.tbl[[#This Row],[Dens]]&gt;825,vp.tbl[[#This Row],[Dens]]&lt;=870,vp.tbl[[#This Row],[Sulf]]&gt;0.5,vp.tbl[[#This Row],[Unknown]]=0),1,0)</f>
        <v>1</v>
      </c>
      <c r="AC1090">
        <f>IF(AND(vp.tbl[[#This Row],[CrudeType]]="Crude",vp.tbl[[#This Row],[Dens]]&gt;825,vp.tbl[[#This Row],[Dens]]&lt;=900,vp.tbl[[#This Row],[Sulf]]&lt;=0.5,vp.tbl[[#This Row],[Unknown]]=0),1,0)</f>
        <v>0</v>
      </c>
      <c r="AD1090">
        <f>IF(AND(vp.tbl[[#This Row],[CrudeType]]="Crude",vp.tbl[[#This Row],[Dens]]&gt;870,vp.tbl[[#This Row],[Dens]]&lt;=900,vp.tbl[[#This Row],[Sulf]]&gt;0.5,vp.tbl[[#This Row],[Unknown]]=0),1,0)</f>
        <v>0</v>
      </c>
      <c r="AE1090">
        <f>IF(AND(vp.tbl[[#This Row],[CrudeType]]="Crude",vp.tbl[[#This Row],[Dens]]&gt;900,vp.tbl[[#This Row],[Sulf]]&lt;=0.5,vp.tbl[[#This Row],[Unknown]]=0),1,0)</f>
        <v>0</v>
      </c>
      <c r="AF1090">
        <f>IF(AND(vp.tbl[[#This Row],[CrudeType]]="Crude",vp.tbl[[#This Row],[Dens]]&gt;900,vp.tbl[[#This Row],[Sulf]]&lt;=0.5,vp.tbl[[#This Row],[Unknown]]=0),1,0)</f>
        <v>0</v>
      </c>
      <c r="AG1090" t="str">
        <f>INDEX(vp.tbl[[#Headers],[Unknown]:[Heavy_SW]],MATCH(1,vp.tbl[[#This Row],[Unknown]:[Heavy_SW]],0))</f>
        <v>Medium_LSB</v>
      </c>
      <c r="AH1090" t="e">
        <f>INDEX([1]!crudeBD.lkup[Number],MATCH(vp.tbl[[#This Row],[Crude_Breakdown]],[1]!crudeBD.lkup[Crude Breakdown],0))</f>
        <v>#REF!</v>
      </c>
      <c r="AI1090">
        <f>MONTH(vp.tbl[[#This Row],[SDate]])</f>
        <v>3</v>
      </c>
      <c r="AJ1090" s="5">
        <f>IFERROR(vp.tbl[[#This Row],[Sulf]]*vp.tbl[[#This Row],[Net Dens]],"")</f>
        <v>670147.9845599999</v>
      </c>
      <c r="AK1090" s="5">
        <f>IFERROR(vp.tbl[[#This Row],[Dens]]*vp.tbl[[#This Row],[VolumeM3]],"")</f>
        <v>394204.69679999998</v>
      </c>
      <c r="AL1090" s="5">
        <f>IFERROR(vp.tbl[[#This Row],[VP]]*vp.tbl[[#This Row],[VolumeM3]],"")</f>
        <v>34264.633799999996</v>
      </c>
      <c r="AM1090" s="4">
        <f>IFERROR((vp.tbl[[#This Row],[VP]]-INDEX(crudeBD.lkup.complete[Mean_VP],MATCH(vp.tbl[[#This Row],[Crude_Breakdown]],crudeBD.lkup.complete[Crude Breakdown],0)))^2,"")</f>
        <v>34.499117480531567</v>
      </c>
      <c r="AN1090" s="4">
        <f>IFERROR((vp.tbl[[#This Row],[Dens]]-INDEX(crudeBD.lkup.complete[Mean_Dens],MATCH(vp.tbl[[#This Row],[Crude_Breakdown]],crudeBD.lkup.complete[Crude Breakdown],0)))^2,"")</f>
        <v>90.405433955473711</v>
      </c>
      <c r="AO1090" s="4">
        <f>IFERROR((vp.tbl[[#This Row],[Sulf]]-INDEX(crudeBD.lkup.complete[Mean_Sulf],MATCH(vp.tbl[[#This Row],[Crude_Breakdown]],crudeBD.lkup.complete[Crude Breakdown],0)))^2,"")</f>
        <v>6.0059373147360415E-2</v>
      </c>
      <c r="AP1090">
        <f>IF(AND(vp.tbl[[#This Row],[SDate]]&gt;=DATE(YEAR(vp.tbl[[#This Row],[SDate]]),5,1),vp.tbl[[#This Row],[SDate]]&lt;=DATE(YEAR(vp.tbl[[#This Row],[SDate]]),9,15)),1,0)</f>
        <v>0</v>
      </c>
      <c r="AQ1090" s="15">
        <f>IF(vp.tbl[[#This Row],[SDate]]&lt;DATE(2016,12,1),0,1)</f>
        <v>1</v>
      </c>
    </row>
    <row r="1091" spans="1:43" x14ac:dyDescent="0.25">
      <c r="A1091">
        <v>1090</v>
      </c>
      <c r="B1091" t="s">
        <v>84</v>
      </c>
      <c r="C1091" t="s">
        <v>84</v>
      </c>
      <c r="D1091" t="s">
        <v>217</v>
      </c>
      <c r="F1091" s="1">
        <v>42818</v>
      </c>
      <c r="G1091" s="2">
        <v>91.7</v>
      </c>
      <c r="H1091" s="2"/>
      <c r="I1091" s="2">
        <v>1.73</v>
      </c>
      <c r="J1091" s="2">
        <v>11</v>
      </c>
      <c r="K1091" s="2">
        <v>4</v>
      </c>
      <c r="L1091" s="2">
        <v>856.4</v>
      </c>
      <c r="M1091" s="2">
        <v>856.4</v>
      </c>
      <c r="N1091" s="2">
        <f ca="1">INDEX(INDIRECT(_xlfn.CONCAT("weather.tbl[",N$1,"]")),MATCH(vp.tbl[[#This Row],[SDate]],weather.tbl[Date],0))</f>
        <v>-2.2833333333333337</v>
      </c>
      <c r="O1091" s="2">
        <f ca="1">INDEX(INDIRECT(_xlfn.CONCAT("weather.tbl[",O$1,"]")),MATCH(vp.tbl[[#This Row],[SDate]],weather.tbl[Date],0))</f>
        <v>-2.7095238095238097</v>
      </c>
      <c r="P1091" s="2">
        <f ca="1">INDEX(INDIRECT(_xlfn.CONCAT("weather.tbl[",P$1,"]")),MATCH(vp.tbl[[#This Row],[SDate]],weather.tbl[Date],0))</f>
        <v>-0.1</v>
      </c>
      <c r="Q1091" s="2">
        <f ca="1">INDEX(INDIRECT(_xlfn.CONCAT("weather.tbl[",Q$1,"]")),MATCH(vp.tbl[[#This Row],[SDate]],weather.tbl[Date],0))</f>
        <v>0.3</v>
      </c>
      <c r="R1091" s="2">
        <f ca="1">INDEX(INDIRECT(_xlfn.CONCAT("weather.tbl[",R$1,"]")),MATCH(vp.tbl[[#This Row],[SDate]],weather.tbl[Date],0))</f>
        <v>-11.8</v>
      </c>
      <c r="S1091" s="2">
        <f ca="1">INDEX(INDIRECT(_xlfn.CONCAT("weather.tbl[",S$1,"]")),MATCH(vp.tbl[[#This Row],[SDate]],weather.tbl[Date],0))</f>
        <v>1.1000000000000001</v>
      </c>
      <c r="T1091" s="2">
        <f ca="1">INDEX(INDIRECT(_xlfn.CONCAT("weather.tbl[",T$1,"]")),MATCH(vp.tbl[[#This Row],[SDate]],weather.tbl[Date],0))</f>
        <v>-2.7</v>
      </c>
      <c r="U1091" s="2">
        <f ca="1">INDEX(INDIRECT(_xlfn.CONCAT("weather.tbl[",U$1,"]")),MATCH(vp.tbl[[#This Row],[SDate]],weather.tbl[Date],0))</f>
        <v>-0.5</v>
      </c>
      <c r="V1091" s="2">
        <v>1197.4169999999999</v>
      </c>
      <c r="W1091" t="s">
        <v>48</v>
      </c>
      <c r="X1091">
        <f>IF(OR(vp.tbl[[#This Row],[Sulf]]="",vp.tbl[[#This Row],[Dens]]=""),1,0)</f>
        <v>0</v>
      </c>
      <c r="Y1091">
        <f>IF(vp.tbl[[#This Row],[CrudeType]]="C5+",1,0)</f>
        <v>0</v>
      </c>
      <c r="Z1091">
        <f>IF(AND(vp.tbl[[#This Row],[CrudeType]]="Crude",vp.tbl[[#This Row],[Dens]]&lt;=825,vp.tbl[[#This Row],[Sulf]]&gt;0.5,vp.tbl[[#This Row],[Unknown]]=0),1,0)</f>
        <v>0</v>
      </c>
      <c r="AA1091">
        <f>IF(AND(vp.tbl[[#This Row],[CrudeType]]="Crude",vp.tbl[[#This Row],[Dens]]&lt;=825,vp.tbl[[#This Row],[Sulf]]&lt;=0.5,vp.tbl[[#This Row],[Unknown]]=0),1,0)</f>
        <v>0</v>
      </c>
      <c r="AB1091">
        <f>IF(AND(vp.tbl[[#This Row],[CrudeType]]="Crude",vp.tbl[[#This Row],[Dens]]&gt;825,vp.tbl[[#This Row],[Dens]]&lt;=870,vp.tbl[[#This Row],[Sulf]]&gt;0.5,vp.tbl[[#This Row],[Unknown]]=0),1,0)</f>
        <v>1</v>
      </c>
      <c r="AC1091">
        <f>IF(AND(vp.tbl[[#This Row],[CrudeType]]="Crude",vp.tbl[[#This Row],[Dens]]&gt;825,vp.tbl[[#This Row],[Dens]]&lt;=900,vp.tbl[[#This Row],[Sulf]]&lt;=0.5,vp.tbl[[#This Row],[Unknown]]=0),1,0)</f>
        <v>0</v>
      </c>
      <c r="AD1091">
        <f>IF(AND(vp.tbl[[#This Row],[CrudeType]]="Crude",vp.tbl[[#This Row],[Dens]]&gt;870,vp.tbl[[#This Row],[Dens]]&lt;=900,vp.tbl[[#This Row],[Sulf]]&gt;0.5,vp.tbl[[#This Row],[Unknown]]=0),1,0)</f>
        <v>0</v>
      </c>
      <c r="AE1091">
        <f>IF(AND(vp.tbl[[#This Row],[CrudeType]]="Crude",vp.tbl[[#This Row],[Dens]]&gt;900,vp.tbl[[#This Row],[Sulf]]&lt;=0.5,vp.tbl[[#This Row],[Unknown]]=0),1,0)</f>
        <v>0</v>
      </c>
      <c r="AF1091">
        <f>IF(AND(vp.tbl[[#This Row],[CrudeType]]="Crude",vp.tbl[[#This Row],[Dens]]&gt;900,vp.tbl[[#This Row],[Sulf]]&lt;=0.5,vp.tbl[[#This Row],[Unknown]]=0),1,0)</f>
        <v>0</v>
      </c>
      <c r="AG1091" t="str">
        <f>INDEX(vp.tbl[[#Headers],[Unknown]:[Heavy_SW]],MATCH(1,vp.tbl[[#This Row],[Unknown]:[Heavy_SW]],0))</f>
        <v>Medium_LSB</v>
      </c>
      <c r="AH1091" t="e">
        <f>INDEX([1]!crudeBD.lkup[Number],MATCH(vp.tbl[[#This Row],[Crude_Breakdown]],[1]!crudeBD.lkup[Crude Breakdown],0))</f>
        <v>#REF!</v>
      </c>
      <c r="AI1091">
        <f>MONTH(vp.tbl[[#This Row],[SDate]])</f>
        <v>3</v>
      </c>
      <c r="AJ1091" s="5">
        <f>IFERROR(vp.tbl[[#This Row],[Sulf]]*vp.tbl[[#This Row],[Net Dens]],"")</f>
        <v>1774059.4995239999</v>
      </c>
      <c r="AK1091" s="5">
        <f>IFERROR(vp.tbl[[#This Row],[Dens]]*vp.tbl[[#This Row],[VolumeM3]],"")</f>
        <v>1025467.9187999999</v>
      </c>
      <c r="AL1091" s="5">
        <f>IFERROR(vp.tbl[[#This Row],[VP]]*vp.tbl[[#This Row],[VolumeM3]],"")</f>
        <v>109803.13889999999</v>
      </c>
      <c r="AM1091" s="4">
        <f>IFERROR((vp.tbl[[#This Row],[VP]]-INDEX(crudeBD.lkup.complete[Mean_VP],MATCH(vp.tbl[[#This Row],[Crude_Breakdown]],crudeBD.lkup.complete[Crude Breakdown],0)))^2,"")</f>
        <v>132.85801368306454</v>
      </c>
      <c r="AN1091" s="4">
        <f>IFERROR((vp.tbl[[#This Row],[Dens]]-INDEX(crudeBD.lkup.complete[Mean_Dens],MATCH(vp.tbl[[#This Row],[Crude_Breakdown]],crudeBD.lkup.complete[Crude Breakdown],0)))^2,"")</f>
        <v>123.39160104408482</v>
      </c>
      <c r="AO1091" s="4">
        <f>IFERROR((vp.tbl[[#This Row],[Sulf]]-INDEX(crudeBD.lkup.complete[Mean_Sulf],MATCH(vp.tbl[[#This Row],[Crude_Breakdown]],crudeBD.lkup.complete[Crude Breakdown],0)))^2,"")</f>
        <v>7.5663581501790714E-2</v>
      </c>
      <c r="AP1091">
        <f>IF(AND(vp.tbl[[#This Row],[SDate]]&gt;=DATE(YEAR(vp.tbl[[#This Row],[SDate]]),5,1),vp.tbl[[#This Row],[SDate]]&lt;=DATE(YEAR(vp.tbl[[#This Row],[SDate]]),9,15)),1,0)</f>
        <v>0</v>
      </c>
      <c r="AQ1091" s="15">
        <f>IF(vp.tbl[[#This Row],[SDate]]&lt;DATE(2016,12,1),0,1)</f>
        <v>1</v>
      </c>
    </row>
    <row r="1092" spans="1:43" x14ac:dyDescent="0.25">
      <c r="A1092">
        <v>1091</v>
      </c>
      <c r="B1092" t="s">
        <v>51</v>
      </c>
      <c r="C1092" t="s">
        <v>51</v>
      </c>
      <c r="D1092" t="s">
        <v>218</v>
      </c>
      <c r="F1092" s="1">
        <v>42818</v>
      </c>
      <c r="G1092" s="2">
        <v>56</v>
      </c>
      <c r="H1092" s="2"/>
      <c r="I1092" s="2">
        <v>1.85</v>
      </c>
      <c r="J1092" s="2">
        <v>17</v>
      </c>
      <c r="K1092" s="2">
        <v>4</v>
      </c>
      <c r="L1092" s="2">
        <v>862.3</v>
      </c>
      <c r="M1092" s="2">
        <v>862.3</v>
      </c>
      <c r="N1092" s="2">
        <f ca="1">INDEX(INDIRECT(_xlfn.CONCAT("weather.tbl[",N$1,"]")),MATCH(vp.tbl[[#This Row],[SDate]],weather.tbl[Date],0))</f>
        <v>-2.2833333333333337</v>
      </c>
      <c r="O1092" s="2">
        <f ca="1">INDEX(INDIRECT(_xlfn.CONCAT("weather.tbl[",O$1,"]")),MATCH(vp.tbl[[#This Row],[SDate]],weather.tbl[Date],0))</f>
        <v>-2.7095238095238097</v>
      </c>
      <c r="P1092" s="2">
        <f ca="1">INDEX(INDIRECT(_xlfn.CONCAT("weather.tbl[",P$1,"]")),MATCH(vp.tbl[[#This Row],[SDate]],weather.tbl[Date],0))</f>
        <v>-0.1</v>
      </c>
      <c r="Q1092" s="2">
        <f ca="1">INDEX(INDIRECT(_xlfn.CONCAT("weather.tbl[",Q$1,"]")),MATCH(vp.tbl[[#This Row],[SDate]],weather.tbl[Date],0))</f>
        <v>0.3</v>
      </c>
      <c r="R1092" s="2">
        <f ca="1">INDEX(INDIRECT(_xlfn.CONCAT("weather.tbl[",R$1,"]")),MATCH(vp.tbl[[#This Row],[SDate]],weather.tbl[Date],0))</f>
        <v>-11.8</v>
      </c>
      <c r="S1092" s="2">
        <f ca="1">INDEX(INDIRECT(_xlfn.CONCAT("weather.tbl[",S$1,"]")),MATCH(vp.tbl[[#This Row],[SDate]],weather.tbl[Date],0))</f>
        <v>1.1000000000000001</v>
      </c>
      <c r="T1092" s="2">
        <f ca="1">INDEX(INDIRECT(_xlfn.CONCAT("weather.tbl[",T$1,"]")),MATCH(vp.tbl[[#This Row],[SDate]],weather.tbl[Date],0))</f>
        <v>-2.7</v>
      </c>
      <c r="U1092" s="2">
        <f ca="1">INDEX(INDIRECT(_xlfn.CONCAT("weather.tbl[",U$1,"]")),MATCH(vp.tbl[[#This Row],[SDate]],weather.tbl[Date],0))</f>
        <v>-0.5</v>
      </c>
      <c r="V1092" s="2">
        <v>148.28100000000001</v>
      </c>
      <c r="W1092" t="s">
        <v>48</v>
      </c>
      <c r="X1092">
        <f>IF(OR(vp.tbl[[#This Row],[Sulf]]="",vp.tbl[[#This Row],[Dens]]=""),1,0)</f>
        <v>0</v>
      </c>
      <c r="Y1092">
        <f>IF(vp.tbl[[#This Row],[CrudeType]]="C5+",1,0)</f>
        <v>0</v>
      </c>
      <c r="Z1092">
        <f>IF(AND(vp.tbl[[#This Row],[CrudeType]]="Crude",vp.tbl[[#This Row],[Dens]]&lt;=825,vp.tbl[[#This Row],[Sulf]]&gt;0.5,vp.tbl[[#This Row],[Unknown]]=0),1,0)</f>
        <v>0</v>
      </c>
      <c r="AA1092">
        <f>IF(AND(vp.tbl[[#This Row],[CrudeType]]="Crude",vp.tbl[[#This Row],[Dens]]&lt;=825,vp.tbl[[#This Row],[Sulf]]&lt;=0.5,vp.tbl[[#This Row],[Unknown]]=0),1,0)</f>
        <v>0</v>
      </c>
      <c r="AB1092">
        <f>IF(AND(vp.tbl[[#This Row],[CrudeType]]="Crude",vp.tbl[[#This Row],[Dens]]&gt;825,vp.tbl[[#This Row],[Dens]]&lt;=870,vp.tbl[[#This Row],[Sulf]]&gt;0.5,vp.tbl[[#This Row],[Unknown]]=0),1,0)</f>
        <v>1</v>
      </c>
      <c r="AC1092">
        <f>IF(AND(vp.tbl[[#This Row],[CrudeType]]="Crude",vp.tbl[[#This Row],[Dens]]&gt;825,vp.tbl[[#This Row],[Dens]]&lt;=900,vp.tbl[[#This Row],[Sulf]]&lt;=0.5,vp.tbl[[#This Row],[Unknown]]=0),1,0)</f>
        <v>0</v>
      </c>
      <c r="AD1092">
        <f>IF(AND(vp.tbl[[#This Row],[CrudeType]]="Crude",vp.tbl[[#This Row],[Dens]]&gt;870,vp.tbl[[#This Row],[Dens]]&lt;=900,vp.tbl[[#This Row],[Sulf]]&gt;0.5,vp.tbl[[#This Row],[Unknown]]=0),1,0)</f>
        <v>0</v>
      </c>
      <c r="AE1092">
        <f>IF(AND(vp.tbl[[#This Row],[CrudeType]]="Crude",vp.tbl[[#This Row],[Dens]]&gt;900,vp.tbl[[#This Row],[Sulf]]&lt;=0.5,vp.tbl[[#This Row],[Unknown]]=0),1,0)</f>
        <v>0</v>
      </c>
      <c r="AF1092">
        <f>IF(AND(vp.tbl[[#This Row],[CrudeType]]="Crude",vp.tbl[[#This Row],[Dens]]&gt;900,vp.tbl[[#This Row],[Sulf]]&lt;=0.5,vp.tbl[[#This Row],[Unknown]]=0),1,0)</f>
        <v>0</v>
      </c>
      <c r="AG1092" t="str">
        <f>INDEX(vp.tbl[[#Headers],[Unknown]:[Heavy_SW]],MATCH(1,vp.tbl[[#This Row],[Unknown]:[Heavy_SW]],0))</f>
        <v>Medium_LSB</v>
      </c>
      <c r="AH1092" t="e">
        <f>INDEX([1]!crudeBD.lkup[Number],MATCH(vp.tbl[[#This Row],[Crude_Breakdown]],[1]!crudeBD.lkup[Crude Breakdown],0))</f>
        <v>#REF!</v>
      </c>
      <c r="AI1092">
        <f>MONTH(vp.tbl[[#This Row],[SDate]])</f>
        <v>3</v>
      </c>
      <c r="AJ1092" s="5">
        <f>IFERROR(vp.tbl[[#This Row],[Sulf]]*vp.tbl[[#This Row],[Net Dens]],"")</f>
        <v>236546.00665500003</v>
      </c>
      <c r="AK1092" s="5">
        <f>IFERROR(vp.tbl[[#This Row],[Dens]]*vp.tbl[[#This Row],[VolumeM3]],"")</f>
        <v>127862.70630000001</v>
      </c>
      <c r="AL1092" s="5">
        <f>IFERROR(vp.tbl[[#This Row],[VP]]*vp.tbl[[#This Row],[VolumeM3]],"")</f>
        <v>8303.7360000000008</v>
      </c>
      <c r="AM1092" s="4">
        <f>IFERROR((vp.tbl[[#This Row],[VP]]-INDEX(crudeBD.lkup.complete[Mean_VP],MATCH(vp.tbl[[#This Row],[Crude_Breakdown]],crudeBD.lkup.complete[Crude Breakdown],0)))^2,"")</f>
        <v>584.36269216407447</v>
      </c>
      <c r="AN1092" s="4">
        <f>IFERROR((vp.tbl[[#This Row],[Dens]]-INDEX(crudeBD.lkup.complete[Mean_Dens],MATCH(vp.tbl[[#This Row],[Crude_Breakdown]],crudeBD.lkup.complete[Crude Breakdown],0)))^2,"")</f>
        <v>289.2780921833359</v>
      </c>
      <c r="AO1092" s="4">
        <f>IFERROR((vp.tbl[[#This Row],[Sulf]]-INDEX(crudeBD.lkup.complete[Mean_Sulf],MATCH(vp.tbl[[#This Row],[Crude_Breakdown]],crudeBD.lkup.complete[Crude Breakdown],0)))^2,"")</f>
        <v>0.15608041491951197</v>
      </c>
      <c r="AP1092">
        <f>IF(AND(vp.tbl[[#This Row],[SDate]]&gt;=DATE(YEAR(vp.tbl[[#This Row],[SDate]]),5,1),vp.tbl[[#This Row],[SDate]]&lt;=DATE(YEAR(vp.tbl[[#This Row],[SDate]]),9,15)),1,0)</f>
        <v>0</v>
      </c>
      <c r="AQ1092" s="15">
        <f>IF(vp.tbl[[#This Row],[SDate]]&lt;DATE(2016,12,1),0,1)</f>
        <v>1</v>
      </c>
    </row>
    <row r="1093" spans="1:43" x14ac:dyDescent="0.25">
      <c r="A1093">
        <v>1092</v>
      </c>
      <c r="B1093" t="s">
        <v>49</v>
      </c>
      <c r="C1093" t="s">
        <v>49</v>
      </c>
      <c r="D1093" t="s">
        <v>219</v>
      </c>
      <c r="F1093" s="1">
        <v>42820</v>
      </c>
      <c r="G1093" s="2">
        <v>78.5</v>
      </c>
      <c r="H1093" s="2">
        <v>0.19800000000000001</v>
      </c>
      <c r="I1093" s="2">
        <v>0.19800000000000001</v>
      </c>
      <c r="J1093" s="2">
        <v>4.5</v>
      </c>
      <c r="K1093" s="2">
        <v>9</v>
      </c>
      <c r="L1093" s="2">
        <v>813.3</v>
      </c>
      <c r="M1093" s="2">
        <v>813.3</v>
      </c>
      <c r="N1093" s="2">
        <f ca="1">INDEX(INDIRECT(_xlfn.CONCAT("weather.tbl[",N$1,"]")),MATCH(vp.tbl[[#This Row],[SDate]],weather.tbl[Date],0))</f>
        <v>5.166666666666667</v>
      </c>
      <c r="O1093" s="2">
        <f ca="1">INDEX(INDIRECT(_xlfn.CONCAT("weather.tbl[",O$1,"]")),MATCH(vp.tbl[[#This Row],[SDate]],weather.tbl[Date],0))</f>
        <v>-1.485714285714286</v>
      </c>
      <c r="P1093" s="2">
        <f ca="1">INDEX(INDIRECT(_xlfn.CONCAT("weather.tbl[",P$1,"]")),MATCH(vp.tbl[[#This Row],[SDate]],weather.tbl[Date],0))</f>
        <v>7.2</v>
      </c>
      <c r="Q1093" s="2">
        <f ca="1">INDEX(INDIRECT(_xlfn.CONCAT("weather.tbl[",Q$1,"]")),MATCH(vp.tbl[[#This Row],[SDate]],weather.tbl[Date],0))</f>
        <v>5.8</v>
      </c>
      <c r="R1093" s="2">
        <f ca="1">INDEX(INDIRECT(_xlfn.CONCAT("weather.tbl[",R$1,"]")),MATCH(vp.tbl[[#This Row],[SDate]],weather.tbl[Date],0))</f>
        <v>3.3</v>
      </c>
      <c r="S1093" s="2">
        <f ca="1">INDEX(INDIRECT(_xlfn.CONCAT("weather.tbl[",S$1,"]")),MATCH(vp.tbl[[#This Row],[SDate]],weather.tbl[Date],0))</f>
        <v>5.3</v>
      </c>
      <c r="T1093" s="2">
        <f ca="1">INDEX(INDIRECT(_xlfn.CONCAT("weather.tbl[",T$1,"]")),MATCH(vp.tbl[[#This Row],[SDate]],weather.tbl[Date],0))</f>
        <v>2.6</v>
      </c>
      <c r="U1093" s="2">
        <f ca="1">INDEX(INDIRECT(_xlfn.CONCAT("weather.tbl[",U$1,"]")),MATCH(vp.tbl[[#This Row],[SDate]],weather.tbl[Date],0))</f>
        <v>6.8</v>
      </c>
      <c r="V1093" s="2">
        <v>2573.5479999999998</v>
      </c>
      <c r="W1093" t="s">
        <v>48</v>
      </c>
      <c r="X1093">
        <f>IF(OR(vp.tbl[[#This Row],[Sulf]]="",vp.tbl[[#This Row],[Dens]]=""),1,0)</f>
        <v>0</v>
      </c>
      <c r="Y1093">
        <f>IF(vp.tbl[[#This Row],[CrudeType]]="C5+",1,0)</f>
        <v>0</v>
      </c>
      <c r="Z1093">
        <f>IF(AND(vp.tbl[[#This Row],[CrudeType]]="Crude",vp.tbl[[#This Row],[Dens]]&lt;=825,vp.tbl[[#This Row],[Sulf]]&gt;0.5,vp.tbl[[#This Row],[Unknown]]=0),1,0)</f>
        <v>0</v>
      </c>
      <c r="AA1093">
        <f>IF(AND(vp.tbl[[#This Row],[CrudeType]]="Crude",vp.tbl[[#This Row],[Dens]]&lt;=825,vp.tbl[[#This Row],[Sulf]]&lt;=0.5,vp.tbl[[#This Row],[Unknown]]=0),1,0)</f>
        <v>1</v>
      </c>
      <c r="AB1093">
        <f>IF(AND(vp.tbl[[#This Row],[CrudeType]]="Crude",vp.tbl[[#This Row],[Dens]]&gt;825,vp.tbl[[#This Row],[Dens]]&lt;=870,vp.tbl[[#This Row],[Sulf]]&gt;0.5,vp.tbl[[#This Row],[Unknown]]=0),1,0)</f>
        <v>0</v>
      </c>
      <c r="AC1093">
        <f>IF(AND(vp.tbl[[#This Row],[CrudeType]]="Crude",vp.tbl[[#This Row],[Dens]]&gt;825,vp.tbl[[#This Row],[Dens]]&lt;=900,vp.tbl[[#This Row],[Sulf]]&lt;=0.5,vp.tbl[[#This Row],[Unknown]]=0),1,0)</f>
        <v>0</v>
      </c>
      <c r="AD1093">
        <f>IF(AND(vp.tbl[[#This Row],[CrudeType]]="Crude",vp.tbl[[#This Row],[Dens]]&gt;870,vp.tbl[[#This Row],[Dens]]&lt;=900,vp.tbl[[#This Row],[Sulf]]&gt;0.5,vp.tbl[[#This Row],[Unknown]]=0),1,0)</f>
        <v>0</v>
      </c>
      <c r="AE1093">
        <f>IF(AND(vp.tbl[[#This Row],[CrudeType]]="Crude",vp.tbl[[#This Row],[Dens]]&gt;900,vp.tbl[[#This Row],[Sulf]]&lt;=0.5,vp.tbl[[#This Row],[Unknown]]=0),1,0)</f>
        <v>0</v>
      </c>
      <c r="AF1093">
        <f>IF(AND(vp.tbl[[#This Row],[CrudeType]]="Crude",vp.tbl[[#This Row],[Dens]]&gt;900,vp.tbl[[#This Row],[Sulf]]&lt;=0.5,vp.tbl[[#This Row],[Unknown]]=0),1,0)</f>
        <v>0</v>
      </c>
      <c r="AG1093" t="str">
        <f>INDEX(vp.tbl[[#Headers],[Unknown]:[Heavy_SW]],MATCH(1,vp.tbl[[#This Row],[Unknown]:[Heavy_SW]],0))</f>
        <v>Light_SW</v>
      </c>
      <c r="AH1093" t="e">
        <f>INDEX([1]!crudeBD.lkup[Number],MATCH(vp.tbl[[#This Row],[Crude_Breakdown]],[1]!crudeBD.lkup[Crude Breakdown],0))</f>
        <v>#REF!</v>
      </c>
      <c r="AI1093">
        <f>MONTH(vp.tbl[[#This Row],[SDate]])</f>
        <v>3</v>
      </c>
      <c r="AJ1093" s="5">
        <f>IFERROR(vp.tbl[[#This Row],[Sulf]]*vp.tbl[[#This Row],[Net Dens]],"")</f>
        <v>414427.1845032</v>
      </c>
      <c r="AK1093" s="5">
        <f>IFERROR(vp.tbl[[#This Row],[Dens]]*vp.tbl[[#This Row],[VolumeM3]],"")</f>
        <v>2093066.5883999998</v>
      </c>
      <c r="AL1093" s="5">
        <f>IFERROR(vp.tbl[[#This Row],[VP]]*vp.tbl[[#This Row],[VolumeM3]],"")</f>
        <v>202023.51799999998</v>
      </c>
      <c r="AM1093" s="4">
        <f>IFERROR((vp.tbl[[#This Row],[VP]]-INDEX(crudeBD.lkup.complete[Mean_VP],MATCH(vp.tbl[[#This Row],[Crude_Breakdown]],crudeBD.lkup.complete[Crude Breakdown],0)))^2,"")</f>
        <v>197.41131194502702</v>
      </c>
      <c r="AN1093" s="4">
        <f>IFERROR((vp.tbl[[#This Row],[Dens]]-INDEX(crudeBD.lkup.complete[Mean_Dens],MATCH(vp.tbl[[#This Row],[Crude_Breakdown]],crudeBD.lkup.complete[Crude Breakdown],0)))^2,"")</f>
        <v>24.88514963153786</v>
      </c>
      <c r="AO1093" s="4">
        <f>IFERROR((vp.tbl[[#This Row],[Sulf]]-INDEX(crudeBD.lkup.complete[Mean_Sulf],MATCH(vp.tbl[[#This Row],[Crude_Breakdown]],crudeBD.lkup.complete[Crude Breakdown],0)))^2,"")</f>
        <v>1.4624361733176193E-3</v>
      </c>
      <c r="AP1093">
        <f>IF(AND(vp.tbl[[#This Row],[SDate]]&gt;=DATE(YEAR(vp.tbl[[#This Row],[SDate]]),5,1),vp.tbl[[#This Row],[SDate]]&lt;=DATE(YEAR(vp.tbl[[#This Row],[SDate]]),9,15)),1,0)</f>
        <v>0</v>
      </c>
      <c r="AQ1093" s="15">
        <f>IF(vp.tbl[[#This Row],[SDate]]&lt;DATE(2016,12,1),0,1)</f>
        <v>1</v>
      </c>
    </row>
    <row r="1094" spans="1:43" x14ac:dyDescent="0.25">
      <c r="A1094">
        <v>1093</v>
      </c>
      <c r="B1094" t="s">
        <v>49</v>
      </c>
      <c r="C1094" t="s">
        <v>49</v>
      </c>
      <c r="D1094" t="s">
        <v>220</v>
      </c>
      <c r="F1094" s="1">
        <v>42820</v>
      </c>
      <c r="G1094" s="2">
        <v>53.2</v>
      </c>
      <c r="H1094" s="2">
        <v>3.4550000000000001</v>
      </c>
      <c r="I1094" s="2">
        <v>3.4550000000000001</v>
      </c>
      <c r="J1094" s="2">
        <v>30.6</v>
      </c>
      <c r="K1094" s="2">
        <v>9</v>
      </c>
      <c r="L1094" s="2">
        <v>881.1</v>
      </c>
      <c r="M1094" s="2">
        <v>881.1</v>
      </c>
      <c r="N1094" s="2">
        <f ca="1">INDEX(INDIRECT(_xlfn.CONCAT("weather.tbl[",N$1,"]")),MATCH(vp.tbl[[#This Row],[SDate]],weather.tbl[Date],0))</f>
        <v>5.166666666666667</v>
      </c>
      <c r="O1094" s="2">
        <f ca="1">INDEX(INDIRECT(_xlfn.CONCAT("weather.tbl[",O$1,"]")),MATCH(vp.tbl[[#This Row],[SDate]],weather.tbl[Date],0))</f>
        <v>-1.485714285714286</v>
      </c>
      <c r="P1094" s="2">
        <f ca="1">INDEX(INDIRECT(_xlfn.CONCAT("weather.tbl[",P$1,"]")),MATCH(vp.tbl[[#This Row],[SDate]],weather.tbl[Date],0))</f>
        <v>7.2</v>
      </c>
      <c r="Q1094" s="2">
        <f ca="1">INDEX(INDIRECT(_xlfn.CONCAT("weather.tbl[",Q$1,"]")),MATCH(vp.tbl[[#This Row],[SDate]],weather.tbl[Date],0))</f>
        <v>5.8</v>
      </c>
      <c r="R1094" s="2">
        <f ca="1">INDEX(INDIRECT(_xlfn.CONCAT("weather.tbl[",R$1,"]")),MATCH(vp.tbl[[#This Row],[SDate]],weather.tbl[Date],0))</f>
        <v>3.3</v>
      </c>
      <c r="S1094" s="2">
        <f ca="1">INDEX(INDIRECT(_xlfn.CONCAT("weather.tbl[",S$1,"]")),MATCH(vp.tbl[[#This Row],[SDate]],weather.tbl[Date],0))</f>
        <v>5.3</v>
      </c>
      <c r="T1094" s="2">
        <f ca="1">INDEX(INDIRECT(_xlfn.CONCAT("weather.tbl[",T$1,"]")),MATCH(vp.tbl[[#This Row],[SDate]],weather.tbl[Date],0))</f>
        <v>2.6</v>
      </c>
      <c r="U1094" s="2">
        <f ca="1">INDEX(INDIRECT(_xlfn.CONCAT("weather.tbl[",U$1,"]")),MATCH(vp.tbl[[#This Row],[SDate]],weather.tbl[Date],0))</f>
        <v>6.8</v>
      </c>
      <c r="V1094" s="2">
        <v>2101.7660000000001</v>
      </c>
      <c r="W1094" t="s">
        <v>48</v>
      </c>
      <c r="X1094">
        <f>IF(OR(vp.tbl[[#This Row],[Sulf]]="",vp.tbl[[#This Row],[Dens]]=""),1,0)</f>
        <v>0</v>
      </c>
      <c r="Y1094">
        <f>IF(vp.tbl[[#This Row],[CrudeType]]="C5+",1,0)</f>
        <v>0</v>
      </c>
      <c r="Z1094">
        <f>IF(AND(vp.tbl[[#This Row],[CrudeType]]="Crude",vp.tbl[[#This Row],[Dens]]&lt;=825,vp.tbl[[#This Row],[Sulf]]&gt;0.5,vp.tbl[[#This Row],[Unknown]]=0),1,0)</f>
        <v>0</v>
      </c>
      <c r="AA1094">
        <f>IF(AND(vp.tbl[[#This Row],[CrudeType]]="Crude",vp.tbl[[#This Row],[Dens]]&lt;=825,vp.tbl[[#This Row],[Sulf]]&lt;=0.5,vp.tbl[[#This Row],[Unknown]]=0),1,0)</f>
        <v>0</v>
      </c>
      <c r="AB1094">
        <f>IF(AND(vp.tbl[[#This Row],[CrudeType]]="Crude",vp.tbl[[#This Row],[Dens]]&gt;825,vp.tbl[[#This Row],[Dens]]&lt;=870,vp.tbl[[#This Row],[Sulf]]&gt;0.5,vp.tbl[[#This Row],[Unknown]]=0),1,0)</f>
        <v>0</v>
      </c>
      <c r="AC1094">
        <f>IF(AND(vp.tbl[[#This Row],[CrudeType]]="Crude",vp.tbl[[#This Row],[Dens]]&gt;825,vp.tbl[[#This Row],[Dens]]&lt;=900,vp.tbl[[#This Row],[Sulf]]&lt;=0.5,vp.tbl[[#This Row],[Unknown]]=0),1,0)</f>
        <v>0</v>
      </c>
      <c r="AD1094">
        <f>IF(AND(vp.tbl[[#This Row],[CrudeType]]="Crude",vp.tbl[[#This Row],[Dens]]&gt;870,vp.tbl[[#This Row],[Dens]]&lt;=900,vp.tbl[[#This Row],[Sulf]]&gt;0.5,vp.tbl[[#This Row],[Unknown]]=0),1,0)</f>
        <v>1</v>
      </c>
      <c r="AE1094">
        <f>IF(AND(vp.tbl[[#This Row],[CrudeType]]="Crude",vp.tbl[[#This Row],[Dens]]&gt;900,vp.tbl[[#This Row],[Sulf]]&lt;=0.5,vp.tbl[[#This Row],[Unknown]]=0),1,0)</f>
        <v>0</v>
      </c>
      <c r="AF1094">
        <f>IF(AND(vp.tbl[[#This Row],[CrudeType]]="Crude",vp.tbl[[#This Row],[Dens]]&gt;900,vp.tbl[[#This Row],[Sulf]]&lt;=0.5,vp.tbl[[#This Row],[Unknown]]=0),1,0)</f>
        <v>0</v>
      </c>
      <c r="AG1094" t="str">
        <f>INDEX(vp.tbl[[#Headers],[Unknown]:[Heavy_SW]],MATCH(1,vp.tbl[[#This Row],[Unknown]:[Heavy_SW]],0))</f>
        <v>Midale</v>
      </c>
      <c r="AH1094" t="e">
        <f>INDEX([1]!crudeBD.lkup[Number],MATCH(vp.tbl[[#This Row],[Crude_Breakdown]],[1]!crudeBD.lkup[Crude Breakdown],0))</f>
        <v>#REF!</v>
      </c>
      <c r="AI1094">
        <f>MONTH(vp.tbl[[#This Row],[SDate]])</f>
        <v>3</v>
      </c>
      <c r="AJ1094" s="5">
        <f>IFERROR(vp.tbl[[#This Row],[Sulf]]*vp.tbl[[#This Row],[Net Dens]],"")</f>
        <v>6398197.1080830004</v>
      </c>
      <c r="AK1094" s="5">
        <f>IFERROR(vp.tbl[[#This Row],[Dens]]*vp.tbl[[#This Row],[VolumeM3]],"")</f>
        <v>1851866.0226</v>
      </c>
      <c r="AL1094" s="5">
        <f>IFERROR(vp.tbl[[#This Row],[VP]]*vp.tbl[[#This Row],[VolumeM3]],"")</f>
        <v>111813.95120000001</v>
      </c>
      <c r="AM1094" s="4">
        <f>IFERROR((vp.tbl[[#This Row],[VP]]-INDEX(crudeBD.lkup.complete[Mean_VP],MATCH(vp.tbl[[#This Row],[Crude_Breakdown]],crudeBD.lkup.complete[Crude Breakdown],0)))^2,"")</f>
        <v>226.15215612685338</v>
      </c>
      <c r="AN1094" s="4">
        <f>IFERROR((vp.tbl[[#This Row],[Dens]]-INDEX(crudeBD.lkup.complete[Mean_Dens],MATCH(vp.tbl[[#This Row],[Crude_Breakdown]],crudeBD.lkup.complete[Crude Breakdown],0)))^2,"")</f>
        <v>12.587915181086942</v>
      </c>
      <c r="AO1094" s="4">
        <f>IFERROR((vp.tbl[[#This Row],[Sulf]]-INDEX(crudeBD.lkup.complete[Mean_Sulf],MATCH(vp.tbl[[#This Row],[Crude_Breakdown]],crudeBD.lkup.complete[Crude Breakdown],0)))^2,"")</f>
        <v>1.0808926307616653</v>
      </c>
      <c r="AP1094">
        <f>IF(AND(vp.tbl[[#This Row],[SDate]]&gt;=DATE(YEAR(vp.tbl[[#This Row],[SDate]]),5,1),vp.tbl[[#This Row],[SDate]]&lt;=DATE(YEAR(vp.tbl[[#This Row],[SDate]]),9,15)),1,0)</f>
        <v>0</v>
      </c>
      <c r="AQ1094" s="15">
        <f>IF(vp.tbl[[#This Row],[SDate]]&lt;DATE(2016,12,1),0,1)</f>
        <v>1</v>
      </c>
    </row>
    <row r="1095" spans="1:43" x14ac:dyDescent="0.25">
      <c r="A1095">
        <v>1094</v>
      </c>
      <c r="B1095" t="s">
        <v>49</v>
      </c>
      <c r="C1095" t="s">
        <v>49</v>
      </c>
      <c r="D1095" t="s">
        <v>221</v>
      </c>
      <c r="F1095" s="1">
        <v>42820</v>
      </c>
      <c r="G1095" s="2">
        <v>58.5</v>
      </c>
      <c r="H1095" s="2">
        <v>4.0190000000000001</v>
      </c>
      <c r="I1095" s="2">
        <v>4.0190000000000001</v>
      </c>
      <c r="J1095" s="2">
        <v>27</v>
      </c>
      <c r="K1095" s="2">
        <v>9</v>
      </c>
      <c r="L1095" s="2">
        <v>879.1</v>
      </c>
      <c r="M1095" s="2">
        <v>879.1</v>
      </c>
      <c r="N1095" s="2">
        <f ca="1">INDEX(INDIRECT(_xlfn.CONCAT("weather.tbl[",N$1,"]")),MATCH(vp.tbl[[#This Row],[SDate]],weather.tbl[Date],0))</f>
        <v>5.166666666666667</v>
      </c>
      <c r="O1095" s="2">
        <f ca="1">INDEX(INDIRECT(_xlfn.CONCAT("weather.tbl[",O$1,"]")),MATCH(vp.tbl[[#This Row],[SDate]],weather.tbl[Date],0))</f>
        <v>-1.485714285714286</v>
      </c>
      <c r="P1095" s="2">
        <f ca="1">INDEX(INDIRECT(_xlfn.CONCAT("weather.tbl[",P$1,"]")),MATCH(vp.tbl[[#This Row],[SDate]],weather.tbl[Date],0))</f>
        <v>7.2</v>
      </c>
      <c r="Q1095" s="2">
        <f ca="1">INDEX(INDIRECT(_xlfn.CONCAT("weather.tbl[",Q$1,"]")),MATCH(vp.tbl[[#This Row],[SDate]],weather.tbl[Date],0))</f>
        <v>5.8</v>
      </c>
      <c r="R1095" s="2">
        <f ca="1">INDEX(INDIRECT(_xlfn.CONCAT("weather.tbl[",R$1,"]")),MATCH(vp.tbl[[#This Row],[SDate]],weather.tbl[Date],0))</f>
        <v>3.3</v>
      </c>
      <c r="S1095" s="2">
        <f ca="1">INDEX(INDIRECT(_xlfn.CONCAT("weather.tbl[",S$1,"]")),MATCH(vp.tbl[[#This Row],[SDate]],weather.tbl[Date],0))</f>
        <v>5.3</v>
      </c>
      <c r="T1095" s="2">
        <f ca="1">INDEX(INDIRECT(_xlfn.CONCAT("weather.tbl[",T$1,"]")),MATCH(vp.tbl[[#This Row],[SDate]],weather.tbl[Date],0))</f>
        <v>2.6</v>
      </c>
      <c r="U1095" s="2">
        <f ca="1">INDEX(INDIRECT(_xlfn.CONCAT("weather.tbl[",U$1,"]")),MATCH(vp.tbl[[#This Row],[SDate]],weather.tbl[Date],0))</f>
        <v>6.8</v>
      </c>
      <c r="V1095" s="2">
        <v>598.46199999999999</v>
      </c>
      <c r="W1095" t="s">
        <v>48</v>
      </c>
      <c r="X1095">
        <f>IF(OR(vp.tbl[[#This Row],[Sulf]]="",vp.tbl[[#This Row],[Dens]]=""),1,0)</f>
        <v>0</v>
      </c>
      <c r="Y1095">
        <f>IF(vp.tbl[[#This Row],[CrudeType]]="C5+",1,0)</f>
        <v>0</v>
      </c>
      <c r="Z1095">
        <f>IF(AND(vp.tbl[[#This Row],[CrudeType]]="Crude",vp.tbl[[#This Row],[Dens]]&lt;=825,vp.tbl[[#This Row],[Sulf]]&gt;0.5,vp.tbl[[#This Row],[Unknown]]=0),1,0)</f>
        <v>0</v>
      </c>
      <c r="AA1095">
        <f>IF(AND(vp.tbl[[#This Row],[CrudeType]]="Crude",vp.tbl[[#This Row],[Dens]]&lt;=825,vp.tbl[[#This Row],[Sulf]]&lt;=0.5,vp.tbl[[#This Row],[Unknown]]=0),1,0)</f>
        <v>0</v>
      </c>
      <c r="AB1095">
        <f>IF(AND(vp.tbl[[#This Row],[CrudeType]]="Crude",vp.tbl[[#This Row],[Dens]]&gt;825,vp.tbl[[#This Row],[Dens]]&lt;=870,vp.tbl[[#This Row],[Sulf]]&gt;0.5,vp.tbl[[#This Row],[Unknown]]=0),1,0)</f>
        <v>0</v>
      </c>
      <c r="AC1095">
        <f>IF(AND(vp.tbl[[#This Row],[CrudeType]]="Crude",vp.tbl[[#This Row],[Dens]]&gt;825,vp.tbl[[#This Row],[Dens]]&lt;=900,vp.tbl[[#This Row],[Sulf]]&lt;=0.5,vp.tbl[[#This Row],[Unknown]]=0),1,0)</f>
        <v>0</v>
      </c>
      <c r="AD1095">
        <f>IF(AND(vp.tbl[[#This Row],[CrudeType]]="Crude",vp.tbl[[#This Row],[Dens]]&gt;870,vp.tbl[[#This Row],[Dens]]&lt;=900,vp.tbl[[#This Row],[Sulf]]&gt;0.5,vp.tbl[[#This Row],[Unknown]]=0),1,0)</f>
        <v>1</v>
      </c>
      <c r="AE1095">
        <f>IF(AND(vp.tbl[[#This Row],[CrudeType]]="Crude",vp.tbl[[#This Row],[Dens]]&gt;900,vp.tbl[[#This Row],[Sulf]]&lt;=0.5,vp.tbl[[#This Row],[Unknown]]=0),1,0)</f>
        <v>0</v>
      </c>
      <c r="AF1095">
        <f>IF(AND(vp.tbl[[#This Row],[CrudeType]]="Crude",vp.tbl[[#This Row],[Dens]]&gt;900,vp.tbl[[#This Row],[Sulf]]&lt;=0.5,vp.tbl[[#This Row],[Unknown]]=0),1,0)</f>
        <v>0</v>
      </c>
      <c r="AG1095" t="str">
        <f>INDEX(vp.tbl[[#Headers],[Unknown]:[Heavy_SW]],MATCH(1,vp.tbl[[#This Row],[Unknown]:[Heavy_SW]],0))</f>
        <v>Midale</v>
      </c>
      <c r="AH1095" t="e">
        <f>INDEX([1]!crudeBD.lkup[Number],MATCH(vp.tbl[[#This Row],[Crude_Breakdown]],[1]!crudeBD.lkup[Crude Breakdown],0))</f>
        <v>#REF!</v>
      </c>
      <c r="AI1095">
        <f>MONTH(vp.tbl[[#This Row],[SDate]])</f>
        <v>3</v>
      </c>
      <c r="AJ1095" s="5">
        <f>IFERROR(vp.tbl[[#This Row],[Sulf]]*vp.tbl[[#This Row],[Net Dens]],"")</f>
        <v>2114427.8277398003</v>
      </c>
      <c r="AK1095" s="5">
        <f>IFERROR(vp.tbl[[#This Row],[Dens]]*vp.tbl[[#This Row],[VolumeM3]],"")</f>
        <v>526107.94420000003</v>
      </c>
      <c r="AL1095" s="5">
        <f>IFERROR(vp.tbl[[#This Row],[VP]]*vp.tbl[[#This Row],[VolumeM3]],"")</f>
        <v>35010.027000000002</v>
      </c>
      <c r="AM1095" s="4">
        <f>IFERROR((vp.tbl[[#This Row],[VP]]-INDEX(crudeBD.lkup.complete[Mean_VP],MATCH(vp.tbl[[#This Row],[Crude_Breakdown]],crudeBD.lkup.complete[Crude Breakdown],0)))^2,"")</f>
        <v>94.835580784387574</v>
      </c>
      <c r="AN1095" s="4">
        <f>IFERROR((vp.tbl[[#This Row],[Dens]]-INDEX(crudeBD.lkup.complete[Mean_Dens],MATCH(vp.tbl[[#This Row],[Crude_Breakdown]],crudeBD.lkup.complete[Crude Breakdown],0)))^2,"")</f>
        <v>2.3961343591678306</v>
      </c>
      <c r="AO1095" s="4">
        <f>IFERROR((vp.tbl[[#This Row],[Sulf]]-INDEX(crudeBD.lkup.complete[Mean_Sulf],MATCH(vp.tbl[[#This Row],[Crude_Breakdown]],crudeBD.lkup.complete[Crude Breakdown],0)))^2,"")</f>
        <v>2.5717249562411189</v>
      </c>
      <c r="AP1095">
        <f>IF(AND(vp.tbl[[#This Row],[SDate]]&gt;=DATE(YEAR(vp.tbl[[#This Row],[SDate]]),5,1),vp.tbl[[#This Row],[SDate]]&lt;=DATE(YEAR(vp.tbl[[#This Row],[SDate]]),9,15)),1,0)</f>
        <v>0</v>
      </c>
      <c r="AQ1095" s="15">
        <f>IF(vp.tbl[[#This Row],[SDate]]&lt;DATE(2016,12,1),0,1)</f>
        <v>1</v>
      </c>
    </row>
    <row r="1096" spans="1:43" x14ac:dyDescent="0.25">
      <c r="A1096">
        <v>1095</v>
      </c>
      <c r="B1096" t="s">
        <v>62</v>
      </c>
      <c r="C1096" t="s">
        <v>62</v>
      </c>
      <c r="D1096" t="s">
        <v>222</v>
      </c>
      <c r="F1096" s="1">
        <v>42820</v>
      </c>
      <c r="G1096" s="2">
        <v>82.8</v>
      </c>
      <c r="H1096" s="2"/>
      <c r="I1096" s="2">
        <v>0.63</v>
      </c>
      <c r="J1096" s="2">
        <v>29.7</v>
      </c>
      <c r="K1096" s="2">
        <v>9</v>
      </c>
      <c r="L1096" s="2">
        <v>819</v>
      </c>
      <c r="M1096" s="2">
        <v>819</v>
      </c>
      <c r="N1096" s="2">
        <f ca="1">INDEX(INDIRECT(_xlfn.CONCAT("weather.tbl[",N$1,"]")),MATCH(vp.tbl[[#This Row],[SDate]],weather.tbl[Date],0))</f>
        <v>5.166666666666667</v>
      </c>
      <c r="O1096" s="2">
        <f ca="1">INDEX(INDIRECT(_xlfn.CONCAT("weather.tbl[",O$1,"]")),MATCH(vp.tbl[[#This Row],[SDate]],weather.tbl[Date],0))</f>
        <v>-1.485714285714286</v>
      </c>
      <c r="P1096" s="2">
        <f ca="1">INDEX(INDIRECT(_xlfn.CONCAT("weather.tbl[",P$1,"]")),MATCH(vp.tbl[[#This Row],[SDate]],weather.tbl[Date],0))</f>
        <v>7.2</v>
      </c>
      <c r="Q1096" s="2">
        <f ca="1">INDEX(INDIRECT(_xlfn.CONCAT("weather.tbl[",Q$1,"]")),MATCH(vp.tbl[[#This Row],[SDate]],weather.tbl[Date],0))</f>
        <v>5.8</v>
      </c>
      <c r="R1096" s="2">
        <f ca="1">INDEX(INDIRECT(_xlfn.CONCAT("weather.tbl[",R$1,"]")),MATCH(vp.tbl[[#This Row],[SDate]],weather.tbl[Date],0))</f>
        <v>3.3</v>
      </c>
      <c r="S1096" s="2">
        <f ca="1">INDEX(INDIRECT(_xlfn.CONCAT("weather.tbl[",S$1,"]")),MATCH(vp.tbl[[#This Row],[SDate]],weather.tbl[Date],0))</f>
        <v>5.3</v>
      </c>
      <c r="T1096" s="2">
        <f ca="1">INDEX(INDIRECT(_xlfn.CONCAT("weather.tbl[",T$1,"]")),MATCH(vp.tbl[[#This Row],[SDate]],weather.tbl[Date],0))</f>
        <v>2.6</v>
      </c>
      <c r="U1096" s="2">
        <f ca="1">INDEX(INDIRECT(_xlfn.CONCAT("weather.tbl[",U$1,"]")),MATCH(vp.tbl[[#This Row],[SDate]],weather.tbl[Date],0))</f>
        <v>6.8</v>
      </c>
      <c r="V1096" s="2">
        <v>1249.3440000000001</v>
      </c>
      <c r="W1096" t="s">
        <v>48</v>
      </c>
      <c r="X1096">
        <f>IF(OR(vp.tbl[[#This Row],[Sulf]]="",vp.tbl[[#This Row],[Dens]]=""),1,0)</f>
        <v>0</v>
      </c>
      <c r="Y1096">
        <f>IF(vp.tbl[[#This Row],[CrudeType]]="C5+",1,0)</f>
        <v>0</v>
      </c>
      <c r="Z1096">
        <f>IF(AND(vp.tbl[[#This Row],[CrudeType]]="Crude",vp.tbl[[#This Row],[Dens]]&lt;=825,vp.tbl[[#This Row],[Sulf]]&gt;0.5,vp.tbl[[#This Row],[Unknown]]=0),1,0)</f>
        <v>1</v>
      </c>
      <c r="AA1096">
        <f>IF(AND(vp.tbl[[#This Row],[CrudeType]]="Crude",vp.tbl[[#This Row],[Dens]]&lt;=825,vp.tbl[[#This Row],[Sulf]]&lt;=0.5,vp.tbl[[#This Row],[Unknown]]=0),1,0)</f>
        <v>0</v>
      </c>
      <c r="AB1096">
        <f>IF(AND(vp.tbl[[#This Row],[CrudeType]]="Crude",vp.tbl[[#This Row],[Dens]]&gt;825,vp.tbl[[#This Row],[Dens]]&lt;=870,vp.tbl[[#This Row],[Sulf]]&gt;0.5,vp.tbl[[#This Row],[Unknown]]=0),1,0)</f>
        <v>0</v>
      </c>
      <c r="AC1096">
        <f>IF(AND(vp.tbl[[#This Row],[CrudeType]]="Crude",vp.tbl[[#This Row],[Dens]]&gt;825,vp.tbl[[#This Row],[Dens]]&lt;=900,vp.tbl[[#This Row],[Sulf]]&lt;=0.5,vp.tbl[[#This Row],[Unknown]]=0),1,0)</f>
        <v>0</v>
      </c>
      <c r="AD1096">
        <f>IF(AND(vp.tbl[[#This Row],[CrudeType]]="Crude",vp.tbl[[#This Row],[Dens]]&gt;870,vp.tbl[[#This Row],[Dens]]&lt;=900,vp.tbl[[#This Row],[Sulf]]&gt;0.5,vp.tbl[[#This Row],[Unknown]]=0),1,0)</f>
        <v>0</v>
      </c>
      <c r="AE1096">
        <f>IF(AND(vp.tbl[[#This Row],[CrudeType]]="Crude",vp.tbl[[#This Row],[Dens]]&gt;900,vp.tbl[[#This Row],[Sulf]]&lt;=0.5,vp.tbl[[#This Row],[Unknown]]=0),1,0)</f>
        <v>0</v>
      </c>
      <c r="AF1096">
        <f>IF(AND(vp.tbl[[#This Row],[CrudeType]]="Crude",vp.tbl[[#This Row],[Dens]]&gt;900,vp.tbl[[#This Row],[Sulf]]&lt;=0.5,vp.tbl[[#This Row],[Unknown]]=0),1,0)</f>
        <v>0</v>
      </c>
      <c r="AG1096" t="str">
        <f>INDEX(vp.tbl[[#Headers],[Unknown]:[Heavy_SW]],MATCH(1,vp.tbl[[#This Row],[Unknown]:[Heavy_SW]],0))</f>
        <v>Light_LSB</v>
      </c>
      <c r="AH1096" t="e">
        <f>INDEX([1]!crudeBD.lkup[Number],MATCH(vp.tbl[[#This Row],[Crude_Breakdown]],[1]!crudeBD.lkup[Crude Breakdown],0))</f>
        <v>#REF!</v>
      </c>
      <c r="AI1096">
        <f>MONTH(vp.tbl[[#This Row],[SDate]])</f>
        <v>3</v>
      </c>
      <c r="AJ1096" s="5">
        <f>IFERROR(vp.tbl[[#This Row],[Sulf]]*vp.tbl[[#This Row],[Net Dens]],"")</f>
        <v>644624.02367999998</v>
      </c>
      <c r="AK1096" s="5">
        <f>IFERROR(vp.tbl[[#This Row],[Dens]]*vp.tbl[[#This Row],[VolumeM3]],"")</f>
        <v>1023212.736</v>
      </c>
      <c r="AL1096" s="5">
        <f>IFERROR(vp.tbl[[#This Row],[VP]]*vp.tbl[[#This Row],[VolumeM3]],"")</f>
        <v>103445.6832</v>
      </c>
      <c r="AM1096" s="4">
        <f>IFERROR((vp.tbl[[#This Row],[VP]]-INDEX(crudeBD.lkup.complete[Mean_VP],MATCH(vp.tbl[[#This Row],[Crude_Breakdown]],crudeBD.lkup.complete[Crude Breakdown],0)))^2,"")</f>
        <v>76.495761972580041</v>
      </c>
      <c r="AN1096" s="4">
        <f>IFERROR((vp.tbl[[#This Row],[Dens]]-INDEX(crudeBD.lkup.complete[Mean_Dens],MATCH(vp.tbl[[#This Row],[Crude_Breakdown]],crudeBD.lkup.complete[Crude Breakdown],0)))^2,"")</f>
        <v>0.2335114653821484</v>
      </c>
      <c r="AO1096" s="4">
        <f>IFERROR((vp.tbl[[#This Row],[Sulf]]-INDEX(crudeBD.lkup.complete[Mean_Sulf],MATCH(vp.tbl[[#This Row],[Crude_Breakdown]],crudeBD.lkup.complete[Crude Breakdown],0)))^2,"")</f>
        <v>8.5832105504801401E-2</v>
      </c>
      <c r="AP1096">
        <f>IF(AND(vp.tbl[[#This Row],[SDate]]&gt;=DATE(YEAR(vp.tbl[[#This Row],[SDate]]),5,1),vp.tbl[[#This Row],[SDate]]&lt;=DATE(YEAR(vp.tbl[[#This Row],[SDate]]),9,15)),1,0)</f>
        <v>0</v>
      </c>
      <c r="AQ1096" s="15">
        <f>IF(vp.tbl[[#This Row],[SDate]]&lt;DATE(2016,12,1),0,1)</f>
        <v>1</v>
      </c>
    </row>
    <row r="1097" spans="1:43" x14ac:dyDescent="0.25">
      <c r="A1097">
        <v>1096</v>
      </c>
      <c r="B1097" t="s">
        <v>223</v>
      </c>
      <c r="C1097" t="s">
        <v>223</v>
      </c>
      <c r="D1097" t="s">
        <v>224</v>
      </c>
      <c r="F1097" s="1">
        <v>42820</v>
      </c>
      <c r="G1097" s="2">
        <v>54.6</v>
      </c>
      <c r="H1097" s="2"/>
      <c r="I1097" s="2">
        <v>1.77</v>
      </c>
      <c r="J1097" s="2">
        <v>29.5</v>
      </c>
      <c r="K1097" s="2">
        <v>9</v>
      </c>
      <c r="L1097" s="2">
        <v>863.7</v>
      </c>
      <c r="M1097" s="2">
        <v>863.7</v>
      </c>
      <c r="N1097" s="2">
        <f ca="1">INDEX(INDIRECT(_xlfn.CONCAT("weather.tbl[",N$1,"]")),MATCH(vp.tbl[[#This Row],[SDate]],weather.tbl[Date],0))</f>
        <v>5.166666666666667</v>
      </c>
      <c r="O1097" s="2">
        <f ca="1">INDEX(INDIRECT(_xlfn.CONCAT("weather.tbl[",O$1,"]")),MATCH(vp.tbl[[#This Row],[SDate]],weather.tbl[Date],0))</f>
        <v>-1.485714285714286</v>
      </c>
      <c r="P1097" s="2">
        <f ca="1">INDEX(INDIRECT(_xlfn.CONCAT("weather.tbl[",P$1,"]")),MATCH(vp.tbl[[#This Row],[SDate]],weather.tbl[Date],0))</f>
        <v>7.2</v>
      </c>
      <c r="Q1097" s="2">
        <f ca="1">INDEX(INDIRECT(_xlfn.CONCAT("weather.tbl[",Q$1,"]")),MATCH(vp.tbl[[#This Row],[SDate]],weather.tbl[Date],0))</f>
        <v>5.8</v>
      </c>
      <c r="R1097" s="2">
        <f ca="1">INDEX(INDIRECT(_xlfn.CONCAT("weather.tbl[",R$1,"]")),MATCH(vp.tbl[[#This Row],[SDate]],weather.tbl[Date],0))</f>
        <v>3.3</v>
      </c>
      <c r="S1097" s="2">
        <f ca="1">INDEX(INDIRECT(_xlfn.CONCAT("weather.tbl[",S$1,"]")),MATCH(vp.tbl[[#This Row],[SDate]],weather.tbl[Date],0))</f>
        <v>5.3</v>
      </c>
      <c r="T1097" s="2">
        <f ca="1">INDEX(INDIRECT(_xlfn.CONCAT("weather.tbl[",T$1,"]")),MATCH(vp.tbl[[#This Row],[SDate]],weather.tbl[Date],0))</f>
        <v>2.6</v>
      </c>
      <c r="U1097" s="2">
        <f ca="1">INDEX(INDIRECT(_xlfn.CONCAT("weather.tbl[",U$1,"]")),MATCH(vp.tbl[[#This Row],[SDate]],weather.tbl[Date],0))</f>
        <v>6.8</v>
      </c>
      <c r="V1097" s="2">
        <v>2169.6999999999998</v>
      </c>
      <c r="W1097" t="s">
        <v>48</v>
      </c>
      <c r="X1097">
        <f>IF(OR(vp.tbl[[#This Row],[Sulf]]="",vp.tbl[[#This Row],[Dens]]=""),1,0)</f>
        <v>0</v>
      </c>
      <c r="Y1097">
        <f>IF(vp.tbl[[#This Row],[CrudeType]]="C5+",1,0)</f>
        <v>0</v>
      </c>
      <c r="Z1097">
        <f>IF(AND(vp.tbl[[#This Row],[CrudeType]]="Crude",vp.tbl[[#This Row],[Dens]]&lt;=825,vp.tbl[[#This Row],[Sulf]]&gt;0.5,vp.tbl[[#This Row],[Unknown]]=0),1,0)</f>
        <v>0</v>
      </c>
      <c r="AA1097">
        <f>IF(AND(vp.tbl[[#This Row],[CrudeType]]="Crude",vp.tbl[[#This Row],[Dens]]&lt;=825,vp.tbl[[#This Row],[Sulf]]&lt;=0.5,vp.tbl[[#This Row],[Unknown]]=0),1,0)</f>
        <v>0</v>
      </c>
      <c r="AB1097">
        <f>IF(AND(vp.tbl[[#This Row],[CrudeType]]="Crude",vp.tbl[[#This Row],[Dens]]&gt;825,vp.tbl[[#This Row],[Dens]]&lt;=870,vp.tbl[[#This Row],[Sulf]]&gt;0.5,vp.tbl[[#This Row],[Unknown]]=0),1,0)</f>
        <v>1</v>
      </c>
      <c r="AC1097">
        <f>IF(AND(vp.tbl[[#This Row],[CrudeType]]="Crude",vp.tbl[[#This Row],[Dens]]&gt;825,vp.tbl[[#This Row],[Dens]]&lt;=900,vp.tbl[[#This Row],[Sulf]]&lt;=0.5,vp.tbl[[#This Row],[Unknown]]=0),1,0)</f>
        <v>0</v>
      </c>
      <c r="AD1097">
        <f>IF(AND(vp.tbl[[#This Row],[CrudeType]]="Crude",vp.tbl[[#This Row],[Dens]]&gt;870,vp.tbl[[#This Row],[Dens]]&lt;=900,vp.tbl[[#This Row],[Sulf]]&gt;0.5,vp.tbl[[#This Row],[Unknown]]=0),1,0)</f>
        <v>0</v>
      </c>
      <c r="AE1097">
        <f>IF(AND(vp.tbl[[#This Row],[CrudeType]]="Crude",vp.tbl[[#This Row],[Dens]]&gt;900,vp.tbl[[#This Row],[Sulf]]&lt;=0.5,vp.tbl[[#This Row],[Unknown]]=0),1,0)</f>
        <v>0</v>
      </c>
      <c r="AF1097">
        <f>IF(AND(vp.tbl[[#This Row],[CrudeType]]="Crude",vp.tbl[[#This Row],[Dens]]&gt;900,vp.tbl[[#This Row],[Sulf]]&lt;=0.5,vp.tbl[[#This Row],[Unknown]]=0),1,0)</f>
        <v>0</v>
      </c>
      <c r="AG1097" t="str">
        <f>INDEX(vp.tbl[[#Headers],[Unknown]:[Heavy_SW]],MATCH(1,vp.tbl[[#This Row],[Unknown]:[Heavy_SW]],0))</f>
        <v>Medium_LSB</v>
      </c>
      <c r="AH1097" t="e">
        <f>INDEX([1]!crudeBD.lkup[Number],MATCH(vp.tbl[[#This Row],[Crude_Breakdown]],[1]!crudeBD.lkup[Crude Breakdown],0))</f>
        <v>#REF!</v>
      </c>
      <c r="AI1097">
        <f>MONTH(vp.tbl[[#This Row],[SDate]])</f>
        <v>3</v>
      </c>
      <c r="AJ1097" s="5">
        <f>IFERROR(vp.tbl[[#This Row],[Sulf]]*vp.tbl[[#This Row],[Net Dens]],"")</f>
        <v>3316926.7053</v>
      </c>
      <c r="AK1097" s="5">
        <f>IFERROR(vp.tbl[[#This Row],[Dens]]*vp.tbl[[#This Row],[VolumeM3]],"")</f>
        <v>1873969.89</v>
      </c>
      <c r="AL1097" s="5">
        <f>IFERROR(vp.tbl[[#This Row],[VP]]*vp.tbl[[#This Row],[VolumeM3]],"")</f>
        <v>118465.62</v>
      </c>
      <c r="AM1097" s="4">
        <f>IFERROR((vp.tbl[[#This Row],[VP]]-INDEX(crudeBD.lkup.complete[Mean_VP],MATCH(vp.tbl[[#This Row],[Crude_Breakdown]],crudeBD.lkup.complete[Crude Breakdown],0)))^2,"")</f>
        <v>654.00875798685911</v>
      </c>
      <c r="AN1097" s="4">
        <f>IFERROR((vp.tbl[[#This Row],[Dens]]-INDEX(crudeBD.lkup.complete[Mean_Dens],MATCH(vp.tbl[[#This Row],[Crude_Breakdown]],crudeBD.lkup.complete[Crude Breakdown],0)))^2,"")</f>
        <v>338.86098838587355</v>
      </c>
      <c r="AO1097" s="4">
        <f>IFERROR((vp.tbl[[#This Row],[Sulf]]-INDEX(crudeBD.lkup.complete[Mean_Sulf],MATCH(vp.tbl[[#This Row],[Crude_Breakdown]],crudeBD.lkup.complete[Crude Breakdown],0)))^2,"")</f>
        <v>9.9269192641031123E-2</v>
      </c>
      <c r="AP1097">
        <f>IF(AND(vp.tbl[[#This Row],[SDate]]&gt;=DATE(YEAR(vp.tbl[[#This Row],[SDate]]),5,1),vp.tbl[[#This Row],[SDate]]&lt;=DATE(YEAR(vp.tbl[[#This Row],[SDate]]),9,15)),1,0)</f>
        <v>0</v>
      </c>
      <c r="AQ1097" s="15">
        <f>IF(vp.tbl[[#This Row],[SDate]]&lt;DATE(2016,12,1),0,1)</f>
        <v>1</v>
      </c>
    </row>
    <row r="1098" spans="1:43" x14ac:dyDescent="0.25">
      <c r="A1098">
        <v>1097</v>
      </c>
      <c r="B1098" t="s">
        <v>108</v>
      </c>
      <c r="C1098" t="s">
        <v>108</v>
      </c>
      <c r="D1098" t="s">
        <v>225</v>
      </c>
      <c r="F1098" s="1">
        <v>42820</v>
      </c>
      <c r="G1098" s="2">
        <v>72.2</v>
      </c>
      <c r="H1098" s="2"/>
      <c r="I1098" s="2">
        <v>1.92</v>
      </c>
      <c r="J1098" s="2">
        <v>6</v>
      </c>
      <c r="K1098" s="2">
        <v>-30</v>
      </c>
      <c r="L1098" s="2">
        <v>869.3</v>
      </c>
      <c r="M1098" s="2">
        <v>869.3</v>
      </c>
      <c r="N1098" s="2">
        <f ca="1">INDEX(INDIRECT(_xlfn.CONCAT("weather.tbl[",N$1,"]")),MATCH(vp.tbl[[#This Row],[SDate]],weather.tbl[Date],0))</f>
        <v>5.166666666666667</v>
      </c>
      <c r="O1098" s="2">
        <f ca="1">INDEX(INDIRECT(_xlfn.CONCAT("weather.tbl[",O$1,"]")),MATCH(vp.tbl[[#This Row],[SDate]],weather.tbl[Date],0))</f>
        <v>-1.485714285714286</v>
      </c>
      <c r="P1098" s="2">
        <f ca="1">INDEX(INDIRECT(_xlfn.CONCAT("weather.tbl[",P$1,"]")),MATCH(vp.tbl[[#This Row],[SDate]],weather.tbl[Date],0))</f>
        <v>7.2</v>
      </c>
      <c r="Q1098" s="2">
        <f ca="1">INDEX(INDIRECT(_xlfn.CONCAT("weather.tbl[",Q$1,"]")),MATCH(vp.tbl[[#This Row],[SDate]],weather.tbl[Date],0))</f>
        <v>5.8</v>
      </c>
      <c r="R1098" s="2">
        <f ca="1">INDEX(INDIRECT(_xlfn.CONCAT("weather.tbl[",R$1,"]")),MATCH(vp.tbl[[#This Row],[SDate]],weather.tbl[Date],0))</f>
        <v>3.3</v>
      </c>
      <c r="S1098" s="2">
        <f ca="1">INDEX(INDIRECT(_xlfn.CONCAT("weather.tbl[",S$1,"]")),MATCH(vp.tbl[[#This Row],[SDate]],weather.tbl[Date],0))</f>
        <v>5.3</v>
      </c>
      <c r="T1098" s="2">
        <f ca="1">INDEX(INDIRECT(_xlfn.CONCAT("weather.tbl[",T$1,"]")),MATCH(vp.tbl[[#This Row],[SDate]],weather.tbl[Date],0))</f>
        <v>2.6</v>
      </c>
      <c r="U1098" s="2">
        <f ca="1">INDEX(INDIRECT(_xlfn.CONCAT("weather.tbl[",U$1,"]")),MATCH(vp.tbl[[#This Row],[SDate]],weather.tbl[Date],0))</f>
        <v>6.8</v>
      </c>
      <c r="V1098" s="2">
        <v>363.72300000000001</v>
      </c>
      <c r="W1098" t="s">
        <v>48</v>
      </c>
      <c r="X1098">
        <f>IF(OR(vp.tbl[[#This Row],[Sulf]]="",vp.tbl[[#This Row],[Dens]]=""),1,0)</f>
        <v>0</v>
      </c>
      <c r="Y1098">
        <f>IF(vp.tbl[[#This Row],[CrudeType]]="C5+",1,0)</f>
        <v>0</v>
      </c>
      <c r="Z1098">
        <f>IF(AND(vp.tbl[[#This Row],[CrudeType]]="Crude",vp.tbl[[#This Row],[Dens]]&lt;=825,vp.tbl[[#This Row],[Sulf]]&gt;0.5,vp.tbl[[#This Row],[Unknown]]=0),1,0)</f>
        <v>0</v>
      </c>
      <c r="AA1098">
        <f>IF(AND(vp.tbl[[#This Row],[CrudeType]]="Crude",vp.tbl[[#This Row],[Dens]]&lt;=825,vp.tbl[[#This Row],[Sulf]]&lt;=0.5,vp.tbl[[#This Row],[Unknown]]=0),1,0)</f>
        <v>0</v>
      </c>
      <c r="AB1098">
        <f>IF(AND(vp.tbl[[#This Row],[CrudeType]]="Crude",vp.tbl[[#This Row],[Dens]]&gt;825,vp.tbl[[#This Row],[Dens]]&lt;=870,vp.tbl[[#This Row],[Sulf]]&gt;0.5,vp.tbl[[#This Row],[Unknown]]=0),1,0)</f>
        <v>1</v>
      </c>
      <c r="AC1098">
        <f>IF(AND(vp.tbl[[#This Row],[CrudeType]]="Crude",vp.tbl[[#This Row],[Dens]]&gt;825,vp.tbl[[#This Row],[Dens]]&lt;=900,vp.tbl[[#This Row],[Sulf]]&lt;=0.5,vp.tbl[[#This Row],[Unknown]]=0),1,0)</f>
        <v>0</v>
      </c>
      <c r="AD1098">
        <f>IF(AND(vp.tbl[[#This Row],[CrudeType]]="Crude",vp.tbl[[#This Row],[Dens]]&gt;870,vp.tbl[[#This Row],[Dens]]&lt;=900,vp.tbl[[#This Row],[Sulf]]&gt;0.5,vp.tbl[[#This Row],[Unknown]]=0),1,0)</f>
        <v>0</v>
      </c>
      <c r="AE1098">
        <f>IF(AND(vp.tbl[[#This Row],[CrudeType]]="Crude",vp.tbl[[#This Row],[Dens]]&gt;900,vp.tbl[[#This Row],[Sulf]]&lt;=0.5,vp.tbl[[#This Row],[Unknown]]=0),1,0)</f>
        <v>0</v>
      </c>
      <c r="AF1098">
        <f>IF(AND(vp.tbl[[#This Row],[CrudeType]]="Crude",vp.tbl[[#This Row],[Dens]]&gt;900,vp.tbl[[#This Row],[Sulf]]&lt;=0.5,vp.tbl[[#This Row],[Unknown]]=0),1,0)</f>
        <v>0</v>
      </c>
      <c r="AG1098" t="str">
        <f>INDEX(vp.tbl[[#Headers],[Unknown]:[Heavy_SW]],MATCH(1,vp.tbl[[#This Row],[Unknown]:[Heavy_SW]],0))</f>
        <v>Medium_LSB</v>
      </c>
      <c r="AH1098" t="e">
        <f>INDEX([1]!crudeBD.lkup[Number],MATCH(vp.tbl[[#This Row],[Crude_Breakdown]],[1]!crudeBD.lkup[Crude Breakdown],0))</f>
        <v>#REF!</v>
      </c>
      <c r="AI1098">
        <f>MONTH(vp.tbl[[#This Row],[SDate]])</f>
        <v>3</v>
      </c>
      <c r="AJ1098" s="5">
        <f>IFERROR(vp.tbl[[#This Row],[Sulf]]*vp.tbl[[#This Row],[Net Dens]],"")</f>
        <v>607074.05548799993</v>
      </c>
      <c r="AK1098" s="5">
        <f>IFERROR(vp.tbl[[#This Row],[Dens]]*vp.tbl[[#This Row],[VolumeM3]],"")</f>
        <v>316184.40389999998</v>
      </c>
      <c r="AL1098" s="5">
        <f>IFERROR(vp.tbl[[#This Row],[VP]]*vp.tbl[[#This Row],[VolumeM3]],"")</f>
        <v>26260.800600000002</v>
      </c>
      <c r="AM1098" s="4">
        <f>IFERROR((vp.tbl[[#This Row],[VP]]-INDEX(crudeBD.lkup.complete[Mean_VP],MATCH(vp.tbl[[#This Row],[Crude_Breakdown]],crudeBD.lkup.complete[Crude Breakdown],0)))^2,"")</f>
        <v>63.578216214708547</v>
      </c>
      <c r="AN1098" s="4">
        <f>IFERROR((vp.tbl[[#This Row],[Dens]]-INDEX(crudeBD.lkup.complete[Mean_Dens],MATCH(vp.tbl[[#This Row],[Crude_Breakdown]],crudeBD.lkup.complete[Crude Breakdown],0)))^2,"")</f>
        <v>576.39257319600733</v>
      </c>
      <c r="AO1098" s="4">
        <f>IFERROR((vp.tbl[[#This Row],[Sulf]]-INDEX(crudeBD.lkup.complete[Mean_Sulf],MATCH(vp.tbl[[#This Row],[Crude_Breakdown]],crudeBD.lkup.complete[Crude Breakdown],0)))^2,"")</f>
        <v>0.21629023441318251</v>
      </c>
      <c r="AP1098">
        <f>IF(AND(vp.tbl[[#This Row],[SDate]]&gt;=DATE(YEAR(vp.tbl[[#This Row],[SDate]]),5,1),vp.tbl[[#This Row],[SDate]]&lt;=DATE(YEAR(vp.tbl[[#This Row],[SDate]]),9,15)),1,0)</f>
        <v>0</v>
      </c>
      <c r="AQ1098" s="15">
        <f>IF(vp.tbl[[#This Row],[SDate]]&lt;DATE(2016,12,1),0,1)</f>
        <v>1</v>
      </c>
    </row>
    <row r="1099" spans="1:43" x14ac:dyDescent="0.25">
      <c r="A1099">
        <v>1098</v>
      </c>
      <c r="B1099" t="s">
        <v>108</v>
      </c>
      <c r="C1099" t="s">
        <v>108</v>
      </c>
      <c r="D1099" t="s">
        <v>226</v>
      </c>
      <c r="F1099" s="1">
        <v>42820</v>
      </c>
      <c r="G1099" s="2">
        <v>96.5</v>
      </c>
      <c r="H1099" s="2"/>
      <c r="I1099" s="2">
        <v>2.42</v>
      </c>
      <c r="J1099" s="2">
        <v>7.2</v>
      </c>
      <c r="K1099" s="2">
        <v>9</v>
      </c>
      <c r="L1099" s="2">
        <v>870.4</v>
      </c>
      <c r="M1099" s="2">
        <v>870.4</v>
      </c>
      <c r="N1099" s="2">
        <f ca="1">INDEX(INDIRECT(_xlfn.CONCAT("weather.tbl[",N$1,"]")),MATCH(vp.tbl[[#This Row],[SDate]],weather.tbl[Date],0))</f>
        <v>5.166666666666667</v>
      </c>
      <c r="O1099" s="2">
        <f ca="1">INDEX(INDIRECT(_xlfn.CONCAT("weather.tbl[",O$1,"]")),MATCH(vp.tbl[[#This Row],[SDate]],weather.tbl[Date],0))</f>
        <v>-1.485714285714286</v>
      </c>
      <c r="P1099" s="2">
        <f ca="1">INDEX(INDIRECT(_xlfn.CONCAT("weather.tbl[",P$1,"]")),MATCH(vp.tbl[[#This Row],[SDate]],weather.tbl[Date],0))</f>
        <v>7.2</v>
      </c>
      <c r="Q1099" s="2">
        <f ca="1">INDEX(INDIRECT(_xlfn.CONCAT("weather.tbl[",Q$1,"]")),MATCH(vp.tbl[[#This Row],[SDate]],weather.tbl[Date],0))</f>
        <v>5.8</v>
      </c>
      <c r="R1099" s="2">
        <f ca="1">INDEX(INDIRECT(_xlfn.CONCAT("weather.tbl[",R$1,"]")),MATCH(vp.tbl[[#This Row],[SDate]],weather.tbl[Date],0))</f>
        <v>3.3</v>
      </c>
      <c r="S1099" s="2">
        <f ca="1">INDEX(INDIRECT(_xlfn.CONCAT("weather.tbl[",S$1,"]")),MATCH(vp.tbl[[#This Row],[SDate]],weather.tbl[Date],0))</f>
        <v>5.3</v>
      </c>
      <c r="T1099" s="2">
        <f ca="1">INDEX(INDIRECT(_xlfn.CONCAT("weather.tbl[",T$1,"]")),MATCH(vp.tbl[[#This Row],[SDate]],weather.tbl[Date],0))</f>
        <v>2.6</v>
      </c>
      <c r="U1099" s="2">
        <f ca="1">INDEX(INDIRECT(_xlfn.CONCAT("weather.tbl[",U$1,"]")),MATCH(vp.tbl[[#This Row],[SDate]],weather.tbl[Date],0))</f>
        <v>6.8</v>
      </c>
      <c r="V1099" s="2">
        <v>1259.367</v>
      </c>
      <c r="W1099" t="s">
        <v>48</v>
      </c>
      <c r="X1099">
        <f>IF(OR(vp.tbl[[#This Row],[Sulf]]="",vp.tbl[[#This Row],[Dens]]=""),1,0)</f>
        <v>0</v>
      </c>
      <c r="Y1099">
        <f>IF(vp.tbl[[#This Row],[CrudeType]]="C5+",1,0)</f>
        <v>0</v>
      </c>
      <c r="Z1099">
        <f>IF(AND(vp.tbl[[#This Row],[CrudeType]]="Crude",vp.tbl[[#This Row],[Dens]]&lt;=825,vp.tbl[[#This Row],[Sulf]]&gt;0.5,vp.tbl[[#This Row],[Unknown]]=0),1,0)</f>
        <v>0</v>
      </c>
      <c r="AA1099">
        <f>IF(AND(vp.tbl[[#This Row],[CrudeType]]="Crude",vp.tbl[[#This Row],[Dens]]&lt;=825,vp.tbl[[#This Row],[Sulf]]&lt;=0.5,vp.tbl[[#This Row],[Unknown]]=0),1,0)</f>
        <v>0</v>
      </c>
      <c r="AB1099">
        <f>IF(AND(vp.tbl[[#This Row],[CrudeType]]="Crude",vp.tbl[[#This Row],[Dens]]&gt;825,vp.tbl[[#This Row],[Dens]]&lt;=870,vp.tbl[[#This Row],[Sulf]]&gt;0.5,vp.tbl[[#This Row],[Unknown]]=0),1,0)</f>
        <v>0</v>
      </c>
      <c r="AC1099">
        <f>IF(AND(vp.tbl[[#This Row],[CrudeType]]="Crude",vp.tbl[[#This Row],[Dens]]&gt;825,vp.tbl[[#This Row],[Dens]]&lt;=900,vp.tbl[[#This Row],[Sulf]]&lt;=0.5,vp.tbl[[#This Row],[Unknown]]=0),1,0)</f>
        <v>0</v>
      </c>
      <c r="AD1099">
        <f>IF(AND(vp.tbl[[#This Row],[CrudeType]]="Crude",vp.tbl[[#This Row],[Dens]]&gt;870,vp.tbl[[#This Row],[Dens]]&lt;=900,vp.tbl[[#This Row],[Sulf]]&gt;0.5,vp.tbl[[#This Row],[Unknown]]=0),1,0)</f>
        <v>1</v>
      </c>
      <c r="AE1099">
        <f>IF(AND(vp.tbl[[#This Row],[CrudeType]]="Crude",vp.tbl[[#This Row],[Dens]]&gt;900,vp.tbl[[#This Row],[Sulf]]&lt;=0.5,vp.tbl[[#This Row],[Unknown]]=0),1,0)</f>
        <v>0</v>
      </c>
      <c r="AF1099">
        <f>IF(AND(vp.tbl[[#This Row],[CrudeType]]="Crude",vp.tbl[[#This Row],[Dens]]&gt;900,vp.tbl[[#This Row],[Sulf]]&lt;=0.5,vp.tbl[[#This Row],[Unknown]]=0),1,0)</f>
        <v>0</v>
      </c>
      <c r="AG1099" t="str">
        <f>INDEX(vp.tbl[[#Headers],[Unknown]:[Heavy_SW]],MATCH(1,vp.tbl[[#This Row],[Unknown]:[Heavy_SW]],0))</f>
        <v>Midale</v>
      </c>
      <c r="AH1099" t="e">
        <f>INDEX([1]!crudeBD.lkup[Number],MATCH(vp.tbl[[#This Row],[Crude_Breakdown]],[1]!crudeBD.lkup[Crude Breakdown],0))</f>
        <v>#REF!</v>
      </c>
      <c r="AI1099">
        <f>MONTH(vp.tbl[[#This Row],[SDate]])</f>
        <v>3</v>
      </c>
      <c r="AJ1099" s="5">
        <f>IFERROR(vp.tbl[[#This Row],[Sulf]]*vp.tbl[[#This Row],[Net Dens]],"")</f>
        <v>2652690.3490559994</v>
      </c>
      <c r="AK1099" s="5">
        <f>IFERROR(vp.tbl[[#This Row],[Dens]]*vp.tbl[[#This Row],[VolumeM3]],"")</f>
        <v>1096153.0367999999</v>
      </c>
      <c r="AL1099" s="5">
        <f>IFERROR(vp.tbl[[#This Row],[VP]]*vp.tbl[[#This Row],[VolumeM3]],"")</f>
        <v>121528.9155</v>
      </c>
      <c r="AM1099" s="4">
        <f>IFERROR((vp.tbl[[#This Row],[VP]]-INDEX(crudeBD.lkup.complete[Mean_VP],MATCH(vp.tbl[[#This Row],[Crude_Breakdown]],crudeBD.lkup.complete[Crude Breakdown],0)))^2,"")</f>
        <v>798.72051229123588</v>
      </c>
      <c r="AN1099" s="4">
        <f>IFERROR((vp.tbl[[#This Row],[Dens]]-INDEX(crudeBD.lkup.complete[Mean_Dens],MATCH(vp.tbl[[#This Row],[Crude_Breakdown]],crudeBD.lkup.complete[Crude Breakdown],0)))^2,"")</f>
        <v>51.151887783820349</v>
      </c>
      <c r="AO1099" s="4">
        <f>IFERROR((vp.tbl[[#This Row],[Sulf]]-INDEX(crudeBD.lkup.complete[Mean_Sulf],MATCH(vp.tbl[[#This Row],[Crude_Breakdown]],crudeBD.lkup.complete[Crude Breakdown],0)))^2,"")</f>
        <v>2.1714323306447433E-5</v>
      </c>
      <c r="AP1099">
        <f>IF(AND(vp.tbl[[#This Row],[SDate]]&gt;=DATE(YEAR(vp.tbl[[#This Row],[SDate]]),5,1),vp.tbl[[#This Row],[SDate]]&lt;=DATE(YEAR(vp.tbl[[#This Row],[SDate]]),9,15)),1,0)</f>
        <v>0</v>
      </c>
      <c r="AQ1099" s="15">
        <f>IF(vp.tbl[[#This Row],[SDate]]&lt;DATE(2016,12,1),0,1)</f>
        <v>1</v>
      </c>
    </row>
    <row r="1100" spans="1:43" x14ac:dyDescent="0.25">
      <c r="A1100">
        <v>1099</v>
      </c>
      <c r="B1100" t="s">
        <v>84</v>
      </c>
      <c r="C1100" t="s">
        <v>84</v>
      </c>
      <c r="D1100" t="s">
        <v>227</v>
      </c>
      <c r="F1100" s="1">
        <v>42820</v>
      </c>
      <c r="G1100" s="2">
        <v>61.1</v>
      </c>
      <c r="H1100" s="2"/>
      <c r="I1100" s="2">
        <v>2.2599999999999998</v>
      </c>
      <c r="J1100" s="2">
        <v>21.3</v>
      </c>
      <c r="K1100" s="2">
        <v>9</v>
      </c>
      <c r="L1100" s="2">
        <v>877.9</v>
      </c>
      <c r="M1100" s="2">
        <v>877.9</v>
      </c>
      <c r="N1100" s="2">
        <f ca="1">INDEX(INDIRECT(_xlfn.CONCAT("weather.tbl[",N$1,"]")),MATCH(vp.tbl[[#This Row],[SDate]],weather.tbl[Date],0))</f>
        <v>5.166666666666667</v>
      </c>
      <c r="O1100" s="2">
        <f ca="1">INDEX(INDIRECT(_xlfn.CONCAT("weather.tbl[",O$1,"]")),MATCH(vp.tbl[[#This Row],[SDate]],weather.tbl[Date],0))</f>
        <v>-1.485714285714286</v>
      </c>
      <c r="P1100" s="2">
        <f ca="1">INDEX(INDIRECT(_xlfn.CONCAT("weather.tbl[",P$1,"]")),MATCH(vp.tbl[[#This Row],[SDate]],weather.tbl[Date],0))</f>
        <v>7.2</v>
      </c>
      <c r="Q1100" s="2">
        <f ca="1">INDEX(INDIRECT(_xlfn.CONCAT("weather.tbl[",Q$1,"]")),MATCH(vp.tbl[[#This Row],[SDate]],weather.tbl[Date],0))</f>
        <v>5.8</v>
      </c>
      <c r="R1100" s="2">
        <f ca="1">INDEX(INDIRECT(_xlfn.CONCAT("weather.tbl[",R$1,"]")),MATCH(vp.tbl[[#This Row],[SDate]],weather.tbl[Date],0))</f>
        <v>3.3</v>
      </c>
      <c r="S1100" s="2">
        <f ca="1">INDEX(INDIRECT(_xlfn.CONCAT("weather.tbl[",S$1,"]")),MATCH(vp.tbl[[#This Row],[SDate]],weather.tbl[Date],0))</f>
        <v>5.3</v>
      </c>
      <c r="T1100" s="2">
        <f ca="1">INDEX(INDIRECT(_xlfn.CONCAT("weather.tbl[",T$1,"]")),MATCH(vp.tbl[[#This Row],[SDate]],weather.tbl[Date],0))</f>
        <v>2.6</v>
      </c>
      <c r="U1100" s="2">
        <f ca="1">INDEX(INDIRECT(_xlfn.CONCAT("weather.tbl[",U$1,"]")),MATCH(vp.tbl[[#This Row],[SDate]],weather.tbl[Date],0))</f>
        <v>6.8</v>
      </c>
      <c r="V1100" s="2">
        <v>628.79600000000005</v>
      </c>
      <c r="W1100" t="s">
        <v>48</v>
      </c>
      <c r="X1100">
        <f>IF(OR(vp.tbl[[#This Row],[Sulf]]="",vp.tbl[[#This Row],[Dens]]=""),1,0)</f>
        <v>0</v>
      </c>
      <c r="Y1100">
        <f>IF(vp.tbl[[#This Row],[CrudeType]]="C5+",1,0)</f>
        <v>0</v>
      </c>
      <c r="Z1100">
        <f>IF(AND(vp.tbl[[#This Row],[CrudeType]]="Crude",vp.tbl[[#This Row],[Dens]]&lt;=825,vp.tbl[[#This Row],[Sulf]]&gt;0.5,vp.tbl[[#This Row],[Unknown]]=0),1,0)</f>
        <v>0</v>
      </c>
      <c r="AA1100">
        <f>IF(AND(vp.tbl[[#This Row],[CrudeType]]="Crude",vp.tbl[[#This Row],[Dens]]&lt;=825,vp.tbl[[#This Row],[Sulf]]&lt;=0.5,vp.tbl[[#This Row],[Unknown]]=0),1,0)</f>
        <v>0</v>
      </c>
      <c r="AB1100">
        <f>IF(AND(vp.tbl[[#This Row],[CrudeType]]="Crude",vp.tbl[[#This Row],[Dens]]&gt;825,vp.tbl[[#This Row],[Dens]]&lt;=870,vp.tbl[[#This Row],[Sulf]]&gt;0.5,vp.tbl[[#This Row],[Unknown]]=0),1,0)</f>
        <v>0</v>
      </c>
      <c r="AC1100">
        <f>IF(AND(vp.tbl[[#This Row],[CrudeType]]="Crude",vp.tbl[[#This Row],[Dens]]&gt;825,vp.tbl[[#This Row],[Dens]]&lt;=900,vp.tbl[[#This Row],[Sulf]]&lt;=0.5,vp.tbl[[#This Row],[Unknown]]=0),1,0)</f>
        <v>0</v>
      </c>
      <c r="AD1100">
        <f>IF(AND(vp.tbl[[#This Row],[CrudeType]]="Crude",vp.tbl[[#This Row],[Dens]]&gt;870,vp.tbl[[#This Row],[Dens]]&lt;=900,vp.tbl[[#This Row],[Sulf]]&gt;0.5,vp.tbl[[#This Row],[Unknown]]=0),1,0)</f>
        <v>1</v>
      </c>
      <c r="AE1100">
        <f>IF(AND(vp.tbl[[#This Row],[CrudeType]]="Crude",vp.tbl[[#This Row],[Dens]]&gt;900,vp.tbl[[#This Row],[Sulf]]&lt;=0.5,vp.tbl[[#This Row],[Unknown]]=0),1,0)</f>
        <v>0</v>
      </c>
      <c r="AF1100">
        <f>IF(AND(vp.tbl[[#This Row],[CrudeType]]="Crude",vp.tbl[[#This Row],[Dens]]&gt;900,vp.tbl[[#This Row],[Sulf]]&lt;=0.5,vp.tbl[[#This Row],[Unknown]]=0),1,0)</f>
        <v>0</v>
      </c>
      <c r="AG1100" t="str">
        <f>INDEX(vp.tbl[[#Headers],[Unknown]:[Heavy_SW]],MATCH(1,vp.tbl[[#This Row],[Unknown]:[Heavy_SW]],0))</f>
        <v>Midale</v>
      </c>
      <c r="AH1100" t="e">
        <f>INDEX([1]!crudeBD.lkup[Number],MATCH(vp.tbl[[#This Row],[Crude_Breakdown]],[1]!crudeBD.lkup[Crude Breakdown],0))</f>
        <v>#REF!</v>
      </c>
      <c r="AI1100">
        <f>MONTH(vp.tbl[[#This Row],[SDate]])</f>
        <v>3</v>
      </c>
      <c r="AJ1100" s="5">
        <f>IFERROR(vp.tbl[[#This Row],[Sulf]]*vp.tbl[[#This Row],[Net Dens]],"")</f>
        <v>1247565.2189839999</v>
      </c>
      <c r="AK1100" s="5">
        <f>IFERROR(vp.tbl[[#This Row],[Dens]]*vp.tbl[[#This Row],[VolumeM3]],"")</f>
        <v>552020.00840000005</v>
      </c>
      <c r="AL1100" s="5">
        <f>IFERROR(vp.tbl[[#This Row],[VP]]*vp.tbl[[#This Row],[VolumeM3]],"")</f>
        <v>38419.435600000004</v>
      </c>
      <c r="AM1100" s="4">
        <f>IFERROR((vp.tbl[[#This Row],[VP]]-INDEX(crudeBD.lkup.complete[Mean_VP],MATCH(vp.tbl[[#This Row],[Crude_Breakdown]],crudeBD.lkup.complete[Crude Breakdown],0)))^2,"")</f>
        <v>50.956128729592962</v>
      </c>
      <c r="AN1100" s="4">
        <f>IFERROR((vp.tbl[[#This Row],[Dens]]-INDEX(crudeBD.lkup.complete[Mean_Dens],MATCH(vp.tbl[[#This Row],[Crude_Breakdown]],crudeBD.lkup.complete[Crude Breakdown],0)))^2,"")</f>
        <v>0.12106586601633297</v>
      </c>
      <c r="AO1100" s="4">
        <f>IFERROR((vp.tbl[[#This Row],[Sulf]]-INDEX(crudeBD.lkup.complete[Mean_Sulf],MATCH(vp.tbl[[#This Row],[Crude_Breakdown]],crudeBD.lkup.complete[Crude Breakdown],0)))^2,"")</f>
        <v>2.4130558158922556E-2</v>
      </c>
      <c r="AP1100">
        <f>IF(AND(vp.tbl[[#This Row],[SDate]]&gt;=DATE(YEAR(vp.tbl[[#This Row],[SDate]]),5,1),vp.tbl[[#This Row],[SDate]]&lt;=DATE(YEAR(vp.tbl[[#This Row],[SDate]]),9,15)),1,0)</f>
        <v>0</v>
      </c>
      <c r="AQ1100" s="15">
        <f>IF(vp.tbl[[#This Row],[SDate]]&lt;DATE(2016,12,1),0,1)</f>
        <v>1</v>
      </c>
    </row>
    <row r="1101" spans="1:43" x14ac:dyDescent="0.25">
      <c r="A1101">
        <v>1100</v>
      </c>
      <c r="B1101" t="s">
        <v>108</v>
      </c>
      <c r="C1101" t="s">
        <v>108</v>
      </c>
      <c r="D1101" t="s">
        <v>228</v>
      </c>
      <c r="F1101" s="1">
        <v>42820</v>
      </c>
      <c r="G1101" s="2">
        <v>65.7</v>
      </c>
      <c r="H1101" s="2"/>
      <c r="I1101" s="2">
        <v>2.46</v>
      </c>
      <c r="J1101" s="2">
        <v>19.5</v>
      </c>
      <c r="K1101" s="2">
        <v>9</v>
      </c>
      <c r="L1101" s="2">
        <v>880</v>
      </c>
      <c r="M1101" s="2">
        <v>880</v>
      </c>
      <c r="N1101" s="2">
        <f ca="1">INDEX(INDIRECT(_xlfn.CONCAT("weather.tbl[",N$1,"]")),MATCH(vp.tbl[[#This Row],[SDate]],weather.tbl[Date],0))</f>
        <v>5.166666666666667</v>
      </c>
      <c r="O1101" s="2">
        <f ca="1">INDEX(INDIRECT(_xlfn.CONCAT("weather.tbl[",O$1,"]")),MATCH(vp.tbl[[#This Row],[SDate]],weather.tbl[Date],0))</f>
        <v>-1.485714285714286</v>
      </c>
      <c r="P1101" s="2">
        <f ca="1">INDEX(INDIRECT(_xlfn.CONCAT("weather.tbl[",P$1,"]")),MATCH(vp.tbl[[#This Row],[SDate]],weather.tbl[Date],0))</f>
        <v>7.2</v>
      </c>
      <c r="Q1101" s="2">
        <f ca="1">INDEX(INDIRECT(_xlfn.CONCAT("weather.tbl[",Q$1,"]")),MATCH(vp.tbl[[#This Row],[SDate]],weather.tbl[Date],0))</f>
        <v>5.8</v>
      </c>
      <c r="R1101" s="2">
        <f ca="1">INDEX(INDIRECT(_xlfn.CONCAT("weather.tbl[",R$1,"]")),MATCH(vp.tbl[[#This Row],[SDate]],weather.tbl[Date],0))</f>
        <v>3.3</v>
      </c>
      <c r="S1101" s="2">
        <f ca="1">INDEX(INDIRECT(_xlfn.CONCAT("weather.tbl[",S$1,"]")),MATCH(vp.tbl[[#This Row],[SDate]],weather.tbl[Date],0))</f>
        <v>5.3</v>
      </c>
      <c r="T1101" s="2">
        <f ca="1">INDEX(INDIRECT(_xlfn.CONCAT("weather.tbl[",T$1,"]")),MATCH(vp.tbl[[#This Row],[SDate]],weather.tbl[Date],0))</f>
        <v>2.6</v>
      </c>
      <c r="U1101" s="2">
        <f ca="1">INDEX(INDIRECT(_xlfn.CONCAT("weather.tbl[",U$1,"]")),MATCH(vp.tbl[[#This Row],[SDate]],weather.tbl[Date],0))</f>
        <v>6.8</v>
      </c>
      <c r="V1101" s="2">
        <v>795.88900000000001</v>
      </c>
      <c r="W1101" t="s">
        <v>48</v>
      </c>
      <c r="X1101">
        <f>IF(OR(vp.tbl[[#This Row],[Sulf]]="",vp.tbl[[#This Row],[Dens]]=""),1,0)</f>
        <v>0</v>
      </c>
      <c r="Y1101">
        <f>IF(vp.tbl[[#This Row],[CrudeType]]="C5+",1,0)</f>
        <v>0</v>
      </c>
      <c r="Z1101">
        <f>IF(AND(vp.tbl[[#This Row],[CrudeType]]="Crude",vp.tbl[[#This Row],[Dens]]&lt;=825,vp.tbl[[#This Row],[Sulf]]&gt;0.5,vp.tbl[[#This Row],[Unknown]]=0),1,0)</f>
        <v>0</v>
      </c>
      <c r="AA1101">
        <f>IF(AND(vp.tbl[[#This Row],[CrudeType]]="Crude",vp.tbl[[#This Row],[Dens]]&lt;=825,vp.tbl[[#This Row],[Sulf]]&lt;=0.5,vp.tbl[[#This Row],[Unknown]]=0),1,0)</f>
        <v>0</v>
      </c>
      <c r="AB1101">
        <f>IF(AND(vp.tbl[[#This Row],[CrudeType]]="Crude",vp.tbl[[#This Row],[Dens]]&gt;825,vp.tbl[[#This Row],[Dens]]&lt;=870,vp.tbl[[#This Row],[Sulf]]&gt;0.5,vp.tbl[[#This Row],[Unknown]]=0),1,0)</f>
        <v>0</v>
      </c>
      <c r="AC1101">
        <f>IF(AND(vp.tbl[[#This Row],[CrudeType]]="Crude",vp.tbl[[#This Row],[Dens]]&gt;825,vp.tbl[[#This Row],[Dens]]&lt;=900,vp.tbl[[#This Row],[Sulf]]&lt;=0.5,vp.tbl[[#This Row],[Unknown]]=0),1,0)</f>
        <v>0</v>
      </c>
      <c r="AD1101">
        <f>IF(AND(vp.tbl[[#This Row],[CrudeType]]="Crude",vp.tbl[[#This Row],[Dens]]&gt;870,vp.tbl[[#This Row],[Dens]]&lt;=900,vp.tbl[[#This Row],[Sulf]]&gt;0.5,vp.tbl[[#This Row],[Unknown]]=0),1,0)</f>
        <v>1</v>
      </c>
      <c r="AE1101">
        <f>IF(AND(vp.tbl[[#This Row],[CrudeType]]="Crude",vp.tbl[[#This Row],[Dens]]&gt;900,vp.tbl[[#This Row],[Sulf]]&lt;=0.5,vp.tbl[[#This Row],[Unknown]]=0),1,0)</f>
        <v>0</v>
      </c>
      <c r="AF1101">
        <f>IF(AND(vp.tbl[[#This Row],[CrudeType]]="Crude",vp.tbl[[#This Row],[Dens]]&gt;900,vp.tbl[[#This Row],[Sulf]]&lt;=0.5,vp.tbl[[#This Row],[Unknown]]=0),1,0)</f>
        <v>0</v>
      </c>
      <c r="AG1101" t="str">
        <f>INDEX(vp.tbl[[#Headers],[Unknown]:[Heavy_SW]],MATCH(1,vp.tbl[[#This Row],[Unknown]:[Heavy_SW]],0))</f>
        <v>Midale</v>
      </c>
      <c r="AH1101" t="e">
        <f>INDEX([1]!crudeBD.lkup[Number],MATCH(vp.tbl[[#This Row],[Crude_Breakdown]],[1]!crudeBD.lkup[Crude Breakdown],0))</f>
        <v>#REF!</v>
      </c>
      <c r="AI1101">
        <f>MONTH(vp.tbl[[#This Row],[SDate]])</f>
        <v>3</v>
      </c>
      <c r="AJ1101" s="5">
        <f>IFERROR(vp.tbl[[#This Row],[Sulf]]*vp.tbl[[#This Row],[Net Dens]],"")</f>
        <v>1722940.5072000001</v>
      </c>
      <c r="AK1101" s="5">
        <f>IFERROR(vp.tbl[[#This Row],[Dens]]*vp.tbl[[#This Row],[VolumeM3]],"")</f>
        <v>700382.32000000007</v>
      </c>
      <c r="AL1101" s="5">
        <f>IFERROR(vp.tbl[[#This Row],[VP]]*vp.tbl[[#This Row],[VolumeM3]],"")</f>
        <v>52289.907300000006</v>
      </c>
      <c r="AM1101" s="4">
        <f>IFERROR((vp.tbl[[#This Row],[VP]]-INDEX(crudeBD.lkup.complete[Mean_VP],MATCH(vp.tbl[[#This Row],[Crude_Breakdown]],crudeBD.lkup.complete[Crude Breakdown],0)))^2,"")</f>
        <v>6.4432520172640793</v>
      </c>
      <c r="AN1101" s="4">
        <f>IFERROR((vp.tbl[[#This Row],[Dens]]-INDEX(crudeBD.lkup.complete[Mean_Dens],MATCH(vp.tbl[[#This Row],[Crude_Breakdown]],crudeBD.lkup.complete[Crude Breakdown],0)))^2,"")</f>
        <v>5.9924357290313193</v>
      </c>
      <c r="AO1101" s="4">
        <f>IFERROR((vp.tbl[[#This Row],[Sulf]]-INDEX(crudeBD.lkup.complete[Mean_Sulf],MATCH(vp.tbl[[#This Row],[Crude_Breakdown]],crudeBD.lkup.complete[Crude Breakdown],0)))^2,"")</f>
        <v>1.9945033644024352E-3</v>
      </c>
      <c r="AP1101">
        <f>IF(AND(vp.tbl[[#This Row],[SDate]]&gt;=DATE(YEAR(vp.tbl[[#This Row],[SDate]]),5,1),vp.tbl[[#This Row],[SDate]]&lt;=DATE(YEAR(vp.tbl[[#This Row],[SDate]]),9,15)),1,0)</f>
        <v>0</v>
      </c>
      <c r="AQ1101" s="15">
        <f>IF(vp.tbl[[#This Row],[SDate]]&lt;DATE(2016,12,1),0,1)</f>
        <v>1</v>
      </c>
    </row>
    <row r="1102" spans="1:43" x14ac:dyDescent="0.25">
      <c r="A1102">
        <v>1101</v>
      </c>
      <c r="B1102" t="s">
        <v>229</v>
      </c>
      <c r="C1102" t="s">
        <v>229</v>
      </c>
      <c r="D1102" t="s">
        <v>230</v>
      </c>
      <c r="F1102" s="1">
        <v>42820</v>
      </c>
      <c r="G1102" s="2">
        <v>72.599999999999994</v>
      </c>
      <c r="H1102" s="2"/>
      <c r="I1102" s="2">
        <v>2.2999999999999998</v>
      </c>
      <c r="J1102" s="2">
        <v>1</v>
      </c>
      <c r="K1102" s="2">
        <v>-30</v>
      </c>
      <c r="L1102" s="2">
        <v>880</v>
      </c>
      <c r="M1102" s="2">
        <v>880</v>
      </c>
      <c r="N1102" s="2">
        <f ca="1">INDEX(INDIRECT(_xlfn.CONCAT("weather.tbl[",N$1,"]")),MATCH(vp.tbl[[#This Row],[SDate]],weather.tbl[Date],0))</f>
        <v>5.166666666666667</v>
      </c>
      <c r="O1102" s="2">
        <f ca="1">INDEX(INDIRECT(_xlfn.CONCAT("weather.tbl[",O$1,"]")),MATCH(vp.tbl[[#This Row],[SDate]],weather.tbl[Date],0))</f>
        <v>-1.485714285714286</v>
      </c>
      <c r="P1102" s="2">
        <f ca="1">INDEX(INDIRECT(_xlfn.CONCAT("weather.tbl[",P$1,"]")),MATCH(vp.tbl[[#This Row],[SDate]],weather.tbl[Date],0))</f>
        <v>7.2</v>
      </c>
      <c r="Q1102" s="2">
        <f ca="1">INDEX(INDIRECT(_xlfn.CONCAT("weather.tbl[",Q$1,"]")),MATCH(vp.tbl[[#This Row],[SDate]],weather.tbl[Date],0))</f>
        <v>5.8</v>
      </c>
      <c r="R1102" s="2">
        <f ca="1">INDEX(INDIRECT(_xlfn.CONCAT("weather.tbl[",R$1,"]")),MATCH(vp.tbl[[#This Row],[SDate]],weather.tbl[Date],0))</f>
        <v>3.3</v>
      </c>
      <c r="S1102" s="2">
        <f ca="1">INDEX(INDIRECT(_xlfn.CONCAT("weather.tbl[",S$1,"]")),MATCH(vp.tbl[[#This Row],[SDate]],weather.tbl[Date],0))</f>
        <v>5.3</v>
      </c>
      <c r="T1102" s="2">
        <f ca="1">INDEX(INDIRECT(_xlfn.CONCAT("weather.tbl[",T$1,"]")),MATCH(vp.tbl[[#This Row],[SDate]],weather.tbl[Date],0))</f>
        <v>2.6</v>
      </c>
      <c r="U1102" s="2">
        <f ca="1">INDEX(INDIRECT(_xlfn.CONCAT("weather.tbl[",U$1,"]")),MATCH(vp.tbl[[#This Row],[SDate]],weather.tbl[Date],0))</f>
        <v>6.8</v>
      </c>
      <c r="V1102" s="2">
        <v>2585.989</v>
      </c>
      <c r="W1102" t="s">
        <v>48</v>
      </c>
      <c r="X1102">
        <f>IF(OR(vp.tbl[[#This Row],[Sulf]]="",vp.tbl[[#This Row],[Dens]]=""),1,0)</f>
        <v>0</v>
      </c>
      <c r="Y1102">
        <f>IF(vp.tbl[[#This Row],[CrudeType]]="C5+",1,0)</f>
        <v>0</v>
      </c>
      <c r="Z1102">
        <f>IF(AND(vp.tbl[[#This Row],[CrudeType]]="Crude",vp.tbl[[#This Row],[Dens]]&lt;=825,vp.tbl[[#This Row],[Sulf]]&gt;0.5,vp.tbl[[#This Row],[Unknown]]=0),1,0)</f>
        <v>0</v>
      </c>
      <c r="AA1102">
        <f>IF(AND(vp.tbl[[#This Row],[CrudeType]]="Crude",vp.tbl[[#This Row],[Dens]]&lt;=825,vp.tbl[[#This Row],[Sulf]]&lt;=0.5,vp.tbl[[#This Row],[Unknown]]=0),1,0)</f>
        <v>0</v>
      </c>
      <c r="AB1102">
        <f>IF(AND(vp.tbl[[#This Row],[CrudeType]]="Crude",vp.tbl[[#This Row],[Dens]]&gt;825,vp.tbl[[#This Row],[Dens]]&lt;=870,vp.tbl[[#This Row],[Sulf]]&gt;0.5,vp.tbl[[#This Row],[Unknown]]=0),1,0)</f>
        <v>0</v>
      </c>
      <c r="AC1102">
        <f>IF(AND(vp.tbl[[#This Row],[CrudeType]]="Crude",vp.tbl[[#This Row],[Dens]]&gt;825,vp.tbl[[#This Row],[Dens]]&lt;=900,vp.tbl[[#This Row],[Sulf]]&lt;=0.5,vp.tbl[[#This Row],[Unknown]]=0),1,0)</f>
        <v>0</v>
      </c>
      <c r="AD1102">
        <f>IF(AND(vp.tbl[[#This Row],[CrudeType]]="Crude",vp.tbl[[#This Row],[Dens]]&gt;870,vp.tbl[[#This Row],[Dens]]&lt;=900,vp.tbl[[#This Row],[Sulf]]&gt;0.5,vp.tbl[[#This Row],[Unknown]]=0),1,0)</f>
        <v>1</v>
      </c>
      <c r="AE1102">
        <f>IF(AND(vp.tbl[[#This Row],[CrudeType]]="Crude",vp.tbl[[#This Row],[Dens]]&gt;900,vp.tbl[[#This Row],[Sulf]]&lt;=0.5,vp.tbl[[#This Row],[Unknown]]=0),1,0)</f>
        <v>0</v>
      </c>
      <c r="AF1102">
        <f>IF(AND(vp.tbl[[#This Row],[CrudeType]]="Crude",vp.tbl[[#This Row],[Dens]]&gt;900,vp.tbl[[#This Row],[Sulf]]&lt;=0.5,vp.tbl[[#This Row],[Unknown]]=0),1,0)</f>
        <v>0</v>
      </c>
      <c r="AG1102" t="str">
        <f>INDEX(vp.tbl[[#Headers],[Unknown]:[Heavy_SW]],MATCH(1,vp.tbl[[#This Row],[Unknown]:[Heavy_SW]],0))</f>
        <v>Midale</v>
      </c>
      <c r="AH1102" t="e">
        <f>INDEX([1]!crudeBD.lkup[Number],MATCH(vp.tbl[[#This Row],[Crude_Breakdown]],[1]!crudeBD.lkup[Crude Breakdown],0))</f>
        <v>#REF!</v>
      </c>
      <c r="AI1102">
        <f>MONTH(vp.tbl[[#This Row],[SDate]])</f>
        <v>3</v>
      </c>
      <c r="AJ1102" s="5">
        <f>IFERROR(vp.tbl[[#This Row],[Sulf]]*vp.tbl[[#This Row],[Net Dens]],"")</f>
        <v>5234041.7359999996</v>
      </c>
      <c r="AK1102" s="5">
        <f>IFERROR(vp.tbl[[#This Row],[Dens]]*vp.tbl[[#This Row],[VolumeM3]],"")</f>
        <v>2275670.3199999998</v>
      </c>
      <c r="AL1102" s="5">
        <f>IFERROR(vp.tbl[[#This Row],[VP]]*vp.tbl[[#This Row],[VolumeM3]],"")</f>
        <v>187742.8014</v>
      </c>
      <c r="AM1102" s="4">
        <f>IFERROR((vp.tbl[[#This Row],[VP]]-INDEX(crudeBD.lkup.complete[Mean_VP],MATCH(vp.tbl[[#This Row],[Crude_Breakdown]],crudeBD.lkup.complete[Crude Breakdown],0)))^2,"")</f>
        <v>19.023936948770711</v>
      </c>
      <c r="AN1102" s="4">
        <f>IFERROR((vp.tbl[[#This Row],[Dens]]-INDEX(crudeBD.lkup.complete[Mean_Dens],MATCH(vp.tbl[[#This Row],[Crude_Breakdown]],crudeBD.lkup.complete[Crude Breakdown],0)))^2,"")</f>
        <v>5.9924357290313193</v>
      </c>
      <c r="AO1102" s="4">
        <f>IFERROR((vp.tbl[[#This Row],[Sulf]]-INDEX(crudeBD.lkup.complete[Mean_Sulf],MATCH(vp.tbl[[#This Row],[Crude_Breakdown]],crudeBD.lkup.complete[Crude Breakdown],0)))^2,"")</f>
        <v>1.3303347200018519E-2</v>
      </c>
      <c r="AP1102">
        <f>IF(AND(vp.tbl[[#This Row],[SDate]]&gt;=DATE(YEAR(vp.tbl[[#This Row],[SDate]]),5,1),vp.tbl[[#This Row],[SDate]]&lt;=DATE(YEAR(vp.tbl[[#This Row],[SDate]]),9,15)),1,0)</f>
        <v>0</v>
      </c>
      <c r="AQ1102" s="15">
        <f>IF(vp.tbl[[#This Row],[SDate]]&lt;DATE(2016,12,1),0,1)</f>
        <v>1</v>
      </c>
    </row>
    <row r="1103" spans="1:43" x14ac:dyDescent="0.25">
      <c r="A1103">
        <v>1102</v>
      </c>
      <c r="B1103" t="s">
        <v>49</v>
      </c>
      <c r="C1103" t="s">
        <v>49</v>
      </c>
      <c r="D1103" t="s">
        <v>75</v>
      </c>
      <c r="F1103" s="1">
        <v>42821</v>
      </c>
      <c r="G1103" s="2">
        <v>89.6</v>
      </c>
      <c r="H1103" s="2">
        <v>0.16500000000000001</v>
      </c>
      <c r="I1103" s="2">
        <v>0.16500000000000001</v>
      </c>
      <c r="J1103" s="2">
        <v>28.2</v>
      </c>
      <c r="K1103" s="2">
        <v>-12</v>
      </c>
      <c r="L1103" s="2">
        <v>801.9</v>
      </c>
      <c r="M1103" s="2">
        <v>801.9</v>
      </c>
      <c r="N1103" s="2">
        <f ca="1">INDEX(INDIRECT(_xlfn.CONCAT("weather.tbl[",N$1,"]")),MATCH(vp.tbl[[#This Row],[SDate]],weather.tbl[Date],0))</f>
        <v>1.4666666666666668</v>
      </c>
      <c r="O1103" s="2">
        <f ca="1">INDEX(INDIRECT(_xlfn.CONCAT("weather.tbl[",O$1,"]")),MATCH(vp.tbl[[#This Row],[SDate]],weather.tbl[Date],0))</f>
        <v>-0.90238095238095273</v>
      </c>
      <c r="P1103" s="2">
        <f ca="1">INDEX(INDIRECT(_xlfn.CONCAT("weather.tbl[",P$1,"]")),MATCH(vp.tbl[[#This Row],[SDate]],weather.tbl[Date],0))</f>
        <v>0.7</v>
      </c>
      <c r="Q1103" s="2">
        <f ca="1">INDEX(INDIRECT(_xlfn.CONCAT("weather.tbl[",Q$1,"]")),MATCH(vp.tbl[[#This Row],[SDate]],weather.tbl[Date],0))</f>
        <v>3</v>
      </c>
      <c r="R1103" s="2">
        <f ca="1">INDEX(INDIRECT(_xlfn.CONCAT("weather.tbl[",R$1,"]")),MATCH(vp.tbl[[#This Row],[SDate]],weather.tbl[Date],0))</f>
        <v>1.3</v>
      </c>
      <c r="S1103" s="2">
        <f ca="1">INDEX(INDIRECT(_xlfn.CONCAT("weather.tbl[",S$1,"]")),MATCH(vp.tbl[[#This Row],[SDate]],weather.tbl[Date],0))</f>
        <v>3.3</v>
      </c>
      <c r="T1103" s="2">
        <f ca="1">INDEX(INDIRECT(_xlfn.CONCAT("weather.tbl[",T$1,"]")),MATCH(vp.tbl[[#This Row],[SDate]],weather.tbl[Date],0))</f>
        <v>-0.3</v>
      </c>
      <c r="U1103" s="2">
        <f ca="1">INDEX(INDIRECT(_xlfn.CONCAT("weather.tbl[",U$1,"]")),MATCH(vp.tbl[[#This Row],[SDate]],weather.tbl[Date],0))</f>
        <v>0.8</v>
      </c>
      <c r="V1103" s="2">
        <v>1638.6679999999999</v>
      </c>
      <c r="W1103" t="s">
        <v>48</v>
      </c>
      <c r="X1103">
        <f>IF(OR(vp.tbl[[#This Row],[Sulf]]="",vp.tbl[[#This Row],[Dens]]=""),1,0)</f>
        <v>0</v>
      </c>
      <c r="Y1103">
        <f>IF(vp.tbl[[#This Row],[CrudeType]]="C5+",1,0)</f>
        <v>0</v>
      </c>
      <c r="Z1103">
        <f>IF(AND(vp.tbl[[#This Row],[CrudeType]]="Crude",vp.tbl[[#This Row],[Dens]]&lt;=825,vp.tbl[[#This Row],[Sulf]]&gt;0.5,vp.tbl[[#This Row],[Unknown]]=0),1,0)</f>
        <v>0</v>
      </c>
      <c r="AA1103">
        <f>IF(AND(vp.tbl[[#This Row],[CrudeType]]="Crude",vp.tbl[[#This Row],[Dens]]&lt;=825,vp.tbl[[#This Row],[Sulf]]&lt;=0.5,vp.tbl[[#This Row],[Unknown]]=0),1,0)</f>
        <v>1</v>
      </c>
      <c r="AB1103">
        <f>IF(AND(vp.tbl[[#This Row],[CrudeType]]="Crude",vp.tbl[[#This Row],[Dens]]&gt;825,vp.tbl[[#This Row],[Dens]]&lt;=870,vp.tbl[[#This Row],[Sulf]]&gt;0.5,vp.tbl[[#This Row],[Unknown]]=0),1,0)</f>
        <v>0</v>
      </c>
      <c r="AC1103">
        <f>IF(AND(vp.tbl[[#This Row],[CrudeType]]="Crude",vp.tbl[[#This Row],[Dens]]&gt;825,vp.tbl[[#This Row],[Dens]]&lt;=900,vp.tbl[[#This Row],[Sulf]]&lt;=0.5,vp.tbl[[#This Row],[Unknown]]=0),1,0)</f>
        <v>0</v>
      </c>
      <c r="AD1103">
        <f>IF(AND(vp.tbl[[#This Row],[CrudeType]]="Crude",vp.tbl[[#This Row],[Dens]]&gt;870,vp.tbl[[#This Row],[Dens]]&lt;=900,vp.tbl[[#This Row],[Sulf]]&gt;0.5,vp.tbl[[#This Row],[Unknown]]=0),1,0)</f>
        <v>0</v>
      </c>
      <c r="AE1103">
        <f>IF(AND(vp.tbl[[#This Row],[CrudeType]]="Crude",vp.tbl[[#This Row],[Dens]]&gt;900,vp.tbl[[#This Row],[Sulf]]&lt;=0.5,vp.tbl[[#This Row],[Unknown]]=0),1,0)</f>
        <v>0</v>
      </c>
      <c r="AF1103">
        <f>IF(AND(vp.tbl[[#This Row],[CrudeType]]="Crude",vp.tbl[[#This Row],[Dens]]&gt;900,vp.tbl[[#This Row],[Sulf]]&lt;=0.5,vp.tbl[[#This Row],[Unknown]]=0),1,0)</f>
        <v>0</v>
      </c>
      <c r="AG1103" t="str">
        <f>INDEX(vp.tbl[[#Headers],[Unknown]:[Heavy_SW]],MATCH(1,vp.tbl[[#This Row],[Unknown]:[Heavy_SW]],0))</f>
        <v>Light_SW</v>
      </c>
      <c r="AH1103" t="e">
        <f>INDEX([1]!crudeBD.lkup[Number],MATCH(vp.tbl[[#This Row],[Crude_Breakdown]],[1]!crudeBD.lkup[Crude Breakdown],0))</f>
        <v>#REF!</v>
      </c>
      <c r="AI1103">
        <f>MONTH(vp.tbl[[#This Row],[SDate]])</f>
        <v>3</v>
      </c>
      <c r="AJ1103" s="5">
        <f>IFERROR(vp.tbl[[#This Row],[Sulf]]*vp.tbl[[#This Row],[Net Dens]],"")</f>
        <v>216817.898418</v>
      </c>
      <c r="AK1103" s="5">
        <f>IFERROR(vp.tbl[[#This Row],[Dens]]*vp.tbl[[#This Row],[VolumeM3]],"")</f>
        <v>1314047.8691999998</v>
      </c>
      <c r="AL1103" s="5">
        <f>IFERROR(vp.tbl[[#This Row],[VP]]*vp.tbl[[#This Row],[VolumeM3]],"")</f>
        <v>146824.65279999998</v>
      </c>
      <c r="AM1103" s="4">
        <f>IFERROR((vp.tbl[[#This Row],[VP]]-INDEX(crudeBD.lkup.complete[Mean_VP],MATCH(vp.tbl[[#This Row],[Crude_Breakdown]],crudeBD.lkup.complete[Crude Breakdown],0)))^2,"")</f>
        <v>8.7043502725538549</v>
      </c>
      <c r="AN1103" s="4">
        <f>IFERROR((vp.tbl[[#This Row],[Dens]]-INDEX(crudeBD.lkup.complete[Mean_Dens],MATCH(vp.tbl[[#This Row],[Crude_Breakdown]],crudeBD.lkup.complete[Crude Breakdown],0)))^2,"")</f>
        <v>41.10730991027927</v>
      </c>
      <c r="AO1103" s="4">
        <f>IFERROR((vp.tbl[[#This Row],[Sulf]]-INDEX(crudeBD.lkup.complete[Mean_Sulf],MATCH(vp.tbl[[#This Row],[Crude_Breakdown]],crudeBD.lkup.complete[Crude Breakdown],0)))^2,"")</f>
        <v>5.0753957551991418E-3</v>
      </c>
      <c r="AP1103">
        <f>IF(AND(vp.tbl[[#This Row],[SDate]]&gt;=DATE(YEAR(vp.tbl[[#This Row],[SDate]]),5,1),vp.tbl[[#This Row],[SDate]]&lt;=DATE(YEAR(vp.tbl[[#This Row],[SDate]]),9,15)),1,0)</f>
        <v>0</v>
      </c>
      <c r="AQ1103" s="15">
        <f>IF(vp.tbl[[#This Row],[SDate]]&lt;DATE(2016,12,1),0,1)</f>
        <v>1</v>
      </c>
    </row>
    <row r="1104" spans="1:43" x14ac:dyDescent="0.25">
      <c r="A1104">
        <v>1103</v>
      </c>
      <c r="B1104" t="s">
        <v>49</v>
      </c>
      <c r="C1104" t="s">
        <v>49</v>
      </c>
      <c r="D1104" t="s">
        <v>75</v>
      </c>
      <c r="F1104" s="1">
        <v>42821</v>
      </c>
      <c r="G1104" s="2">
        <v>85.7</v>
      </c>
      <c r="H1104" s="2">
        <v>0.19600000000000001</v>
      </c>
      <c r="I1104" s="2">
        <v>0.19600000000000001</v>
      </c>
      <c r="J1104" s="2">
        <v>29.2</v>
      </c>
      <c r="K1104" s="2">
        <v>4</v>
      </c>
      <c r="L1104" s="2">
        <v>803.8</v>
      </c>
      <c r="M1104" s="2">
        <v>803.8</v>
      </c>
      <c r="N1104" s="2">
        <f ca="1">INDEX(INDIRECT(_xlfn.CONCAT("weather.tbl[",N$1,"]")),MATCH(vp.tbl[[#This Row],[SDate]],weather.tbl[Date],0))</f>
        <v>1.4666666666666668</v>
      </c>
      <c r="O1104" s="2">
        <f ca="1">INDEX(INDIRECT(_xlfn.CONCAT("weather.tbl[",O$1,"]")),MATCH(vp.tbl[[#This Row],[SDate]],weather.tbl[Date],0))</f>
        <v>-0.90238095238095273</v>
      </c>
      <c r="P1104" s="2">
        <f ca="1">INDEX(INDIRECT(_xlfn.CONCAT("weather.tbl[",P$1,"]")),MATCH(vp.tbl[[#This Row],[SDate]],weather.tbl[Date],0))</f>
        <v>0.7</v>
      </c>
      <c r="Q1104" s="2">
        <f ca="1">INDEX(INDIRECT(_xlfn.CONCAT("weather.tbl[",Q$1,"]")),MATCH(vp.tbl[[#This Row],[SDate]],weather.tbl[Date],0))</f>
        <v>3</v>
      </c>
      <c r="R1104" s="2">
        <f ca="1">INDEX(INDIRECT(_xlfn.CONCAT("weather.tbl[",R$1,"]")),MATCH(vp.tbl[[#This Row],[SDate]],weather.tbl[Date],0))</f>
        <v>1.3</v>
      </c>
      <c r="S1104" s="2">
        <f ca="1">INDEX(INDIRECT(_xlfn.CONCAT("weather.tbl[",S$1,"]")),MATCH(vp.tbl[[#This Row],[SDate]],weather.tbl[Date],0))</f>
        <v>3.3</v>
      </c>
      <c r="T1104" s="2">
        <f ca="1">INDEX(INDIRECT(_xlfn.CONCAT("weather.tbl[",T$1,"]")),MATCH(vp.tbl[[#This Row],[SDate]],weather.tbl[Date],0))</f>
        <v>-0.3</v>
      </c>
      <c r="U1104" s="2">
        <f ca="1">INDEX(INDIRECT(_xlfn.CONCAT("weather.tbl[",U$1,"]")),MATCH(vp.tbl[[#This Row],[SDate]],weather.tbl[Date],0))</f>
        <v>0.8</v>
      </c>
      <c r="V1104" s="2">
        <v>1638.6679999999999</v>
      </c>
      <c r="W1104" t="s">
        <v>48</v>
      </c>
      <c r="X1104">
        <f>IF(OR(vp.tbl[[#This Row],[Sulf]]="",vp.tbl[[#This Row],[Dens]]=""),1,0)</f>
        <v>0</v>
      </c>
      <c r="Y1104">
        <f>IF(vp.tbl[[#This Row],[CrudeType]]="C5+",1,0)</f>
        <v>0</v>
      </c>
      <c r="Z1104">
        <f>IF(AND(vp.tbl[[#This Row],[CrudeType]]="Crude",vp.tbl[[#This Row],[Dens]]&lt;=825,vp.tbl[[#This Row],[Sulf]]&gt;0.5,vp.tbl[[#This Row],[Unknown]]=0),1,0)</f>
        <v>0</v>
      </c>
      <c r="AA1104">
        <f>IF(AND(vp.tbl[[#This Row],[CrudeType]]="Crude",vp.tbl[[#This Row],[Dens]]&lt;=825,vp.tbl[[#This Row],[Sulf]]&lt;=0.5,vp.tbl[[#This Row],[Unknown]]=0),1,0)</f>
        <v>1</v>
      </c>
      <c r="AB1104">
        <f>IF(AND(vp.tbl[[#This Row],[CrudeType]]="Crude",vp.tbl[[#This Row],[Dens]]&gt;825,vp.tbl[[#This Row],[Dens]]&lt;=870,vp.tbl[[#This Row],[Sulf]]&gt;0.5,vp.tbl[[#This Row],[Unknown]]=0),1,0)</f>
        <v>0</v>
      </c>
      <c r="AC1104">
        <f>IF(AND(vp.tbl[[#This Row],[CrudeType]]="Crude",vp.tbl[[#This Row],[Dens]]&gt;825,vp.tbl[[#This Row],[Dens]]&lt;=900,vp.tbl[[#This Row],[Sulf]]&lt;=0.5,vp.tbl[[#This Row],[Unknown]]=0),1,0)</f>
        <v>0</v>
      </c>
      <c r="AD1104">
        <f>IF(AND(vp.tbl[[#This Row],[CrudeType]]="Crude",vp.tbl[[#This Row],[Dens]]&gt;870,vp.tbl[[#This Row],[Dens]]&lt;=900,vp.tbl[[#This Row],[Sulf]]&gt;0.5,vp.tbl[[#This Row],[Unknown]]=0),1,0)</f>
        <v>0</v>
      </c>
      <c r="AE1104">
        <f>IF(AND(vp.tbl[[#This Row],[CrudeType]]="Crude",vp.tbl[[#This Row],[Dens]]&gt;900,vp.tbl[[#This Row],[Sulf]]&lt;=0.5,vp.tbl[[#This Row],[Unknown]]=0),1,0)</f>
        <v>0</v>
      </c>
      <c r="AF1104">
        <f>IF(AND(vp.tbl[[#This Row],[CrudeType]]="Crude",vp.tbl[[#This Row],[Dens]]&gt;900,vp.tbl[[#This Row],[Sulf]]&lt;=0.5,vp.tbl[[#This Row],[Unknown]]=0),1,0)</f>
        <v>0</v>
      </c>
      <c r="AG1104" t="str">
        <f>INDEX(vp.tbl[[#Headers],[Unknown]:[Heavy_SW]],MATCH(1,vp.tbl[[#This Row],[Unknown]:[Heavy_SW]],0))</f>
        <v>Light_SW</v>
      </c>
      <c r="AH1104" t="e">
        <f>INDEX([1]!crudeBD.lkup[Number],MATCH(vp.tbl[[#This Row],[Crude_Breakdown]],[1]!crudeBD.lkup[Crude Breakdown],0))</f>
        <v>#REF!</v>
      </c>
      <c r="AI1104">
        <f>MONTH(vp.tbl[[#This Row],[SDate]])</f>
        <v>3</v>
      </c>
      <c r="AJ1104" s="5">
        <f>IFERROR(vp.tbl[[#This Row],[Sulf]]*vp.tbl[[#This Row],[Net Dens]],"")</f>
        <v>258163.62232639996</v>
      </c>
      <c r="AK1104" s="5">
        <f>IFERROR(vp.tbl[[#This Row],[Dens]]*vp.tbl[[#This Row],[VolumeM3]],"")</f>
        <v>1317161.3383999998</v>
      </c>
      <c r="AL1104" s="5">
        <f>IFERROR(vp.tbl[[#This Row],[VP]]*vp.tbl[[#This Row],[VolumeM3]],"")</f>
        <v>140433.84760000001</v>
      </c>
      <c r="AM1104" s="4">
        <f>IFERROR((vp.tbl[[#This Row],[VP]]-INDEX(crudeBD.lkup.complete[Mean_VP],MATCH(vp.tbl[[#This Row],[Crude_Breakdown]],crudeBD.lkup.complete[Crude Breakdown],0)))^2,"")</f>
        <v>46.926796265584912</v>
      </c>
      <c r="AN1104" s="4">
        <f>IFERROR((vp.tbl[[#This Row],[Dens]]-INDEX(crudeBD.lkup.complete[Mean_Dens],MATCH(vp.tbl[[#This Row],[Crude_Breakdown]],crudeBD.lkup.complete[Crude Breakdown],0)))^2,"")</f>
        <v>20.35361653048928</v>
      </c>
      <c r="AO1104" s="4">
        <f>IFERROR((vp.tbl[[#This Row],[Sulf]]-INDEX(crudeBD.lkup.complete[Mean_Sulf],MATCH(vp.tbl[[#This Row],[Crude_Breakdown]],crudeBD.lkup.complete[Crude Breakdown],0)))^2,"")</f>
        <v>1.6194034207043782E-3</v>
      </c>
      <c r="AP1104">
        <f>IF(AND(vp.tbl[[#This Row],[SDate]]&gt;=DATE(YEAR(vp.tbl[[#This Row],[SDate]]),5,1),vp.tbl[[#This Row],[SDate]]&lt;=DATE(YEAR(vp.tbl[[#This Row],[SDate]]),9,15)),1,0)</f>
        <v>0</v>
      </c>
      <c r="AQ1104" s="15">
        <f>IF(vp.tbl[[#This Row],[SDate]]&lt;DATE(2016,12,1),0,1)</f>
        <v>1</v>
      </c>
    </row>
    <row r="1105" spans="1:43" x14ac:dyDescent="0.25">
      <c r="A1105">
        <v>1104</v>
      </c>
      <c r="B1105" t="s">
        <v>49</v>
      </c>
      <c r="C1105" t="s">
        <v>49</v>
      </c>
      <c r="D1105" t="s">
        <v>74</v>
      </c>
      <c r="F1105" s="1">
        <v>42821</v>
      </c>
      <c r="G1105" s="2">
        <v>94.5</v>
      </c>
      <c r="H1105" s="2">
        <v>0.22700000000000001</v>
      </c>
      <c r="I1105" s="2">
        <v>0.22700000000000001</v>
      </c>
      <c r="J1105" s="2">
        <v>25.8</v>
      </c>
      <c r="K1105" s="2">
        <v>-12</v>
      </c>
      <c r="L1105" s="2">
        <v>805.9</v>
      </c>
      <c r="M1105" s="2">
        <v>805.9</v>
      </c>
      <c r="N1105" s="2">
        <f ca="1">INDEX(INDIRECT(_xlfn.CONCAT("weather.tbl[",N$1,"]")),MATCH(vp.tbl[[#This Row],[SDate]],weather.tbl[Date],0))</f>
        <v>1.4666666666666668</v>
      </c>
      <c r="O1105" s="2">
        <f ca="1">INDEX(INDIRECT(_xlfn.CONCAT("weather.tbl[",O$1,"]")),MATCH(vp.tbl[[#This Row],[SDate]],weather.tbl[Date],0))</f>
        <v>-0.90238095238095273</v>
      </c>
      <c r="P1105" s="2">
        <f ca="1">INDEX(INDIRECT(_xlfn.CONCAT("weather.tbl[",P$1,"]")),MATCH(vp.tbl[[#This Row],[SDate]],weather.tbl[Date],0))</f>
        <v>0.7</v>
      </c>
      <c r="Q1105" s="2">
        <f ca="1">INDEX(INDIRECT(_xlfn.CONCAT("weather.tbl[",Q$1,"]")),MATCH(vp.tbl[[#This Row],[SDate]],weather.tbl[Date],0))</f>
        <v>3</v>
      </c>
      <c r="R1105" s="2">
        <f ca="1">INDEX(INDIRECT(_xlfn.CONCAT("weather.tbl[",R$1,"]")),MATCH(vp.tbl[[#This Row],[SDate]],weather.tbl[Date],0))</f>
        <v>1.3</v>
      </c>
      <c r="S1105" s="2">
        <f ca="1">INDEX(INDIRECT(_xlfn.CONCAT("weather.tbl[",S$1,"]")),MATCH(vp.tbl[[#This Row],[SDate]],weather.tbl[Date],0))</f>
        <v>3.3</v>
      </c>
      <c r="T1105" s="2">
        <f ca="1">INDEX(INDIRECT(_xlfn.CONCAT("weather.tbl[",T$1,"]")),MATCH(vp.tbl[[#This Row],[SDate]],weather.tbl[Date],0))</f>
        <v>-0.3</v>
      </c>
      <c r="U1105" s="2">
        <f ca="1">INDEX(INDIRECT(_xlfn.CONCAT("weather.tbl[",U$1,"]")),MATCH(vp.tbl[[#This Row],[SDate]],weather.tbl[Date],0))</f>
        <v>0.8</v>
      </c>
      <c r="V1105" s="2">
        <v>214.578</v>
      </c>
      <c r="W1105" t="s">
        <v>48</v>
      </c>
      <c r="X1105">
        <f>IF(OR(vp.tbl[[#This Row],[Sulf]]="",vp.tbl[[#This Row],[Dens]]=""),1,0)</f>
        <v>0</v>
      </c>
      <c r="Y1105">
        <f>IF(vp.tbl[[#This Row],[CrudeType]]="C5+",1,0)</f>
        <v>0</v>
      </c>
      <c r="Z1105">
        <f>IF(AND(vp.tbl[[#This Row],[CrudeType]]="Crude",vp.tbl[[#This Row],[Dens]]&lt;=825,vp.tbl[[#This Row],[Sulf]]&gt;0.5,vp.tbl[[#This Row],[Unknown]]=0),1,0)</f>
        <v>0</v>
      </c>
      <c r="AA1105">
        <f>IF(AND(vp.tbl[[#This Row],[CrudeType]]="Crude",vp.tbl[[#This Row],[Dens]]&lt;=825,vp.tbl[[#This Row],[Sulf]]&lt;=0.5,vp.tbl[[#This Row],[Unknown]]=0),1,0)</f>
        <v>1</v>
      </c>
      <c r="AB1105">
        <f>IF(AND(vp.tbl[[#This Row],[CrudeType]]="Crude",vp.tbl[[#This Row],[Dens]]&gt;825,vp.tbl[[#This Row],[Dens]]&lt;=870,vp.tbl[[#This Row],[Sulf]]&gt;0.5,vp.tbl[[#This Row],[Unknown]]=0),1,0)</f>
        <v>0</v>
      </c>
      <c r="AC1105">
        <f>IF(AND(vp.tbl[[#This Row],[CrudeType]]="Crude",vp.tbl[[#This Row],[Dens]]&gt;825,vp.tbl[[#This Row],[Dens]]&lt;=900,vp.tbl[[#This Row],[Sulf]]&lt;=0.5,vp.tbl[[#This Row],[Unknown]]=0),1,0)</f>
        <v>0</v>
      </c>
      <c r="AD1105">
        <f>IF(AND(vp.tbl[[#This Row],[CrudeType]]="Crude",vp.tbl[[#This Row],[Dens]]&gt;870,vp.tbl[[#This Row],[Dens]]&lt;=900,vp.tbl[[#This Row],[Sulf]]&gt;0.5,vp.tbl[[#This Row],[Unknown]]=0),1,0)</f>
        <v>0</v>
      </c>
      <c r="AE1105">
        <f>IF(AND(vp.tbl[[#This Row],[CrudeType]]="Crude",vp.tbl[[#This Row],[Dens]]&gt;900,vp.tbl[[#This Row],[Sulf]]&lt;=0.5,vp.tbl[[#This Row],[Unknown]]=0),1,0)</f>
        <v>0</v>
      </c>
      <c r="AF1105">
        <f>IF(AND(vp.tbl[[#This Row],[CrudeType]]="Crude",vp.tbl[[#This Row],[Dens]]&gt;900,vp.tbl[[#This Row],[Sulf]]&lt;=0.5,vp.tbl[[#This Row],[Unknown]]=0),1,0)</f>
        <v>0</v>
      </c>
      <c r="AG1105" t="str">
        <f>INDEX(vp.tbl[[#Headers],[Unknown]:[Heavy_SW]],MATCH(1,vp.tbl[[#This Row],[Unknown]:[Heavy_SW]],0))</f>
        <v>Light_SW</v>
      </c>
      <c r="AH1105" t="e">
        <f>INDEX([1]!crudeBD.lkup[Number],MATCH(vp.tbl[[#This Row],[Crude_Breakdown]],[1]!crudeBD.lkup[Crude Breakdown],0))</f>
        <v>#REF!</v>
      </c>
      <c r="AI1105">
        <f>MONTH(vp.tbl[[#This Row],[SDate]])</f>
        <v>3</v>
      </c>
      <c r="AJ1105" s="5">
        <f>IFERROR(vp.tbl[[#This Row],[Sulf]]*vp.tbl[[#This Row],[Net Dens]],"")</f>
        <v>39254.749115399994</v>
      </c>
      <c r="AK1105" s="5">
        <f>IFERROR(vp.tbl[[#This Row],[Dens]]*vp.tbl[[#This Row],[VolumeM3]],"")</f>
        <v>172928.41019999998</v>
      </c>
      <c r="AL1105" s="5">
        <f>IFERROR(vp.tbl[[#This Row],[VP]]*vp.tbl[[#This Row],[VolumeM3]],"")</f>
        <v>20277.620999999999</v>
      </c>
      <c r="AM1105" s="4">
        <f>IFERROR((vp.tbl[[#This Row],[VP]]-INDEX(crudeBD.lkup.complete[Mean_VP],MATCH(vp.tbl[[#This Row],[Crude_Breakdown]],crudeBD.lkup.complete[Crude Breakdown],0)))^2,"")</f>
        <v>3.8012771018224027</v>
      </c>
      <c r="AN1105" s="4">
        <f>IFERROR((vp.tbl[[#This Row],[Dens]]-INDEX(crudeBD.lkup.complete[Mean_Dens],MATCH(vp.tbl[[#This Row],[Crude_Breakdown]],crudeBD.lkup.complete[Crude Breakdown],0)))^2,"")</f>
        <v>5.8153238475630671</v>
      </c>
      <c r="AO1105" s="4">
        <f>IFERROR((vp.tbl[[#This Row],[Sulf]]-INDEX(crudeBD.lkup.complete[Mean_Sulf],MATCH(vp.tbl[[#This Row],[Crude_Breakdown]],crudeBD.lkup.complete[Crude Breakdown],0)))^2,"")</f>
        <v>8.5411086209614723E-5</v>
      </c>
      <c r="AP1105">
        <f>IF(AND(vp.tbl[[#This Row],[SDate]]&gt;=DATE(YEAR(vp.tbl[[#This Row],[SDate]]),5,1),vp.tbl[[#This Row],[SDate]]&lt;=DATE(YEAR(vp.tbl[[#This Row],[SDate]]),9,15)),1,0)</f>
        <v>0</v>
      </c>
      <c r="AQ1105" s="15">
        <f>IF(vp.tbl[[#This Row],[SDate]]&lt;DATE(2016,12,1),0,1)</f>
        <v>1</v>
      </c>
    </row>
    <row r="1106" spans="1:43" x14ac:dyDescent="0.25">
      <c r="A1106">
        <v>1105</v>
      </c>
      <c r="B1106" t="s">
        <v>49</v>
      </c>
      <c r="C1106" t="s">
        <v>49</v>
      </c>
      <c r="D1106" t="s">
        <v>67</v>
      </c>
      <c r="F1106" s="1">
        <v>42821</v>
      </c>
      <c r="G1106" s="2">
        <v>93.1</v>
      </c>
      <c r="H1106" s="2">
        <v>0.32400000000000001</v>
      </c>
      <c r="I1106" s="2">
        <v>0.32400000000000001</v>
      </c>
      <c r="J1106" s="2">
        <v>8.1</v>
      </c>
      <c r="K1106" s="2">
        <v>4</v>
      </c>
      <c r="L1106" s="2">
        <v>810.8</v>
      </c>
      <c r="M1106" s="2">
        <v>810.8</v>
      </c>
      <c r="N1106" s="2">
        <f ca="1">INDEX(INDIRECT(_xlfn.CONCAT("weather.tbl[",N$1,"]")),MATCH(vp.tbl[[#This Row],[SDate]],weather.tbl[Date],0))</f>
        <v>1.4666666666666668</v>
      </c>
      <c r="O1106" s="2">
        <f ca="1">INDEX(INDIRECT(_xlfn.CONCAT("weather.tbl[",O$1,"]")),MATCH(vp.tbl[[#This Row],[SDate]],weather.tbl[Date],0))</f>
        <v>-0.90238095238095273</v>
      </c>
      <c r="P1106" s="2">
        <f ca="1">INDEX(INDIRECT(_xlfn.CONCAT("weather.tbl[",P$1,"]")),MATCH(vp.tbl[[#This Row],[SDate]],weather.tbl[Date],0))</f>
        <v>0.7</v>
      </c>
      <c r="Q1106" s="2">
        <f ca="1">INDEX(INDIRECT(_xlfn.CONCAT("weather.tbl[",Q$1,"]")),MATCH(vp.tbl[[#This Row],[SDate]],weather.tbl[Date],0))</f>
        <v>3</v>
      </c>
      <c r="R1106" s="2">
        <f ca="1">INDEX(INDIRECT(_xlfn.CONCAT("weather.tbl[",R$1,"]")),MATCH(vp.tbl[[#This Row],[SDate]],weather.tbl[Date],0))</f>
        <v>1.3</v>
      </c>
      <c r="S1106" s="2">
        <f ca="1">INDEX(INDIRECT(_xlfn.CONCAT("weather.tbl[",S$1,"]")),MATCH(vp.tbl[[#This Row],[SDate]],weather.tbl[Date],0))</f>
        <v>3.3</v>
      </c>
      <c r="T1106" s="2">
        <f ca="1">INDEX(INDIRECT(_xlfn.CONCAT("weather.tbl[",T$1,"]")),MATCH(vp.tbl[[#This Row],[SDate]],weather.tbl[Date],0))</f>
        <v>-0.3</v>
      </c>
      <c r="U1106" s="2">
        <f ca="1">INDEX(INDIRECT(_xlfn.CONCAT("weather.tbl[",U$1,"]")),MATCH(vp.tbl[[#This Row],[SDate]],weather.tbl[Date],0))</f>
        <v>0.8</v>
      </c>
      <c r="V1106" s="2">
        <v>132627.41099999999</v>
      </c>
      <c r="W1106" t="s">
        <v>48</v>
      </c>
      <c r="X1106">
        <f>IF(OR(vp.tbl[[#This Row],[Sulf]]="",vp.tbl[[#This Row],[Dens]]=""),1,0)</f>
        <v>0</v>
      </c>
      <c r="Y1106">
        <f>IF(vp.tbl[[#This Row],[CrudeType]]="C5+",1,0)</f>
        <v>0</v>
      </c>
      <c r="Z1106">
        <f>IF(AND(vp.tbl[[#This Row],[CrudeType]]="Crude",vp.tbl[[#This Row],[Dens]]&lt;=825,vp.tbl[[#This Row],[Sulf]]&gt;0.5,vp.tbl[[#This Row],[Unknown]]=0),1,0)</f>
        <v>0</v>
      </c>
      <c r="AA1106">
        <f>IF(AND(vp.tbl[[#This Row],[CrudeType]]="Crude",vp.tbl[[#This Row],[Dens]]&lt;=825,vp.tbl[[#This Row],[Sulf]]&lt;=0.5,vp.tbl[[#This Row],[Unknown]]=0),1,0)</f>
        <v>1</v>
      </c>
      <c r="AB1106">
        <f>IF(AND(vp.tbl[[#This Row],[CrudeType]]="Crude",vp.tbl[[#This Row],[Dens]]&gt;825,vp.tbl[[#This Row],[Dens]]&lt;=870,vp.tbl[[#This Row],[Sulf]]&gt;0.5,vp.tbl[[#This Row],[Unknown]]=0),1,0)</f>
        <v>0</v>
      </c>
      <c r="AC1106">
        <f>IF(AND(vp.tbl[[#This Row],[CrudeType]]="Crude",vp.tbl[[#This Row],[Dens]]&gt;825,vp.tbl[[#This Row],[Dens]]&lt;=900,vp.tbl[[#This Row],[Sulf]]&lt;=0.5,vp.tbl[[#This Row],[Unknown]]=0),1,0)</f>
        <v>0</v>
      </c>
      <c r="AD1106">
        <f>IF(AND(vp.tbl[[#This Row],[CrudeType]]="Crude",vp.tbl[[#This Row],[Dens]]&gt;870,vp.tbl[[#This Row],[Dens]]&lt;=900,vp.tbl[[#This Row],[Sulf]]&gt;0.5,vp.tbl[[#This Row],[Unknown]]=0),1,0)</f>
        <v>0</v>
      </c>
      <c r="AE1106">
        <f>IF(AND(vp.tbl[[#This Row],[CrudeType]]="Crude",vp.tbl[[#This Row],[Dens]]&gt;900,vp.tbl[[#This Row],[Sulf]]&lt;=0.5,vp.tbl[[#This Row],[Unknown]]=0),1,0)</f>
        <v>0</v>
      </c>
      <c r="AF1106">
        <f>IF(AND(vp.tbl[[#This Row],[CrudeType]]="Crude",vp.tbl[[#This Row],[Dens]]&gt;900,vp.tbl[[#This Row],[Sulf]]&lt;=0.5,vp.tbl[[#This Row],[Unknown]]=0),1,0)</f>
        <v>0</v>
      </c>
      <c r="AG1106" t="str">
        <f>INDEX(vp.tbl[[#Headers],[Unknown]:[Heavy_SW]],MATCH(1,vp.tbl[[#This Row],[Unknown]:[Heavy_SW]],0))</f>
        <v>Light_SW</v>
      </c>
      <c r="AH1106" t="e">
        <f>INDEX([1]!crudeBD.lkup[Number],MATCH(vp.tbl[[#This Row],[Crude_Breakdown]],[1]!crudeBD.lkup[Crude Breakdown],0))</f>
        <v>#REF!</v>
      </c>
      <c r="AI1106">
        <f>MONTH(vp.tbl[[#This Row],[SDate]])</f>
        <v>3</v>
      </c>
      <c r="AJ1106" s="5">
        <f>IFERROR(vp.tbl[[#This Row],[Sulf]]*vp.tbl[[#This Row],[Net Dens]],"")</f>
        <v>34841114.767771199</v>
      </c>
      <c r="AK1106" s="5">
        <f>IFERROR(vp.tbl[[#This Row],[Dens]]*vp.tbl[[#This Row],[VolumeM3]],"")</f>
        <v>107534304.83879998</v>
      </c>
      <c r="AL1106" s="5">
        <f>IFERROR(vp.tbl[[#This Row],[VP]]*vp.tbl[[#This Row],[VolumeM3]],"")</f>
        <v>12347611.964099998</v>
      </c>
      <c r="AM1106" s="4">
        <f>IFERROR((vp.tbl[[#This Row],[VP]]-INDEX(crudeBD.lkup.complete[Mean_VP],MATCH(vp.tbl[[#This Row],[Crude_Breakdown]],crudeBD.lkup.complete[Crude Breakdown],0)))^2,"")</f>
        <v>0.30215515060280151</v>
      </c>
      <c r="AN1106" s="4">
        <f>IFERROR((vp.tbl[[#This Row],[Dens]]-INDEX(crudeBD.lkup.complete[Mean_Dens],MATCH(vp.tbl[[#This Row],[Crude_Breakdown]],crudeBD.lkup.complete[Crude Breakdown],0)))^2,"")</f>
        <v>6.1926409207356032</v>
      </c>
      <c r="AO1106" s="4">
        <f>IFERROR((vp.tbl[[#This Row],[Sulf]]-INDEX(crudeBD.lkup.complete[Mean_Sulf],MATCH(vp.tbl[[#This Row],[Crude_Breakdown]],crudeBD.lkup.complete[Crude Breakdown],0)))^2,"")</f>
        <v>7.7014995879518067E-3</v>
      </c>
      <c r="AP1106">
        <f>IF(AND(vp.tbl[[#This Row],[SDate]]&gt;=DATE(YEAR(vp.tbl[[#This Row],[SDate]]),5,1),vp.tbl[[#This Row],[SDate]]&lt;=DATE(YEAR(vp.tbl[[#This Row],[SDate]]),9,15)),1,0)</f>
        <v>0</v>
      </c>
      <c r="AQ1106" s="15">
        <f>IF(vp.tbl[[#This Row],[SDate]]&lt;DATE(2016,12,1),0,1)</f>
        <v>1</v>
      </c>
    </row>
    <row r="1107" spans="1:43" x14ac:dyDescent="0.25">
      <c r="A1107">
        <v>1106</v>
      </c>
      <c r="B1107" t="s">
        <v>49</v>
      </c>
      <c r="C1107" t="s">
        <v>49</v>
      </c>
      <c r="D1107" t="s">
        <v>80</v>
      </c>
      <c r="F1107" s="1">
        <v>42821</v>
      </c>
      <c r="G1107" s="2">
        <v>92.4</v>
      </c>
      <c r="H1107" s="2">
        <v>0.53400000000000003</v>
      </c>
      <c r="I1107" s="2">
        <v>0.53400000000000003</v>
      </c>
      <c r="J1107" s="2">
        <v>19.399999999999999</v>
      </c>
      <c r="K1107" s="2">
        <v>4</v>
      </c>
      <c r="L1107" s="2">
        <v>814.8</v>
      </c>
      <c r="M1107" s="2">
        <v>814.8</v>
      </c>
      <c r="N1107" s="2">
        <f ca="1">INDEX(INDIRECT(_xlfn.CONCAT("weather.tbl[",N$1,"]")),MATCH(vp.tbl[[#This Row],[SDate]],weather.tbl[Date],0))</f>
        <v>1.4666666666666668</v>
      </c>
      <c r="O1107" s="2">
        <f ca="1">INDEX(INDIRECT(_xlfn.CONCAT("weather.tbl[",O$1,"]")),MATCH(vp.tbl[[#This Row],[SDate]],weather.tbl[Date],0))</f>
        <v>-0.90238095238095273</v>
      </c>
      <c r="P1107" s="2">
        <f ca="1">INDEX(INDIRECT(_xlfn.CONCAT("weather.tbl[",P$1,"]")),MATCH(vp.tbl[[#This Row],[SDate]],weather.tbl[Date],0))</f>
        <v>0.7</v>
      </c>
      <c r="Q1107" s="2">
        <f ca="1">INDEX(INDIRECT(_xlfn.CONCAT("weather.tbl[",Q$1,"]")),MATCH(vp.tbl[[#This Row],[SDate]],weather.tbl[Date],0))</f>
        <v>3</v>
      </c>
      <c r="R1107" s="2">
        <f ca="1">INDEX(INDIRECT(_xlfn.CONCAT("weather.tbl[",R$1,"]")),MATCH(vp.tbl[[#This Row],[SDate]],weather.tbl[Date],0))</f>
        <v>1.3</v>
      </c>
      <c r="S1107" s="2">
        <f ca="1">INDEX(INDIRECT(_xlfn.CONCAT("weather.tbl[",S$1,"]")),MATCH(vp.tbl[[#This Row],[SDate]],weather.tbl[Date],0))</f>
        <v>3.3</v>
      </c>
      <c r="T1107" s="2">
        <f ca="1">INDEX(INDIRECT(_xlfn.CONCAT("weather.tbl[",T$1,"]")),MATCH(vp.tbl[[#This Row],[SDate]],weather.tbl[Date],0))</f>
        <v>-0.3</v>
      </c>
      <c r="U1107" s="2">
        <f ca="1">INDEX(INDIRECT(_xlfn.CONCAT("weather.tbl[",U$1,"]")),MATCH(vp.tbl[[#This Row],[SDate]],weather.tbl[Date],0))</f>
        <v>0.8</v>
      </c>
      <c r="V1107" s="2">
        <v>23623.538</v>
      </c>
      <c r="W1107" t="s">
        <v>48</v>
      </c>
      <c r="X1107">
        <f>IF(OR(vp.tbl[[#This Row],[Sulf]]="",vp.tbl[[#This Row],[Dens]]=""),1,0)</f>
        <v>0</v>
      </c>
      <c r="Y1107">
        <f>IF(vp.tbl[[#This Row],[CrudeType]]="C5+",1,0)</f>
        <v>0</v>
      </c>
      <c r="Z1107">
        <f>IF(AND(vp.tbl[[#This Row],[CrudeType]]="Crude",vp.tbl[[#This Row],[Dens]]&lt;=825,vp.tbl[[#This Row],[Sulf]]&gt;0.5,vp.tbl[[#This Row],[Unknown]]=0),1,0)</f>
        <v>1</v>
      </c>
      <c r="AA1107">
        <f>IF(AND(vp.tbl[[#This Row],[CrudeType]]="Crude",vp.tbl[[#This Row],[Dens]]&lt;=825,vp.tbl[[#This Row],[Sulf]]&lt;=0.5,vp.tbl[[#This Row],[Unknown]]=0),1,0)</f>
        <v>0</v>
      </c>
      <c r="AB1107">
        <f>IF(AND(vp.tbl[[#This Row],[CrudeType]]="Crude",vp.tbl[[#This Row],[Dens]]&gt;825,vp.tbl[[#This Row],[Dens]]&lt;=870,vp.tbl[[#This Row],[Sulf]]&gt;0.5,vp.tbl[[#This Row],[Unknown]]=0),1,0)</f>
        <v>0</v>
      </c>
      <c r="AC1107">
        <f>IF(AND(vp.tbl[[#This Row],[CrudeType]]="Crude",vp.tbl[[#This Row],[Dens]]&gt;825,vp.tbl[[#This Row],[Dens]]&lt;=900,vp.tbl[[#This Row],[Sulf]]&lt;=0.5,vp.tbl[[#This Row],[Unknown]]=0),1,0)</f>
        <v>0</v>
      </c>
      <c r="AD1107">
        <f>IF(AND(vp.tbl[[#This Row],[CrudeType]]="Crude",vp.tbl[[#This Row],[Dens]]&gt;870,vp.tbl[[#This Row],[Dens]]&lt;=900,vp.tbl[[#This Row],[Sulf]]&gt;0.5,vp.tbl[[#This Row],[Unknown]]=0),1,0)</f>
        <v>0</v>
      </c>
      <c r="AE1107">
        <f>IF(AND(vp.tbl[[#This Row],[CrudeType]]="Crude",vp.tbl[[#This Row],[Dens]]&gt;900,vp.tbl[[#This Row],[Sulf]]&lt;=0.5,vp.tbl[[#This Row],[Unknown]]=0),1,0)</f>
        <v>0</v>
      </c>
      <c r="AF1107">
        <f>IF(AND(vp.tbl[[#This Row],[CrudeType]]="Crude",vp.tbl[[#This Row],[Dens]]&gt;900,vp.tbl[[#This Row],[Sulf]]&lt;=0.5,vp.tbl[[#This Row],[Unknown]]=0),1,0)</f>
        <v>0</v>
      </c>
      <c r="AG1107" t="str">
        <f>INDEX(vp.tbl[[#Headers],[Unknown]:[Heavy_SW]],MATCH(1,vp.tbl[[#This Row],[Unknown]:[Heavy_SW]],0))</f>
        <v>Light_LSB</v>
      </c>
      <c r="AH1107" t="e">
        <f>INDEX([1]!crudeBD.lkup[Number],MATCH(vp.tbl[[#This Row],[Crude_Breakdown]],[1]!crudeBD.lkup[Crude Breakdown],0))</f>
        <v>#REF!</v>
      </c>
      <c r="AI1107">
        <f>MONTH(vp.tbl[[#This Row],[SDate]])</f>
        <v>3</v>
      </c>
      <c r="AJ1107" s="5">
        <f>IFERROR(vp.tbl[[#This Row],[Sulf]]*vp.tbl[[#This Row],[Net Dens]],"")</f>
        <v>10278676.979121599</v>
      </c>
      <c r="AK1107" s="5">
        <f>IFERROR(vp.tbl[[#This Row],[Dens]]*vp.tbl[[#This Row],[VolumeM3]],"")</f>
        <v>19248458.762399998</v>
      </c>
      <c r="AL1107" s="5">
        <f>IFERROR(vp.tbl[[#This Row],[VP]]*vp.tbl[[#This Row],[VolumeM3]],"")</f>
        <v>2182814.9112</v>
      </c>
      <c r="AM1107" s="4">
        <f>IFERROR((vp.tbl[[#This Row],[VP]]-INDEX(crudeBD.lkup.complete[Mean_VP],MATCH(vp.tbl[[#This Row],[Crude_Breakdown]],crudeBD.lkup.complete[Crude Breakdown],0)))^2,"")</f>
        <v>0.72899908598146368</v>
      </c>
      <c r="AN1107" s="4">
        <f>IFERROR((vp.tbl[[#This Row],[Dens]]-INDEX(crudeBD.lkup.complete[Mean_Dens],MATCH(vp.tbl[[#This Row],[Crude_Breakdown]],crudeBD.lkup.complete[Crude Breakdown],0)))^2,"")</f>
        <v>13.814377444761291</v>
      </c>
      <c r="AO1107" s="4">
        <f>IFERROR((vp.tbl[[#This Row],[Sulf]]-INDEX(crudeBD.lkup.complete[Mean_Sulf],MATCH(vp.tbl[[#This Row],[Crude_Breakdown]],crudeBD.lkup.complete[Crude Breakdown],0)))^2,"")</f>
        <v>0.15129856983469822</v>
      </c>
      <c r="AP1107">
        <f>IF(AND(vp.tbl[[#This Row],[SDate]]&gt;=DATE(YEAR(vp.tbl[[#This Row],[SDate]]),5,1),vp.tbl[[#This Row],[SDate]]&lt;=DATE(YEAR(vp.tbl[[#This Row],[SDate]]),9,15)),1,0)</f>
        <v>0</v>
      </c>
      <c r="AQ1107" s="15">
        <f>IF(vp.tbl[[#This Row],[SDate]]&lt;DATE(2016,12,1),0,1)</f>
        <v>1</v>
      </c>
    </row>
    <row r="1108" spans="1:43" x14ac:dyDescent="0.25">
      <c r="A1108">
        <v>1107</v>
      </c>
      <c r="B1108" t="s">
        <v>49</v>
      </c>
      <c r="C1108" t="s">
        <v>49</v>
      </c>
      <c r="D1108" t="s">
        <v>100</v>
      </c>
      <c r="F1108" s="1">
        <v>42821</v>
      </c>
      <c r="G1108" s="2">
        <v>87.1</v>
      </c>
      <c r="H1108" s="2">
        <v>0.56899999999999995</v>
      </c>
      <c r="I1108" s="2">
        <v>0.56899999999999995</v>
      </c>
      <c r="J1108" s="2">
        <v>18.2</v>
      </c>
      <c r="K1108" s="2">
        <v>4</v>
      </c>
      <c r="L1108" s="2">
        <v>816.2</v>
      </c>
      <c r="M1108" s="2">
        <v>816.2</v>
      </c>
      <c r="N1108" s="2">
        <f ca="1">INDEX(INDIRECT(_xlfn.CONCAT("weather.tbl[",N$1,"]")),MATCH(vp.tbl[[#This Row],[SDate]],weather.tbl[Date],0))</f>
        <v>1.4666666666666668</v>
      </c>
      <c r="O1108" s="2">
        <f ca="1">INDEX(INDIRECT(_xlfn.CONCAT("weather.tbl[",O$1,"]")),MATCH(vp.tbl[[#This Row],[SDate]],weather.tbl[Date],0))</f>
        <v>-0.90238095238095273</v>
      </c>
      <c r="P1108" s="2">
        <f ca="1">INDEX(INDIRECT(_xlfn.CONCAT("weather.tbl[",P$1,"]")),MATCH(vp.tbl[[#This Row],[SDate]],weather.tbl[Date],0))</f>
        <v>0.7</v>
      </c>
      <c r="Q1108" s="2">
        <f ca="1">INDEX(INDIRECT(_xlfn.CONCAT("weather.tbl[",Q$1,"]")),MATCH(vp.tbl[[#This Row],[SDate]],weather.tbl[Date],0))</f>
        <v>3</v>
      </c>
      <c r="R1108" s="2">
        <f ca="1">INDEX(INDIRECT(_xlfn.CONCAT("weather.tbl[",R$1,"]")),MATCH(vp.tbl[[#This Row],[SDate]],weather.tbl[Date],0))</f>
        <v>1.3</v>
      </c>
      <c r="S1108" s="2">
        <f ca="1">INDEX(INDIRECT(_xlfn.CONCAT("weather.tbl[",S$1,"]")),MATCH(vp.tbl[[#This Row],[SDate]],weather.tbl[Date],0))</f>
        <v>3.3</v>
      </c>
      <c r="T1108" s="2">
        <f ca="1">INDEX(INDIRECT(_xlfn.CONCAT("weather.tbl[",T$1,"]")),MATCH(vp.tbl[[#This Row],[SDate]],weather.tbl[Date],0))</f>
        <v>-0.3</v>
      </c>
      <c r="U1108" s="2">
        <f ca="1">INDEX(INDIRECT(_xlfn.CONCAT("weather.tbl[",U$1,"]")),MATCH(vp.tbl[[#This Row],[SDate]],weather.tbl[Date],0))</f>
        <v>0.8</v>
      </c>
      <c r="V1108" s="2">
        <v>10867.904</v>
      </c>
      <c r="W1108" t="s">
        <v>48</v>
      </c>
      <c r="X1108">
        <f>IF(OR(vp.tbl[[#This Row],[Sulf]]="",vp.tbl[[#This Row],[Dens]]=""),1,0)</f>
        <v>0</v>
      </c>
      <c r="Y1108">
        <f>IF(vp.tbl[[#This Row],[CrudeType]]="C5+",1,0)</f>
        <v>0</v>
      </c>
      <c r="Z1108">
        <f>IF(AND(vp.tbl[[#This Row],[CrudeType]]="Crude",vp.tbl[[#This Row],[Dens]]&lt;=825,vp.tbl[[#This Row],[Sulf]]&gt;0.5,vp.tbl[[#This Row],[Unknown]]=0),1,0)</f>
        <v>1</v>
      </c>
      <c r="AA1108">
        <f>IF(AND(vp.tbl[[#This Row],[CrudeType]]="Crude",vp.tbl[[#This Row],[Dens]]&lt;=825,vp.tbl[[#This Row],[Sulf]]&lt;=0.5,vp.tbl[[#This Row],[Unknown]]=0),1,0)</f>
        <v>0</v>
      </c>
      <c r="AB1108">
        <f>IF(AND(vp.tbl[[#This Row],[CrudeType]]="Crude",vp.tbl[[#This Row],[Dens]]&gt;825,vp.tbl[[#This Row],[Dens]]&lt;=870,vp.tbl[[#This Row],[Sulf]]&gt;0.5,vp.tbl[[#This Row],[Unknown]]=0),1,0)</f>
        <v>0</v>
      </c>
      <c r="AC1108">
        <f>IF(AND(vp.tbl[[#This Row],[CrudeType]]="Crude",vp.tbl[[#This Row],[Dens]]&gt;825,vp.tbl[[#This Row],[Dens]]&lt;=900,vp.tbl[[#This Row],[Sulf]]&lt;=0.5,vp.tbl[[#This Row],[Unknown]]=0),1,0)</f>
        <v>0</v>
      </c>
      <c r="AD1108">
        <f>IF(AND(vp.tbl[[#This Row],[CrudeType]]="Crude",vp.tbl[[#This Row],[Dens]]&gt;870,vp.tbl[[#This Row],[Dens]]&lt;=900,vp.tbl[[#This Row],[Sulf]]&gt;0.5,vp.tbl[[#This Row],[Unknown]]=0),1,0)</f>
        <v>0</v>
      </c>
      <c r="AE1108">
        <f>IF(AND(vp.tbl[[#This Row],[CrudeType]]="Crude",vp.tbl[[#This Row],[Dens]]&gt;900,vp.tbl[[#This Row],[Sulf]]&lt;=0.5,vp.tbl[[#This Row],[Unknown]]=0),1,0)</f>
        <v>0</v>
      </c>
      <c r="AF1108">
        <f>IF(AND(vp.tbl[[#This Row],[CrudeType]]="Crude",vp.tbl[[#This Row],[Dens]]&gt;900,vp.tbl[[#This Row],[Sulf]]&lt;=0.5,vp.tbl[[#This Row],[Unknown]]=0),1,0)</f>
        <v>0</v>
      </c>
      <c r="AG1108" t="str">
        <f>INDEX(vp.tbl[[#Headers],[Unknown]:[Heavy_SW]],MATCH(1,vp.tbl[[#This Row],[Unknown]:[Heavy_SW]],0))</f>
        <v>Light_LSB</v>
      </c>
      <c r="AH1108" t="e">
        <f>INDEX([1]!crudeBD.lkup[Number],MATCH(vp.tbl[[#This Row],[Crude_Breakdown]],[1]!crudeBD.lkup[Crude Breakdown],0))</f>
        <v>#REF!</v>
      </c>
      <c r="AI1108">
        <f>MONTH(vp.tbl[[#This Row],[SDate]])</f>
        <v>3</v>
      </c>
      <c r="AJ1108" s="5">
        <f>IFERROR(vp.tbl[[#This Row],[Sulf]]*vp.tbl[[#This Row],[Net Dens]],"")</f>
        <v>5047248.0662912</v>
      </c>
      <c r="AK1108" s="5">
        <f>IFERROR(vp.tbl[[#This Row],[Dens]]*vp.tbl[[#This Row],[VolumeM3]],"")</f>
        <v>8870383.2448000014</v>
      </c>
      <c r="AL1108" s="5">
        <f>IFERROR(vp.tbl[[#This Row],[VP]]*vp.tbl[[#This Row],[VolumeM3]],"")</f>
        <v>946594.43839999998</v>
      </c>
      <c r="AM1108" s="4">
        <f>IFERROR((vp.tbl[[#This Row],[VP]]-INDEX(crudeBD.lkup.complete[Mean_VP],MATCH(vp.tbl[[#This Row],[Crude_Breakdown]],crudeBD.lkup.complete[Crude Breakdown],0)))^2,"")</f>
        <v>19.768566096291114</v>
      </c>
      <c r="AN1108" s="4">
        <f>IFERROR((vp.tbl[[#This Row],[Dens]]-INDEX(crudeBD.lkup.complete[Mean_Dens],MATCH(vp.tbl[[#This Row],[Crude_Breakdown]],crudeBD.lkup.complete[Crude Breakdown],0)))^2,"")</f>
        <v>5.3674221183011408</v>
      </c>
      <c r="AO1108" s="4">
        <f>IFERROR((vp.tbl[[#This Row],[Sulf]]-INDEX(crudeBD.lkup.complete[Mean_Sulf],MATCH(vp.tbl[[#This Row],[Crude_Breakdown]],crudeBD.lkup.complete[Crude Breakdown],0)))^2,"")</f>
        <v>0.12529558804775673</v>
      </c>
      <c r="AP1108">
        <f>IF(AND(vp.tbl[[#This Row],[SDate]]&gt;=DATE(YEAR(vp.tbl[[#This Row],[SDate]]),5,1),vp.tbl[[#This Row],[SDate]]&lt;=DATE(YEAR(vp.tbl[[#This Row],[SDate]]),9,15)),1,0)</f>
        <v>0</v>
      </c>
      <c r="AQ1108" s="15">
        <f>IF(vp.tbl[[#This Row],[SDate]]&lt;DATE(2016,12,1),0,1)</f>
        <v>1</v>
      </c>
    </row>
    <row r="1109" spans="1:43" x14ac:dyDescent="0.25">
      <c r="A1109">
        <v>1108</v>
      </c>
      <c r="B1109" t="s">
        <v>49</v>
      </c>
      <c r="C1109" t="s">
        <v>49</v>
      </c>
      <c r="D1109" t="s">
        <v>89</v>
      </c>
      <c r="F1109" s="1">
        <v>42821</v>
      </c>
      <c r="G1109" s="2">
        <v>89.6</v>
      </c>
      <c r="H1109" s="2">
        <v>0.98</v>
      </c>
      <c r="I1109" s="2">
        <v>0.98</v>
      </c>
      <c r="J1109" s="2">
        <v>5.8</v>
      </c>
      <c r="K1109" s="2">
        <v>4</v>
      </c>
      <c r="L1109" s="2">
        <v>827.4</v>
      </c>
      <c r="M1109" s="2">
        <v>827.4</v>
      </c>
      <c r="N1109" s="2">
        <f ca="1">INDEX(INDIRECT(_xlfn.CONCAT("weather.tbl[",N$1,"]")),MATCH(vp.tbl[[#This Row],[SDate]],weather.tbl[Date],0))</f>
        <v>1.4666666666666668</v>
      </c>
      <c r="O1109" s="2">
        <f ca="1">INDEX(INDIRECT(_xlfn.CONCAT("weather.tbl[",O$1,"]")),MATCH(vp.tbl[[#This Row],[SDate]],weather.tbl[Date],0))</f>
        <v>-0.90238095238095273</v>
      </c>
      <c r="P1109" s="2">
        <f ca="1">INDEX(INDIRECT(_xlfn.CONCAT("weather.tbl[",P$1,"]")),MATCH(vp.tbl[[#This Row],[SDate]],weather.tbl[Date],0))</f>
        <v>0.7</v>
      </c>
      <c r="Q1109" s="2">
        <f ca="1">INDEX(INDIRECT(_xlfn.CONCAT("weather.tbl[",Q$1,"]")),MATCH(vp.tbl[[#This Row],[SDate]],weather.tbl[Date],0))</f>
        <v>3</v>
      </c>
      <c r="R1109" s="2">
        <f ca="1">INDEX(INDIRECT(_xlfn.CONCAT("weather.tbl[",R$1,"]")),MATCH(vp.tbl[[#This Row],[SDate]],weather.tbl[Date],0))</f>
        <v>1.3</v>
      </c>
      <c r="S1109" s="2">
        <f ca="1">INDEX(INDIRECT(_xlfn.CONCAT("weather.tbl[",S$1,"]")),MATCH(vp.tbl[[#This Row],[SDate]],weather.tbl[Date],0))</f>
        <v>3.3</v>
      </c>
      <c r="T1109" s="2">
        <f ca="1">INDEX(INDIRECT(_xlfn.CONCAT("weather.tbl[",T$1,"]")),MATCH(vp.tbl[[#This Row],[SDate]],weather.tbl[Date],0))</f>
        <v>-0.3</v>
      </c>
      <c r="U1109" s="2">
        <f ca="1">INDEX(INDIRECT(_xlfn.CONCAT("weather.tbl[",U$1,"]")),MATCH(vp.tbl[[#This Row],[SDate]],weather.tbl[Date],0))</f>
        <v>0.8</v>
      </c>
      <c r="V1109" s="2">
        <v>6514.0349999999999</v>
      </c>
      <c r="W1109" t="s">
        <v>48</v>
      </c>
      <c r="X1109">
        <f>IF(OR(vp.tbl[[#This Row],[Sulf]]="",vp.tbl[[#This Row],[Dens]]=""),1,0)</f>
        <v>0</v>
      </c>
      <c r="Y1109">
        <f>IF(vp.tbl[[#This Row],[CrudeType]]="C5+",1,0)</f>
        <v>0</v>
      </c>
      <c r="Z1109">
        <f>IF(AND(vp.tbl[[#This Row],[CrudeType]]="Crude",vp.tbl[[#This Row],[Dens]]&lt;=825,vp.tbl[[#This Row],[Sulf]]&gt;0.5,vp.tbl[[#This Row],[Unknown]]=0),1,0)</f>
        <v>0</v>
      </c>
      <c r="AA1109">
        <f>IF(AND(vp.tbl[[#This Row],[CrudeType]]="Crude",vp.tbl[[#This Row],[Dens]]&lt;=825,vp.tbl[[#This Row],[Sulf]]&lt;=0.5,vp.tbl[[#This Row],[Unknown]]=0),1,0)</f>
        <v>0</v>
      </c>
      <c r="AB1109">
        <f>IF(AND(vp.tbl[[#This Row],[CrudeType]]="Crude",vp.tbl[[#This Row],[Dens]]&gt;825,vp.tbl[[#This Row],[Dens]]&lt;=870,vp.tbl[[#This Row],[Sulf]]&gt;0.5,vp.tbl[[#This Row],[Unknown]]=0),1,0)</f>
        <v>1</v>
      </c>
      <c r="AC1109">
        <f>IF(AND(vp.tbl[[#This Row],[CrudeType]]="Crude",vp.tbl[[#This Row],[Dens]]&gt;825,vp.tbl[[#This Row],[Dens]]&lt;=900,vp.tbl[[#This Row],[Sulf]]&lt;=0.5,vp.tbl[[#This Row],[Unknown]]=0),1,0)</f>
        <v>0</v>
      </c>
      <c r="AD1109">
        <f>IF(AND(vp.tbl[[#This Row],[CrudeType]]="Crude",vp.tbl[[#This Row],[Dens]]&gt;870,vp.tbl[[#This Row],[Dens]]&lt;=900,vp.tbl[[#This Row],[Sulf]]&gt;0.5,vp.tbl[[#This Row],[Unknown]]=0),1,0)</f>
        <v>0</v>
      </c>
      <c r="AE1109">
        <f>IF(AND(vp.tbl[[#This Row],[CrudeType]]="Crude",vp.tbl[[#This Row],[Dens]]&gt;900,vp.tbl[[#This Row],[Sulf]]&lt;=0.5,vp.tbl[[#This Row],[Unknown]]=0),1,0)</f>
        <v>0</v>
      </c>
      <c r="AF1109">
        <f>IF(AND(vp.tbl[[#This Row],[CrudeType]]="Crude",vp.tbl[[#This Row],[Dens]]&gt;900,vp.tbl[[#This Row],[Sulf]]&lt;=0.5,vp.tbl[[#This Row],[Unknown]]=0),1,0)</f>
        <v>0</v>
      </c>
      <c r="AG1109" t="str">
        <f>INDEX(vp.tbl[[#Headers],[Unknown]:[Heavy_SW]],MATCH(1,vp.tbl[[#This Row],[Unknown]:[Heavy_SW]],0))</f>
        <v>Medium_LSB</v>
      </c>
      <c r="AH1109" t="e">
        <f>INDEX([1]!crudeBD.lkup[Number],MATCH(vp.tbl[[#This Row],[Crude_Breakdown]],[1]!crudeBD.lkup[Crude Breakdown],0))</f>
        <v>#REF!</v>
      </c>
      <c r="AI1109">
        <f>MONTH(vp.tbl[[#This Row],[SDate]])</f>
        <v>3</v>
      </c>
      <c r="AJ1109" s="5">
        <f>IFERROR(vp.tbl[[#This Row],[Sulf]]*vp.tbl[[#This Row],[Net Dens]],"")</f>
        <v>5281918.3078199998</v>
      </c>
      <c r="AK1109" s="5">
        <f>IFERROR(vp.tbl[[#This Row],[Dens]]*vp.tbl[[#This Row],[VolumeM3]],"")</f>
        <v>5389712.5589999994</v>
      </c>
      <c r="AL1109" s="5">
        <f>IFERROR(vp.tbl[[#This Row],[VP]]*vp.tbl[[#This Row],[VolumeM3]],"")</f>
        <v>583657.53599999996</v>
      </c>
      <c r="AM1109" s="4">
        <f>IFERROR((vp.tbl[[#This Row],[VP]]-INDEX(crudeBD.lkup.complete[Mean_VP],MATCH(vp.tbl[[#This Row],[Crude_Breakdown]],crudeBD.lkup.complete[Crude Breakdown],0)))^2,"")</f>
        <v>88.85711241724141</v>
      </c>
      <c r="AN1109" s="4">
        <f>IFERROR((vp.tbl[[#This Row],[Dens]]-INDEX(crudeBD.lkup.complete[Mean_Dens],MATCH(vp.tbl[[#This Row],[Crude_Breakdown]],crudeBD.lkup.complete[Crude Breakdown],0)))^2,"")</f>
        <v>320.11732256301639</v>
      </c>
      <c r="AO1109" s="4">
        <f>IFERROR((vp.tbl[[#This Row],[Sulf]]-INDEX(crudeBD.lkup.complete[Mean_Sulf],MATCH(vp.tbl[[#This Row],[Crude_Breakdown]],crudeBD.lkup.complete[Crude Breakdown],0)))^2,"")</f>
        <v>0.22555837264103348</v>
      </c>
      <c r="AP1109">
        <f>IF(AND(vp.tbl[[#This Row],[SDate]]&gt;=DATE(YEAR(vp.tbl[[#This Row],[SDate]]),5,1),vp.tbl[[#This Row],[SDate]]&lt;=DATE(YEAR(vp.tbl[[#This Row],[SDate]]),9,15)),1,0)</f>
        <v>0</v>
      </c>
      <c r="AQ1109" s="15">
        <f>IF(vp.tbl[[#This Row],[SDate]]&lt;DATE(2016,12,1),0,1)</f>
        <v>1</v>
      </c>
    </row>
    <row r="1110" spans="1:43" x14ac:dyDescent="0.25">
      <c r="A1110">
        <v>1109</v>
      </c>
      <c r="B1110" t="s">
        <v>49</v>
      </c>
      <c r="C1110" t="s">
        <v>49</v>
      </c>
      <c r="D1110" t="s">
        <v>90</v>
      </c>
      <c r="F1110" s="1">
        <v>42821</v>
      </c>
      <c r="G1110" s="2">
        <v>70.7</v>
      </c>
      <c r="H1110" s="2">
        <v>1.3029999999999999</v>
      </c>
      <c r="I1110" s="2">
        <v>1.3029999999999999</v>
      </c>
      <c r="J1110" s="2">
        <v>34.299999999999997</v>
      </c>
      <c r="K1110" s="2">
        <v>4</v>
      </c>
      <c r="L1110" s="2">
        <v>845.5</v>
      </c>
      <c r="M1110" s="2">
        <v>845.5</v>
      </c>
      <c r="N1110" s="2">
        <f ca="1">INDEX(INDIRECT(_xlfn.CONCAT("weather.tbl[",N$1,"]")),MATCH(vp.tbl[[#This Row],[SDate]],weather.tbl[Date],0))</f>
        <v>1.4666666666666668</v>
      </c>
      <c r="O1110" s="2">
        <f ca="1">INDEX(INDIRECT(_xlfn.CONCAT("weather.tbl[",O$1,"]")),MATCH(vp.tbl[[#This Row],[SDate]],weather.tbl[Date],0))</f>
        <v>-0.90238095238095273</v>
      </c>
      <c r="P1110" s="2">
        <f ca="1">INDEX(INDIRECT(_xlfn.CONCAT("weather.tbl[",P$1,"]")),MATCH(vp.tbl[[#This Row],[SDate]],weather.tbl[Date],0))</f>
        <v>0.7</v>
      </c>
      <c r="Q1110" s="2">
        <f ca="1">INDEX(INDIRECT(_xlfn.CONCAT("weather.tbl[",Q$1,"]")),MATCH(vp.tbl[[#This Row],[SDate]],weather.tbl[Date],0))</f>
        <v>3</v>
      </c>
      <c r="R1110" s="2">
        <f ca="1">INDEX(INDIRECT(_xlfn.CONCAT("weather.tbl[",R$1,"]")),MATCH(vp.tbl[[#This Row],[SDate]],weather.tbl[Date],0))</f>
        <v>1.3</v>
      </c>
      <c r="S1110" s="2">
        <f ca="1">INDEX(INDIRECT(_xlfn.CONCAT("weather.tbl[",S$1,"]")),MATCH(vp.tbl[[#This Row],[SDate]],weather.tbl[Date],0))</f>
        <v>3.3</v>
      </c>
      <c r="T1110" s="2">
        <f ca="1">INDEX(INDIRECT(_xlfn.CONCAT("weather.tbl[",T$1,"]")),MATCH(vp.tbl[[#This Row],[SDate]],weather.tbl[Date],0))</f>
        <v>-0.3</v>
      </c>
      <c r="U1110" s="2">
        <f ca="1">INDEX(INDIRECT(_xlfn.CONCAT("weather.tbl[",U$1,"]")),MATCH(vp.tbl[[#This Row],[SDate]],weather.tbl[Date],0))</f>
        <v>0.8</v>
      </c>
      <c r="V1110" s="2">
        <v>4661.3360000000002</v>
      </c>
      <c r="W1110" t="s">
        <v>48</v>
      </c>
      <c r="X1110">
        <f>IF(OR(vp.tbl[[#This Row],[Sulf]]="",vp.tbl[[#This Row],[Dens]]=""),1,0)</f>
        <v>0</v>
      </c>
      <c r="Y1110">
        <f>IF(vp.tbl[[#This Row],[CrudeType]]="C5+",1,0)</f>
        <v>0</v>
      </c>
      <c r="Z1110">
        <f>IF(AND(vp.tbl[[#This Row],[CrudeType]]="Crude",vp.tbl[[#This Row],[Dens]]&lt;=825,vp.tbl[[#This Row],[Sulf]]&gt;0.5,vp.tbl[[#This Row],[Unknown]]=0),1,0)</f>
        <v>0</v>
      </c>
      <c r="AA1110">
        <f>IF(AND(vp.tbl[[#This Row],[CrudeType]]="Crude",vp.tbl[[#This Row],[Dens]]&lt;=825,vp.tbl[[#This Row],[Sulf]]&lt;=0.5,vp.tbl[[#This Row],[Unknown]]=0),1,0)</f>
        <v>0</v>
      </c>
      <c r="AB1110">
        <f>IF(AND(vp.tbl[[#This Row],[CrudeType]]="Crude",vp.tbl[[#This Row],[Dens]]&gt;825,vp.tbl[[#This Row],[Dens]]&lt;=870,vp.tbl[[#This Row],[Sulf]]&gt;0.5,vp.tbl[[#This Row],[Unknown]]=0),1,0)</f>
        <v>1</v>
      </c>
      <c r="AC1110">
        <f>IF(AND(vp.tbl[[#This Row],[CrudeType]]="Crude",vp.tbl[[#This Row],[Dens]]&gt;825,vp.tbl[[#This Row],[Dens]]&lt;=900,vp.tbl[[#This Row],[Sulf]]&lt;=0.5,vp.tbl[[#This Row],[Unknown]]=0),1,0)</f>
        <v>0</v>
      </c>
      <c r="AD1110">
        <f>IF(AND(vp.tbl[[#This Row],[CrudeType]]="Crude",vp.tbl[[#This Row],[Dens]]&gt;870,vp.tbl[[#This Row],[Dens]]&lt;=900,vp.tbl[[#This Row],[Sulf]]&gt;0.5,vp.tbl[[#This Row],[Unknown]]=0),1,0)</f>
        <v>0</v>
      </c>
      <c r="AE1110">
        <f>IF(AND(vp.tbl[[#This Row],[CrudeType]]="Crude",vp.tbl[[#This Row],[Dens]]&gt;900,vp.tbl[[#This Row],[Sulf]]&lt;=0.5,vp.tbl[[#This Row],[Unknown]]=0),1,0)</f>
        <v>0</v>
      </c>
      <c r="AF1110">
        <f>IF(AND(vp.tbl[[#This Row],[CrudeType]]="Crude",vp.tbl[[#This Row],[Dens]]&gt;900,vp.tbl[[#This Row],[Sulf]]&lt;=0.5,vp.tbl[[#This Row],[Unknown]]=0),1,0)</f>
        <v>0</v>
      </c>
      <c r="AG1110" t="str">
        <f>INDEX(vp.tbl[[#Headers],[Unknown]:[Heavy_SW]],MATCH(1,vp.tbl[[#This Row],[Unknown]:[Heavy_SW]],0))</f>
        <v>Medium_LSB</v>
      </c>
      <c r="AH1110" t="e">
        <f>INDEX([1]!crudeBD.lkup[Number],MATCH(vp.tbl[[#This Row],[Crude_Breakdown]],[1]!crudeBD.lkup[Crude Breakdown],0))</f>
        <v>#REF!</v>
      </c>
      <c r="AI1110">
        <f>MONTH(vp.tbl[[#This Row],[SDate]])</f>
        <v>3</v>
      </c>
      <c r="AJ1110" s="5">
        <f>IFERROR(vp.tbl[[#This Row],[Sulf]]*vp.tbl[[#This Row],[Net Dens]],"")</f>
        <v>5135330.9431639994</v>
      </c>
      <c r="AK1110" s="5">
        <f>IFERROR(vp.tbl[[#This Row],[Dens]]*vp.tbl[[#This Row],[VolumeM3]],"")</f>
        <v>3941159.588</v>
      </c>
      <c r="AL1110" s="5">
        <f>IFERROR(vp.tbl[[#This Row],[VP]]*vp.tbl[[#This Row],[VolumeM3]],"")</f>
        <v>329556.45520000003</v>
      </c>
      <c r="AM1110" s="4">
        <f>IFERROR((vp.tbl[[#This Row],[VP]]-INDEX(crudeBD.lkup.complete[Mean_VP],MATCH(vp.tbl[[#This Row],[Crude_Breakdown]],crudeBD.lkup.complete[Crude Breakdown],0)))^2,"")</f>
        <v>89.74900102483501</v>
      </c>
      <c r="AN1110" s="4">
        <f>IFERROR((vp.tbl[[#This Row],[Dens]]-INDEX(crudeBD.lkup.complete[Mean_Dens],MATCH(vp.tbl[[#This Row],[Crude_Breakdown]],crudeBD.lkup.complete[Crude Breakdown],0)))^2,"")</f>
        <v>4.3337752924620832E-2</v>
      </c>
      <c r="AO1110" s="4">
        <f>IFERROR((vp.tbl[[#This Row],[Sulf]]-INDEX(crudeBD.lkup.complete[Mean_Sulf],MATCH(vp.tbl[[#This Row],[Crude_Breakdown]],crudeBD.lkup.complete[Crude Breakdown],0)))^2,"")</f>
        <v>2.3082682590399604E-2</v>
      </c>
      <c r="AP1110">
        <f>IF(AND(vp.tbl[[#This Row],[SDate]]&gt;=DATE(YEAR(vp.tbl[[#This Row],[SDate]]),5,1),vp.tbl[[#This Row],[SDate]]&lt;=DATE(YEAR(vp.tbl[[#This Row],[SDate]]),9,15)),1,0)</f>
        <v>0</v>
      </c>
      <c r="AQ1110" s="15">
        <f>IF(vp.tbl[[#This Row],[SDate]]&lt;DATE(2016,12,1),0,1)</f>
        <v>1</v>
      </c>
    </row>
    <row r="1111" spans="1:43" x14ac:dyDescent="0.25">
      <c r="A1111">
        <v>1110</v>
      </c>
      <c r="B1111" t="s">
        <v>62</v>
      </c>
      <c r="C1111" t="s">
        <v>62</v>
      </c>
      <c r="D1111" t="s">
        <v>83</v>
      </c>
      <c r="F1111" s="1">
        <v>42821</v>
      </c>
      <c r="G1111" s="2">
        <v>83.5</v>
      </c>
      <c r="H1111" s="2"/>
      <c r="I1111" s="2">
        <v>0.19</v>
      </c>
      <c r="J1111" s="2">
        <v>3.1</v>
      </c>
      <c r="K1111" s="2">
        <v>4</v>
      </c>
      <c r="L1111" s="2">
        <v>808.2</v>
      </c>
      <c r="M1111" s="2">
        <v>808.2</v>
      </c>
      <c r="N1111" s="2">
        <f ca="1">INDEX(INDIRECT(_xlfn.CONCAT("weather.tbl[",N$1,"]")),MATCH(vp.tbl[[#This Row],[SDate]],weather.tbl[Date],0))</f>
        <v>1.4666666666666668</v>
      </c>
      <c r="O1111" s="2">
        <f ca="1">INDEX(INDIRECT(_xlfn.CONCAT("weather.tbl[",O$1,"]")),MATCH(vp.tbl[[#This Row],[SDate]],weather.tbl[Date],0))</f>
        <v>-0.90238095238095273</v>
      </c>
      <c r="P1111" s="2">
        <f ca="1">INDEX(INDIRECT(_xlfn.CONCAT("weather.tbl[",P$1,"]")),MATCH(vp.tbl[[#This Row],[SDate]],weather.tbl[Date],0))</f>
        <v>0.7</v>
      </c>
      <c r="Q1111" s="2">
        <f ca="1">INDEX(INDIRECT(_xlfn.CONCAT("weather.tbl[",Q$1,"]")),MATCH(vp.tbl[[#This Row],[SDate]],weather.tbl[Date],0))</f>
        <v>3</v>
      </c>
      <c r="R1111" s="2">
        <f ca="1">INDEX(INDIRECT(_xlfn.CONCAT("weather.tbl[",R$1,"]")),MATCH(vp.tbl[[#This Row],[SDate]],weather.tbl[Date],0))</f>
        <v>1.3</v>
      </c>
      <c r="S1111" s="2">
        <f ca="1">INDEX(INDIRECT(_xlfn.CONCAT("weather.tbl[",S$1,"]")),MATCH(vp.tbl[[#This Row],[SDate]],weather.tbl[Date],0))</f>
        <v>3.3</v>
      </c>
      <c r="T1111" s="2">
        <f ca="1">INDEX(INDIRECT(_xlfn.CONCAT("weather.tbl[",T$1,"]")),MATCH(vp.tbl[[#This Row],[SDate]],weather.tbl[Date],0))</f>
        <v>-0.3</v>
      </c>
      <c r="U1111" s="2">
        <f ca="1">INDEX(INDIRECT(_xlfn.CONCAT("weather.tbl[",U$1,"]")),MATCH(vp.tbl[[#This Row],[SDate]],weather.tbl[Date],0))</f>
        <v>0.8</v>
      </c>
      <c r="V1111" s="2">
        <v>6312.9459999999999</v>
      </c>
      <c r="W1111" t="s">
        <v>48</v>
      </c>
      <c r="X1111">
        <f>IF(OR(vp.tbl[[#This Row],[Sulf]]="",vp.tbl[[#This Row],[Dens]]=""),1,0)</f>
        <v>0</v>
      </c>
      <c r="Y1111">
        <f>IF(vp.tbl[[#This Row],[CrudeType]]="C5+",1,0)</f>
        <v>0</v>
      </c>
      <c r="Z1111">
        <f>IF(AND(vp.tbl[[#This Row],[CrudeType]]="Crude",vp.tbl[[#This Row],[Dens]]&lt;=825,vp.tbl[[#This Row],[Sulf]]&gt;0.5,vp.tbl[[#This Row],[Unknown]]=0),1,0)</f>
        <v>0</v>
      </c>
      <c r="AA1111">
        <f>IF(AND(vp.tbl[[#This Row],[CrudeType]]="Crude",vp.tbl[[#This Row],[Dens]]&lt;=825,vp.tbl[[#This Row],[Sulf]]&lt;=0.5,vp.tbl[[#This Row],[Unknown]]=0),1,0)</f>
        <v>1</v>
      </c>
      <c r="AB1111">
        <f>IF(AND(vp.tbl[[#This Row],[CrudeType]]="Crude",vp.tbl[[#This Row],[Dens]]&gt;825,vp.tbl[[#This Row],[Dens]]&lt;=870,vp.tbl[[#This Row],[Sulf]]&gt;0.5,vp.tbl[[#This Row],[Unknown]]=0),1,0)</f>
        <v>0</v>
      </c>
      <c r="AC1111">
        <f>IF(AND(vp.tbl[[#This Row],[CrudeType]]="Crude",vp.tbl[[#This Row],[Dens]]&gt;825,vp.tbl[[#This Row],[Dens]]&lt;=900,vp.tbl[[#This Row],[Sulf]]&lt;=0.5,vp.tbl[[#This Row],[Unknown]]=0),1,0)</f>
        <v>0</v>
      </c>
      <c r="AD1111">
        <f>IF(AND(vp.tbl[[#This Row],[CrudeType]]="Crude",vp.tbl[[#This Row],[Dens]]&gt;870,vp.tbl[[#This Row],[Dens]]&lt;=900,vp.tbl[[#This Row],[Sulf]]&gt;0.5,vp.tbl[[#This Row],[Unknown]]=0),1,0)</f>
        <v>0</v>
      </c>
      <c r="AE1111">
        <f>IF(AND(vp.tbl[[#This Row],[CrudeType]]="Crude",vp.tbl[[#This Row],[Dens]]&gt;900,vp.tbl[[#This Row],[Sulf]]&lt;=0.5,vp.tbl[[#This Row],[Unknown]]=0),1,0)</f>
        <v>0</v>
      </c>
      <c r="AF1111">
        <f>IF(AND(vp.tbl[[#This Row],[CrudeType]]="Crude",vp.tbl[[#This Row],[Dens]]&gt;900,vp.tbl[[#This Row],[Sulf]]&lt;=0.5,vp.tbl[[#This Row],[Unknown]]=0),1,0)</f>
        <v>0</v>
      </c>
      <c r="AG1111" t="str">
        <f>INDEX(vp.tbl[[#Headers],[Unknown]:[Heavy_SW]],MATCH(1,vp.tbl[[#This Row],[Unknown]:[Heavy_SW]],0))</f>
        <v>Light_SW</v>
      </c>
      <c r="AH1111" t="e">
        <f>INDEX([1]!crudeBD.lkup[Number],MATCH(vp.tbl[[#This Row],[Crude_Breakdown]],[1]!crudeBD.lkup[Crude Breakdown],0))</f>
        <v>#REF!</v>
      </c>
      <c r="AI1111">
        <f>MONTH(vp.tbl[[#This Row],[SDate]])</f>
        <v>3</v>
      </c>
      <c r="AJ1111" s="5">
        <f>IFERROR(vp.tbl[[#This Row],[Sulf]]*vp.tbl[[#This Row],[Net Dens]],"")</f>
        <v>969403.36186800001</v>
      </c>
      <c r="AK1111" s="5">
        <f>IFERROR(vp.tbl[[#This Row],[Dens]]*vp.tbl[[#This Row],[VolumeM3]],"")</f>
        <v>5102122.9572000001</v>
      </c>
      <c r="AL1111" s="5">
        <f>IFERROR(vp.tbl[[#This Row],[VP]]*vp.tbl[[#This Row],[VolumeM3]],"")</f>
        <v>527130.99100000004</v>
      </c>
      <c r="AM1111" s="4">
        <f>IFERROR((vp.tbl[[#This Row],[VP]]-INDEX(crudeBD.lkup.complete[Mean_VP],MATCH(vp.tbl[[#This Row],[Crude_Breakdown]],crudeBD.lkup.complete[Crude Breakdown],0)))^2,"")</f>
        <v>81.908176056525591</v>
      </c>
      <c r="AN1111" s="4">
        <f>IFERROR((vp.tbl[[#This Row],[Dens]]-INDEX(crudeBD.lkup.complete[Mean_Dens],MATCH(vp.tbl[[#This Row],[Crude_Breakdown]],crudeBD.lkup.complete[Crude Breakdown],0)))^2,"")</f>
        <v>1.2431861501234131E-2</v>
      </c>
      <c r="AO1111" s="4">
        <f>IFERROR((vp.tbl[[#This Row],[Sulf]]-INDEX(crudeBD.lkup.complete[Mean_Sulf],MATCH(vp.tbl[[#This Row],[Crude_Breakdown]],crudeBD.lkup.complete[Crude Breakdown],0)))^2,"")</f>
        <v>2.1383051628646554E-3</v>
      </c>
      <c r="AP1111">
        <f>IF(AND(vp.tbl[[#This Row],[SDate]]&gt;=DATE(YEAR(vp.tbl[[#This Row],[SDate]]),5,1),vp.tbl[[#This Row],[SDate]]&lt;=DATE(YEAR(vp.tbl[[#This Row],[SDate]]),9,15)),1,0)</f>
        <v>0</v>
      </c>
      <c r="AQ1111" s="15">
        <f>IF(vp.tbl[[#This Row],[SDate]]&lt;DATE(2016,12,1),0,1)</f>
        <v>1</v>
      </c>
    </row>
    <row r="1112" spans="1:43" x14ac:dyDescent="0.25">
      <c r="A1112">
        <v>1111</v>
      </c>
      <c r="B1112" t="s">
        <v>62</v>
      </c>
      <c r="C1112" t="s">
        <v>62</v>
      </c>
      <c r="D1112" t="s">
        <v>79</v>
      </c>
      <c r="F1112" s="1">
        <v>42821</v>
      </c>
      <c r="G1112" s="2">
        <v>81.8</v>
      </c>
      <c r="H1112" s="2"/>
      <c r="I1112" s="2">
        <v>0.3</v>
      </c>
      <c r="J1112" s="2">
        <v>25.1</v>
      </c>
      <c r="K1112" s="2">
        <v>4</v>
      </c>
      <c r="L1112" s="2">
        <v>810.2</v>
      </c>
      <c r="M1112" s="2">
        <v>810.2</v>
      </c>
      <c r="N1112" s="2">
        <f ca="1">INDEX(INDIRECT(_xlfn.CONCAT("weather.tbl[",N$1,"]")),MATCH(vp.tbl[[#This Row],[SDate]],weather.tbl[Date],0))</f>
        <v>1.4666666666666668</v>
      </c>
      <c r="O1112" s="2">
        <f ca="1">INDEX(INDIRECT(_xlfn.CONCAT("weather.tbl[",O$1,"]")),MATCH(vp.tbl[[#This Row],[SDate]],weather.tbl[Date],0))</f>
        <v>-0.90238095238095273</v>
      </c>
      <c r="P1112" s="2">
        <f ca="1">INDEX(INDIRECT(_xlfn.CONCAT("weather.tbl[",P$1,"]")),MATCH(vp.tbl[[#This Row],[SDate]],weather.tbl[Date],0))</f>
        <v>0.7</v>
      </c>
      <c r="Q1112" s="2">
        <f ca="1">INDEX(INDIRECT(_xlfn.CONCAT("weather.tbl[",Q$1,"]")),MATCH(vp.tbl[[#This Row],[SDate]],weather.tbl[Date],0))</f>
        <v>3</v>
      </c>
      <c r="R1112" s="2">
        <f ca="1">INDEX(INDIRECT(_xlfn.CONCAT("weather.tbl[",R$1,"]")),MATCH(vp.tbl[[#This Row],[SDate]],weather.tbl[Date],0))</f>
        <v>1.3</v>
      </c>
      <c r="S1112" s="2">
        <f ca="1">INDEX(INDIRECT(_xlfn.CONCAT("weather.tbl[",S$1,"]")),MATCH(vp.tbl[[#This Row],[SDate]],weather.tbl[Date],0))</f>
        <v>3.3</v>
      </c>
      <c r="T1112" s="2">
        <f ca="1">INDEX(INDIRECT(_xlfn.CONCAT("weather.tbl[",T$1,"]")),MATCH(vp.tbl[[#This Row],[SDate]],weather.tbl[Date],0))</f>
        <v>-0.3</v>
      </c>
      <c r="U1112" s="2">
        <f ca="1">INDEX(INDIRECT(_xlfn.CONCAT("weather.tbl[",U$1,"]")),MATCH(vp.tbl[[#This Row],[SDate]],weather.tbl[Date],0))</f>
        <v>0.8</v>
      </c>
      <c r="V1112" s="2">
        <v>15962.98</v>
      </c>
      <c r="W1112" t="s">
        <v>48</v>
      </c>
      <c r="X1112">
        <f>IF(OR(vp.tbl[[#This Row],[Sulf]]="",vp.tbl[[#This Row],[Dens]]=""),1,0)</f>
        <v>0</v>
      </c>
      <c r="Y1112">
        <f>IF(vp.tbl[[#This Row],[CrudeType]]="C5+",1,0)</f>
        <v>0</v>
      </c>
      <c r="Z1112">
        <f>IF(AND(vp.tbl[[#This Row],[CrudeType]]="Crude",vp.tbl[[#This Row],[Dens]]&lt;=825,vp.tbl[[#This Row],[Sulf]]&gt;0.5,vp.tbl[[#This Row],[Unknown]]=0),1,0)</f>
        <v>0</v>
      </c>
      <c r="AA1112">
        <f>IF(AND(vp.tbl[[#This Row],[CrudeType]]="Crude",vp.tbl[[#This Row],[Dens]]&lt;=825,vp.tbl[[#This Row],[Sulf]]&lt;=0.5,vp.tbl[[#This Row],[Unknown]]=0),1,0)</f>
        <v>1</v>
      </c>
      <c r="AB1112">
        <f>IF(AND(vp.tbl[[#This Row],[CrudeType]]="Crude",vp.tbl[[#This Row],[Dens]]&gt;825,vp.tbl[[#This Row],[Dens]]&lt;=870,vp.tbl[[#This Row],[Sulf]]&gt;0.5,vp.tbl[[#This Row],[Unknown]]=0),1,0)</f>
        <v>0</v>
      </c>
      <c r="AC1112">
        <f>IF(AND(vp.tbl[[#This Row],[CrudeType]]="Crude",vp.tbl[[#This Row],[Dens]]&gt;825,vp.tbl[[#This Row],[Dens]]&lt;=900,vp.tbl[[#This Row],[Sulf]]&lt;=0.5,vp.tbl[[#This Row],[Unknown]]=0),1,0)</f>
        <v>0</v>
      </c>
      <c r="AD1112">
        <f>IF(AND(vp.tbl[[#This Row],[CrudeType]]="Crude",vp.tbl[[#This Row],[Dens]]&gt;870,vp.tbl[[#This Row],[Dens]]&lt;=900,vp.tbl[[#This Row],[Sulf]]&gt;0.5,vp.tbl[[#This Row],[Unknown]]=0),1,0)</f>
        <v>0</v>
      </c>
      <c r="AE1112">
        <f>IF(AND(vp.tbl[[#This Row],[CrudeType]]="Crude",vp.tbl[[#This Row],[Dens]]&gt;900,vp.tbl[[#This Row],[Sulf]]&lt;=0.5,vp.tbl[[#This Row],[Unknown]]=0),1,0)</f>
        <v>0</v>
      </c>
      <c r="AF1112">
        <f>IF(AND(vp.tbl[[#This Row],[CrudeType]]="Crude",vp.tbl[[#This Row],[Dens]]&gt;900,vp.tbl[[#This Row],[Sulf]]&lt;=0.5,vp.tbl[[#This Row],[Unknown]]=0),1,0)</f>
        <v>0</v>
      </c>
      <c r="AG1112" t="str">
        <f>INDEX(vp.tbl[[#Headers],[Unknown]:[Heavy_SW]],MATCH(1,vp.tbl[[#This Row],[Unknown]:[Heavy_SW]],0))</f>
        <v>Light_SW</v>
      </c>
      <c r="AH1112" t="e">
        <f>INDEX([1]!crudeBD.lkup[Number],MATCH(vp.tbl[[#This Row],[Crude_Breakdown]],[1]!crudeBD.lkup[Crude Breakdown],0))</f>
        <v>#REF!</v>
      </c>
      <c r="AI1112">
        <f>MONTH(vp.tbl[[#This Row],[SDate]])</f>
        <v>3</v>
      </c>
      <c r="AJ1112" s="5">
        <f>IFERROR(vp.tbl[[#This Row],[Sulf]]*vp.tbl[[#This Row],[Net Dens]],"")</f>
        <v>3879961.9187999996</v>
      </c>
      <c r="AK1112" s="5">
        <f>IFERROR(vp.tbl[[#This Row],[Dens]]*vp.tbl[[#This Row],[VolumeM3]],"")</f>
        <v>12933206.396</v>
      </c>
      <c r="AL1112" s="5">
        <f>IFERROR(vp.tbl[[#This Row],[VP]]*vp.tbl[[#This Row],[VolumeM3]],"")</f>
        <v>1305771.764</v>
      </c>
      <c r="AM1112" s="4">
        <f>IFERROR((vp.tbl[[#This Row],[VP]]-INDEX(crudeBD.lkup.complete[Mean_VP],MATCH(vp.tbl[[#This Row],[Crude_Breakdown]],crudeBD.lkup.complete[Crude Breakdown],0)))^2,"")</f>
        <v>115.56924225861614</v>
      </c>
      <c r="AN1112" s="4">
        <f>IFERROR((vp.tbl[[#This Row],[Dens]]-INDEX(crudeBD.lkup.complete[Mean_Dens],MATCH(vp.tbl[[#This Row],[Crude_Breakdown]],crudeBD.lkup.complete[Crude Breakdown],0)))^2,"")</f>
        <v>3.5664388301434045</v>
      </c>
      <c r="AO1112" s="4">
        <f>IFERROR((vp.tbl[[#This Row],[Sulf]]-INDEX(crudeBD.lkup.complete[Mean_Sulf],MATCH(vp.tbl[[#This Row],[Crude_Breakdown]],crudeBD.lkup.complete[Crude Breakdown],0)))^2,"")</f>
        <v>4.0651065565929113E-3</v>
      </c>
      <c r="AP1112">
        <f>IF(AND(vp.tbl[[#This Row],[SDate]]&gt;=DATE(YEAR(vp.tbl[[#This Row],[SDate]]),5,1),vp.tbl[[#This Row],[SDate]]&lt;=DATE(YEAR(vp.tbl[[#This Row],[SDate]]),9,15)),1,0)</f>
        <v>0</v>
      </c>
      <c r="AQ1112" s="15">
        <f>IF(vp.tbl[[#This Row],[SDate]]&lt;DATE(2016,12,1),0,1)</f>
        <v>1</v>
      </c>
    </row>
    <row r="1113" spans="1:43" x14ac:dyDescent="0.25">
      <c r="A1113">
        <v>1112</v>
      </c>
      <c r="B1113" t="s">
        <v>62</v>
      </c>
      <c r="C1113" t="s">
        <v>62</v>
      </c>
      <c r="D1113" t="s">
        <v>87</v>
      </c>
      <c r="F1113" s="1">
        <v>42821</v>
      </c>
      <c r="G1113" s="2">
        <v>74</v>
      </c>
      <c r="H1113" s="2"/>
      <c r="I1113" s="2">
        <v>0.17</v>
      </c>
      <c r="J1113" s="2">
        <v>30.6</v>
      </c>
      <c r="K1113" s="2">
        <v>4</v>
      </c>
      <c r="L1113" s="2">
        <v>811.8</v>
      </c>
      <c r="M1113" s="2">
        <v>811.8</v>
      </c>
      <c r="N1113" s="2">
        <f ca="1">INDEX(INDIRECT(_xlfn.CONCAT("weather.tbl[",N$1,"]")),MATCH(vp.tbl[[#This Row],[SDate]],weather.tbl[Date],0))</f>
        <v>1.4666666666666668</v>
      </c>
      <c r="O1113" s="2">
        <f ca="1">INDEX(INDIRECT(_xlfn.CONCAT("weather.tbl[",O$1,"]")),MATCH(vp.tbl[[#This Row],[SDate]],weather.tbl[Date],0))</f>
        <v>-0.90238095238095273</v>
      </c>
      <c r="P1113" s="2">
        <f ca="1">INDEX(INDIRECT(_xlfn.CONCAT("weather.tbl[",P$1,"]")),MATCH(vp.tbl[[#This Row],[SDate]],weather.tbl[Date],0))</f>
        <v>0.7</v>
      </c>
      <c r="Q1113" s="2">
        <f ca="1">INDEX(INDIRECT(_xlfn.CONCAT("weather.tbl[",Q$1,"]")),MATCH(vp.tbl[[#This Row],[SDate]],weather.tbl[Date],0))</f>
        <v>3</v>
      </c>
      <c r="R1113" s="2">
        <f ca="1">INDEX(INDIRECT(_xlfn.CONCAT("weather.tbl[",R$1,"]")),MATCH(vp.tbl[[#This Row],[SDate]],weather.tbl[Date],0))</f>
        <v>1.3</v>
      </c>
      <c r="S1113" s="2">
        <f ca="1">INDEX(INDIRECT(_xlfn.CONCAT("weather.tbl[",S$1,"]")),MATCH(vp.tbl[[#This Row],[SDate]],weather.tbl[Date],0))</f>
        <v>3.3</v>
      </c>
      <c r="T1113" s="2">
        <f ca="1">INDEX(INDIRECT(_xlfn.CONCAT("weather.tbl[",T$1,"]")),MATCH(vp.tbl[[#This Row],[SDate]],weather.tbl[Date],0))</f>
        <v>-0.3</v>
      </c>
      <c r="U1113" s="2">
        <f ca="1">INDEX(INDIRECT(_xlfn.CONCAT("weather.tbl[",U$1,"]")),MATCH(vp.tbl[[#This Row],[SDate]],weather.tbl[Date],0))</f>
        <v>0.8</v>
      </c>
      <c r="V1113" s="2">
        <v>7297.97</v>
      </c>
      <c r="W1113" t="s">
        <v>48</v>
      </c>
      <c r="X1113">
        <f>IF(OR(vp.tbl[[#This Row],[Sulf]]="",vp.tbl[[#This Row],[Dens]]=""),1,0)</f>
        <v>0</v>
      </c>
      <c r="Y1113">
        <f>IF(vp.tbl[[#This Row],[CrudeType]]="C5+",1,0)</f>
        <v>0</v>
      </c>
      <c r="Z1113">
        <f>IF(AND(vp.tbl[[#This Row],[CrudeType]]="Crude",vp.tbl[[#This Row],[Dens]]&lt;=825,vp.tbl[[#This Row],[Sulf]]&gt;0.5,vp.tbl[[#This Row],[Unknown]]=0),1,0)</f>
        <v>0</v>
      </c>
      <c r="AA1113">
        <f>IF(AND(vp.tbl[[#This Row],[CrudeType]]="Crude",vp.tbl[[#This Row],[Dens]]&lt;=825,vp.tbl[[#This Row],[Sulf]]&lt;=0.5,vp.tbl[[#This Row],[Unknown]]=0),1,0)</f>
        <v>1</v>
      </c>
      <c r="AB1113">
        <f>IF(AND(vp.tbl[[#This Row],[CrudeType]]="Crude",vp.tbl[[#This Row],[Dens]]&gt;825,vp.tbl[[#This Row],[Dens]]&lt;=870,vp.tbl[[#This Row],[Sulf]]&gt;0.5,vp.tbl[[#This Row],[Unknown]]=0),1,0)</f>
        <v>0</v>
      </c>
      <c r="AC1113">
        <f>IF(AND(vp.tbl[[#This Row],[CrudeType]]="Crude",vp.tbl[[#This Row],[Dens]]&gt;825,vp.tbl[[#This Row],[Dens]]&lt;=900,vp.tbl[[#This Row],[Sulf]]&lt;=0.5,vp.tbl[[#This Row],[Unknown]]=0),1,0)</f>
        <v>0</v>
      </c>
      <c r="AD1113">
        <f>IF(AND(vp.tbl[[#This Row],[CrudeType]]="Crude",vp.tbl[[#This Row],[Dens]]&gt;870,vp.tbl[[#This Row],[Dens]]&lt;=900,vp.tbl[[#This Row],[Sulf]]&gt;0.5,vp.tbl[[#This Row],[Unknown]]=0),1,0)</f>
        <v>0</v>
      </c>
      <c r="AE1113">
        <f>IF(AND(vp.tbl[[#This Row],[CrudeType]]="Crude",vp.tbl[[#This Row],[Dens]]&gt;900,vp.tbl[[#This Row],[Sulf]]&lt;=0.5,vp.tbl[[#This Row],[Unknown]]=0),1,0)</f>
        <v>0</v>
      </c>
      <c r="AF1113">
        <f>IF(AND(vp.tbl[[#This Row],[CrudeType]]="Crude",vp.tbl[[#This Row],[Dens]]&gt;900,vp.tbl[[#This Row],[Sulf]]&lt;=0.5,vp.tbl[[#This Row],[Unknown]]=0),1,0)</f>
        <v>0</v>
      </c>
      <c r="AG1113" t="str">
        <f>INDEX(vp.tbl[[#Headers],[Unknown]:[Heavy_SW]],MATCH(1,vp.tbl[[#This Row],[Unknown]:[Heavy_SW]],0))</f>
        <v>Light_SW</v>
      </c>
      <c r="AH1113" t="e">
        <f>INDEX([1]!crudeBD.lkup[Number],MATCH(vp.tbl[[#This Row],[Crude_Breakdown]],[1]!crudeBD.lkup[Crude Breakdown],0))</f>
        <v>#REF!</v>
      </c>
      <c r="AI1113">
        <f>MONTH(vp.tbl[[#This Row],[SDate]])</f>
        <v>3</v>
      </c>
      <c r="AJ1113" s="5">
        <f>IFERROR(vp.tbl[[#This Row],[Sulf]]*vp.tbl[[#This Row],[Net Dens]],"")</f>
        <v>1007163.6478200001</v>
      </c>
      <c r="AK1113" s="5">
        <f>IFERROR(vp.tbl[[#This Row],[Dens]]*vp.tbl[[#This Row],[VolumeM3]],"")</f>
        <v>5924492.0460000001</v>
      </c>
      <c r="AL1113" s="5">
        <f>IFERROR(vp.tbl[[#This Row],[VP]]*vp.tbl[[#This Row],[VolumeM3]],"")</f>
        <v>540049.78</v>
      </c>
      <c r="AM1113" s="4">
        <f>IFERROR((vp.tbl[[#This Row],[VP]]-INDEX(crudeBD.lkup.complete[Mean_VP],MATCH(vp.tbl[[#This Row],[Crude_Breakdown]],crudeBD.lkup.complete[Crude Breakdown],0)))^2,"")</f>
        <v>344.11413424467833</v>
      </c>
      <c r="AN1113" s="4">
        <f>IFERROR((vp.tbl[[#This Row],[Dens]]-INDEX(crudeBD.lkup.complete[Mean_Dens],MATCH(vp.tbl[[#This Row],[Crude_Breakdown]],crudeBD.lkup.complete[Crude Breakdown],0)))^2,"")</f>
        <v>12.169644405056506</v>
      </c>
      <c r="AO1113" s="4">
        <f>IFERROR((vp.tbl[[#This Row],[Sulf]]-INDEX(crudeBD.lkup.complete[Mean_Sulf],MATCH(vp.tbl[[#This Row],[Crude_Breakdown]],crudeBD.lkup.complete[Crude Breakdown],0)))^2,"")</f>
        <v>4.3879776367322437E-3</v>
      </c>
      <c r="AP1113">
        <f>IF(AND(vp.tbl[[#This Row],[SDate]]&gt;=DATE(YEAR(vp.tbl[[#This Row],[SDate]]),5,1),vp.tbl[[#This Row],[SDate]]&lt;=DATE(YEAR(vp.tbl[[#This Row],[SDate]]),9,15)),1,0)</f>
        <v>0</v>
      </c>
      <c r="AQ1113" s="15">
        <f>IF(vp.tbl[[#This Row],[SDate]]&lt;DATE(2016,12,1),0,1)</f>
        <v>1</v>
      </c>
    </row>
    <row r="1114" spans="1:43" x14ac:dyDescent="0.25">
      <c r="A1114">
        <v>1113</v>
      </c>
      <c r="B1114" t="s">
        <v>62</v>
      </c>
      <c r="C1114" t="s">
        <v>62</v>
      </c>
      <c r="D1114" t="s">
        <v>63</v>
      </c>
      <c r="F1114" s="1">
        <v>42821</v>
      </c>
      <c r="G1114" s="2">
        <v>79.400000000000006</v>
      </c>
      <c r="H1114" s="2"/>
      <c r="I1114" s="2">
        <v>1.74</v>
      </c>
      <c r="J1114" s="2">
        <v>20.3</v>
      </c>
      <c r="K1114" s="2">
        <v>4</v>
      </c>
      <c r="L1114" s="2">
        <v>827.9</v>
      </c>
      <c r="M1114" s="2">
        <v>827.9</v>
      </c>
      <c r="N1114" s="2">
        <f ca="1">INDEX(INDIRECT(_xlfn.CONCAT("weather.tbl[",N$1,"]")),MATCH(vp.tbl[[#This Row],[SDate]],weather.tbl[Date],0))</f>
        <v>1.4666666666666668</v>
      </c>
      <c r="O1114" s="2">
        <f ca="1">INDEX(INDIRECT(_xlfn.CONCAT("weather.tbl[",O$1,"]")),MATCH(vp.tbl[[#This Row],[SDate]],weather.tbl[Date],0))</f>
        <v>-0.90238095238095273</v>
      </c>
      <c r="P1114" s="2">
        <f ca="1">INDEX(INDIRECT(_xlfn.CONCAT("weather.tbl[",P$1,"]")),MATCH(vp.tbl[[#This Row],[SDate]],weather.tbl[Date],0))</f>
        <v>0.7</v>
      </c>
      <c r="Q1114" s="2">
        <f ca="1">INDEX(INDIRECT(_xlfn.CONCAT("weather.tbl[",Q$1,"]")),MATCH(vp.tbl[[#This Row],[SDate]],weather.tbl[Date],0))</f>
        <v>3</v>
      </c>
      <c r="R1114" s="2">
        <f ca="1">INDEX(INDIRECT(_xlfn.CONCAT("weather.tbl[",R$1,"]")),MATCH(vp.tbl[[#This Row],[SDate]],weather.tbl[Date],0))</f>
        <v>1.3</v>
      </c>
      <c r="S1114" s="2">
        <f ca="1">INDEX(INDIRECT(_xlfn.CONCAT("weather.tbl[",S$1,"]")),MATCH(vp.tbl[[#This Row],[SDate]],weather.tbl[Date],0))</f>
        <v>3.3</v>
      </c>
      <c r="T1114" s="2">
        <f ca="1">INDEX(INDIRECT(_xlfn.CONCAT("weather.tbl[",T$1,"]")),MATCH(vp.tbl[[#This Row],[SDate]],weather.tbl[Date],0))</f>
        <v>-0.3</v>
      </c>
      <c r="U1114" s="2">
        <f ca="1">INDEX(INDIRECT(_xlfn.CONCAT("weather.tbl[",U$1,"]")),MATCH(vp.tbl[[#This Row],[SDate]],weather.tbl[Date],0))</f>
        <v>0.8</v>
      </c>
      <c r="V1114" s="2">
        <v>6959.2520000000004</v>
      </c>
      <c r="W1114" t="s">
        <v>48</v>
      </c>
      <c r="X1114">
        <f>IF(OR(vp.tbl[[#This Row],[Sulf]]="",vp.tbl[[#This Row],[Dens]]=""),1,0)</f>
        <v>0</v>
      </c>
      <c r="Y1114">
        <f>IF(vp.tbl[[#This Row],[CrudeType]]="C5+",1,0)</f>
        <v>0</v>
      </c>
      <c r="Z1114">
        <f>IF(AND(vp.tbl[[#This Row],[CrudeType]]="Crude",vp.tbl[[#This Row],[Dens]]&lt;=825,vp.tbl[[#This Row],[Sulf]]&gt;0.5,vp.tbl[[#This Row],[Unknown]]=0),1,0)</f>
        <v>0</v>
      </c>
      <c r="AA1114">
        <f>IF(AND(vp.tbl[[#This Row],[CrudeType]]="Crude",vp.tbl[[#This Row],[Dens]]&lt;=825,vp.tbl[[#This Row],[Sulf]]&lt;=0.5,vp.tbl[[#This Row],[Unknown]]=0),1,0)</f>
        <v>0</v>
      </c>
      <c r="AB1114">
        <f>IF(AND(vp.tbl[[#This Row],[CrudeType]]="Crude",vp.tbl[[#This Row],[Dens]]&gt;825,vp.tbl[[#This Row],[Dens]]&lt;=870,vp.tbl[[#This Row],[Sulf]]&gt;0.5,vp.tbl[[#This Row],[Unknown]]=0),1,0)</f>
        <v>1</v>
      </c>
      <c r="AC1114">
        <f>IF(AND(vp.tbl[[#This Row],[CrudeType]]="Crude",vp.tbl[[#This Row],[Dens]]&gt;825,vp.tbl[[#This Row],[Dens]]&lt;=900,vp.tbl[[#This Row],[Sulf]]&lt;=0.5,vp.tbl[[#This Row],[Unknown]]=0),1,0)</f>
        <v>0</v>
      </c>
      <c r="AD1114">
        <f>IF(AND(vp.tbl[[#This Row],[CrudeType]]="Crude",vp.tbl[[#This Row],[Dens]]&gt;870,vp.tbl[[#This Row],[Dens]]&lt;=900,vp.tbl[[#This Row],[Sulf]]&gt;0.5,vp.tbl[[#This Row],[Unknown]]=0),1,0)</f>
        <v>0</v>
      </c>
      <c r="AE1114">
        <f>IF(AND(vp.tbl[[#This Row],[CrudeType]]="Crude",vp.tbl[[#This Row],[Dens]]&gt;900,vp.tbl[[#This Row],[Sulf]]&lt;=0.5,vp.tbl[[#This Row],[Unknown]]=0),1,0)</f>
        <v>0</v>
      </c>
      <c r="AF1114">
        <f>IF(AND(vp.tbl[[#This Row],[CrudeType]]="Crude",vp.tbl[[#This Row],[Dens]]&gt;900,vp.tbl[[#This Row],[Sulf]]&lt;=0.5,vp.tbl[[#This Row],[Unknown]]=0),1,0)</f>
        <v>0</v>
      </c>
      <c r="AG1114" t="str">
        <f>INDEX(vp.tbl[[#Headers],[Unknown]:[Heavy_SW]],MATCH(1,vp.tbl[[#This Row],[Unknown]:[Heavy_SW]],0))</f>
        <v>Medium_LSB</v>
      </c>
      <c r="AH1114" t="e">
        <f>INDEX([1]!crudeBD.lkup[Number],MATCH(vp.tbl[[#This Row],[Crude_Breakdown]],[1]!crudeBD.lkup[Crude Breakdown],0))</f>
        <v>#REF!</v>
      </c>
      <c r="AI1114">
        <f>MONTH(vp.tbl[[#This Row],[SDate]])</f>
        <v>3</v>
      </c>
      <c r="AJ1114" s="5">
        <f>IFERROR(vp.tbl[[#This Row],[Sulf]]*vp.tbl[[#This Row],[Net Dens]],"")</f>
        <v>10025122.631592</v>
      </c>
      <c r="AK1114" s="5">
        <f>IFERROR(vp.tbl[[#This Row],[Dens]]*vp.tbl[[#This Row],[VolumeM3]],"")</f>
        <v>5761564.7308</v>
      </c>
      <c r="AL1114" s="5">
        <f>IFERROR(vp.tbl[[#This Row],[VP]]*vp.tbl[[#This Row],[VolumeM3]],"")</f>
        <v>552564.60880000005</v>
      </c>
      <c r="AM1114" s="4">
        <f>IFERROR((vp.tbl[[#This Row],[VP]]-INDEX(crudeBD.lkup.complete[Mean_VP],MATCH(vp.tbl[[#This Row],[Crude_Breakdown]],crudeBD.lkup.complete[Crude Breakdown],0)))^2,"")</f>
        <v>0.59844912610152046</v>
      </c>
      <c r="AN1114" s="4">
        <f>IFERROR((vp.tbl[[#This Row],[Dens]]-INDEX(crudeBD.lkup.complete[Mean_Dens],MATCH(vp.tbl[[#This Row],[Crude_Breakdown]],crudeBD.lkup.complete[Crude Breakdown],0)))^2,"")</f>
        <v>302.47549977820722</v>
      </c>
      <c r="AO1114" s="4">
        <f>IFERROR((vp.tbl[[#This Row],[Sulf]]-INDEX(crudeBD.lkup.complete[Mean_Sulf],MATCH(vp.tbl[[#This Row],[Crude_Breakdown]],crudeBD.lkup.complete[Crude Breakdown],0)))^2,"")</f>
        <v>8.1264984286600811E-2</v>
      </c>
      <c r="AP1114">
        <f>IF(AND(vp.tbl[[#This Row],[SDate]]&gt;=DATE(YEAR(vp.tbl[[#This Row],[SDate]]),5,1),vp.tbl[[#This Row],[SDate]]&lt;=DATE(YEAR(vp.tbl[[#This Row],[SDate]]),9,15)),1,0)</f>
        <v>0</v>
      </c>
      <c r="AQ1114" s="15">
        <f>IF(vp.tbl[[#This Row],[SDate]]&lt;DATE(2016,12,1),0,1)</f>
        <v>1</v>
      </c>
    </row>
    <row r="1115" spans="1:43" x14ac:dyDescent="0.25">
      <c r="A1115">
        <v>1114</v>
      </c>
      <c r="B1115" t="s">
        <v>51</v>
      </c>
      <c r="C1115" t="s">
        <v>51</v>
      </c>
      <c r="D1115" t="s">
        <v>95</v>
      </c>
      <c r="F1115" s="1">
        <v>42821</v>
      </c>
      <c r="G1115" s="2">
        <v>70.3</v>
      </c>
      <c r="H1115" s="2"/>
      <c r="I1115" s="2">
        <v>1.2</v>
      </c>
      <c r="J1115" s="2">
        <v>30.1</v>
      </c>
      <c r="K1115" s="2">
        <v>4</v>
      </c>
      <c r="L1115" s="2">
        <v>841.9</v>
      </c>
      <c r="M1115" s="2">
        <v>841.9</v>
      </c>
      <c r="N1115" s="2">
        <f ca="1">INDEX(INDIRECT(_xlfn.CONCAT("weather.tbl[",N$1,"]")),MATCH(vp.tbl[[#This Row],[SDate]],weather.tbl[Date],0))</f>
        <v>1.4666666666666668</v>
      </c>
      <c r="O1115" s="2">
        <f ca="1">INDEX(INDIRECT(_xlfn.CONCAT("weather.tbl[",O$1,"]")),MATCH(vp.tbl[[#This Row],[SDate]],weather.tbl[Date],0))</f>
        <v>-0.90238095238095273</v>
      </c>
      <c r="P1115" s="2">
        <f ca="1">INDEX(INDIRECT(_xlfn.CONCAT("weather.tbl[",P$1,"]")),MATCH(vp.tbl[[#This Row],[SDate]],weather.tbl[Date],0))</f>
        <v>0.7</v>
      </c>
      <c r="Q1115" s="2">
        <f ca="1">INDEX(INDIRECT(_xlfn.CONCAT("weather.tbl[",Q$1,"]")),MATCH(vp.tbl[[#This Row],[SDate]],weather.tbl[Date],0))</f>
        <v>3</v>
      </c>
      <c r="R1115" s="2">
        <f ca="1">INDEX(INDIRECT(_xlfn.CONCAT("weather.tbl[",R$1,"]")),MATCH(vp.tbl[[#This Row],[SDate]],weather.tbl[Date],0))</f>
        <v>1.3</v>
      </c>
      <c r="S1115" s="2">
        <f ca="1">INDEX(INDIRECT(_xlfn.CONCAT("weather.tbl[",S$1,"]")),MATCH(vp.tbl[[#This Row],[SDate]],weather.tbl[Date],0))</f>
        <v>3.3</v>
      </c>
      <c r="T1115" s="2">
        <f ca="1">INDEX(INDIRECT(_xlfn.CONCAT("weather.tbl[",T$1,"]")),MATCH(vp.tbl[[#This Row],[SDate]],weather.tbl[Date],0))</f>
        <v>-0.3</v>
      </c>
      <c r="U1115" s="2">
        <f ca="1">INDEX(INDIRECT(_xlfn.CONCAT("weather.tbl[",U$1,"]")),MATCH(vp.tbl[[#This Row],[SDate]],weather.tbl[Date],0))</f>
        <v>0.8</v>
      </c>
      <c r="V1115" s="2">
        <v>5390.0870000000004</v>
      </c>
      <c r="W1115" t="s">
        <v>48</v>
      </c>
      <c r="X1115">
        <f>IF(OR(vp.tbl[[#This Row],[Sulf]]="",vp.tbl[[#This Row],[Dens]]=""),1,0)</f>
        <v>0</v>
      </c>
      <c r="Y1115">
        <f>IF(vp.tbl[[#This Row],[CrudeType]]="C5+",1,0)</f>
        <v>0</v>
      </c>
      <c r="Z1115">
        <f>IF(AND(vp.tbl[[#This Row],[CrudeType]]="Crude",vp.tbl[[#This Row],[Dens]]&lt;=825,vp.tbl[[#This Row],[Sulf]]&gt;0.5,vp.tbl[[#This Row],[Unknown]]=0),1,0)</f>
        <v>0</v>
      </c>
      <c r="AA1115">
        <f>IF(AND(vp.tbl[[#This Row],[CrudeType]]="Crude",vp.tbl[[#This Row],[Dens]]&lt;=825,vp.tbl[[#This Row],[Sulf]]&lt;=0.5,vp.tbl[[#This Row],[Unknown]]=0),1,0)</f>
        <v>0</v>
      </c>
      <c r="AB1115">
        <f>IF(AND(vp.tbl[[#This Row],[CrudeType]]="Crude",vp.tbl[[#This Row],[Dens]]&gt;825,vp.tbl[[#This Row],[Dens]]&lt;=870,vp.tbl[[#This Row],[Sulf]]&gt;0.5,vp.tbl[[#This Row],[Unknown]]=0),1,0)</f>
        <v>1</v>
      </c>
      <c r="AC1115">
        <f>IF(AND(vp.tbl[[#This Row],[CrudeType]]="Crude",vp.tbl[[#This Row],[Dens]]&gt;825,vp.tbl[[#This Row],[Dens]]&lt;=900,vp.tbl[[#This Row],[Sulf]]&lt;=0.5,vp.tbl[[#This Row],[Unknown]]=0),1,0)</f>
        <v>0</v>
      </c>
      <c r="AD1115">
        <f>IF(AND(vp.tbl[[#This Row],[CrudeType]]="Crude",vp.tbl[[#This Row],[Dens]]&gt;870,vp.tbl[[#This Row],[Dens]]&lt;=900,vp.tbl[[#This Row],[Sulf]]&gt;0.5,vp.tbl[[#This Row],[Unknown]]=0),1,0)</f>
        <v>0</v>
      </c>
      <c r="AE1115">
        <f>IF(AND(vp.tbl[[#This Row],[CrudeType]]="Crude",vp.tbl[[#This Row],[Dens]]&gt;900,vp.tbl[[#This Row],[Sulf]]&lt;=0.5,vp.tbl[[#This Row],[Unknown]]=0),1,0)</f>
        <v>0</v>
      </c>
      <c r="AF1115">
        <f>IF(AND(vp.tbl[[#This Row],[CrudeType]]="Crude",vp.tbl[[#This Row],[Dens]]&gt;900,vp.tbl[[#This Row],[Sulf]]&lt;=0.5,vp.tbl[[#This Row],[Unknown]]=0),1,0)</f>
        <v>0</v>
      </c>
      <c r="AG1115" t="str">
        <f>INDEX(vp.tbl[[#Headers],[Unknown]:[Heavy_SW]],MATCH(1,vp.tbl[[#This Row],[Unknown]:[Heavy_SW]],0))</f>
        <v>Medium_LSB</v>
      </c>
      <c r="AH1115" t="e">
        <f>INDEX([1]!crudeBD.lkup[Number],MATCH(vp.tbl[[#This Row],[Crude_Breakdown]],[1]!crudeBD.lkup[Crude Breakdown],0))</f>
        <v>#REF!</v>
      </c>
      <c r="AI1115">
        <f>MONTH(vp.tbl[[#This Row],[SDate]])</f>
        <v>3</v>
      </c>
      <c r="AJ1115" s="5">
        <f>IFERROR(vp.tbl[[#This Row],[Sulf]]*vp.tbl[[#This Row],[Net Dens]],"")</f>
        <v>5445497.0943600005</v>
      </c>
      <c r="AK1115" s="5">
        <f>IFERROR(vp.tbl[[#This Row],[Dens]]*vp.tbl[[#This Row],[VolumeM3]],"")</f>
        <v>4537914.2453000005</v>
      </c>
      <c r="AL1115" s="5">
        <f>IFERROR(vp.tbl[[#This Row],[VP]]*vp.tbl[[#This Row],[VolumeM3]],"")</f>
        <v>378923.11610000004</v>
      </c>
      <c r="AM1115" s="4">
        <f>IFERROR((vp.tbl[[#This Row],[VP]]-INDEX(crudeBD.lkup.complete[Mean_VP],MATCH(vp.tbl[[#This Row],[Crude_Breakdown]],crudeBD.lkup.complete[Crude Breakdown],0)))^2,"")</f>
        <v>97.48787697420218</v>
      </c>
      <c r="AN1115" s="4">
        <f>IFERROR((vp.tbl[[#This Row],[Dens]]-INDEX(crudeBD.lkup.complete[Mean_Dens],MATCH(vp.tbl[[#This Row],[Crude_Breakdown]],crudeBD.lkup.complete[Crude Breakdown],0)))^2,"")</f>
        <v>11.504461803550598</v>
      </c>
      <c r="AO1115" s="4">
        <f>IFERROR((vp.tbl[[#This Row],[Sulf]]-INDEX(crudeBD.lkup.complete[Mean_Sulf],MATCH(vp.tbl[[#This Row],[Crude_Breakdown]],crudeBD.lkup.complete[Crude Breakdown],0)))^2,"")</f>
        <v>6.4989233906855612E-2</v>
      </c>
      <c r="AP1115">
        <f>IF(AND(vp.tbl[[#This Row],[SDate]]&gt;=DATE(YEAR(vp.tbl[[#This Row],[SDate]]),5,1),vp.tbl[[#This Row],[SDate]]&lt;=DATE(YEAR(vp.tbl[[#This Row],[SDate]]),9,15)),1,0)</f>
        <v>0</v>
      </c>
      <c r="AQ1115" s="15">
        <f>IF(vp.tbl[[#This Row],[SDate]]&lt;DATE(2016,12,1),0,1)</f>
        <v>1</v>
      </c>
    </row>
    <row r="1116" spans="1:43" x14ac:dyDescent="0.25">
      <c r="A1116">
        <v>1115</v>
      </c>
      <c r="B1116" t="s">
        <v>60</v>
      </c>
      <c r="C1116" t="s">
        <v>60</v>
      </c>
      <c r="D1116" t="s">
        <v>61</v>
      </c>
      <c r="E1116" t="s">
        <v>73</v>
      </c>
      <c r="F1116" s="1">
        <v>42821</v>
      </c>
      <c r="G1116" s="2">
        <v>79.599999999999994</v>
      </c>
      <c r="H1116" s="2">
        <v>0.98899999999999999</v>
      </c>
      <c r="I1116" s="2">
        <v>0.98899999999999999</v>
      </c>
      <c r="J1116" s="2">
        <v>4.3</v>
      </c>
      <c r="K1116" s="2">
        <v>4</v>
      </c>
      <c r="L1116" s="2">
        <v>845.8</v>
      </c>
      <c r="M1116" s="2">
        <v>845.8</v>
      </c>
      <c r="N1116" s="2">
        <f ca="1">INDEX(INDIRECT(_xlfn.CONCAT("weather.tbl[",N$1,"]")),MATCH(vp.tbl[[#This Row],[SDate]],weather.tbl[Date],0))</f>
        <v>1.4666666666666668</v>
      </c>
      <c r="O1116" s="2">
        <f ca="1">INDEX(INDIRECT(_xlfn.CONCAT("weather.tbl[",O$1,"]")),MATCH(vp.tbl[[#This Row],[SDate]],weather.tbl[Date],0))</f>
        <v>-0.90238095238095273</v>
      </c>
      <c r="P1116" s="2">
        <f ca="1">INDEX(INDIRECT(_xlfn.CONCAT("weather.tbl[",P$1,"]")),MATCH(vp.tbl[[#This Row],[SDate]],weather.tbl[Date],0))</f>
        <v>0.7</v>
      </c>
      <c r="Q1116" s="2">
        <f ca="1">INDEX(INDIRECT(_xlfn.CONCAT("weather.tbl[",Q$1,"]")),MATCH(vp.tbl[[#This Row],[SDate]],weather.tbl[Date],0))</f>
        <v>3</v>
      </c>
      <c r="R1116" s="2">
        <f ca="1">INDEX(INDIRECT(_xlfn.CONCAT("weather.tbl[",R$1,"]")),MATCH(vp.tbl[[#This Row],[SDate]],weather.tbl[Date],0))</f>
        <v>1.3</v>
      </c>
      <c r="S1116" s="2">
        <f ca="1">INDEX(INDIRECT(_xlfn.CONCAT("weather.tbl[",S$1,"]")),MATCH(vp.tbl[[#This Row],[SDate]],weather.tbl[Date],0))</f>
        <v>3.3</v>
      </c>
      <c r="T1116" s="2">
        <f ca="1">INDEX(INDIRECT(_xlfn.CONCAT("weather.tbl[",T$1,"]")),MATCH(vp.tbl[[#This Row],[SDate]],weather.tbl[Date],0))</f>
        <v>-0.3</v>
      </c>
      <c r="U1116" s="2">
        <f ca="1">INDEX(INDIRECT(_xlfn.CONCAT("weather.tbl[",U$1,"]")),MATCH(vp.tbl[[#This Row],[SDate]],weather.tbl[Date],0))</f>
        <v>0.8</v>
      </c>
      <c r="V1116" s="2">
        <v>106074.851</v>
      </c>
      <c r="W1116" t="s">
        <v>48</v>
      </c>
      <c r="X1116">
        <f>IF(OR(vp.tbl[[#This Row],[Sulf]]="",vp.tbl[[#This Row],[Dens]]=""),1,0)</f>
        <v>0</v>
      </c>
      <c r="Y1116">
        <f>IF(vp.tbl[[#This Row],[CrudeType]]="C5+",1,0)</f>
        <v>0</v>
      </c>
      <c r="Z1116">
        <f>IF(AND(vp.tbl[[#This Row],[CrudeType]]="Crude",vp.tbl[[#This Row],[Dens]]&lt;=825,vp.tbl[[#This Row],[Sulf]]&gt;0.5,vp.tbl[[#This Row],[Unknown]]=0),1,0)</f>
        <v>0</v>
      </c>
      <c r="AA1116">
        <f>IF(AND(vp.tbl[[#This Row],[CrudeType]]="Crude",vp.tbl[[#This Row],[Dens]]&lt;=825,vp.tbl[[#This Row],[Sulf]]&lt;=0.5,vp.tbl[[#This Row],[Unknown]]=0),1,0)</f>
        <v>0</v>
      </c>
      <c r="AB1116">
        <f>IF(AND(vp.tbl[[#This Row],[CrudeType]]="Crude",vp.tbl[[#This Row],[Dens]]&gt;825,vp.tbl[[#This Row],[Dens]]&lt;=870,vp.tbl[[#This Row],[Sulf]]&gt;0.5,vp.tbl[[#This Row],[Unknown]]=0),1,0)</f>
        <v>1</v>
      </c>
      <c r="AC1116">
        <f>IF(AND(vp.tbl[[#This Row],[CrudeType]]="Crude",vp.tbl[[#This Row],[Dens]]&gt;825,vp.tbl[[#This Row],[Dens]]&lt;=900,vp.tbl[[#This Row],[Sulf]]&lt;=0.5,vp.tbl[[#This Row],[Unknown]]=0),1,0)</f>
        <v>0</v>
      </c>
      <c r="AD1116">
        <f>IF(AND(vp.tbl[[#This Row],[CrudeType]]="Crude",vp.tbl[[#This Row],[Dens]]&gt;870,vp.tbl[[#This Row],[Dens]]&lt;=900,vp.tbl[[#This Row],[Sulf]]&gt;0.5,vp.tbl[[#This Row],[Unknown]]=0),1,0)</f>
        <v>0</v>
      </c>
      <c r="AE1116">
        <f>IF(AND(vp.tbl[[#This Row],[CrudeType]]="Crude",vp.tbl[[#This Row],[Dens]]&gt;900,vp.tbl[[#This Row],[Sulf]]&lt;=0.5,vp.tbl[[#This Row],[Unknown]]=0),1,0)</f>
        <v>0</v>
      </c>
      <c r="AF1116">
        <f>IF(AND(vp.tbl[[#This Row],[CrudeType]]="Crude",vp.tbl[[#This Row],[Dens]]&gt;900,vp.tbl[[#This Row],[Sulf]]&lt;=0.5,vp.tbl[[#This Row],[Unknown]]=0),1,0)</f>
        <v>0</v>
      </c>
      <c r="AG1116" t="str">
        <f>INDEX(vp.tbl[[#Headers],[Unknown]:[Heavy_SW]],MATCH(1,vp.tbl[[#This Row],[Unknown]:[Heavy_SW]],0))</f>
        <v>Medium_LSB</v>
      </c>
      <c r="AH1116" t="e">
        <f>INDEX([1]!crudeBD.lkup[Number],MATCH(vp.tbl[[#This Row],[Crude_Breakdown]],[1]!crudeBD.lkup[Crude Breakdown],0))</f>
        <v>#REF!</v>
      </c>
      <c r="AI1116">
        <f>MONTH(vp.tbl[[#This Row],[SDate]])</f>
        <v>3</v>
      </c>
      <c r="AJ1116" s="5">
        <f>IFERROR(vp.tbl[[#This Row],[Sulf]]*vp.tbl[[#This Row],[Net Dens]],"")</f>
        <v>88731209.777066186</v>
      </c>
      <c r="AK1116" s="5">
        <f>IFERROR(vp.tbl[[#This Row],[Dens]]*vp.tbl[[#This Row],[VolumeM3]],"")</f>
        <v>89718108.975799993</v>
      </c>
      <c r="AL1116" s="5">
        <f>IFERROR(vp.tbl[[#This Row],[VP]]*vp.tbl[[#This Row],[VolumeM3]],"")</f>
        <v>8443558.1395999994</v>
      </c>
      <c r="AM1116" s="4">
        <f>IFERROR((vp.tbl[[#This Row],[VP]]-INDEX(crudeBD.lkup.complete[Mean_VP],MATCH(vp.tbl[[#This Row],[Crude_Breakdown]],crudeBD.lkup.complete[Crude Breakdown],0)))^2,"")</f>
        <v>0.32901115141800619</v>
      </c>
      <c r="AN1116" s="4">
        <f>IFERROR((vp.tbl[[#This Row],[Dens]]-INDEX(crudeBD.lkup.complete[Mean_Dens],MATCH(vp.tbl[[#This Row],[Crude_Breakdown]],crudeBD.lkup.complete[Crude Breakdown],0)))^2,"")</f>
        <v>0.25824408203908944</v>
      </c>
      <c r="AO1116" s="4">
        <f>IFERROR((vp.tbl[[#This Row],[Sulf]]-INDEX(crudeBD.lkup.complete[Mean_Sulf],MATCH(vp.tbl[[#This Row],[Crude_Breakdown]],crudeBD.lkup.complete[Crude Breakdown],0)))^2,"")</f>
        <v>0.21709063514736254</v>
      </c>
      <c r="AP1116">
        <f>IF(AND(vp.tbl[[#This Row],[SDate]]&gt;=DATE(YEAR(vp.tbl[[#This Row],[SDate]]),5,1),vp.tbl[[#This Row],[SDate]]&lt;=DATE(YEAR(vp.tbl[[#This Row],[SDate]]),9,15)),1,0)</f>
        <v>0</v>
      </c>
      <c r="AQ1116" s="15">
        <f>IF(vp.tbl[[#This Row],[SDate]]&lt;DATE(2016,12,1),0,1)</f>
        <v>1</v>
      </c>
    </row>
    <row r="1117" spans="1:43" x14ac:dyDescent="0.25">
      <c r="A1117">
        <v>1116</v>
      </c>
      <c r="B1117" t="s">
        <v>60</v>
      </c>
      <c r="C1117" t="s">
        <v>60</v>
      </c>
      <c r="D1117" t="s">
        <v>61</v>
      </c>
      <c r="E1117" t="s">
        <v>55</v>
      </c>
      <c r="F1117" s="1">
        <v>42821</v>
      </c>
      <c r="G1117" s="2">
        <v>96.8</v>
      </c>
      <c r="H1117" s="2">
        <v>1.1819999999999999</v>
      </c>
      <c r="I1117" s="2">
        <v>1.1819999999999999</v>
      </c>
      <c r="J1117" s="2">
        <v>9.6999999999999993</v>
      </c>
      <c r="K1117" s="2">
        <v>4</v>
      </c>
      <c r="L1117" s="2">
        <v>833.4</v>
      </c>
      <c r="M1117" s="2">
        <v>833.4</v>
      </c>
      <c r="N1117" s="2">
        <f ca="1">INDEX(INDIRECT(_xlfn.CONCAT("weather.tbl[",N$1,"]")),MATCH(vp.tbl[[#This Row],[SDate]],weather.tbl[Date],0))</f>
        <v>1.4666666666666668</v>
      </c>
      <c r="O1117" s="2">
        <f ca="1">INDEX(INDIRECT(_xlfn.CONCAT("weather.tbl[",O$1,"]")),MATCH(vp.tbl[[#This Row],[SDate]],weather.tbl[Date],0))</f>
        <v>-0.90238095238095273</v>
      </c>
      <c r="P1117" s="2">
        <f ca="1">INDEX(INDIRECT(_xlfn.CONCAT("weather.tbl[",P$1,"]")),MATCH(vp.tbl[[#This Row],[SDate]],weather.tbl[Date],0))</f>
        <v>0.7</v>
      </c>
      <c r="Q1117" s="2">
        <f ca="1">INDEX(INDIRECT(_xlfn.CONCAT("weather.tbl[",Q$1,"]")),MATCH(vp.tbl[[#This Row],[SDate]],weather.tbl[Date],0))</f>
        <v>3</v>
      </c>
      <c r="R1117" s="2">
        <f ca="1">INDEX(INDIRECT(_xlfn.CONCAT("weather.tbl[",R$1,"]")),MATCH(vp.tbl[[#This Row],[SDate]],weather.tbl[Date],0))</f>
        <v>1.3</v>
      </c>
      <c r="S1117" s="2">
        <f ca="1">INDEX(INDIRECT(_xlfn.CONCAT("weather.tbl[",S$1,"]")),MATCH(vp.tbl[[#This Row],[SDate]],weather.tbl[Date],0))</f>
        <v>3.3</v>
      </c>
      <c r="T1117" s="2">
        <f ca="1">INDEX(INDIRECT(_xlfn.CONCAT("weather.tbl[",T$1,"]")),MATCH(vp.tbl[[#This Row],[SDate]],weather.tbl[Date],0))</f>
        <v>-0.3</v>
      </c>
      <c r="U1117" s="2">
        <f ca="1">INDEX(INDIRECT(_xlfn.CONCAT("weather.tbl[",U$1,"]")),MATCH(vp.tbl[[#This Row],[SDate]],weather.tbl[Date],0))</f>
        <v>0.8</v>
      </c>
      <c r="V1117" s="2">
        <v>106074.851</v>
      </c>
      <c r="W1117" t="s">
        <v>48</v>
      </c>
      <c r="X1117">
        <f>IF(OR(vp.tbl[[#This Row],[Sulf]]="",vp.tbl[[#This Row],[Dens]]=""),1,0)</f>
        <v>0</v>
      </c>
      <c r="Y1117">
        <f>IF(vp.tbl[[#This Row],[CrudeType]]="C5+",1,0)</f>
        <v>0</v>
      </c>
      <c r="Z1117">
        <f>IF(AND(vp.tbl[[#This Row],[CrudeType]]="Crude",vp.tbl[[#This Row],[Dens]]&lt;=825,vp.tbl[[#This Row],[Sulf]]&gt;0.5,vp.tbl[[#This Row],[Unknown]]=0),1,0)</f>
        <v>0</v>
      </c>
      <c r="AA1117">
        <f>IF(AND(vp.tbl[[#This Row],[CrudeType]]="Crude",vp.tbl[[#This Row],[Dens]]&lt;=825,vp.tbl[[#This Row],[Sulf]]&lt;=0.5,vp.tbl[[#This Row],[Unknown]]=0),1,0)</f>
        <v>0</v>
      </c>
      <c r="AB1117">
        <f>IF(AND(vp.tbl[[#This Row],[CrudeType]]="Crude",vp.tbl[[#This Row],[Dens]]&gt;825,vp.tbl[[#This Row],[Dens]]&lt;=870,vp.tbl[[#This Row],[Sulf]]&gt;0.5,vp.tbl[[#This Row],[Unknown]]=0),1,0)</f>
        <v>1</v>
      </c>
      <c r="AC1117">
        <f>IF(AND(vp.tbl[[#This Row],[CrudeType]]="Crude",vp.tbl[[#This Row],[Dens]]&gt;825,vp.tbl[[#This Row],[Dens]]&lt;=900,vp.tbl[[#This Row],[Sulf]]&lt;=0.5,vp.tbl[[#This Row],[Unknown]]=0),1,0)</f>
        <v>0</v>
      </c>
      <c r="AD1117">
        <f>IF(AND(vp.tbl[[#This Row],[CrudeType]]="Crude",vp.tbl[[#This Row],[Dens]]&gt;870,vp.tbl[[#This Row],[Dens]]&lt;=900,vp.tbl[[#This Row],[Sulf]]&gt;0.5,vp.tbl[[#This Row],[Unknown]]=0),1,0)</f>
        <v>0</v>
      </c>
      <c r="AE1117">
        <f>IF(AND(vp.tbl[[#This Row],[CrudeType]]="Crude",vp.tbl[[#This Row],[Dens]]&gt;900,vp.tbl[[#This Row],[Sulf]]&lt;=0.5,vp.tbl[[#This Row],[Unknown]]=0),1,0)</f>
        <v>0</v>
      </c>
      <c r="AF1117">
        <f>IF(AND(vp.tbl[[#This Row],[CrudeType]]="Crude",vp.tbl[[#This Row],[Dens]]&gt;900,vp.tbl[[#This Row],[Sulf]]&lt;=0.5,vp.tbl[[#This Row],[Unknown]]=0),1,0)</f>
        <v>0</v>
      </c>
      <c r="AG1117" t="str">
        <f>INDEX(vp.tbl[[#Headers],[Unknown]:[Heavy_SW]],MATCH(1,vp.tbl[[#This Row],[Unknown]:[Heavy_SW]],0))</f>
        <v>Medium_LSB</v>
      </c>
      <c r="AH1117" t="e">
        <f>INDEX([1]!crudeBD.lkup[Number],MATCH(vp.tbl[[#This Row],[Crude_Breakdown]],[1]!crudeBD.lkup[Crude Breakdown],0))</f>
        <v>#REF!</v>
      </c>
      <c r="AI1117">
        <f>MONTH(vp.tbl[[#This Row],[SDate]])</f>
        <v>3</v>
      </c>
      <c r="AJ1117" s="5">
        <f>IFERROR(vp.tbl[[#This Row],[Sulf]]*vp.tbl[[#This Row],[Net Dens]],"")</f>
        <v>104492086.93325879</v>
      </c>
      <c r="AK1117" s="5">
        <f>IFERROR(vp.tbl[[#This Row],[Dens]]*vp.tbl[[#This Row],[VolumeM3]],"")</f>
        <v>88402780.823399991</v>
      </c>
      <c r="AL1117" s="5">
        <f>IFERROR(vp.tbl[[#This Row],[VP]]*vp.tbl[[#This Row],[VolumeM3]],"")</f>
        <v>10268045.5768</v>
      </c>
      <c r="AM1117" s="4">
        <f>IFERROR((vp.tbl[[#This Row],[VP]]-INDEX(crudeBD.lkup.complete[Mean_VP],MATCH(vp.tbl[[#This Row],[Crude_Breakdown]],crudeBD.lkup.complete[Crude Breakdown],0)))^2,"")</f>
        <v>276.43734532863436</v>
      </c>
      <c r="AN1117" s="4">
        <f>IFERROR((vp.tbl[[#This Row],[Dens]]-INDEX(crudeBD.lkup.complete[Mean_Dens],MATCH(vp.tbl[[#This Row],[Crude_Breakdown]],crudeBD.lkup.complete[Crude Breakdown],0)))^2,"")</f>
        <v>141.41544914530638</v>
      </c>
      <c r="AO1117" s="4">
        <f>IFERROR((vp.tbl[[#This Row],[Sulf]]-INDEX(crudeBD.lkup.complete[Mean_Sulf],MATCH(vp.tbl[[#This Row],[Crude_Breakdown]],crudeBD.lkup.complete[Crude Breakdown],0)))^2,"")</f>
        <v>7.4490708894197441E-2</v>
      </c>
      <c r="AP1117">
        <f>IF(AND(vp.tbl[[#This Row],[SDate]]&gt;=DATE(YEAR(vp.tbl[[#This Row],[SDate]]),5,1),vp.tbl[[#This Row],[SDate]]&lt;=DATE(YEAR(vp.tbl[[#This Row],[SDate]]),9,15)),1,0)</f>
        <v>0</v>
      </c>
      <c r="AQ1117" s="15">
        <f>IF(vp.tbl[[#This Row],[SDate]]&lt;DATE(2016,12,1),0,1)</f>
        <v>1</v>
      </c>
    </row>
    <row r="1118" spans="1:43" x14ac:dyDescent="0.25">
      <c r="A1118">
        <v>1117</v>
      </c>
      <c r="B1118" t="s">
        <v>49</v>
      </c>
      <c r="C1118" t="s">
        <v>49</v>
      </c>
      <c r="D1118" t="s">
        <v>81</v>
      </c>
      <c r="F1118" s="1">
        <v>42822</v>
      </c>
      <c r="G1118" s="2">
        <v>80.099999999999994</v>
      </c>
      <c r="H1118" s="2">
        <v>0.57499999999999996</v>
      </c>
      <c r="I1118" s="2">
        <v>0.57499999999999996</v>
      </c>
      <c r="J1118" s="2">
        <v>3.9</v>
      </c>
      <c r="K1118" s="2">
        <v>12</v>
      </c>
      <c r="L1118" s="2">
        <v>823.2</v>
      </c>
      <c r="M1118" s="2">
        <v>823.2</v>
      </c>
      <c r="N1118" s="2">
        <f ca="1">INDEX(INDIRECT(_xlfn.CONCAT("weather.tbl[",N$1,"]")),MATCH(vp.tbl[[#This Row],[SDate]],weather.tbl[Date],0))</f>
        <v>1.5833333333333333</v>
      </c>
      <c r="O1118" s="2">
        <f ca="1">INDEX(INDIRECT(_xlfn.CONCAT("weather.tbl[",O$1,"]")),MATCH(vp.tbl[[#This Row],[SDate]],weather.tbl[Date],0))</f>
        <v>0.72619047619047616</v>
      </c>
      <c r="P1118" s="2">
        <f ca="1">INDEX(INDIRECT(_xlfn.CONCAT("weather.tbl[",P$1,"]")),MATCH(vp.tbl[[#This Row],[SDate]],weather.tbl[Date],0))</f>
        <v>2</v>
      </c>
      <c r="Q1118" s="2">
        <f ca="1">INDEX(INDIRECT(_xlfn.CONCAT("weather.tbl[",Q$1,"]")),MATCH(vp.tbl[[#This Row],[SDate]],weather.tbl[Date],0))</f>
        <v>2.1</v>
      </c>
      <c r="R1118" s="2">
        <f ca="1">INDEX(INDIRECT(_xlfn.CONCAT("weather.tbl[",R$1,"]")),MATCH(vp.tbl[[#This Row],[SDate]],weather.tbl[Date],0))</f>
        <v>1.3</v>
      </c>
      <c r="S1118" s="2">
        <f ca="1">INDEX(INDIRECT(_xlfn.CONCAT("weather.tbl[",S$1,"]")),MATCH(vp.tbl[[#This Row],[SDate]],weather.tbl[Date],0))</f>
        <v>1.8</v>
      </c>
      <c r="T1118" s="2">
        <f ca="1">INDEX(INDIRECT(_xlfn.CONCAT("weather.tbl[",T$1,"]")),MATCH(vp.tbl[[#This Row],[SDate]],weather.tbl[Date],0))</f>
        <v>1</v>
      </c>
      <c r="U1118" s="2">
        <f ca="1">INDEX(INDIRECT(_xlfn.CONCAT("weather.tbl[",U$1,"]")),MATCH(vp.tbl[[#This Row],[SDate]],weather.tbl[Date],0))</f>
        <v>1.3</v>
      </c>
      <c r="V1118" s="2">
        <v>20568.135999999999</v>
      </c>
      <c r="W1118" t="s">
        <v>48</v>
      </c>
      <c r="X1118">
        <f>IF(OR(vp.tbl[[#This Row],[Sulf]]="",vp.tbl[[#This Row],[Dens]]=""),1,0)</f>
        <v>0</v>
      </c>
      <c r="Y1118">
        <f>IF(vp.tbl[[#This Row],[CrudeType]]="C5+",1,0)</f>
        <v>0</v>
      </c>
      <c r="Z1118">
        <f>IF(AND(vp.tbl[[#This Row],[CrudeType]]="Crude",vp.tbl[[#This Row],[Dens]]&lt;=825,vp.tbl[[#This Row],[Sulf]]&gt;0.5,vp.tbl[[#This Row],[Unknown]]=0),1,0)</f>
        <v>1</v>
      </c>
      <c r="AA1118">
        <f>IF(AND(vp.tbl[[#This Row],[CrudeType]]="Crude",vp.tbl[[#This Row],[Dens]]&lt;=825,vp.tbl[[#This Row],[Sulf]]&lt;=0.5,vp.tbl[[#This Row],[Unknown]]=0),1,0)</f>
        <v>0</v>
      </c>
      <c r="AB1118">
        <f>IF(AND(vp.tbl[[#This Row],[CrudeType]]="Crude",vp.tbl[[#This Row],[Dens]]&gt;825,vp.tbl[[#This Row],[Dens]]&lt;=870,vp.tbl[[#This Row],[Sulf]]&gt;0.5,vp.tbl[[#This Row],[Unknown]]=0),1,0)</f>
        <v>0</v>
      </c>
      <c r="AC1118">
        <f>IF(AND(vp.tbl[[#This Row],[CrudeType]]="Crude",vp.tbl[[#This Row],[Dens]]&gt;825,vp.tbl[[#This Row],[Dens]]&lt;=900,vp.tbl[[#This Row],[Sulf]]&lt;=0.5,vp.tbl[[#This Row],[Unknown]]=0),1,0)</f>
        <v>0</v>
      </c>
      <c r="AD1118">
        <f>IF(AND(vp.tbl[[#This Row],[CrudeType]]="Crude",vp.tbl[[#This Row],[Dens]]&gt;870,vp.tbl[[#This Row],[Dens]]&lt;=900,vp.tbl[[#This Row],[Sulf]]&gt;0.5,vp.tbl[[#This Row],[Unknown]]=0),1,0)</f>
        <v>0</v>
      </c>
      <c r="AE1118">
        <f>IF(AND(vp.tbl[[#This Row],[CrudeType]]="Crude",vp.tbl[[#This Row],[Dens]]&gt;900,vp.tbl[[#This Row],[Sulf]]&lt;=0.5,vp.tbl[[#This Row],[Unknown]]=0),1,0)</f>
        <v>0</v>
      </c>
      <c r="AF1118">
        <f>IF(AND(vp.tbl[[#This Row],[CrudeType]]="Crude",vp.tbl[[#This Row],[Dens]]&gt;900,vp.tbl[[#This Row],[Sulf]]&lt;=0.5,vp.tbl[[#This Row],[Unknown]]=0),1,0)</f>
        <v>0</v>
      </c>
      <c r="AG1118" t="str">
        <f>INDEX(vp.tbl[[#Headers],[Unknown]:[Heavy_SW]],MATCH(1,vp.tbl[[#This Row],[Unknown]:[Heavy_SW]],0))</f>
        <v>Light_LSB</v>
      </c>
      <c r="AH1118" t="e">
        <f>INDEX([1]!crudeBD.lkup[Number],MATCH(vp.tbl[[#This Row],[Crude_Breakdown]],[1]!crudeBD.lkup[Crude Breakdown],0))</f>
        <v>#REF!</v>
      </c>
      <c r="AI1118">
        <f>MONTH(vp.tbl[[#This Row],[SDate]])</f>
        <v>3</v>
      </c>
      <c r="AJ1118" s="5">
        <f>IFERROR(vp.tbl[[#This Row],[Sulf]]*vp.tbl[[#This Row],[Net Dens]],"")</f>
        <v>9735721.494239999</v>
      </c>
      <c r="AK1118" s="5">
        <f>IFERROR(vp.tbl[[#This Row],[Dens]]*vp.tbl[[#This Row],[VolumeM3]],"")</f>
        <v>16931689.555199999</v>
      </c>
      <c r="AL1118" s="5">
        <f>IFERROR(vp.tbl[[#This Row],[VP]]*vp.tbl[[#This Row],[VolumeM3]],"")</f>
        <v>1647507.6935999999</v>
      </c>
      <c r="AM1118" s="4">
        <f>IFERROR((vp.tbl[[#This Row],[VP]]-INDEX(crudeBD.lkup.complete[Mean_VP],MATCH(vp.tbl[[#This Row],[Crude_Breakdown]],crudeBD.lkup.complete[Crude Breakdown],0)))^2,"")</f>
        <v>131.01516403443597</v>
      </c>
      <c r="AN1118" s="4">
        <f>IFERROR((vp.tbl[[#This Row],[Dens]]-INDEX(crudeBD.lkup.complete[Mean_Dens],MATCH(vp.tbl[[#This Row],[Crude_Breakdown]],crudeBD.lkup.complete[Crude Breakdown],0)))^2,"")</f>
        <v>21.932645486003771</v>
      </c>
      <c r="AO1118" s="4">
        <f>IFERROR((vp.tbl[[#This Row],[Sulf]]-INDEX(crudeBD.lkup.complete[Mean_Sulf],MATCH(vp.tbl[[#This Row],[Crude_Breakdown]],crudeBD.lkup.complete[Crude Breakdown],0)))^2,"")</f>
        <v>0.12108393402713817</v>
      </c>
      <c r="AP1118">
        <f>IF(AND(vp.tbl[[#This Row],[SDate]]&gt;=DATE(YEAR(vp.tbl[[#This Row],[SDate]]),5,1),vp.tbl[[#This Row],[SDate]]&lt;=DATE(YEAR(vp.tbl[[#This Row],[SDate]]),9,15)),1,0)</f>
        <v>0</v>
      </c>
      <c r="AQ1118" s="15">
        <f>IF(vp.tbl[[#This Row],[SDate]]&lt;DATE(2016,12,1),0,1)</f>
        <v>1</v>
      </c>
    </row>
    <row r="1119" spans="1:43" x14ac:dyDescent="0.25">
      <c r="A1119">
        <v>1118</v>
      </c>
      <c r="B1119" t="s">
        <v>49</v>
      </c>
      <c r="C1119" t="s">
        <v>49</v>
      </c>
      <c r="D1119" t="s">
        <v>70</v>
      </c>
      <c r="F1119" s="1">
        <v>42822</v>
      </c>
      <c r="G1119" s="2">
        <v>79.900000000000006</v>
      </c>
      <c r="H1119" s="2">
        <v>0.80700000000000005</v>
      </c>
      <c r="I1119" s="2">
        <v>0.80700000000000005</v>
      </c>
      <c r="J1119" s="2">
        <v>19.100000000000001</v>
      </c>
      <c r="K1119" s="2">
        <v>12</v>
      </c>
      <c r="L1119" s="2">
        <v>824.8</v>
      </c>
      <c r="M1119" s="2">
        <v>824.8</v>
      </c>
      <c r="N1119" s="2">
        <f ca="1">INDEX(INDIRECT(_xlfn.CONCAT("weather.tbl[",N$1,"]")),MATCH(vp.tbl[[#This Row],[SDate]],weather.tbl[Date],0))</f>
        <v>1.5833333333333333</v>
      </c>
      <c r="O1119" s="2">
        <f ca="1">INDEX(INDIRECT(_xlfn.CONCAT("weather.tbl[",O$1,"]")),MATCH(vp.tbl[[#This Row],[SDate]],weather.tbl[Date],0))</f>
        <v>0.72619047619047616</v>
      </c>
      <c r="P1119" s="2">
        <f ca="1">INDEX(INDIRECT(_xlfn.CONCAT("weather.tbl[",P$1,"]")),MATCH(vp.tbl[[#This Row],[SDate]],weather.tbl[Date],0))</f>
        <v>2</v>
      </c>
      <c r="Q1119" s="2">
        <f ca="1">INDEX(INDIRECT(_xlfn.CONCAT("weather.tbl[",Q$1,"]")),MATCH(vp.tbl[[#This Row],[SDate]],weather.tbl[Date],0))</f>
        <v>2.1</v>
      </c>
      <c r="R1119" s="2">
        <f ca="1">INDEX(INDIRECT(_xlfn.CONCAT("weather.tbl[",R$1,"]")),MATCH(vp.tbl[[#This Row],[SDate]],weather.tbl[Date],0))</f>
        <v>1.3</v>
      </c>
      <c r="S1119" s="2">
        <f ca="1">INDEX(INDIRECT(_xlfn.CONCAT("weather.tbl[",S$1,"]")),MATCH(vp.tbl[[#This Row],[SDate]],weather.tbl[Date],0))</f>
        <v>1.8</v>
      </c>
      <c r="T1119" s="2">
        <f ca="1">INDEX(INDIRECT(_xlfn.CONCAT("weather.tbl[",T$1,"]")),MATCH(vp.tbl[[#This Row],[SDate]],weather.tbl[Date],0))</f>
        <v>1</v>
      </c>
      <c r="U1119" s="2">
        <f ca="1">INDEX(INDIRECT(_xlfn.CONCAT("weather.tbl[",U$1,"]")),MATCH(vp.tbl[[#This Row],[SDate]],weather.tbl[Date],0))</f>
        <v>1.3</v>
      </c>
      <c r="V1119" s="2">
        <v>2628.259</v>
      </c>
      <c r="W1119" t="s">
        <v>48</v>
      </c>
      <c r="X1119">
        <f>IF(OR(vp.tbl[[#This Row],[Sulf]]="",vp.tbl[[#This Row],[Dens]]=""),1,0)</f>
        <v>0</v>
      </c>
      <c r="Y1119">
        <f>IF(vp.tbl[[#This Row],[CrudeType]]="C5+",1,0)</f>
        <v>0</v>
      </c>
      <c r="Z1119">
        <f>IF(AND(vp.tbl[[#This Row],[CrudeType]]="Crude",vp.tbl[[#This Row],[Dens]]&lt;=825,vp.tbl[[#This Row],[Sulf]]&gt;0.5,vp.tbl[[#This Row],[Unknown]]=0),1,0)</f>
        <v>1</v>
      </c>
      <c r="AA1119">
        <f>IF(AND(vp.tbl[[#This Row],[CrudeType]]="Crude",vp.tbl[[#This Row],[Dens]]&lt;=825,vp.tbl[[#This Row],[Sulf]]&lt;=0.5,vp.tbl[[#This Row],[Unknown]]=0),1,0)</f>
        <v>0</v>
      </c>
      <c r="AB1119">
        <f>IF(AND(vp.tbl[[#This Row],[CrudeType]]="Crude",vp.tbl[[#This Row],[Dens]]&gt;825,vp.tbl[[#This Row],[Dens]]&lt;=870,vp.tbl[[#This Row],[Sulf]]&gt;0.5,vp.tbl[[#This Row],[Unknown]]=0),1,0)</f>
        <v>0</v>
      </c>
      <c r="AC1119">
        <f>IF(AND(vp.tbl[[#This Row],[CrudeType]]="Crude",vp.tbl[[#This Row],[Dens]]&gt;825,vp.tbl[[#This Row],[Dens]]&lt;=900,vp.tbl[[#This Row],[Sulf]]&lt;=0.5,vp.tbl[[#This Row],[Unknown]]=0),1,0)</f>
        <v>0</v>
      </c>
      <c r="AD1119">
        <f>IF(AND(vp.tbl[[#This Row],[CrudeType]]="Crude",vp.tbl[[#This Row],[Dens]]&gt;870,vp.tbl[[#This Row],[Dens]]&lt;=900,vp.tbl[[#This Row],[Sulf]]&gt;0.5,vp.tbl[[#This Row],[Unknown]]=0),1,0)</f>
        <v>0</v>
      </c>
      <c r="AE1119">
        <f>IF(AND(vp.tbl[[#This Row],[CrudeType]]="Crude",vp.tbl[[#This Row],[Dens]]&gt;900,vp.tbl[[#This Row],[Sulf]]&lt;=0.5,vp.tbl[[#This Row],[Unknown]]=0),1,0)</f>
        <v>0</v>
      </c>
      <c r="AF1119">
        <f>IF(AND(vp.tbl[[#This Row],[CrudeType]]="Crude",vp.tbl[[#This Row],[Dens]]&gt;900,vp.tbl[[#This Row],[Sulf]]&lt;=0.5,vp.tbl[[#This Row],[Unknown]]=0),1,0)</f>
        <v>0</v>
      </c>
      <c r="AG1119" t="str">
        <f>INDEX(vp.tbl[[#Headers],[Unknown]:[Heavy_SW]],MATCH(1,vp.tbl[[#This Row],[Unknown]:[Heavy_SW]],0))</f>
        <v>Light_LSB</v>
      </c>
      <c r="AH1119" t="e">
        <f>INDEX([1]!crudeBD.lkup[Number],MATCH(vp.tbl[[#This Row],[Crude_Breakdown]],[1]!crudeBD.lkup[Crude Breakdown],0))</f>
        <v>#REF!</v>
      </c>
      <c r="AI1119">
        <f>MONTH(vp.tbl[[#This Row],[SDate]])</f>
        <v>3</v>
      </c>
      <c r="AJ1119" s="5">
        <f>IFERROR(vp.tbl[[#This Row],[Sulf]]*vp.tbl[[#This Row],[Net Dens]],"")</f>
        <v>1749404.9347223998</v>
      </c>
      <c r="AK1119" s="5">
        <f>IFERROR(vp.tbl[[#This Row],[Dens]]*vp.tbl[[#This Row],[VolumeM3]],"")</f>
        <v>2167788.0231999997</v>
      </c>
      <c r="AL1119" s="5">
        <f>IFERROR(vp.tbl[[#This Row],[VP]]*vp.tbl[[#This Row],[VolumeM3]],"")</f>
        <v>209997.8941</v>
      </c>
      <c r="AM1119" s="4">
        <f>IFERROR((vp.tbl[[#This Row],[VP]]-INDEX(crudeBD.lkup.complete[Mean_VP],MATCH(vp.tbl[[#This Row],[Crude_Breakdown]],crudeBD.lkup.complete[Crude Breakdown],0)))^2,"")</f>
        <v>135.63363826123984</v>
      </c>
      <c r="AN1119" s="4">
        <f>IFERROR((vp.tbl[[#This Row],[Dens]]-INDEX(crudeBD.lkup.complete[Mean_Dens],MATCH(vp.tbl[[#This Row],[Crude_Breakdown]],crudeBD.lkup.complete[Crude Breakdown],0)))^2,"")</f>
        <v>39.478982255763228</v>
      </c>
      <c r="AO1119" s="4">
        <f>IFERROR((vp.tbl[[#This Row],[Sulf]]-INDEX(crudeBD.lkup.complete[Mean_Sulf],MATCH(vp.tbl[[#This Row],[Crude_Breakdown]],crudeBD.lkup.complete[Crude Breakdown],0)))^2,"")</f>
        <v>1.3449311896554055E-2</v>
      </c>
      <c r="AP1119">
        <f>IF(AND(vp.tbl[[#This Row],[SDate]]&gt;=DATE(YEAR(vp.tbl[[#This Row],[SDate]]),5,1),vp.tbl[[#This Row],[SDate]]&lt;=DATE(YEAR(vp.tbl[[#This Row],[SDate]]),9,15)),1,0)</f>
        <v>0</v>
      </c>
      <c r="AQ1119" s="15">
        <f>IF(vp.tbl[[#This Row],[SDate]]&lt;DATE(2016,12,1),0,1)</f>
        <v>1</v>
      </c>
    </row>
    <row r="1120" spans="1:43" x14ac:dyDescent="0.25">
      <c r="A1120">
        <v>1119</v>
      </c>
      <c r="B1120" t="s">
        <v>68</v>
      </c>
      <c r="C1120" t="s">
        <v>68</v>
      </c>
      <c r="D1120" t="s">
        <v>231</v>
      </c>
      <c r="F1120" s="1">
        <v>42822</v>
      </c>
      <c r="G1120" s="2">
        <v>67.599999999999994</v>
      </c>
      <c r="H1120" s="2">
        <v>1.115</v>
      </c>
      <c r="I1120" s="2">
        <v>1.115</v>
      </c>
      <c r="J1120" s="2">
        <v>27.8</v>
      </c>
      <c r="K1120" s="2">
        <v>12</v>
      </c>
      <c r="L1120" s="2">
        <v>843.7</v>
      </c>
      <c r="M1120" s="2">
        <v>843.7</v>
      </c>
      <c r="N1120" s="2">
        <f ca="1">INDEX(INDIRECT(_xlfn.CONCAT("weather.tbl[",N$1,"]")),MATCH(vp.tbl[[#This Row],[SDate]],weather.tbl[Date],0))</f>
        <v>1.5833333333333333</v>
      </c>
      <c r="O1120" s="2">
        <f ca="1">INDEX(INDIRECT(_xlfn.CONCAT("weather.tbl[",O$1,"]")),MATCH(vp.tbl[[#This Row],[SDate]],weather.tbl[Date],0))</f>
        <v>0.72619047619047616</v>
      </c>
      <c r="P1120" s="2">
        <f ca="1">INDEX(INDIRECT(_xlfn.CONCAT("weather.tbl[",P$1,"]")),MATCH(vp.tbl[[#This Row],[SDate]],weather.tbl[Date],0))</f>
        <v>2</v>
      </c>
      <c r="Q1120" s="2">
        <f ca="1">INDEX(INDIRECT(_xlfn.CONCAT("weather.tbl[",Q$1,"]")),MATCH(vp.tbl[[#This Row],[SDate]],weather.tbl[Date],0))</f>
        <v>2.1</v>
      </c>
      <c r="R1120" s="2">
        <f ca="1">INDEX(INDIRECT(_xlfn.CONCAT("weather.tbl[",R$1,"]")),MATCH(vp.tbl[[#This Row],[SDate]],weather.tbl[Date],0))</f>
        <v>1.3</v>
      </c>
      <c r="S1120" s="2">
        <f ca="1">INDEX(INDIRECT(_xlfn.CONCAT("weather.tbl[",S$1,"]")),MATCH(vp.tbl[[#This Row],[SDate]],weather.tbl[Date],0))</f>
        <v>1.8</v>
      </c>
      <c r="T1120" s="2">
        <f ca="1">INDEX(INDIRECT(_xlfn.CONCAT("weather.tbl[",T$1,"]")),MATCH(vp.tbl[[#This Row],[SDate]],weather.tbl[Date],0))</f>
        <v>1</v>
      </c>
      <c r="U1120" s="2">
        <f ca="1">INDEX(INDIRECT(_xlfn.CONCAT("weather.tbl[",U$1,"]")),MATCH(vp.tbl[[#This Row],[SDate]],weather.tbl[Date],0))</f>
        <v>1.3</v>
      </c>
      <c r="V1120" s="2">
        <v>1152.3340000000001</v>
      </c>
      <c r="W1120" t="s">
        <v>48</v>
      </c>
      <c r="X1120">
        <f>IF(OR(vp.tbl[[#This Row],[Sulf]]="",vp.tbl[[#This Row],[Dens]]=""),1,0)</f>
        <v>0</v>
      </c>
      <c r="Y1120">
        <f>IF(vp.tbl[[#This Row],[CrudeType]]="C5+",1,0)</f>
        <v>0</v>
      </c>
      <c r="Z1120">
        <f>IF(AND(vp.tbl[[#This Row],[CrudeType]]="Crude",vp.tbl[[#This Row],[Dens]]&lt;=825,vp.tbl[[#This Row],[Sulf]]&gt;0.5,vp.tbl[[#This Row],[Unknown]]=0),1,0)</f>
        <v>0</v>
      </c>
      <c r="AA1120">
        <f>IF(AND(vp.tbl[[#This Row],[CrudeType]]="Crude",vp.tbl[[#This Row],[Dens]]&lt;=825,vp.tbl[[#This Row],[Sulf]]&lt;=0.5,vp.tbl[[#This Row],[Unknown]]=0),1,0)</f>
        <v>0</v>
      </c>
      <c r="AB1120">
        <f>IF(AND(vp.tbl[[#This Row],[CrudeType]]="Crude",vp.tbl[[#This Row],[Dens]]&gt;825,vp.tbl[[#This Row],[Dens]]&lt;=870,vp.tbl[[#This Row],[Sulf]]&gt;0.5,vp.tbl[[#This Row],[Unknown]]=0),1,0)</f>
        <v>1</v>
      </c>
      <c r="AC1120">
        <f>IF(AND(vp.tbl[[#This Row],[CrudeType]]="Crude",vp.tbl[[#This Row],[Dens]]&gt;825,vp.tbl[[#This Row],[Dens]]&lt;=900,vp.tbl[[#This Row],[Sulf]]&lt;=0.5,vp.tbl[[#This Row],[Unknown]]=0),1,0)</f>
        <v>0</v>
      </c>
      <c r="AD1120">
        <f>IF(AND(vp.tbl[[#This Row],[CrudeType]]="Crude",vp.tbl[[#This Row],[Dens]]&gt;870,vp.tbl[[#This Row],[Dens]]&lt;=900,vp.tbl[[#This Row],[Sulf]]&gt;0.5,vp.tbl[[#This Row],[Unknown]]=0),1,0)</f>
        <v>0</v>
      </c>
      <c r="AE1120">
        <f>IF(AND(vp.tbl[[#This Row],[CrudeType]]="Crude",vp.tbl[[#This Row],[Dens]]&gt;900,vp.tbl[[#This Row],[Sulf]]&lt;=0.5,vp.tbl[[#This Row],[Unknown]]=0),1,0)</f>
        <v>0</v>
      </c>
      <c r="AF1120">
        <f>IF(AND(vp.tbl[[#This Row],[CrudeType]]="Crude",vp.tbl[[#This Row],[Dens]]&gt;900,vp.tbl[[#This Row],[Sulf]]&lt;=0.5,vp.tbl[[#This Row],[Unknown]]=0),1,0)</f>
        <v>0</v>
      </c>
      <c r="AG1120" t="str">
        <f>INDEX(vp.tbl[[#Headers],[Unknown]:[Heavy_SW]],MATCH(1,vp.tbl[[#This Row],[Unknown]:[Heavy_SW]],0))</f>
        <v>Medium_LSB</v>
      </c>
      <c r="AH1120" t="e">
        <f>INDEX([1]!crudeBD.lkup[Number],MATCH(vp.tbl[[#This Row],[Crude_Breakdown]],[1]!crudeBD.lkup[Crude Breakdown],0))</f>
        <v>#REF!</v>
      </c>
      <c r="AI1120">
        <f>MONTH(vp.tbl[[#This Row],[SDate]])</f>
        <v>3</v>
      </c>
      <c r="AJ1120" s="5">
        <f>IFERROR(vp.tbl[[#This Row],[Sulf]]*vp.tbl[[#This Row],[Net Dens]],"")</f>
        <v>1084029.9783170002</v>
      </c>
      <c r="AK1120" s="5">
        <f>IFERROR(vp.tbl[[#This Row],[Dens]]*vp.tbl[[#This Row],[VolumeM3]],"")</f>
        <v>972224.1958000001</v>
      </c>
      <c r="AL1120" s="5">
        <f>IFERROR(vp.tbl[[#This Row],[VP]]*vp.tbl[[#This Row],[VolumeM3]],"")</f>
        <v>77897.778399999996</v>
      </c>
      <c r="AM1120" s="4">
        <f>IFERROR((vp.tbl[[#This Row],[VP]]-INDEX(crudeBD.lkup.complete[Mean_VP],MATCH(vp.tbl[[#This Row],[Crude_Breakdown]],crudeBD.lkup.complete[Crude Breakdown],0)))^2,"")</f>
        <v>158.09528963242991</v>
      </c>
      <c r="AN1120" s="4">
        <f>IFERROR((vp.tbl[[#This Row],[Dens]]-INDEX(crudeBD.lkup.complete[Mean_Dens],MATCH(vp.tbl[[#This Row],[Crude_Breakdown]],crudeBD.lkup.complete[Crude Breakdown],0)))^2,"")</f>
        <v>2.5338997782373869</v>
      </c>
      <c r="AO1120" s="4">
        <f>IFERROR((vp.tbl[[#This Row],[Sulf]]-INDEX(crudeBD.lkup.complete[Mean_Sulf],MATCH(vp.tbl[[#This Row],[Crude_Breakdown]],crudeBD.lkup.complete[Crude Breakdown],0)))^2,"")</f>
        <v>0.11555231023596976</v>
      </c>
      <c r="AP1120">
        <f>IF(AND(vp.tbl[[#This Row],[SDate]]&gt;=DATE(YEAR(vp.tbl[[#This Row],[SDate]]),5,1),vp.tbl[[#This Row],[SDate]]&lt;=DATE(YEAR(vp.tbl[[#This Row],[SDate]]),9,15)),1,0)</f>
        <v>0</v>
      </c>
      <c r="AQ1120" s="15">
        <f>IF(vp.tbl[[#This Row],[SDate]]&lt;DATE(2016,12,1),0,1)</f>
        <v>1</v>
      </c>
    </row>
    <row r="1121" spans="1:43" x14ac:dyDescent="0.25">
      <c r="A1121">
        <v>1120</v>
      </c>
      <c r="B1121" t="s">
        <v>96</v>
      </c>
      <c r="C1121" t="s">
        <v>96</v>
      </c>
      <c r="D1121" t="s">
        <v>97</v>
      </c>
      <c r="F1121" s="1">
        <v>42822</v>
      </c>
      <c r="G1121" s="2">
        <v>76.8</v>
      </c>
      <c r="H1121" s="2"/>
      <c r="I1121" s="2">
        <v>0.53</v>
      </c>
      <c r="J1121" s="2">
        <v>30.3</v>
      </c>
      <c r="K1121" s="2">
        <v>12</v>
      </c>
      <c r="L1121" s="2">
        <v>819.9</v>
      </c>
      <c r="M1121" s="2">
        <v>819.9</v>
      </c>
      <c r="N1121" s="2">
        <f ca="1">INDEX(INDIRECT(_xlfn.CONCAT("weather.tbl[",N$1,"]")),MATCH(vp.tbl[[#This Row],[SDate]],weather.tbl[Date],0))</f>
        <v>1.5833333333333333</v>
      </c>
      <c r="O1121" s="2">
        <f ca="1">INDEX(INDIRECT(_xlfn.CONCAT("weather.tbl[",O$1,"]")),MATCH(vp.tbl[[#This Row],[SDate]],weather.tbl[Date],0))</f>
        <v>0.72619047619047616</v>
      </c>
      <c r="P1121" s="2">
        <f ca="1">INDEX(INDIRECT(_xlfn.CONCAT("weather.tbl[",P$1,"]")),MATCH(vp.tbl[[#This Row],[SDate]],weather.tbl[Date],0))</f>
        <v>2</v>
      </c>
      <c r="Q1121" s="2">
        <f ca="1">INDEX(INDIRECT(_xlfn.CONCAT("weather.tbl[",Q$1,"]")),MATCH(vp.tbl[[#This Row],[SDate]],weather.tbl[Date],0))</f>
        <v>2.1</v>
      </c>
      <c r="R1121" s="2">
        <f ca="1">INDEX(INDIRECT(_xlfn.CONCAT("weather.tbl[",R$1,"]")),MATCH(vp.tbl[[#This Row],[SDate]],weather.tbl[Date],0))</f>
        <v>1.3</v>
      </c>
      <c r="S1121" s="2">
        <f ca="1">INDEX(INDIRECT(_xlfn.CONCAT("weather.tbl[",S$1,"]")),MATCH(vp.tbl[[#This Row],[SDate]],weather.tbl[Date],0))</f>
        <v>1.8</v>
      </c>
      <c r="T1121" s="2">
        <f ca="1">INDEX(INDIRECT(_xlfn.CONCAT("weather.tbl[",T$1,"]")),MATCH(vp.tbl[[#This Row],[SDate]],weather.tbl[Date],0))</f>
        <v>1</v>
      </c>
      <c r="U1121" s="2">
        <f ca="1">INDEX(INDIRECT(_xlfn.CONCAT("weather.tbl[",U$1,"]")),MATCH(vp.tbl[[#This Row],[SDate]],weather.tbl[Date],0))</f>
        <v>1.3</v>
      </c>
      <c r="V1121" s="2">
        <v>6750.8019999999997</v>
      </c>
      <c r="W1121" t="s">
        <v>48</v>
      </c>
      <c r="X1121">
        <f>IF(OR(vp.tbl[[#This Row],[Sulf]]="",vp.tbl[[#This Row],[Dens]]=""),1,0)</f>
        <v>0</v>
      </c>
      <c r="Y1121">
        <f>IF(vp.tbl[[#This Row],[CrudeType]]="C5+",1,0)</f>
        <v>0</v>
      </c>
      <c r="Z1121">
        <f>IF(AND(vp.tbl[[#This Row],[CrudeType]]="Crude",vp.tbl[[#This Row],[Dens]]&lt;=825,vp.tbl[[#This Row],[Sulf]]&gt;0.5,vp.tbl[[#This Row],[Unknown]]=0),1,0)</f>
        <v>1</v>
      </c>
      <c r="AA1121">
        <f>IF(AND(vp.tbl[[#This Row],[CrudeType]]="Crude",vp.tbl[[#This Row],[Dens]]&lt;=825,vp.tbl[[#This Row],[Sulf]]&lt;=0.5,vp.tbl[[#This Row],[Unknown]]=0),1,0)</f>
        <v>0</v>
      </c>
      <c r="AB1121">
        <f>IF(AND(vp.tbl[[#This Row],[CrudeType]]="Crude",vp.tbl[[#This Row],[Dens]]&gt;825,vp.tbl[[#This Row],[Dens]]&lt;=870,vp.tbl[[#This Row],[Sulf]]&gt;0.5,vp.tbl[[#This Row],[Unknown]]=0),1,0)</f>
        <v>0</v>
      </c>
      <c r="AC1121">
        <f>IF(AND(vp.tbl[[#This Row],[CrudeType]]="Crude",vp.tbl[[#This Row],[Dens]]&gt;825,vp.tbl[[#This Row],[Dens]]&lt;=900,vp.tbl[[#This Row],[Sulf]]&lt;=0.5,vp.tbl[[#This Row],[Unknown]]=0),1,0)</f>
        <v>0</v>
      </c>
      <c r="AD1121">
        <f>IF(AND(vp.tbl[[#This Row],[CrudeType]]="Crude",vp.tbl[[#This Row],[Dens]]&gt;870,vp.tbl[[#This Row],[Dens]]&lt;=900,vp.tbl[[#This Row],[Sulf]]&gt;0.5,vp.tbl[[#This Row],[Unknown]]=0),1,0)</f>
        <v>0</v>
      </c>
      <c r="AE1121">
        <f>IF(AND(vp.tbl[[#This Row],[CrudeType]]="Crude",vp.tbl[[#This Row],[Dens]]&gt;900,vp.tbl[[#This Row],[Sulf]]&lt;=0.5,vp.tbl[[#This Row],[Unknown]]=0),1,0)</f>
        <v>0</v>
      </c>
      <c r="AF1121">
        <f>IF(AND(vp.tbl[[#This Row],[CrudeType]]="Crude",vp.tbl[[#This Row],[Dens]]&gt;900,vp.tbl[[#This Row],[Sulf]]&lt;=0.5,vp.tbl[[#This Row],[Unknown]]=0),1,0)</f>
        <v>0</v>
      </c>
      <c r="AG1121" t="str">
        <f>INDEX(vp.tbl[[#Headers],[Unknown]:[Heavy_SW]],MATCH(1,vp.tbl[[#This Row],[Unknown]:[Heavy_SW]],0))</f>
        <v>Light_LSB</v>
      </c>
      <c r="AH1121" t="e">
        <f>INDEX([1]!crudeBD.lkup[Number],MATCH(vp.tbl[[#This Row],[Crude_Breakdown]],[1]!crudeBD.lkup[Crude Breakdown],0))</f>
        <v>#REF!</v>
      </c>
      <c r="AI1121">
        <f>MONTH(vp.tbl[[#This Row],[SDate]])</f>
        <v>3</v>
      </c>
      <c r="AJ1121" s="5">
        <f>IFERROR(vp.tbl[[#This Row],[Sulf]]*vp.tbl[[#This Row],[Net Dens]],"")</f>
        <v>2933540.7566940002</v>
      </c>
      <c r="AK1121" s="5">
        <f>IFERROR(vp.tbl[[#This Row],[Dens]]*vp.tbl[[#This Row],[VolumeM3]],"")</f>
        <v>5534982.5597999999</v>
      </c>
      <c r="AL1121" s="5">
        <f>IFERROR(vp.tbl[[#This Row],[VP]]*vp.tbl[[#This Row],[VolumeM3]],"")</f>
        <v>518461.59359999996</v>
      </c>
      <c r="AM1121" s="4">
        <f>IFERROR((vp.tbl[[#This Row],[VP]]-INDEX(crudeBD.lkup.complete[Mean_VP],MATCH(vp.tbl[[#This Row],[Crude_Breakdown]],crudeBD.lkup.complete[Crude Breakdown],0)))^2,"")</f>
        <v>217.44998877670415</v>
      </c>
      <c r="AN1121" s="4">
        <f>IFERROR((vp.tbl[[#This Row],[Dens]]-INDEX(crudeBD.lkup.complete[Mean_Dens],MATCH(vp.tbl[[#This Row],[Crude_Breakdown]],crudeBD.lkup.complete[Crude Breakdown],0)))^2,"")</f>
        <v>1.9133258983723416</v>
      </c>
      <c r="AO1121" s="4">
        <f>IFERROR((vp.tbl[[#This Row],[Sulf]]-INDEX(crudeBD.lkup.complete[Mean_Sulf],MATCH(vp.tbl[[#This Row],[Crude_Breakdown]],crudeBD.lkup.complete[Crude Breakdown],0)))^2,"")</f>
        <v>0.15442633918177728</v>
      </c>
      <c r="AP1121">
        <f>IF(AND(vp.tbl[[#This Row],[SDate]]&gt;=DATE(YEAR(vp.tbl[[#This Row],[SDate]]),5,1),vp.tbl[[#This Row],[SDate]]&lt;=DATE(YEAR(vp.tbl[[#This Row],[SDate]]),9,15)),1,0)</f>
        <v>0</v>
      </c>
      <c r="AQ1121" s="15">
        <f>IF(vp.tbl[[#This Row],[SDate]]&lt;DATE(2016,12,1),0,1)</f>
        <v>1</v>
      </c>
    </row>
    <row r="1122" spans="1:43" x14ac:dyDescent="0.25">
      <c r="A1122">
        <v>1121</v>
      </c>
      <c r="B1122" t="s">
        <v>51</v>
      </c>
      <c r="C1122" t="s">
        <v>51</v>
      </c>
      <c r="D1122" t="s">
        <v>66</v>
      </c>
      <c r="F1122" s="1">
        <v>42822</v>
      </c>
      <c r="G1122" s="2">
        <v>74.8</v>
      </c>
      <c r="H1122" s="2"/>
      <c r="I1122" s="2">
        <v>1.36</v>
      </c>
      <c r="J1122" s="2">
        <v>5.3</v>
      </c>
      <c r="K1122" s="2">
        <v>12</v>
      </c>
      <c r="L1122" s="2">
        <v>823.5</v>
      </c>
      <c r="M1122" s="2">
        <v>823.5</v>
      </c>
      <c r="N1122" s="2">
        <f ca="1">INDEX(INDIRECT(_xlfn.CONCAT("weather.tbl[",N$1,"]")),MATCH(vp.tbl[[#This Row],[SDate]],weather.tbl[Date],0))</f>
        <v>1.5833333333333333</v>
      </c>
      <c r="O1122" s="2">
        <f ca="1">INDEX(INDIRECT(_xlfn.CONCAT("weather.tbl[",O$1,"]")),MATCH(vp.tbl[[#This Row],[SDate]],weather.tbl[Date],0))</f>
        <v>0.72619047619047616</v>
      </c>
      <c r="P1122" s="2">
        <f ca="1">INDEX(INDIRECT(_xlfn.CONCAT("weather.tbl[",P$1,"]")),MATCH(vp.tbl[[#This Row],[SDate]],weather.tbl[Date],0))</f>
        <v>2</v>
      </c>
      <c r="Q1122" s="2">
        <f ca="1">INDEX(INDIRECT(_xlfn.CONCAT("weather.tbl[",Q$1,"]")),MATCH(vp.tbl[[#This Row],[SDate]],weather.tbl[Date],0))</f>
        <v>2.1</v>
      </c>
      <c r="R1122" s="2">
        <f ca="1">INDEX(INDIRECT(_xlfn.CONCAT("weather.tbl[",R$1,"]")),MATCH(vp.tbl[[#This Row],[SDate]],weather.tbl[Date],0))</f>
        <v>1.3</v>
      </c>
      <c r="S1122" s="2">
        <f ca="1">INDEX(INDIRECT(_xlfn.CONCAT("weather.tbl[",S$1,"]")),MATCH(vp.tbl[[#This Row],[SDate]],weather.tbl[Date],0))</f>
        <v>1.8</v>
      </c>
      <c r="T1122" s="2">
        <f ca="1">INDEX(INDIRECT(_xlfn.CONCAT("weather.tbl[",T$1,"]")),MATCH(vp.tbl[[#This Row],[SDate]],weather.tbl[Date],0))</f>
        <v>1</v>
      </c>
      <c r="U1122" s="2">
        <f ca="1">INDEX(INDIRECT(_xlfn.CONCAT("weather.tbl[",U$1,"]")),MATCH(vp.tbl[[#This Row],[SDate]],weather.tbl[Date],0))</f>
        <v>1.3</v>
      </c>
      <c r="V1122" s="2">
        <v>3482.7910000000002</v>
      </c>
      <c r="W1122" t="s">
        <v>48</v>
      </c>
      <c r="X1122">
        <f>IF(OR(vp.tbl[[#This Row],[Sulf]]="",vp.tbl[[#This Row],[Dens]]=""),1,0)</f>
        <v>0</v>
      </c>
      <c r="Y1122">
        <f>IF(vp.tbl[[#This Row],[CrudeType]]="C5+",1,0)</f>
        <v>0</v>
      </c>
      <c r="Z1122">
        <f>IF(AND(vp.tbl[[#This Row],[CrudeType]]="Crude",vp.tbl[[#This Row],[Dens]]&lt;=825,vp.tbl[[#This Row],[Sulf]]&gt;0.5,vp.tbl[[#This Row],[Unknown]]=0),1,0)</f>
        <v>1</v>
      </c>
      <c r="AA1122">
        <f>IF(AND(vp.tbl[[#This Row],[CrudeType]]="Crude",vp.tbl[[#This Row],[Dens]]&lt;=825,vp.tbl[[#This Row],[Sulf]]&lt;=0.5,vp.tbl[[#This Row],[Unknown]]=0),1,0)</f>
        <v>0</v>
      </c>
      <c r="AB1122">
        <f>IF(AND(vp.tbl[[#This Row],[CrudeType]]="Crude",vp.tbl[[#This Row],[Dens]]&gt;825,vp.tbl[[#This Row],[Dens]]&lt;=870,vp.tbl[[#This Row],[Sulf]]&gt;0.5,vp.tbl[[#This Row],[Unknown]]=0),1,0)</f>
        <v>0</v>
      </c>
      <c r="AC1122">
        <f>IF(AND(vp.tbl[[#This Row],[CrudeType]]="Crude",vp.tbl[[#This Row],[Dens]]&gt;825,vp.tbl[[#This Row],[Dens]]&lt;=900,vp.tbl[[#This Row],[Sulf]]&lt;=0.5,vp.tbl[[#This Row],[Unknown]]=0),1,0)</f>
        <v>0</v>
      </c>
      <c r="AD1122">
        <f>IF(AND(vp.tbl[[#This Row],[CrudeType]]="Crude",vp.tbl[[#This Row],[Dens]]&gt;870,vp.tbl[[#This Row],[Dens]]&lt;=900,vp.tbl[[#This Row],[Sulf]]&gt;0.5,vp.tbl[[#This Row],[Unknown]]=0),1,0)</f>
        <v>0</v>
      </c>
      <c r="AE1122">
        <f>IF(AND(vp.tbl[[#This Row],[CrudeType]]="Crude",vp.tbl[[#This Row],[Dens]]&gt;900,vp.tbl[[#This Row],[Sulf]]&lt;=0.5,vp.tbl[[#This Row],[Unknown]]=0),1,0)</f>
        <v>0</v>
      </c>
      <c r="AF1122">
        <f>IF(AND(vp.tbl[[#This Row],[CrudeType]]="Crude",vp.tbl[[#This Row],[Dens]]&gt;900,vp.tbl[[#This Row],[Sulf]]&lt;=0.5,vp.tbl[[#This Row],[Unknown]]=0),1,0)</f>
        <v>0</v>
      </c>
      <c r="AG1122" t="str">
        <f>INDEX(vp.tbl[[#Headers],[Unknown]:[Heavy_SW]],MATCH(1,vp.tbl[[#This Row],[Unknown]:[Heavy_SW]],0))</f>
        <v>Light_LSB</v>
      </c>
      <c r="AH1122" t="e">
        <f>INDEX([1]!crudeBD.lkup[Number],MATCH(vp.tbl[[#This Row],[Crude_Breakdown]],[1]!crudeBD.lkup[Crude Breakdown],0))</f>
        <v>#REF!</v>
      </c>
      <c r="AI1122">
        <f>MONTH(vp.tbl[[#This Row],[SDate]])</f>
        <v>3</v>
      </c>
      <c r="AJ1122" s="5">
        <f>IFERROR(vp.tbl[[#This Row],[Sulf]]*vp.tbl[[#This Row],[Net Dens]],"")</f>
        <v>3900586.6083600009</v>
      </c>
      <c r="AK1122" s="5">
        <f>IFERROR(vp.tbl[[#This Row],[Dens]]*vp.tbl[[#This Row],[VolumeM3]],"")</f>
        <v>2868078.3885000004</v>
      </c>
      <c r="AL1122" s="5">
        <f>IFERROR(vp.tbl[[#This Row],[VP]]*vp.tbl[[#This Row],[VolumeM3]],"")</f>
        <v>260512.76680000001</v>
      </c>
      <c r="AM1122" s="4">
        <f>IFERROR((vp.tbl[[#This Row],[VP]]-INDEX(crudeBD.lkup.complete[Mean_VP],MATCH(vp.tbl[[#This Row],[Crude_Breakdown]],crudeBD.lkup.complete[Crude Breakdown],0)))^2,"")</f>
        <v>280.43473104474555</v>
      </c>
      <c r="AN1122" s="4">
        <f>IFERROR((vp.tbl[[#This Row],[Dens]]-INDEX(crudeBD.lkup.complete[Mean_Dens],MATCH(vp.tbl[[#This Row],[Crude_Breakdown]],crudeBD.lkup.complete[Crude Breakdown],0)))^2,"")</f>
        <v>24.832583630333428</v>
      </c>
      <c r="AO1122" s="4">
        <f>IFERROR((vp.tbl[[#This Row],[Sulf]]-INDEX(crudeBD.lkup.complete[Mean_Sulf],MATCH(vp.tbl[[#This Row],[Crude_Breakdown]],crudeBD.lkup.complete[Crude Breakdown],0)))^2,"")</f>
        <v>0.19099419966287745</v>
      </c>
      <c r="AP1122">
        <f>IF(AND(vp.tbl[[#This Row],[SDate]]&gt;=DATE(YEAR(vp.tbl[[#This Row],[SDate]]),5,1),vp.tbl[[#This Row],[SDate]]&lt;=DATE(YEAR(vp.tbl[[#This Row],[SDate]]),9,15)),1,0)</f>
        <v>0</v>
      </c>
      <c r="AQ1122" s="15">
        <f>IF(vp.tbl[[#This Row],[SDate]]&lt;DATE(2016,12,1),0,1)</f>
        <v>1</v>
      </c>
    </row>
    <row r="1123" spans="1:43" x14ac:dyDescent="0.25">
      <c r="A1123">
        <v>1122</v>
      </c>
      <c r="B1123" t="s">
        <v>51</v>
      </c>
      <c r="C1123" t="s">
        <v>51</v>
      </c>
      <c r="D1123" t="s">
        <v>72</v>
      </c>
      <c r="F1123" s="1">
        <v>42822</v>
      </c>
      <c r="G1123" s="2">
        <v>89.4</v>
      </c>
      <c r="H1123" s="2"/>
      <c r="I1123" s="2">
        <v>1.08</v>
      </c>
      <c r="J1123" s="2">
        <v>29.2</v>
      </c>
      <c r="K1123" s="2">
        <v>12</v>
      </c>
      <c r="L1123" s="2">
        <v>834</v>
      </c>
      <c r="M1123" s="2">
        <v>834</v>
      </c>
      <c r="N1123" s="2">
        <f ca="1">INDEX(INDIRECT(_xlfn.CONCAT("weather.tbl[",N$1,"]")),MATCH(vp.tbl[[#This Row],[SDate]],weather.tbl[Date],0))</f>
        <v>1.5833333333333333</v>
      </c>
      <c r="O1123" s="2">
        <f ca="1">INDEX(INDIRECT(_xlfn.CONCAT("weather.tbl[",O$1,"]")),MATCH(vp.tbl[[#This Row],[SDate]],weather.tbl[Date],0))</f>
        <v>0.72619047619047616</v>
      </c>
      <c r="P1123" s="2">
        <f ca="1">INDEX(INDIRECT(_xlfn.CONCAT("weather.tbl[",P$1,"]")),MATCH(vp.tbl[[#This Row],[SDate]],weather.tbl[Date],0))</f>
        <v>2</v>
      </c>
      <c r="Q1123" s="2">
        <f ca="1">INDEX(INDIRECT(_xlfn.CONCAT("weather.tbl[",Q$1,"]")),MATCH(vp.tbl[[#This Row],[SDate]],weather.tbl[Date],0))</f>
        <v>2.1</v>
      </c>
      <c r="R1123" s="2">
        <f ca="1">INDEX(INDIRECT(_xlfn.CONCAT("weather.tbl[",R$1,"]")),MATCH(vp.tbl[[#This Row],[SDate]],weather.tbl[Date],0))</f>
        <v>1.3</v>
      </c>
      <c r="S1123" s="2">
        <f ca="1">INDEX(INDIRECT(_xlfn.CONCAT("weather.tbl[",S$1,"]")),MATCH(vp.tbl[[#This Row],[SDate]],weather.tbl[Date],0))</f>
        <v>1.8</v>
      </c>
      <c r="T1123" s="2">
        <f ca="1">INDEX(INDIRECT(_xlfn.CONCAT("weather.tbl[",T$1,"]")),MATCH(vp.tbl[[#This Row],[SDate]],weather.tbl[Date],0))</f>
        <v>1</v>
      </c>
      <c r="U1123" s="2">
        <f ca="1">INDEX(INDIRECT(_xlfn.CONCAT("weather.tbl[",U$1,"]")),MATCH(vp.tbl[[#This Row],[SDate]],weather.tbl[Date],0))</f>
        <v>1.3</v>
      </c>
      <c r="V1123" s="2">
        <v>13878.534</v>
      </c>
      <c r="W1123" t="s">
        <v>48</v>
      </c>
      <c r="X1123">
        <f>IF(OR(vp.tbl[[#This Row],[Sulf]]="",vp.tbl[[#This Row],[Dens]]=""),1,0)</f>
        <v>0</v>
      </c>
      <c r="Y1123">
        <f>IF(vp.tbl[[#This Row],[CrudeType]]="C5+",1,0)</f>
        <v>0</v>
      </c>
      <c r="Z1123">
        <f>IF(AND(vp.tbl[[#This Row],[CrudeType]]="Crude",vp.tbl[[#This Row],[Dens]]&lt;=825,vp.tbl[[#This Row],[Sulf]]&gt;0.5,vp.tbl[[#This Row],[Unknown]]=0),1,0)</f>
        <v>0</v>
      </c>
      <c r="AA1123">
        <f>IF(AND(vp.tbl[[#This Row],[CrudeType]]="Crude",vp.tbl[[#This Row],[Dens]]&lt;=825,vp.tbl[[#This Row],[Sulf]]&lt;=0.5,vp.tbl[[#This Row],[Unknown]]=0),1,0)</f>
        <v>0</v>
      </c>
      <c r="AB1123">
        <f>IF(AND(vp.tbl[[#This Row],[CrudeType]]="Crude",vp.tbl[[#This Row],[Dens]]&gt;825,vp.tbl[[#This Row],[Dens]]&lt;=870,vp.tbl[[#This Row],[Sulf]]&gt;0.5,vp.tbl[[#This Row],[Unknown]]=0),1,0)</f>
        <v>1</v>
      </c>
      <c r="AC1123">
        <f>IF(AND(vp.tbl[[#This Row],[CrudeType]]="Crude",vp.tbl[[#This Row],[Dens]]&gt;825,vp.tbl[[#This Row],[Dens]]&lt;=900,vp.tbl[[#This Row],[Sulf]]&lt;=0.5,vp.tbl[[#This Row],[Unknown]]=0),1,0)</f>
        <v>0</v>
      </c>
      <c r="AD1123">
        <f>IF(AND(vp.tbl[[#This Row],[CrudeType]]="Crude",vp.tbl[[#This Row],[Dens]]&gt;870,vp.tbl[[#This Row],[Dens]]&lt;=900,vp.tbl[[#This Row],[Sulf]]&gt;0.5,vp.tbl[[#This Row],[Unknown]]=0),1,0)</f>
        <v>0</v>
      </c>
      <c r="AE1123">
        <f>IF(AND(vp.tbl[[#This Row],[CrudeType]]="Crude",vp.tbl[[#This Row],[Dens]]&gt;900,vp.tbl[[#This Row],[Sulf]]&lt;=0.5,vp.tbl[[#This Row],[Unknown]]=0),1,0)</f>
        <v>0</v>
      </c>
      <c r="AF1123">
        <f>IF(AND(vp.tbl[[#This Row],[CrudeType]]="Crude",vp.tbl[[#This Row],[Dens]]&gt;900,vp.tbl[[#This Row],[Sulf]]&lt;=0.5,vp.tbl[[#This Row],[Unknown]]=0),1,0)</f>
        <v>0</v>
      </c>
      <c r="AG1123" t="str">
        <f>INDEX(vp.tbl[[#Headers],[Unknown]:[Heavy_SW]],MATCH(1,vp.tbl[[#This Row],[Unknown]:[Heavy_SW]],0))</f>
        <v>Medium_LSB</v>
      </c>
      <c r="AH1123" t="e">
        <f>INDEX([1]!crudeBD.lkup[Number],MATCH(vp.tbl[[#This Row],[Crude_Breakdown]],[1]!crudeBD.lkup[Crude Breakdown],0))</f>
        <v>#REF!</v>
      </c>
      <c r="AI1123">
        <f>MONTH(vp.tbl[[#This Row],[SDate]])</f>
        <v>3</v>
      </c>
      <c r="AJ1123" s="5">
        <f>IFERROR(vp.tbl[[#This Row],[Sulf]]*vp.tbl[[#This Row],[Net Dens]],"")</f>
        <v>12500673.144480001</v>
      </c>
      <c r="AK1123" s="5">
        <f>IFERROR(vp.tbl[[#This Row],[Dens]]*vp.tbl[[#This Row],[VolumeM3]],"")</f>
        <v>11574697.356000001</v>
      </c>
      <c r="AL1123" s="5">
        <f>IFERROR(vp.tbl[[#This Row],[VP]]*vp.tbl[[#This Row],[VolumeM3]],"")</f>
        <v>1240740.9396000002</v>
      </c>
      <c r="AM1123" s="4">
        <f>IFERROR((vp.tbl[[#This Row],[VP]]-INDEX(crudeBD.lkup.complete[Mean_VP],MATCH(vp.tbl[[#This Row],[Crude_Breakdown]],crudeBD.lkup.complete[Crude Breakdown],0)))^2,"")</f>
        <v>85.12655039192515</v>
      </c>
      <c r="AN1123" s="4">
        <f>IFERROR((vp.tbl[[#This Row],[Dens]]-INDEX(crudeBD.lkup.complete[Mean_Dens],MATCH(vp.tbl[[#This Row],[Crude_Breakdown]],crudeBD.lkup.complete[Crude Breakdown],0)))^2,"")</f>
        <v>127.50526180353488</v>
      </c>
      <c r="AO1123" s="4">
        <f>IFERROR((vp.tbl[[#This Row],[Sulf]]-INDEX(crudeBD.lkup.complete[Mean_Sulf],MATCH(vp.tbl[[#This Row],[Crude_Breakdown]],crudeBD.lkup.complete[Crude Breakdown],0)))^2,"")</f>
        <v>0.14057240048913436</v>
      </c>
      <c r="AP1123">
        <f>IF(AND(vp.tbl[[#This Row],[SDate]]&gt;=DATE(YEAR(vp.tbl[[#This Row],[SDate]]),5,1),vp.tbl[[#This Row],[SDate]]&lt;=DATE(YEAR(vp.tbl[[#This Row],[SDate]]),9,15)),1,0)</f>
        <v>0</v>
      </c>
      <c r="AQ1123" s="15">
        <f>IF(vp.tbl[[#This Row],[SDate]]&lt;DATE(2016,12,1),0,1)</f>
        <v>1</v>
      </c>
    </row>
    <row r="1124" spans="1:43" x14ac:dyDescent="0.25">
      <c r="A1124">
        <v>1123</v>
      </c>
      <c r="B1124" t="s">
        <v>108</v>
      </c>
      <c r="C1124" t="s">
        <v>108</v>
      </c>
      <c r="D1124" t="s">
        <v>109</v>
      </c>
      <c r="F1124" s="1">
        <v>42822</v>
      </c>
      <c r="G1124" s="2">
        <v>87.2</v>
      </c>
      <c r="H1124" s="2"/>
      <c r="I1124" s="2">
        <v>0.79</v>
      </c>
      <c r="J1124" s="2">
        <v>25</v>
      </c>
      <c r="K1124" s="2">
        <v>12</v>
      </c>
      <c r="L1124" s="2">
        <v>835</v>
      </c>
      <c r="M1124" s="2">
        <v>835</v>
      </c>
      <c r="N1124" s="2">
        <f ca="1">INDEX(INDIRECT(_xlfn.CONCAT("weather.tbl[",N$1,"]")),MATCH(vp.tbl[[#This Row],[SDate]],weather.tbl[Date],0))</f>
        <v>1.5833333333333333</v>
      </c>
      <c r="O1124" s="2">
        <f ca="1">INDEX(INDIRECT(_xlfn.CONCAT("weather.tbl[",O$1,"]")),MATCH(vp.tbl[[#This Row],[SDate]],weather.tbl[Date],0))</f>
        <v>0.72619047619047616</v>
      </c>
      <c r="P1124" s="2">
        <f ca="1">INDEX(INDIRECT(_xlfn.CONCAT("weather.tbl[",P$1,"]")),MATCH(vp.tbl[[#This Row],[SDate]],weather.tbl[Date],0))</f>
        <v>2</v>
      </c>
      <c r="Q1124" s="2">
        <f ca="1">INDEX(INDIRECT(_xlfn.CONCAT("weather.tbl[",Q$1,"]")),MATCH(vp.tbl[[#This Row],[SDate]],weather.tbl[Date],0))</f>
        <v>2.1</v>
      </c>
      <c r="R1124" s="2">
        <f ca="1">INDEX(INDIRECT(_xlfn.CONCAT("weather.tbl[",R$1,"]")),MATCH(vp.tbl[[#This Row],[SDate]],weather.tbl[Date],0))</f>
        <v>1.3</v>
      </c>
      <c r="S1124" s="2">
        <f ca="1">INDEX(INDIRECT(_xlfn.CONCAT("weather.tbl[",S$1,"]")),MATCH(vp.tbl[[#This Row],[SDate]],weather.tbl[Date],0))</f>
        <v>1.8</v>
      </c>
      <c r="T1124" s="2">
        <f ca="1">INDEX(INDIRECT(_xlfn.CONCAT("weather.tbl[",T$1,"]")),MATCH(vp.tbl[[#This Row],[SDate]],weather.tbl[Date],0))</f>
        <v>1</v>
      </c>
      <c r="U1124" s="2">
        <f ca="1">INDEX(INDIRECT(_xlfn.CONCAT("weather.tbl[",U$1,"]")),MATCH(vp.tbl[[#This Row],[SDate]],weather.tbl[Date],0))</f>
        <v>1.3</v>
      </c>
      <c r="V1124" s="2">
        <v>9449.0609999999997</v>
      </c>
      <c r="W1124" t="s">
        <v>48</v>
      </c>
      <c r="X1124">
        <f>IF(OR(vp.tbl[[#This Row],[Sulf]]="",vp.tbl[[#This Row],[Dens]]=""),1,0)</f>
        <v>0</v>
      </c>
      <c r="Y1124">
        <f>IF(vp.tbl[[#This Row],[CrudeType]]="C5+",1,0)</f>
        <v>0</v>
      </c>
      <c r="Z1124">
        <f>IF(AND(vp.tbl[[#This Row],[CrudeType]]="Crude",vp.tbl[[#This Row],[Dens]]&lt;=825,vp.tbl[[#This Row],[Sulf]]&gt;0.5,vp.tbl[[#This Row],[Unknown]]=0),1,0)</f>
        <v>0</v>
      </c>
      <c r="AA1124">
        <f>IF(AND(vp.tbl[[#This Row],[CrudeType]]="Crude",vp.tbl[[#This Row],[Dens]]&lt;=825,vp.tbl[[#This Row],[Sulf]]&lt;=0.5,vp.tbl[[#This Row],[Unknown]]=0),1,0)</f>
        <v>0</v>
      </c>
      <c r="AB1124">
        <f>IF(AND(vp.tbl[[#This Row],[CrudeType]]="Crude",vp.tbl[[#This Row],[Dens]]&gt;825,vp.tbl[[#This Row],[Dens]]&lt;=870,vp.tbl[[#This Row],[Sulf]]&gt;0.5,vp.tbl[[#This Row],[Unknown]]=0),1,0)</f>
        <v>1</v>
      </c>
      <c r="AC1124">
        <f>IF(AND(vp.tbl[[#This Row],[CrudeType]]="Crude",vp.tbl[[#This Row],[Dens]]&gt;825,vp.tbl[[#This Row],[Dens]]&lt;=900,vp.tbl[[#This Row],[Sulf]]&lt;=0.5,vp.tbl[[#This Row],[Unknown]]=0),1,0)</f>
        <v>0</v>
      </c>
      <c r="AD1124">
        <f>IF(AND(vp.tbl[[#This Row],[CrudeType]]="Crude",vp.tbl[[#This Row],[Dens]]&gt;870,vp.tbl[[#This Row],[Dens]]&lt;=900,vp.tbl[[#This Row],[Sulf]]&gt;0.5,vp.tbl[[#This Row],[Unknown]]=0),1,0)</f>
        <v>0</v>
      </c>
      <c r="AE1124">
        <f>IF(AND(vp.tbl[[#This Row],[CrudeType]]="Crude",vp.tbl[[#This Row],[Dens]]&gt;900,vp.tbl[[#This Row],[Sulf]]&lt;=0.5,vp.tbl[[#This Row],[Unknown]]=0),1,0)</f>
        <v>0</v>
      </c>
      <c r="AF1124">
        <f>IF(AND(vp.tbl[[#This Row],[CrudeType]]="Crude",vp.tbl[[#This Row],[Dens]]&gt;900,vp.tbl[[#This Row],[Sulf]]&lt;=0.5,vp.tbl[[#This Row],[Unknown]]=0),1,0)</f>
        <v>0</v>
      </c>
      <c r="AG1124" t="str">
        <f>INDEX(vp.tbl[[#Headers],[Unknown]:[Heavy_SW]],MATCH(1,vp.tbl[[#This Row],[Unknown]:[Heavy_SW]],0))</f>
        <v>Medium_LSB</v>
      </c>
      <c r="AH1124" t="e">
        <f>INDEX([1]!crudeBD.lkup[Number],MATCH(vp.tbl[[#This Row],[Crude_Breakdown]],[1]!crudeBD.lkup[Crude Breakdown],0))</f>
        <v>#REF!</v>
      </c>
      <c r="AI1124">
        <f>MONTH(vp.tbl[[#This Row],[SDate]])</f>
        <v>3</v>
      </c>
      <c r="AJ1124" s="5">
        <f>IFERROR(vp.tbl[[#This Row],[Sulf]]*vp.tbl[[#This Row],[Net Dens]],"")</f>
        <v>6233073.0886500003</v>
      </c>
      <c r="AK1124" s="5">
        <f>IFERROR(vp.tbl[[#This Row],[Dens]]*vp.tbl[[#This Row],[VolumeM3]],"")</f>
        <v>7889965.9349999996</v>
      </c>
      <c r="AL1124" s="5">
        <f>IFERROR(vp.tbl[[#This Row],[VP]]*vp.tbl[[#This Row],[VolumeM3]],"")</f>
        <v>823958.11919999996</v>
      </c>
      <c r="AM1124" s="4">
        <f>IFERROR((vp.tbl[[#This Row],[VP]]-INDEX(crudeBD.lkup.complete[Mean_VP],MATCH(vp.tbl[[#This Row],[Crude_Breakdown]],crudeBD.lkup.complete[Crude Breakdown],0)))^2,"")</f>
        <v>49.370368113443917</v>
      </c>
      <c r="AN1124" s="4">
        <f>IFERROR((vp.tbl[[#This Row],[Dens]]-INDEX(crudeBD.lkup.complete[Mean_Dens],MATCH(vp.tbl[[#This Row],[Crude_Breakdown]],crudeBD.lkup.complete[Crude Breakdown],0)))^2,"")</f>
        <v>105.92161623391659</v>
      </c>
      <c r="AO1124" s="4">
        <f>IFERROR((vp.tbl[[#This Row],[Sulf]]-INDEX(crudeBD.lkup.complete[Mean_Sulf],MATCH(vp.tbl[[#This Row],[Crude_Breakdown]],crudeBD.lkup.complete[Crude Breakdown],0)))^2,"")</f>
        <v>0.44213171972964155</v>
      </c>
      <c r="AP1124">
        <f>IF(AND(vp.tbl[[#This Row],[SDate]]&gt;=DATE(YEAR(vp.tbl[[#This Row],[SDate]]),5,1),vp.tbl[[#This Row],[SDate]]&lt;=DATE(YEAR(vp.tbl[[#This Row],[SDate]]),9,15)),1,0)</f>
        <v>0</v>
      </c>
      <c r="AQ1124" s="15">
        <f>IF(vp.tbl[[#This Row],[SDate]]&lt;DATE(2016,12,1),0,1)</f>
        <v>1</v>
      </c>
    </row>
    <row r="1125" spans="1:43" x14ac:dyDescent="0.25">
      <c r="A1125">
        <v>1124</v>
      </c>
      <c r="B1125" t="s">
        <v>68</v>
      </c>
      <c r="C1125" t="s">
        <v>68</v>
      </c>
      <c r="D1125" t="s">
        <v>98</v>
      </c>
      <c r="F1125" s="1">
        <v>42822</v>
      </c>
      <c r="G1125" s="2">
        <v>60.2</v>
      </c>
      <c r="H1125" s="2"/>
      <c r="I1125" s="2">
        <v>1.21</v>
      </c>
      <c r="J1125" s="2">
        <v>29.3</v>
      </c>
      <c r="K1125" s="2">
        <v>12</v>
      </c>
      <c r="L1125" s="2">
        <v>852.9</v>
      </c>
      <c r="M1125" s="2">
        <v>852.9</v>
      </c>
      <c r="N1125" s="2">
        <f ca="1">INDEX(INDIRECT(_xlfn.CONCAT("weather.tbl[",N$1,"]")),MATCH(vp.tbl[[#This Row],[SDate]],weather.tbl[Date],0))</f>
        <v>1.5833333333333333</v>
      </c>
      <c r="O1125" s="2">
        <f ca="1">INDEX(INDIRECT(_xlfn.CONCAT("weather.tbl[",O$1,"]")),MATCH(vp.tbl[[#This Row],[SDate]],weather.tbl[Date],0))</f>
        <v>0.72619047619047616</v>
      </c>
      <c r="P1125" s="2">
        <f ca="1">INDEX(INDIRECT(_xlfn.CONCAT("weather.tbl[",P$1,"]")),MATCH(vp.tbl[[#This Row],[SDate]],weather.tbl[Date],0))</f>
        <v>2</v>
      </c>
      <c r="Q1125" s="2">
        <f ca="1">INDEX(INDIRECT(_xlfn.CONCAT("weather.tbl[",Q$1,"]")),MATCH(vp.tbl[[#This Row],[SDate]],weather.tbl[Date],0))</f>
        <v>2.1</v>
      </c>
      <c r="R1125" s="2">
        <f ca="1">INDEX(INDIRECT(_xlfn.CONCAT("weather.tbl[",R$1,"]")),MATCH(vp.tbl[[#This Row],[SDate]],weather.tbl[Date],0))</f>
        <v>1.3</v>
      </c>
      <c r="S1125" s="2">
        <f ca="1">INDEX(INDIRECT(_xlfn.CONCAT("weather.tbl[",S$1,"]")),MATCH(vp.tbl[[#This Row],[SDate]],weather.tbl[Date],0))</f>
        <v>1.8</v>
      </c>
      <c r="T1125" s="2">
        <f ca="1">INDEX(INDIRECT(_xlfn.CONCAT("weather.tbl[",T$1,"]")),MATCH(vp.tbl[[#This Row],[SDate]],weather.tbl[Date],0))</f>
        <v>1</v>
      </c>
      <c r="U1125" s="2">
        <f ca="1">INDEX(INDIRECT(_xlfn.CONCAT("weather.tbl[",U$1,"]")),MATCH(vp.tbl[[#This Row],[SDate]],weather.tbl[Date],0))</f>
        <v>1.3</v>
      </c>
      <c r="V1125" s="2">
        <v>4943.8360000000002</v>
      </c>
      <c r="W1125" t="s">
        <v>48</v>
      </c>
      <c r="X1125">
        <f>IF(OR(vp.tbl[[#This Row],[Sulf]]="",vp.tbl[[#This Row],[Dens]]=""),1,0)</f>
        <v>0</v>
      </c>
      <c r="Y1125">
        <f>IF(vp.tbl[[#This Row],[CrudeType]]="C5+",1,0)</f>
        <v>0</v>
      </c>
      <c r="Z1125">
        <f>IF(AND(vp.tbl[[#This Row],[CrudeType]]="Crude",vp.tbl[[#This Row],[Dens]]&lt;=825,vp.tbl[[#This Row],[Sulf]]&gt;0.5,vp.tbl[[#This Row],[Unknown]]=0),1,0)</f>
        <v>0</v>
      </c>
      <c r="AA1125">
        <f>IF(AND(vp.tbl[[#This Row],[CrudeType]]="Crude",vp.tbl[[#This Row],[Dens]]&lt;=825,vp.tbl[[#This Row],[Sulf]]&lt;=0.5,vp.tbl[[#This Row],[Unknown]]=0),1,0)</f>
        <v>0</v>
      </c>
      <c r="AB1125">
        <f>IF(AND(vp.tbl[[#This Row],[CrudeType]]="Crude",vp.tbl[[#This Row],[Dens]]&gt;825,vp.tbl[[#This Row],[Dens]]&lt;=870,vp.tbl[[#This Row],[Sulf]]&gt;0.5,vp.tbl[[#This Row],[Unknown]]=0),1,0)</f>
        <v>1</v>
      </c>
      <c r="AC1125">
        <f>IF(AND(vp.tbl[[#This Row],[CrudeType]]="Crude",vp.tbl[[#This Row],[Dens]]&gt;825,vp.tbl[[#This Row],[Dens]]&lt;=900,vp.tbl[[#This Row],[Sulf]]&lt;=0.5,vp.tbl[[#This Row],[Unknown]]=0),1,0)</f>
        <v>0</v>
      </c>
      <c r="AD1125">
        <f>IF(AND(vp.tbl[[#This Row],[CrudeType]]="Crude",vp.tbl[[#This Row],[Dens]]&gt;870,vp.tbl[[#This Row],[Dens]]&lt;=900,vp.tbl[[#This Row],[Sulf]]&gt;0.5,vp.tbl[[#This Row],[Unknown]]=0),1,0)</f>
        <v>0</v>
      </c>
      <c r="AE1125">
        <f>IF(AND(vp.tbl[[#This Row],[CrudeType]]="Crude",vp.tbl[[#This Row],[Dens]]&gt;900,vp.tbl[[#This Row],[Sulf]]&lt;=0.5,vp.tbl[[#This Row],[Unknown]]=0),1,0)</f>
        <v>0</v>
      </c>
      <c r="AF1125">
        <f>IF(AND(vp.tbl[[#This Row],[CrudeType]]="Crude",vp.tbl[[#This Row],[Dens]]&gt;900,vp.tbl[[#This Row],[Sulf]]&lt;=0.5,vp.tbl[[#This Row],[Unknown]]=0),1,0)</f>
        <v>0</v>
      </c>
      <c r="AG1125" t="str">
        <f>INDEX(vp.tbl[[#Headers],[Unknown]:[Heavy_SW]],MATCH(1,vp.tbl[[#This Row],[Unknown]:[Heavy_SW]],0))</f>
        <v>Medium_LSB</v>
      </c>
      <c r="AH1125" t="e">
        <f>INDEX([1]!crudeBD.lkup[Number],MATCH(vp.tbl[[#This Row],[Crude_Breakdown]],[1]!crudeBD.lkup[Crude Breakdown],0))</f>
        <v>#REF!</v>
      </c>
      <c r="AI1125">
        <f>MONTH(vp.tbl[[#This Row],[SDate]])</f>
        <v>3</v>
      </c>
      <c r="AJ1125" s="5">
        <f>IFERROR(vp.tbl[[#This Row],[Sulf]]*vp.tbl[[#This Row],[Net Dens]],"")</f>
        <v>5102083.2465239996</v>
      </c>
      <c r="AK1125" s="5">
        <f>IFERROR(vp.tbl[[#This Row],[Dens]]*vp.tbl[[#This Row],[VolumeM3]],"")</f>
        <v>4216597.7243999997</v>
      </c>
      <c r="AL1125" s="5">
        <f>IFERROR(vp.tbl[[#This Row],[VP]]*vp.tbl[[#This Row],[VolumeM3]],"")</f>
        <v>297618.92720000003</v>
      </c>
      <c r="AM1125" s="4">
        <f>IFERROR((vp.tbl[[#This Row],[VP]]-INDEX(crudeBD.lkup.complete[Mean_VP],MATCH(vp.tbl[[#This Row],[Crude_Breakdown]],crudeBD.lkup.complete[Crude Breakdown],0)))^2,"")</f>
        <v>398.94449469572027</v>
      </c>
      <c r="AN1125" s="4">
        <f>IFERROR((vp.tbl[[#This Row],[Dens]]-INDEX(crudeBD.lkup.complete[Mean_Dens],MATCH(vp.tbl[[#This Row],[Crude_Breakdown]],crudeBD.lkup.complete[Crude Breakdown],0)))^2,"")</f>
        <v>57.884360537748975</v>
      </c>
      <c r="AO1125" s="4">
        <f>IFERROR((vp.tbl[[#This Row],[Sulf]]-INDEX(crudeBD.lkup.complete[Mean_Sulf],MATCH(vp.tbl[[#This Row],[Crude_Breakdown]],crudeBD.lkup.complete[Crude Breakdown],0)))^2,"")</f>
        <v>5.9990636691665704E-2</v>
      </c>
      <c r="AP1125">
        <f>IF(AND(vp.tbl[[#This Row],[SDate]]&gt;=DATE(YEAR(vp.tbl[[#This Row],[SDate]]),5,1),vp.tbl[[#This Row],[SDate]]&lt;=DATE(YEAR(vp.tbl[[#This Row],[SDate]]),9,15)),1,0)</f>
        <v>0</v>
      </c>
      <c r="AQ1125" s="15">
        <f>IF(vp.tbl[[#This Row],[SDate]]&lt;DATE(2016,12,1),0,1)</f>
        <v>1</v>
      </c>
    </row>
    <row r="1126" spans="1:43" x14ac:dyDescent="0.25">
      <c r="A1126">
        <v>1125</v>
      </c>
      <c r="B1126" t="s">
        <v>68</v>
      </c>
      <c r="C1126" t="s">
        <v>68</v>
      </c>
      <c r="D1126" t="s">
        <v>110</v>
      </c>
      <c r="F1126" s="1">
        <v>42822</v>
      </c>
      <c r="G1126" s="2">
        <v>63.3</v>
      </c>
      <c r="H1126" s="2"/>
      <c r="I1126" s="2">
        <v>1.41</v>
      </c>
      <c r="J1126" s="2">
        <v>23.7</v>
      </c>
      <c r="K1126" s="2">
        <v>12</v>
      </c>
      <c r="L1126" s="2">
        <v>853.4</v>
      </c>
      <c r="M1126" s="2">
        <v>853.4</v>
      </c>
      <c r="N1126" s="2">
        <f ca="1">INDEX(INDIRECT(_xlfn.CONCAT("weather.tbl[",N$1,"]")),MATCH(vp.tbl[[#This Row],[SDate]],weather.tbl[Date],0))</f>
        <v>1.5833333333333333</v>
      </c>
      <c r="O1126" s="2">
        <f ca="1">INDEX(INDIRECT(_xlfn.CONCAT("weather.tbl[",O$1,"]")),MATCH(vp.tbl[[#This Row],[SDate]],weather.tbl[Date],0))</f>
        <v>0.72619047619047616</v>
      </c>
      <c r="P1126" s="2">
        <f ca="1">INDEX(INDIRECT(_xlfn.CONCAT("weather.tbl[",P$1,"]")),MATCH(vp.tbl[[#This Row],[SDate]],weather.tbl[Date],0))</f>
        <v>2</v>
      </c>
      <c r="Q1126" s="2">
        <f ca="1">INDEX(INDIRECT(_xlfn.CONCAT("weather.tbl[",Q$1,"]")),MATCH(vp.tbl[[#This Row],[SDate]],weather.tbl[Date],0))</f>
        <v>2.1</v>
      </c>
      <c r="R1126" s="2">
        <f ca="1">INDEX(INDIRECT(_xlfn.CONCAT("weather.tbl[",R$1,"]")),MATCH(vp.tbl[[#This Row],[SDate]],weather.tbl[Date],0))</f>
        <v>1.3</v>
      </c>
      <c r="S1126" s="2">
        <f ca="1">INDEX(INDIRECT(_xlfn.CONCAT("weather.tbl[",S$1,"]")),MATCH(vp.tbl[[#This Row],[SDate]],weather.tbl[Date],0))</f>
        <v>1.8</v>
      </c>
      <c r="T1126" s="2">
        <f ca="1">INDEX(INDIRECT(_xlfn.CONCAT("weather.tbl[",T$1,"]")),MATCH(vp.tbl[[#This Row],[SDate]],weather.tbl[Date],0))</f>
        <v>1</v>
      </c>
      <c r="U1126" s="2">
        <f ca="1">INDEX(INDIRECT(_xlfn.CONCAT("weather.tbl[",U$1,"]")),MATCH(vp.tbl[[#This Row],[SDate]],weather.tbl[Date],0))</f>
        <v>1.3</v>
      </c>
      <c r="V1126" s="2">
        <v>4854.1400000000003</v>
      </c>
      <c r="W1126" t="s">
        <v>48</v>
      </c>
      <c r="X1126">
        <f>IF(OR(vp.tbl[[#This Row],[Sulf]]="",vp.tbl[[#This Row],[Dens]]=""),1,0)</f>
        <v>0</v>
      </c>
      <c r="Y1126">
        <f>IF(vp.tbl[[#This Row],[CrudeType]]="C5+",1,0)</f>
        <v>0</v>
      </c>
      <c r="Z1126">
        <f>IF(AND(vp.tbl[[#This Row],[CrudeType]]="Crude",vp.tbl[[#This Row],[Dens]]&lt;=825,vp.tbl[[#This Row],[Sulf]]&gt;0.5,vp.tbl[[#This Row],[Unknown]]=0),1,0)</f>
        <v>0</v>
      </c>
      <c r="AA1126">
        <f>IF(AND(vp.tbl[[#This Row],[CrudeType]]="Crude",vp.tbl[[#This Row],[Dens]]&lt;=825,vp.tbl[[#This Row],[Sulf]]&lt;=0.5,vp.tbl[[#This Row],[Unknown]]=0),1,0)</f>
        <v>0</v>
      </c>
      <c r="AB1126">
        <f>IF(AND(vp.tbl[[#This Row],[CrudeType]]="Crude",vp.tbl[[#This Row],[Dens]]&gt;825,vp.tbl[[#This Row],[Dens]]&lt;=870,vp.tbl[[#This Row],[Sulf]]&gt;0.5,vp.tbl[[#This Row],[Unknown]]=0),1,0)</f>
        <v>1</v>
      </c>
      <c r="AC1126">
        <f>IF(AND(vp.tbl[[#This Row],[CrudeType]]="Crude",vp.tbl[[#This Row],[Dens]]&gt;825,vp.tbl[[#This Row],[Dens]]&lt;=900,vp.tbl[[#This Row],[Sulf]]&lt;=0.5,vp.tbl[[#This Row],[Unknown]]=0),1,0)</f>
        <v>0</v>
      </c>
      <c r="AD1126">
        <f>IF(AND(vp.tbl[[#This Row],[CrudeType]]="Crude",vp.tbl[[#This Row],[Dens]]&gt;870,vp.tbl[[#This Row],[Dens]]&lt;=900,vp.tbl[[#This Row],[Sulf]]&gt;0.5,vp.tbl[[#This Row],[Unknown]]=0),1,0)</f>
        <v>0</v>
      </c>
      <c r="AE1126">
        <f>IF(AND(vp.tbl[[#This Row],[CrudeType]]="Crude",vp.tbl[[#This Row],[Dens]]&gt;900,vp.tbl[[#This Row],[Sulf]]&lt;=0.5,vp.tbl[[#This Row],[Unknown]]=0),1,0)</f>
        <v>0</v>
      </c>
      <c r="AF1126">
        <f>IF(AND(vp.tbl[[#This Row],[CrudeType]]="Crude",vp.tbl[[#This Row],[Dens]]&gt;900,vp.tbl[[#This Row],[Sulf]]&lt;=0.5,vp.tbl[[#This Row],[Unknown]]=0),1,0)</f>
        <v>0</v>
      </c>
      <c r="AG1126" t="str">
        <f>INDEX(vp.tbl[[#Headers],[Unknown]:[Heavy_SW]],MATCH(1,vp.tbl[[#This Row],[Unknown]:[Heavy_SW]],0))</f>
        <v>Medium_LSB</v>
      </c>
      <c r="AH1126" t="e">
        <f>INDEX([1]!crudeBD.lkup[Number],MATCH(vp.tbl[[#This Row],[Crude_Breakdown]],[1]!crudeBD.lkup[Crude Breakdown],0))</f>
        <v>#REF!</v>
      </c>
      <c r="AI1126">
        <f>MONTH(vp.tbl[[#This Row],[SDate]])</f>
        <v>3</v>
      </c>
      <c r="AJ1126" s="5">
        <f>IFERROR(vp.tbl[[#This Row],[Sulf]]*vp.tbl[[#This Row],[Net Dens]],"")</f>
        <v>5840957.5371599998</v>
      </c>
      <c r="AK1126" s="5">
        <f>IFERROR(vp.tbl[[#This Row],[Dens]]*vp.tbl[[#This Row],[VolumeM3]],"")</f>
        <v>4142523.0760000004</v>
      </c>
      <c r="AL1126" s="5">
        <f>IFERROR(vp.tbl[[#This Row],[VP]]*vp.tbl[[#This Row],[VolumeM3]],"")</f>
        <v>307267.06200000003</v>
      </c>
      <c r="AM1126" s="4">
        <f>IFERROR((vp.tbl[[#This Row],[VP]]-INDEX(crudeBD.lkup.complete[Mean_VP],MATCH(vp.tbl[[#This Row],[Crude_Breakdown]],crudeBD.lkup.complete[Crude Breakdown],0)))^2,"")</f>
        <v>284.71820608812573</v>
      </c>
      <c r="AN1126" s="4">
        <f>IFERROR((vp.tbl[[#This Row],[Dens]]-INDEX(crudeBD.lkup.complete[Mean_Dens],MATCH(vp.tbl[[#This Row],[Crude_Breakdown]],crudeBD.lkup.complete[Crude Breakdown],0)))^2,"")</f>
        <v>65.742537752939811</v>
      </c>
      <c r="AO1126" s="4">
        <f>IFERROR((vp.tbl[[#This Row],[Sulf]]-INDEX(crudeBD.lkup.complete[Mean_Sulf],MATCH(vp.tbl[[#This Row],[Crude_Breakdown]],crudeBD.lkup.complete[Crude Breakdown],0)))^2,"")</f>
        <v>2.0186923878676294E-3</v>
      </c>
      <c r="AP1126">
        <f>IF(AND(vp.tbl[[#This Row],[SDate]]&gt;=DATE(YEAR(vp.tbl[[#This Row],[SDate]]),5,1),vp.tbl[[#This Row],[SDate]]&lt;=DATE(YEAR(vp.tbl[[#This Row],[SDate]]),9,15)),1,0)</f>
        <v>0</v>
      </c>
      <c r="AQ1126" s="15">
        <f>IF(vp.tbl[[#This Row],[SDate]]&lt;DATE(2016,12,1),0,1)</f>
        <v>1</v>
      </c>
    </row>
    <row r="1127" spans="1:43" x14ac:dyDescent="0.25">
      <c r="A1127">
        <v>1126</v>
      </c>
      <c r="B1127" t="s">
        <v>68</v>
      </c>
      <c r="C1127" t="s">
        <v>68</v>
      </c>
      <c r="D1127" t="s">
        <v>69</v>
      </c>
      <c r="F1127" s="1">
        <v>42822</v>
      </c>
      <c r="G1127" s="2">
        <v>72.400000000000006</v>
      </c>
      <c r="H1127" s="2"/>
      <c r="I1127" s="2">
        <v>1.7</v>
      </c>
      <c r="J1127" s="2">
        <v>16.100000000000001</v>
      </c>
      <c r="K1127" s="2">
        <v>12</v>
      </c>
      <c r="L1127" s="2">
        <v>861.1</v>
      </c>
      <c r="M1127" s="2">
        <v>861.1</v>
      </c>
      <c r="N1127" s="2">
        <f ca="1">INDEX(INDIRECT(_xlfn.CONCAT("weather.tbl[",N$1,"]")),MATCH(vp.tbl[[#This Row],[SDate]],weather.tbl[Date],0))</f>
        <v>1.5833333333333333</v>
      </c>
      <c r="O1127" s="2">
        <f ca="1">INDEX(INDIRECT(_xlfn.CONCAT("weather.tbl[",O$1,"]")),MATCH(vp.tbl[[#This Row],[SDate]],weather.tbl[Date],0))</f>
        <v>0.72619047619047616</v>
      </c>
      <c r="P1127" s="2">
        <f ca="1">INDEX(INDIRECT(_xlfn.CONCAT("weather.tbl[",P$1,"]")),MATCH(vp.tbl[[#This Row],[SDate]],weather.tbl[Date],0))</f>
        <v>2</v>
      </c>
      <c r="Q1127" s="2">
        <f ca="1">INDEX(INDIRECT(_xlfn.CONCAT("weather.tbl[",Q$1,"]")),MATCH(vp.tbl[[#This Row],[SDate]],weather.tbl[Date],0))</f>
        <v>2.1</v>
      </c>
      <c r="R1127" s="2">
        <f ca="1">INDEX(INDIRECT(_xlfn.CONCAT("weather.tbl[",R$1,"]")),MATCH(vp.tbl[[#This Row],[SDate]],weather.tbl[Date],0))</f>
        <v>1.3</v>
      </c>
      <c r="S1127" s="2">
        <f ca="1">INDEX(INDIRECT(_xlfn.CONCAT("weather.tbl[",S$1,"]")),MATCH(vp.tbl[[#This Row],[SDate]],weather.tbl[Date],0))</f>
        <v>1.8</v>
      </c>
      <c r="T1127" s="2">
        <f ca="1">INDEX(INDIRECT(_xlfn.CONCAT("weather.tbl[",T$1,"]")),MATCH(vp.tbl[[#This Row],[SDate]],weather.tbl[Date],0))</f>
        <v>1</v>
      </c>
      <c r="U1127" s="2">
        <f ca="1">INDEX(INDIRECT(_xlfn.CONCAT("weather.tbl[",U$1,"]")),MATCH(vp.tbl[[#This Row],[SDate]],weather.tbl[Date],0))</f>
        <v>1.3</v>
      </c>
      <c r="V1127" s="2">
        <v>1425.6389999999999</v>
      </c>
      <c r="W1127" t="s">
        <v>48</v>
      </c>
      <c r="X1127">
        <f>IF(OR(vp.tbl[[#This Row],[Sulf]]="",vp.tbl[[#This Row],[Dens]]=""),1,0)</f>
        <v>0</v>
      </c>
      <c r="Y1127">
        <f>IF(vp.tbl[[#This Row],[CrudeType]]="C5+",1,0)</f>
        <v>0</v>
      </c>
      <c r="Z1127">
        <f>IF(AND(vp.tbl[[#This Row],[CrudeType]]="Crude",vp.tbl[[#This Row],[Dens]]&lt;=825,vp.tbl[[#This Row],[Sulf]]&gt;0.5,vp.tbl[[#This Row],[Unknown]]=0),1,0)</f>
        <v>0</v>
      </c>
      <c r="AA1127">
        <f>IF(AND(vp.tbl[[#This Row],[CrudeType]]="Crude",vp.tbl[[#This Row],[Dens]]&lt;=825,vp.tbl[[#This Row],[Sulf]]&lt;=0.5,vp.tbl[[#This Row],[Unknown]]=0),1,0)</f>
        <v>0</v>
      </c>
      <c r="AB1127">
        <f>IF(AND(vp.tbl[[#This Row],[CrudeType]]="Crude",vp.tbl[[#This Row],[Dens]]&gt;825,vp.tbl[[#This Row],[Dens]]&lt;=870,vp.tbl[[#This Row],[Sulf]]&gt;0.5,vp.tbl[[#This Row],[Unknown]]=0),1,0)</f>
        <v>1</v>
      </c>
      <c r="AC1127">
        <f>IF(AND(vp.tbl[[#This Row],[CrudeType]]="Crude",vp.tbl[[#This Row],[Dens]]&gt;825,vp.tbl[[#This Row],[Dens]]&lt;=900,vp.tbl[[#This Row],[Sulf]]&lt;=0.5,vp.tbl[[#This Row],[Unknown]]=0),1,0)</f>
        <v>0</v>
      </c>
      <c r="AD1127">
        <f>IF(AND(vp.tbl[[#This Row],[CrudeType]]="Crude",vp.tbl[[#This Row],[Dens]]&gt;870,vp.tbl[[#This Row],[Dens]]&lt;=900,vp.tbl[[#This Row],[Sulf]]&gt;0.5,vp.tbl[[#This Row],[Unknown]]=0),1,0)</f>
        <v>0</v>
      </c>
      <c r="AE1127">
        <f>IF(AND(vp.tbl[[#This Row],[CrudeType]]="Crude",vp.tbl[[#This Row],[Dens]]&gt;900,vp.tbl[[#This Row],[Sulf]]&lt;=0.5,vp.tbl[[#This Row],[Unknown]]=0),1,0)</f>
        <v>0</v>
      </c>
      <c r="AF1127">
        <f>IF(AND(vp.tbl[[#This Row],[CrudeType]]="Crude",vp.tbl[[#This Row],[Dens]]&gt;900,vp.tbl[[#This Row],[Sulf]]&lt;=0.5,vp.tbl[[#This Row],[Unknown]]=0),1,0)</f>
        <v>0</v>
      </c>
      <c r="AG1127" t="str">
        <f>INDEX(vp.tbl[[#Headers],[Unknown]:[Heavy_SW]],MATCH(1,vp.tbl[[#This Row],[Unknown]:[Heavy_SW]],0))</f>
        <v>Medium_LSB</v>
      </c>
      <c r="AH1127" t="e">
        <f>INDEX([1]!crudeBD.lkup[Number],MATCH(vp.tbl[[#This Row],[Crude_Breakdown]],[1]!crudeBD.lkup[Crude Breakdown],0))</f>
        <v>#REF!</v>
      </c>
      <c r="AI1127">
        <f>MONTH(vp.tbl[[#This Row],[SDate]])</f>
        <v>3</v>
      </c>
      <c r="AJ1127" s="5">
        <f>IFERROR(vp.tbl[[#This Row],[Sulf]]*vp.tbl[[#This Row],[Net Dens]],"")</f>
        <v>2086950.1629299999</v>
      </c>
      <c r="AK1127" s="5">
        <f>IFERROR(vp.tbl[[#This Row],[Dens]]*vp.tbl[[#This Row],[VolumeM3]],"")</f>
        <v>1227617.7429</v>
      </c>
      <c r="AL1127" s="5">
        <f>IFERROR(vp.tbl[[#This Row],[VP]]*vp.tbl[[#This Row],[VolumeM3]],"")</f>
        <v>103216.26360000001</v>
      </c>
      <c r="AM1127" s="4">
        <f>IFERROR((vp.tbl[[#This Row],[VP]]-INDEX(crudeBD.lkup.complete[Mean_VP],MATCH(vp.tbl[[#This Row],[Crude_Breakdown]],crudeBD.lkup.complete[Crude Breakdown],0)))^2,"")</f>
        <v>60.428778240024975</v>
      </c>
      <c r="AN1127" s="4">
        <f>IFERROR((vp.tbl[[#This Row],[Dens]]-INDEX(crudeBD.lkup.complete[Mean_Dens],MATCH(vp.tbl[[#This Row],[Crude_Breakdown]],crudeBD.lkup.complete[Crude Breakdown],0)))^2,"")</f>
        <v>249.89846686688011</v>
      </c>
      <c r="AO1127" s="4">
        <f>IFERROR((vp.tbl[[#This Row],[Sulf]]-INDEX(crudeBD.lkup.complete[Mean_Sulf],MATCH(vp.tbl[[#This Row],[Crude_Breakdown]],crudeBD.lkup.complete[Crude Breakdown],0)))^2,"")</f>
        <v>6.0059373147360415E-2</v>
      </c>
      <c r="AP1127">
        <f>IF(AND(vp.tbl[[#This Row],[SDate]]&gt;=DATE(YEAR(vp.tbl[[#This Row],[SDate]]),5,1),vp.tbl[[#This Row],[SDate]]&lt;=DATE(YEAR(vp.tbl[[#This Row],[SDate]]),9,15)),1,0)</f>
        <v>0</v>
      </c>
      <c r="AQ1127" s="15">
        <f>IF(vp.tbl[[#This Row],[SDate]]&lt;DATE(2016,12,1),0,1)</f>
        <v>1</v>
      </c>
    </row>
    <row r="1128" spans="1:43" x14ac:dyDescent="0.25">
      <c r="A1128">
        <v>1127</v>
      </c>
      <c r="B1128" t="s">
        <v>64</v>
      </c>
      <c r="C1128" t="s">
        <v>64</v>
      </c>
      <c r="D1128" t="s">
        <v>65</v>
      </c>
      <c r="F1128" s="1">
        <v>42822</v>
      </c>
      <c r="G1128" s="2">
        <v>50</v>
      </c>
      <c r="H1128" s="2"/>
      <c r="I1128" s="2">
        <v>2.09</v>
      </c>
      <c r="J1128" s="2">
        <v>30.3</v>
      </c>
      <c r="K1128" s="2">
        <v>12</v>
      </c>
      <c r="L1128" s="2">
        <v>875.7</v>
      </c>
      <c r="M1128" s="2">
        <v>875.7</v>
      </c>
      <c r="N1128" s="2">
        <f ca="1">INDEX(INDIRECT(_xlfn.CONCAT("weather.tbl[",N$1,"]")),MATCH(vp.tbl[[#This Row],[SDate]],weather.tbl[Date],0))</f>
        <v>1.5833333333333333</v>
      </c>
      <c r="O1128" s="2">
        <f ca="1">INDEX(INDIRECT(_xlfn.CONCAT("weather.tbl[",O$1,"]")),MATCH(vp.tbl[[#This Row],[SDate]],weather.tbl[Date],0))</f>
        <v>0.72619047619047616</v>
      </c>
      <c r="P1128" s="2">
        <f ca="1">INDEX(INDIRECT(_xlfn.CONCAT("weather.tbl[",P$1,"]")),MATCH(vp.tbl[[#This Row],[SDate]],weather.tbl[Date],0))</f>
        <v>2</v>
      </c>
      <c r="Q1128" s="2">
        <f ca="1">INDEX(INDIRECT(_xlfn.CONCAT("weather.tbl[",Q$1,"]")),MATCH(vp.tbl[[#This Row],[SDate]],weather.tbl[Date],0))</f>
        <v>2.1</v>
      </c>
      <c r="R1128" s="2">
        <f ca="1">INDEX(INDIRECT(_xlfn.CONCAT("weather.tbl[",R$1,"]")),MATCH(vp.tbl[[#This Row],[SDate]],weather.tbl[Date],0))</f>
        <v>1.3</v>
      </c>
      <c r="S1128" s="2">
        <f ca="1">INDEX(INDIRECT(_xlfn.CONCAT("weather.tbl[",S$1,"]")),MATCH(vp.tbl[[#This Row],[SDate]],weather.tbl[Date],0))</f>
        <v>1.8</v>
      </c>
      <c r="T1128" s="2">
        <f ca="1">INDEX(INDIRECT(_xlfn.CONCAT("weather.tbl[",T$1,"]")),MATCH(vp.tbl[[#This Row],[SDate]],weather.tbl[Date],0))</f>
        <v>1</v>
      </c>
      <c r="U1128" s="2">
        <f ca="1">INDEX(INDIRECT(_xlfn.CONCAT("weather.tbl[",U$1,"]")),MATCH(vp.tbl[[#This Row],[SDate]],weather.tbl[Date],0))</f>
        <v>1.3</v>
      </c>
      <c r="V1128" s="2">
        <v>22323.207999999999</v>
      </c>
      <c r="W1128" t="s">
        <v>48</v>
      </c>
      <c r="X1128">
        <f>IF(OR(vp.tbl[[#This Row],[Sulf]]="",vp.tbl[[#This Row],[Dens]]=""),1,0)</f>
        <v>0</v>
      </c>
      <c r="Y1128">
        <f>IF(vp.tbl[[#This Row],[CrudeType]]="C5+",1,0)</f>
        <v>0</v>
      </c>
      <c r="Z1128">
        <f>IF(AND(vp.tbl[[#This Row],[CrudeType]]="Crude",vp.tbl[[#This Row],[Dens]]&lt;=825,vp.tbl[[#This Row],[Sulf]]&gt;0.5,vp.tbl[[#This Row],[Unknown]]=0),1,0)</f>
        <v>0</v>
      </c>
      <c r="AA1128">
        <f>IF(AND(vp.tbl[[#This Row],[CrudeType]]="Crude",vp.tbl[[#This Row],[Dens]]&lt;=825,vp.tbl[[#This Row],[Sulf]]&lt;=0.5,vp.tbl[[#This Row],[Unknown]]=0),1,0)</f>
        <v>0</v>
      </c>
      <c r="AB1128">
        <f>IF(AND(vp.tbl[[#This Row],[CrudeType]]="Crude",vp.tbl[[#This Row],[Dens]]&gt;825,vp.tbl[[#This Row],[Dens]]&lt;=870,vp.tbl[[#This Row],[Sulf]]&gt;0.5,vp.tbl[[#This Row],[Unknown]]=0),1,0)</f>
        <v>0</v>
      </c>
      <c r="AC1128">
        <f>IF(AND(vp.tbl[[#This Row],[CrudeType]]="Crude",vp.tbl[[#This Row],[Dens]]&gt;825,vp.tbl[[#This Row],[Dens]]&lt;=900,vp.tbl[[#This Row],[Sulf]]&lt;=0.5,vp.tbl[[#This Row],[Unknown]]=0),1,0)</f>
        <v>0</v>
      </c>
      <c r="AD1128">
        <f>IF(AND(vp.tbl[[#This Row],[CrudeType]]="Crude",vp.tbl[[#This Row],[Dens]]&gt;870,vp.tbl[[#This Row],[Dens]]&lt;=900,vp.tbl[[#This Row],[Sulf]]&gt;0.5,vp.tbl[[#This Row],[Unknown]]=0),1,0)</f>
        <v>1</v>
      </c>
      <c r="AE1128">
        <f>IF(AND(vp.tbl[[#This Row],[CrudeType]]="Crude",vp.tbl[[#This Row],[Dens]]&gt;900,vp.tbl[[#This Row],[Sulf]]&lt;=0.5,vp.tbl[[#This Row],[Unknown]]=0),1,0)</f>
        <v>0</v>
      </c>
      <c r="AF1128">
        <f>IF(AND(vp.tbl[[#This Row],[CrudeType]]="Crude",vp.tbl[[#This Row],[Dens]]&gt;900,vp.tbl[[#This Row],[Sulf]]&lt;=0.5,vp.tbl[[#This Row],[Unknown]]=0),1,0)</f>
        <v>0</v>
      </c>
      <c r="AG1128" t="str">
        <f>INDEX(vp.tbl[[#Headers],[Unknown]:[Heavy_SW]],MATCH(1,vp.tbl[[#This Row],[Unknown]:[Heavy_SW]],0))</f>
        <v>Midale</v>
      </c>
      <c r="AH1128" t="e">
        <f>INDEX([1]!crudeBD.lkup[Number],MATCH(vp.tbl[[#This Row],[Crude_Breakdown]],[1]!crudeBD.lkup[Crude Breakdown],0))</f>
        <v>#REF!</v>
      </c>
      <c r="AI1128">
        <f>MONTH(vp.tbl[[#This Row],[SDate]])</f>
        <v>3</v>
      </c>
      <c r="AJ1128" s="5">
        <f>IFERROR(vp.tbl[[#This Row],[Sulf]]*vp.tbl[[#This Row],[Net Dens]],"")</f>
        <v>40856225.483303994</v>
      </c>
      <c r="AK1128" s="5">
        <f>IFERROR(vp.tbl[[#This Row],[Dens]]*vp.tbl[[#This Row],[VolumeM3]],"")</f>
        <v>19548433.2456</v>
      </c>
      <c r="AL1128" s="5">
        <f>IFERROR(vp.tbl[[#This Row],[VP]]*vp.tbl[[#This Row],[VolumeM3]],"")</f>
        <v>1116160.3999999999</v>
      </c>
      <c r="AM1128" s="4">
        <f>IFERROR((vp.tbl[[#This Row],[VP]]-INDEX(crudeBD.lkup.complete[Mean_VP],MATCH(vp.tbl[[#This Row],[Crude_Breakdown]],crudeBD.lkup.complete[Crude Breakdown],0)))^2,"")</f>
        <v>332.63763557890832</v>
      </c>
      <c r="AN1128" s="4">
        <f>IFERROR((vp.tbl[[#This Row],[Dens]]-INDEX(crudeBD.lkup.complete[Mean_Dens],MATCH(vp.tbl[[#This Row],[Crude_Breakdown]],crudeBD.lkup.complete[Crude Breakdown],0)))^2,"")</f>
        <v>3.4301069619052593</v>
      </c>
      <c r="AO1128" s="4">
        <f>IFERROR((vp.tbl[[#This Row],[Sulf]]-INDEX(crudeBD.lkup.complete[Mean_Sulf],MATCH(vp.tbl[[#This Row],[Crude_Breakdown]],crudeBD.lkup.complete[Crude Breakdown],0)))^2,"")</f>
        <v>0.10584620473426462</v>
      </c>
      <c r="AP1128">
        <f>IF(AND(vp.tbl[[#This Row],[SDate]]&gt;=DATE(YEAR(vp.tbl[[#This Row],[SDate]]),5,1),vp.tbl[[#This Row],[SDate]]&lt;=DATE(YEAR(vp.tbl[[#This Row],[SDate]]),9,15)),1,0)</f>
        <v>0</v>
      </c>
      <c r="AQ1128" s="15">
        <f>IF(vp.tbl[[#This Row],[SDate]]&lt;DATE(2016,12,1),0,1)</f>
        <v>1</v>
      </c>
    </row>
    <row r="1129" spans="1:43" x14ac:dyDescent="0.25">
      <c r="A1129">
        <v>1128</v>
      </c>
      <c r="B1129" t="s">
        <v>53</v>
      </c>
      <c r="C1129" t="s">
        <v>53</v>
      </c>
      <c r="D1129" t="s">
        <v>54</v>
      </c>
      <c r="E1129" t="s">
        <v>73</v>
      </c>
      <c r="F1129" s="1">
        <v>42823</v>
      </c>
      <c r="G1129" s="2">
        <v>80.8</v>
      </c>
      <c r="H1129" s="2"/>
      <c r="I1129" s="2">
        <v>1.32</v>
      </c>
      <c r="J1129" s="2">
        <v>4.2</v>
      </c>
      <c r="K1129" s="2">
        <v>16</v>
      </c>
      <c r="L1129" s="2">
        <v>831.8</v>
      </c>
      <c r="M1129" s="2">
        <v>831.8</v>
      </c>
      <c r="N1129" s="2">
        <f ca="1">INDEX(INDIRECT(_xlfn.CONCAT("weather.tbl[",N$1,"]")),MATCH(vp.tbl[[#This Row],[SDate]],weather.tbl[Date],0))</f>
        <v>6.7666666666666666</v>
      </c>
      <c r="O1129" s="2">
        <f ca="1">INDEX(INDIRECT(_xlfn.CONCAT("weather.tbl[",O$1,"]")),MATCH(vp.tbl[[#This Row],[SDate]],weather.tbl[Date],0))</f>
        <v>2.3880952380952385</v>
      </c>
      <c r="P1129" s="2">
        <f ca="1">INDEX(INDIRECT(_xlfn.CONCAT("weather.tbl[",P$1,"]")),MATCH(vp.tbl[[#This Row],[SDate]],weather.tbl[Date],0))</f>
        <v>6.7</v>
      </c>
      <c r="Q1129" s="2">
        <f ca="1">INDEX(INDIRECT(_xlfn.CONCAT("weather.tbl[",Q$1,"]")),MATCH(vp.tbl[[#This Row],[SDate]],weather.tbl[Date],0))</f>
        <v>7.9</v>
      </c>
      <c r="R1129" s="2">
        <f ca="1">INDEX(INDIRECT(_xlfn.CONCAT("weather.tbl[",R$1,"]")),MATCH(vp.tbl[[#This Row],[SDate]],weather.tbl[Date],0))</f>
        <v>5.5</v>
      </c>
      <c r="S1129" s="2">
        <f ca="1">INDEX(INDIRECT(_xlfn.CONCAT("weather.tbl[",S$1,"]")),MATCH(vp.tbl[[#This Row],[SDate]],weather.tbl[Date],0))</f>
        <v>8.8000000000000007</v>
      </c>
      <c r="T1129" s="2">
        <f ca="1">INDEX(INDIRECT(_xlfn.CONCAT("weather.tbl[",T$1,"]")),MATCH(vp.tbl[[#This Row],[SDate]],weather.tbl[Date],0))</f>
        <v>4.7</v>
      </c>
      <c r="U1129" s="2">
        <f ca="1">INDEX(INDIRECT(_xlfn.CONCAT("weather.tbl[",U$1,"]")),MATCH(vp.tbl[[#This Row],[SDate]],weather.tbl[Date],0))</f>
        <v>7</v>
      </c>
      <c r="V1129" s="2">
        <v>9106.7160000000003</v>
      </c>
      <c r="W1129" t="s">
        <v>48</v>
      </c>
      <c r="X1129">
        <f>IF(OR(vp.tbl[[#This Row],[Sulf]]="",vp.tbl[[#This Row],[Dens]]=""),1,0)</f>
        <v>0</v>
      </c>
      <c r="Y1129">
        <f>IF(vp.tbl[[#This Row],[CrudeType]]="C5+",1,0)</f>
        <v>0</v>
      </c>
      <c r="Z1129">
        <f>IF(AND(vp.tbl[[#This Row],[CrudeType]]="Crude",vp.tbl[[#This Row],[Dens]]&lt;=825,vp.tbl[[#This Row],[Sulf]]&gt;0.5,vp.tbl[[#This Row],[Unknown]]=0),1,0)</f>
        <v>0</v>
      </c>
      <c r="AA1129">
        <f>IF(AND(vp.tbl[[#This Row],[CrudeType]]="Crude",vp.tbl[[#This Row],[Dens]]&lt;=825,vp.tbl[[#This Row],[Sulf]]&lt;=0.5,vp.tbl[[#This Row],[Unknown]]=0),1,0)</f>
        <v>0</v>
      </c>
      <c r="AB1129">
        <f>IF(AND(vp.tbl[[#This Row],[CrudeType]]="Crude",vp.tbl[[#This Row],[Dens]]&gt;825,vp.tbl[[#This Row],[Dens]]&lt;=870,vp.tbl[[#This Row],[Sulf]]&gt;0.5,vp.tbl[[#This Row],[Unknown]]=0),1,0)</f>
        <v>1</v>
      </c>
      <c r="AC1129">
        <f>IF(AND(vp.tbl[[#This Row],[CrudeType]]="Crude",vp.tbl[[#This Row],[Dens]]&gt;825,vp.tbl[[#This Row],[Dens]]&lt;=900,vp.tbl[[#This Row],[Sulf]]&lt;=0.5,vp.tbl[[#This Row],[Unknown]]=0),1,0)</f>
        <v>0</v>
      </c>
      <c r="AD1129">
        <f>IF(AND(vp.tbl[[#This Row],[CrudeType]]="Crude",vp.tbl[[#This Row],[Dens]]&gt;870,vp.tbl[[#This Row],[Dens]]&lt;=900,vp.tbl[[#This Row],[Sulf]]&gt;0.5,vp.tbl[[#This Row],[Unknown]]=0),1,0)</f>
        <v>0</v>
      </c>
      <c r="AE1129">
        <f>IF(AND(vp.tbl[[#This Row],[CrudeType]]="Crude",vp.tbl[[#This Row],[Dens]]&gt;900,vp.tbl[[#This Row],[Sulf]]&lt;=0.5,vp.tbl[[#This Row],[Unknown]]=0),1,0)</f>
        <v>0</v>
      </c>
      <c r="AF1129">
        <f>IF(AND(vp.tbl[[#This Row],[CrudeType]]="Crude",vp.tbl[[#This Row],[Dens]]&gt;900,vp.tbl[[#This Row],[Sulf]]&lt;=0.5,vp.tbl[[#This Row],[Unknown]]=0),1,0)</f>
        <v>0</v>
      </c>
      <c r="AG1129" t="str">
        <f>INDEX(vp.tbl[[#Headers],[Unknown]:[Heavy_SW]],MATCH(1,vp.tbl[[#This Row],[Unknown]:[Heavy_SW]],0))</f>
        <v>Medium_LSB</v>
      </c>
      <c r="AH1129" t="e">
        <f>INDEX([1]!crudeBD.lkup[Number],MATCH(vp.tbl[[#This Row],[Crude_Breakdown]],[1]!crudeBD.lkup[Crude Breakdown],0))</f>
        <v>#REF!</v>
      </c>
      <c r="AI1129">
        <f>MONTH(vp.tbl[[#This Row],[SDate]])</f>
        <v>3</v>
      </c>
      <c r="AJ1129" s="5">
        <f>IFERROR(vp.tbl[[#This Row],[Sulf]]*vp.tbl[[#This Row],[Net Dens]],"")</f>
        <v>9998955.6068160012</v>
      </c>
      <c r="AK1129" s="5">
        <f>IFERROR(vp.tbl[[#This Row],[Dens]]*vp.tbl[[#This Row],[VolumeM3]],"")</f>
        <v>7574966.3688000003</v>
      </c>
      <c r="AL1129" s="5">
        <f>IFERROR(vp.tbl[[#This Row],[VP]]*vp.tbl[[#This Row],[VolumeM3]],"")</f>
        <v>735822.65280000004</v>
      </c>
      <c r="AM1129" s="4">
        <f>IFERROR((vp.tbl[[#This Row],[VP]]-INDEX(crudeBD.lkup.complete[Mean_VP],MATCH(vp.tbl[[#This Row],[Crude_Breakdown]],crudeBD.lkup.complete[Crude Breakdown],0)))^2,"")</f>
        <v>0.39238330331681881</v>
      </c>
      <c r="AN1129" s="4">
        <f>IFERROR((vp.tbl[[#This Row],[Dens]]-INDEX(crudeBD.lkup.complete[Mean_Dens],MATCH(vp.tbl[[#This Row],[Crude_Breakdown]],crudeBD.lkup.complete[Crude Breakdown],0)))^2,"")</f>
        <v>182.02928205669633</v>
      </c>
      <c r="AO1129" s="4">
        <f>IFERROR((vp.tbl[[#This Row],[Sulf]]-INDEX(crudeBD.lkup.complete[Mean_Sulf],MATCH(vp.tbl[[#This Row],[Crude_Breakdown]],crudeBD.lkup.complete[Crude Breakdown],0)))^2,"")</f>
        <v>1.8206067324576733E-2</v>
      </c>
      <c r="AP1129">
        <f>IF(AND(vp.tbl[[#This Row],[SDate]]&gt;=DATE(YEAR(vp.tbl[[#This Row],[SDate]]),5,1),vp.tbl[[#This Row],[SDate]]&lt;=DATE(YEAR(vp.tbl[[#This Row],[SDate]]),9,15)),1,0)</f>
        <v>0</v>
      </c>
      <c r="AQ1129" s="15">
        <f>IF(vp.tbl[[#This Row],[SDate]]&lt;DATE(2016,12,1),0,1)</f>
        <v>1</v>
      </c>
    </row>
    <row r="1130" spans="1:43" x14ac:dyDescent="0.25">
      <c r="A1130">
        <v>1129</v>
      </c>
      <c r="B1130" t="s">
        <v>49</v>
      </c>
      <c r="C1130" t="s">
        <v>49</v>
      </c>
      <c r="D1130" t="s">
        <v>78</v>
      </c>
      <c r="F1130" s="1">
        <v>42823</v>
      </c>
      <c r="G1130" s="2">
        <v>91.5</v>
      </c>
      <c r="H1130" s="2">
        <v>0.22</v>
      </c>
      <c r="I1130" s="2">
        <v>0.22</v>
      </c>
      <c r="J1130" s="2">
        <v>14.2</v>
      </c>
      <c r="K1130" s="2">
        <v>16</v>
      </c>
      <c r="L1130" s="2">
        <v>843.7</v>
      </c>
      <c r="M1130" s="2">
        <v>843.7</v>
      </c>
      <c r="N1130" s="2">
        <f ca="1">INDEX(INDIRECT(_xlfn.CONCAT("weather.tbl[",N$1,"]")),MATCH(vp.tbl[[#This Row],[SDate]],weather.tbl[Date],0))</f>
        <v>6.7666666666666666</v>
      </c>
      <c r="O1130" s="2">
        <f ca="1">INDEX(INDIRECT(_xlfn.CONCAT("weather.tbl[",O$1,"]")),MATCH(vp.tbl[[#This Row],[SDate]],weather.tbl[Date],0))</f>
        <v>2.3880952380952385</v>
      </c>
      <c r="P1130" s="2">
        <f ca="1">INDEX(INDIRECT(_xlfn.CONCAT("weather.tbl[",P$1,"]")),MATCH(vp.tbl[[#This Row],[SDate]],weather.tbl[Date],0))</f>
        <v>6.7</v>
      </c>
      <c r="Q1130" s="2">
        <f ca="1">INDEX(INDIRECT(_xlfn.CONCAT("weather.tbl[",Q$1,"]")),MATCH(vp.tbl[[#This Row],[SDate]],weather.tbl[Date],0))</f>
        <v>7.9</v>
      </c>
      <c r="R1130" s="2">
        <f ca="1">INDEX(INDIRECT(_xlfn.CONCAT("weather.tbl[",R$1,"]")),MATCH(vp.tbl[[#This Row],[SDate]],weather.tbl[Date],0))</f>
        <v>5.5</v>
      </c>
      <c r="S1130" s="2">
        <f ca="1">INDEX(INDIRECT(_xlfn.CONCAT("weather.tbl[",S$1,"]")),MATCH(vp.tbl[[#This Row],[SDate]],weather.tbl[Date],0))</f>
        <v>8.8000000000000007</v>
      </c>
      <c r="T1130" s="2">
        <f ca="1">INDEX(INDIRECT(_xlfn.CONCAT("weather.tbl[",T$1,"]")),MATCH(vp.tbl[[#This Row],[SDate]],weather.tbl[Date],0))</f>
        <v>4.7</v>
      </c>
      <c r="U1130" s="2">
        <f ca="1">INDEX(INDIRECT(_xlfn.CONCAT("weather.tbl[",U$1,"]")),MATCH(vp.tbl[[#This Row],[SDate]],weather.tbl[Date],0))</f>
        <v>7</v>
      </c>
      <c r="V1130" s="2">
        <v>19019.342000000001</v>
      </c>
      <c r="W1130" t="s">
        <v>48</v>
      </c>
      <c r="X1130">
        <f>IF(OR(vp.tbl[[#This Row],[Sulf]]="",vp.tbl[[#This Row],[Dens]]=""),1,0)</f>
        <v>0</v>
      </c>
      <c r="Y1130">
        <f>IF(vp.tbl[[#This Row],[CrudeType]]="C5+",1,0)</f>
        <v>0</v>
      </c>
      <c r="Z1130">
        <f>IF(AND(vp.tbl[[#This Row],[CrudeType]]="Crude",vp.tbl[[#This Row],[Dens]]&lt;=825,vp.tbl[[#This Row],[Sulf]]&gt;0.5,vp.tbl[[#This Row],[Unknown]]=0),1,0)</f>
        <v>0</v>
      </c>
      <c r="AA1130">
        <f>IF(AND(vp.tbl[[#This Row],[CrudeType]]="Crude",vp.tbl[[#This Row],[Dens]]&lt;=825,vp.tbl[[#This Row],[Sulf]]&lt;=0.5,vp.tbl[[#This Row],[Unknown]]=0),1,0)</f>
        <v>0</v>
      </c>
      <c r="AB1130">
        <f>IF(AND(vp.tbl[[#This Row],[CrudeType]]="Crude",vp.tbl[[#This Row],[Dens]]&gt;825,vp.tbl[[#This Row],[Dens]]&lt;=870,vp.tbl[[#This Row],[Sulf]]&gt;0.5,vp.tbl[[#This Row],[Unknown]]=0),1,0)</f>
        <v>0</v>
      </c>
      <c r="AC1130">
        <f>IF(AND(vp.tbl[[#This Row],[CrudeType]]="Crude",vp.tbl[[#This Row],[Dens]]&gt;825,vp.tbl[[#This Row],[Dens]]&lt;=900,vp.tbl[[#This Row],[Sulf]]&lt;=0.5,vp.tbl[[#This Row],[Unknown]]=0),1,0)</f>
        <v>1</v>
      </c>
      <c r="AD1130">
        <f>IF(AND(vp.tbl[[#This Row],[CrudeType]]="Crude",vp.tbl[[#This Row],[Dens]]&gt;870,vp.tbl[[#This Row],[Dens]]&lt;=900,vp.tbl[[#This Row],[Sulf]]&gt;0.5,vp.tbl[[#This Row],[Unknown]]=0),1,0)</f>
        <v>0</v>
      </c>
      <c r="AE1130">
        <f>IF(AND(vp.tbl[[#This Row],[CrudeType]]="Crude",vp.tbl[[#This Row],[Dens]]&gt;900,vp.tbl[[#This Row],[Sulf]]&lt;=0.5,vp.tbl[[#This Row],[Unknown]]=0),1,0)</f>
        <v>0</v>
      </c>
      <c r="AF1130">
        <f>IF(AND(vp.tbl[[#This Row],[CrudeType]]="Crude",vp.tbl[[#This Row],[Dens]]&gt;900,vp.tbl[[#This Row],[Sulf]]&lt;=0.5,vp.tbl[[#This Row],[Unknown]]=0),1,0)</f>
        <v>0</v>
      </c>
      <c r="AG1130" t="str">
        <f>INDEX(vp.tbl[[#Headers],[Unknown]:[Heavy_SW]],MATCH(1,vp.tbl[[#This Row],[Unknown]:[Heavy_SW]],0))</f>
        <v>Medium_SW</v>
      </c>
      <c r="AH1130" t="e">
        <f>INDEX([1]!crudeBD.lkup[Number],MATCH(vp.tbl[[#This Row],[Crude_Breakdown]],[1]!crudeBD.lkup[Crude Breakdown],0))</f>
        <v>#REF!</v>
      </c>
      <c r="AI1130">
        <f>MONTH(vp.tbl[[#This Row],[SDate]])</f>
        <v>3</v>
      </c>
      <c r="AJ1130" s="5">
        <f>IFERROR(vp.tbl[[#This Row],[Sulf]]*vp.tbl[[#This Row],[Net Dens]],"")</f>
        <v>3530256.1459880006</v>
      </c>
      <c r="AK1130" s="5">
        <f>IFERROR(vp.tbl[[#This Row],[Dens]]*vp.tbl[[#This Row],[VolumeM3]],"")</f>
        <v>16046618.845400002</v>
      </c>
      <c r="AL1130" s="5">
        <f>IFERROR(vp.tbl[[#This Row],[VP]]*vp.tbl[[#This Row],[VolumeM3]],"")</f>
        <v>1740269.7930000001</v>
      </c>
      <c r="AM1130" s="4">
        <f>IFERROR((vp.tbl[[#This Row],[VP]]-INDEX(crudeBD.lkup.complete[Mean_VP],MATCH(vp.tbl[[#This Row],[Crude_Breakdown]],crudeBD.lkup.complete[Crude Breakdown],0)))^2,"")</f>
        <v>51.600277777777627</v>
      </c>
      <c r="AN1130" s="4">
        <f>IFERROR((vp.tbl[[#This Row],[Dens]]-INDEX(crudeBD.lkup.complete[Mean_Dens],MATCH(vp.tbl[[#This Row],[Crude_Breakdown]],crudeBD.lkup.complete[Crude Breakdown],0)))^2,"")</f>
        <v>184.9600000000006</v>
      </c>
      <c r="AO1130" s="4">
        <f>IFERROR((vp.tbl[[#This Row],[Sulf]]-INDEX(crudeBD.lkup.complete[Mean_Sulf],MATCH(vp.tbl[[#This Row],[Crude_Breakdown]],crudeBD.lkup.complete[Crude Breakdown],0)))^2,"")</f>
        <v>1.7211296822500007E-3</v>
      </c>
      <c r="AP1130">
        <f>IF(AND(vp.tbl[[#This Row],[SDate]]&gt;=DATE(YEAR(vp.tbl[[#This Row],[SDate]]),5,1),vp.tbl[[#This Row],[SDate]]&lt;=DATE(YEAR(vp.tbl[[#This Row],[SDate]]),9,15)),1,0)</f>
        <v>0</v>
      </c>
      <c r="AQ1130" s="15">
        <f>IF(vp.tbl[[#This Row],[SDate]]&lt;DATE(2016,12,1),0,1)</f>
        <v>1</v>
      </c>
    </row>
    <row r="1131" spans="1:43" x14ac:dyDescent="0.25">
      <c r="A1131">
        <v>1130</v>
      </c>
      <c r="B1131" t="s">
        <v>49</v>
      </c>
      <c r="C1131" t="s">
        <v>49</v>
      </c>
      <c r="D1131" t="s">
        <v>92</v>
      </c>
      <c r="F1131" s="1">
        <v>42823</v>
      </c>
      <c r="G1131" s="2">
        <v>74.599999999999994</v>
      </c>
      <c r="H1131" s="2">
        <v>0.48199999999999998</v>
      </c>
      <c r="I1131" s="2">
        <v>0.48199999999999998</v>
      </c>
      <c r="J1131" s="2">
        <v>27.9</v>
      </c>
      <c r="K1131" s="2">
        <v>16</v>
      </c>
      <c r="L1131" s="2">
        <v>819.9</v>
      </c>
      <c r="M1131" s="2">
        <v>819.9</v>
      </c>
      <c r="N1131" s="2">
        <f ca="1">INDEX(INDIRECT(_xlfn.CONCAT("weather.tbl[",N$1,"]")),MATCH(vp.tbl[[#This Row],[SDate]],weather.tbl[Date],0))</f>
        <v>6.7666666666666666</v>
      </c>
      <c r="O1131" s="2">
        <f ca="1">INDEX(INDIRECT(_xlfn.CONCAT("weather.tbl[",O$1,"]")),MATCH(vp.tbl[[#This Row],[SDate]],weather.tbl[Date],0))</f>
        <v>2.3880952380952385</v>
      </c>
      <c r="P1131" s="2">
        <f ca="1">INDEX(INDIRECT(_xlfn.CONCAT("weather.tbl[",P$1,"]")),MATCH(vp.tbl[[#This Row],[SDate]],weather.tbl[Date],0))</f>
        <v>6.7</v>
      </c>
      <c r="Q1131" s="2">
        <f ca="1">INDEX(INDIRECT(_xlfn.CONCAT("weather.tbl[",Q$1,"]")),MATCH(vp.tbl[[#This Row],[SDate]],weather.tbl[Date],0))</f>
        <v>7.9</v>
      </c>
      <c r="R1131" s="2">
        <f ca="1">INDEX(INDIRECT(_xlfn.CONCAT("weather.tbl[",R$1,"]")),MATCH(vp.tbl[[#This Row],[SDate]],weather.tbl[Date],0))</f>
        <v>5.5</v>
      </c>
      <c r="S1131" s="2">
        <f ca="1">INDEX(INDIRECT(_xlfn.CONCAT("weather.tbl[",S$1,"]")),MATCH(vp.tbl[[#This Row],[SDate]],weather.tbl[Date],0))</f>
        <v>8.8000000000000007</v>
      </c>
      <c r="T1131" s="2">
        <f ca="1">INDEX(INDIRECT(_xlfn.CONCAT("weather.tbl[",T$1,"]")),MATCH(vp.tbl[[#This Row],[SDate]],weather.tbl[Date],0))</f>
        <v>4.7</v>
      </c>
      <c r="U1131" s="2">
        <f ca="1">INDEX(INDIRECT(_xlfn.CONCAT("weather.tbl[",U$1,"]")),MATCH(vp.tbl[[#This Row],[SDate]],weather.tbl[Date],0))</f>
        <v>7</v>
      </c>
      <c r="V1131" s="2">
        <v>21566.571</v>
      </c>
      <c r="W1131" t="s">
        <v>48</v>
      </c>
      <c r="X1131">
        <f>IF(OR(vp.tbl[[#This Row],[Sulf]]="",vp.tbl[[#This Row],[Dens]]=""),1,0)</f>
        <v>0</v>
      </c>
      <c r="Y1131">
        <f>IF(vp.tbl[[#This Row],[CrudeType]]="C5+",1,0)</f>
        <v>0</v>
      </c>
      <c r="Z1131">
        <f>IF(AND(vp.tbl[[#This Row],[CrudeType]]="Crude",vp.tbl[[#This Row],[Dens]]&lt;=825,vp.tbl[[#This Row],[Sulf]]&gt;0.5,vp.tbl[[#This Row],[Unknown]]=0),1,0)</f>
        <v>0</v>
      </c>
      <c r="AA1131">
        <f>IF(AND(vp.tbl[[#This Row],[CrudeType]]="Crude",vp.tbl[[#This Row],[Dens]]&lt;=825,vp.tbl[[#This Row],[Sulf]]&lt;=0.5,vp.tbl[[#This Row],[Unknown]]=0),1,0)</f>
        <v>1</v>
      </c>
      <c r="AB1131">
        <f>IF(AND(vp.tbl[[#This Row],[CrudeType]]="Crude",vp.tbl[[#This Row],[Dens]]&gt;825,vp.tbl[[#This Row],[Dens]]&lt;=870,vp.tbl[[#This Row],[Sulf]]&gt;0.5,vp.tbl[[#This Row],[Unknown]]=0),1,0)</f>
        <v>0</v>
      </c>
      <c r="AC1131">
        <f>IF(AND(vp.tbl[[#This Row],[CrudeType]]="Crude",vp.tbl[[#This Row],[Dens]]&gt;825,vp.tbl[[#This Row],[Dens]]&lt;=900,vp.tbl[[#This Row],[Sulf]]&lt;=0.5,vp.tbl[[#This Row],[Unknown]]=0),1,0)</f>
        <v>0</v>
      </c>
      <c r="AD1131">
        <f>IF(AND(vp.tbl[[#This Row],[CrudeType]]="Crude",vp.tbl[[#This Row],[Dens]]&gt;870,vp.tbl[[#This Row],[Dens]]&lt;=900,vp.tbl[[#This Row],[Sulf]]&gt;0.5,vp.tbl[[#This Row],[Unknown]]=0),1,0)</f>
        <v>0</v>
      </c>
      <c r="AE1131">
        <f>IF(AND(vp.tbl[[#This Row],[CrudeType]]="Crude",vp.tbl[[#This Row],[Dens]]&gt;900,vp.tbl[[#This Row],[Sulf]]&lt;=0.5,vp.tbl[[#This Row],[Unknown]]=0),1,0)</f>
        <v>0</v>
      </c>
      <c r="AF1131">
        <f>IF(AND(vp.tbl[[#This Row],[CrudeType]]="Crude",vp.tbl[[#This Row],[Dens]]&gt;900,vp.tbl[[#This Row],[Sulf]]&lt;=0.5,vp.tbl[[#This Row],[Unknown]]=0),1,0)</f>
        <v>0</v>
      </c>
      <c r="AG1131" t="str">
        <f>INDEX(vp.tbl[[#Headers],[Unknown]:[Heavy_SW]],MATCH(1,vp.tbl[[#This Row],[Unknown]:[Heavy_SW]],0))</f>
        <v>Light_SW</v>
      </c>
      <c r="AH1131" t="e">
        <f>INDEX([1]!crudeBD.lkup[Number],MATCH(vp.tbl[[#This Row],[Crude_Breakdown]],[1]!crudeBD.lkup[Crude Breakdown],0))</f>
        <v>#REF!</v>
      </c>
      <c r="AI1131">
        <f>MONTH(vp.tbl[[#This Row],[SDate]])</f>
        <v>3</v>
      </c>
      <c r="AJ1131" s="5">
        <f>IFERROR(vp.tbl[[#This Row],[Sulf]]*vp.tbl[[#This Row],[Net Dens]],"")</f>
        <v>8522932.0133177992</v>
      </c>
      <c r="AK1131" s="5">
        <f>IFERROR(vp.tbl[[#This Row],[Dens]]*vp.tbl[[#This Row],[VolumeM3]],"")</f>
        <v>17682431.562899999</v>
      </c>
      <c r="AL1131" s="5">
        <f>IFERROR(vp.tbl[[#This Row],[VP]]*vp.tbl[[#This Row],[VolumeM3]],"")</f>
        <v>1608866.1965999999</v>
      </c>
      <c r="AM1131" s="4">
        <f>IFERROR((vp.tbl[[#This Row],[VP]]-INDEX(crudeBD.lkup.complete[Mean_VP],MATCH(vp.tbl[[#This Row],[Crude_Breakdown]],crudeBD.lkup.complete[Crude Breakdown],0)))^2,"")</f>
        <v>322.21375793805839</v>
      </c>
      <c r="AN1131" s="4">
        <f>IFERROR((vp.tbl[[#This Row],[Dens]]-INDEX(crudeBD.lkup.complete[Mean_Dens],MATCH(vp.tbl[[#This Row],[Crude_Breakdown]],crudeBD.lkup.complete[Crude Breakdown],0)))^2,"")</f>
        <v>134.29337262805635</v>
      </c>
      <c r="AO1131" s="4">
        <f>IFERROR((vp.tbl[[#This Row],[Sulf]]-INDEX(crudeBD.lkup.complete[Mean_Sulf],MATCH(vp.tbl[[#This Row],[Crude_Breakdown]],crudeBD.lkup.complete[Crude Breakdown],0)))^2,"")</f>
        <v>6.0397087044397842E-2</v>
      </c>
      <c r="AP1131">
        <f>IF(AND(vp.tbl[[#This Row],[SDate]]&gt;=DATE(YEAR(vp.tbl[[#This Row],[SDate]]),5,1),vp.tbl[[#This Row],[SDate]]&lt;=DATE(YEAR(vp.tbl[[#This Row],[SDate]]),9,15)),1,0)</f>
        <v>0</v>
      </c>
      <c r="AQ1131" s="15">
        <f>IF(vp.tbl[[#This Row],[SDate]]&lt;DATE(2016,12,1),0,1)</f>
        <v>1</v>
      </c>
    </row>
    <row r="1132" spans="1:43" x14ac:dyDescent="0.25">
      <c r="A1132">
        <v>1131</v>
      </c>
      <c r="B1132" t="s">
        <v>232</v>
      </c>
      <c r="C1132" t="s">
        <v>232</v>
      </c>
      <c r="D1132" t="s">
        <v>233</v>
      </c>
      <c r="F1132" s="1">
        <v>42823</v>
      </c>
      <c r="G1132" s="2">
        <v>60.1</v>
      </c>
      <c r="H1132" s="2">
        <v>1.048</v>
      </c>
      <c r="I1132" s="2">
        <v>1.048</v>
      </c>
      <c r="J1132" s="2">
        <v>29.1</v>
      </c>
      <c r="K1132" s="2">
        <v>16</v>
      </c>
      <c r="L1132" s="2">
        <v>843.9</v>
      </c>
      <c r="M1132" s="2">
        <v>843.9</v>
      </c>
      <c r="N1132" s="2">
        <f ca="1">INDEX(INDIRECT(_xlfn.CONCAT("weather.tbl[",N$1,"]")),MATCH(vp.tbl[[#This Row],[SDate]],weather.tbl[Date],0))</f>
        <v>6.7666666666666666</v>
      </c>
      <c r="O1132" s="2">
        <f ca="1">INDEX(INDIRECT(_xlfn.CONCAT("weather.tbl[",O$1,"]")),MATCH(vp.tbl[[#This Row],[SDate]],weather.tbl[Date],0))</f>
        <v>2.3880952380952385</v>
      </c>
      <c r="P1132" s="2">
        <f ca="1">INDEX(INDIRECT(_xlfn.CONCAT("weather.tbl[",P$1,"]")),MATCH(vp.tbl[[#This Row],[SDate]],weather.tbl[Date],0))</f>
        <v>6.7</v>
      </c>
      <c r="Q1132" s="2">
        <f ca="1">INDEX(INDIRECT(_xlfn.CONCAT("weather.tbl[",Q$1,"]")),MATCH(vp.tbl[[#This Row],[SDate]],weather.tbl[Date],0))</f>
        <v>7.9</v>
      </c>
      <c r="R1132" s="2">
        <f ca="1">INDEX(INDIRECT(_xlfn.CONCAT("weather.tbl[",R$1,"]")),MATCH(vp.tbl[[#This Row],[SDate]],weather.tbl[Date],0))</f>
        <v>5.5</v>
      </c>
      <c r="S1132" s="2">
        <f ca="1">INDEX(INDIRECT(_xlfn.CONCAT("weather.tbl[",S$1,"]")),MATCH(vp.tbl[[#This Row],[SDate]],weather.tbl[Date],0))</f>
        <v>8.8000000000000007</v>
      </c>
      <c r="T1132" s="2">
        <f ca="1">INDEX(INDIRECT(_xlfn.CONCAT("weather.tbl[",T$1,"]")),MATCH(vp.tbl[[#This Row],[SDate]],weather.tbl[Date],0))</f>
        <v>4.7</v>
      </c>
      <c r="U1132" s="2">
        <f ca="1">INDEX(INDIRECT(_xlfn.CONCAT("weather.tbl[",U$1,"]")),MATCH(vp.tbl[[#This Row],[SDate]],weather.tbl[Date],0))</f>
        <v>7</v>
      </c>
      <c r="V1132" s="2">
        <v>135.16499999999999</v>
      </c>
      <c r="W1132" t="s">
        <v>48</v>
      </c>
      <c r="X1132">
        <f>IF(OR(vp.tbl[[#This Row],[Sulf]]="",vp.tbl[[#This Row],[Dens]]=""),1,0)</f>
        <v>0</v>
      </c>
      <c r="Y1132">
        <f>IF(vp.tbl[[#This Row],[CrudeType]]="C5+",1,0)</f>
        <v>0</v>
      </c>
      <c r="Z1132">
        <f>IF(AND(vp.tbl[[#This Row],[CrudeType]]="Crude",vp.tbl[[#This Row],[Dens]]&lt;=825,vp.tbl[[#This Row],[Sulf]]&gt;0.5,vp.tbl[[#This Row],[Unknown]]=0),1,0)</f>
        <v>0</v>
      </c>
      <c r="AA1132">
        <f>IF(AND(vp.tbl[[#This Row],[CrudeType]]="Crude",vp.tbl[[#This Row],[Dens]]&lt;=825,vp.tbl[[#This Row],[Sulf]]&lt;=0.5,vp.tbl[[#This Row],[Unknown]]=0),1,0)</f>
        <v>0</v>
      </c>
      <c r="AB1132">
        <f>IF(AND(vp.tbl[[#This Row],[CrudeType]]="Crude",vp.tbl[[#This Row],[Dens]]&gt;825,vp.tbl[[#This Row],[Dens]]&lt;=870,vp.tbl[[#This Row],[Sulf]]&gt;0.5,vp.tbl[[#This Row],[Unknown]]=0),1,0)</f>
        <v>1</v>
      </c>
      <c r="AC1132">
        <f>IF(AND(vp.tbl[[#This Row],[CrudeType]]="Crude",vp.tbl[[#This Row],[Dens]]&gt;825,vp.tbl[[#This Row],[Dens]]&lt;=900,vp.tbl[[#This Row],[Sulf]]&lt;=0.5,vp.tbl[[#This Row],[Unknown]]=0),1,0)</f>
        <v>0</v>
      </c>
      <c r="AD1132">
        <f>IF(AND(vp.tbl[[#This Row],[CrudeType]]="Crude",vp.tbl[[#This Row],[Dens]]&gt;870,vp.tbl[[#This Row],[Dens]]&lt;=900,vp.tbl[[#This Row],[Sulf]]&gt;0.5,vp.tbl[[#This Row],[Unknown]]=0),1,0)</f>
        <v>0</v>
      </c>
      <c r="AE1132">
        <f>IF(AND(vp.tbl[[#This Row],[CrudeType]]="Crude",vp.tbl[[#This Row],[Dens]]&gt;900,vp.tbl[[#This Row],[Sulf]]&lt;=0.5,vp.tbl[[#This Row],[Unknown]]=0),1,0)</f>
        <v>0</v>
      </c>
      <c r="AF1132">
        <f>IF(AND(vp.tbl[[#This Row],[CrudeType]]="Crude",vp.tbl[[#This Row],[Dens]]&gt;900,vp.tbl[[#This Row],[Sulf]]&lt;=0.5,vp.tbl[[#This Row],[Unknown]]=0),1,0)</f>
        <v>0</v>
      </c>
      <c r="AG1132" t="str">
        <f>INDEX(vp.tbl[[#Headers],[Unknown]:[Heavy_SW]],MATCH(1,vp.tbl[[#This Row],[Unknown]:[Heavy_SW]],0))</f>
        <v>Medium_LSB</v>
      </c>
      <c r="AH1132" t="e">
        <f>INDEX([1]!crudeBD.lkup[Number],MATCH(vp.tbl[[#This Row],[Crude_Breakdown]],[1]!crudeBD.lkup[Crude Breakdown],0))</f>
        <v>#REF!</v>
      </c>
      <c r="AI1132">
        <f>MONTH(vp.tbl[[#This Row],[SDate]])</f>
        <v>3</v>
      </c>
      <c r="AJ1132" s="5">
        <f>IFERROR(vp.tbl[[#This Row],[Sulf]]*vp.tbl[[#This Row],[Net Dens]],"")</f>
        <v>119540.899188</v>
      </c>
      <c r="AK1132" s="5">
        <f>IFERROR(vp.tbl[[#This Row],[Dens]]*vp.tbl[[#This Row],[VolumeM3]],"")</f>
        <v>114065.7435</v>
      </c>
      <c r="AL1132" s="5">
        <f>IFERROR(vp.tbl[[#This Row],[VP]]*vp.tbl[[#This Row],[VolumeM3]],"")</f>
        <v>8123.4164999999994</v>
      </c>
      <c r="AM1132" s="4">
        <f>IFERROR((vp.tbl[[#This Row],[VP]]-INDEX(crudeBD.lkup.complete[Mean_VP],MATCH(vp.tbl[[#This Row],[Crude_Breakdown]],crudeBD.lkup.complete[Crude Breakdown],0)))^2,"")</f>
        <v>402.94921368306206</v>
      </c>
      <c r="AN1132" s="4">
        <f>IFERROR((vp.tbl[[#This Row],[Dens]]-INDEX(crudeBD.lkup.complete[Mean_Dens],MATCH(vp.tbl[[#This Row],[Crude_Breakdown]],crudeBD.lkup.complete[Crude Breakdown],0)))^2,"")</f>
        <v>1.9371706643139384</v>
      </c>
      <c r="AO1132" s="4">
        <f>IFERROR((vp.tbl[[#This Row],[Sulf]]-INDEX(crudeBD.lkup.complete[Mean_Sulf],MATCH(vp.tbl[[#This Row],[Crude_Breakdown]],crudeBD.lkup.complete[Crude Breakdown],0)))^2,"")</f>
        <v>0.16559191157774208</v>
      </c>
      <c r="AP1132">
        <f>IF(AND(vp.tbl[[#This Row],[SDate]]&gt;=DATE(YEAR(vp.tbl[[#This Row],[SDate]]),5,1),vp.tbl[[#This Row],[SDate]]&lt;=DATE(YEAR(vp.tbl[[#This Row],[SDate]]),9,15)),1,0)</f>
        <v>0</v>
      </c>
      <c r="AQ1132" s="15">
        <f>IF(vp.tbl[[#This Row],[SDate]]&lt;DATE(2016,12,1),0,1)</f>
        <v>1</v>
      </c>
    </row>
    <row r="1133" spans="1:43" x14ac:dyDescent="0.25">
      <c r="A1133">
        <v>1132</v>
      </c>
      <c r="B1133" t="s">
        <v>49</v>
      </c>
      <c r="C1133" t="s">
        <v>49</v>
      </c>
      <c r="D1133" t="s">
        <v>50</v>
      </c>
      <c r="F1133" s="1">
        <v>42823</v>
      </c>
      <c r="G1133" s="2">
        <v>73.3</v>
      </c>
      <c r="H1133" s="2">
        <v>2.5190000000000001</v>
      </c>
      <c r="I1133" s="2">
        <v>2.5190000000000001</v>
      </c>
      <c r="J1133" s="2">
        <v>19</v>
      </c>
      <c r="K1133" s="2">
        <v>16</v>
      </c>
      <c r="L1133" s="2">
        <v>866.2</v>
      </c>
      <c r="M1133" s="2">
        <v>866.2</v>
      </c>
      <c r="N1133" s="2">
        <f ca="1">INDEX(INDIRECT(_xlfn.CONCAT("weather.tbl[",N$1,"]")),MATCH(vp.tbl[[#This Row],[SDate]],weather.tbl[Date],0))</f>
        <v>6.7666666666666666</v>
      </c>
      <c r="O1133" s="2">
        <f ca="1">INDEX(INDIRECT(_xlfn.CONCAT("weather.tbl[",O$1,"]")),MATCH(vp.tbl[[#This Row],[SDate]],weather.tbl[Date],0))</f>
        <v>2.3880952380952385</v>
      </c>
      <c r="P1133" s="2">
        <f ca="1">INDEX(INDIRECT(_xlfn.CONCAT("weather.tbl[",P$1,"]")),MATCH(vp.tbl[[#This Row],[SDate]],weather.tbl[Date],0))</f>
        <v>6.7</v>
      </c>
      <c r="Q1133" s="2">
        <f ca="1">INDEX(INDIRECT(_xlfn.CONCAT("weather.tbl[",Q$1,"]")),MATCH(vp.tbl[[#This Row],[SDate]],weather.tbl[Date],0))</f>
        <v>7.9</v>
      </c>
      <c r="R1133" s="2">
        <f ca="1">INDEX(INDIRECT(_xlfn.CONCAT("weather.tbl[",R$1,"]")),MATCH(vp.tbl[[#This Row],[SDate]],weather.tbl[Date],0))</f>
        <v>5.5</v>
      </c>
      <c r="S1133" s="2">
        <f ca="1">INDEX(INDIRECT(_xlfn.CONCAT("weather.tbl[",S$1,"]")),MATCH(vp.tbl[[#This Row],[SDate]],weather.tbl[Date],0))</f>
        <v>8.8000000000000007</v>
      </c>
      <c r="T1133" s="2">
        <f ca="1">INDEX(INDIRECT(_xlfn.CONCAT("weather.tbl[",T$1,"]")),MATCH(vp.tbl[[#This Row],[SDate]],weather.tbl[Date],0))</f>
        <v>4.7</v>
      </c>
      <c r="U1133" s="2">
        <f ca="1">INDEX(INDIRECT(_xlfn.CONCAT("weather.tbl[",U$1,"]")),MATCH(vp.tbl[[#This Row],[SDate]],weather.tbl[Date],0))</f>
        <v>7</v>
      </c>
      <c r="V1133" s="2">
        <v>6292.7340000000004</v>
      </c>
      <c r="W1133" t="s">
        <v>48</v>
      </c>
      <c r="X1133">
        <f>IF(OR(vp.tbl[[#This Row],[Sulf]]="",vp.tbl[[#This Row],[Dens]]=""),1,0)</f>
        <v>0</v>
      </c>
      <c r="Y1133">
        <f>IF(vp.tbl[[#This Row],[CrudeType]]="C5+",1,0)</f>
        <v>0</v>
      </c>
      <c r="Z1133">
        <f>IF(AND(vp.tbl[[#This Row],[CrudeType]]="Crude",vp.tbl[[#This Row],[Dens]]&lt;=825,vp.tbl[[#This Row],[Sulf]]&gt;0.5,vp.tbl[[#This Row],[Unknown]]=0),1,0)</f>
        <v>0</v>
      </c>
      <c r="AA1133">
        <f>IF(AND(vp.tbl[[#This Row],[CrudeType]]="Crude",vp.tbl[[#This Row],[Dens]]&lt;=825,vp.tbl[[#This Row],[Sulf]]&lt;=0.5,vp.tbl[[#This Row],[Unknown]]=0),1,0)</f>
        <v>0</v>
      </c>
      <c r="AB1133">
        <f>IF(AND(vp.tbl[[#This Row],[CrudeType]]="Crude",vp.tbl[[#This Row],[Dens]]&gt;825,vp.tbl[[#This Row],[Dens]]&lt;=870,vp.tbl[[#This Row],[Sulf]]&gt;0.5,vp.tbl[[#This Row],[Unknown]]=0),1,0)</f>
        <v>1</v>
      </c>
      <c r="AC1133">
        <f>IF(AND(vp.tbl[[#This Row],[CrudeType]]="Crude",vp.tbl[[#This Row],[Dens]]&gt;825,vp.tbl[[#This Row],[Dens]]&lt;=900,vp.tbl[[#This Row],[Sulf]]&lt;=0.5,vp.tbl[[#This Row],[Unknown]]=0),1,0)</f>
        <v>0</v>
      </c>
      <c r="AD1133">
        <f>IF(AND(vp.tbl[[#This Row],[CrudeType]]="Crude",vp.tbl[[#This Row],[Dens]]&gt;870,vp.tbl[[#This Row],[Dens]]&lt;=900,vp.tbl[[#This Row],[Sulf]]&gt;0.5,vp.tbl[[#This Row],[Unknown]]=0),1,0)</f>
        <v>0</v>
      </c>
      <c r="AE1133">
        <f>IF(AND(vp.tbl[[#This Row],[CrudeType]]="Crude",vp.tbl[[#This Row],[Dens]]&gt;900,vp.tbl[[#This Row],[Sulf]]&lt;=0.5,vp.tbl[[#This Row],[Unknown]]=0),1,0)</f>
        <v>0</v>
      </c>
      <c r="AF1133">
        <f>IF(AND(vp.tbl[[#This Row],[CrudeType]]="Crude",vp.tbl[[#This Row],[Dens]]&gt;900,vp.tbl[[#This Row],[Sulf]]&lt;=0.5,vp.tbl[[#This Row],[Unknown]]=0),1,0)</f>
        <v>0</v>
      </c>
      <c r="AG1133" t="str">
        <f>INDEX(vp.tbl[[#Headers],[Unknown]:[Heavy_SW]],MATCH(1,vp.tbl[[#This Row],[Unknown]:[Heavy_SW]],0))</f>
        <v>Medium_LSB</v>
      </c>
      <c r="AH1133" t="e">
        <f>INDEX([1]!crudeBD.lkup[Number],MATCH(vp.tbl[[#This Row],[Crude_Breakdown]],[1]!crudeBD.lkup[Crude Breakdown],0))</f>
        <v>#REF!</v>
      </c>
      <c r="AI1133">
        <f>MONTH(vp.tbl[[#This Row],[SDate]])</f>
        <v>3</v>
      </c>
      <c r="AJ1133" s="5">
        <f>IFERROR(vp.tbl[[#This Row],[Sulf]]*vp.tbl[[#This Row],[Net Dens]],"")</f>
        <v>13730480.034625202</v>
      </c>
      <c r="AK1133" s="5">
        <f>IFERROR(vp.tbl[[#This Row],[Dens]]*vp.tbl[[#This Row],[VolumeM3]],"")</f>
        <v>5450766.1908000009</v>
      </c>
      <c r="AL1133" s="5">
        <f>IFERROR(vp.tbl[[#This Row],[VP]]*vp.tbl[[#This Row],[VolumeM3]],"")</f>
        <v>461257.40220000001</v>
      </c>
      <c r="AM1133" s="4">
        <f>IFERROR((vp.tbl[[#This Row],[VP]]-INDEX(crudeBD.lkup.complete[Mean_VP],MATCH(vp.tbl[[#This Row],[Crude_Breakdown]],crudeBD.lkup.complete[Crude Breakdown],0)))^2,"")</f>
        <v>47.24630735394922</v>
      </c>
      <c r="AN1133" s="4">
        <f>IFERROR((vp.tbl[[#This Row],[Dens]]-INDEX(crudeBD.lkup.complete[Mean_Dens],MATCH(vp.tbl[[#This Row],[Crude_Breakdown]],crudeBD.lkup.complete[Crude Breakdown],0)))^2,"")</f>
        <v>437.15187446182807</v>
      </c>
      <c r="AO1133" s="4">
        <f>IFERROR((vp.tbl[[#This Row],[Sulf]]-INDEX(crudeBD.lkup.complete[Mean_Sulf],MATCH(vp.tbl[[#This Row],[Crude_Breakdown]],crudeBD.lkup.complete[Crude Breakdown],0)))^2,"")</f>
        <v>1.1322452612233076</v>
      </c>
      <c r="AP1133">
        <f>IF(AND(vp.tbl[[#This Row],[SDate]]&gt;=DATE(YEAR(vp.tbl[[#This Row],[SDate]]),5,1),vp.tbl[[#This Row],[SDate]]&lt;=DATE(YEAR(vp.tbl[[#This Row],[SDate]]),9,15)),1,0)</f>
        <v>0</v>
      </c>
      <c r="AQ1133" s="15">
        <f>IF(vp.tbl[[#This Row],[SDate]]&lt;DATE(2016,12,1),0,1)</f>
        <v>1</v>
      </c>
    </row>
    <row r="1134" spans="1:43" x14ac:dyDescent="0.25">
      <c r="A1134">
        <v>1133</v>
      </c>
      <c r="B1134" t="s">
        <v>111</v>
      </c>
      <c r="C1134" t="s">
        <v>111</v>
      </c>
      <c r="D1134" t="s">
        <v>234</v>
      </c>
      <c r="F1134" s="1">
        <v>42823</v>
      </c>
      <c r="G1134" s="2">
        <v>67.599999999999994</v>
      </c>
      <c r="H1134" s="2">
        <v>2.7770000000000001</v>
      </c>
      <c r="I1134" s="2">
        <v>2.7770000000000001</v>
      </c>
      <c r="J1134" s="2">
        <v>35.4</v>
      </c>
      <c r="K1134" s="2">
        <v>16</v>
      </c>
      <c r="L1134" s="2">
        <v>887.3</v>
      </c>
      <c r="M1134" s="2">
        <v>887.3</v>
      </c>
      <c r="N1134" s="2">
        <f ca="1">INDEX(INDIRECT(_xlfn.CONCAT("weather.tbl[",N$1,"]")),MATCH(vp.tbl[[#This Row],[SDate]],weather.tbl[Date],0))</f>
        <v>6.7666666666666666</v>
      </c>
      <c r="O1134" s="2">
        <f ca="1">INDEX(INDIRECT(_xlfn.CONCAT("weather.tbl[",O$1,"]")),MATCH(vp.tbl[[#This Row],[SDate]],weather.tbl[Date],0))</f>
        <v>2.3880952380952385</v>
      </c>
      <c r="P1134" s="2">
        <f ca="1">INDEX(INDIRECT(_xlfn.CONCAT("weather.tbl[",P$1,"]")),MATCH(vp.tbl[[#This Row],[SDate]],weather.tbl[Date],0))</f>
        <v>6.7</v>
      </c>
      <c r="Q1134" s="2">
        <f ca="1">INDEX(INDIRECT(_xlfn.CONCAT("weather.tbl[",Q$1,"]")),MATCH(vp.tbl[[#This Row],[SDate]],weather.tbl[Date],0))</f>
        <v>7.9</v>
      </c>
      <c r="R1134" s="2">
        <f ca="1">INDEX(INDIRECT(_xlfn.CONCAT("weather.tbl[",R$1,"]")),MATCH(vp.tbl[[#This Row],[SDate]],weather.tbl[Date],0))</f>
        <v>5.5</v>
      </c>
      <c r="S1134" s="2">
        <f ca="1">INDEX(INDIRECT(_xlfn.CONCAT("weather.tbl[",S$1,"]")),MATCH(vp.tbl[[#This Row],[SDate]],weather.tbl[Date],0))</f>
        <v>8.8000000000000007</v>
      </c>
      <c r="T1134" s="2">
        <f ca="1">INDEX(INDIRECT(_xlfn.CONCAT("weather.tbl[",T$1,"]")),MATCH(vp.tbl[[#This Row],[SDate]],weather.tbl[Date],0))</f>
        <v>4.7</v>
      </c>
      <c r="U1134" s="2">
        <f ca="1">INDEX(INDIRECT(_xlfn.CONCAT("weather.tbl[",U$1,"]")),MATCH(vp.tbl[[#This Row],[SDate]],weather.tbl[Date],0))</f>
        <v>7</v>
      </c>
      <c r="V1134" s="2">
        <v>5368.5050000000001</v>
      </c>
      <c r="W1134" t="s">
        <v>48</v>
      </c>
      <c r="X1134">
        <f>IF(OR(vp.tbl[[#This Row],[Sulf]]="",vp.tbl[[#This Row],[Dens]]=""),1,0)</f>
        <v>0</v>
      </c>
      <c r="Y1134">
        <f>IF(vp.tbl[[#This Row],[CrudeType]]="C5+",1,0)</f>
        <v>0</v>
      </c>
      <c r="Z1134">
        <f>IF(AND(vp.tbl[[#This Row],[CrudeType]]="Crude",vp.tbl[[#This Row],[Dens]]&lt;=825,vp.tbl[[#This Row],[Sulf]]&gt;0.5,vp.tbl[[#This Row],[Unknown]]=0),1,0)</f>
        <v>0</v>
      </c>
      <c r="AA1134">
        <f>IF(AND(vp.tbl[[#This Row],[CrudeType]]="Crude",vp.tbl[[#This Row],[Dens]]&lt;=825,vp.tbl[[#This Row],[Sulf]]&lt;=0.5,vp.tbl[[#This Row],[Unknown]]=0),1,0)</f>
        <v>0</v>
      </c>
      <c r="AB1134">
        <f>IF(AND(vp.tbl[[#This Row],[CrudeType]]="Crude",vp.tbl[[#This Row],[Dens]]&gt;825,vp.tbl[[#This Row],[Dens]]&lt;=870,vp.tbl[[#This Row],[Sulf]]&gt;0.5,vp.tbl[[#This Row],[Unknown]]=0),1,0)</f>
        <v>0</v>
      </c>
      <c r="AC1134">
        <f>IF(AND(vp.tbl[[#This Row],[CrudeType]]="Crude",vp.tbl[[#This Row],[Dens]]&gt;825,vp.tbl[[#This Row],[Dens]]&lt;=900,vp.tbl[[#This Row],[Sulf]]&lt;=0.5,vp.tbl[[#This Row],[Unknown]]=0),1,0)</f>
        <v>0</v>
      </c>
      <c r="AD1134">
        <f>IF(AND(vp.tbl[[#This Row],[CrudeType]]="Crude",vp.tbl[[#This Row],[Dens]]&gt;870,vp.tbl[[#This Row],[Dens]]&lt;=900,vp.tbl[[#This Row],[Sulf]]&gt;0.5,vp.tbl[[#This Row],[Unknown]]=0),1,0)</f>
        <v>1</v>
      </c>
      <c r="AE1134">
        <f>IF(AND(vp.tbl[[#This Row],[CrudeType]]="Crude",vp.tbl[[#This Row],[Dens]]&gt;900,vp.tbl[[#This Row],[Sulf]]&lt;=0.5,vp.tbl[[#This Row],[Unknown]]=0),1,0)</f>
        <v>0</v>
      </c>
      <c r="AF1134">
        <f>IF(AND(vp.tbl[[#This Row],[CrudeType]]="Crude",vp.tbl[[#This Row],[Dens]]&gt;900,vp.tbl[[#This Row],[Sulf]]&lt;=0.5,vp.tbl[[#This Row],[Unknown]]=0),1,0)</f>
        <v>0</v>
      </c>
      <c r="AG1134" t="str">
        <f>INDEX(vp.tbl[[#Headers],[Unknown]:[Heavy_SW]],MATCH(1,vp.tbl[[#This Row],[Unknown]:[Heavy_SW]],0))</f>
        <v>Midale</v>
      </c>
      <c r="AH1134" t="e">
        <f>INDEX([1]!crudeBD.lkup[Number],MATCH(vp.tbl[[#This Row],[Crude_Breakdown]],[1]!crudeBD.lkup[Crude Breakdown],0))</f>
        <v>#REF!</v>
      </c>
      <c r="AI1134">
        <f>MONTH(vp.tbl[[#This Row],[SDate]])</f>
        <v>3</v>
      </c>
      <c r="AJ1134" s="5">
        <f>IFERROR(vp.tbl[[#This Row],[Sulf]]*vp.tbl[[#This Row],[Net Dens]],"")</f>
        <v>13228168.6490105</v>
      </c>
      <c r="AK1134" s="5">
        <f>IFERROR(vp.tbl[[#This Row],[Dens]]*vp.tbl[[#This Row],[VolumeM3]],"")</f>
        <v>4763474.4864999996</v>
      </c>
      <c r="AL1134" s="5">
        <f>IFERROR(vp.tbl[[#This Row],[VP]]*vp.tbl[[#This Row],[VolumeM3]],"")</f>
        <v>362910.93799999997</v>
      </c>
      <c r="AM1134" s="4">
        <f>IFERROR((vp.tbl[[#This Row],[VP]]-INDEX(crudeBD.lkup.complete[Mean_VP],MATCH(vp.tbl[[#This Row],[Crude_Breakdown]],crudeBD.lkup.complete[Crude Breakdown],0)))^2,"")</f>
        <v>0.40749859260651677</v>
      </c>
      <c r="AN1134" s="4">
        <f>IFERROR((vp.tbl[[#This Row],[Dens]]-INDEX(crudeBD.lkup.complete[Mean_Dens],MATCH(vp.tbl[[#This Row],[Crude_Breakdown]],crudeBD.lkup.complete[Crude Breakdown],0)))^2,"")</f>
        <v>95.022435729034854</v>
      </c>
      <c r="AO1134" s="4">
        <f>IFERROR((vp.tbl[[#This Row],[Sulf]]-INDEX(crudeBD.lkup.complete[Mean_Sulf],MATCH(vp.tbl[[#This Row],[Crude_Breakdown]],crudeBD.lkup.complete[Crude Breakdown],0)))^2,"")</f>
        <v>0.13079785651508827</v>
      </c>
      <c r="AP1134">
        <f>IF(AND(vp.tbl[[#This Row],[SDate]]&gt;=DATE(YEAR(vp.tbl[[#This Row],[SDate]]),5,1),vp.tbl[[#This Row],[SDate]]&lt;=DATE(YEAR(vp.tbl[[#This Row],[SDate]]),9,15)),1,0)</f>
        <v>0</v>
      </c>
      <c r="AQ1134" s="15">
        <f>IF(vp.tbl[[#This Row],[SDate]]&lt;DATE(2016,12,1),0,1)</f>
        <v>1</v>
      </c>
    </row>
    <row r="1135" spans="1:43" x14ac:dyDescent="0.25">
      <c r="A1135">
        <v>1134</v>
      </c>
      <c r="B1135" t="s">
        <v>62</v>
      </c>
      <c r="C1135" t="s">
        <v>62</v>
      </c>
      <c r="D1135" t="s">
        <v>63</v>
      </c>
      <c r="F1135" s="1">
        <v>42823</v>
      </c>
      <c r="G1135" s="2">
        <v>87.6</v>
      </c>
      <c r="H1135" s="2"/>
      <c r="I1135" s="2">
        <v>1.74</v>
      </c>
      <c r="J1135" s="2">
        <v>19</v>
      </c>
      <c r="K1135" s="2">
        <v>16</v>
      </c>
      <c r="L1135" s="2">
        <v>817.9</v>
      </c>
      <c r="M1135" s="2">
        <v>817.9</v>
      </c>
      <c r="N1135" s="2">
        <f ca="1">INDEX(INDIRECT(_xlfn.CONCAT("weather.tbl[",N$1,"]")),MATCH(vp.tbl[[#This Row],[SDate]],weather.tbl[Date],0))</f>
        <v>6.7666666666666666</v>
      </c>
      <c r="O1135" s="2">
        <f ca="1">INDEX(INDIRECT(_xlfn.CONCAT("weather.tbl[",O$1,"]")),MATCH(vp.tbl[[#This Row],[SDate]],weather.tbl[Date],0))</f>
        <v>2.3880952380952385</v>
      </c>
      <c r="P1135" s="2">
        <f ca="1">INDEX(INDIRECT(_xlfn.CONCAT("weather.tbl[",P$1,"]")),MATCH(vp.tbl[[#This Row],[SDate]],weather.tbl[Date],0))</f>
        <v>6.7</v>
      </c>
      <c r="Q1135" s="2">
        <f ca="1">INDEX(INDIRECT(_xlfn.CONCAT("weather.tbl[",Q$1,"]")),MATCH(vp.tbl[[#This Row],[SDate]],weather.tbl[Date],0))</f>
        <v>7.9</v>
      </c>
      <c r="R1135" s="2">
        <f ca="1">INDEX(INDIRECT(_xlfn.CONCAT("weather.tbl[",R$1,"]")),MATCH(vp.tbl[[#This Row],[SDate]],weather.tbl[Date],0))</f>
        <v>5.5</v>
      </c>
      <c r="S1135" s="2">
        <f ca="1">INDEX(INDIRECT(_xlfn.CONCAT("weather.tbl[",S$1,"]")),MATCH(vp.tbl[[#This Row],[SDate]],weather.tbl[Date],0))</f>
        <v>8.8000000000000007</v>
      </c>
      <c r="T1135" s="2">
        <f ca="1">INDEX(INDIRECT(_xlfn.CONCAT("weather.tbl[",T$1,"]")),MATCH(vp.tbl[[#This Row],[SDate]],weather.tbl[Date],0))</f>
        <v>4.7</v>
      </c>
      <c r="U1135" s="2">
        <f ca="1">INDEX(INDIRECT(_xlfn.CONCAT("weather.tbl[",U$1,"]")),MATCH(vp.tbl[[#This Row],[SDate]],weather.tbl[Date],0))</f>
        <v>7</v>
      </c>
      <c r="V1135" s="2">
        <v>6959.2520000000004</v>
      </c>
      <c r="W1135" t="s">
        <v>48</v>
      </c>
      <c r="X1135">
        <f>IF(OR(vp.tbl[[#This Row],[Sulf]]="",vp.tbl[[#This Row],[Dens]]=""),1,0)</f>
        <v>0</v>
      </c>
      <c r="Y1135">
        <f>IF(vp.tbl[[#This Row],[CrudeType]]="C5+",1,0)</f>
        <v>0</v>
      </c>
      <c r="Z1135">
        <f>IF(AND(vp.tbl[[#This Row],[CrudeType]]="Crude",vp.tbl[[#This Row],[Dens]]&lt;=825,vp.tbl[[#This Row],[Sulf]]&gt;0.5,vp.tbl[[#This Row],[Unknown]]=0),1,0)</f>
        <v>1</v>
      </c>
      <c r="AA1135">
        <f>IF(AND(vp.tbl[[#This Row],[CrudeType]]="Crude",vp.tbl[[#This Row],[Dens]]&lt;=825,vp.tbl[[#This Row],[Sulf]]&lt;=0.5,vp.tbl[[#This Row],[Unknown]]=0),1,0)</f>
        <v>0</v>
      </c>
      <c r="AB1135">
        <f>IF(AND(vp.tbl[[#This Row],[CrudeType]]="Crude",vp.tbl[[#This Row],[Dens]]&gt;825,vp.tbl[[#This Row],[Dens]]&lt;=870,vp.tbl[[#This Row],[Sulf]]&gt;0.5,vp.tbl[[#This Row],[Unknown]]=0),1,0)</f>
        <v>0</v>
      </c>
      <c r="AC1135">
        <f>IF(AND(vp.tbl[[#This Row],[CrudeType]]="Crude",vp.tbl[[#This Row],[Dens]]&gt;825,vp.tbl[[#This Row],[Dens]]&lt;=900,vp.tbl[[#This Row],[Sulf]]&lt;=0.5,vp.tbl[[#This Row],[Unknown]]=0),1,0)</f>
        <v>0</v>
      </c>
      <c r="AD1135">
        <f>IF(AND(vp.tbl[[#This Row],[CrudeType]]="Crude",vp.tbl[[#This Row],[Dens]]&gt;870,vp.tbl[[#This Row],[Dens]]&lt;=900,vp.tbl[[#This Row],[Sulf]]&gt;0.5,vp.tbl[[#This Row],[Unknown]]=0),1,0)</f>
        <v>0</v>
      </c>
      <c r="AE1135">
        <f>IF(AND(vp.tbl[[#This Row],[CrudeType]]="Crude",vp.tbl[[#This Row],[Dens]]&gt;900,vp.tbl[[#This Row],[Sulf]]&lt;=0.5,vp.tbl[[#This Row],[Unknown]]=0),1,0)</f>
        <v>0</v>
      </c>
      <c r="AF1135">
        <f>IF(AND(vp.tbl[[#This Row],[CrudeType]]="Crude",vp.tbl[[#This Row],[Dens]]&gt;900,vp.tbl[[#This Row],[Sulf]]&lt;=0.5,vp.tbl[[#This Row],[Unknown]]=0),1,0)</f>
        <v>0</v>
      </c>
      <c r="AG1135" t="str">
        <f>INDEX(vp.tbl[[#Headers],[Unknown]:[Heavy_SW]],MATCH(1,vp.tbl[[#This Row],[Unknown]:[Heavy_SW]],0))</f>
        <v>Light_LSB</v>
      </c>
      <c r="AH1135" t="e">
        <f>INDEX([1]!crudeBD.lkup[Number],MATCH(vp.tbl[[#This Row],[Crude_Breakdown]],[1]!crudeBD.lkup[Crude Breakdown],0))</f>
        <v>#REF!</v>
      </c>
      <c r="AI1135">
        <f>MONTH(vp.tbl[[#This Row],[SDate]])</f>
        <v>3</v>
      </c>
      <c r="AJ1135" s="5">
        <f>IFERROR(vp.tbl[[#This Row],[Sulf]]*vp.tbl[[#This Row],[Net Dens]],"")</f>
        <v>9904031.6467920002</v>
      </c>
      <c r="AK1135" s="5">
        <f>IFERROR(vp.tbl[[#This Row],[Dens]]*vp.tbl[[#This Row],[VolumeM3]],"")</f>
        <v>5691972.2108000005</v>
      </c>
      <c r="AL1135" s="5">
        <f>IFERROR(vp.tbl[[#This Row],[VP]]*vp.tbl[[#This Row],[VolumeM3]],"")</f>
        <v>609630.47519999999</v>
      </c>
      <c r="AM1135" s="4">
        <f>IFERROR((vp.tbl[[#This Row],[VP]]-INDEX(crudeBD.lkup.complete[Mean_VP],MATCH(vp.tbl[[#This Row],[Crude_Breakdown]],crudeBD.lkup.complete[Crude Breakdown],0)))^2,"")</f>
        <v>15.572380529280766</v>
      </c>
      <c r="AN1135" s="4">
        <f>IFERROR((vp.tbl[[#This Row],[Dens]]-INDEX(crudeBD.lkup.complete[Mean_Dens],MATCH(vp.tbl[[#This Row],[Crude_Breakdown]],crudeBD.lkup.complete[Crude Breakdown],0)))^2,"")</f>
        <v>0.38040493617186338</v>
      </c>
      <c r="AO1135" s="4">
        <f>IFERROR((vp.tbl[[#This Row],[Sulf]]-INDEX(crudeBD.lkup.complete[Mean_Sulf],MATCH(vp.tbl[[#This Row],[Crude_Breakdown]],crudeBD.lkup.complete[Crude Breakdown],0)))^2,"")</f>
        <v>0.66753611169036897</v>
      </c>
      <c r="AP1135">
        <f>IF(AND(vp.tbl[[#This Row],[SDate]]&gt;=DATE(YEAR(vp.tbl[[#This Row],[SDate]]),5,1),vp.tbl[[#This Row],[SDate]]&lt;=DATE(YEAR(vp.tbl[[#This Row],[SDate]]),9,15)),1,0)</f>
        <v>0</v>
      </c>
      <c r="AQ1135" s="15">
        <f>IF(vp.tbl[[#This Row],[SDate]]&lt;DATE(2016,12,1),0,1)</f>
        <v>1</v>
      </c>
    </row>
    <row r="1136" spans="1:43" x14ac:dyDescent="0.25">
      <c r="A1136">
        <v>1135</v>
      </c>
      <c r="B1136" t="s">
        <v>51</v>
      </c>
      <c r="C1136" t="s">
        <v>51</v>
      </c>
      <c r="D1136" t="s">
        <v>58</v>
      </c>
      <c r="F1136" s="1">
        <v>42823</v>
      </c>
      <c r="G1136" s="2">
        <v>95.8</v>
      </c>
      <c r="H1136" s="2"/>
      <c r="I1136" s="2">
        <v>1.31</v>
      </c>
      <c r="J1136" s="2">
        <v>29</v>
      </c>
      <c r="K1136" s="2">
        <v>16</v>
      </c>
      <c r="L1136" s="2">
        <v>820.9</v>
      </c>
      <c r="M1136" s="2">
        <v>820.9</v>
      </c>
      <c r="N1136" s="2">
        <f ca="1">INDEX(INDIRECT(_xlfn.CONCAT("weather.tbl[",N$1,"]")),MATCH(vp.tbl[[#This Row],[SDate]],weather.tbl[Date],0))</f>
        <v>6.7666666666666666</v>
      </c>
      <c r="O1136" s="2">
        <f ca="1">INDEX(INDIRECT(_xlfn.CONCAT("weather.tbl[",O$1,"]")),MATCH(vp.tbl[[#This Row],[SDate]],weather.tbl[Date],0))</f>
        <v>2.3880952380952385</v>
      </c>
      <c r="P1136" s="2">
        <f ca="1">INDEX(INDIRECT(_xlfn.CONCAT("weather.tbl[",P$1,"]")),MATCH(vp.tbl[[#This Row],[SDate]],weather.tbl[Date],0))</f>
        <v>6.7</v>
      </c>
      <c r="Q1136" s="2">
        <f ca="1">INDEX(INDIRECT(_xlfn.CONCAT("weather.tbl[",Q$1,"]")),MATCH(vp.tbl[[#This Row],[SDate]],weather.tbl[Date],0))</f>
        <v>7.9</v>
      </c>
      <c r="R1136" s="2">
        <f ca="1">INDEX(INDIRECT(_xlfn.CONCAT("weather.tbl[",R$1,"]")),MATCH(vp.tbl[[#This Row],[SDate]],weather.tbl[Date],0))</f>
        <v>5.5</v>
      </c>
      <c r="S1136" s="2">
        <f ca="1">INDEX(INDIRECT(_xlfn.CONCAT("weather.tbl[",S$1,"]")),MATCH(vp.tbl[[#This Row],[SDate]],weather.tbl[Date],0))</f>
        <v>8.8000000000000007</v>
      </c>
      <c r="T1136" s="2">
        <f ca="1">INDEX(INDIRECT(_xlfn.CONCAT("weather.tbl[",T$1,"]")),MATCH(vp.tbl[[#This Row],[SDate]],weather.tbl[Date],0))</f>
        <v>4.7</v>
      </c>
      <c r="U1136" s="2">
        <f ca="1">INDEX(INDIRECT(_xlfn.CONCAT("weather.tbl[",U$1,"]")),MATCH(vp.tbl[[#This Row],[SDate]],weather.tbl[Date],0))</f>
        <v>7</v>
      </c>
      <c r="V1136" s="2">
        <v>6071.2709999999997</v>
      </c>
      <c r="W1136" t="s">
        <v>48</v>
      </c>
      <c r="X1136">
        <f>IF(OR(vp.tbl[[#This Row],[Sulf]]="",vp.tbl[[#This Row],[Dens]]=""),1,0)</f>
        <v>0</v>
      </c>
      <c r="Y1136">
        <f>IF(vp.tbl[[#This Row],[CrudeType]]="C5+",1,0)</f>
        <v>0</v>
      </c>
      <c r="Z1136">
        <f>IF(AND(vp.tbl[[#This Row],[CrudeType]]="Crude",vp.tbl[[#This Row],[Dens]]&lt;=825,vp.tbl[[#This Row],[Sulf]]&gt;0.5,vp.tbl[[#This Row],[Unknown]]=0),1,0)</f>
        <v>1</v>
      </c>
      <c r="AA1136">
        <f>IF(AND(vp.tbl[[#This Row],[CrudeType]]="Crude",vp.tbl[[#This Row],[Dens]]&lt;=825,vp.tbl[[#This Row],[Sulf]]&lt;=0.5,vp.tbl[[#This Row],[Unknown]]=0),1,0)</f>
        <v>0</v>
      </c>
      <c r="AB1136">
        <f>IF(AND(vp.tbl[[#This Row],[CrudeType]]="Crude",vp.tbl[[#This Row],[Dens]]&gt;825,vp.tbl[[#This Row],[Dens]]&lt;=870,vp.tbl[[#This Row],[Sulf]]&gt;0.5,vp.tbl[[#This Row],[Unknown]]=0),1,0)</f>
        <v>0</v>
      </c>
      <c r="AC1136">
        <f>IF(AND(vp.tbl[[#This Row],[CrudeType]]="Crude",vp.tbl[[#This Row],[Dens]]&gt;825,vp.tbl[[#This Row],[Dens]]&lt;=900,vp.tbl[[#This Row],[Sulf]]&lt;=0.5,vp.tbl[[#This Row],[Unknown]]=0),1,0)</f>
        <v>0</v>
      </c>
      <c r="AD1136">
        <f>IF(AND(vp.tbl[[#This Row],[CrudeType]]="Crude",vp.tbl[[#This Row],[Dens]]&gt;870,vp.tbl[[#This Row],[Dens]]&lt;=900,vp.tbl[[#This Row],[Sulf]]&gt;0.5,vp.tbl[[#This Row],[Unknown]]=0),1,0)</f>
        <v>0</v>
      </c>
      <c r="AE1136">
        <f>IF(AND(vp.tbl[[#This Row],[CrudeType]]="Crude",vp.tbl[[#This Row],[Dens]]&gt;900,vp.tbl[[#This Row],[Sulf]]&lt;=0.5,vp.tbl[[#This Row],[Unknown]]=0),1,0)</f>
        <v>0</v>
      </c>
      <c r="AF1136">
        <f>IF(AND(vp.tbl[[#This Row],[CrudeType]]="Crude",vp.tbl[[#This Row],[Dens]]&gt;900,vp.tbl[[#This Row],[Sulf]]&lt;=0.5,vp.tbl[[#This Row],[Unknown]]=0),1,0)</f>
        <v>0</v>
      </c>
      <c r="AG1136" t="str">
        <f>INDEX(vp.tbl[[#Headers],[Unknown]:[Heavy_SW]],MATCH(1,vp.tbl[[#This Row],[Unknown]:[Heavy_SW]],0))</f>
        <v>Light_LSB</v>
      </c>
      <c r="AH1136" t="e">
        <f>INDEX([1]!crudeBD.lkup[Number],MATCH(vp.tbl[[#This Row],[Crude_Breakdown]],[1]!crudeBD.lkup[Crude Breakdown],0))</f>
        <v>#REF!</v>
      </c>
      <c r="AI1136">
        <f>MONTH(vp.tbl[[#This Row],[SDate]])</f>
        <v>3</v>
      </c>
      <c r="AJ1136" s="5">
        <f>IFERROR(vp.tbl[[#This Row],[Sulf]]*vp.tbl[[#This Row],[Net Dens]],"")</f>
        <v>6528917.3367089992</v>
      </c>
      <c r="AK1136" s="5">
        <f>IFERROR(vp.tbl[[#This Row],[Dens]]*vp.tbl[[#This Row],[VolumeM3]],"")</f>
        <v>4983906.3638999993</v>
      </c>
      <c r="AL1136" s="5">
        <f>IFERROR(vp.tbl[[#This Row],[VP]]*vp.tbl[[#This Row],[VolumeM3]],"")</f>
        <v>581627.76179999998</v>
      </c>
      <c r="AM1136" s="4">
        <f>IFERROR((vp.tbl[[#This Row],[VP]]-INDEX(crudeBD.lkup.complete[Mean_VP],MATCH(vp.tbl[[#This Row],[Crude_Breakdown]],crudeBD.lkup.complete[Crude Breakdown],0)))^2,"")</f>
        <v>18.094937230311114</v>
      </c>
      <c r="AN1136" s="4">
        <f>IFERROR((vp.tbl[[#This Row],[Dens]]-INDEX(crudeBD.lkup.complete[Mean_Dens],MATCH(vp.tbl[[#This Row],[Crude_Breakdown]],crudeBD.lkup.complete[Crude Breakdown],0)))^2,"")</f>
        <v>5.6797863794725805</v>
      </c>
      <c r="AO1136" s="4">
        <f>IFERROR((vp.tbl[[#This Row],[Sulf]]-INDEX(crudeBD.lkup.complete[Mean_Sulf],MATCH(vp.tbl[[#This Row],[Crude_Breakdown]],crudeBD.lkup.complete[Crude Breakdown],0)))^2,"")</f>
        <v>0.14979131650136537</v>
      </c>
      <c r="AP1136">
        <f>IF(AND(vp.tbl[[#This Row],[SDate]]&gt;=DATE(YEAR(vp.tbl[[#This Row],[SDate]]),5,1),vp.tbl[[#This Row],[SDate]]&lt;=DATE(YEAR(vp.tbl[[#This Row],[SDate]]),9,15)),1,0)</f>
        <v>0</v>
      </c>
      <c r="AQ1136" s="15">
        <f>IF(vp.tbl[[#This Row],[SDate]]&lt;DATE(2016,12,1),0,1)</f>
        <v>1</v>
      </c>
    </row>
    <row r="1137" spans="1:43" x14ac:dyDescent="0.25">
      <c r="A1137">
        <v>1136</v>
      </c>
      <c r="B1137" t="s">
        <v>56</v>
      </c>
      <c r="C1137" t="s">
        <v>56</v>
      </c>
      <c r="D1137" t="s">
        <v>57</v>
      </c>
      <c r="F1137" s="1">
        <v>42823</v>
      </c>
      <c r="G1137" s="2">
        <v>79.2</v>
      </c>
      <c r="H1137" s="2"/>
      <c r="I1137" s="2">
        <v>1.63</v>
      </c>
      <c r="J1137" s="2">
        <v>18.5</v>
      </c>
      <c r="K1137" s="2">
        <v>16</v>
      </c>
      <c r="L1137" s="2">
        <v>847.5</v>
      </c>
      <c r="M1137" s="2">
        <v>847.5</v>
      </c>
      <c r="N1137" s="2">
        <f ca="1">INDEX(INDIRECT(_xlfn.CONCAT("weather.tbl[",N$1,"]")),MATCH(vp.tbl[[#This Row],[SDate]],weather.tbl[Date],0))</f>
        <v>6.7666666666666666</v>
      </c>
      <c r="O1137" s="2">
        <f ca="1">INDEX(INDIRECT(_xlfn.CONCAT("weather.tbl[",O$1,"]")),MATCH(vp.tbl[[#This Row],[SDate]],weather.tbl[Date],0))</f>
        <v>2.3880952380952385</v>
      </c>
      <c r="P1137" s="2">
        <f ca="1">INDEX(INDIRECT(_xlfn.CONCAT("weather.tbl[",P$1,"]")),MATCH(vp.tbl[[#This Row],[SDate]],weather.tbl[Date],0))</f>
        <v>6.7</v>
      </c>
      <c r="Q1137" s="2">
        <f ca="1">INDEX(INDIRECT(_xlfn.CONCAT("weather.tbl[",Q$1,"]")),MATCH(vp.tbl[[#This Row],[SDate]],weather.tbl[Date],0))</f>
        <v>7.9</v>
      </c>
      <c r="R1137" s="2">
        <f ca="1">INDEX(INDIRECT(_xlfn.CONCAT("weather.tbl[",R$1,"]")),MATCH(vp.tbl[[#This Row],[SDate]],weather.tbl[Date],0))</f>
        <v>5.5</v>
      </c>
      <c r="S1137" s="2">
        <f ca="1">INDEX(INDIRECT(_xlfn.CONCAT("weather.tbl[",S$1,"]")),MATCH(vp.tbl[[#This Row],[SDate]],weather.tbl[Date],0))</f>
        <v>8.8000000000000007</v>
      </c>
      <c r="T1137" s="2">
        <f ca="1">INDEX(INDIRECT(_xlfn.CONCAT("weather.tbl[",T$1,"]")),MATCH(vp.tbl[[#This Row],[SDate]],weather.tbl[Date],0))</f>
        <v>4.7</v>
      </c>
      <c r="U1137" s="2">
        <f ca="1">INDEX(INDIRECT(_xlfn.CONCAT("weather.tbl[",U$1,"]")),MATCH(vp.tbl[[#This Row],[SDate]],weather.tbl[Date],0))</f>
        <v>7</v>
      </c>
      <c r="V1137" s="2">
        <v>2822.4540000000002</v>
      </c>
      <c r="W1137" t="s">
        <v>48</v>
      </c>
      <c r="X1137">
        <f>IF(OR(vp.tbl[[#This Row],[Sulf]]="",vp.tbl[[#This Row],[Dens]]=""),1,0)</f>
        <v>0</v>
      </c>
      <c r="Y1137">
        <f>IF(vp.tbl[[#This Row],[CrudeType]]="C5+",1,0)</f>
        <v>0</v>
      </c>
      <c r="Z1137">
        <f>IF(AND(vp.tbl[[#This Row],[CrudeType]]="Crude",vp.tbl[[#This Row],[Dens]]&lt;=825,vp.tbl[[#This Row],[Sulf]]&gt;0.5,vp.tbl[[#This Row],[Unknown]]=0),1,0)</f>
        <v>0</v>
      </c>
      <c r="AA1137">
        <f>IF(AND(vp.tbl[[#This Row],[CrudeType]]="Crude",vp.tbl[[#This Row],[Dens]]&lt;=825,vp.tbl[[#This Row],[Sulf]]&lt;=0.5,vp.tbl[[#This Row],[Unknown]]=0),1,0)</f>
        <v>0</v>
      </c>
      <c r="AB1137">
        <f>IF(AND(vp.tbl[[#This Row],[CrudeType]]="Crude",vp.tbl[[#This Row],[Dens]]&gt;825,vp.tbl[[#This Row],[Dens]]&lt;=870,vp.tbl[[#This Row],[Sulf]]&gt;0.5,vp.tbl[[#This Row],[Unknown]]=0),1,0)</f>
        <v>1</v>
      </c>
      <c r="AC1137">
        <f>IF(AND(vp.tbl[[#This Row],[CrudeType]]="Crude",vp.tbl[[#This Row],[Dens]]&gt;825,vp.tbl[[#This Row],[Dens]]&lt;=900,vp.tbl[[#This Row],[Sulf]]&lt;=0.5,vp.tbl[[#This Row],[Unknown]]=0),1,0)</f>
        <v>0</v>
      </c>
      <c r="AD1137">
        <f>IF(AND(vp.tbl[[#This Row],[CrudeType]]="Crude",vp.tbl[[#This Row],[Dens]]&gt;870,vp.tbl[[#This Row],[Dens]]&lt;=900,vp.tbl[[#This Row],[Sulf]]&gt;0.5,vp.tbl[[#This Row],[Unknown]]=0),1,0)</f>
        <v>0</v>
      </c>
      <c r="AE1137">
        <f>IF(AND(vp.tbl[[#This Row],[CrudeType]]="Crude",vp.tbl[[#This Row],[Dens]]&gt;900,vp.tbl[[#This Row],[Sulf]]&lt;=0.5,vp.tbl[[#This Row],[Unknown]]=0),1,0)</f>
        <v>0</v>
      </c>
      <c r="AF1137">
        <f>IF(AND(vp.tbl[[#This Row],[CrudeType]]="Crude",vp.tbl[[#This Row],[Dens]]&gt;900,vp.tbl[[#This Row],[Sulf]]&lt;=0.5,vp.tbl[[#This Row],[Unknown]]=0),1,0)</f>
        <v>0</v>
      </c>
      <c r="AG1137" t="str">
        <f>INDEX(vp.tbl[[#Headers],[Unknown]:[Heavy_SW]],MATCH(1,vp.tbl[[#This Row],[Unknown]:[Heavy_SW]],0))</f>
        <v>Medium_LSB</v>
      </c>
      <c r="AH1137" t="e">
        <f>INDEX([1]!crudeBD.lkup[Number],MATCH(vp.tbl[[#This Row],[Crude_Breakdown]],[1]!crudeBD.lkup[Crude Breakdown],0))</f>
        <v>#REF!</v>
      </c>
      <c r="AI1137">
        <f>MONTH(vp.tbl[[#This Row],[SDate]])</f>
        <v>3</v>
      </c>
      <c r="AJ1137" s="5">
        <f>IFERROR(vp.tbl[[#This Row],[Sulf]]*vp.tbl[[#This Row],[Net Dens]],"")</f>
        <v>3899008.5169500001</v>
      </c>
      <c r="AK1137" s="5">
        <f>IFERROR(vp.tbl[[#This Row],[Dens]]*vp.tbl[[#This Row],[VolumeM3]],"")</f>
        <v>2392029.7650000001</v>
      </c>
      <c r="AL1137" s="5">
        <f>IFERROR(vp.tbl[[#This Row],[VP]]*vp.tbl[[#This Row],[VolumeM3]],"")</f>
        <v>223538.35680000001</v>
      </c>
      <c r="AM1137" s="4">
        <f>IFERROR((vp.tbl[[#This Row],[VP]]-INDEX(crudeBD.lkup.complete[Mean_VP],MATCH(vp.tbl[[#This Row],[Crude_Breakdown]],crudeBD.lkup.complete[Crude Breakdown],0)))^2,"")</f>
        <v>0.94788710078505323</v>
      </c>
      <c r="AN1137" s="4">
        <f>IFERROR((vp.tbl[[#This Row],[Dens]]-INDEX(crudeBD.lkup.complete[Mean_Dens],MATCH(vp.tbl[[#This Row],[Crude_Breakdown]],crudeBD.lkup.complete[Crude Breakdown],0)))^2,"")</f>
        <v>4.8760466136880529</v>
      </c>
      <c r="AO1137" s="4">
        <f>IFERROR((vp.tbl[[#This Row],[Sulf]]-INDEX(crudeBD.lkup.complete[Mean_Sulf],MATCH(vp.tbl[[#This Row],[Crude_Breakdown]],crudeBD.lkup.complete[Crude Breakdown],0)))^2,"")</f>
        <v>3.0649553653689716E-2</v>
      </c>
      <c r="AP1137">
        <f>IF(AND(vp.tbl[[#This Row],[SDate]]&gt;=DATE(YEAR(vp.tbl[[#This Row],[SDate]]),5,1),vp.tbl[[#This Row],[SDate]]&lt;=DATE(YEAR(vp.tbl[[#This Row],[SDate]]),9,15)),1,0)</f>
        <v>0</v>
      </c>
      <c r="AQ1137" s="15">
        <f>IF(vp.tbl[[#This Row],[SDate]]&lt;DATE(2016,12,1),0,1)</f>
        <v>1</v>
      </c>
    </row>
    <row r="1138" spans="1:43" x14ac:dyDescent="0.25">
      <c r="A1138">
        <v>1137</v>
      </c>
      <c r="B1138" t="s">
        <v>51</v>
      </c>
      <c r="C1138" t="s">
        <v>51</v>
      </c>
      <c r="D1138" t="s">
        <v>71</v>
      </c>
      <c r="F1138" s="1">
        <v>42823</v>
      </c>
      <c r="G1138" s="2">
        <v>74.099999999999994</v>
      </c>
      <c r="H1138" s="2"/>
      <c r="I1138" s="2">
        <v>1.62</v>
      </c>
      <c r="J1138" s="2">
        <v>18</v>
      </c>
      <c r="K1138" s="2">
        <v>16</v>
      </c>
      <c r="L1138" s="2">
        <v>856</v>
      </c>
      <c r="M1138" s="2">
        <v>856</v>
      </c>
      <c r="N1138" s="2">
        <f ca="1">INDEX(INDIRECT(_xlfn.CONCAT("weather.tbl[",N$1,"]")),MATCH(vp.tbl[[#This Row],[SDate]],weather.tbl[Date],0))</f>
        <v>6.7666666666666666</v>
      </c>
      <c r="O1138" s="2">
        <f ca="1">INDEX(INDIRECT(_xlfn.CONCAT("weather.tbl[",O$1,"]")),MATCH(vp.tbl[[#This Row],[SDate]],weather.tbl[Date],0))</f>
        <v>2.3880952380952385</v>
      </c>
      <c r="P1138" s="2">
        <f ca="1">INDEX(INDIRECT(_xlfn.CONCAT("weather.tbl[",P$1,"]")),MATCH(vp.tbl[[#This Row],[SDate]],weather.tbl[Date],0))</f>
        <v>6.7</v>
      </c>
      <c r="Q1138" s="2">
        <f ca="1">INDEX(INDIRECT(_xlfn.CONCAT("weather.tbl[",Q$1,"]")),MATCH(vp.tbl[[#This Row],[SDate]],weather.tbl[Date],0))</f>
        <v>7.9</v>
      </c>
      <c r="R1138" s="2">
        <f ca="1">INDEX(INDIRECT(_xlfn.CONCAT("weather.tbl[",R$1,"]")),MATCH(vp.tbl[[#This Row],[SDate]],weather.tbl[Date],0))</f>
        <v>5.5</v>
      </c>
      <c r="S1138" s="2">
        <f ca="1">INDEX(INDIRECT(_xlfn.CONCAT("weather.tbl[",S$1,"]")),MATCH(vp.tbl[[#This Row],[SDate]],weather.tbl[Date],0))</f>
        <v>8.8000000000000007</v>
      </c>
      <c r="T1138" s="2">
        <f ca="1">INDEX(INDIRECT(_xlfn.CONCAT("weather.tbl[",T$1,"]")),MATCH(vp.tbl[[#This Row],[SDate]],weather.tbl[Date],0))</f>
        <v>4.7</v>
      </c>
      <c r="U1138" s="2">
        <f ca="1">INDEX(INDIRECT(_xlfn.CONCAT("weather.tbl[",U$1,"]")),MATCH(vp.tbl[[#This Row],[SDate]],weather.tbl[Date],0))</f>
        <v>7</v>
      </c>
      <c r="V1138" s="2">
        <v>7995.5450000000001</v>
      </c>
      <c r="W1138" t="s">
        <v>48</v>
      </c>
      <c r="X1138">
        <f>IF(OR(vp.tbl[[#This Row],[Sulf]]="",vp.tbl[[#This Row],[Dens]]=""),1,0)</f>
        <v>0</v>
      </c>
      <c r="Y1138">
        <f>IF(vp.tbl[[#This Row],[CrudeType]]="C5+",1,0)</f>
        <v>0</v>
      </c>
      <c r="Z1138">
        <f>IF(AND(vp.tbl[[#This Row],[CrudeType]]="Crude",vp.tbl[[#This Row],[Dens]]&lt;=825,vp.tbl[[#This Row],[Sulf]]&gt;0.5,vp.tbl[[#This Row],[Unknown]]=0),1,0)</f>
        <v>0</v>
      </c>
      <c r="AA1138">
        <f>IF(AND(vp.tbl[[#This Row],[CrudeType]]="Crude",vp.tbl[[#This Row],[Dens]]&lt;=825,vp.tbl[[#This Row],[Sulf]]&lt;=0.5,vp.tbl[[#This Row],[Unknown]]=0),1,0)</f>
        <v>0</v>
      </c>
      <c r="AB1138">
        <f>IF(AND(vp.tbl[[#This Row],[CrudeType]]="Crude",vp.tbl[[#This Row],[Dens]]&gt;825,vp.tbl[[#This Row],[Dens]]&lt;=870,vp.tbl[[#This Row],[Sulf]]&gt;0.5,vp.tbl[[#This Row],[Unknown]]=0),1,0)</f>
        <v>1</v>
      </c>
      <c r="AC1138">
        <f>IF(AND(vp.tbl[[#This Row],[CrudeType]]="Crude",vp.tbl[[#This Row],[Dens]]&gt;825,vp.tbl[[#This Row],[Dens]]&lt;=900,vp.tbl[[#This Row],[Sulf]]&lt;=0.5,vp.tbl[[#This Row],[Unknown]]=0),1,0)</f>
        <v>0</v>
      </c>
      <c r="AD1138">
        <f>IF(AND(vp.tbl[[#This Row],[CrudeType]]="Crude",vp.tbl[[#This Row],[Dens]]&gt;870,vp.tbl[[#This Row],[Dens]]&lt;=900,vp.tbl[[#This Row],[Sulf]]&gt;0.5,vp.tbl[[#This Row],[Unknown]]=0),1,0)</f>
        <v>0</v>
      </c>
      <c r="AE1138">
        <f>IF(AND(vp.tbl[[#This Row],[CrudeType]]="Crude",vp.tbl[[#This Row],[Dens]]&gt;900,vp.tbl[[#This Row],[Sulf]]&lt;=0.5,vp.tbl[[#This Row],[Unknown]]=0),1,0)</f>
        <v>0</v>
      </c>
      <c r="AF1138">
        <f>IF(AND(vp.tbl[[#This Row],[CrudeType]]="Crude",vp.tbl[[#This Row],[Dens]]&gt;900,vp.tbl[[#This Row],[Sulf]]&lt;=0.5,vp.tbl[[#This Row],[Unknown]]=0),1,0)</f>
        <v>0</v>
      </c>
      <c r="AG1138" t="str">
        <f>INDEX(vp.tbl[[#Headers],[Unknown]:[Heavy_SW]],MATCH(1,vp.tbl[[#This Row],[Unknown]:[Heavy_SW]],0))</f>
        <v>Medium_LSB</v>
      </c>
      <c r="AH1138" t="e">
        <f>INDEX([1]!crudeBD.lkup[Number],MATCH(vp.tbl[[#This Row],[Crude_Breakdown]],[1]!crudeBD.lkup[Crude Breakdown],0))</f>
        <v>#REF!</v>
      </c>
      <c r="AI1138">
        <f>MONTH(vp.tbl[[#This Row],[SDate]])</f>
        <v>3</v>
      </c>
      <c r="AJ1138" s="5">
        <f>IFERROR(vp.tbl[[#This Row],[Sulf]]*vp.tbl[[#This Row],[Net Dens]],"")</f>
        <v>11087582.162400002</v>
      </c>
      <c r="AK1138" s="5">
        <f>IFERROR(vp.tbl[[#This Row],[Dens]]*vp.tbl[[#This Row],[VolumeM3]],"")</f>
        <v>6844186.5200000005</v>
      </c>
      <c r="AL1138" s="5">
        <f>IFERROR(vp.tbl[[#This Row],[VP]]*vp.tbl[[#This Row],[VolumeM3]],"")</f>
        <v>592469.88449999993</v>
      </c>
      <c r="AM1138" s="4">
        <f>IFERROR((vp.tbl[[#This Row],[VP]]-INDEX(crudeBD.lkup.complete[Mean_VP],MATCH(vp.tbl[[#This Row],[Crude_Breakdown]],crudeBD.lkup.complete[Crude Breakdown],0)))^2,"")</f>
        <v>36.888555455215133</v>
      </c>
      <c r="AN1138" s="4">
        <f>IFERROR((vp.tbl[[#This Row],[Dens]]-INDEX(crudeBD.lkup.complete[Mean_Dens],MATCH(vp.tbl[[#This Row],[Crude_Breakdown]],crudeBD.lkup.complete[Crude Breakdown],0)))^2,"")</f>
        <v>114.66505927193263</v>
      </c>
      <c r="AO1138" s="4">
        <f>IFERROR((vp.tbl[[#This Row],[Sulf]]-INDEX(crudeBD.lkup.complete[Mean_Sulf],MATCH(vp.tbl[[#This Row],[Crude_Breakdown]],crudeBD.lkup.complete[Crude Breakdown],0)))^2,"")</f>
        <v>2.7248150868879693E-2</v>
      </c>
      <c r="AP1138">
        <f>IF(AND(vp.tbl[[#This Row],[SDate]]&gt;=DATE(YEAR(vp.tbl[[#This Row],[SDate]]),5,1),vp.tbl[[#This Row],[SDate]]&lt;=DATE(YEAR(vp.tbl[[#This Row],[SDate]]),9,15)),1,0)</f>
        <v>0</v>
      </c>
      <c r="AQ1138" s="15">
        <f>IF(vp.tbl[[#This Row],[SDate]]&lt;DATE(2016,12,1),0,1)</f>
        <v>1</v>
      </c>
    </row>
    <row r="1139" spans="1:43" x14ac:dyDescent="0.25">
      <c r="A1139">
        <v>1138</v>
      </c>
      <c r="B1139" t="s">
        <v>111</v>
      </c>
      <c r="C1139" t="s">
        <v>111</v>
      </c>
      <c r="D1139" t="s">
        <v>112</v>
      </c>
      <c r="F1139" s="1">
        <v>42823</v>
      </c>
      <c r="G1139" s="2">
        <v>64.2</v>
      </c>
      <c r="H1139" s="2"/>
      <c r="I1139" s="2">
        <v>1.86</v>
      </c>
      <c r="J1139" s="2">
        <v>35.6</v>
      </c>
      <c r="K1139" s="2">
        <v>16</v>
      </c>
      <c r="L1139" s="2">
        <v>858</v>
      </c>
      <c r="M1139" s="2">
        <v>858</v>
      </c>
      <c r="N1139" s="2">
        <f ca="1">INDEX(INDIRECT(_xlfn.CONCAT("weather.tbl[",N$1,"]")),MATCH(vp.tbl[[#This Row],[SDate]],weather.tbl[Date],0))</f>
        <v>6.7666666666666666</v>
      </c>
      <c r="O1139" s="2">
        <f ca="1">INDEX(INDIRECT(_xlfn.CONCAT("weather.tbl[",O$1,"]")),MATCH(vp.tbl[[#This Row],[SDate]],weather.tbl[Date],0))</f>
        <v>2.3880952380952385</v>
      </c>
      <c r="P1139" s="2">
        <f ca="1">INDEX(INDIRECT(_xlfn.CONCAT("weather.tbl[",P$1,"]")),MATCH(vp.tbl[[#This Row],[SDate]],weather.tbl[Date],0))</f>
        <v>6.7</v>
      </c>
      <c r="Q1139" s="2">
        <f ca="1">INDEX(INDIRECT(_xlfn.CONCAT("weather.tbl[",Q$1,"]")),MATCH(vp.tbl[[#This Row],[SDate]],weather.tbl[Date],0))</f>
        <v>7.9</v>
      </c>
      <c r="R1139" s="2">
        <f ca="1">INDEX(INDIRECT(_xlfn.CONCAT("weather.tbl[",R$1,"]")),MATCH(vp.tbl[[#This Row],[SDate]],weather.tbl[Date],0))</f>
        <v>5.5</v>
      </c>
      <c r="S1139" s="2">
        <f ca="1">INDEX(INDIRECT(_xlfn.CONCAT("weather.tbl[",S$1,"]")),MATCH(vp.tbl[[#This Row],[SDate]],weather.tbl[Date],0))</f>
        <v>8.8000000000000007</v>
      </c>
      <c r="T1139" s="2">
        <f ca="1">INDEX(INDIRECT(_xlfn.CONCAT("weather.tbl[",T$1,"]")),MATCH(vp.tbl[[#This Row],[SDate]],weather.tbl[Date],0))</f>
        <v>4.7</v>
      </c>
      <c r="U1139" s="2">
        <f ca="1">INDEX(INDIRECT(_xlfn.CONCAT("weather.tbl[",U$1,"]")),MATCH(vp.tbl[[#This Row],[SDate]],weather.tbl[Date],0))</f>
        <v>7</v>
      </c>
      <c r="V1139" s="2">
        <v>7909.2460000000001</v>
      </c>
      <c r="W1139" t="s">
        <v>48</v>
      </c>
      <c r="X1139">
        <f>IF(OR(vp.tbl[[#This Row],[Sulf]]="",vp.tbl[[#This Row],[Dens]]=""),1,0)</f>
        <v>0</v>
      </c>
      <c r="Y1139">
        <f>IF(vp.tbl[[#This Row],[CrudeType]]="C5+",1,0)</f>
        <v>0</v>
      </c>
      <c r="Z1139">
        <f>IF(AND(vp.tbl[[#This Row],[CrudeType]]="Crude",vp.tbl[[#This Row],[Dens]]&lt;=825,vp.tbl[[#This Row],[Sulf]]&gt;0.5,vp.tbl[[#This Row],[Unknown]]=0),1,0)</f>
        <v>0</v>
      </c>
      <c r="AA1139">
        <f>IF(AND(vp.tbl[[#This Row],[CrudeType]]="Crude",vp.tbl[[#This Row],[Dens]]&lt;=825,vp.tbl[[#This Row],[Sulf]]&lt;=0.5,vp.tbl[[#This Row],[Unknown]]=0),1,0)</f>
        <v>0</v>
      </c>
      <c r="AB1139">
        <f>IF(AND(vp.tbl[[#This Row],[CrudeType]]="Crude",vp.tbl[[#This Row],[Dens]]&gt;825,vp.tbl[[#This Row],[Dens]]&lt;=870,vp.tbl[[#This Row],[Sulf]]&gt;0.5,vp.tbl[[#This Row],[Unknown]]=0),1,0)</f>
        <v>1</v>
      </c>
      <c r="AC1139">
        <f>IF(AND(vp.tbl[[#This Row],[CrudeType]]="Crude",vp.tbl[[#This Row],[Dens]]&gt;825,vp.tbl[[#This Row],[Dens]]&lt;=900,vp.tbl[[#This Row],[Sulf]]&lt;=0.5,vp.tbl[[#This Row],[Unknown]]=0),1,0)</f>
        <v>0</v>
      </c>
      <c r="AD1139">
        <f>IF(AND(vp.tbl[[#This Row],[CrudeType]]="Crude",vp.tbl[[#This Row],[Dens]]&gt;870,vp.tbl[[#This Row],[Dens]]&lt;=900,vp.tbl[[#This Row],[Sulf]]&gt;0.5,vp.tbl[[#This Row],[Unknown]]=0),1,0)</f>
        <v>0</v>
      </c>
      <c r="AE1139">
        <f>IF(AND(vp.tbl[[#This Row],[CrudeType]]="Crude",vp.tbl[[#This Row],[Dens]]&gt;900,vp.tbl[[#This Row],[Sulf]]&lt;=0.5,vp.tbl[[#This Row],[Unknown]]=0),1,0)</f>
        <v>0</v>
      </c>
      <c r="AF1139">
        <f>IF(AND(vp.tbl[[#This Row],[CrudeType]]="Crude",vp.tbl[[#This Row],[Dens]]&gt;900,vp.tbl[[#This Row],[Sulf]]&lt;=0.5,vp.tbl[[#This Row],[Unknown]]=0),1,0)</f>
        <v>0</v>
      </c>
      <c r="AG1139" t="str">
        <f>INDEX(vp.tbl[[#Headers],[Unknown]:[Heavy_SW]],MATCH(1,vp.tbl[[#This Row],[Unknown]:[Heavy_SW]],0))</f>
        <v>Medium_LSB</v>
      </c>
      <c r="AH1139" t="e">
        <f>INDEX([1]!crudeBD.lkup[Number],MATCH(vp.tbl[[#This Row],[Crude_Breakdown]],[1]!crudeBD.lkup[Crude Breakdown],0))</f>
        <v>#REF!</v>
      </c>
      <c r="AI1139">
        <f>MONTH(vp.tbl[[#This Row],[SDate]])</f>
        <v>3</v>
      </c>
      <c r="AJ1139" s="5">
        <f>IFERROR(vp.tbl[[#This Row],[Sulf]]*vp.tbl[[#This Row],[Net Dens]],"")</f>
        <v>12622207.506480001</v>
      </c>
      <c r="AK1139" s="5">
        <f>IFERROR(vp.tbl[[#This Row],[Dens]]*vp.tbl[[#This Row],[VolumeM3]],"")</f>
        <v>6786133.068</v>
      </c>
      <c r="AL1139" s="5">
        <f>IFERROR(vp.tbl[[#This Row],[VP]]*vp.tbl[[#This Row],[VolumeM3]],"")</f>
        <v>507773.5932</v>
      </c>
      <c r="AM1139" s="4">
        <f>IFERROR((vp.tbl[[#This Row],[VP]]-INDEX(crudeBD.lkup.complete[Mean_VP],MATCH(vp.tbl[[#This Row],[Crude_Breakdown]],crudeBD.lkup.complete[Crude Breakdown],0)))^2,"")</f>
        <v>255.1557352020497</v>
      </c>
      <c r="AN1139" s="4">
        <f>IFERROR((vp.tbl[[#This Row],[Dens]]-INDEX(crudeBD.lkup.complete[Mean_Dens],MATCH(vp.tbl[[#This Row],[Crude_Breakdown]],crudeBD.lkup.complete[Crude Breakdown],0)))^2,"")</f>
        <v>161.49776813269608</v>
      </c>
      <c r="AO1139" s="4">
        <f>IFERROR((vp.tbl[[#This Row],[Sulf]]-INDEX(crudeBD.lkup.complete[Mean_Sulf],MATCH(vp.tbl[[#This Row],[Crude_Breakdown]],crudeBD.lkup.complete[Crude Breakdown],0)))^2,"")</f>
        <v>0.16408181770432206</v>
      </c>
      <c r="AP1139">
        <f>IF(AND(vp.tbl[[#This Row],[SDate]]&gt;=DATE(YEAR(vp.tbl[[#This Row],[SDate]]),5,1),vp.tbl[[#This Row],[SDate]]&lt;=DATE(YEAR(vp.tbl[[#This Row],[SDate]]),9,15)),1,0)</f>
        <v>0</v>
      </c>
      <c r="AQ1139" s="15">
        <f>IF(vp.tbl[[#This Row],[SDate]]&lt;DATE(2016,12,1),0,1)</f>
        <v>1</v>
      </c>
    </row>
    <row r="1140" spans="1:43" x14ac:dyDescent="0.25">
      <c r="A1140">
        <v>1139</v>
      </c>
      <c r="B1140" t="s">
        <v>56</v>
      </c>
      <c r="C1140" t="s">
        <v>56</v>
      </c>
      <c r="D1140" t="s">
        <v>94</v>
      </c>
      <c r="F1140" s="1">
        <v>42823</v>
      </c>
      <c r="G1140" s="2">
        <v>72.900000000000006</v>
      </c>
      <c r="H1140" s="2"/>
      <c r="I1140" s="2">
        <v>1.9</v>
      </c>
      <c r="J1140" s="2">
        <v>22.3</v>
      </c>
      <c r="K1140" s="2">
        <v>16</v>
      </c>
      <c r="L1140" s="2">
        <v>864.2</v>
      </c>
      <c r="M1140" s="2">
        <v>864.2</v>
      </c>
      <c r="N1140" s="2">
        <f ca="1">INDEX(INDIRECT(_xlfn.CONCAT("weather.tbl[",N$1,"]")),MATCH(vp.tbl[[#This Row],[SDate]],weather.tbl[Date],0))</f>
        <v>6.7666666666666666</v>
      </c>
      <c r="O1140" s="2">
        <f ca="1">INDEX(INDIRECT(_xlfn.CONCAT("weather.tbl[",O$1,"]")),MATCH(vp.tbl[[#This Row],[SDate]],weather.tbl[Date],0))</f>
        <v>2.3880952380952385</v>
      </c>
      <c r="P1140" s="2">
        <f ca="1">INDEX(INDIRECT(_xlfn.CONCAT("weather.tbl[",P$1,"]")),MATCH(vp.tbl[[#This Row],[SDate]],weather.tbl[Date],0))</f>
        <v>6.7</v>
      </c>
      <c r="Q1140" s="2">
        <f ca="1">INDEX(INDIRECT(_xlfn.CONCAT("weather.tbl[",Q$1,"]")),MATCH(vp.tbl[[#This Row],[SDate]],weather.tbl[Date],0))</f>
        <v>7.9</v>
      </c>
      <c r="R1140" s="2">
        <f ca="1">INDEX(INDIRECT(_xlfn.CONCAT("weather.tbl[",R$1,"]")),MATCH(vp.tbl[[#This Row],[SDate]],weather.tbl[Date],0))</f>
        <v>5.5</v>
      </c>
      <c r="S1140" s="2">
        <f ca="1">INDEX(INDIRECT(_xlfn.CONCAT("weather.tbl[",S$1,"]")),MATCH(vp.tbl[[#This Row],[SDate]],weather.tbl[Date],0))</f>
        <v>8.8000000000000007</v>
      </c>
      <c r="T1140" s="2">
        <f ca="1">INDEX(INDIRECT(_xlfn.CONCAT("weather.tbl[",T$1,"]")),MATCH(vp.tbl[[#This Row],[SDate]],weather.tbl[Date],0))</f>
        <v>4.7</v>
      </c>
      <c r="U1140" s="2">
        <f ca="1">INDEX(INDIRECT(_xlfn.CONCAT("weather.tbl[",U$1,"]")),MATCH(vp.tbl[[#This Row],[SDate]],weather.tbl[Date],0))</f>
        <v>7</v>
      </c>
      <c r="V1140" s="2">
        <v>4141.4380000000001</v>
      </c>
      <c r="W1140" t="s">
        <v>48</v>
      </c>
      <c r="X1140">
        <f>IF(OR(vp.tbl[[#This Row],[Sulf]]="",vp.tbl[[#This Row],[Dens]]=""),1,0)</f>
        <v>0</v>
      </c>
      <c r="Y1140">
        <f>IF(vp.tbl[[#This Row],[CrudeType]]="C5+",1,0)</f>
        <v>0</v>
      </c>
      <c r="Z1140">
        <f>IF(AND(vp.tbl[[#This Row],[CrudeType]]="Crude",vp.tbl[[#This Row],[Dens]]&lt;=825,vp.tbl[[#This Row],[Sulf]]&gt;0.5,vp.tbl[[#This Row],[Unknown]]=0),1,0)</f>
        <v>0</v>
      </c>
      <c r="AA1140">
        <f>IF(AND(vp.tbl[[#This Row],[CrudeType]]="Crude",vp.tbl[[#This Row],[Dens]]&lt;=825,vp.tbl[[#This Row],[Sulf]]&lt;=0.5,vp.tbl[[#This Row],[Unknown]]=0),1,0)</f>
        <v>0</v>
      </c>
      <c r="AB1140">
        <f>IF(AND(vp.tbl[[#This Row],[CrudeType]]="Crude",vp.tbl[[#This Row],[Dens]]&gt;825,vp.tbl[[#This Row],[Dens]]&lt;=870,vp.tbl[[#This Row],[Sulf]]&gt;0.5,vp.tbl[[#This Row],[Unknown]]=0),1,0)</f>
        <v>1</v>
      </c>
      <c r="AC1140">
        <f>IF(AND(vp.tbl[[#This Row],[CrudeType]]="Crude",vp.tbl[[#This Row],[Dens]]&gt;825,vp.tbl[[#This Row],[Dens]]&lt;=900,vp.tbl[[#This Row],[Sulf]]&lt;=0.5,vp.tbl[[#This Row],[Unknown]]=0),1,0)</f>
        <v>0</v>
      </c>
      <c r="AD1140">
        <f>IF(AND(vp.tbl[[#This Row],[CrudeType]]="Crude",vp.tbl[[#This Row],[Dens]]&gt;870,vp.tbl[[#This Row],[Dens]]&lt;=900,vp.tbl[[#This Row],[Sulf]]&gt;0.5,vp.tbl[[#This Row],[Unknown]]=0),1,0)</f>
        <v>0</v>
      </c>
      <c r="AE1140">
        <f>IF(AND(vp.tbl[[#This Row],[CrudeType]]="Crude",vp.tbl[[#This Row],[Dens]]&gt;900,vp.tbl[[#This Row],[Sulf]]&lt;=0.5,vp.tbl[[#This Row],[Unknown]]=0),1,0)</f>
        <v>0</v>
      </c>
      <c r="AF1140">
        <f>IF(AND(vp.tbl[[#This Row],[CrudeType]]="Crude",vp.tbl[[#This Row],[Dens]]&gt;900,vp.tbl[[#This Row],[Sulf]]&lt;=0.5,vp.tbl[[#This Row],[Unknown]]=0),1,0)</f>
        <v>0</v>
      </c>
      <c r="AG1140" t="str">
        <f>INDEX(vp.tbl[[#Headers],[Unknown]:[Heavy_SW]],MATCH(1,vp.tbl[[#This Row],[Unknown]:[Heavy_SW]],0))</f>
        <v>Medium_LSB</v>
      </c>
      <c r="AH1140" t="e">
        <f>INDEX([1]!crudeBD.lkup[Number],MATCH(vp.tbl[[#This Row],[Crude_Breakdown]],[1]!crudeBD.lkup[Crude Breakdown],0))</f>
        <v>#REF!</v>
      </c>
      <c r="AI1140">
        <f>MONTH(vp.tbl[[#This Row],[SDate]])</f>
        <v>3</v>
      </c>
      <c r="AJ1140" s="5">
        <f>IFERROR(vp.tbl[[#This Row],[Sulf]]*vp.tbl[[#This Row],[Net Dens]],"")</f>
        <v>6800158.3672400005</v>
      </c>
      <c r="AK1140" s="5">
        <f>IFERROR(vp.tbl[[#This Row],[Dens]]*vp.tbl[[#This Row],[VolumeM3]],"")</f>
        <v>3579030.7196000004</v>
      </c>
      <c r="AL1140" s="5">
        <f>IFERROR(vp.tbl[[#This Row],[VP]]*vp.tbl[[#This Row],[VolumeM3]],"")</f>
        <v>301910.83020000003</v>
      </c>
      <c r="AM1140" s="4">
        <f>IFERROR((vp.tbl[[#This Row],[VP]]-INDEX(crudeBD.lkup.complete[Mean_VP],MATCH(vp.tbl[[#This Row],[Crude_Breakdown]],crudeBD.lkup.complete[Crude Breakdown],0)))^2,"")</f>
        <v>52.905183303316157</v>
      </c>
      <c r="AN1140" s="4">
        <f>IFERROR((vp.tbl[[#This Row],[Dens]]-INDEX(crudeBD.lkup.complete[Mean_Dens],MATCH(vp.tbl[[#This Row],[Crude_Breakdown]],crudeBD.lkup.complete[Crude Breakdown],0)))^2,"")</f>
        <v>357.51916560106446</v>
      </c>
      <c r="AO1140" s="4">
        <f>IFERROR((vp.tbl[[#This Row],[Sulf]]-INDEX(crudeBD.lkup.complete[Mean_Sulf],MATCH(vp.tbl[[#This Row],[Crude_Breakdown]],crudeBD.lkup.complete[Crude Breakdown],0)))^2,"")</f>
        <v>0.19808742884356229</v>
      </c>
      <c r="AP1140">
        <f>IF(AND(vp.tbl[[#This Row],[SDate]]&gt;=DATE(YEAR(vp.tbl[[#This Row],[SDate]]),5,1),vp.tbl[[#This Row],[SDate]]&lt;=DATE(YEAR(vp.tbl[[#This Row],[SDate]]),9,15)),1,0)</f>
        <v>0</v>
      </c>
      <c r="AQ1140" s="15">
        <f>IF(vp.tbl[[#This Row],[SDate]]&lt;DATE(2016,12,1),0,1)</f>
        <v>1</v>
      </c>
    </row>
    <row r="1141" spans="1:43" x14ac:dyDescent="0.25">
      <c r="A1141">
        <v>1140</v>
      </c>
      <c r="B1141" t="s">
        <v>46</v>
      </c>
      <c r="C1141" t="s">
        <v>46</v>
      </c>
      <c r="D1141" t="s">
        <v>47</v>
      </c>
      <c r="F1141" s="1">
        <v>42823</v>
      </c>
      <c r="G1141" s="2">
        <v>61.4</v>
      </c>
      <c r="H1141" s="2"/>
      <c r="I1141" s="2">
        <v>2.38</v>
      </c>
      <c r="J1141" s="2">
        <v>28.8</v>
      </c>
      <c r="K1141" s="2">
        <v>16</v>
      </c>
      <c r="L1141" s="2">
        <v>866.4</v>
      </c>
      <c r="M1141" s="2">
        <v>866.4</v>
      </c>
      <c r="N1141" s="2">
        <f ca="1">INDEX(INDIRECT(_xlfn.CONCAT("weather.tbl[",N$1,"]")),MATCH(vp.tbl[[#This Row],[SDate]],weather.tbl[Date],0))</f>
        <v>6.7666666666666666</v>
      </c>
      <c r="O1141" s="2">
        <f ca="1">INDEX(INDIRECT(_xlfn.CONCAT("weather.tbl[",O$1,"]")),MATCH(vp.tbl[[#This Row],[SDate]],weather.tbl[Date],0))</f>
        <v>2.3880952380952385</v>
      </c>
      <c r="P1141" s="2">
        <f ca="1">INDEX(INDIRECT(_xlfn.CONCAT("weather.tbl[",P$1,"]")),MATCH(vp.tbl[[#This Row],[SDate]],weather.tbl[Date],0))</f>
        <v>6.7</v>
      </c>
      <c r="Q1141" s="2">
        <f ca="1">INDEX(INDIRECT(_xlfn.CONCAT("weather.tbl[",Q$1,"]")),MATCH(vp.tbl[[#This Row],[SDate]],weather.tbl[Date],0))</f>
        <v>7.9</v>
      </c>
      <c r="R1141" s="2">
        <f ca="1">INDEX(INDIRECT(_xlfn.CONCAT("weather.tbl[",R$1,"]")),MATCH(vp.tbl[[#This Row],[SDate]],weather.tbl[Date],0))</f>
        <v>5.5</v>
      </c>
      <c r="S1141" s="2">
        <f ca="1">INDEX(INDIRECT(_xlfn.CONCAT("weather.tbl[",S$1,"]")),MATCH(vp.tbl[[#This Row],[SDate]],weather.tbl[Date],0))</f>
        <v>8.8000000000000007</v>
      </c>
      <c r="T1141" s="2">
        <f ca="1">INDEX(INDIRECT(_xlfn.CONCAT("weather.tbl[",T$1,"]")),MATCH(vp.tbl[[#This Row],[SDate]],weather.tbl[Date],0))</f>
        <v>4.7</v>
      </c>
      <c r="U1141" s="2">
        <f ca="1">INDEX(INDIRECT(_xlfn.CONCAT("weather.tbl[",U$1,"]")),MATCH(vp.tbl[[#This Row],[SDate]],weather.tbl[Date],0))</f>
        <v>7</v>
      </c>
      <c r="V1141" s="2">
        <v>118908.394</v>
      </c>
      <c r="W1141" t="s">
        <v>48</v>
      </c>
      <c r="X1141">
        <f>IF(OR(vp.tbl[[#This Row],[Sulf]]="",vp.tbl[[#This Row],[Dens]]=""),1,0)</f>
        <v>0</v>
      </c>
      <c r="Y1141">
        <f>IF(vp.tbl[[#This Row],[CrudeType]]="C5+",1,0)</f>
        <v>0</v>
      </c>
      <c r="Z1141">
        <f>IF(AND(vp.tbl[[#This Row],[CrudeType]]="Crude",vp.tbl[[#This Row],[Dens]]&lt;=825,vp.tbl[[#This Row],[Sulf]]&gt;0.5,vp.tbl[[#This Row],[Unknown]]=0),1,0)</f>
        <v>0</v>
      </c>
      <c r="AA1141">
        <f>IF(AND(vp.tbl[[#This Row],[CrudeType]]="Crude",vp.tbl[[#This Row],[Dens]]&lt;=825,vp.tbl[[#This Row],[Sulf]]&lt;=0.5,vp.tbl[[#This Row],[Unknown]]=0),1,0)</f>
        <v>0</v>
      </c>
      <c r="AB1141">
        <f>IF(AND(vp.tbl[[#This Row],[CrudeType]]="Crude",vp.tbl[[#This Row],[Dens]]&gt;825,vp.tbl[[#This Row],[Dens]]&lt;=870,vp.tbl[[#This Row],[Sulf]]&gt;0.5,vp.tbl[[#This Row],[Unknown]]=0),1,0)</f>
        <v>1</v>
      </c>
      <c r="AC1141">
        <f>IF(AND(vp.tbl[[#This Row],[CrudeType]]="Crude",vp.tbl[[#This Row],[Dens]]&gt;825,vp.tbl[[#This Row],[Dens]]&lt;=900,vp.tbl[[#This Row],[Sulf]]&lt;=0.5,vp.tbl[[#This Row],[Unknown]]=0),1,0)</f>
        <v>0</v>
      </c>
      <c r="AD1141">
        <f>IF(AND(vp.tbl[[#This Row],[CrudeType]]="Crude",vp.tbl[[#This Row],[Dens]]&gt;870,vp.tbl[[#This Row],[Dens]]&lt;=900,vp.tbl[[#This Row],[Sulf]]&gt;0.5,vp.tbl[[#This Row],[Unknown]]=0),1,0)</f>
        <v>0</v>
      </c>
      <c r="AE1141">
        <f>IF(AND(vp.tbl[[#This Row],[CrudeType]]="Crude",vp.tbl[[#This Row],[Dens]]&gt;900,vp.tbl[[#This Row],[Sulf]]&lt;=0.5,vp.tbl[[#This Row],[Unknown]]=0),1,0)</f>
        <v>0</v>
      </c>
      <c r="AF1141">
        <f>IF(AND(vp.tbl[[#This Row],[CrudeType]]="Crude",vp.tbl[[#This Row],[Dens]]&gt;900,vp.tbl[[#This Row],[Sulf]]&lt;=0.5,vp.tbl[[#This Row],[Unknown]]=0),1,0)</f>
        <v>0</v>
      </c>
      <c r="AG1141" t="str">
        <f>INDEX(vp.tbl[[#Headers],[Unknown]:[Heavy_SW]],MATCH(1,vp.tbl[[#This Row],[Unknown]:[Heavy_SW]],0))</f>
        <v>Medium_LSB</v>
      </c>
      <c r="AH1141" t="e">
        <f>INDEX([1]!crudeBD.lkup[Number],MATCH(vp.tbl[[#This Row],[Crude_Breakdown]],[1]!crudeBD.lkup[Crude Breakdown],0))</f>
        <v>#REF!</v>
      </c>
      <c r="AI1141">
        <f>MONTH(vp.tbl[[#This Row],[SDate]])</f>
        <v>3</v>
      </c>
      <c r="AJ1141" s="5">
        <f>IFERROR(vp.tbl[[#This Row],[Sulf]]*vp.tbl[[#This Row],[Net Dens]],"")</f>
        <v>245192913.49660799</v>
      </c>
      <c r="AK1141" s="5">
        <f>IFERROR(vp.tbl[[#This Row],[Dens]]*vp.tbl[[#This Row],[VolumeM3]],"")</f>
        <v>103022232.5616</v>
      </c>
      <c r="AL1141" s="5">
        <f>IFERROR(vp.tbl[[#This Row],[VP]]*vp.tbl[[#This Row],[VolumeM3]],"")</f>
        <v>7300975.3915999997</v>
      </c>
      <c r="AM1141" s="4">
        <f>IFERROR((vp.tbl[[#This Row],[VP]]-INDEX(crudeBD.lkup.complete[Mean_VP],MATCH(vp.tbl[[#This Row],[Crude_Breakdown]],crudeBD.lkup.complete[Crude Breakdown],0)))^2,"")</f>
        <v>352.44786684761925</v>
      </c>
      <c r="AN1141" s="4">
        <f>IFERROR((vp.tbl[[#This Row],[Dens]]-INDEX(crudeBD.lkup.complete[Mean_Dens],MATCH(vp.tbl[[#This Row],[Crude_Breakdown]],crudeBD.lkup.complete[Crude Breakdown],0)))^2,"")</f>
        <v>445.55514534790154</v>
      </c>
      <c r="AO1141" s="4">
        <f>IFERROR((vp.tbl[[#This Row],[Sulf]]-INDEX(crudeBD.lkup.complete[Mean_Sulf],MATCH(vp.tbl[[#This Row],[Crude_Breakdown]],crudeBD.lkup.complete[Crude Breakdown],0)))^2,"")</f>
        <v>0.85575476251444682</v>
      </c>
      <c r="AP1141">
        <f>IF(AND(vp.tbl[[#This Row],[SDate]]&gt;=DATE(YEAR(vp.tbl[[#This Row],[SDate]]),5,1),vp.tbl[[#This Row],[SDate]]&lt;=DATE(YEAR(vp.tbl[[#This Row],[SDate]]),9,15)),1,0)</f>
        <v>0</v>
      </c>
      <c r="AQ1141" s="15">
        <f>IF(vp.tbl[[#This Row],[SDate]]&lt;DATE(2016,12,1),0,1)</f>
        <v>1</v>
      </c>
    </row>
    <row r="1142" spans="1:43" x14ac:dyDescent="0.25">
      <c r="A1142">
        <v>1141</v>
      </c>
      <c r="B1142" t="s">
        <v>53</v>
      </c>
      <c r="C1142" t="s">
        <v>53</v>
      </c>
      <c r="D1142" t="s">
        <v>54</v>
      </c>
      <c r="E1142" t="s">
        <v>55</v>
      </c>
      <c r="F1142" s="1">
        <v>42823</v>
      </c>
      <c r="G1142" s="2">
        <v>77.8</v>
      </c>
      <c r="H1142" s="2"/>
      <c r="I1142" s="2">
        <v>1.32</v>
      </c>
      <c r="J1142" s="2">
        <v>12.3</v>
      </c>
      <c r="K1142" s="2">
        <v>16</v>
      </c>
      <c r="L1142" s="2">
        <v>844.3</v>
      </c>
      <c r="M1142" s="2">
        <v>844.3</v>
      </c>
      <c r="N1142" s="2">
        <f ca="1">INDEX(INDIRECT(_xlfn.CONCAT("weather.tbl[",N$1,"]")),MATCH(vp.tbl[[#This Row],[SDate]],weather.tbl[Date],0))</f>
        <v>6.7666666666666666</v>
      </c>
      <c r="O1142" s="2">
        <f ca="1">INDEX(INDIRECT(_xlfn.CONCAT("weather.tbl[",O$1,"]")),MATCH(vp.tbl[[#This Row],[SDate]],weather.tbl[Date],0))</f>
        <v>2.3880952380952385</v>
      </c>
      <c r="P1142" s="2">
        <f ca="1">INDEX(INDIRECT(_xlfn.CONCAT("weather.tbl[",P$1,"]")),MATCH(vp.tbl[[#This Row],[SDate]],weather.tbl[Date],0))</f>
        <v>6.7</v>
      </c>
      <c r="Q1142" s="2">
        <f ca="1">INDEX(INDIRECT(_xlfn.CONCAT("weather.tbl[",Q$1,"]")),MATCH(vp.tbl[[#This Row],[SDate]],weather.tbl[Date],0))</f>
        <v>7.9</v>
      </c>
      <c r="R1142" s="2">
        <f ca="1">INDEX(INDIRECT(_xlfn.CONCAT("weather.tbl[",R$1,"]")),MATCH(vp.tbl[[#This Row],[SDate]],weather.tbl[Date],0))</f>
        <v>5.5</v>
      </c>
      <c r="S1142" s="2">
        <f ca="1">INDEX(INDIRECT(_xlfn.CONCAT("weather.tbl[",S$1,"]")),MATCH(vp.tbl[[#This Row],[SDate]],weather.tbl[Date],0))</f>
        <v>8.8000000000000007</v>
      </c>
      <c r="T1142" s="2">
        <f ca="1">INDEX(INDIRECT(_xlfn.CONCAT("weather.tbl[",T$1,"]")),MATCH(vp.tbl[[#This Row],[SDate]],weather.tbl[Date],0))</f>
        <v>4.7</v>
      </c>
      <c r="U1142" s="2">
        <f ca="1">INDEX(INDIRECT(_xlfn.CONCAT("weather.tbl[",U$1,"]")),MATCH(vp.tbl[[#This Row],[SDate]],weather.tbl[Date],0))</f>
        <v>7</v>
      </c>
      <c r="V1142" s="2">
        <v>9106.7160000000003</v>
      </c>
      <c r="W1142" t="s">
        <v>48</v>
      </c>
      <c r="X1142">
        <f>IF(OR(vp.tbl[[#This Row],[Sulf]]="",vp.tbl[[#This Row],[Dens]]=""),1,0)</f>
        <v>0</v>
      </c>
      <c r="Y1142">
        <f>IF(vp.tbl[[#This Row],[CrudeType]]="C5+",1,0)</f>
        <v>0</v>
      </c>
      <c r="Z1142">
        <f>IF(AND(vp.tbl[[#This Row],[CrudeType]]="Crude",vp.tbl[[#This Row],[Dens]]&lt;=825,vp.tbl[[#This Row],[Sulf]]&gt;0.5,vp.tbl[[#This Row],[Unknown]]=0),1,0)</f>
        <v>0</v>
      </c>
      <c r="AA1142">
        <f>IF(AND(vp.tbl[[#This Row],[CrudeType]]="Crude",vp.tbl[[#This Row],[Dens]]&lt;=825,vp.tbl[[#This Row],[Sulf]]&lt;=0.5,vp.tbl[[#This Row],[Unknown]]=0),1,0)</f>
        <v>0</v>
      </c>
      <c r="AB1142">
        <f>IF(AND(vp.tbl[[#This Row],[CrudeType]]="Crude",vp.tbl[[#This Row],[Dens]]&gt;825,vp.tbl[[#This Row],[Dens]]&lt;=870,vp.tbl[[#This Row],[Sulf]]&gt;0.5,vp.tbl[[#This Row],[Unknown]]=0),1,0)</f>
        <v>1</v>
      </c>
      <c r="AC1142">
        <f>IF(AND(vp.tbl[[#This Row],[CrudeType]]="Crude",vp.tbl[[#This Row],[Dens]]&gt;825,vp.tbl[[#This Row],[Dens]]&lt;=900,vp.tbl[[#This Row],[Sulf]]&lt;=0.5,vp.tbl[[#This Row],[Unknown]]=0),1,0)</f>
        <v>0</v>
      </c>
      <c r="AD1142">
        <f>IF(AND(vp.tbl[[#This Row],[CrudeType]]="Crude",vp.tbl[[#This Row],[Dens]]&gt;870,vp.tbl[[#This Row],[Dens]]&lt;=900,vp.tbl[[#This Row],[Sulf]]&gt;0.5,vp.tbl[[#This Row],[Unknown]]=0),1,0)</f>
        <v>0</v>
      </c>
      <c r="AE1142">
        <f>IF(AND(vp.tbl[[#This Row],[CrudeType]]="Crude",vp.tbl[[#This Row],[Dens]]&gt;900,vp.tbl[[#This Row],[Sulf]]&lt;=0.5,vp.tbl[[#This Row],[Unknown]]=0),1,0)</f>
        <v>0</v>
      </c>
      <c r="AF1142">
        <f>IF(AND(vp.tbl[[#This Row],[CrudeType]]="Crude",vp.tbl[[#This Row],[Dens]]&gt;900,vp.tbl[[#This Row],[Sulf]]&lt;=0.5,vp.tbl[[#This Row],[Unknown]]=0),1,0)</f>
        <v>0</v>
      </c>
      <c r="AG1142" t="str">
        <f>INDEX(vp.tbl[[#Headers],[Unknown]:[Heavy_SW]],MATCH(1,vp.tbl[[#This Row],[Unknown]:[Heavy_SW]],0))</f>
        <v>Medium_LSB</v>
      </c>
      <c r="AH1142" t="e">
        <f>INDEX([1]!crudeBD.lkup[Number],MATCH(vp.tbl[[#This Row],[Crude_Breakdown]],[1]!crudeBD.lkup[Crude Breakdown],0))</f>
        <v>#REF!</v>
      </c>
      <c r="AI1142">
        <f>MONTH(vp.tbl[[#This Row],[SDate]])</f>
        <v>3</v>
      </c>
      <c r="AJ1142" s="5">
        <f>IFERROR(vp.tbl[[#This Row],[Sulf]]*vp.tbl[[#This Row],[Net Dens]],"")</f>
        <v>10149216.420816001</v>
      </c>
      <c r="AK1142" s="5">
        <f>IFERROR(vp.tbl[[#This Row],[Dens]]*vp.tbl[[#This Row],[VolumeM3]],"")</f>
        <v>7688800.3187999995</v>
      </c>
      <c r="AL1142" s="5">
        <f>IFERROR(vp.tbl[[#This Row],[VP]]*vp.tbl[[#This Row],[VolumeM3]],"")</f>
        <v>708502.5048</v>
      </c>
      <c r="AM1142" s="4">
        <f>IFERROR((vp.tbl[[#This Row],[VP]]-INDEX(crudeBD.lkup.complete[Mean_VP],MATCH(vp.tbl[[#This Row],[Crude_Breakdown]],crudeBD.lkup.complete[Crude Breakdown],0)))^2,"")</f>
        <v>5.6339529235697787</v>
      </c>
      <c r="AN1142" s="4">
        <f>IFERROR((vp.tbl[[#This Row],[Dens]]-INDEX(crudeBD.lkup.complete[Mean_Dens],MATCH(vp.tbl[[#This Row],[Crude_Breakdown]],crudeBD.lkup.complete[Crude Breakdown],0)))^2,"")</f>
        <v>0.98371243646665163</v>
      </c>
      <c r="AO1142" s="4">
        <f>IFERROR((vp.tbl[[#This Row],[Sulf]]-INDEX(crudeBD.lkup.complete[Mean_Sulf],MATCH(vp.tbl[[#This Row],[Crude_Breakdown]],crudeBD.lkup.complete[Crude Breakdown],0)))^2,"")</f>
        <v>1.8206067324576733E-2</v>
      </c>
      <c r="AP1142">
        <f>IF(AND(vp.tbl[[#This Row],[SDate]]&gt;=DATE(YEAR(vp.tbl[[#This Row],[SDate]]),5,1),vp.tbl[[#This Row],[SDate]]&lt;=DATE(YEAR(vp.tbl[[#This Row],[SDate]]),9,15)),1,0)</f>
        <v>0</v>
      </c>
      <c r="AQ1142" s="15">
        <f>IF(vp.tbl[[#This Row],[SDate]]&lt;DATE(2016,12,1),0,1)</f>
        <v>1</v>
      </c>
    </row>
    <row r="1143" spans="1:43" x14ac:dyDescent="0.25">
      <c r="A1143">
        <v>1142</v>
      </c>
      <c r="B1143" t="s">
        <v>49</v>
      </c>
      <c r="C1143" t="s">
        <v>49</v>
      </c>
      <c r="D1143" t="s">
        <v>235</v>
      </c>
      <c r="F1143" s="1">
        <v>42824</v>
      </c>
      <c r="G1143" s="2">
        <v>75.7</v>
      </c>
      <c r="H1143" s="2">
        <v>1.0589999999999999</v>
      </c>
      <c r="I1143" s="2">
        <v>1.0589999999999999</v>
      </c>
      <c r="J1143" s="2">
        <v>26.2</v>
      </c>
      <c r="K1143" s="2">
        <v>14</v>
      </c>
      <c r="L1143" s="2">
        <v>843.4</v>
      </c>
      <c r="M1143" s="2">
        <v>843.4</v>
      </c>
      <c r="N1143" s="2">
        <f ca="1">INDEX(INDIRECT(_xlfn.CONCAT("weather.tbl[",N$1,"]")),MATCH(vp.tbl[[#This Row],[SDate]],weather.tbl[Date],0))</f>
        <v>8.2666666666666657</v>
      </c>
      <c r="O1143" s="2">
        <f ca="1">INDEX(INDIRECT(_xlfn.CONCAT("weather.tbl[",O$1,"]")),MATCH(vp.tbl[[#This Row],[SDate]],weather.tbl[Date],0))</f>
        <v>3.7380952380952381</v>
      </c>
      <c r="P1143" s="2">
        <f ca="1">INDEX(INDIRECT(_xlfn.CONCAT("weather.tbl[",P$1,"]")),MATCH(vp.tbl[[#This Row],[SDate]],weather.tbl[Date],0))</f>
        <v>9</v>
      </c>
      <c r="Q1143" s="2">
        <f ca="1">INDEX(INDIRECT(_xlfn.CONCAT("weather.tbl[",Q$1,"]")),MATCH(vp.tbl[[#This Row],[SDate]],weather.tbl[Date],0))</f>
        <v>10.199999999999999</v>
      </c>
      <c r="R1143" s="2">
        <f ca="1">INDEX(INDIRECT(_xlfn.CONCAT("weather.tbl[",R$1,"]")),MATCH(vp.tbl[[#This Row],[SDate]],weather.tbl[Date],0))</f>
        <v>5</v>
      </c>
      <c r="S1143" s="2">
        <f ca="1">INDEX(INDIRECT(_xlfn.CONCAT("weather.tbl[",S$1,"]")),MATCH(vp.tbl[[#This Row],[SDate]],weather.tbl[Date],0))</f>
        <v>10.199999999999999</v>
      </c>
      <c r="T1143" s="2">
        <f ca="1">INDEX(INDIRECT(_xlfn.CONCAT("weather.tbl[",T$1,"]")),MATCH(vp.tbl[[#This Row],[SDate]],weather.tbl[Date],0))</f>
        <v>5.9</v>
      </c>
      <c r="U1143" s="2">
        <f ca="1">INDEX(INDIRECT(_xlfn.CONCAT("weather.tbl[",U$1,"]")),MATCH(vp.tbl[[#This Row],[SDate]],weather.tbl[Date],0))</f>
        <v>9.3000000000000007</v>
      </c>
      <c r="V1143" s="2">
        <v>2331.413</v>
      </c>
      <c r="W1143" t="s">
        <v>48</v>
      </c>
      <c r="X1143">
        <f>IF(OR(vp.tbl[[#This Row],[Sulf]]="",vp.tbl[[#This Row],[Dens]]=""),1,0)</f>
        <v>0</v>
      </c>
      <c r="Y1143">
        <f>IF(vp.tbl[[#This Row],[CrudeType]]="C5+",1,0)</f>
        <v>0</v>
      </c>
      <c r="Z1143">
        <f>IF(AND(vp.tbl[[#This Row],[CrudeType]]="Crude",vp.tbl[[#This Row],[Dens]]&lt;=825,vp.tbl[[#This Row],[Sulf]]&gt;0.5,vp.tbl[[#This Row],[Unknown]]=0),1,0)</f>
        <v>0</v>
      </c>
      <c r="AA1143">
        <f>IF(AND(vp.tbl[[#This Row],[CrudeType]]="Crude",vp.tbl[[#This Row],[Dens]]&lt;=825,vp.tbl[[#This Row],[Sulf]]&lt;=0.5,vp.tbl[[#This Row],[Unknown]]=0),1,0)</f>
        <v>0</v>
      </c>
      <c r="AB1143">
        <f>IF(AND(vp.tbl[[#This Row],[CrudeType]]="Crude",vp.tbl[[#This Row],[Dens]]&gt;825,vp.tbl[[#This Row],[Dens]]&lt;=870,vp.tbl[[#This Row],[Sulf]]&gt;0.5,vp.tbl[[#This Row],[Unknown]]=0),1,0)</f>
        <v>1</v>
      </c>
      <c r="AC1143">
        <f>IF(AND(vp.tbl[[#This Row],[CrudeType]]="Crude",vp.tbl[[#This Row],[Dens]]&gt;825,vp.tbl[[#This Row],[Dens]]&lt;=900,vp.tbl[[#This Row],[Sulf]]&lt;=0.5,vp.tbl[[#This Row],[Unknown]]=0),1,0)</f>
        <v>0</v>
      </c>
      <c r="AD1143">
        <f>IF(AND(vp.tbl[[#This Row],[CrudeType]]="Crude",vp.tbl[[#This Row],[Dens]]&gt;870,vp.tbl[[#This Row],[Dens]]&lt;=900,vp.tbl[[#This Row],[Sulf]]&gt;0.5,vp.tbl[[#This Row],[Unknown]]=0),1,0)</f>
        <v>0</v>
      </c>
      <c r="AE1143">
        <f>IF(AND(vp.tbl[[#This Row],[CrudeType]]="Crude",vp.tbl[[#This Row],[Dens]]&gt;900,vp.tbl[[#This Row],[Sulf]]&lt;=0.5,vp.tbl[[#This Row],[Unknown]]=0),1,0)</f>
        <v>0</v>
      </c>
      <c r="AF1143">
        <f>IF(AND(vp.tbl[[#This Row],[CrudeType]]="Crude",vp.tbl[[#This Row],[Dens]]&gt;900,vp.tbl[[#This Row],[Sulf]]&lt;=0.5,vp.tbl[[#This Row],[Unknown]]=0),1,0)</f>
        <v>0</v>
      </c>
      <c r="AG1143" t="str">
        <f>INDEX(vp.tbl[[#Headers],[Unknown]:[Heavy_SW]],MATCH(1,vp.tbl[[#This Row],[Unknown]:[Heavy_SW]],0))</f>
        <v>Medium_LSB</v>
      </c>
      <c r="AH1143" t="e">
        <f>INDEX([1]!crudeBD.lkup[Number],MATCH(vp.tbl[[#This Row],[Crude_Breakdown]],[1]!crudeBD.lkup[Crude Breakdown],0))</f>
        <v>#REF!</v>
      </c>
      <c r="AI1143">
        <f>MONTH(vp.tbl[[#This Row],[SDate]])</f>
        <v>3</v>
      </c>
      <c r="AJ1143" s="5">
        <f>IFERROR(vp.tbl[[#This Row],[Sulf]]*vp.tbl[[#This Row],[Net Dens]],"")</f>
        <v>2082326.2339277999</v>
      </c>
      <c r="AK1143" s="5">
        <f>IFERROR(vp.tbl[[#This Row],[Dens]]*vp.tbl[[#This Row],[VolumeM3]],"")</f>
        <v>1966313.7242000001</v>
      </c>
      <c r="AL1143" s="5">
        <f>IFERROR(vp.tbl[[#This Row],[VP]]*vp.tbl[[#This Row],[VolumeM3]],"")</f>
        <v>176487.96410000001</v>
      </c>
      <c r="AM1143" s="4">
        <f>IFERROR((vp.tbl[[#This Row],[VP]]-INDEX(crudeBD.lkup.complete[Mean_VP],MATCH(vp.tbl[[#This Row],[Crude_Breakdown]],crudeBD.lkup.complete[Crude Breakdown],0)))^2,"")</f>
        <v>20.0130516577468</v>
      </c>
      <c r="AN1143" s="4">
        <f>IFERROR((vp.tbl[[#This Row],[Dens]]-INDEX(crudeBD.lkup.complete[Mean_Dens],MATCH(vp.tbl[[#This Row],[Crude_Breakdown]],crudeBD.lkup.complete[Crude Breakdown],0)))^2,"")</f>
        <v>3.5789934491231028</v>
      </c>
      <c r="AO1143" s="4">
        <f>IFERROR((vp.tbl[[#This Row],[Sulf]]-INDEX(crudeBD.lkup.complete[Mean_Sulf],MATCH(vp.tbl[[#This Row],[Crude_Breakdown]],crudeBD.lkup.complete[Crude Breakdown],0)))^2,"")</f>
        <v>0.15676045464103328</v>
      </c>
      <c r="AP1143">
        <f>IF(AND(vp.tbl[[#This Row],[SDate]]&gt;=DATE(YEAR(vp.tbl[[#This Row],[SDate]]),5,1),vp.tbl[[#This Row],[SDate]]&lt;=DATE(YEAR(vp.tbl[[#This Row],[SDate]]),9,15)),1,0)</f>
        <v>0</v>
      </c>
      <c r="AQ1143" s="15">
        <f>IF(vp.tbl[[#This Row],[SDate]]&lt;DATE(2016,12,1),0,1)</f>
        <v>1</v>
      </c>
    </row>
    <row r="1144" spans="1:43" x14ac:dyDescent="0.25">
      <c r="A1144">
        <v>1143</v>
      </c>
      <c r="B1144" t="s">
        <v>49</v>
      </c>
      <c r="C1144" t="s">
        <v>49</v>
      </c>
      <c r="D1144" t="s">
        <v>236</v>
      </c>
      <c r="F1144" s="1">
        <v>42824</v>
      </c>
      <c r="G1144" s="2">
        <v>75.5</v>
      </c>
      <c r="H1144" s="2">
        <v>1.0669999999999999</v>
      </c>
      <c r="I1144" s="2">
        <v>1.0669999999999999</v>
      </c>
      <c r="J1144" s="2">
        <v>21.1</v>
      </c>
      <c r="K1144" s="2">
        <v>14</v>
      </c>
      <c r="L1144" s="2">
        <v>841.1</v>
      </c>
      <c r="M1144" s="2">
        <v>841.1</v>
      </c>
      <c r="N1144" s="2">
        <f ca="1">INDEX(INDIRECT(_xlfn.CONCAT("weather.tbl[",N$1,"]")),MATCH(vp.tbl[[#This Row],[SDate]],weather.tbl[Date],0))</f>
        <v>8.2666666666666657</v>
      </c>
      <c r="O1144" s="2">
        <f ca="1">INDEX(INDIRECT(_xlfn.CONCAT("weather.tbl[",O$1,"]")),MATCH(vp.tbl[[#This Row],[SDate]],weather.tbl[Date],0))</f>
        <v>3.7380952380952381</v>
      </c>
      <c r="P1144" s="2">
        <f ca="1">INDEX(INDIRECT(_xlfn.CONCAT("weather.tbl[",P$1,"]")),MATCH(vp.tbl[[#This Row],[SDate]],weather.tbl[Date],0))</f>
        <v>9</v>
      </c>
      <c r="Q1144" s="2">
        <f ca="1">INDEX(INDIRECT(_xlfn.CONCAT("weather.tbl[",Q$1,"]")),MATCH(vp.tbl[[#This Row],[SDate]],weather.tbl[Date],0))</f>
        <v>10.199999999999999</v>
      </c>
      <c r="R1144" s="2">
        <f ca="1">INDEX(INDIRECT(_xlfn.CONCAT("weather.tbl[",R$1,"]")),MATCH(vp.tbl[[#This Row],[SDate]],weather.tbl[Date],0))</f>
        <v>5</v>
      </c>
      <c r="S1144" s="2">
        <f ca="1">INDEX(INDIRECT(_xlfn.CONCAT("weather.tbl[",S$1,"]")),MATCH(vp.tbl[[#This Row],[SDate]],weather.tbl[Date],0))</f>
        <v>10.199999999999999</v>
      </c>
      <c r="T1144" s="2">
        <f ca="1">INDEX(INDIRECT(_xlfn.CONCAT("weather.tbl[",T$1,"]")),MATCH(vp.tbl[[#This Row],[SDate]],weather.tbl[Date],0))</f>
        <v>5.9</v>
      </c>
      <c r="U1144" s="2">
        <f ca="1">INDEX(INDIRECT(_xlfn.CONCAT("weather.tbl[",U$1,"]")),MATCH(vp.tbl[[#This Row],[SDate]],weather.tbl[Date],0))</f>
        <v>9.3000000000000007</v>
      </c>
      <c r="V1144" s="2">
        <v>1421.019</v>
      </c>
      <c r="W1144" t="s">
        <v>48</v>
      </c>
      <c r="X1144">
        <f>IF(OR(vp.tbl[[#This Row],[Sulf]]="",vp.tbl[[#This Row],[Dens]]=""),1,0)</f>
        <v>0</v>
      </c>
      <c r="Y1144">
        <f>IF(vp.tbl[[#This Row],[CrudeType]]="C5+",1,0)</f>
        <v>0</v>
      </c>
      <c r="Z1144">
        <f>IF(AND(vp.tbl[[#This Row],[CrudeType]]="Crude",vp.tbl[[#This Row],[Dens]]&lt;=825,vp.tbl[[#This Row],[Sulf]]&gt;0.5,vp.tbl[[#This Row],[Unknown]]=0),1,0)</f>
        <v>0</v>
      </c>
      <c r="AA1144">
        <f>IF(AND(vp.tbl[[#This Row],[CrudeType]]="Crude",vp.tbl[[#This Row],[Dens]]&lt;=825,vp.tbl[[#This Row],[Sulf]]&lt;=0.5,vp.tbl[[#This Row],[Unknown]]=0),1,0)</f>
        <v>0</v>
      </c>
      <c r="AB1144">
        <f>IF(AND(vp.tbl[[#This Row],[CrudeType]]="Crude",vp.tbl[[#This Row],[Dens]]&gt;825,vp.tbl[[#This Row],[Dens]]&lt;=870,vp.tbl[[#This Row],[Sulf]]&gt;0.5,vp.tbl[[#This Row],[Unknown]]=0),1,0)</f>
        <v>1</v>
      </c>
      <c r="AC1144">
        <f>IF(AND(vp.tbl[[#This Row],[CrudeType]]="Crude",vp.tbl[[#This Row],[Dens]]&gt;825,vp.tbl[[#This Row],[Dens]]&lt;=900,vp.tbl[[#This Row],[Sulf]]&lt;=0.5,vp.tbl[[#This Row],[Unknown]]=0),1,0)</f>
        <v>0</v>
      </c>
      <c r="AD1144">
        <f>IF(AND(vp.tbl[[#This Row],[CrudeType]]="Crude",vp.tbl[[#This Row],[Dens]]&gt;870,vp.tbl[[#This Row],[Dens]]&lt;=900,vp.tbl[[#This Row],[Sulf]]&gt;0.5,vp.tbl[[#This Row],[Unknown]]=0),1,0)</f>
        <v>0</v>
      </c>
      <c r="AE1144">
        <f>IF(AND(vp.tbl[[#This Row],[CrudeType]]="Crude",vp.tbl[[#This Row],[Dens]]&gt;900,vp.tbl[[#This Row],[Sulf]]&lt;=0.5,vp.tbl[[#This Row],[Unknown]]=0),1,0)</f>
        <v>0</v>
      </c>
      <c r="AF1144">
        <f>IF(AND(vp.tbl[[#This Row],[CrudeType]]="Crude",vp.tbl[[#This Row],[Dens]]&gt;900,vp.tbl[[#This Row],[Sulf]]&lt;=0.5,vp.tbl[[#This Row],[Unknown]]=0),1,0)</f>
        <v>0</v>
      </c>
      <c r="AG1144" t="str">
        <f>INDEX(vp.tbl[[#Headers],[Unknown]:[Heavy_SW]],MATCH(1,vp.tbl[[#This Row],[Unknown]:[Heavy_SW]],0))</f>
        <v>Medium_LSB</v>
      </c>
      <c r="AH1144" t="e">
        <f>INDEX([1]!crudeBD.lkup[Number],MATCH(vp.tbl[[#This Row],[Crude_Breakdown]],[1]!crudeBD.lkup[Crude Breakdown],0))</f>
        <v>#REF!</v>
      </c>
      <c r="AI1144">
        <f>MONTH(vp.tbl[[#This Row],[SDate]])</f>
        <v>3</v>
      </c>
      <c r="AJ1144" s="5">
        <f>IFERROR(vp.tbl[[#This Row],[Sulf]]*vp.tbl[[#This Row],[Net Dens]],"")</f>
        <v>1275298.7593202998</v>
      </c>
      <c r="AK1144" s="5">
        <f>IFERROR(vp.tbl[[#This Row],[Dens]]*vp.tbl[[#This Row],[VolumeM3]],"")</f>
        <v>1195219.0808999999</v>
      </c>
      <c r="AL1144" s="5">
        <f>IFERROR(vp.tbl[[#This Row],[VP]]*vp.tbl[[#This Row],[VolumeM3]],"")</f>
        <v>107286.9345</v>
      </c>
      <c r="AM1144" s="4">
        <f>IFERROR((vp.tbl[[#This Row],[VP]]-INDEX(crudeBD.lkup.complete[Mean_VP],MATCH(vp.tbl[[#This Row],[Crude_Breakdown]],crudeBD.lkup.complete[Crude Breakdown],0)))^2,"")</f>
        <v>21.842489632430354</v>
      </c>
      <c r="AN1144" s="4">
        <f>IFERROR((vp.tbl[[#This Row],[Dens]]-INDEX(crudeBD.lkup.complete[Mean_Dens],MATCH(vp.tbl[[#This Row],[Crude_Breakdown]],crudeBD.lkup.complete[Crude Breakdown],0)))^2,"")</f>
        <v>17.571378259244881</v>
      </c>
      <c r="AO1144" s="4">
        <f>IFERROR((vp.tbl[[#This Row],[Sulf]]-INDEX(crudeBD.lkup.complete[Mean_Sulf],MATCH(vp.tbl[[#This Row],[Crude_Breakdown]],crudeBD.lkup.complete[Crude Breakdown],0)))^2,"")</f>
        <v>0.15048957686888134</v>
      </c>
      <c r="AP1144">
        <f>IF(AND(vp.tbl[[#This Row],[SDate]]&gt;=DATE(YEAR(vp.tbl[[#This Row],[SDate]]),5,1),vp.tbl[[#This Row],[SDate]]&lt;=DATE(YEAR(vp.tbl[[#This Row],[SDate]]),9,15)),1,0)</f>
        <v>0</v>
      </c>
      <c r="AQ1144" s="15">
        <f>IF(vp.tbl[[#This Row],[SDate]]&lt;DATE(2016,12,1),0,1)</f>
        <v>1</v>
      </c>
    </row>
    <row r="1145" spans="1:43" x14ac:dyDescent="0.25">
      <c r="A1145">
        <v>1144</v>
      </c>
      <c r="B1145" t="s">
        <v>49</v>
      </c>
      <c r="C1145" t="s">
        <v>49</v>
      </c>
      <c r="D1145" t="s">
        <v>237</v>
      </c>
      <c r="F1145" s="1">
        <v>42824</v>
      </c>
      <c r="G1145" s="2">
        <v>59</v>
      </c>
      <c r="H1145" s="2">
        <v>1.157</v>
      </c>
      <c r="I1145" s="2">
        <v>1.157</v>
      </c>
      <c r="J1145" s="2">
        <v>18.5</v>
      </c>
      <c r="K1145" s="2">
        <v>14</v>
      </c>
      <c r="L1145" s="2">
        <v>846.6</v>
      </c>
      <c r="M1145" s="2">
        <v>846.6</v>
      </c>
      <c r="N1145" s="2">
        <f ca="1">INDEX(INDIRECT(_xlfn.CONCAT("weather.tbl[",N$1,"]")),MATCH(vp.tbl[[#This Row],[SDate]],weather.tbl[Date],0))</f>
        <v>8.2666666666666657</v>
      </c>
      <c r="O1145" s="2">
        <f ca="1">INDEX(INDIRECT(_xlfn.CONCAT("weather.tbl[",O$1,"]")),MATCH(vp.tbl[[#This Row],[SDate]],weather.tbl[Date],0))</f>
        <v>3.7380952380952381</v>
      </c>
      <c r="P1145" s="2">
        <f ca="1">INDEX(INDIRECT(_xlfn.CONCAT("weather.tbl[",P$1,"]")),MATCH(vp.tbl[[#This Row],[SDate]],weather.tbl[Date],0))</f>
        <v>9</v>
      </c>
      <c r="Q1145" s="2">
        <f ca="1">INDEX(INDIRECT(_xlfn.CONCAT("weather.tbl[",Q$1,"]")),MATCH(vp.tbl[[#This Row],[SDate]],weather.tbl[Date],0))</f>
        <v>10.199999999999999</v>
      </c>
      <c r="R1145" s="2">
        <f ca="1">INDEX(INDIRECT(_xlfn.CONCAT("weather.tbl[",R$1,"]")),MATCH(vp.tbl[[#This Row],[SDate]],weather.tbl[Date],0))</f>
        <v>5</v>
      </c>
      <c r="S1145" s="2">
        <f ca="1">INDEX(INDIRECT(_xlfn.CONCAT("weather.tbl[",S$1,"]")),MATCH(vp.tbl[[#This Row],[SDate]],weather.tbl[Date],0))</f>
        <v>10.199999999999999</v>
      </c>
      <c r="T1145" s="2">
        <f ca="1">INDEX(INDIRECT(_xlfn.CONCAT("weather.tbl[",T$1,"]")),MATCH(vp.tbl[[#This Row],[SDate]],weather.tbl[Date],0))</f>
        <v>5.9</v>
      </c>
      <c r="U1145" s="2">
        <f ca="1">INDEX(INDIRECT(_xlfn.CONCAT("weather.tbl[",U$1,"]")),MATCH(vp.tbl[[#This Row],[SDate]],weather.tbl[Date],0))</f>
        <v>9.3000000000000007</v>
      </c>
      <c r="V1145" s="2">
        <v>940.25300000000004</v>
      </c>
      <c r="W1145" t="s">
        <v>48</v>
      </c>
      <c r="X1145">
        <f>IF(OR(vp.tbl[[#This Row],[Sulf]]="",vp.tbl[[#This Row],[Dens]]=""),1,0)</f>
        <v>0</v>
      </c>
      <c r="Y1145">
        <f>IF(vp.tbl[[#This Row],[CrudeType]]="C5+",1,0)</f>
        <v>0</v>
      </c>
      <c r="Z1145">
        <f>IF(AND(vp.tbl[[#This Row],[CrudeType]]="Crude",vp.tbl[[#This Row],[Dens]]&lt;=825,vp.tbl[[#This Row],[Sulf]]&gt;0.5,vp.tbl[[#This Row],[Unknown]]=0),1,0)</f>
        <v>0</v>
      </c>
      <c r="AA1145">
        <f>IF(AND(vp.tbl[[#This Row],[CrudeType]]="Crude",vp.tbl[[#This Row],[Dens]]&lt;=825,vp.tbl[[#This Row],[Sulf]]&lt;=0.5,vp.tbl[[#This Row],[Unknown]]=0),1,0)</f>
        <v>0</v>
      </c>
      <c r="AB1145">
        <f>IF(AND(vp.tbl[[#This Row],[CrudeType]]="Crude",vp.tbl[[#This Row],[Dens]]&gt;825,vp.tbl[[#This Row],[Dens]]&lt;=870,vp.tbl[[#This Row],[Sulf]]&gt;0.5,vp.tbl[[#This Row],[Unknown]]=0),1,0)</f>
        <v>1</v>
      </c>
      <c r="AC1145">
        <f>IF(AND(vp.tbl[[#This Row],[CrudeType]]="Crude",vp.tbl[[#This Row],[Dens]]&gt;825,vp.tbl[[#This Row],[Dens]]&lt;=900,vp.tbl[[#This Row],[Sulf]]&lt;=0.5,vp.tbl[[#This Row],[Unknown]]=0),1,0)</f>
        <v>0</v>
      </c>
      <c r="AD1145">
        <f>IF(AND(vp.tbl[[#This Row],[CrudeType]]="Crude",vp.tbl[[#This Row],[Dens]]&gt;870,vp.tbl[[#This Row],[Dens]]&lt;=900,vp.tbl[[#This Row],[Sulf]]&gt;0.5,vp.tbl[[#This Row],[Unknown]]=0),1,0)</f>
        <v>0</v>
      </c>
      <c r="AE1145">
        <f>IF(AND(vp.tbl[[#This Row],[CrudeType]]="Crude",vp.tbl[[#This Row],[Dens]]&gt;900,vp.tbl[[#This Row],[Sulf]]&lt;=0.5,vp.tbl[[#This Row],[Unknown]]=0),1,0)</f>
        <v>0</v>
      </c>
      <c r="AF1145">
        <f>IF(AND(vp.tbl[[#This Row],[CrudeType]]="Crude",vp.tbl[[#This Row],[Dens]]&gt;900,vp.tbl[[#This Row],[Sulf]]&lt;=0.5,vp.tbl[[#This Row],[Unknown]]=0),1,0)</f>
        <v>0</v>
      </c>
      <c r="AG1145" t="str">
        <f>INDEX(vp.tbl[[#Headers],[Unknown]:[Heavy_SW]],MATCH(1,vp.tbl[[#This Row],[Unknown]:[Heavy_SW]],0))</f>
        <v>Medium_LSB</v>
      </c>
      <c r="AH1145" t="e">
        <f>INDEX([1]!crudeBD.lkup[Number],MATCH(vp.tbl[[#This Row],[Crude_Breakdown]],[1]!crudeBD.lkup[Crude Breakdown],0))</f>
        <v>#REF!</v>
      </c>
      <c r="AI1145">
        <f>MONTH(vp.tbl[[#This Row],[SDate]])</f>
        <v>3</v>
      </c>
      <c r="AJ1145" s="5">
        <f>IFERROR(vp.tbl[[#This Row],[Sulf]]*vp.tbl[[#This Row],[Net Dens]],"")</f>
        <v>920993.04559860006</v>
      </c>
      <c r="AK1145" s="5">
        <f>IFERROR(vp.tbl[[#This Row],[Dens]]*vp.tbl[[#This Row],[VolumeM3]],"")</f>
        <v>796018.18980000005</v>
      </c>
      <c r="AL1145" s="5">
        <f>IFERROR(vp.tbl[[#This Row],[VP]]*vp.tbl[[#This Row],[VolumeM3]],"")</f>
        <v>55474.927000000003</v>
      </c>
      <c r="AM1145" s="4">
        <f>IFERROR((vp.tbl[[#This Row],[VP]]-INDEX(crudeBD.lkup.complete[Mean_VP],MATCH(vp.tbl[[#This Row],[Crude_Breakdown]],crudeBD.lkup.complete[Crude Breakdown],0)))^2,"")</f>
        <v>448.32112254382156</v>
      </c>
      <c r="AN1145" s="4">
        <f>IFERROR((vp.tbl[[#This Row],[Dens]]-INDEX(crudeBD.lkup.complete[Mean_Dens],MATCH(vp.tbl[[#This Row],[Crude_Breakdown]],crudeBD.lkup.complete[Crude Breakdown],0)))^2,"")</f>
        <v>1.711327626344568</v>
      </c>
      <c r="AO1145" s="4">
        <f>IFERROR((vp.tbl[[#This Row],[Sulf]]-INDEX(crudeBD.lkup.complete[Mean_Sulf],MATCH(vp.tbl[[#This Row],[Crude_Breakdown]],crudeBD.lkup.complete[Crude Breakdown],0)))^2,"")</f>
        <v>8.8762201932172158E-2</v>
      </c>
      <c r="AP1145">
        <f>IF(AND(vp.tbl[[#This Row],[SDate]]&gt;=DATE(YEAR(vp.tbl[[#This Row],[SDate]]),5,1),vp.tbl[[#This Row],[SDate]]&lt;=DATE(YEAR(vp.tbl[[#This Row],[SDate]]),9,15)),1,0)</f>
        <v>0</v>
      </c>
      <c r="AQ1145" s="15">
        <f>IF(vp.tbl[[#This Row],[SDate]]&lt;DATE(2016,12,1),0,1)</f>
        <v>1</v>
      </c>
    </row>
    <row r="1146" spans="1:43" x14ac:dyDescent="0.25">
      <c r="A1146">
        <v>1145</v>
      </c>
      <c r="B1146" t="s">
        <v>108</v>
      </c>
      <c r="C1146" t="s">
        <v>108</v>
      </c>
      <c r="D1146" t="s">
        <v>238</v>
      </c>
      <c r="F1146" s="1">
        <v>42824</v>
      </c>
      <c r="G1146" s="2">
        <v>85.78</v>
      </c>
      <c r="H1146" s="2"/>
      <c r="I1146" s="2">
        <v>1.03</v>
      </c>
      <c r="J1146" s="2">
        <v>11.8</v>
      </c>
      <c r="K1146" s="2">
        <v>14</v>
      </c>
      <c r="L1146" s="2">
        <v>839.8</v>
      </c>
      <c r="M1146" s="2">
        <v>839.8</v>
      </c>
      <c r="N1146" s="2">
        <f ca="1">INDEX(INDIRECT(_xlfn.CONCAT("weather.tbl[",N$1,"]")),MATCH(vp.tbl[[#This Row],[SDate]],weather.tbl[Date],0))</f>
        <v>8.2666666666666657</v>
      </c>
      <c r="O1146" s="2">
        <f ca="1">INDEX(INDIRECT(_xlfn.CONCAT("weather.tbl[",O$1,"]")),MATCH(vp.tbl[[#This Row],[SDate]],weather.tbl[Date],0))</f>
        <v>3.7380952380952381</v>
      </c>
      <c r="P1146" s="2">
        <f ca="1">INDEX(INDIRECT(_xlfn.CONCAT("weather.tbl[",P$1,"]")),MATCH(vp.tbl[[#This Row],[SDate]],weather.tbl[Date],0))</f>
        <v>9</v>
      </c>
      <c r="Q1146" s="2">
        <f ca="1">INDEX(INDIRECT(_xlfn.CONCAT("weather.tbl[",Q$1,"]")),MATCH(vp.tbl[[#This Row],[SDate]],weather.tbl[Date],0))</f>
        <v>10.199999999999999</v>
      </c>
      <c r="R1146" s="2">
        <f ca="1">INDEX(INDIRECT(_xlfn.CONCAT("weather.tbl[",R$1,"]")),MATCH(vp.tbl[[#This Row],[SDate]],weather.tbl[Date],0))</f>
        <v>5</v>
      </c>
      <c r="S1146" s="2">
        <f ca="1">INDEX(INDIRECT(_xlfn.CONCAT("weather.tbl[",S$1,"]")),MATCH(vp.tbl[[#This Row],[SDate]],weather.tbl[Date],0))</f>
        <v>10.199999999999999</v>
      </c>
      <c r="T1146" s="2">
        <f ca="1">INDEX(INDIRECT(_xlfn.CONCAT("weather.tbl[",T$1,"]")),MATCH(vp.tbl[[#This Row],[SDate]],weather.tbl[Date],0))</f>
        <v>5.9</v>
      </c>
      <c r="U1146" s="2">
        <f ca="1">INDEX(INDIRECT(_xlfn.CONCAT("weather.tbl[",U$1,"]")),MATCH(vp.tbl[[#This Row],[SDate]],weather.tbl[Date],0))</f>
        <v>9.3000000000000007</v>
      </c>
      <c r="V1146" s="2">
        <v>282.61700000000002</v>
      </c>
      <c r="W1146" t="s">
        <v>48</v>
      </c>
      <c r="X1146">
        <f>IF(OR(vp.tbl[[#This Row],[Sulf]]="",vp.tbl[[#This Row],[Dens]]=""),1,0)</f>
        <v>0</v>
      </c>
      <c r="Y1146">
        <f>IF(vp.tbl[[#This Row],[CrudeType]]="C5+",1,0)</f>
        <v>0</v>
      </c>
      <c r="Z1146">
        <f>IF(AND(vp.tbl[[#This Row],[CrudeType]]="Crude",vp.tbl[[#This Row],[Dens]]&lt;=825,vp.tbl[[#This Row],[Sulf]]&gt;0.5,vp.tbl[[#This Row],[Unknown]]=0),1,0)</f>
        <v>0</v>
      </c>
      <c r="AA1146">
        <f>IF(AND(vp.tbl[[#This Row],[CrudeType]]="Crude",vp.tbl[[#This Row],[Dens]]&lt;=825,vp.tbl[[#This Row],[Sulf]]&lt;=0.5,vp.tbl[[#This Row],[Unknown]]=0),1,0)</f>
        <v>0</v>
      </c>
      <c r="AB1146">
        <f>IF(AND(vp.tbl[[#This Row],[CrudeType]]="Crude",vp.tbl[[#This Row],[Dens]]&gt;825,vp.tbl[[#This Row],[Dens]]&lt;=870,vp.tbl[[#This Row],[Sulf]]&gt;0.5,vp.tbl[[#This Row],[Unknown]]=0),1,0)</f>
        <v>1</v>
      </c>
      <c r="AC1146">
        <f>IF(AND(vp.tbl[[#This Row],[CrudeType]]="Crude",vp.tbl[[#This Row],[Dens]]&gt;825,vp.tbl[[#This Row],[Dens]]&lt;=900,vp.tbl[[#This Row],[Sulf]]&lt;=0.5,vp.tbl[[#This Row],[Unknown]]=0),1,0)</f>
        <v>0</v>
      </c>
      <c r="AD1146">
        <f>IF(AND(vp.tbl[[#This Row],[CrudeType]]="Crude",vp.tbl[[#This Row],[Dens]]&gt;870,vp.tbl[[#This Row],[Dens]]&lt;=900,vp.tbl[[#This Row],[Sulf]]&gt;0.5,vp.tbl[[#This Row],[Unknown]]=0),1,0)</f>
        <v>0</v>
      </c>
      <c r="AE1146">
        <f>IF(AND(vp.tbl[[#This Row],[CrudeType]]="Crude",vp.tbl[[#This Row],[Dens]]&gt;900,vp.tbl[[#This Row],[Sulf]]&lt;=0.5,vp.tbl[[#This Row],[Unknown]]=0),1,0)</f>
        <v>0</v>
      </c>
      <c r="AF1146">
        <f>IF(AND(vp.tbl[[#This Row],[CrudeType]]="Crude",vp.tbl[[#This Row],[Dens]]&gt;900,vp.tbl[[#This Row],[Sulf]]&lt;=0.5,vp.tbl[[#This Row],[Unknown]]=0),1,0)</f>
        <v>0</v>
      </c>
      <c r="AG1146" t="str">
        <f>INDEX(vp.tbl[[#Headers],[Unknown]:[Heavy_SW]],MATCH(1,vp.tbl[[#This Row],[Unknown]:[Heavy_SW]],0))</f>
        <v>Medium_LSB</v>
      </c>
      <c r="AH1146" t="e">
        <f>INDEX([1]!crudeBD.lkup[Number],MATCH(vp.tbl[[#This Row],[Crude_Breakdown]],[1]!crudeBD.lkup[Crude Breakdown],0))</f>
        <v>#REF!</v>
      </c>
      <c r="AI1146">
        <f>MONTH(vp.tbl[[#This Row],[SDate]])</f>
        <v>3</v>
      </c>
      <c r="AJ1146" s="5">
        <f>IFERROR(vp.tbl[[#This Row],[Sulf]]*vp.tbl[[#This Row],[Net Dens]],"")</f>
        <v>244462.00929799999</v>
      </c>
      <c r="AK1146" s="5">
        <f>IFERROR(vp.tbl[[#This Row],[Dens]]*vp.tbl[[#This Row],[VolumeM3]],"")</f>
        <v>237341.75659999999</v>
      </c>
      <c r="AL1146" s="5">
        <f>IFERROR(vp.tbl[[#This Row],[VP]]*vp.tbl[[#This Row],[VolumeM3]],"")</f>
        <v>24242.886260000003</v>
      </c>
      <c r="AM1146" s="4">
        <f>IFERROR((vp.tbl[[#This Row],[VP]]-INDEX(crudeBD.lkup.complete[Mean_VP],MATCH(vp.tbl[[#This Row],[Crude_Breakdown]],crudeBD.lkup.complete[Crude Breakdown],0)))^2,"")</f>
        <v>31.431777733696951</v>
      </c>
      <c r="AN1146" s="4">
        <f>IFERROR((vp.tbl[[#This Row],[Dens]]-INDEX(crudeBD.lkup.complete[Mean_Dens],MATCH(vp.tbl[[#This Row],[Crude_Breakdown]],crudeBD.lkup.complete[Crude Breakdown],0)))^2,"")</f>
        <v>30.160117499749337</v>
      </c>
      <c r="AO1146" s="4">
        <f>IFERROR((vp.tbl[[#This Row],[Sulf]]-INDEX(crudeBD.lkup.complete[Mean_Sulf],MATCH(vp.tbl[[#This Row],[Crude_Breakdown]],crudeBD.lkup.complete[Crude Breakdown],0)))^2,"")</f>
        <v>0.18056538656508392</v>
      </c>
      <c r="AP1146">
        <f>IF(AND(vp.tbl[[#This Row],[SDate]]&gt;=DATE(YEAR(vp.tbl[[#This Row],[SDate]]),5,1),vp.tbl[[#This Row],[SDate]]&lt;=DATE(YEAR(vp.tbl[[#This Row],[SDate]]),9,15)),1,0)</f>
        <v>0</v>
      </c>
      <c r="AQ1146" s="15">
        <f>IF(vp.tbl[[#This Row],[SDate]]&lt;DATE(2016,12,1),0,1)</f>
        <v>1</v>
      </c>
    </row>
    <row r="1147" spans="1:43" x14ac:dyDescent="0.25">
      <c r="A1147">
        <v>1146</v>
      </c>
      <c r="B1147" t="s">
        <v>51</v>
      </c>
      <c r="C1147" t="s">
        <v>51</v>
      </c>
      <c r="D1147" t="s">
        <v>239</v>
      </c>
      <c r="F1147" s="1">
        <v>42824</v>
      </c>
      <c r="G1147" s="2">
        <v>67.5</v>
      </c>
      <c r="H1147" s="2"/>
      <c r="I1147" s="2">
        <v>1.1299999999999999</v>
      </c>
      <c r="J1147" s="2">
        <v>29.7</v>
      </c>
      <c r="K1147" s="2">
        <v>14</v>
      </c>
      <c r="L1147" s="2">
        <v>842.7</v>
      </c>
      <c r="M1147" s="2">
        <v>842.7</v>
      </c>
      <c r="N1147" s="2">
        <f ca="1">INDEX(INDIRECT(_xlfn.CONCAT("weather.tbl[",N$1,"]")),MATCH(vp.tbl[[#This Row],[SDate]],weather.tbl[Date],0))</f>
        <v>8.2666666666666657</v>
      </c>
      <c r="O1147" s="2">
        <f ca="1">INDEX(INDIRECT(_xlfn.CONCAT("weather.tbl[",O$1,"]")),MATCH(vp.tbl[[#This Row],[SDate]],weather.tbl[Date],0))</f>
        <v>3.7380952380952381</v>
      </c>
      <c r="P1147" s="2">
        <f ca="1">INDEX(INDIRECT(_xlfn.CONCAT("weather.tbl[",P$1,"]")),MATCH(vp.tbl[[#This Row],[SDate]],weather.tbl[Date],0))</f>
        <v>9</v>
      </c>
      <c r="Q1147" s="2">
        <f ca="1">INDEX(INDIRECT(_xlfn.CONCAT("weather.tbl[",Q$1,"]")),MATCH(vp.tbl[[#This Row],[SDate]],weather.tbl[Date],0))</f>
        <v>10.199999999999999</v>
      </c>
      <c r="R1147" s="2">
        <f ca="1">INDEX(INDIRECT(_xlfn.CONCAT("weather.tbl[",R$1,"]")),MATCH(vp.tbl[[#This Row],[SDate]],weather.tbl[Date],0))</f>
        <v>5</v>
      </c>
      <c r="S1147" s="2">
        <f ca="1">INDEX(INDIRECT(_xlfn.CONCAT("weather.tbl[",S$1,"]")),MATCH(vp.tbl[[#This Row],[SDate]],weather.tbl[Date],0))</f>
        <v>10.199999999999999</v>
      </c>
      <c r="T1147" s="2">
        <f ca="1">INDEX(INDIRECT(_xlfn.CONCAT("weather.tbl[",T$1,"]")),MATCH(vp.tbl[[#This Row],[SDate]],weather.tbl[Date],0))</f>
        <v>5.9</v>
      </c>
      <c r="U1147" s="2">
        <f ca="1">INDEX(INDIRECT(_xlfn.CONCAT("weather.tbl[",U$1,"]")),MATCH(vp.tbl[[#This Row],[SDate]],weather.tbl[Date],0))</f>
        <v>9.3000000000000007</v>
      </c>
      <c r="V1147" s="2">
        <v>2689.3960000000002</v>
      </c>
      <c r="W1147" t="s">
        <v>48</v>
      </c>
      <c r="X1147">
        <f>IF(OR(vp.tbl[[#This Row],[Sulf]]="",vp.tbl[[#This Row],[Dens]]=""),1,0)</f>
        <v>0</v>
      </c>
      <c r="Y1147">
        <f>IF(vp.tbl[[#This Row],[CrudeType]]="C5+",1,0)</f>
        <v>0</v>
      </c>
      <c r="Z1147">
        <f>IF(AND(vp.tbl[[#This Row],[CrudeType]]="Crude",vp.tbl[[#This Row],[Dens]]&lt;=825,vp.tbl[[#This Row],[Sulf]]&gt;0.5,vp.tbl[[#This Row],[Unknown]]=0),1,0)</f>
        <v>0</v>
      </c>
      <c r="AA1147">
        <f>IF(AND(vp.tbl[[#This Row],[CrudeType]]="Crude",vp.tbl[[#This Row],[Dens]]&lt;=825,vp.tbl[[#This Row],[Sulf]]&lt;=0.5,vp.tbl[[#This Row],[Unknown]]=0),1,0)</f>
        <v>0</v>
      </c>
      <c r="AB1147">
        <f>IF(AND(vp.tbl[[#This Row],[CrudeType]]="Crude",vp.tbl[[#This Row],[Dens]]&gt;825,vp.tbl[[#This Row],[Dens]]&lt;=870,vp.tbl[[#This Row],[Sulf]]&gt;0.5,vp.tbl[[#This Row],[Unknown]]=0),1,0)</f>
        <v>1</v>
      </c>
      <c r="AC1147">
        <f>IF(AND(vp.tbl[[#This Row],[CrudeType]]="Crude",vp.tbl[[#This Row],[Dens]]&gt;825,vp.tbl[[#This Row],[Dens]]&lt;=900,vp.tbl[[#This Row],[Sulf]]&lt;=0.5,vp.tbl[[#This Row],[Unknown]]=0),1,0)</f>
        <v>0</v>
      </c>
      <c r="AD1147">
        <f>IF(AND(vp.tbl[[#This Row],[CrudeType]]="Crude",vp.tbl[[#This Row],[Dens]]&gt;870,vp.tbl[[#This Row],[Dens]]&lt;=900,vp.tbl[[#This Row],[Sulf]]&gt;0.5,vp.tbl[[#This Row],[Unknown]]=0),1,0)</f>
        <v>0</v>
      </c>
      <c r="AE1147">
        <f>IF(AND(vp.tbl[[#This Row],[CrudeType]]="Crude",vp.tbl[[#This Row],[Dens]]&gt;900,vp.tbl[[#This Row],[Sulf]]&lt;=0.5,vp.tbl[[#This Row],[Unknown]]=0),1,0)</f>
        <v>0</v>
      </c>
      <c r="AF1147">
        <f>IF(AND(vp.tbl[[#This Row],[CrudeType]]="Crude",vp.tbl[[#This Row],[Dens]]&gt;900,vp.tbl[[#This Row],[Sulf]]&lt;=0.5,vp.tbl[[#This Row],[Unknown]]=0),1,0)</f>
        <v>0</v>
      </c>
      <c r="AG1147" t="str">
        <f>INDEX(vp.tbl[[#Headers],[Unknown]:[Heavy_SW]],MATCH(1,vp.tbl[[#This Row],[Unknown]:[Heavy_SW]],0))</f>
        <v>Medium_LSB</v>
      </c>
      <c r="AH1147" t="e">
        <f>INDEX([1]!crudeBD.lkup[Number],MATCH(vp.tbl[[#This Row],[Crude_Breakdown]],[1]!crudeBD.lkup[Crude Breakdown],0))</f>
        <v>#REF!</v>
      </c>
      <c r="AI1147">
        <f>MONTH(vp.tbl[[#This Row],[SDate]])</f>
        <v>3</v>
      </c>
      <c r="AJ1147" s="5">
        <f>IFERROR(vp.tbl[[#This Row],[Sulf]]*vp.tbl[[#This Row],[Net Dens]],"")</f>
        <v>2560980.030396</v>
      </c>
      <c r="AK1147" s="5">
        <f>IFERROR(vp.tbl[[#This Row],[Dens]]*vp.tbl[[#This Row],[VolumeM3]],"")</f>
        <v>2266354.0092000002</v>
      </c>
      <c r="AL1147" s="5">
        <f>IFERROR(vp.tbl[[#This Row],[VP]]*vp.tbl[[#This Row],[VolumeM3]],"")</f>
        <v>181534.23</v>
      </c>
      <c r="AM1147" s="4">
        <f>IFERROR((vp.tbl[[#This Row],[VP]]-INDEX(crudeBD.lkup.complete[Mean_VP],MATCH(vp.tbl[[#This Row],[Crude_Breakdown]],crudeBD.lkup.complete[Crude Breakdown],0)))^2,"")</f>
        <v>160.62000861977154</v>
      </c>
      <c r="AN1147" s="4">
        <f>IFERROR((vp.tbl[[#This Row],[Dens]]-INDEX(crudeBD.lkup.complete[Mean_Dens],MATCH(vp.tbl[[#This Row],[Crude_Breakdown]],crudeBD.lkup.complete[Crude Breakdown],0)))^2,"")</f>
        <v>6.7175453478555802</v>
      </c>
      <c r="AO1147" s="4">
        <f>IFERROR((vp.tbl[[#This Row],[Sulf]]-INDEX(crudeBD.lkup.complete[Mean_Sulf],MATCH(vp.tbl[[#This Row],[Crude_Breakdown]],crudeBD.lkup.complete[Crude Breakdown],0)))^2,"")</f>
        <v>0.10557941441318498</v>
      </c>
      <c r="AP1147">
        <f>IF(AND(vp.tbl[[#This Row],[SDate]]&gt;=DATE(YEAR(vp.tbl[[#This Row],[SDate]]),5,1),vp.tbl[[#This Row],[SDate]]&lt;=DATE(YEAR(vp.tbl[[#This Row],[SDate]]),9,15)),1,0)</f>
        <v>0</v>
      </c>
      <c r="AQ1147" s="15">
        <f>IF(vp.tbl[[#This Row],[SDate]]&lt;DATE(2016,12,1),0,1)</f>
        <v>1</v>
      </c>
    </row>
    <row r="1148" spans="1:43" x14ac:dyDescent="0.25">
      <c r="A1148">
        <v>1147</v>
      </c>
      <c r="B1148" t="s">
        <v>183</v>
      </c>
      <c r="C1148" t="s">
        <v>183</v>
      </c>
      <c r="D1148" t="s">
        <v>240</v>
      </c>
      <c r="F1148" s="1">
        <v>42824</v>
      </c>
      <c r="G1148" s="2">
        <v>79</v>
      </c>
      <c r="H1148" s="2"/>
      <c r="I1148" s="2">
        <v>1.1599999999999999</v>
      </c>
      <c r="J1148" s="2">
        <v>14.7</v>
      </c>
      <c r="K1148" s="2">
        <v>14</v>
      </c>
      <c r="L1148" s="2">
        <v>843.8</v>
      </c>
      <c r="M1148" s="2">
        <v>843.8</v>
      </c>
      <c r="N1148" s="2">
        <f ca="1">INDEX(INDIRECT(_xlfn.CONCAT("weather.tbl[",N$1,"]")),MATCH(vp.tbl[[#This Row],[SDate]],weather.tbl[Date],0))</f>
        <v>8.2666666666666657</v>
      </c>
      <c r="O1148" s="2">
        <f ca="1">INDEX(INDIRECT(_xlfn.CONCAT("weather.tbl[",O$1,"]")),MATCH(vp.tbl[[#This Row],[SDate]],weather.tbl[Date],0))</f>
        <v>3.7380952380952381</v>
      </c>
      <c r="P1148" s="2">
        <f ca="1">INDEX(INDIRECT(_xlfn.CONCAT("weather.tbl[",P$1,"]")),MATCH(vp.tbl[[#This Row],[SDate]],weather.tbl[Date],0))</f>
        <v>9</v>
      </c>
      <c r="Q1148" s="2">
        <f ca="1">INDEX(INDIRECT(_xlfn.CONCAT("weather.tbl[",Q$1,"]")),MATCH(vp.tbl[[#This Row],[SDate]],weather.tbl[Date],0))</f>
        <v>10.199999999999999</v>
      </c>
      <c r="R1148" s="2">
        <f ca="1">INDEX(INDIRECT(_xlfn.CONCAT("weather.tbl[",R$1,"]")),MATCH(vp.tbl[[#This Row],[SDate]],weather.tbl[Date],0))</f>
        <v>5</v>
      </c>
      <c r="S1148" s="2">
        <f ca="1">INDEX(INDIRECT(_xlfn.CONCAT("weather.tbl[",S$1,"]")),MATCH(vp.tbl[[#This Row],[SDate]],weather.tbl[Date],0))</f>
        <v>10.199999999999999</v>
      </c>
      <c r="T1148" s="2">
        <f ca="1">INDEX(INDIRECT(_xlfn.CONCAT("weather.tbl[",T$1,"]")),MATCH(vp.tbl[[#This Row],[SDate]],weather.tbl[Date],0))</f>
        <v>5.9</v>
      </c>
      <c r="U1148" s="2">
        <f ca="1">INDEX(INDIRECT(_xlfn.CONCAT("weather.tbl[",U$1,"]")),MATCH(vp.tbl[[#This Row],[SDate]],weather.tbl[Date],0))</f>
        <v>9.3000000000000007</v>
      </c>
      <c r="V1148" s="2">
        <v>474.92</v>
      </c>
      <c r="W1148" t="s">
        <v>48</v>
      </c>
      <c r="X1148">
        <f>IF(OR(vp.tbl[[#This Row],[Sulf]]="",vp.tbl[[#This Row],[Dens]]=""),1,0)</f>
        <v>0</v>
      </c>
      <c r="Y1148">
        <f>IF(vp.tbl[[#This Row],[CrudeType]]="C5+",1,0)</f>
        <v>0</v>
      </c>
      <c r="Z1148">
        <f>IF(AND(vp.tbl[[#This Row],[CrudeType]]="Crude",vp.tbl[[#This Row],[Dens]]&lt;=825,vp.tbl[[#This Row],[Sulf]]&gt;0.5,vp.tbl[[#This Row],[Unknown]]=0),1,0)</f>
        <v>0</v>
      </c>
      <c r="AA1148">
        <f>IF(AND(vp.tbl[[#This Row],[CrudeType]]="Crude",vp.tbl[[#This Row],[Dens]]&lt;=825,vp.tbl[[#This Row],[Sulf]]&lt;=0.5,vp.tbl[[#This Row],[Unknown]]=0),1,0)</f>
        <v>0</v>
      </c>
      <c r="AB1148">
        <f>IF(AND(vp.tbl[[#This Row],[CrudeType]]="Crude",vp.tbl[[#This Row],[Dens]]&gt;825,vp.tbl[[#This Row],[Dens]]&lt;=870,vp.tbl[[#This Row],[Sulf]]&gt;0.5,vp.tbl[[#This Row],[Unknown]]=0),1,0)</f>
        <v>1</v>
      </c>
      <c r="AC1148">
        <f>IF(AND(vp.tbl[[#This Row],[CrudeType]]="Crude",vp.tbl[[#This Row],[Dens]]&gt;825,vp.tbl[[#This Row],[Dens]]&lt;=900,vp.tbl[[#This Row],[Sulf]]&lt;=0.5,vp.tbl[[#This Row],[Unknown]]=0),1,0)</f>
        <v>0</v>
      </c>
      <c r="AD1148">
        <f>IF(AND(vp.tbl[[#This Row],[CrudeType]]="Crude",vp.tbl[[#This Row],[Dens]]&gt;870,vp.tbl[[#This Row],[Dens]]&lt;=900,vp.tbl[[#This Row],[Sulf]]&gt;0.5,vp.tbl[[#This Row],[Unknown]]=0),1,0)</f>
        <v>0</v>
      </c>
      <c r="AE1148">
        <f>IF(AND(vp.tbl[[#This Row],[CrudeType]]="Crude",vp.tbl[[#This Row],[Dens]]&gt;900,vp.tbl[[#This Row],[Sulf]]&lt;=0.5,vp.tbl[[#This Row],[Unknown]]=0),1,0)</f>
        <v>0</v>
      </c>
      <c r="AF1148">
        <f>IF(AND(vp.tbl[[#This Row],[CrudeType]]="Crude",vp.tbl[[#This Row],[Dens]]&gt;900,vp.tbl[[#This Row],[Sulf]]&lt;=0.5,vp.tbl[[#This Row],[Unknown]]=0),1,0)</f>
        <v>0</v>
      </c>
      <c r="AG1148" t="str">
        <f>INDEX(vp.tbl[[#Headers],[Unknown]:[Heavy_SW]],MATCH(1,vp.tbl[[#This Row],[Unknown]:[Heavy_SW]],0))</f>
        <v>Medium_LSB</v>
      </c>
      <c r="AH1148" t="e">
        <f>INDEX([1]!crudeBD.lkup[Number],MATCH(vp.tbl[[#This Row],[Crude_Breakdown]],[1]!crudeBD.lkup[Crude Breakdown],0))</f>
        <v>#REF!</v>
      </c>
      <c r="AI1148">
        <f>MONTH(vp.tbl[[#This Row],[SDate]])</f>
        <v>3</v>
      </c>
      <c r="AJ1148" s="5">
        <f>IFERROR(vp.tbl[[#This Row],[Sulf]]*vp.tbl[[#This Row],[Net Dens]],"")</f>
        <v>464855.49535999994</v>
      </c>
      <c r="AK1148" s="5">
        <f>IFERROR(vp.tbl[[#This Row],[Dens]]*vp.tbl[[#This Row],[VolumeM3]],"")</f>
        <v>400737.49599999998</v>
      </c>
      <c r="AL1148" s="5">
        <f>IFERROR(vp.tbl[[#This Row],[VP]]*vp.tbl[[#This Row],[VolumeM3]],"")</f>
        <v>37518.68</v>
      </c>
      <c r="AM1148" s="4">
        <f>IFERROR((vp.tbl[[#This Row],[VP]]-INDEX(crudeBD.lkup.complete[Mean_VP],MATCH(vp.tbl[[#This Row],[Crude_Breakdown]],crudeBD.lkup.complete[Crude Breakdown],0)))^2,"")</f>
        <v>1.3773250754685884</v>
      </c>
      <c r="AN1148" s="4">
        <f>IFERROR((vp.tbl[[#This Row],[Dens]]-INDEX(crudeBD.lkup.complete[Mean_Dens],MATCH(vp.tbl[[#This Row],[Crude_Breakdown]],crudeBD.lkup.complete[Crude Breakdown],0)))^2,"")</f>
        <v>2.2255352212758392</v>
      </c>
      <c r="AO1148" s="4">
        <f>IFERROR((vp.tbl[[#This Row],[Sulf]]-INDEX(crudeBD.lkup.complete[Mean_Sulf],MATCH(vp.tbl[[#This Row],[Crude_Breakdown]],crudeBD.lkup.complete[Crude Breakdown],0)))^2,"")</f>
        <v>8.6983622767615246E-2</v>
      </c>
      <c r="AP1148">
        <f>IF(AND(vp.tbl[[#This Row],[SDate]]&gt;=DATE(YEAR(vp.tbl[[#This Row],[SDate]]),5,1),vp.tbl[[#This Row],[SDate]]&lt;=DATE(YEAR(vp.tbl[[#This Row],[SDate]]),9,15)),1,0)</f>
        <v>0</v>
      </c>
      <c r="AQ1148" s="15">
        <f>IF(vp.tbl[[#This Row],[SDate]]&lt;DATE(2016,12,1),0,1)</f>
        <v>1</v>
      </c>
    </row>
    <row r="1149" spans="1:43" x14ac:dyDescent="0.25">
      <c r="A1149">
        <v>1148</v>
      </c>
      <c r="B1149" t="s">
        <v>51</v>
      </c>
      <c r="C1149" t="s">
        <v>51</v>
      </c>
      <c r="D1149" t="s">
        <v>156</v>
      </c>
      <c r="F1149" s="1">
        <v>42824</v>
      </c>
      <c r="G1149" s="2">
        <v>72.13</v>
      </c>
      <c r="H1149" s="2"/>
      <c r="I1149" s="2">
        <v>1.19</v>
      </c>
      <c r="J1149" s="2">
        <v>17.899999999999999</v>
      </c>
      <c r="K1149" s="2">
        <v>14</v>
      </c>
      <c r="L1149" s="2">
        <v>844.2</v>
      </c>
      <c r="M1149" s="2">
        <v>844.2</v>
      </c>
      <c r="N1149" s="2">
        <f ca="1">INDEX(INDIRECT(_xlfn.CONCAT("weather.tbl[",N$1,"]")),MATCH(vp.tbl[[#This Row],[SDate]],weather.tbl[Date],0))</f>
        <v>8.2666666666666657</v>
      </c>
      <c r="O1149" s="2">
        <f ca="1">INDEX(INDIRECT(_xlfn.CONCAT("weather.tbl[",O$1,"]")),MATCH(vp.tbl[[#This Row],[SDate]],weather.tbl[Date],0))</f>
        <v>3.7380952380952381</v>
      </c>
      <c r="P1149" s="2">
        <f ca="1">INDEX(INDIRECT(_xlfn.CONCAT("weather.tbl[",P$1,"]")),MATCH(vp.tbl[[#This Row],[SDate]],weather.tbl[Date],0))</f>
        <v>9</v>
      </c>
      <c r="Q1149" s="2">
        <f ca="1">INDEX(INDIRECT(_xlfn.CONCAT("weather.tbl[",Q$1,"]")),MATCH(vp.tbl[[#This Row],[SDate]],weather.tbl[Date],0))</f>
        <v>10.199999999999999</v>
      </c>
      <c r="R1149" s="2">
        <f ca="1">INDEX(INDIRECT(_xlfn.CONCAT("weather.tbl[",R$1,"]")),MATCH(vp.tbl[[#This Row],[SDate]],weather.tbl[Date],0))</f>
        <v>5</v>
      </c>
      <c r="S1149" s="2">
        <f ca="1">INDEX(INDIRECT(_xlfn.CONCAT("weather.tbl[",S$1,"]")),MATCH(vp.tbl[[#This Row],[SDate]],weather.tbl[Date],0))</f>
        <v>10.199999999999999</v>
      </c>
      <c r="T1149" s="2">
        <f ca="1">INDEX(INDIRECT(_xlfn.CONCAT("weather.tbl[",T$1,"]")),MATCH(vp.tbl[[#This Row],[SDate]],weather.tbl[Date],0))</f>
        <v>5.9</v>
      </c>
      <c r="U1149" s="2">
        <f ca="1">INDEX(INDIRECT(_xlfn.CONCAT("weather.tbl[",U$1,"]")),MATCH(vp.tbl[[#This Row],[SDate]],weather.tbl[Date],0))</f>
        <v>9.3000000000000007</v>
      </c>
      <c r="V1149" s="2">
        <v>821.39</v>
      </c>
      <c r="W1149" t="s">
        <v>48</v>
      </c>
      <c r="X1149">
        <f>IF(OR(vp.tbl[[#This Row],[Sulf]]="",vp.tbl[[#This Row],[Dens]]=""),1,0)</f>
        <v>0</v>
      </c>
      <c r="Y1149">
        <f>IF(vp.tbl[[#This Row],[CrudeType]]="C5+",1,0)</f>
        <v>0</v>
      </c>
      <c r="Z1149">
        <f>IF(AND(vp.tbl[[#This Row],[CrudeType]]="Crude",vp.tbl[[#This Row],[Dens]]&lt;=825,vp.tbl[[#This Row],[Sulf]]&gt;0.5,vp.tbl[[#This Row],[Unknown]]=0),1,0)</f>
        <v>0</v>
      </c>
      <c r="AA1149">
        <f>IF(AND(vp.tbl[[#This Row],[CrudeType]]="Crude",vp.tbl[[#This Row],[Dens]]&lt;=825,vp.tbl[[#This Row],[Sulf]]&lt;=0.5,vp.tbl[[#This Row],[Unknown]]=0),1,0)</f>
        <v>0</v>
      </c>
      <c r="AB1149">
        <f>IF(AND(vp.tbl[[#This Row],[CrudeType]]="Crude",vp.tbl[[#This Row],[Dens]]&gt;825,vp.tbl[[#This Row],[Dens]]&lt;=870,vp.tbl[[#This Row],[Sulf]]&gt;0.5,vp.tbl[[#This Row],[Unknown]]=0),1,0)</f>
        <v>1</v>
      </c>
      <c r="AC1149">
        <f>IF(AND(vp.tbl[[#This Row],[CrudeType]]="Crude",vp.tbl[[#This Row],[Dens]]&gt;825,vp.tbl[[#This Row],[Dens]]&lt;=900,vp.tbl[[#This Row],[Sulf]]&lt;=0.5,vp.tbl[[#This Row],[Unknown]]=0),1,0)</f>
        <v>0</v>
      </c>
      <c r="AD1149">
        <f>IF(AND(vp.tbl[[#This Row],[CrudeType]]="Crude",vp.tbl[[#This Row],[Dens]]&gt;870,vp.tbl[[#This Row],[Dens]]&lt;=900,vp.tbl[[#This Row],[Sulf]]&gt;0.5,vp.tbl[[#This Row],[Unknown]]=0),1,0)</f>
        <v>0</v>
      </c>
      <c r="AE1149">
        <f>IF(AND(vp.tbl[[#This Row],[CrudeType]]="Crude",vp.tbl[[#This Row],[Dens]]&gt;900,vp.tbl[[#This Row],[Sulf]]&lt;=0.5,vp.tbl[[#This Row],[Unknown]]=0),1,0)</f>
        <v>0</v>
      </c>
      <c r="AF1149">
        <f>IF(AND(vp.tbl[[#This Row],[CrudeType]]="Crude",vp.tbl[[#This Row],[Dens]]&gt;900,vp.tbl[[#This Row],[Sulf]]&lt;=0.5,vp.tbl[[#This Row],[Unknown]]=0),1,0)</f>
        <v>0</v>
      </c>
      <c r="AG1149" t="str">
        <f>INDEX(vp.tbl[[#Headers],[Unknown]:[Heavy_SW]],MATCH(1,vp.tbl[[#This Row],[Unknown]:[Heavy_SW]],0))</f>
        <v>Medium_LSB</v>
      </c>
      <c r="AH1149" t="e">
        <f>INDEX([1]!crudeBD.lkup[Number],MATCH(vp.tbl[[#This Row],[Crude_Breakdown]],[1]!crudeBD.lkup[Crude Breakdown],0))</f>
        <v>#REF!</v>
      </c>
      <c r="AI1149">
        <f>MONTH(vp.tbl[[#This Row],[SDate]])</f>
        <v>3</v>
      </c>
      <c r="AJ1149" s="5">
        <f>IFERROR(vp.tbl[[#This Row],[Sulf]]*vp.tbl[[#This Row],[Net Dens]],"")</f>
        <v>825166.75122000009</v>
      </c>
      <c r="AK1149" s="5">
        <f>IFERROR(vp.tbl[[#This Row],[Dens]]*vp.tbl[[#This Row],[VolumeM3]],"")</f>
        <v>693417.43800000008</v>
      </c>
      <c r="AL1149" s="5">
        <f>IFERROR(vp.tbl[[#This Row],[VP]]*vp.tbl[[#This Row],[VolumeM3]],"")</f>
        <v>59246.860699999997</v>
      </c>
      <c r="AM1149" s="4">
        <f>IFERROR((vp.tbl[[#This Row],[VP]]-INDEX(crudeBD.lkup.complete[Mean_VP],MATCH(vp.tbl[[#This Row],[Crude_Breakdown]],crudeBD.lkup.complete[Crude Breakdown],0)))^2,"")</f>
        <v>64.699419505847899</v>
      </c>
      <c r="AN1149" s="4">
        <f>IFERROR((vp.tbl[[#This Row],[Dens]]-INDEX(crudeBD.lkup.complete[Mean_Dens],MATCH(vp.tbl[[#This Row],[Crude_Breakdown]],crudeBD.lkup.complete[Crude Breakdown],0)))^2,"")</f>
        <v>1.1920769934282904</v>
      </c>
      <c r="AO1149" s="4">
        <f>IFERROR((vp.tbl[[#This Row],[Sulf]]-INDEX(crudeBD.lkup.complete[Mean_Sulf],MATCH(vp.tbl[[#This Row],[Crude_Breakdown]],crudeBD.lkup.complete[Crude Breakdown],0)))^2,"")</f>
        <v>7.0187831122045519E-2</v>
      </c>
      <c r="AP1149">
        <f>IF(AND(vp.tbl[[#This Row],[SDate]]&gt;=DATE(YEAR(vp.tbl[[#This Row],[SDate]]),5,1),vp.tbl[[#This Row],[SDate]]&lt;=DATE(YEAR(vp.tbl[[#This Row],[SDate]]),9,15)),1,0)</f>
        <v>0</v>
      </c>
      <c r="AQ1149" s="15">
        <f>IF(vp.tbl[[#This Row],[SDate]]&lt;DATE(2016,12,1),0,1)</f>
        <v>1</v>
      </c>
    </row>
    <row r="1150" spans="1:43" x14ac:dyDescent="0.25">
      <c r="A1150">
        <v>1149</v>
      </c>
      <c r="B1150" t="s">
        <v>51</v>
      </c>
      <c r="C1150" t="s">
        <v>51</v>
      </c>
      <c r="D1150" t="s">
        <v>241</v>
      </c>
      <c r="F1150" s="1">
        <v>42824</v>
      </c>
      <c r="G1150" s="2">
        <v>71.8</v>
      </c>
      <c r="H1150" s="2"/>
      <c r="I1150" s="2">
        <v>1.1499999999999999</v>
      </c>
      <c r="J1150" s="2">
        <v>17.5</v>
      </c>
      <c r="K1150" s="2">
        <v>14</v>
      </c>
      <c r="L1150" s="2">
        <v>845</v>
      </c>
      <c r="M1150" s="2">
        <v>845</v>
      </c>
      <c r="N1150" s="2">
        <f ca="1">INDEX(INDIRECT(_xlfn.CONCAT("weather.tbl[",N$1,"]")),MATCH(vp.tbl[[#This Row],[SDate]],weather.tbl[Date],0))</f>
        <v>8.2666666666666657</v>
      </c>
      <c r="O1150" s="2">
        <f ca="1">INDEX(INDIRECT(_xlfn.CONCAT("weather.tbl[",O$1,"]")),MATCH(vp.tbl[[#This Row],[SDate]],weather.tbl[Date],0))</f>
        <v>3.7380952380952381</v>
      </c>
      <c r="P1150" s="2">
        <f ca="1">INDEX(INDIRECT(_xlfn.CONCAT("weather.tbl[",P$1,"]")),MATCH(vp.tbl[[#This Row],[SDate]],weather.tbl[Date],0))</f>
        <v>9</v>
      </c>
      <c r="Q1150" s="2">
        <f ca="1">INDEX(INDIRECT(_xlfn.CONCAT("weather.tbl[",Q$1,"]")),MATCH(vp.tbl[[#This Row],[SDate]],weather.tbl[Date],0))</f>
        <v>10.199999999999999</v>
      </c>
      <c r="R1150" s="2">
        <f ca="1">INDEX(INDIRECT(_xlfn.CONCAT("weather.tbl[",R$1,"]")),MATCH(vp.tbl[[#This Row],[SDate]],weather.tbl[Date],0))</f>
        <v>5</v>
      </c>
      <c r="S1150" s="2">
        <f ca="1">INDEX(INDIRECT(_xlfn.CONCAT("weather.tbl[",S$1,"]")),MATCH(vp.tbl[[#This Row],[SDate]],weather.tbl[Date],0))</f>
        <v>10.199999999999999</v>
      </c>
      <c r="T1150" s="2">
        <f ca="1">INDEX(INDIRECT(_xlfn.CONCAT("weather.tbl[",T$1,"]")),MATCH(vp.tbl[[#This Row],[SDate]],weather.tbl[Date],0))</f>
        <v>5.9</v>
      </c>
      <c r="U1150" s="2">
        <f ca="1">INDEX(INDIRECT(_xlfn.CONCAT("weather.tbl[",U$1,"]")),MATCH(vp.tbl[[#This Row],[SDate]],weather.tbl[Date],0))</f>
        <v>9.3000000000000007</v>
      </c>
      <c r="V1150" s="2">
        <v>287.58100000000002</v>
      </c>
      <c r="W1150" t="s">
        <v>48</v>
      </c>
      <c r="X1150">
        <f>IF(OR(vp.tbl[[#This Row],[Sulf]]="",vp.tbl[[#This Row],[Dens]]=""),1,0)</f>
        <v>0</v>
      </c>
      <c r="Y1150">
        <f>IF(vp.tbl[[#This Row],[CrudeType]]="C5+",1,0)</f>
        <v>0</v>
      </c>
      <c r="Z1150">
        <f>IF(AND(vp.tbl[[#This Row],[CrudeType]]="Crude",vp.tbl[[#This Row],[Dens]]&lt;=825,vp.tbl[[#This Row],[Sulf]]&gt;0.5,vp.tbl[[#This Row],[Unknown]]=0),1,0)</f>
        <v>0</v>
      </c>
      <c r="AA1150">
        <f>IF(AND(vp.tbl[[#This Row],[CrudeType]]="Crude",vp.tbl[[#This Row],[Dens]]&lt;=825,vp.tbl[[#This Row],[Sulf]]&lt;=0.5,vp.tbl[[#This Row],[Unknown]]=0),1,0)</f>
        <v>0</v>
      </c>
      <c r="AB1150">
        <f>IF(AND(vp.tbl[[#This Row],[CrudeType]]="Crude",vp.tbl[[#This Row],[Dens]]&gt;825,vp.tbl[[#This Row],[Dens]]&lt;=870,vp.tbl[[#This Row],[Sulf]]&gt;0.5,vp.tbl[[#This Row],[Unknown]]=0),1,0)</f>
        <v>1</v>
      </c>
      <c r="AC1150">
        <f>IF(AND(vp.tbl[[#This Row],[CrudeType]]="Crude",vp.tbl[[#This Row],[Dens]]&gt;825,vp.tbl[[#This Row],[Dens]]&lt;=900,vp.tbl[[#This Row],[Sulf]]&lt;=0.5,vp.tbl[[#This Row],[Unknown]]=0),1,0)</f>
        <v>0</v>
      </c>
      <c r="AD1150">
        <f>IF(AND(vp.tbl[[#This Row],[CrudeType]]="Crude",vp.tbl[[#This Row],[Dens]]&gt;870,vp.tbl[[#This Row],[Dens]]&lt;=900,vp.tbl[[#This Row],[Sulf]]&gt;0.5,vp.tbl[[#This Row],[Unknown]]=0),1,0)</f>
        <v>0</v>
      </c>
      <c r="AE1150">
        <f>IF(AND(vp.tbl[[#This Row],[CrudeType]]="Crude",vp.tbl[[#This Row],[Dens]]&gt;900,vp.tbl[[#This Row],[Sulf]]&lt;=0.5,vp.tbl[[#This Row],[Unknown]]=0),1,0)</f>
        <v>0</v>
      </c>
      <c r="AF1150">
        <f>IF(AND(vp.tbl[[#This Row],[CrudeType]]="Crude",vp.tbl[[#This Row],[Dens]]&gt;900,vp.tbl[[#This Row],[Sulf]]&lt;=0.5,vp.tbl[[#This Row],[Unknown]]=0),1,0)</f>
        <v>0</v>
      </c>
      <c r="AG1150" t="str">
        <f>INDEX(vp.tbl[[#Headers],[Unknown]:[Heavy_SW]],MATCH(1,vp.tbl[[#This Row],[Unknown]:[Heavy_SW]],0))</f>
        <v>Medium_LSB</v>
      </c>
      <c r="AH1150" t="e">
        <f>INDEX([1]!crudeBD.lkup[Number],MATCH(vp.tbl[[#This Row],[Crude_Breakdown]],[1]!crudeBD.lkup[Crude Breakdown],0))</f>
        <v>#REF!</v>
      </c>
      <c r="AI1150">
        <f>MONTH(vp.tbl[[#This Row],[SDate]])</f>
        <v>3</v>
      </c>
      <c r="AJ1150" s="5">
        <f>IFERROR(vp.tbl[[#This Row],[Sulf]]*vp.tbl[[#This Row],[Net Dens]],"")</f>
        <v>279456.83674999996</v>
      </c>
      <c r="AK1150" s="5">
        <f>IFERROR(vp.tbl[[#This Row],[Dens]]*vp.tbl[[#This Row],[VolumeM3]],"")</f>
        <v>243005.94500000001</v>
      </c>
      <c r="AL1150" s="5">
        <f>IFERROR(vp.tbl[[#This Row],[VP]]*vp.tbl[[#This Row],[VolumeM3]],"")</f>
        <v>20648.3158</v>
      </c>
      <c r="AM1150" s="4">
        <f>IFERROR((vp.tbl[[#This Row],[VP]]-INDEX(crudeBD.lkup.complete[Mean_VP],MATCH(vp.tbl[[#This Row],[Crude_Breakdown]],crudeBD.lkup.complete[Crude Breakdown],0)))^2,"")</f>
        <v>70.1170921640757</v>
      </c>
      <c r="AN1150" s="4">
        <f>IFERROR((vp.tbl[[#This Row],[Dens]]-INDEX(crudeBD.lkup.complete[Mean_Dens],MATCH(vp.tbl[[#This Row],[Crude_Breakdown]],crudeBD.lkup.complete[Crude Breakdown],0)))^2,"")</f>
        <v>8.5160537733762753E-2</v>
      </c>
      <c r="AO1150" s="4">
        <f>IFERROR((vp.tbl[[#This Row],[Sulf]]-INDEX(crudeBD.lkup.complete[Mean_Sulf],MATCH(vp.tbl[[#This Row],[Crude_Breakdown]],crudeBD.lkup.complete[Crude Breakdown],0)))^2,"")</f>
        <v>9.2982219982805162E-2</v>
      </c>
      <c r="AP1150">
        <f>IF(AND(vp.tbl[[#This Row],[SDate]]&gt;=DATE(YEAR(vp.tbl[[#This Row],[SDate]]),5,1),vp.tbl[[#This Row],[SDate]]&lt;=DATE(YEAR(vp.tbl[[#This Row],[SDate]]),9,15)),1,0)</f>
        <v>0</v>
      </c>
      <c r="AQ1150" s="15">
        <f>IF(vp.tbl[[#This Row],[SDate]]&lt;DATE(2016,12,1),0,1)</f>
        <v>1</v>
      </c>
    </row>
    <row r="1151" spans="1:43" x14ac:dyDescent="0.25">
      <c r="A1151">
        <v>1150</v>
      </c>
      <c r="B1151" t="s">
        <v>51</v>
      </c>
      <c r="C1151" t="s">
        <v>51</v>
      </c>
      <c r="D1151" t="s">
        <v>242</v>
      </c>
      <c r="F1151" s="1">
        <v>42824</v>
      </c>
      <c r="G1151" s="2">
        <v>73.599999999999994</v>
      </c>
      <c r="H1151" s="2"/>
      <c r="I1151" s="2">
        <v>1.27</v>
      </c>
      <c r="J1151" s="2">
        <v>24</v>
      </c>
      <c r="K1151" s="2">
        <v>14</v>
      </c>
      <c r="L1151" s="2">
        <v>845.7</v>
      </c>
      <c r="M1151" s="2">
        <v>845.7</v>
      </c>
      <c r="N1151" s="2">
        <f ca="1">INDEX(INDIRECT(_xlfn.CONCAT("weather.tbl[",N$1,"]")),MATCH(vp.tbl[[#This Row],[SDate]],weather.tbl[Date],0))</f>
        <v>8.2666666666666657</v>
      </c>
      <c r="O1151" s="2">
        <f ca="1">INDEX(INDIRECT(_xlfn.CONCAT("weather.tbl[",O$1,"]")),MATCH(vp.tbl[[#This Row],[SDate]],weather.tbl[Date],0))</f>
        <v>3.7380952380952381</v>
      </c>
      <c r="P1151" s="2">
        <f ca="1">INDEX(INDIRECT(_xlfn.CONCAT("weather.tbl[",P$1,"]")),MATCH(vp.tbl[[#This Row],[SDate]],weather.tbl[Date],0))</f>
        <v>9</v>
      </c>
      <c r="Q1151" s="2">
        <f ca="1">INDEX(INDIRECT(_xlfn.CONCAT("weather.tbl[",Q$1,"]")),MATCH(vp.tbl[[#This Row],[SDate]],weather.tbl[Date],0))</f>
        <v>10.199999999999999</v>
      </c>
      <c r="R1151" s="2">
        <f ca="1">INDEX(INDIRECT(_xlfn.CONCAT("weather.tbl[",R$1,"]")),MATCH(vp.tbl[[#This Row],[SDate]],weather.tbl[Date],0))</f>
        <v>5</v>
      </c>
      <c r="S1151" s="2">
        <f ca="1">INDEX(INDIRECT(_xlfn.CONCAT("weather.tbl[",S$1,"]")),MATCH(vp.tbl[[#This Row],[SDate]],weather.tbl[Date],0))</f>
        <v>10.199999999999999</v>
      </c>
      <c r="T1151" s="2">
        <f ca="1">INDEX(INDIRECT(_xlfn.CONCAT("weather.tbl[",T$1,"]")),MATCH(vp.tbl[[#This Row],[SDate]],weather.tbl[Date],0))</f>
        <v>5.9</v>
      </c>
      <c r="U1151" s="2">
        <f ca="1">INDEX(INDIRECT(_xlfn.CONCAT("weather.tbl[",U$1,"]")),MATCH(vp.tbl[[#This Row],[SDate]],weather.tbl[Date],0))</f>
        <v>9.3000000000000007</v>
      </c>
      <c r="V1151" s="2">
        <v>1833.1569999999999</v>
      </c>
      <c r="W1151" t="s">
        <v>48</v>
      </c>
      <c r="X1151">
        <f>IF(OR(vp.tbl[[#This Row],[Sulf]]="",vp.tbl[[#This Row],[Dens]]=""),1,0)</f>
        <v>0</v>
      </c>
      <c r="Y1151">
        <f>IF(vp.tbl[[#This Row],[CrudeType]]="C5+",1,0)</f>
        <v>0</v>
      </c>
      <c r="Z1151">
        <f>IF(AND(vp.tbl[[#This Row],[CrudeType]]="Crude",vp.tbl[[#This Row],[Dens]]&lt;=825,vp.tbl[[#This Row],[Sulf]]&gt;0.5,vp.tbl[[#This Row],[Unknown]]=0),1,0)</f>
        <v>0</v>
      </c>
      <c r="AA1151">
        <f>IF(AND(vp.tbl[[#This Row],[CrudeType]]="Crude",vp.tbl[[#This Row],[Dens]]&lt;=825,vp.tbl[[#This Row],[Sulf]]&lt;=0.5,vp.tbl[[#This Row],[Unknown]]=0),1,0)</f>
        <v>0</v>
      </c>
      <c r="AB1151">
        <f>IF(AND(vp.tbl[[#This Row],[CrudeType]]="Crude",vp.tbl[[#This Row],[Dens]]&gt;825,vp.tbl[[#This Row],[Dens]]&lt;=870,vp.tbl[[#This Row],[Sulf]]&gt;0.5,vp.tbl[[#This Row],[Unknown]]=0),1,0)</f>
        <v>1</v>
      </c>
      <c r="AC1151">
        <f>IF(AND(vp.tbl[[#This Row],[CrudeType]]="Crude",vp.tbl[[#This Row],[Dens]]&gt;825,vp.tbl[[#This Row],[Dens]]&lt;=900,vp.tbl[[#This Row],[Sulf]]&lt;=0.5,vp.tbl[[#This Row],[Unknown]]=0),1,0)</f>
        <v>0</v>
      </c>
      <c r="AD1151">
        <f>IF(AND(vp.tbl[[#This Row],[CrudeType]]="Crude",vp.tbl[[#This Row],[Dens]]&gt;870,vp.tbl[[#This Row],[Dens]]&lt;=900,vp.tbl[[#This Row],[Sulf]]&gt;0.5,vp.tbl[[#This Row],[Unknown]]=0),1,0)</f>
        <v>0</v>
      </c>
      <c r="AE1151">
        <f>IF(AND(vp.tbl[[#This Row],[CrudeType]]="Crude",vp.tbl[[#This Row],[Dens]]&gt;900,vp.tbl[[#This Row],[Sulf]]&lt;=0.5,vp.tbl[[#This Row],[Unknown]]=0),1,0)</f>
        <v>0</v>
      </c>
      <c r="AF1151">
        <f>IF(AND(vp.tbl[[#This Row],[CrudeType]]="Crude",vp.tbl[[#This Row],[Dens]]&gt;900,vp.tbl[[#This Row],[Sulf]]&lt;=0.5,vp.tbl[[#This Row],[Unknown]]=0),1,0)</f>
        <v>0</v>
      </c>
      <c r="AG1151" t="str">
        <f>INDEX(vp.tbl[[#Headers],[Unknown]:[Heavy_SW]],MATCH(1,vp.tbl[[#This Row],[Unknown]:[Heavy_SW]],0))</f>
        <v>Medium_LSB</v>
      </c>
      <c r="AH1151" t="e">
        <f>INDEX([1]!crudeBD.lkup[Number],MATCH(vp.tbl[[#This Row],[Crude_Breakdown]],[1]!crudeBD.lkup[Crude Breakdown],0))</f>
        <v>#REF!</v>
      </c>
      <c r="AI1151">
        <f>MONTH(vp.tbl[[#This Row],[SDate]])</f>
        <v>3</v>
      </c>
      <c r="AJ1151" s="5">
        <f>IFERROR(vp.tbl[[#This Row],[Sulf]]*vp.tbl[[#This Row],[Net Dens]],"")</f>
        <v>1968882.111123</v>
      </c>
      <c r="AK1151" s="5">
        <f>IFERROR(vp.tbl[[#This Row],[Dens]]*vp.tbl[[#This Row],[VolumeM3]],"")</f>
        <v>1550300.8748999999</v>
      </c>
      <c r="AL1151" s="5">
        <f>IFERROR(vp.tbl[[#This Row],[VP]]*vp.tbl[[#This Row],[VolumeM3]],"")</f>
        <v>134920.35519999999</v>
      </c>
      <c r="AM1151" s="4">
        <f>IFERROR((vp.tbl[[#This Row],[VP]]-INDEX(crudeBD.lkup.complete[Mean_VP],MATCH(vp.tbl[[#This Row],[Crude_Breakdown]],crudeBD.lkup.complete[Crude Breakdown],0)))^2,"")</f>
        <v>43.212150391923963</v>
      </c>
      <c r="AN1151" s="4">
        <f>IFERROR((vp.tbl[[#This Row],[Dens]]-INDEX(crudeBD.lkup.complete[Mean_Dens],MATCH(vp.tbl[[#This Row],[Crude_Breakdown]],crudeBD.lkup.complete[Crude Breakdown],0)))^2,"")</f>
        <v>0.16660863900100117</v>
      </c>
      <c r="AO1151" s="4">
        <f>IFERROR((vp.tbl[[#This Row],[Sulf]]-INDEX(crudeBD.lkup.complete[Mean_Sulf],MATCH(vp.tbl[[#This Row],[Crude_Breakdown]],crudeBD.lkup.complete[Crude Breakdown],0)))^2,"")</f>
        <v>3.4199053400526258E-2</v>
      </c>
      <c r="AP1151">
        <f>IF(AND(vp.tbl[[#This Row],[SDate]]&gt;=DATE(YEAR(vp.tbl[[#This Row],[SDate]]),5,1),vp.tbl[[#This Row],[SDate]]&lt;=DATE(YEAR(vp.tbl[[#This Row],[SDate]]),9,15)),1,0)</f>
        <v>0</v>
      </c>
      <c r="AQ1151" s="15">
        <f>IF(vp.tbl[[#This Row],[SDate]]&lt;DATE(2016,12,1),0,1)</f>
        <v>1</v>
      </c>
    </row>
    <row r="1152" spans="1:43" x14ac:dyDescent="0.25">
      <c r="A1152">
        <v>1151</v>
      </c>
      <c r="B1152" t="s">
        <v>108</v>
      </c>
      <c r="C1152" t="s">
        <v>108</v>
      </c>
      <c r="D1152" t="s">
        <v>243</v>
      </c>
      <c r="F1152" s="1">
        <v>42824</v>
      </c>
      <c r="G1152" s="2">
        <v>63.9</v>
      </c>
      <c r="H1152" s="2"/>
      <c r="I1152" s="2">
        <v>1.17</v>
      </c>
      <c r="J1152" s="2">
        <v>30.4</v>
      </c>
      <c r="K1152" s="2">
        <v>14</v>
      </c>
      <c r="L1152" s="2">
        <v>847.2</v>
      </c>
      <c r="M1152" s="2">
        <v>847.2</v>
      </c>
      <c r="N1152" s="2">
        <f ca="1">INDEX(INDIRECT(_xlfn.CONCAT("weather.tbl[",N$1,"]")),MATCH(vp.tbl[[#This Row],[SDate]],weather.tbl[Date],0))</f>
        <v>8.2666666666666657</v>
      </c>
      <c r="O1152" s="2">
        <f ca="1">INDEX(INDIRECT(_xlfn.CONCAT("weather.tbl[",O$1,"]")),MATCH(vp.tbl[[#This Row],[SDate]],weather.tbl[Date],0))</f>
        <v>3.7380952380952381</v>
      </c>
      <c r="P1152" s="2">
        <f ca="1">INDEX(INDIRECT(_xlfn.CONCAT("weather.tbl[",P$1,"]")),MATCH(vp.tbl[[#This Row],[SDate]],weather.tbl[Date],0))</f>
        <v>9</v>
      </c>
      <c r="Q1152" s="2">
        <f ca="1">INDEX(INDIRECT(_xlfn.CONCAT("weather.tbl[",Q$1,"]")),MATCH(vp.tbl[[#This Row],[SDate]],weather.tbl[Date],0))</f>
        <v>10.199999999999999</v>
      </c>
      <c r="R1152" s="2">
        <f ca="1">INDEX(INDIRECT(_xlfn.CONCAT("weather.tbl[",R$1,"]")),MATCH(vp.tbl[[#This Row],[SDate]],weather.tbl[Date],0))</f>
        <v>5</v>
      </c>
      <c r="S1152" s="2">
        <f ca="1">INDEX(INDIRECT(_xlfn.CONCAT("weather.tbl[",S$1,"]")),MATCH(vp.tbl[[#This Row],[SDate]],weather.tbl[Date],0))</f>
        <v>10.199999999999999</v>
      </c>
      <c r="T1152" s="2">
        <f ca="1">INDEX(INDIRECT(_xlfn.CONCAT("weather.tbl[",T$1,"]")),MATCH(vp.tbl[[#This Row],[SDate]],weather.tbl[Date],0))</f>
        <v>5.9</v>
      </c>
      <c r="U1152" s="2">
        <f ca="1">INDEX(INDIRECT(_xlfn.CONCAT("weather.tbl[",U$1,"]")),MATCH(vp.tbl[[#This Row],[SDate]],weather.tbl[Date],0))</f>
        <v>9.3000000000000007</v>
      </c>
      <c r="V1152" s="2">
        <v>1120.9739999999999</v>
      </c>
      <c r="W1152" t="s">
        <v>48</v>
      </c>
      <c r="X1152">
        <f>IF(OR(vp.tbl[[#This Row],[Sulf]]="",vp.tbl[[#This Row],[Dens]]=""),1,0)</f>
        <v>0</v>
      </c>
      <c r="Y1152">
        <f>IF(vp.tbl[[#This Row],[CrudeType]]="C5+",1,0)</f>
        <v>0</v>
      </c>
      <c r="Z1152">
        <f>IF(AND(vp.tbl[[#This Row],[CrudeType]]="Crude",vp.tbl[[#This Row],[Dens]]&lt;=825,vp.tbl[[#This Row],[Sulf]]&gt;0.5,vp.tbl[[#This Row],[Unknown]]=0),1,0)</f>
        <v>0</v>
      </c>
      <c r="AA1152">
        <f>IF(AND(vp.tbl[[#This Row],[CrudeType]]="Crude",vp.tbl[[#This Row],[Dens]]&lt;=825,vp.tbl[[#This Row],[Sulf]]&lt;=0.5,vp.tbl[[#This Row],[Unknown]]=0),1,0)</f>
        <v>0</v>
      </c>
      <c r="AB1152">
        <f>IF(AND(vp.tbl[[#This Row],[CrudeType]]="Crude",vp.tbl[[#This Row],[Dens]]&gt;825,vp.tbl[[#This Row],[Dens]]&lt;=870,vp.tbl[[#This Row],[Sulf]]&gt;0.5,vp.tbl[[#This Row],[Unknown]]=0),1,0)</f>
        <v>1</v>
      </c>
      <c r="AC1152">
        <f>IF(AND(vp.tbl[[#This Row],[CrudeType]]="Crude",vp.tbl[[#This Row],[Dens]]&gt;825,vp.tbl[[#This Row],[Dens]]&lt;=900,vp.tbl[[#This Row],[Sulf]]&lt;=0.5,vp.tbl[[#This Row],[Unknown]]=0),1,0)</f>
        <v>0</v>
      </c>
      <c r="AD1152">
        <f>IF(AND(vp.tbl[[#This Row],[CrudeType]]="Crude",vp.tbl[[#This Row],[Dens]]&gt;870,vp.tbl[[#This Row],[Dens]]&lt;=900,vp.tbl[[#This Row],[Sulf]]&gt;0.5,vp.tbl[[#This Row],[Unknown]]=0),1,0)</f>
        <v>0</v>
      </c>
      <c r="AE1152">
        <f>IF(AND(vp.tbl[[#This Row],[CrudeType]]="Crude",vp.tbl[[#This Row],[Dens]]&gt;900,vp.tbl[[#This Row],[Sulf]]&lt;=0.5,vp.tbl[[#This Row],[Unknown]]=0),1,0)</f>
        <v>0</v>
      </c>
      <c r="AF1152">
        <f>IF(AND(vp.tbl[[#This Row],[CrudeType]]="Crude",vp.tbl[[#This Row],[Dens]]&gt;900,vp.tbl[[#This Row],[Sulf]]&lt;=0.5,vp.tbl[[#This Row],[Unknown]]=0),1,0)</f>
        <v>0</v>
      </c>
      <c r="AG1152" t="str">
        <f>INDEX(vp.tbl[[#Headers],[Unknown]:[Heavy_SW]],MATCH(1,vp.tbl[[#This Row],[Unknown]:[Heavy_SW]],0))</f>
        <v>Medium_LSB</v>
      </c>
      <c r="AH1152" t="e">
        <f>INDEX([1]!crudeBD.lkup[Number],MATCH(vp.tbl[[#This Row],[Crude_Breakdown]],[1]!crudeBD.lkup[Crude Breakdown],0))</f>
        <v>#REF!</v>
      </c>
      <c r="AI1152">
        <f>MONTH(vp.tbl[[#This Row],[SDate]])</f>
        <v>3</v>
      </c>
      <c r="AJ1152" s="5">
        <f>IFERROR(vp.tbl[[#This Row],[Sulf]]*vp.tbl[[#This Row],[Net Dens]],"")</f>
        <v>1111136.3321759999</v>
      </c>
      <c r="AK1152" s="5">
        <f>IFERROR(vp.tbl[[#This Row],[Dens]]*vp.tbl[[#This Row],[VolumeM3]],"")</f>
        <v>949689.17279999994</v>
      </c>
      <c r="AL1152" s="5">
        <f>IFERROR(vp.tbl[[#This Row],[VP]]*vp.tbl[[#This Row],[VolumeM3]],"")</f>
        <v>71630.238599999997</v>
      </c>
      <c r="AM1152" s="4">
        <f>IFERROR((vp.tbl[[#This Row],[VP]]-INDEX(crudeBD.lkup.complete[Mean_VP],MATCH(vp.tbl[[#This Row],[Crude_Breakdown]],crudeBD.lkup.complete[Crude Breakdown],0)))^2,"")</f>
        <v>264.82989216407509</v>
      </c>
      <c r="AN1152" s="4">
        <f>IFERROR((vp.tbl[[#This Row],[Dens]]-INDEX(crudeBD.lkup.complete[Mean_Dens],MATCH(vp.tbl[[#This Row],[Crude_Breakdown]],crudeBD.lkup.complete[Crude Breakdown],0)))^2,"")</f>
        <v>3.6411402845737117</v>
      </c>
      <c r="AO1152" s="4">
        <f>IFERROR((vp.tbl[[#This Row],[Sulf]]-INDEX(crudeBD.lkup.complete[Mean_Sulf],MATCH(vp.tbl[[#This Row],[Crude_Breakdown]],crudeBD.lkup.complete[Crude Breakdown],0)))^2,"")</f>
        <v>8.1185025552425336E-2</v>
      </c>
      <c r="AP1152">
        <f>IF(AND(vp.tbl[[#This Row],[SDate]]&gt;=DATE(YEAR(vp.tbl[[#This Row],[SDate]]),5,1),vp.tbl[[#This Row],[SDate]]&lt;=DATE(YEAR(vp.tbl[[#This Row],[SDate]]),9,15)),1,0)</f>
        <v>0</v>
      </c>
      <c r="AQ1152" s="15">
        <f>IF(vp.tbl[[#This Row],[SDate]]&lt;DATE(2016,12,1),0,1)</f>
        <v>1</v>
      </c>
    </row>
    <row r="1153" spans="1:43" x14ac:dyDescent="0.25">
      <c r="A1153">
        <v>1152</v>
      </c>
      <c r="B1153" t="s">
        <v>51</v>
      </c>
      <c r="C1153" t="s">
        <v>51</v>
      </c>
      <c r="D1153" t="s">
        <v>244</v>
      </c>
      <c r="F1153" s="1">
        <v>42824</v>
      </c>
      <c r="G1153" s="2">
        <v>89.1</v>
      </c>
      <c r="H1153" s="2"/>
      <c r="I1153" s="2">
        <v>1.8</v>
      </c>
      <c r="J1153" s="2">
        <v>24</v>
      </c>
      <c r="K1153" s="2">
        <v>14</v>
      </c>
      <c r="L1153" s="2">
        <v>858</v>
      </c>
      <c r="M1153" s="2">
        <v>858</v>
      </c>
      <c r="N1153" s="2">
        <f ca="1">INDEX(INDIRECT(_xlfn.CONCAT("weather.tbl[",N$1,"]")),MATCH(vp.tbl[[#This Row],[SDate]],weather.tbl[Date],0))</f>
        <v>8.2666666666666657</v>
      </c>
      <c r="O1153" s="2">
        <f ca="1">INDEX(INDIRECT(_xlfn.CONCAT("weather.tbl[",O$1,"]")),MATCH(vp.tbl[[#This Row],[SDate]],weather.tbl[Date],0))</f>
        <v>3.7380952380952381</v>
      </c>
      <c r="P1153" s="2">
        <f ca="1">INDEX(INDIRECT(_xlfn.CONCAT("weather.tbl[",P$1,"]")),MATCH(vp.tbl[[#This Row],[SDate]],weather.tbl[Date],0))</f>
        <v>9</v>
      </c>
      <c r="Q1153" s="2">
        <f ca="1">INDEX(INDIRECT(_xlfn.CONCAT("weather.tbl[",Q$1,"]")),MATCH(vp.tbl[[#This Row],[SDate]],weather.tbl[Date],0))</f>
        <v>10.199999999999999</v>
      </c>
      <c r="R1153" s="2">
        <f ca="1">INDEX(INDIRECT(_xlfn.CONCAT("weather.tbl[",R$1,"]")),MATCH(vp.tbl[[#This Row],[SDate]],weather.tbl[Date],0))</f>
        <v>5</v>
      </c>
      <c r="S1153" s="2">
        <f ca="1">INDEX(INDIRECT(_xlfn.CONCAT("weather.tbl[",S$1,"]")),MATCH(vp.tbl[[#This Row],[SDate]],weather.tbl[Date],0))</f>
        <v>10.199999999999999</v>
      </c>
      <c r="T1153" s="2">
        <f ca="1">INDEX(INDIRECT(_xlfn.CONCAT("weather.tbl[",T$1,"]")),MATCH(vp.tbl[[#This Row],[SDate]],weather.tbl[Date],0))</f>
        <v>5.9</v>
      </c>
      <c r="U1153" s="2">
        <f ca="1">INDEX(INDIRECT(_xlfn.CONCAT("weather.tbl[",U$1,"]")),MATCH(vp.tbl[[#This Row],[SDate]],weather.tbl[Date],0))</f>
        <v>9.3000000000000007</v>
      </c>
      <c r="V1153" s="2">
        <v>890.14700000000005</v>
      </c>
      <c r="W1153" t="s">
        <v>48</v>
      </c>
      <c r="X1153">
        <f>IF(OR(vp.tbl[[#This Row],[Sulf]]="",vp.tbl[[#This Row],[Dens]]=""),1,0)</f>
        <v>0</v>
      </c>
      <c r="Y1153">
        <f>IF(vp.tbl[[#This Row],[CrudeType]]="C5+",1,0)</f>
        <v>0</v>
      </c>
      <c r="Z1153">
        <f>IF(AND(vp.tbl[[#This Row],[CrudeType]]="Crude",vp.tbl[[#This Row],[Dens]]&lt;=825,vp.tbl[[#This Row],[Sulf]]&gt;0.5,vp.tbl[[#This Row],[Unknown]]=0),1,0)</f>
        <v>0</v>
      </c>
      <c r="AA1153">
        <f>IF(AND(vp.tbl[[#This Row],[CrudeType]]="Crude",vp.tbl[[#This Row],[Dens]]&lt;=825,vp.tbl[[#This Row],[Sulf]]&lt;=0.5,vp.tbl[[#This Row],[Unknown]]=0),1,0)</f>
        <v>0</v>
      </c>
      <c r="AB1153">
        <f>IF(AND(vp.tbl[[#This Row],[CrudeType]]="Crude",vp.tbl[[#This Row],[Dens]]&gt;825,vp.tbl[[#This Row],[Dens]]&lt;=870,vp.tbl[[#This Row],[Sulf]]&gt;0.5,vp.tbl[[#This Row],[Unknown]]=0),1,0)</f>
        <v>1</v>
      </c>
      <c r="AC1153">
        <f>IF(AND(vp.tbl[[#This Row],[CrudeType]]="Crude",vp.tbl[[#This Row],[Dens]]&gt;825,vp.tbl[[#This Row],[Dens]]&lt;=900,vp.tbl[[#This Row],[Sulf]]&lt;=0.5,vp.tbl[[#This Row],[Unknown]]=0),1,0)</f>
        <v>0</v>
      </c>
      <c r="AD1153">
        <f>IF(AND(vp.tbl[[#This Row],[CrudeType]]="Crude",vp.tbl[[#This Row],[Dens]]&gt;870,vp.tbl[[#This Row],[Dens]]&lt;=900,vp.tbl[[#This Row],[Sulf]]&gt;0.5,vp.tbl[[#This Row],[Unknown]]=0),1,0)</f>
        <v>0</v>
      </c>
      <c r="AE1153">
        <f>IF(AND(vp.tbl[[#This Row],[CrudeType]]="Crude",vp.tbl[[#This Row],[Dens]]&gt;900,vp.tbl[[#This Row],[Sulf]]&lt;=0.5,vp.tbl[[#This Row],[Unknown]]=0),1,0)</f>
        <v>0</v>
      </c>
      <c r="AF1153">
        <f>IF(AND(vp.tbl[[#This Row],[CrudeType]]="Crude",vp.tbl[[#This Row],[Dens]]&gt;900,vp.tbl[[#This Row],[Sulf]]&lt;=0.5,vp.tbl[[#This Row],[Unknown]]=0),1,0)</f>
        <v>0</v>
      </c>
      <c r="AG1153" t="str">
        <f>INDEX(vp.tbl[[#Headers],[Unknown]:[Heavy_SW]],MATCH(1,vp.tbl[[#This Row],[Unknown]:[Heavy_SW]],0))</f>
        <v>Medium_LSB</v>
      </c>
      <c r="AH1153" t="e">
        <f>INDEX([1]!crudeBD.lkup[Number],MATCH(vp.tbl[[#This Row],[Crude_Breakdown]],[1]!crudeBD.lkup[Crude Breakdown],0))</f>
        <v>#REF!</v>
      </c>
      <c r="AI1153">
        <f>MONTH(vp.tbl[[#This Row],[SDate]])</f>
        <v>3</v>
      </c>
      <c r="AJ1153" s="5">
        <f>IFERROR(vp.tbl[[#This Row],[Sulf]]*vp.tbl[[#This Row],[Net Dens]],"")</f>
        <v>1374743.0268000001</v>
      </c>
      <c r="AK1153" s="5">
        <f>IFERROR(vp.tbl[[#This Row],[Dens]]*vp.tbl[[#This Row],[VolumeM3]],"")</f>
        <v>763746.12600000005</v>
      </c>
      <c r="AL1153" s="5">
        <f>IFERROR(vp.tbl[[#This Row],[VP]]*vp.tbl[[#This Row],[VolumeM3]],"")</f>
        <v>79312.097699999998</v>
      </c>
      <c r="AM1153" s="4">
        <f>IFERROR((vp.tbl[[#This Row],[VP]]-INDEX(crudeBD.lkup.complete[Mean_VP],MATCH(vp.tbl[[#This Row],[Crude_Breakdown]],crudeBD.lkup.complete[Crude Breakdown],0)))^2,"")</f>
        <v>79.68070735395024</v>
      </c>
      <c r="AN1153" s="4">
        <f>IFERROR((vp.tbl[[#This Row],[Dens]]-INDEX(crudeBD.lkup.complete[Mean_Dens],MATCH(vp.tbl[[#This Row],[Crude_Breakdown]],crudeBD.lkup.complete[Crude Breakdown],0)))^2,"")</f>
        <v>161.49776813269608</v>
      </c>
      <c r="AO1153" s="4">
        <f>IFERROR((vp.tbl[[#This Row],[Sulf]]-INDEX(crudeBD.lkup.complete[Mean_Sulf],MATCH(vp.tbl[[#This Row],[Crude_Breakdown]],crudeBD.lkup.complete[Crude Breakdown],0)))^2,"")</f>
        <v>0.11907340099546143</v>
      </c>
      <c r="AP1153">
        <f>IF(AND(vp.tbl[[#This Row],[SDate]]&gt;=DATE(YEAR(vp.tbl[[#This Row],[SDate]]),5,1),vp.tbl[[#This Row],[SDate]]&lt;=DATE(YEAR(vp.tbl[[#This Row],[SDate]]),9,15)),1,0)</f>
        <v>0</v>
      </c>
      <c r="AQ1153" s="15">
        <f>IF(vp.tbl[[#This Row],[SDate]]&lt;DATE(2016,12,1),0,1)</f>
        <v>1</v>
      </c>
    </row>
    <row r="1154" spans="1:43" x14ac:dyDescent="0.25">
      <c r="A1154">
        <v>1153</v>
      </c>
      <c r="B1154" t="s">
        <v>68</v>
      </c>
      <c r="C1154" t="s">
        <v>68</v>
      </c>
      <c r="D1154" t="s">
        <v>69</v>
      </c>
      <c r="F1154" s="1">
        <v>42827</v>
      </c>
      <c r="G1154" s="2">
        <v>79.2</v>
      </c>
      <c r="H1154" s="2"/>
      <c r="I1154" s="2">
        <v>1.52</v>
      </c>
      <c r="J1154" s="2">
        <v>9</v>
      </c>
      <c r="K1154" s="2">
        <v>-30</v>
      </c>
      <c r="L1154" s="2">
        <v>862</v>
      </c>
      <c r="M1154" s="2">
        <v>862</v>
      </c>
      <c r="N1154" s="2">
        <f ca="1">INDEX(INDIRECT(_xlfn.CONCAT("weather.tbl[",N$1,"]")),MATCH(vp.tbl[[#This Row],[SDate]],weather.tbl[Date],0))</f>
        <v>7.5833333333333348</v>
      </c>
      <c r="O1154" s="2">
        <f ca="1">INDEX(INDIRECT(_xlfn.CONCAT("weather.tbl[",O$1,"]")),MATCH(vp.tbl[[#This Row],[SDate]],weather.tbl[Date],0))</f>
        <v>4.8857142857142852</v>
      </c>
      <c r="P1154" s="2">
        <f ca="1">INDEX(INDIRECT(_xlfn.CONCAT("weather.tbl[",P$1,"]")),MATCH(vp.tbl[[#This Row],[SDate]],weather.tbl[Date],0))</f>
        <v>7.7</v>
      </c>
      <c r="Q1154" s="2">
        <f ca="1">INDEX(INDIRECT(_xlfn.CONCAT("weather.tbl[",Q$1,"]")),MATCH(vp.tbl[[#This Row],[SDate]],weather.tbl[Date],0))</f>
        <v>6.9</v>
      </c>
      <c r="R1154" s="2">
        <f ca="1">INDEX(INDIRECT(_xlfn.CONCAT("weather.tbl[",R$1,"]")),MATCH(vp.tbl[[#This Row],[SDate]],weather.tbl[Date],0))</f>
        <v>8.3000000000000007</v>
      </c>
      <c r="S1154" s="2">
        <f ca="1">INDEX(INDIRECT(_xlfn.CONCAT("weather.tbl[",S$1,"]")),MATCH(vp.tbl[[#This Row],[SDate]],weather.tbl[Date],0))</f>
        <v>6.9</v>
      </c>
      <c r="T1154" s="2">
        <f ca="1">INDEX(INDIRECT(_xlfn.CONCAT("weather.tbl[",T$1,"]")),MATCH(vp.tbl[[#This Row],[SDate]],weather.tbl[Date],0))</f>
        <v>7.7</v>
      </c>
      <c r="U1154" s="2">
        <f ca="1">INDEX(INDIRECT(_xlfn.CONCAT("weather.tbl[",U$1,"]")),MATCH(vp.tbl[[#This Row],[SDate]],weather.tbl[Date],0))</f>
        <v>8</v>
      </c>
      <c r="V1154" s="2">
        <v>1529.07</v>
      </c>
      <c r="W1154" t="s">
        <v>48</v>
      </c>
      <c r="X1154">
        <f>IF(OR(vp.tbl[[#This Row],[Sulf]]="",vp.tbl[[#This Row],[Dens]]=""),1,0)</f>
        <v>0</v>
      </c>
      <c r="Y1154">
        <f>IF(vp.tbl[[#This Row],[CrudeType]]="C5+",1,0)</f>
        <v>0</v>
      </c>
      <c r="Z1154">
        <f>IF(AND(vp.tbl[[#This Row],[CrudeType]]="Crude",vp.tbl[[#This Row],[Dens]]&lt;=825,vp.tbl[[#This Row],[Sulf]]&gt;0.5,vp.tbl[[#This Row],[Unknown]]=0),1,0)</f>
        <v>0</v>
      </c>
      <c r="AA1154">
        <f>IF(AND(vp.tbl[[#This Row],[CrudeType]]="Crude",vp.tbl[[#This Row],[Dens]]&lt;=825,vp.tbl[[#This Row],[Sulf]]&lt;=0.5,vp.tbl[[#This Row],[Unknown]]=0),1,0)</f>
        <v>0</v>
      </c>
      <c r="AB1154">
        <f>IF(AND(vp.tbl[[#This Row],[CrudeType]]="Crude",vp.tbl[[#This Row],[Dens]]&gt;825,vp.tbl[[#This Row],[Dens]]&lt;=870,vp.tbl[[#This Row],[Sulf]]&gt;0.5,vp.tbl[[#This Row],[Unknown]]=0),1,0)</f>
        <v>1</v>
      </c>
      <c r="AC1154">
        <f>IF(AND(vp.tbl[[#This Row],[CrudeType]]="Crude",vp.tbl[[#This Row],[Dens]]&gt;825,vp.tbl[[#This Row],[Dens]]&lt;=900,vp.tbl[[#This Row],[Sulf]]&lt;=0.5,vp.tbl[[#This Row],[Unknown]]=0),1,0)</f>
        <v>0</v>
      </c>
      <c r="AD1154">
        <f>IF(AND(vp.tbl[[#This Row],[CrudeType]]="Crude",vp.tbl[[#This Row],[Dens]]&gt;870,vp.tbl[[#This Row],[Dens]]&lt;=900,vp.tbl[[#This Row],[Sulf]]&gt;0.5,vp.tbl[[#This Row],[Unknown]]=0),1,0)</f>
        <v>0</v>
      </c>
      <c r="AE1154">
        <f>IF(AND(vp.tbl[[#This Row],[CrudeType]]="Crude",vp.tbl[[#This Row],[Dens]]&gt;900,vp.tbl[[#This Row],[Sulf]]&lt;=0.5,vp.tbl[[#This Row],[Unknown]]=0),1,0)</f>
        <v>0</v>
      </c>
      <c r="AF1154">
        <f>IF(AND(vp.tbl[[#This Row],[CrudeType]]="Crude",vp.tbl[[#This Row],[Dens]]&gt;900,vp.tbl[[#This Row],[Sulf]]&lt;=0.5,vp.tbl[[#This Row],[Unknown]]=0),1,0)</f>
        <v>0</v>
      </c>
      <c r="AG1154" t="str">
        <f>INDEX(vp.tbl[[#Headers],[Unknown]:[Heavy_SW]],MATCH(1,vp.tbl[[#This Row],[Unknown]:[Heavy_SW]],0))</f>
        <v>Medium_LSB</v>
      </c>
      <c r="AH1154" t="e">
        <f>INDEX([1]!crudeBD.lkup[Number],MATCH(vp.tbl[[#This Row],[Crude_Breakdown]],[1]!crudeBD.lkup[Crude Breakdown],0))</f>
        <v>#REF!</v>
      </c>
      <c r="AI1154">
        <f>MONTH(vp.tbl[[#This Row],[SDate]])</f>
        <v>4</v>
      </c>
      <c r="AJ1154" s="5">
        <f>IFERROR(vp.tbl[[#This Row],[Sulf]]*vp.tbl[[#This Row],[Net Dens]],"")</f>
        <v>2003448.6767999998</v>
      </c>
      <c r="AK1154" s="5">
        <f>IFERROR(vp.tbl[[#This Row],[Dens]]*vp.tbl[[#This Row],[VolumeM3]],"")</f>
        <v>1318058.3399999999</v>
      </c>
      <c r="AL1154" s="5">
        <f>IFERROR(vp.tbl[[#This Row],[VP]]*vp.tbl[[#This Row],[VolumeM3]],"")</f>
        <v>121102.344</v>
      </c>
      <c r="AM1154" s="4">
        <f>IFERROR((vp.tbl[[#This Row],[VP]]-INDEX(crudeBD.lkup.complete[Mean_VP],MATCH(vp.tbl[[#This Row],[Crude_Breakdown]],crudeBD.lkup.complete[Crude Breakdown],0)))^2,"")</f>
        <v>0.94788710078505323</v>
      </c>
      <c r="AN1154" s="4">
        <f>IFERROR((vp.tbl[[#This Row],[Dens]]-INDEX(crudeBD.lkup.complete[Mean_Dens],MATCH(vp.tbl[[#This Row],[Crude_Breakdown]],crudeBD.lkup.complete[Crude Breakdown],0)))^2,"")</f>
        <v>279.16318585422295</v>
      </c>
      <c r="AO1154" s="4">
        <f>IFERROR((vp.tbl[[#This Row],[Sulf]]-INDEX(crudeBD.lkup.complete[Mean_Sulf],MATCH(vp.tbl[[#This Row],[Crude_Breakdown]],crudeBD.lkup.complete[Crude Breakdown],0)))^2,"")</f>
        <v>4.2341230207786906E-3</v>
      </c>
      <c r="AP1154">
        <f>IF(AND(vp.tbl[[#This Row],[SDate]]&gt;=DATE(YEAR(vp.tbl[[#This Row],[SDate]]),5,1),vp.tbl[[#This Row],[SDate]]&lt;=DATE(YEAR(vp.tbl[[#This Row],[SDate]]),9,15)),1,0)</f>
        <v>0</v>
      </c>
      <c r="AQ1154" s="15">
        <f>IF(vp.tbl[[#This Row],[SDate]]&lt;DATE(2016,12,1),0,1)</f>
        <v>1</v>
      </c>
    </row>
    <row r="1155" spans="1:43" x14ac:dyDescent="0.25">
      <c r="A1155">
        <v>1154</v>
      </c>
      <c r="B1155" t="s">
        <v>49</v>
      </c>
      <c r="C1155" t="s">
        <v>49</v>
      </c>
      <c r="D1155" t="s">
        <v>80</v>
      </c>
      <c r="F1155" s="1">
        <v>42828</v>
      </c>
      <c r="G1155" s="2">
        <v>87.1</v>
      </c>
      <c r="H1155" s="2">
        <v>0.34499999999999997</v>
      </c>
      <c r="I1155" s="2">
        <v>0.34499999999999997</v>
      </c>
      <c r="J1155" s="2">
        <v>19.7</v>
      </c>
      <c r="K1155" s="2">
        <v>8</v>
      </c>
      <c r="L1155" s="2">
        <v>810.8</v>
      </c>
      <c r="M1155" s="2">
        <v>810.8</v>
      </c>
      <c r="N1155" s="2">
        <f ca="1">INDEX(INDIRECT(_xlfn.CONCAT("weather.tbl[",N$1,"]")),MATCH(vp.tbl[[#This Row],[SDate]],weather.tbl[Date],0))</f>
        <v>5.583333333333333</v>
      </c>
      <c r="O1155" s="2">
        <f ca="1">INDEX(INDIRECT(_xlfn.CONCAT("weather.tbl[",O$1,"]")),MATCH(vp.tbl[[#This Row],[SDate]],weather.tbl[Date],0))</f>
        <v>5.4738095238095239</v>
      </c>
      <c r="P1155" s="2">
        <f ca="1">INDEX(INDIRECT(_xlfn.CONCAT("weather.tbl[",P$1,"]")),MATCH(vp.tbl[[#This Row],[SDate]],weather.tbl[Date],0))</f>
        <v>5</v>
      </c>
      <c r="Q1155" s="2">
        <f ca="1">INDEX(INDIRECT(_xlfn.CONCAT("weather.tbl[",Q$1,"]")),MATCH(vp.tbl[[#This Row],[SDate]],weather.tbl[Date],0))</f>
        <v>4.9000000000000004</v>
      </c>
      <c r="R1155" s="2">
        <f ca="1">INDEX(INDIRECT(_xlfn.CONCAT("weather.tbl[",R$1,"]")),MATCH(vp.tbl[[#This Row],[SDate]],weather.tbl[Date],0))</f>
        <v>8.3000000000000007</v>
      </c>
      <c r="S1155" s="2">
        <f ca="1">INDEX(INDIRECT(_xlfn.CONCAT("weather.tbl[",S$1,"]")),MATCH(vp.tbl[[#This Row],[SDate]],weather.tbl[Date],0))</f>
        <v>4.8</v>
      </c>
      <c r="T1155" s="2">
        <f ca="1">INDEX(INDIRECT(_xlfn.CONCAT("weather.tbl[",T$1,"]")),MATCH(vp.tbl[[#This Row],[SDate]],weather.tbl[Date],0))</f>
        <v>5.5</v>
      </c>
      <c r="U1155" s="2">
        <f ca="1">INDEX(INDIRECT(_xlfn.CONCAT("weather.tbl[",U$1,"]")),MATCH(vp.tbl[[#This Row],[SDate]],weather.tbl[Date],0))</f>
        <v>5</v>
      </c>
      <c r="V1155" s="2">
        <v>21198.933000000001</v>
      </c>
      <c r="W1155" t="s">
        <v>48</v>
      </c>
      <c r="X1155">
        <f>IF(OR(vp.tbl[[#This Row],[Sulf]]="",vp.tbl[[#This Row],[Dens]]=""),1,0)</f>
        <v>0</v>
      </c>
      <c r="Y1155">
        <f>IF(vp.tbl[[#This Row],[CrudeType]]="C5+",1,0)</f>
        <v>0</v>
      </c>
      <c r="Z1155">
        <f>IF(AND(vp.tbl[[#This Row],[CrudeType]]="Crude",vp.tbl[[#This Row],[Dens]]&lt;=825,vp.tbl[[#This Row],[Sulf]]&gt;0.5,vp.tbl[[#This Row],[Unknown]]=0),1,0)</f>
        <v>0</v>
      </c>
      <c r="AA1155">
        <f>IF(AND(vp.tbl[[#This Row],[CrudeType]]="Crude",vp.tbl[[#This Row],[Dens]]&lt;=825,vp.tbl[[#This Row],[Sulf]]&lt;=0.5,vp.tbl[[#This Row],[Unknown]]=0),1,0)</f>
        <v>1</v>
      </c>
      <c r="AB1155">
        <f>IF(AND(vp.tbl[[#This Row],[CrudeType]]="Crude",vp.tbl[[#This Row],[Dens]]&gt;825,vp.tbl[[#This Row],[Dens]]&lt;=870,vp.tbl[[#This Row],[Sulf]]&gt;0.5,vp.tbl[[#This Row],[Unknown]]=0),1,0)</f>
        <v>0</v>
      </c>
      <c r="AC1155">
        <f>IF(AND(vp.tbl[[#This Row],[CrudeType]]="Crude",vp.tbl[[#This Row],[Dens]]&gt;825,vp.tbl[[#This Row],[Dens]]&lt;=900,vp.tbl[[#This Row],[Sulf]]&lt;=0.5,vp.tbl[[#This Row],[Unknown]]=0),1,0)</f>
        <v>0</v>
      </c>
      <c r="AD1155">
        <f>IF(AND(vp.tbl[[#This Row],[CrudeType]]="Crude",vp.tbl[[#This Row],[Dens]]&gt;870,vp.tbl[[#This Row],[Dens]]&lt;=900,vp.tbl[[#This Row],[Sulf]]&gt;0.5,vp.tbl[[#This Row],[Unknown]]=0),1,0)</f>
        <v>0</v>
      </c>
      <c r="AE1155">
        <f>IF(AND(vp.tbl[[#This Row],[CrudeType]]="Crude",vp.tbl[[#This Row],[Dens]]&gt;900,vp.tbl[[#This Row],[Sulf]]&lt;=0.5,vp.tbl[[#This Row],[Unknown]]=0),1,0)</f>
        <v>0</v>
      </c>
      <c r="AF1155">
        <f>IF(AND(vp.tbl[[#This Row],[CrudeType]]="Crude",vp.tbl[[#This Row],[Dens]]&gt;900,vp.tbl[[#This Row],[Sulf]]&lt;=0.5,vp.tbl[[#This Row],[Unknown]]=0),1,0)</f>
        <v>0</v>
      </c>
      <c r="AG1155" t="str">
        <f>INDEX(vp.tbl[[#Headers],[Unknown]:[Heavy_SW]],MATCH(1,vp.tbl[[#This Row],[Unknown]:[Heavy_SW]],0))</f>
        <v>Light_SW</v>
      </c>
      <c r="AH1155" t="e">
        <f>INDEX([1]!crudeBD.lkup[Number],MATCH(vp.tbl[[#This Row],[Crude_Breakdown]],[1]!crudeBD.lkup[Crude Breakdown],0))</f>
        <v>#REF!</v>
      </c>
      <c r="AI1155">
        <f>MONTH(vp.tbl[[#This Row],[SDate]])</f>
        <v>4</v>
      </c>
      <c r="AJ1155" s="5">
        <f>IFERROR(vp.tbl[[#This Row],[Sulf]]*vp.tbl[[#This Row],[Net Dens]],"")</f>
        <v>5929892.7323580002</v>
      </c>
      <c r="AK1155" s="5">
        <f>IFERROR(vp.tbl[[#This Row],[Dens]]*vp.tbl[[#This Row],[VolumeM3]],"")</f>
        <v>17188094.876400001</v>
      </c>
      <c r="AL1155" s="5">
        <f>IFERROR(vp.tbl[[#This Row],[VP]]*vp.tbl[[#This Row],[VolumeM3]],"")</f>
        <v>1846427.0643</v>
      </c>
      <c r="AM1155" s="4">
        <f>IFERROR((vp.tbl[[#This Row],[VP]]-INDEX(crudeBD.lkup.complete[Mean_VP],MATCH(vp.tbl[[#This Row],[Crude_Breakdown]],crudeBD.lkup.complete[Crude Breakdown],0)))^2,"")</f>
        <v>29.705918216804605</v>
      </c>
      <c r="AN1155" s="4">
        <f>IFERROR((vp.tbl[[#This Row],[Dens]]-INDEX(crudeBD.lkup.complete[Mean_Dens],MATCH(vp.tbl[[#This Row],[Crude_Breakdown]],crudeBD.lkup.complete[Crude Breakdown],0)))^2,"")</f>
        <v>6.1926409207356032</v>
      </c>
      <c r="AO1155" s="4">
        <f>IFERROR((vp.tbl[[#This Row],[Sulf]]-INDEX(crudeBD.lkup.complete[Mean_Sulf],MATCH(vp.tbl[[#This Row],[Crude_Breakdown]],crudeBD.lkup.complete[Crude Breakdown],0)))^2,"")</f>
        <v>1.182834349039083E-2</v>
      </c>
      <c r="AP1155">
        <f>IF(AND(vp.tbl[[#This Row],[SDate]]&gt;=DATE(YEAR(vp.tbl[[#This Row],[SDate]]),5,1),vp.tbl[[#This Row],[SDate]]&lt;=DATE(YEAR(vp.tbl[[#This Row],[SDate]]),9,15)),1,0)</f>
        <v>0</v>
      </c>
      <c r="AQ1155" s="15">
        <f>IF(vp.tbl[[#This Row],[SDate]]&lt;DATE(2016,12,1),0,1)</f>
        <v>1</v>
      </c>
    </row>
    <row r="1156" spans="1:43" x14ac:dyDescent="0.25">
      <c r="A1156">
        <v>1155</v>
      </c>
      <c r="B1156" t="s">
        <v>49</v>
      </c>
      <c r="C1156" t="s">
        <v>49</v>
      </c>
      <c r="D1156" t="s">
        <v>67</v>
      </c>
      <c r="F1156" s="1">
        <v>42828</v>
      </c>
      <c r="G1156" s="2">
        <v>91.5</v>
      </c>
      <c r="H1156" s="2">
        <v>0.373</v>
      </c>
      <c r="I1156" s="2">
        <v>0.373</v>
      </c>
      <c r="J1156" s="2">
        <v>9.1</v>
      </c>
      <c r="K1156" s="2">
        <v>8</v>
      </c>
      <c r="L1156" s="2">
        <v>813.3</v>
      </c>
      <c r="M1156" s="2">
        <v>813.3</v>
      </c>
      <c r="N1156" s="2">
        <f ca="1">INDEX(INDIRECT(_xlfn.CONCAT("weather.tbl[",N$1,"]")),MATCH(vp.tbl[[#This Row],[SDate]],weather.tbl[Date],0))</f>
        <v>5.583333333333333</v>
      </c>
      <c r="O1156" s="2">
        <f ca="1">INDEX(INDIRECT(_xlfn.CONCAT("weather.tbl[",O$1,"]")),MATCH(vp.tbl[[#This Row],[SDate]],weather.tbl[Date],0))</f>
        <v>5.4738095238095239</v>
      </c>
      <c r="P1156" s="2">
        <f ca="1">INDEX(INDIRECT(_xlfn.CONCAT("weather.tbl[",P$1,"]")),MATCH(vp.tbl[[#This Row],[SDate]],weather.tbl[Date],0))</f>
        <v>5</v>
      </c>
      <c r="Q1156" s="2">
        <f ca="1">INDEX(INDIRECT(_xlfn.CONCAT("weather.tbl[",Q$1,"]")),MATCH(vp.tbl[[#This Row],[SDate]],weather.tbl[Date],0))</f>
        <v>4.9000000000000004</v>
      </c>
      <c r="R1156" s="2">
        <f ca="1">INDEX(INDIRECT(_xlfn.CONCAT("weather.tbl[",R$1,"]")),MATCH(vp.tbl[[#This Row],[SDate]],weather.tbl[Date],0))</f>
        <v>8.3000000000000007</v>
      </c>
      <c r="S1156" s="2">
        <f ca="1">INDEX(INDIRECT(_xlfn.CONCAT("weather.tbl[",S$1,"]")),MATCH(vp.tbl[[#This Row],[SDate]],weather.tbl[Date],0))</f>
        <v>4.8</v>
      </c>
      <c r="T1156" s="2">
        <f ca="1">INDEX(INDIRECT(_xlfn.CONCAT("weather.tbl[",T$1,"]")),MATCH(vp.tbl[[#This Row],[SDate]],weather.tbl[Date],0))</f>
        <v>5.5</v>
      </c>
      <c r="U1156" s="2">
        <f ca="1">INDEX(INDIRECT(_xlfn.CONCAT("weather.tbl[",U$1,"]")),MATCH(vp.tbl[[#This Row],[SDate]],weather.tbl[Date],0))</f>
        <v>5</v>
      </c>
      <c r="V1156" s="2">
        <v>140792.67800000001</v>
      </c>
      <c r="W1156" t="s">
        <v>48</v>
      </c>
      <c r="X1156">
        <f>IF(OR(vp.tbl[[#This Row],[Sulf]]="",vp.tbl[[#This Row],[Dens]]=""),1,0)</f>
        <v>0</v>
      </c>
      <c r="Y1156">
        <f>IF(vp.tbl[[#This Row],[CrudeType]]="C5+",1,0)</f>
        <v>0</v>
      </c>
      <c r="Z1156">
        <f>IF(AND(vp.tbl[[#This Row],[CrudeType]]="Crude",vp.tbl[[#This Row],[Dens]]&lt;=825,vp.tbl[[#This Row],[Sulf]]&gt;0.5,vp.tbl[[#This Row],[Unknown]]=0),1,0)</f>
        <v>0</v>
      </c>
      <c r="AA1156">
        <f>IF(AND(vp.tbl[[#This Row],[CrudeType]]="Crude",vp.tbl[[#This Row],[Dens]]&lt;=825,vp.tbl[[#This Row],[Sulf]]&lt;=0.5,vp.tbl[[#This Row],[Unknown]]=0),1,0)</f>
        <v>1</v>
      </c>
      <c r="AB1156">
        <f>IF(AND(vp.tbl[[#This Row],[CrudeType]]="Crude",vp.tbl[[#This Row],[Dens]]&gt;825,vp.tbl[[#This Row],[Dens]]&lt;=870,vp.tbl[[#This Row],[Sulf]]&gt;0.5,vp.tbl[[#This Row],[Unknown]]=0),1,0)</f>
        <v>0</v>
      </c>
      <c r="AC1156">
        <f>IF(AND(vp.tbl[[#This Row],[CrudeType]]="Crude",vp.tbl[[#This Row],[Dens]]&gt;825,vp.tbl[[#This Row],[Dens]]&lt;=900,vp.tbl[[#This Row],[Sulf]]&lt;=0.5,vp.tbl[[#This Row],[Unknown]]=0),1,0)</f>
        <v>0</v>
      </c>
      <c r="AD1156">
        <f>IF(AND(vp.tbl[[#This Row],[CrudeType]]="Crude",vp.tbl[[#This Row],[Dens]]&gt;870,vp.tbl[[#This Row],[Dens]]&lt;=900,vp.tbl[[#This Row],[Sulf]]&gt;0.5,vp.tbl[[#This Row],[Unknown]]=0),1,0)</f>
        <v>0</v>
      </c>
      <c r="AE1156">
        <f>IF(AND(vp.tbl[[#This Row],[CrudeType]]="Crude",vp.tbl[[#This Row],[Dens]]&gt;900,vp.tbl[[#This Row],[Sulf]]&lt;=0.5,vp.tbl[[#This Row],[Unknown]]=0),1,0)</f>
        <v>0</v>
      </c>
      <c r="AF1156">
        <f>IF(AND(vp.tbl[[#This Row],[CrudeType]]="Crude",vp.tbl[[#This Row],[Dens]]&gt;900,vp.tbl[[#This Row],[Sulf]]&lt;=0.5,vp.tbl[[#This Row],[Unknown]]=0),1,0)</f>
        <v>0</v>
      </c>
      <c r="AG1156" t="str">
        <f>INDEX(vp.tbl[[#Headers],[Unknown]:[Heavy_SW]],MATCH(1,vp.tbl[[#This Row],[Unknown]:[Heavy_SW]],0))</f>
        <v>Light_SW</v>
      </c>
      <c r="AH1156" t="e">
        <f>INDEX([1]!crudeBD.lkup[Number],MATCH(vp.tbl[[#This Row],[Crude_Breakdown]],[1]!crudeBD.lkup[Crude Breakdown],0))</f>
        <v>#REF!</v>
      </c>
      <c r="AI1156">
        <f>MONTH(vp.tbl[[#This Row],[SDate]])</f>
        <v>4</v>
      </c>
      <c r="AJ1156" s="5">
        <f>IFERROR(vp.tbl[[#This Row],[Sulf]]*vp.tbl[[#This Row],[Net Dens]],"")</f>
        <v>42710993.511490203</v>
      </c>
      <c r="AK1156" s="5">
        <f>IFERROR(vp.tbl[[#This Row],[Dens]]*vp.tbl[[#This Row],[VolumeM3]],"")</f>
        <v>114506685.01740001</v>
      </c>
      <c r="AL1156" s="5">
        <f>IFERROR(vp.tbl[[#This Row],[VP]]*vp.tbl[[#This Row],[VolumeM3]],"")</f>
        <v>12882530.037</v>
      </c>
      <c r="AM1156" s="4">
        <f>IFERROR((vp.tbl[[#This Row],[VP]]-INDEX(crudeBD.lkup.complete[Mean_VP],MATCH(vp.tbl[[#This Row],[Crude_Breakdown]],crudeBD.lkup.complete[Crude Breakdown],0)))^2,"")</f>
        <v>1.1031586349232707</v>
      </c>
      <c r="AN1156" s="4">
        <f>IFERROR((vp.tbl[[#This Row],[Dens]]-INDEX(crudeBD.lkup.complete[Mean_Dens],MATCH(vp.tbl[[#This Row],[Crude_Breakdown]],crudeBD.lkup.complete[Crude Breakdown],0)))^2,"")</f>
        <v>24.88514963153786</v>
      </c>
      <c r="AO1156" s="4">
        <f>IFERROR((vp.tbl[[#This Row],[Sulf]]-INDEX(crudeBD.lkup.complete[Mean_Sulf],MATCH(vp.tbl[[#This Row],[Crude_Breakdown]],crudeBD.lkup.complete[Crude Breakdown],0)))^2,"")</f>
        <v>1.870280202697621E-2</v>
      </c>
      <c r="AP1156">
        <f>IF(AND(vp.tbl[[#This Row],[SDate]]&gt;=DATE(YEAR(vp.tbl[[#This Row],[SDate]]),5,1),vp.tbl[[#This Row],[SDate]]&lt;=DATE(YEAR(vp.tbl[[#This Row],[SDate]]),9,15)),1,0)</f>
        <v>0</v>
      </c>
      <c r="AQ1156" s="15">
        <f>IF(vp.tbl[[#This Row],[SDate]]&lt;DATE(2016,12,1),0,1)</f>
        <v>1</v>
      </c>
    </row>
    <row r="1157" spans="1:43" x14ac:dyDescent="0.25">
      <c r="A1157">
        <v>1156</v>
      </c>
      <c r="B1157" t="s">
        <v>49</v>
      </c>
      <c r="C1157" t="s">
        <v>49</v>
      </c>
      <c r="D1157" t="s">
        <v>100</v>
      </c>
      <c r="F1157" s="1">
        <v>42828</v>
      </c>
      <c r="G1157" s="2">
        <v>83.8</v>
      </c>
      <c r="H1157" s="2">
        <v>0.53300000000000003</v>
      </c>
      <c r="I1157" s="2">
        <v>0.53300000000000003</v>
      </c>
      <c r="J1157" s="2">
        <v>20.2</v>
      </c>
      <c r="K1157" s="2">
        <v>8</v>
      </c>
      <c r="L1157" s="2">
        <v>818.3</v>
      </c>
      <c r="M1157" s="2">
        <v>818.3</v>
      </c>
      <c r="N1157" s="2">
        <f ca="1">INDEX(INDIRECT(_xlfn.CONCAT("weather.tbl[",N$1,"]")),MATCH(vp.tbl[[#This Row],[SDate]],weather.tbl[Date],0))</f>
        <v>5.583333333333333</v>
      </c>
      <c r="O1157" s="2">
        <f ca="1">INDEX(INDIRECT(_xlfn.CONCAT("weather.tbl[",O$1,"]")),MATCH(vp.tbl[[#This Row],[SDate]],weather.tbl[Date],0))</f>
        <v>5.4738095238095239</v>
      </c>
      <c r="P1157" s="2">
        <f ca="1">INDEX(INDIRECT(_xlfn.CONCAT("weather.tbl[",P$1,"]")),MATCH(vp.tbl[[#This Row],[SDate]],weather.tbl[Date],0))</f>
        <v>5</v>
      </c>
      <c r="Q1157" s="2">
        <f ca="1">INDEX(INDIRECT(_xlfn.CONCAT("weather.tbl[",Q$1,"]")),MATCH(vp.tbl[[#This Row],[SDate]],weather.tbl[Date],0))</f>
        <v>4.9000000000000004</v>
      </c>
      <c r="R1157" s="2">
        <f ca="1">INDEX(INDIRECT(_xlfn.CONCAT("weather.tbl[",R$1,"]")),MATCH(vp.tbl[[#This Row],[SDate]],weather.tbl[Date],0))</f>
        <v>8.3000000000000007</v>
      </c>
      <c r="S1157" s="2">
        <f ca="1">INDEX(INDIRECT(_xlfn.CONCAT("weather.tbl[",S$1,"]")),MATCH(vp.tbl[[#This Row],[SDate]],weather.tbl[Date],0))</f>
        <v>4.8</v>
      </c>
      <c r="T1157" s="2">
        <f ca="1">INDEX(INDIRECT(_xlfn.CONCAT("weather.tbl[",T$1,"]")),MATCH(vp.tbl[[#This Row],[SDate]],weather.tbl[Date],0))</f>
        <v>5.5</v>
      </c>
      <c r="U1157" s="2">
        <f ca="1">INDEX(INDIRECT(_xlfn.CONCAT("weather.tbl[",U$1,"]")),MATCH(vp.tbl[[#This Row],[SDate]],weather.tbl[Date],0))</f>
        <v>5</v>
      </c>
      <c r="V1157" s="2">
        <v>13068.535</v>
      </c>
      <c r="W1157" t="s">
        <v>48</v>
      </c>
      <c r="X1157">
        <f>IF(OR(vp.tbl[[#This Row],[Sulf]]="",vp.tbl[[#This Row],[Dens]]=""),1,0)</f>
        <v>0</v>
      </c>
      <c r="Y1157">
        <f>IF(vp.tbl[[#This Row],[CrudeType]]="C5+",1,0)</f>
        <v>0</v>
      </c>
      <c r="Z1157">
        <f>IF(AND(vp.tbl[[#This Row],[CrudeType]]="Crude",vp.tbl[[#This Row],[Dens]]&lt;=825,vp.tbl[[#This Row],[Sulf]]&gt;0.5,vp.tbl[[#This Row],[Unknown]]=0),1,0)</f>
        <v>1</v>
      </c>
      <c r="AA1157">
        <f>IF(AND(vp.tbl[[#This Row],[CrudeType]]="Crude",vp.tbl[[#This Row],[Dens]]&lt;=825,vp.tbl[[#This Row],[Sulf]]&lt;=0.5,vp.tbl[[#This Row],[Unknown]]=0),1,0)</f>
        <v>0</v>
      </c>
      <c r="AB1157">
        <f>IF(AND(vp.tbl[[#This Row],[CrudeType]]="Crude",vp.tbl[[#This Row],[Dens]]&gt;825,vp.tbl[[#This Row],[Dens]]&lt;=870,vp.tbl[[#This Row],[Sulf]]&gt;0.5,vp.tbl[[#This Row],[Unknown]]=0),1,0)</f>
        <v>0</v>
      </c>
      <c r="AC1157">
        <f>IF(AND(vp.tbl[[#This Row],[CrudeType]]="Crude",vp.tbl[[#This Row],[Dens]]&gt;825,vp.tbl[[#This Row],[Dens]]&lt;=900,vp.tbl[[#This Row],[Sulf]]&lt;=0.5,vp.tbl[[#This Row],[Unknown]]=0),1,0)</f>
        <v>0</v>
      </c>
      <c r="AD1157">
        <f>IF(AND(vp.tbl[[#This Row],[CrudeType]]="Crude",vp.tbl[[#This Row],[Dens]]&gt;870,vp.tbl[[#This Row],[Dens]]&lt;=900,vp.tbl[[#This Row],[Sulf]]&gt;0.5,vp.tbl[[#This Row],[Unknown]]=0),1,0)</f>
        <v>0</v>
      </c>
      <c r="AE1157">
        <f>IF(AND(vp.tbl[[#This Row],[CrudeType]]="Crude",vp.tbl[[#This Row],[Dens]]&gt;900,vp.tbl[[#This Row],[Sulf]]&lt;=0.5,vp.tbl[[#This Row],[Unknown]]=0),1,0)</f>
        <v>0</v>
      </c>
      <c r="AF1157">
        <f>IF(AND(vp.tbl[[#This Row],[CrudeType]]="Crude",vp.tbl[[#This Row],[Dens]]&gt;900,vp.tbl[[#This Row],[Sulf]]&lt;=0.5,vp.tbl[[#This Row],[Unknown]]=0),1,0)</f>
        <v>0</v>
      </c>
      <c r="AG1157" t="str">
        <f>INDEX(vp.tbl[[#Headers],[Unknown]:[Heavy_SW]],MATCH(1,vp.tbl[[#This Row],[Unknown]:[Heavy_SW]],0))</f>
        <v>Light_LSB</v>
      </c>
      <c r="AH1157" t="e">
        <f>INDEX([1]!crudeBD.lkup[Number],MATCH(vp.tbl[[#This Row],[Crude_Breakdown]],[1]!crudeBD.lkup[Crude Breakdown],0))</f>
        <v>#REF!</v>
      </c>
      <c r="AI1157">
        <f>MONTH(vp.tbl[[#This Row],[SDate]])</f>
        <v>4</v>
      </c>
      <c r="AJ1157" s="5">
        <f>IFERROR(vp.tbl[[#This Row],[Sulf]]*vp.tbl[[#This Row],[Net Dens]],"")</f>
        <v>5699892.5075364998</v>
      </c>
      <c r="AK1157" s="5">
        <f>IFERROR(vp.tbl[[#This Row],[Dens]]*vp.tbl[[#This Row],[VolumeM3]],"")</f>
        <v>10693982.190499999</v>
      </c>
      <c r="AL1157" s="5">
        <f>IFERROR(vp.tbl[[#This Row],[VP]]*vp.tbl[[#This Row],[VolumeM3]],"")</f>
        <v>1095143.233</v>
      </c>
      <c r="AM1157" s="4">
        <f>IFERROR((vp.tbl[[#This Row],[VP]]-INDEX(crudeBD.lkup.complete[Mean_VP],MATCH(vp.tbl[[#This Row],[Crude_Breakdown]],crudeBD.lkup.complete[Crude Breakdown],0)))^2,"")</f>
        <v>60.003390838559355</v>
      </c>
      <c r="AN1157" s="4">
        <f>IFERROR((vp.tbl[[#This Row],[Dens]]-INDEX(crudeBD.lkup.complete[Mean_Dens],MATCH(vp.tbl[[#This Row],[Crude_Breakdown]],crudeBD.lkup.complete[Crude Breakdown],0)))^2,"")</f>
        <v>4.698912861196889E-2</v>
      </c>
      <c r="AO1157" s="4">
        <f>IFERROR((vp.tbl[[#This Row],[Sulf]]-INDEX(crudeBD.lkup.complete[Mean_Sulf],MATCH(vp.tbl[[#This Row],[Crude_Breakdown]],crudeBD.lkup.complete[Crude Breakdown],0)))^2,"")</f>
        <v>0.152077512171468</v>
      </c>
      <c r="AP1157">
        <f>IF(AND(vp.tbl[[#This Row],[SDate]]&gt;=DATE(YEAR(vp.tbl[[#This Row],[SDate]]),5,1),vp.tbl[[#This Row],[SDate]]&lt;=DATE(YEAR(vp.tbl[[#This Row],[SDate]]),9,15)),1,0)</f>
        <v>0</v>
      </c>
      <c r="AQ1157" s="15">
        <f>IF(vp.tbl[[#This Row],[SDate]]&lt;DATE(2016,12,1),0,1)</f>
        <v>1</v>
      </c>
    </row>
    <row r="1158" spans="1:43" x14ac:dyDescent="0.25">
      <c r="A1158">
        <v>1157</v>
      </c>
      <c r="B1158" t="s">
        <v>49</v>
      </c>
      <c r="C1158" t="s">
        <v>49</v>
      </c>
      <c r="D1158" t="s">
        <v>89</v>
      </c>
      <c r="F1158" s="1">
        <v>42828</v>
      </c>
      <c r="G1158" s="2">
        <v>92</v>
      </c>
      <c r="H1158" s="2">
        <v>0.73099999999999998</v>
      </c>
      <c r="I1158" s="2">
        <v>0.73099999999999998</v>
      </c>
      <c r="J1158" s="2">
        <v>7.4</v>
      </c>
      <c r="K1158" s="2">
        <v>8</v>
      </c>
      <c r="L1158" s="2">
        <v>819.9</v>
      </c>
      <c r="M1158" s="2">
        <v>819.9</v>
      </c>
      <c r="N1158" s="2">
        <f ca="1">INDEX(INDIRECT(_xlfn.CONCAT("weather.tbl[",N$1,"]")),MATCH(vp.tbl[[#This Row],[SDate]],weather.tbl[Date],0))</f>
        <v>5.583333333333333</v>
      </c>
      <c r="O1158" s="2">
        <f ca="1">INDEX(INDIRECT(_xlfn.CONCAT("weather.tbl[",O$1,"]")),MATCH(vp.tbl[[#This Row],[SDate]],weather.tbl[Date],0))</f>
        <v>5.4738095238095239</v>
      </c>
      <c r="P1158" s="2">
        <f ca="1">INDEX(INDIRECT(_xlfn.CONCAT("weather.tbl[",P$1,"]")),MATCH(vp.tbl[[#This Row],[SDate]],weather.tbl[Date],0))</f>
        <v>5</v>
      </c>
      <c r="Q1158" s="2">
        <f ca="1">INDEX(INDIRECT(_xlfn.CONCAT("weather.tbl[",Q$1,"]")),MATCH(vp.tbl[[#This Row],[SDate]],weather.tbl[Date],0))</f>
        <v>4.9000000000000004</v>
      </c>
      <c r="R1158" s="2">
        <f ca="1">INDEX(INDIRECT(_xlfn.CONCAT("weather.tbl[",R$1,"]")),MATCH(vp.tbl[[#This Row],[SDate]],weather.tbl[Date],0))</f>
        <v>8.3000000000000007</v>
      </c>
      <c r="S1158" s="2">
        <f ca="1">INDEX(INDIRECT(_xlfn.CONCAT("weather.tbl[",S$1,"]")),MATCH(vp.tbl[[#This Row],[SDate]],weather.tbl[Date],0))</f>
        <v>4.8</v>
      </c>
      <c r="T1158" s="2">
        <f ca="1">INDEX(INDIRECT(_xlfn.CONCAT("weather.tbl[",T$1,"]")),MATCH(vp.tbl[[#This Row],[SDate]],weather.tbl[Date],0))</f>
        <v>5.5</v>
      </c>
      <c r="U1158" s="2">
        <f ca="1">INDEX(INDIRECT(_xlfn.CONCAT("weather.tbl[",U$1,"]")),MATCH(vp.tbl[[#This Row],[SDate]],weather.tbl[Date],0))</f>
        <v>5</v>
      </c>
      <c r="V1158" s="2">
        <v>6439.6459999999997</v>
      </c>
      <c r="W1158" t="s">
        <v>48</v>
      </c>
      <c r="X1158">
        <f>IF(OR(vp.tbl[[#This Row],[Sulf]]="",vp.tbl[[#This Row],[Dens]]=""),1,0)</f>
        <v>0</v>
      </c>
      <c r="Y1158">
        <f>IF(vp.tbl[[#This Row],[CrudeType]]="C5+",1,0)</f>
        <v>0</v>
      </c>
      <c r="Z1158">
        <f>IF(AND(vp.tbl[[#This Row],[CrudeType]]="Crude",vp.tbl[[#This Row],[Dens]]&lt;=825,vp.tbl[[#This Row],[Sulf]]&gt;0.5,vp.tbl[[#This Row],[Unknown]]=0),1,0)</f>
        <v>1</v>
      </c>
      <c r="AA1158">
        <f>IF(AND(vp.tbl[[#This Row],[CrudeType]]="Crude",vp.tbl[[#This Row],[Dens]]&lt;=825,vp.tbl[[#This Row],[Sulf]]&lt;=0.5,vp.tbl[[#This Row],[Unknown]]=0),1,0)</f>
        <v>0</v>
      </c>
      <c r="AB1158">
        <f>IF(AND(vp.tbl[[#This Row],[CrudeType]]="Crude",vp.tbl[[#This Row],[Dens]]&gt;825,vp.tbl[[#This Row],[Dens]]&lt;=870,vp.tbl[[#This Row],[Sulf]]&gt;0.5,vp.tbl[[#This Row],[Unknown]]=0),1,0)</f>
        <v>0</v>
      </c>
      <c r="AC1158">
        <f>IF(AND(vp.tbl[[#This Row],[CrudeType]]="Crude",vp.tbl[[#This Row],[Dens]]&gt;825,vp.tbl[[#This Row],[Dens]]&lt;=900,vp.tbl[[#This Row],[Sulf]]&lt;=0.5,vp.tbl[[#This Row],[Unknown]]=0),1,0)</f>
        <v>0</v>
      </c>
      <c r="AD1158">
        <f>IF(AND(vp.tbl[[#This Row],[CrudeType]]="Crude",vp.tbl[[#This Row],[Dens]]&gt;870,vp.tbl[[#This Row],[Dens]]&lt;=900,vp.tbl[[#This Row],[Sulf]]&gt;0.5,vp.tbl[[#This Row],[Unknown]]=0),1,0)</f>
        <v>0</v>
      </c>
      <c r="AE1158">
        <f>IF(AND(vp.tbl[[#This Row],[CrudeType]]="Crude",vp.tbl[[#This Row],[Dens]]&gt;900,vp.tbl[[#This Row],[Sulf]]&lt;=0.5,vp.tbl[[#This Row],[Unknown]]=0),1,0)</f>
        <v>0</v>
      </c>
      <c r="AF1158">
        <f>IF(AND(vp.tbl[[#This Row],[CrudeType]]="Crude",vp.tbl[[#This Row],[Dens]]&gt;900,vp.tbl[[#This Row],[Sulf]]&lt;=0.5,vp.tbl[[#This Row],[Unknown]]=0),1,0)</f>
        <v>0</v>
      </c>
      <c r="AG1158" t="str">
        <f>INDEX(vp.tbl[[#Headers],[Unknown]:[Heavy_SW]],MATCH(1,vp.tbl[[#This Row],[Unknown]:[Heavy_SW]],0))</f>
        <v>Light_LSB</v>
      </c>
      <c r="AH1158" t="e">
        <f>INDEX([1]!crudeBD.lkup[Number],MATCH(vp.tbl[[#This Row],[Crude_Breakdown]],[1]!crudeBD.lkup[Crude Breakdown],0))</f>
        <v>#REF!</v>
      </c>
      <c r="AI1158">
        <f>MONTH(vp.tbl[[#This Row],[SDate]])</f>
        <v>4</v>
      </c>
      <c r="AJ1158" s="5">
        <f>IFERROR(vp.tbl[[#This Row],[Sulf]]*vp.tbl[[#This Row],[Net Dens]],"")</f>
        <v>3859581.8671973995</v>
      </c>
      <c r="AK1158" s="5">
        <f>IFERROR(vp.tbl[[#This Row],[Dens]]*vp.tbl[[#This Row],[VolumeM3]],"")</f>
        <v>5279865.7553999992</v>
      </c>
      <c r="AL1158" s="5">
        <f>IFERROR(vp.tbl[[#This Row],[VP]]*vp.tbl[[#This Row],[VolumeM3]],"")</f>
        <v>592447.43200000003</v>
      </c>
      <c r="AM1158" s="4">
        <f>IFERROR((vp.tbl[[#This Row],[VP]]-INDEX(crudeBD.lkup.complete[Mean_VP],MATCH(vp.tbl[[#This Row],[Crude_Breakdown]],crudeBD.lkup.complete[Crude Breakdown],0)))^2,"")</f>
        <v>0.20594753958972625</v>
      </c>
      <c r="AN1158" s="4">
        <f>IFERROR((vp.tbl[[#This Row],[Dens]]-INDEX(crudeBD.lkup.complete[Mean_Dens],MATCH(vp.tbl[[#This Row],[Crude_Breakdown]],crudeBD.lkup.complete[Crude Breakdown],0)))^2,"")</f>
        <v>1.9133258983723416</v>
      </c>
      <c r="AO1158" s="4">
        <f>IFERROR((vp.tbl[[#This Row],[Sulf]]-INDEX(crudeBD.lkup.complete[Mean_Sulf],MATCH(vp.tbl[[#This Row],[Crude_Breakdown]],crudeBD.lkup.complete[Crude Breakdown],0)))^2,"")</f>
        <v>3.6852929491055751E-2</v>
      </c>
      <c r="AP1158">
        <f>IF(AND(vp.tbl[[#This Row],[SDate]]&gt;=DATE(YEAR(vp.tbl[[#This Row],[SDate]]),5,1),vp.tbl[[#This Row],[SDate]]&lt;=DATE(YEAR(vp.tbl[[#This Row],[SDate]]),9,15)),1,0)</f>
        <v>0</v>
      </c>
      <c r="AQ1158" s="15">
        <f>IF(vp.tbl[[#This Row],[SDate]]&lt;DATE(2016,12,1),0,1)</f>
        <v>1</v>
      </c>
    </row>
    <row r="1159" spans="1:43" x14ac:dyDescent="0.25">
      <c r="A1159">
        <v>1158</v>
      </c>
      <c r="B1159" t="s">
        <v>49</v>
      </c>
      <c r="C1159" t="s">
        <v>49</v>
      </c>
      <c r="D1159" t="s">
        <v>90</v>
      </c>
      <c r="F1159" s="1">
        <v>42828</v>
      </c>
      <c r="G1159" s="2">
        <v>67.099999999999994</v>
      </c>
      <c r="H1159" s="2">
        <v>1.25</v>
      </c>
      <c r="I1159" s="2">
        <v>1.25</v>
      </c>
      <c r="J1159" s="2">
        <v>35.299999999999997</v>
      </c>
      <c r="K1159" s="2">
        <v>8</v>
      </c>
      <c r="L1159" s="2">
        <v>844.5</v>
      </c>
      <c r="M1159" s="2">
        <v>844.5</v>
      </c>
      <c r="N1159" s="2">
        <f ca="1">INDEX(INDIRECT(_xlfn.CONCAT("weather.tbl[",N$1,"]")),MATCH(vp.tbl[[#This Row],[SDate]],weather.tbl[Date],0))</f>
        <v>5.583333333333333</v>
      </c>
      <c r="O1159" s="2">
        <f ca="1">INDEX(INDIRECT(_xlfn.CONCAT("weather.tbl[",O$1,"]")),MATCH(vp.tbl[[#This Row],[SDate]],weather.tbl[Date],0))</f>
        <v>5.4738095238095239</v>
      </c>
      <c r="P1159" s="2">
        <f ca="1">INDEX(INDIRECT(_xlfn.CONCAT("weather.tbl[",P$1,"]")),MATCH(vp.tbl[[#This Row],[SDate]],weather.tbl[Date],0))</f>
        <v>5</v>
      </c>
      <c r="Q1159" s="2">
        <f ca="1">INDEX(INDIRECT(_xlfn.CONCAT("weather.tbl[",Q$1,"]")),MATCH(vp.tbl[[#This Row],[SDate]],weather.tbl[Date],0))</f>
        <v>4.9000000000000004</v>
      </c>
      <c r="R1159" s="2">
        <f ca="1">INDEX(INDIRECT(_xlfn.CONCAT("weather.tbl[",R$1,"]")),MATCH(vp.tbl[[#This Row],[SDate]],weather.tbl[Date],0))</f>
        <v>8.3000000000000007</v>
      </c>
      <c r="S1159" s="2">
        <f ca="1">INDEX(INDIRECT(_xlfn.CONCAT("weather.tbl[",S$1,"]")),MATCH(vp.tbl[[#This Row],[SDate]],weather.tbl[Date],0))</f>
        <v>4.8</v>
      </c>
      <c r="T1159" s="2">
        <f ca="1">INDEX(INDIRECT(_xlfn.CONCAT("weather.tbl[",T$1,"]")),MATCH(vp.tbl[[#This Row],[SDate]],weather.tbl[Date],0))</f>
        <v>5.5</v>
      </c>
      <c r="U1159" s="2">
        <f ca="1">INDEX(INDIRECT(_xlfn.CONCAT("weather.tbl[",U$1,"]")),MATCH(vp.tbl[[#This Row],[SDate]],weather.tbl[Date],0))</f>
        <v>5</v>
      </c>
      <c r="V1159" s="2">
        <v>4080.2460000000001</v>
      </c>
      <c r="W1159" t="s">
        <v>48</v>
      </c>
      <c r="X1159">
        <f>IF(OR(vp.tbl[[#This Row],[Sulf]]="",vp.tbl[[#This Row],[Dens]]=""),1,0)</f>
        <v>0</v>
      </c>
      <c r="Y1159">
        <f>IF(vp.tbl[[#This Row],[CrudeType]]="C5+",1,0)</f>
        <v>0</v>
      </c>
      <c r="Z1159">
        <f>IF(AND(vp.tbl[[#This Row],[CrudeType]]="Crude",vp.tbl[[#This Row],[Dens]]&lt;=825,vp.tbl[[#This Row],[Sulf]]&gt;0.5,vp.tbl[[#This Row],[Unknown]]=0),1,0)</f>
        <v>0</v>
      </c>
      <c r="AA1159">
        <f>IF(AND(vp.tbl[[#This Row],[CrudeType]]="Crude",vp.tbl[[#This Row],[Dens]]&lt;=825,vp.tbl[[#This Row],[Sulf]]&lt;=0.5,vp.tbl[[#This Row],[Unknown]]=0),1,0)</f>
        <v>0</v>
      </c>
      <c r="AB1159">
        <f>IF(AND(vp.tbl[[#This Row],[CrudeType]]="Crude",vp.tbl[[#This Row],[Dens]]&gt;825,vp.tbl[[#This Row],[Dens]]&lt;=870,vp.tbl[[#This Row],[Sulf]]&gt;0.5,vp.tbl[[#This Row],[Unknown]]=0),1,0)</f>
        <v>1</v>
      </c>
      <c r="AC1159">
        <f>IF(AND(vp.tbl[[#This Row],[CrudeType]]="Crude",vp.tbl[[#This Row],[Dens]]&gt;825,vp.tbl[[#This Row],[Dens]]&lt;=900,vp.tbl[[#This Row],[Sulf]]&lt;=0.5,vp.tbl[[#This Row],[Unknown]]=0),1,0)</f>
        <v>0</v>
      </c>
      <c r="AD1159">
        <f>IF(AND(vp.tbl[[#This Row],[CrudeType]]="Crude",vp.tbl[[#This Row],[Dens]]&gt;870,vp.tbl[[#This Row],[Dens]]&lt;=900,vp.tbl[[#This Row],[Sulf]]&gt;0.5,vp.tbl[[#This Row],[Unknown]]=0),1,0)</f>
        <v>0</v>
      </c>
      <c r="AE1159">
        <f>IF(AND(vp.tbl[[#This Row],[CrudeType]]="Crude",vp.tbl[[#This Row],[Dens]]&gt;900,vp.tbl[[#This Row],[Sulf]]&lt;=0.5,vp.tbl[[#This Row],[Unknown]]=0),1,0)</f>
        <v>0</v>
      </c>
      <c r="AF1159">
        <f>IF(AND(vp.tbl[[#This Row],[CrudeType]]="Crude",vp.tbl[[#This Row],[Dens]]&gt;900,vp.tbl[[#This Row],[Sulf]]&lt;=0.5,vp.tbl[[#This Row],[Unknown]]=0),1,0)</f>
        <v>0</v>
      </c>
      <c r="AG1159" t="str">
        <f>INDEX(vp.tbl[[#Headers],[Unknown]:[Heavy_SW]],MATCH(1,vp.tbl[[#This Row],[Unknown]:[Heavy_SW]],0))</f>
        <v>Medium_LSB</v>
      </c>
      <c r="AH1159" t="e">
        <f>INDEX([1]!crudeBD.lkup[Number],MATCH(vp.tbl[[#This Row],[Crude_Breakdown]],[1]!crudeBD.lkup[Crude Breakdown],0))</f>
        <v>#REF!</v>
      </c>
      <c r="AI1159">
        <f>MONTH(vp.tbl[[#This Row],[SDate]])</f>
        <v>4</v>
      </c>
      <c r="AJ1159" s="5">
        <f>IFERROR(vp.tbl[[#This Row],[Sulf]]*vp.tbl[[#This Row],[Net Dens]],"")</f>
        <v>4307209.6837499999</v>
      </c>
      <c r="AK1159" s="5">
        <f>IFERROR(vp.tbl[[#This Row],[Dens]]*vp.tbl[[#This Row],[VolumeM3]],"")</f>
        <v>3445767.747</v>
      </c>
      <c r="AL1159" s="5">
        <f>IFERROR(vp.tbl[[#This Row],[VP]]*vp.tbl[[#This Row],[VolumeM3]],"")</f>
        <v>273784.50659999996</v>
      </c>
      <c r="AM1159" s="4">
        <f>IFERROR((vp.tbl[[#This Row],[VP]]-INDEX(crudeBD.lkup.complete[Mean_VP],MATCH(vp.tbl[[#This Row],[Crude_Breakdown]],crudeBD.lkup.complete[Crude Breakdown],0)))^2,"")</f>
        <v>170.91888456913875</v>
      </c>
      <c r="AN1159" s="4">
        <f>IFERROR((vp.tbl[[#This Row],[Dens]]-INDEX(crudeBD.lkup.complete[Mean_Dens],MATCH(vp.tbl[[#This Row],[Crude_Breakdown]],crudeBD.lkup.complete[Crude Breakdown],0)))^2,"")</f>
        <v>0.62698332254290468</v>
      </c>
      <c r="AO1159" s="4">
        <f>IFERROR((vp.tbl[[#This Row],[Sulf]]-INDEX(crudeBD.lkup.complete[Mean_Sulf],MATCH(vp.tbl[[#This Row],[Crude_Breakdown]],crudeBD.lkup.complete[Crude Breakdown],0)))^2,"")</f>
        <v>4.1996247830906074E-2</v>
      </c>
      <c r="AP1159">
        <f>IF(AND(vp.tbl[[#This Row],[SDate]]&gt;=DATE(YEAR(vp.tbl[[#This Row],[SDate]]),5,1),vp.tbl[[#This Row],[SDate]]&lt;=DATE(YEAR(vp.tbl[[#This Row],[SDate]]),9,15)),1,0)</f>
        <v>0</v>
      </c>
      <c r="AQ1159" s="15">
        <f>IF(vp.tbl[[#This Row],[SDate]]&lt;DATE(2016,12,1),0,1)</f>
        <v>1</v>
      </c>
    </row>
    <row r="1160" spans="1:43" x14ac:dyDescent="0.25">
      <c r="A1160">
        <v>1159</v>
      </c>
      <c r="B1160" t="s">
        <v>62</v>
      </c>
      <c r="C1160" t="s">
        <v>62</v>
      </c>
      <c r="D1160" t="s">
        <v>79</v>
      </c>
      <c r="F1160" s="1">
        <v>42828</v>
      </c>
      <c r="G1160" s="2">
        <v>94.7</v>
      </c>
      <c r="H1160" s="2"/>
      <c r="I1160" s="2">
        <v>0.25</v>
      </c>
      <c r="J1160" s="2">
        <v>19.7</v>
      </c>
      <c r="K1160" s="2">
        <v>8</v>
      </c>
      <c r="L1160" s="2">
        <v>804.3</v>
      </c>
      <c r="M1160" s="2">
        <v>804.3</v>
      </c>
      <c r="N1160" s="2">
        <f ca="1">INDEX(INDIRECT(_xlfn.CONCAT("weather.tbl[",N$1,"]")),MATCH(vp.tbl[[#This Row],[SDate]],weather.tbl[Date],0))</f>
        <v>5.583333333333333</v>
      </c>
      <c r="O1160" s="2">
        <f ca="1">INDEX(INDIRECT(_xlfn.CONCAT("weather.tbl[",O$1,"]")),MATCH(vp.tbl[[#This Row],[SDate]],weather.tbl[Date],0))</f>
        <v>5.4738095238095239</v>
      </c>
      <c r="P1160" s="2">
        <f ca="1">INDEX(INDIRECT(_xlfn.CONCAT("weather.tbl[",P$1,"]")),MATCH(vp.tbl[[#This Row],[SDate]],weather.tbl[Date],0))</f>
        <v>5</v>
      </c>
      <c r="Q1160" s="2">
        <f ca="1">INDEX(INDIRECT(_xlfn.CONCAT("weather.tbl[",Q$1,"]")),MATCH(vp.tbl[[#This Row],[SDate]],weather.tbl[Date],0))</f>
        <v>4.9000000000000004</v>
      </c>
      <c r="R1160" s="2">
        <f ca="1">INDEX(INDIRECT(_xlfn.CONCAT("weather.tbl[",R$1,"]")),MATCH(vp.tbl[[#This Row],[SDate]],weather.tbl[Date],0))</f>
        <v>8.3000000000000007</v>
      </c>
      <c r="S1160" s="2">
        <f ca="1">INDEX(INDIRECT(_xlfn.CONCAT("weather.tbl[",S$1,"]")),MATCH(vp.tbl[[#This Row],[SDate]],weather.tbl[Date],0))</f>
        <v>4.8</v>
      </c>
      <c r="T1160" s="2">
        <f ca="1">INDEX(INDIRECT(_xlfn.CONCAT("weather.tbl[",T$1,"]")),MATCH(vp.tbl[[#This Row],[SDate]],weather.tbl[Date],0))</f>
        <v>5.5</v>
      </c>
      <c r="U1160" s="2">
        <f ca="1">INDEX(INDIRECT(_xlfn.CONCAT("weather.tbl[",U$1,"]")),MATCH(vp.tbl[[#This Row],[SDate]],weather.tbl[Date],0))</f>
        <v>5</v>
      </c>
      <c r="V1160" s="2">
        <v>13021.991</v>
      </c>
      <c r="W1160" t="s">
        <v>48</v>
      </c>
      <c r="X1160">
        <f>IF(OR(vp.tbl[[#This Row],[Sulf]]="",vp.tbl[[#This Row],[Dens]]=""),1,0)</f>
        <v>0</v>
      </c>
      <c r="Y1160">
        <f>IF(vp.tbl[[#This Row],[CrudeType]]="C5+",1,0)</f>
        <v>0</v>
      </c>
      <c r="Z1160">
        <f>IF(AND(vp.tbl[[#This Row],[CrudeType]]="Crude",vp.tbl[[#This Row],[Dens]]&lt;=825,vp.tbl[[#This Row],[Sulf]]&gt;0.5,vp.tbl[[#This Row],[Unknown]]=0),1,0)</f>
        <v>0</v>
      </c>
      <c r="AA1160">
        <f>IF(AND(vp.tbl[[#This Row],[CrudeType]]="Crude",vp.tbl[[#This Row],[Dens]]&lt;=825,vp.tbl[[#This Row],[Sulf]]&lt;=0.5,vp.tbl[[#This Row],[Unknown]]=0),1,0)</f>
        <v>1</v>
      </c>
      <c r="AB1160">
        <f>IF(AND(vp.tbl[[#This Row],[CrudeType]]="Crude",vp.tbl[[#This Row],[Dens]]&gt;825,vp.tbl[[#This Row],[Dens]]&lt;=870,vp.tbl[[#This Row],[Sulf]]&gt;0.5,vp.tbl[[#This Row],[Unknown]]=0),1,0)</f>
        <v>0</v>
      </c>
      <c r="AC1160">
        <f>IF(AND(vp.tbl[[#This Row],[CrudeType]]="Crude",vp.tbl[[#This Row],[Dens]]&gt;825,vp.tbl[[#This Row],[Dens]]&lt;=900,vp.tbl[[#This Row],[Sulf]]&lt;=0.5,vp.tbl[[#This Row],[Unknown]]=0),1,0)</f>
        <v>0</v>
      </c>
      <c r="AD1160">
        <f>IF(AND(vp.tbl[[#This Row],[CrudeType]]="Crude",vp.tbl[[#This Row],[Dens]]&gt;870,vp.tbl[[#This Row],[Dens]]&lt;=900,vp.tbl[[#This Row],[Sulf]]&gt;0.5,vp.tbl[[#This Row],[Unknown]]=0),1,0)</f>
        <v>0</v>
      </c>
      <c r="AE1160">
        <f>IF(AND(vp.tbl[[#This Row],[CrudeType]]="Crude",vp.tbl[[#This Row],[Dens]]&gt;900,vp.tbl[[#This Row],[Sulf]]&lt;=0.5,vp.tbl[[#This Row],[Unknown]]=0),1,0)</f>
        <v>0</v>
      </c>
      <c r="AF1160">
        <f>IF(AND(vp.tbl[[#This Row],[CrudeType]]="Crude",vp.tbl[[#This Row],[Dens]]&gt;900,vp.tbl[[#This Row],[Sulf]]&lt;=0.5,vp.tbl[[#This Row],[Unknown]]=0),1,0)</f>
        <v>0</v>
      </c>
      <c r="AG1160" t="str">
        <f>INDEX(vp.tbl[[#Headers],[Unknown]:[Heavy_SW]],MATCH(1,vp.tbl[[#This Row],[Unknown]:[Heavy_SW]],0))</f>
        <v>Light_SW</v>
      </c>
      <c r="AH1160" t="e">
        <f>INDEX([1]!crudeBD.lkup[Number],MATCH(vp.tbl[[#This Row],[Crude_Breakdown]],[1]!crudeBD.lkup[Crude Breakdown],0))</f>
        <v>#REF!</v>
      </c>
      <c r="AI1160">
        <f>MONTH(vp.tbl[[#This Row],[SDate]])</f>
        <v>4</v>
      </c>
      <c r="AJ1160" s="5">
        <f>IFERROR(vp.tbl[[#This Row],[Sulf]]*vp.tbl[[#This Row],[Net Dens]],"")</f>
        <v>2618396.8403249998</v>
      </c>
      <c r="AK1160" s="5">
        <f>IFERROR(vp.tbl[[#This Row],[Dens]]*vp.tbl[[#This Row],[VolumeM3]],"")</f>
        <v>10473587.361299999</v>
      </c>
      <c r="AL1160" s="5">
        <f>IFERROR(vp.tbl[[#This Row],[VP]]*vp.tbl[[#This Row],[VolumeM3]],"")</f>
        <v>1233182.5477</v>
      </c>
      <c r="AM1160" s="4">
        <f>IFERROR((vp.tbl[[#This Row],[VP]]-INDEX(crudeBD.lkup.complete[Mean_VP],MATCH(vp.tbl[[#This Row],[Crude_Breakdown]],crudeBD.lkup.complete[Crude Breakdown],0)))^2,"")</f>
        <v>4.6211516662823566</v>
      </c>
      <c r="AN1160" s="4">
        <f>IFERROR((vp.tbl[[#This Row],[Dens]]-INDEX(crudeBD.lkup.complete[Mean_Dens],MATCH(vp.tbl[[#This Row],[Crude_Breakdown]],crudeBD.lkup.complete[Crude Breakdown],0)))^2,"")</f>
        <v>16.092118272649731</v>
      </c>
      <c r="AO1160" s="4">
        <f>IFERROR((vp.tbl[[#This Row],[Sulf]]-INDEX(crudeBD.lkup.complete[Mean_Sulf],MATCH(vp.tbl[[#This Row],[Crude_Breakdown]],crudeBD.lkup.complete[Crude Breakdown],0)))^2,"")</f>
        <v>1.8928774126188673E-4</v>
      </c>
      <c r="AP1160">
        <f>IF(AND(vp.tbl[[#This Row],[SDate]]&gt;=DATE(YEAR(vp.tbl[[#This Row],[SDate]]),5,1),vp.tbl[[#This Row],[SDate]]&lt;=DATE(YEAR(vp.tbl[[#This Row],[SDate]]),9,15)),1,0)</f>
        <v>0</v>
      </c>
      <c r="AQ1160" s="15">
        <f>IF(vp.tbl[[#This Row],[SDate]]&lt;DATE(2016,12,1),0,1)</f>
        <v>1</v>
      </c>
    </row>
    <row r="1161" spans="1:43" x14ac:dyDescent="0.25">
      <c r="A1161">
        <v>1160</v>
      </c>
      <c r="B1161" t="s">
        <v>62</v>
      </c>
      <c r="C1161" t="s">
        <v>62</v>
      </c>
      <c r="D1161" t="s">
        <v>83</v>
      </c>
      <c r="F1161" s="1">
        <v>42828</v>
      </c>
      <c r="G1161" s="2">
        <v>84.6</v>
      </c>
      <c r="H1161" s="2"/>
      <c r="I1161" s="2">
        <v>0.16</v>
      </c>
      <c r="J1161" s="2">
        <v>3.6</v>
      </c>
      <c r="K1161" s="2">
        <v>8</v>
      </c>
      <c r="L1161" s="2">
        <v>808.5</v>
      </c>
      <c r="M1161" s="2">
        <v>808.5</v>
      </c>
      <c r="N1161" s="2">
        <f ca="1">INDEX(INDIRECT(_xlfn.CONCAT("weather.tbl[",N$1,"]")),MATCH(vp.tbl[[#This Row],[SDate]],weather.tbl[Date],0))</f>
        <v>5.583333333333333</v>
      </c>
      <c r="O1161" s="2">
        <f ca="1">INDEX(INDIRECT(_xlfn.CONCAT("weather.tbl[",O$1,"]")),MATCH(vp.tbl[[#This Row],[SDate]],weather.tbl[Date],0))</f>
        <v>5.4738095238095239</v>
      </c>
      <c r="P1161" s="2">
        <f ca="1">INDEX(INDIRECT(_xlfn.CONCAT("weather.tbl[",P$1,"]")),MATCH(vp.tbl[[#This Row],[SDate]],weather.tbl[Date],0))</f>
        <v>5</v>
      </c>
      <c r="Q1161" s="2">
        <f ca="1">INDEX(INDIRECT(_xlfn.CONCAT("weather.tbl[",Q$1,"]")),MATCH(vp.tbl[[#This Row],[SDate]],weather.tbl[Date],0))</f>
        <v>4.9000000000000004</v>
      </c>
      <c r="R1161" s="2">
        <f ca="1">INDEX(INDIRECT(_xlfn.CONCAT("weather.tbl[",R$1,"]")),MATCH(vp.tbl[[#This Row],[SDate]],weather.tbl[Date],0))</f>
        <v>8.3000000000000007</v>
      </c>
      <c r="S1161" s="2">
        <f ca="1">INDEX(INDIRECT(_xlfn.CONCAT("weather.tbl[",S$1,"]")),MATCH(vp.tbl[[#This Row],[SDate]],weather.tbl[Date],0))</f>
        <v>4.8</v>
      </c>
      <c r="T1161" s="2">
        <f ca="1">INDEX(INDIRECT(_xlfn.CONCAT("weather.tbl[",T$1,"]")),MATCH(vp.tbl[[#This Row],[SDate]],weather.tbl[Date],0))</f>
        <v>5.5</v>
      </c>
      <c r="U1161" s="2">
        <f ca="1">INDEX(INDIRECT(_xlfn.CONCAT("weather.tbl[",U$1,"]")),MATCH(vp.tbl[[#This Row],[SDate]],weather.tbl[Date],0))</f>
        <v>5</v>
      </c>
      <c r="V1161" s="2">
        <v>8089.0709999999999</v>
      </c>
      <c r="W1161" t="s">
        <v>48</v>
      </c>
      <c r="X1161">
        <f>IF(OR(vp.tbl[[#This Row],[Sulf]]="",vp.tbl[[#This Row],[Dens]]=""),1,0)</f>
        <v>0</v>
      </c>
      <c r="Y1161">
        <f>IF(vp.tbl[[#This Row],[CrudeType]]="C5+",1,0)</f>
        <v>0</v>
      </c>
      <c r="Z1161">
        <f>IF(AND(vp.tbl[[#This Row],[CrudeType]]="Crude",vp.tbl[[#This Row],[Dens]]&lt;=825,vp.tbl[[#This Row],[Sulf]]&gt;0.5,vp.tbl[[#This Row],[Unknown]]=0),1,0)</f>
        <v>0</v>
      </c>
      <c r="AA1161">
        <f>IF(AND(vp.tbl[[#This Row],[CrudeType]]="Crude",vp.tbl[[#This Row],[Dens]]&lt;=825,vp.tbl[[#This Row],[Sulf]]&lt;=0.5,vp.tbl[[#This Row],[Unknown]]=0),1,0)</f>
        <v>1</v>
      </c>
      <c r="AB1161">
        <f>IF(AND(vp.tbl[[#This Row],[CrudeType]]="Crude",vp.tbl[[#This Row],[Dens]]&gt;825,vp.tbl[[#This Row],[Dens]]&lt;=870,vp.tbl[[#This Row],[Sulf]]&gt;0.5,vp.tbl[[#This Row],[Unknown]]=0),1,0)</f>
        <v>0</v>
      </c>
      <c r="AC1161">
        <f>IF(AND(vp.tbl[[#This Row],[CrudeType]]="Crude",vp.tbl[[#This Row],[Dens]]&gt;825,vp.tbl[[#This Row],[Dens]]&lt;=900,vp.tbl[[#This Row],[Sulf]]&lt;=0.5,vp.tbl[[#This Row],[Unknown]]=0),1,0)</f>
        <v>0</v>
      </c>
      <c r="AD1161">
        <f>IF(AND(vp.tbl[[#This Row],[CrudeType]]="Crude",vp.tbl[[#This Row],[Dens]]&gt;870,vp.tbl[[#This Row],[Dens]]&lt;=900,vp.tbl[[#This Row],[Sulf]]&gt;0.5,vp.tbl[[#This Row],[Unknown]]=0),1,0)</f>
        <v>0</v>
      </c>
      <c r="AE1161">
        <f>IF(AND(vp.tbl[[#This Row],[CrudeType]]="Crude",vp.tbl[[#This Row],[Dens]]&gt;900,vp.tbl[[#This Row],[Sulf]]&lt;=0.5,vp.tbl[[#This Row],[Unknown]]=0),1,0)</f>
        <v>0</v>
      </c>
      <c r="AF1161">
        <f>IF(AND(vp.tbl[[#This Row],[CrudeType]]="Crude",vp.tbl[[#This Row],[Dens]]&gt;900,vp.tbl[[#This Row],[Sulf]]&lt;=0.5,vp.tbl[[#This Row],[Unknown]]=0),1,0)</f>
        <v>0</v>
      </c>
      <c r="AG1161" t="str">
        <f>INDEX(vp.tbl[[#Headers],[Unknown]:[Heavy_SW]],MATCH(1,vp.tbl[[#This Row],[Unknown]:[Heavy_SW]],0))</f>
        <v>Light_SW</v>
      </c>
      <c r="AH1161" t="e">
        <f>INDEX([1]!crudeBD.lkup[Number],MATCH(vp.tbl[[#This Row],[Crude_Breakdown]],[1]!crudeBD.lkup[Crude Breakdown],0))</f>
        <v>#REF!</v>
      </c>
      <c r="AI1161">
        <f>MONTH(vp.tbl[[#This Row],[SDate]])</f>
        <v>4</v>
      </c>
      <c r="AJ1161" s="5">
        <f>IFERROR(vp.tbl[[#This Row],[Sulf]]*vp.tbl[[#This Row],[Net Dens]],"")</f>
        <v>1046402.22456</v>
      </c>
      <c r="AK1161" s="5">
        <f>IFERROR(vp.tbl[[#This Row],[Dens]]*vp.tbl[[#This Row],[VolumeM3]],"")</f>
        <v>6540013.9035</v>
      </c>
      <c r="AL1161" s="5">
        <f>IFERROR(vp.tbl[[#This Row],[VP]]*vp.tbl[[#This Row],[VolumeM3]],"")</f>
        <v>684335.40659999999</v>
      </c>
      <c r="AM1161" s="4">
        <f>IFERROR((vp.tbl[[#This Row],[VP]]-INDEX(crudeBD.lkup.complete[Mean_VP],MATCH(vp.tbl[[#This Row],[Crude_Breakdown]],crudeBD.lkup.complete[Crude Breakdown],0)))^2,"")</f>
        <v>63.207486161055357</v>
      </c>
      <c r="AN1161" s="4">
        <f>IFERROR((vp.tbl[[#This Row],[Dens]]-INDEX(crudeBD.lkup.complete[Mean_Dens],MATCH(vp.tbl[[#This Row],[Crude_Breakdown]],crudeBD.lkup.complete[Crude Breakdown],0)))^2,"")</f>
        <v>3.5532906797542528E-2</v>
      </c>
      <c r="AO1161" s="4">
        <f>IFERROR((vp.tbl[[#This Row],[Sulf]]-INDEX(crudeBD.lkup.complete[Mean_Sulf],MATCH(vp.tbl[[#This Row],[Crude_Breakdown]],crudeBD.lkup.complete[Crude Breakdown],0)))^2,"")</f>
        <v>5.8128138736660397E-3</v>
      </c>
      <c r="AP1161">
        <f>IF(AND(vp.tbl[[#This Row],[SDate]]&gt;=DATE(YEAR(vp.tbl[[#This Row],[SDate]]),5,1),vp.tbl[[#This Row],[SDate]]&lt;=DATE(YEAR(vp.tbl[[#This Row],[SDate]]),9,15)),1,0)</f>
        <v>0</v>
      </c>
      <c r="AQ1161" s="15">
        <f>IF(vp.tbl[[#This Row],[SDate]]&lt;DATE(2016,12,1),0,1)</f>
        <v>1</v>
      </c>
    </row>
    <row r="1162" spans="1:43" x14ac:dyDescent="0.25">
      <c r="A1162">
        <v>1161</v>
      </c>
      <c r="B1162" t="s">
        <v>62</v>
      </c>
      <c r="C1162" t="s">
        <v>62</v>
      </c>
      <c r="D1162" t="s">
        <v>87</v>
      </c>
      <c r="F1162" s="1">
        <v>42828</v>
      </c>
      <c r="G1162" s="2">
        <v>75.099999999999994</v>
      </c>
      <c r="H1162" s="2"/>
      <c r="I1162" s="2">
        <v>0.17</v>
      </c>
      <c r="J1162" s="2">
        <v>32.1</v>
      </c>
      <c r="K1162" s="2">
        <v>8</v>
      </c>
      <c r="L1162" s="2">
        <v>811.5</v>
      </c>
      <c r="M1162" s="2">
        <v>811.5</v>
      </c>
      <c r="N1162" s="2">
        <f ca="1">INDEX(INDIRECT(_xlfn.CONCAT("weather.tbl[",N$1,"]")),MATCH(vp.tbl[[#This Row],[SDate]],weather.tbl[Date],0))</f>
        <v>5.583333333333333</v>
      </c>
      <c r="O1162" s="2">
        <f ca="1">INDEX(INDIRECT(_xlfn.CONCAT("weather.tbl[",O$1,"]")),MATCH(vp.tbl[[#This Row],[SDate]],weather.tbl[Date],0))</f>
        <v>5.4738095238095239</v>
      </c>
      <c r="P1162" s="2">
        <f ca="1">INDEX(INDIRECT(_xlfn.CONCAT("weather.tbl[",P$1,"]")),MATCH(vp.tbl[[#This Row],[SDate]],weather.tbl[Date],0))</f>
        <v>5</v>
      </c>
      <c r="Q1162" s="2">
        <f ca="1">INDEX(INDIRECT(_xlfn.CONCAT("weather.tbl[",Q$1,"]")),MATCH(vp.tbl[[#This Row],[SDate]],weather.tbl[Date],0))</f>
        <v>4.9000000000000004</v>
      </c>
      <c r="R1162" s="2">
        <f ca="1">INDEX(INDIRECT(_xlfn.CONCAT("weather.tbl[",R$1,"]")),MATCH(vp.tbl[[#This Row],[SDate]],weather.tbl[Date],0))</f>
        <v>8.3000000000000007</v>
      </c>
      <c r="S1162" s="2">
        <f ca="1">INDEX(INDIRECT(_xlfn.CONCAT("weather.tbl[",S$1,"]")),MATCH(vp.tbl[[#This Row],[SDate]],weather.tbl[Date],0))</f>
        <v>4.8</v>
      </c>
      <c r="T1162" s="2">
        <f ca="1">INDEX(INDIRECT(_xlfn.CONCAT("weather.tbl[",T$1,"]")),MATCH(vp.tbl[[#This Row],[SDate]],weather.tbl[Date],0))</f>
        <v>5.5</v>
      </c>
      <c r="U1162" s="2">
        <f ca="1">INDEX(INDIRECT(_xlfn.CONCAT("weather.tbl[",U$1,"]")),MATCH(vp.tbl[[#This Row],[SDate]],weather.tbl[Date],0))</f>
        <v>5</v>
      </c>
      <c r="V1162" s="2">
        <v>5250.2839999999997</v>
      </c>
      <c r="W1162" t="s">
        <v>48</v>
      </c>
      <c r="X1162">
        <f>IF(OR(vp.tbl[[#This Row],[Sulf]]="",vp.tbl[[#This Row],[Dens]]=""),1,0)</f>
        <v>0</v>
      </c>
      <c r="Y1162">
        <f>IF(vp.tbl[[#This Row],[CrudeType]]="C5+",1,0)</f>
        <v>0</v>
      </c>
      <c r="Z1162">
        <f>IF(AND(vp.tbl[[#This Row],[CrudeType]]="Crude",vp.tbl[[#This Row],[Dens]]&lt;=825,vp.tbl[[#This Row],[Sulf]]&gt;0.5,vp.tbl[[#This Row],[Unknown]]=0),1,0)</f>
        <v>0</v>
      </c>
      <c r="AA1162">
        <f>IF(AND(vp.tbl[[#This Row],[CrudeType]]="Crude",vp.tbl[[#This Row],[Dens]]&lt;=825,vp.tbl[[#This Row],[Sulf]]&lt;=0.5,vp.tbl[[#This Row],[Unknown]]=0),1,0)</f>
        <v>1</v>
      </c>
      <c r="AB1162">
        <f>IF(AND(vp.tbl[[#This Row],[CrudeType]]="Crude",vp.tbl[[#This Row],[Dens]]&gt;825,vp.tbl[[#This Row],[Dens]]&lt;=870,vp.tbl[[#This Row],[Sulf]]&gt;0.5,vp.tbl[[#This Row],[Unknown]]=0),1,0)</f>
        <v>0</v>
      </c>
      <c r="AC1162">
        <f>IF(AND(vp.tbl[[#This Row],[CrudeType]]="Crude",vp.tbl[[#This Row],[Dens]]&gt;825,vp.tbl[[#This Row],[Dens]]&lt;=900,vp.tbl[[#This Row],[Sulf]]&lt;=0.5,vp.tbl[[#This Row],[Unknown]]=0),1,0)</f>
        <v>0</v>
      </c>
      <c r="AD1162">
        <f>IF(AND(vp.tbl[[#This Row],[CrudeType]]="Crude",vp.tbl[[#This Row],[Dens]]&gt;870,vp.tbl[[#This Row],[Dens]]&lt;=900,vp.tbl[[#This Row],[Sulf]]&gt;0.5,vp.tbl[[#This Row],[Unknown]]=0),1,0)</f>
        <v>0</v>
      </c>
      <c r="AE1162">
        <f>IF(AND(vp.tbl[[#This Row],[CrudeType]]="Crude",vp.tbl[[#This Row],[Dens]]&gt;900,vp.tbl[[#This Row],[Sulf]]&lt;=0.5,vp.tbl[[#This Row],[Unknown]]=0),1,0)</f>
        <v>0</v>
      </c>
      <c r="AF1162">
        <f>IF(AND(vp.tbl[[#This Row],[CrudeType]]="Crude",vp.tbl[[#This Row],[Dens]]&gt;900,vp.tbl[[#This Row],[Sulf]]&lt;=0.5,vp.tbl[[#This Row],[Unknown]]=0),1,0)</f>
        <v>0</v>
      </c>
      <c r="AG1162" t="str">
        <f>INDEX(vp.tbl[[#Headers],[Unknown]:[Heavy_SW]],MATCH(1,vp.tbl[[#This Row],[Unknown]:[Heavy_SW]],0))</f>
        <v>Light_SW</v>
      </c>
      <c r="AH1162" t="e">
        <f>INDEX([1]!crudeBD.lkup[Number],MATCH(vp.tbl[[#This Row],[Crude_Breakdown]],[1]!crudeBD.lkup[Crude Breakdown],0))</f>
        <v>#REF!</v>
      </c>
      <c r="AI1162">
        <f>MONTH(vp.tbl[[#This Row],[SDate]])</f>
        <v>4</v>
      </c>
      <c r="AJ1162" s="5">
        <f>IFERROR(vp.tbl[[#This Row],[Sulf]]*vp.tbl[[#This Row],[Net Dens]],"")</f>
        <v>724302.92922000005</v>
      </c>
      <c r="AK1162" s="5">
        <f>IFERROR(vp.tbl[[#This Row],[Dens]]*vp.tbl[[#This Row],[VolumeM3]],"")</f>
        <v>4260605.466</v>
      </c>
      <c r="AL1162" s="5">
        <f>IFERROR(vp.tbl[[#This Row],[VP]]*vp.tbl[[#This Row],[VolumeM3]],"")</f>
        <v>394296.32839999994</v>
      </c>
      <c r="AM1162" s="4">
        <f>IFERROR((vp.tbl[[#This Row],[VP]]-INDEX(crudeBD.lkup.complete[Mean_VP],MATCH(vp.tbl[[#This Row],[Crude_Breakdown]],crudeBD.lkup.complete[Crude Breakdown],0)))^2,"")</f>
        <v>304.51344434920821</v>
      </c>
      <c r="AN1162" s="4">
        <f>IFERROR((vp.tbl[[#This Row],[Dens]]-INDEX(crudeBD.lkup.complete[Mean_Dens],MATCH(vp.tbl[[#This Row],[Crude_Breakdown]],crudeBD.lkup.complete[Crude Breakdown],0)))^2,"")</f>
        <v>10.166543359760524</v>
      </c>
      <c r="AO1162" s="4">
        <f>IFERROR((vp.tbl[[#This Row],[Sulf]]-INDEX(crudeBD.lkup.complete[Mean_Sulf],MATCH(vp.tbl[[#This Row],[Crude_Breakdown]],crudeBD.lkup.complete[Crude Breakdown],0)))^2,"")</f>
        <v>4.3879776367322437E-3</v>
      </c>
      <c r="AP1162">
        <f>IF(AND(vp.tbl[[#This Row],[SDate]]&gt;=DATE(YEAR(vp.tbl[[#This Row],[SDate]]),5,1),vp.tbl[[#This Row],[SDate]]&lt;=DATE(YEAR(vp.tbl[[#This Row],[SDate]]),9,15)),1,0)</f>
        <v>0</v>
      </c>
      <c r="AQ1162" s="15">
        <f>IF(vp.tbl[[#This Row],[SDate]]&lt;DATE(2016,12,1),0,1)</f>
        <v>1</v>
      </c>
    </row>
    <row r="1163" spans="1:43" x14ac:dyDescent="0.25">
      <c r="A1163">
        <v>1162</v>
      </c>
      <c r="B1163" t="s">
        <v>62</v>
      </c>
      <c r="C1163" t="s">
        <v>62</v>
      </c>
      <c r="D1163" t="s">
        <v>63</v>
      </c>
      <c r="F1163" s="1">
        <v>42828</v>
      </c>
      <c r="G1163" s="2">
        <v>79.099999999999994</v>
      </c>
      <c r="H1163" s="2"/>
      <c r="I1163" s="2">
        <v>0.94</v>
      </c>
      <c r="J1163" s="2">
        <v>18.7</v>
      </c>
      <c r="K1163" s="2">
        <v>8</v>
      </c>
      <c r="L1163" s="2">
        <v>823</v>
      </c>
      <c r="M1163" s="2">
        <v>823</v>
      </c>
      <c r="N1163" s="2">
        <f ca="1">INDEX(INDIRECT(_xlfn.CONCAT("weather.tbl[",N$1,"]")),MATCH(vp.tbl[[#This Row],[SDate]],weather.tbl[Date],0))</f>
        <v>5.583333333333333</v>
      </c>
      <c r="O1163" s="2">
        <f ca="1">INDEX(INDIRECT(_xlfn.CONCAT("weather.tbl[",O$1,"]")),MATCH(vp.tbl[[#This Row],[SDate]],weather.tbl[Date],0))</f>
        <v>5.4738095238095239</v>
      </c>
      <c r="P1163" s="2">
        <f ca="1">INDEX(INDIRECT(_xlfn.CONCAT("weather.tbl[",P$1,"]")),MATCH(vp.tbl[[#This Row],[SDate]],weather.tbl[Date],0))</f>
        <v>5</v>
      </c>
      <c r="Q1163" s="2">
        <f ca="1">INDEX(INDIRECT(_xlfn.CONCAT("weather.tbl[",Q$1,"]")),MATCH(vp.tbl[[#This Row],[SDate]],weather.tbl[Date],0))</f>
        <v>4.9000000000000004</v>
      </c>
      <c r="R1163" s="2">
        <f ca="1">INDEX(INDIRECT(_xlfn.CONCAT("weather.tbl[",R$1,"]")),MATCH(vp.tbl[[#This Row],[SDate]],weather.tbl[Date],0))</f>
        <v>8.3000000000000007</v>
      </c>
      <c r="S1163" s="2">
        <f ca="1">INDEX(INDIRECT(_xlfn.CONCAT("weather.tbl[",S$1,"]")),MATCH(vp.tbl[[#This Row],[SDate]],weather.tbl[Date],0))</f>
        <v>4.8</v>
      </c>
      <c r="T1163" s="2">
        <f ca="1">INDEX(INDIRECT(_xlfn.CONCAT("weather.tbl[",T$1,"]")),MATCH(vp.tbl[[#This Row],[SDate]],weather.tbl[Date],0))</f>
        <v>5.5</v>
      </c>
      <c r="U1163" s="2">
        <f ca="1">INDEX(INDIRECT(_xlfn.CONCAT("weather.tbl[",U$1,"]")),MATCH(vp.tbl[[#This Row],[SDate]],weather.tbl[Date],0))</f>
        <v>5</v>
      </c>
      <c r="V1163" s="2">
        <v>8008.9170000000004</v>
      </c>
      <c r="W1163" t="s">
        <v>48</v>
      </c>
      <c r="X1163">
        <f>IF(OR(vp.tbl[[#This Row],[Sulf]]="",vp.tbl[[#This Row],[Dens]]=""),1,0)</f>
        <v>0</v>
      </c>
      <c r="Y1163">
        <f>IF(vp.tbl[[#This Row],[CrudeType]]="C5+",1,0)</f>
        <v>0</v>
      </c>
      <c r="Z1163">
        <f>IF(AND(vp.tbl[[#This Row],[CrudeType]]="Crude",vp.tbl[[#This Row],[Dens]]&lt;=825,vp.tbl[[#This Row],[Sulf]]&gt;0.5,vp.tbl[[#This Row],[Unknown]]=0),1,0)</f>
        <v>1</v>
      </c>
      <c r="AA1163">
        <f>IF(AND(vp.tbl[[#This Row],[CrudeType]]="Crude",vp.tbl[[#This Row],[Dens]]&lt;=825,vp.tbl[[#This Row],[Sulf]]&lt;=0.5,vp.tbl[[#This Row],[Unknown]]=0),1,0)</f>
        <v>0</v>
      </c>
      <c r="AB1163">
        <f>IF(AND(vp.tbl[[#This Row],[CrudeType]]="Crude",vp.tbl[[#This Row],[Dens]]&gt;825,vp.tbl[[#This Row],[Dens]]&lt;=870,vp.tbl[[#This Row],[Sulf]]&gt;0.5,vp.tbl[[#This Row],[Unknown]]=0),1,0)</f>
        <v>0</v>
      </c>
      <c r="AC1163">
        <f>IF(AND(vp.tbl[[#This Row],[CrudeType]]="Crude",vp.tbl[[#This Row],[Dens]]&gt;825,vp.tbl[[#This Row],[Dens]]&lt;=900,vp.tbl[[#This Row],[Sulf]]&lt;=0.5,vp.tbl[[#This Row],[Unknown]]=0),1,0)</f>
        <v>0</v>
      </c>
      <c r="AD1163">
        <f>IF(AND(vp.tbl[[#This Row],[CrudeType]]="Crude",vp.tbl[[#This Row],[Dens]]&gt;870,vp.tbl[[#This Row],[Dens]]&lt;=900,vp.tbl[[#This Row],[Sulf]]&gt;0.5,vp.tbl[[#This Row],[Unknown]]=0),1,0)</f>
        <v>0</v>
      </c>
      <c r="AE1163">
        <f>IF(AND(vp.tbl[[#This Row],[CrudeType]]="Crude",vp.tbl[[#This Row],[Dens]]&gt;900,vp.tbl[[#This Row],[Sulf]]&lt;=0.5,vp.tbl[[#This Row],[Unknown]]=0),1,0)</f>
        <v>0</v>
      </c>
      <c r="AF1163">
        <f>IF(AND(vp.tbl[[#This Row],[CrudeType]]="Crude",vp.tbl[[#This Row],[Dens]]&gt;900,vp.tbl[[#This Row],[Sulf]]&lt;=0.5,vp.tbl[[#This Row],[Unknown]]=0),1,0)</f>
        <v>0</v>
      </c>
      <c r="AG1163" t="str">
        <f>INDEX(vp.tbl[[#Headers],[Unknown]:[Heavy_SW]],MATCH(1,vp.tbl[[#This Row],[Unknown]:[Heavy_SW]],0))</f>
        <v>Light_LSB</v>
      </c>
      <c r="AH1163" t="e">
        <f>INDEX([1]!crudeBD.lkup[Number],MATCH(vp.tbl[[#This Row],[Crude_Breakdown]],[1]!crudeBD.lkup[Crude Breakdown],0))</f>
        <v>#REF!</v>
      </c>
      <c r="AI1163">
        <f>MONTH(vp.tbl[[#This Row],[SDate]])</f>
        <v>4</v>
      </c>
      <c r="AJ1163" s="5">
        <f>IFERROR(vp.tbl[[#This Row],[Sulf]]*vp.tbl[[#This Row],[Net Dens]],"")</f>
        <v>6195858.3695400003</v>
      </c>
      <c r="AK1163" s="5">
        <f>IFERROR(vp.tbl[[#This Row],[Dens]]*vp.tbl[[#This Row],[VolumeM3]],"")</f>
        <v>6591338.6910000006</v>
      </c>
      <c r="AL1163" s="5">
        <f>IFERROR(vp.tbl[[#This Row],[VP]]*vp.tbl[[#This Row],[VolumeM3]],"")</f>
        <v>633505.33470000001</v>
      </c>
      <c r="AM1163" s="4">
        <f>IFERROR((vp.tbl[[#This Row],[VP]]-INDEX(crudeBD.lkup.complete[Mean_VP],MATCH(vp.tbl[[#This Row],[Crude_Breakdown]],crudeBD.lkup.complete[Crude Breakdown],0)))^2,"")</f>
        <v>154.90753516845666</v>
      </c>
      <c r="AN1163" s="4">
        <f>IFERROR((vp.tbl[[#This Row],[Dens]]-INDEX(crudeBD.lkup.complete[Mean_Dens],MATCH(vp.tbl[[#This Row],[Crude_Breakdown]],crudeBD.lkup.complete[Crude Breakdown],0)))^2,"")</f>
        <v>20.099353389783285</v>
      </c>
      <c r="AO1163" s="4">
        <f>IFERROR((vp.tbl[[#This Row],[Sulf]]-INDEX(crudeBD.lkup.complete[Mean_Sulf],MATCH(vp.tbl[[#This Row],[Crude_Breakdown]],crudeBD.lkup.complete[Crude Breakdown],0)))^2,"")</f>
        <v>2.8998110617612668E-4</v>
      </c>
      <c r="AP1163">
        <f>IF(AND(vp.tbl[[#This Row],[SDate]]&gt;=DATE(YEAR(vp.tbl[[#This Row],[SDate]]),5,1),vp.tbl[[#This Row],[SDate]]&lt;=DATE(YEAR(vp.tbl[[#This Row],[SDate]]),9,15)),1,0)</f>
        <v>0</v>
      </c>
      <c r="AQ1163" s="15">
        <f>IF(vp.tbl[[#This Row],[SDate]]&lt;DATE(2016,12,1),0,1)</f>
        <v>1</v>
      </c>
    </row>
    <row r="1164" spans="1:43" x14ac:dyDescent="0.25">
      <c r="A1164">
        <v>1163</v>
      </c>
      <c r="B1164" t="s">
        <v>51</v>
      </c>
      <c r="C1164" t="s">
        <v>51</v>
      </c>
      <c r="D1164" t="s">
        <v>95</v>
      </c>
      <c r="F1164" s="1">
        <v>42828</v>
      </c>
      <c r="G1164" s="2">
        <v>59</v>
      </c>
      <c r="H1164" s="2"/>
      <c r="I1164" s="2">
        <v>1.19</v>
      </c>
      <c r="J1164" s="2">
        <v>39.5</v>
      </c>
      <c r="K1164" s="2">
        <v>8</v>
      </c>
      <c r="L1164" s="2">
        <v>844</v>
      </c>
      <c r="M1164" s="2">
        <v>844</v>
      </c>
      <c r="N1164" s="2">
        <f ca="1">INDEX(INDIRECT(_xlfn.CONCAT("weather.tbl[",N$1,"]")),MATCH(vp.tbl[[#This Row],[SDate]],weather.tbl[Date],0))</f>
        <v>5.583333333333333</v>
      </c>
      <c r="O1164" s="2">
        <f ca="1">INDEX(INDIRECT(_xlfn.CONCAT("weather.tbl[",O$1,"]")),MATCH(vp.tbl[[#This Row],[SDate]],weather.tbl[Date],0))</f>
        <v>5.4738095238095239</v>
      </c>
      <c r="P1164" s="2">
        <f ca="1">INDEX(INDIRECT(_xlfn.CONCAT("weather.tbl[",P$1,"]")),MATCH(vp.tbl[[#This Row],[SDate]],weather.tbl[Date],0))</f>
        <v>5</v>
      </c>
      <c r="Q1164" s="2">
        <f ca="1">INDEX(INDIRECT(_xlfn.CONCAT("weather.tbl[",Q$1,"]")),MATCH(vp.tbl[[#This Row],[SDate]],weather.tbl[Date],0))</f>
        <v>4.9000000000000004</v>
      </c>
      <c r="R1164" s="2">
        <f ca="1">INDEX(INDIRECT(_xlfn.CONCAT("weather.tbl[",R$1,"]")),MATCH(vp.tbl[[#This Row],[SDate]],weather.tbl[Date],0))</f>
        <v>8.3000000000000007</v>
      </c>
      <c r="S1164" s="2">
        <f ca="1">INDEX(INDIRECT(_xlfn.CONCAT("weather.tbl[",S$1,"]")),MATCH(vp.tbl[[#This Row],[SDate]],weather.tbl[Date],0))</f>
        <v>4.8</v>
      </c>
      <c r="T1164" s="2">
        <f ca="1">INDEX(INDIRECT(_xlfn.CONCAT("weather.tbl[",T$1,"]")),MATCH(vp.tbl[[#This Row],[SDate]],weather.tbl[Date],0))</f>
        <v>5.5</v>
      </c>
      <c r="U1164" s="2">
        <f ca="1">INDEX(INDIRECT(_xlfn.CONCAT("weather.tbl[",U$1,"]")),MATCH(vp.tbl[[#This Row],[SDate]],weather.tbl[Date],0))</f>
        <v>5</v>
      </c>
      <c r="V1164" s="2">
        <v>6027.9970000000003</v>
      </c>
      <c r="W1164" t="s">
        <v>48</v>
      </c>
      <c r="X1164">
        <f>IF(OR(vp.tbl[[#This Row],[Sulf]]="",vp.tbl[[#This Row],[Dens]]=""),1,0)</f>
        <v>0</v>
      </c>
      <c r="Y1164">
        <f>IF(vp.tbl[[#This Row],[CrudeType]]="C5+",1,0)</f>
        <v>0</v>
      </c>
      <c r="Z1164">
        <f>IF(AND(vp.tbl[[#This Row],[CrudeType]]="Crude",vp.tbl[[#This Row],[Dens]]&lt;=825,vp.tbl[[#This Row],[Sulf]]&gt;0.5,vp.tbl[[#This Row],[Unknown]]=0),1,0)</f>
        <v>0</v>
      </c>
      <c r="AA1164">
        <f>IF(AND(vp.tbl[[#This Row],[CrudeType]]="Crude",vp.tbl[[#This Row],[Dens]]&lt;=825,vp.tbl[[#This Row],[Sulf]]&lt;=0.5,vp.tbl[[#This Row],[Unknown]]=0),1,0)</f>
        <v>0</v>
      </c>
      <c r="AB1164">
        <f>IF(AND(vp.tbl[[#This Row],[CrudeType]]="Crude",vp.tbl[[#This Row],[Dens]]&gt;825,vp.tbl[[#This Row],[Dens]]&lt;=870,vp.tbl[[#This Row],[Sulf]]&gt;0.5,vp.tbl[[#This Row],[Unknown]]=0),1,0)</f>
        <v>1</v>
      </c>
      <c r="AC1164">
        <f>IF(AND(vp.tbl[[#This Row],[CrudeType]]="Crude",vp.tbl[[#This Row],[Dens]]&gt;825,vp.tbl[[#This Row],[Dens]]&lt;=900,vp.tbl[[#This Row],[Sulf]]&lt;=0.5,vp.tbl[[#This Row],[Unknown]]=0),1,0)</f>
        <v>0</v>
      </c>
      <c r="AD1164">
        <f>IF(AND(vp.tbl[[#This Row],[CrudeType]]="Crude",vp.tbl[[#This Row],[Dens]]&gt;870,vp.tbl[[#This Row],[Dens]]&lt;=900,vp.tbl[[#This Row],[Sulf]]&gt;0.5,vp.tbl[[#This Row],[Unknown]]=0),1,0)</f>
        <v>0</v>
      </c>
      <c r="AE1164">
        <f>IF(AND(vp.tbl[[#This Row],[CrudeType]]="Crude",vp.tbl[[#This Row],[Dens]]&gt;900,vp.tbl[[#This Row],[Sulf]]&lt;=0.5,vp.tbl[[#This Row],[Unknown]]=0),1,0)</f>
        <v>0</v>
      </c>
      <c r="AF1164">
        <f>IF(AND(vp.tbl[[#This Row],[CrudeType]]="Crude",vp.tbl[[#This Row],[Dens]]&gt;900,vp.tbl[[#This Row],[Sulf]]&lt;=0.5,vp.tbl[[#This Row],[Unknown]]=0),1,0)</f>
        <v>0</v>
      </c>
      <c r="AG1164" t="str">
        <f>INDEX(vp.tbl[[#Headers],[Unknown]:[Heavy_SW]],MATCH(1,vp.tbl[[#This Row],[Unknown]:[Heavy_SW]],0))</f>
        <v>Medium_LSB</v>
      </c>
      <c r="AH1164" t="e">
        <f>INDEX([1]!crudeBD.lkup[Number],MATCH(vp.tbl[[#This Row],[Crude_Breakdown]],[1]!crudeBD.lkup[Crude Breakdown],0))</f>
        <v>#REF!</v>
      </c>
      <c r="AI1164">
        <f>MONTH(vp.tbl[[#This Row],[SDate]])</f>
        <v>4</v>
      </c>
      <c r="AJ1164" s="5">
        <f>IFERROR(vp.tbl[[#This Row],[Sulf]]*vp.tbl[[#This Row],[Net Dens]],"")</f>
        <v>6054279.0669200001</v>
      </c>
      <c r="AK1164" s="5">
        <f>IFERROR(vp.tbl[[#This Row],[Dens]]*vp.tbl[[#This Row],[VolumeM3]],"")</f>
        <v>5087629.4680000003</v>
      </c>
      <c r="AL1164" s="5">
        <f>IFERROR(vp.tbl[[#This Row],[VP]]*vp.tbl[[#This Row],[VolumeM3]],"")</f>
        <v>355651.82300000003</v>
      </c>
      <c r="AM1164" s="4">
        <f>IFERROR((vp.tbl[[#This Row],[VP]]-INDEX(crudeBD.lkup.complete[Mean_VP],MATCH(vp.tbl[[#This Row],[Crude_Breakdown]],crudeBD.lkup.complete[Crude Breakdown],0)))^2,"")</f>
        <v>448.32112254382156</v>
      </c>
      <c r="AN1164" s="4">
        <f>IFERROR((vp.tbl[[#This Row],[Dens]]-INDEX(crudeBD.lkup.complete[Mean_Dens],MATCH(vp.tbl[[#This Row],[Crude_Breakdown]],crudeBD.lkup.complete[Crude Breakdown],0)))^2,"")</f>
        <v>1.6688061073520466</v>
      </c>
      <c r="AO1164" s="4">
        <f>IFERROR((vp.tbl[[#This Row],[Sulf]]-INDEX(crudeBD.lkup.complete[Mean_Sulf],MATCH(vp.tbl[[#This Row],[Crude_Breakdown]],crudeBD.lkup.complete[Crude Breakdown],0)))^2,"")</f>
        <v>7.0187831122045519E-2</v>
      </c>
      <c r="AP1164">
        <f>IF(AND(vp.tbl[[#This Row],[SDate]]&gt;=DATE(YEAR(vp.tbl[[#This Row],[SDate]]),5,1),vp.tbl[[#This Row],[SDate]]&lt;=DATE(YEAR(vp.tbl[[#This Row],[SDate]]),9,15)),1,0)</f>
        <v>0</v>
      </c>
      <c r="AQ1164" s="15">
        <f>IF(vp.tbl[[#This Row],[SDate]]&lt;DATE(2016,12,1),0,1)</f>
        <v>1</v>
      </c>
    </row>
    <row r="1165" spans="1:43" x14ac:dyDescent="0.25">
      <c r="A1165">
        <v>1164</v>
      </c>
      <c r="B1165" t="s">
        <v>49</v>
      </c>
      <c r="C1165" t="s">
        <v>49</v>
      </c>
      <c r="D1165" t="s">
        <v>245</v>
      </c>
      <c r="F1165" s="1">
        <v>42828</v>
      </c>
      <c r="G1165" s="2">
        <v>80.099999999999994</v>
      </c>
      <c r="H1165" s="2"/>
      <c r="I1165" s="2">
        <v>1.88</v>
      </c>
      <c r="J1165" s="2">
        <v>22</v>
      </c>
      <c r="K1165" s="2">
        <v>-30</v>
      </c>
      <c r="L1165" s="2">
        <v>859.9</v>
      </c>
      <c r="M1165" s="2">
        <v>859.9</v>
      </c>
      <c r="N1165" s="2">
        <f ca="1">INDEX(INDIRECT(_xlfn.CONCAT("weather.tbl[",N$1,"]")),MATCH(vp.tbl[[#This Row],[SDate]],weather.tbl[Date],0))</f>
        <v>5.583333333333333</v>
      </c>
      <c r="O1165" s="2">
        <f ca="1">INDEX(INDIRECT(_xlfn.CONCAT("weather.tbl[",O$1,"]")),MATCH(vp.tbl[[#This Row],[SDate]],weather.tbl[Date],0))</f>
        <v>5.4738095238095239</v>
      </c>
      <c r="P1165" s="2">
        <f ca="1">INDEX(INDIRECT(_xlfn.CONCAT("weather.tbl[",P$1,"]")),MATCH(vp.tbl[[#This Row],[SDate]],weather.tbl[Date],0))</f>
        <v>5</v>
      </c>
      <c r="Q1165" s="2">
        <f ca="1">INDEX(INDIRECT(_xlfn.CONCAT("weather.tbl[",Q$1,"]")),MATCH(vp.tbl[[#This Row],[SDate]],weather.tbl[Date],0))</f>
        <v>4.9000000000000004</v>
      </c>
      <c r="R1165" s="2">
        <f ca="1">INDEX(INDIRECT(_xlfn.CONCAT("weather.tbl[",R$1,"]")),MATCH(vp.tbl[[#This Row],[SDate]],weather.tbl[Date],0))</f>
        <v>8.3000000000000007</v>
      </c>
      <c r="S1165" s="2">
        <f ca="1">INDEX(INDIRECT(_xlfn.CONCAT("weather.tbl[",S$1,"]")),MATCH(vp.tbl[[#This Row],[SDate]],weather.tbl[Date],0))</f>
        <v>4.8</v>
      </c>
      <c r="T1165" s="2">
        <f ca="1">INDEX(INDIRECT(_xlfn.CONCAT("weather.tbl[",T$1,"]")),MATCH(vp.tbl[[#This Row],[SDate]],weather.tbl[Date],0))</f>
        <v>5.5</v>
      </c>
      <c r="U1165" s="2">
        <f ca="1">INDEX(INDIRECT(_xlfn.CONCAT("weather.tbl[",U$1,"]")),MATCH(vp.tbl[[#This Row],[SDate]],weather.tbl[Date],0))</f>
        <v>5</v>
      </c>
      <c r="V1165" s="2">
        <v>841.83299999999997</v>
      </c>
      <c r="W1165" t="s">
        <v>48</v>
      </c>
      <c r="X1165">
        <f>IF(OR(vp.tbl[[#This Row],[Sulf]]="",vp.tbl[[#This Row],[Dens]]=""),1,0)</f>
        <v>0</v>
      </c>
      <c r="Y1165">
        <f>IF(vp.tbl[[#This Row],[CrudeType]]="C5+",1,0)</f>
        <v>0</v>
      </c>
      <c r="Z1165">
        <f>IF(AND(vp.tbl[[#This Row],[CrudeType]]="Crude",vp.tbl[[#This Row],[Dens]]&lt;=825,vp.tbl[[#This Row],[Sulf]]&gt;0.5,vp.tbl[[#This Row],[Unknown]]=0),1,0)</f>
        <v>0</v>
      </c>
      <c r="AA1165">
        <f>IF(AND(vp.tbl[[#This Row],[CrudeType]]="Crude",vp.tbl[[#This Row],[Dens]]&lt;=825,vp.tbl[[#This Row],[Sulf]]&lt;=0.5,vp.tbl[[#This Row],[Unknown]]=0),1,0)</f>
        <v>0</v>
      </c>
      <c r="AB1165">
        <f>IF(AND(vp.tbl[[#This Row],[CrudeType]]="Crude",vp.tbl[[#This Row],[Dens]]&gt;825,vp.tbl[[#This Row],[Dens]]&lt;=870,vp.tbl[[#This Row],[Sulf]]&gt;0.5,vp.tbl[[#This Row],[Unknown]]=0),1,0)</f>
        <v>1</v>
      </c>
      <c r="AC1165">
        <f>IF(AND(vp.tbl[[#This Row],[CrudeType]]="Crude",vp.tbl[[#This Row],[Dens]]&gt;825,vp.tbl[[#This Row],[Dens]]&lt;=900,vp.tbl[[#This Row],[Sulf]]&lt;=0.5,vp.tbl[[#This Row],[Unknown]]=0),1,0)</f>
        <v>0</v>
      </c>
      <c r="AD1165">
        <f>IF(AND(vp.tbl[[#This Row],[CrudeType]]="Crude",vp.tbl[[#This Row],[Dens]]&gt;870,vp.tbl[[#This Row],[Dens]]&lt;=900,vp.tbl[[#This Row],[Sulf]]&gt;0.5,vp.tbl[[#This Row],[Unknown]]=0),1,0)</f>
        <v>0</v>
      </c>
      <c r="AE1165">
        <f>IF(AND(vp.tbl[[#This Row],[CrudeType]]="Crude",vp.tbl[[#This Row],[Dens]]&gt;900,vp.tbl[[#This Row],[Sulf]]&lt;=0.5,vp.tbl[[#This Row],[Unknown]]=0),1,0)</f>
        <v>0</v>
      </c>
      <c r="AF1165">
        <f>IF(AND(vp.tbl[[#This Row],[CrudeType]]="Crude",vp.tbl[[#This Row],[Dens]]&gt;900,vp.tbl[[#This Row],[Sulf]]&lt;=0.5,vp.tbl[[#This Row],[Unknown]]=0),1,0)</f>
        <v>0</v>
      </c>
      <c r="AG1165" t="str">
        <f>INDEX(vp.tbl[[#Headers],[Unknown]:[Heavy_SW]],MATCH(1,vp.tbl[[#This Row],[Unknown]:[Heavy_SW]],0))</f>
        <v>Medium_LSB</v>
      </c>
      <c r="AH1165" t="e">
        <f>INDEX([1]!crudeBD.lkup[Number],MATCH(vp.tbl[[#This Row],[Crude_Breakdown]],[1]!crudeBD.lkup[Crude Breakdown],0))</f>
        <v>#REF!</v>
      </c>
      <c r="AI1165">
        <f>MONTH(vp.tbl[[#This Row],[SDate]])</f>
        <v>4</v>
      </c>
      <c r="AJ1165" s="5">
        <f>IFERROR(vp.tbl[[#This Row],[Sulf]]*vp.tbl[[#This Row],[Net Dens]],"")</f>
        <v>1360917.3297959999</v>
      </c>
      <c r="AK1165" s="5">
        <f>IFERROR(vp.tbl[[#This Row],[Dens]]*vp.tbl[[#This Row],[VolumeM3]],"")</f>
        <v>723892.19669999997</v>
      </c>
      <c r="AL1165" s="5">
        <f>IFERROR(vp.tbl[[#This Row],[VP]]*vp.tbl[[#This Row],[VolumeM3]],"")</f>
        <v>67430.823299999989</v>
      </c>
      <c r="AM1165" s="4">
        <f>IFERROR((vp.tbl[[#This Row],[VP]]-INDEX(crudeBD.lkup.complete[Mean_VP],MATCH(vp.tbl[[#This Row],[Crude_Breakdown]],crudeBD.lkup.complete[Crude Breakdown],0)))^2,"")</f>
        <v>5.4162147091766271E-3</v>
      </c>
      <c r="AN1165" s="4">
        <f>IFERROR((vp.tbl[[#This Row],[Dens]]-INDEX(crudeBD.lkup.complete[Mean_Dens],MATCH(vp.tbl[[#This Row],[Crude_Breakdown]],crudeBD.lkup.complete[Crude Breakdown],0)))^2,"")</f>
        <v>213.39884155042066</v>
      </c>
      <c r="AO1165" s="4">
        <f>IFERROR((vp.tbl[[#This Row],[Sulf]]-INDEX(crudeBD.lkup.complete[Mean_Sulf],MATCH(vp.tbl[[#This Row],[Crude_Breakdown]],crudeBD.lkup.complete[Crude Breakdown],0)))^2,"")</f>
        <v>0.18068462327394208</v>
      </c>
      <c r="AP1165">
        <f>IF(AND(vp.tbl[[#This Row],[SDate]]&gt;=DATE(YEAR(vp.tbl[[#This Row],[SDate]]),5,1),vp.tbl[[#This Row],[SDate]]&lt;=DATE(YEAR(vp.tbl[[#This Row],[SDate]]),9,15)),1,0)</f>
        <v>0</v>
      </c>
      <c r="AQ1165" s="15">
        <f>IF(vp.tbl[[#This Row],[SDate]]&lt;DATE(2016,12,1),0,1)</f>
        <v>1</v>
      </c>
    </row>
    <row r="1166" spans="1:43" x14ac:dyDescent="0.25">
      <c r="A1166">
        <v>1165</v>
      </c>
      <c r="B1166" t="s">
        <v>60</v>
      </c>
      <c r="C1166" t="s">
        <v>60</v>
      </c>
      <c r="D1166" t="s">
        <v>61</v>
      </c>
      <c r="E1166" t="s">
        <v>73</v>
      </c>
      <c r="F1166" s="1">
        <v>42828</v>
      </c>
      <c r="G1166" s="2">
        <v>75</v>
      </c>
      <c r="H1166" s="2">
        <v>1.0920000000000001</v>
      </c>
      <c r="I1166" s="2">
        <v>1.0920000000000001</v>
      </c>
      <c r="J1166" s="2">
        <v>9.6999999999999993</v>
      </c>
      <c r="K1166" s="2">
        <v>8</v>
      </c>
      <c r="L1166" s="2">
        <v>842.8</v>
      </c>
      <c r="M1166" s="2">
        <v>842.8</v>
      </c>
      <c r="N1166" s="2">
        <f ca="1">INDEX(INDIRECT(_xlfn.CONCAT("weather.tbl[",N$1,"]")),MATCH(vp.tbl[[#This Row],[SDate]],weather.tbl[Date],0))</f>
        <v>5.583333333333333</v>
      </c>
      <c r="O1166" s="2">
        <f ca="1">INDEX(INDIRECT(_xlfn.CONCAT("weather.tbl[",O$1,"]")),MATCH(vp.tbl[[#This Row],[SDate]],weather.tbl[Date],0))</f>
        <v>5.4738095238095239</v>
      </c>
      <c r="P1166" s="2">
        <f ca="1">INDEX(INDIRECT(_xlfn.CONCAT("weather.tbl[",P$1,"]")),MATCH(vp.tbl[[#This Row],[SDate]],weather.tbl[Date],0))</f>
        <v>5</v>
      </c>
      <c r="Q1166" s="2">
        <f ca="1">INDEX(INDIRECT(_xlfn.CONCAT("weather.tbl[",Q$1,"]")),MATCH(vp.tbl[[#This Row],[SDate]],weather.tbl[Date],0))</f>
        <v>4.9000000000000004</v>
      </c>
      <c r="R1166" s="2">
        <f ca="1">INDEX(INDIRECT(_xlfn.CONCAT("weather.tbl[",R$1,"]")),MATCH(vp.tbl[[#This Row],[SDate]],weather.tbl[Date],0))</f>
        <v>8.3000000000000007</v>
      </c>
      <c r="S1166" s="2">
        <f ca="1">INDEX(INDIRECT(_xlfn.CONCAT("weather.tbl[",S$1,"]")),MATCH(vp.tbl[[#This Row],[SDate]],weather.tbl[Date],0))</f>
        <v>4.8</v>
      </c>
      <c r="T1166" s="2">
        <f ca="1">INDEX(INDIRECT(_xlfn.CONCAT("weather.tbl[",T$1,"]")),MATCH(vp.tbl[[#This Row],[SDate]],weather.tbl[Date],0))</f>
        <v>5.5</v>
      </c>
      <c r="U1166" s="2">
        <f ca="1">INDEX(INDIRECT(_xlfn.CONCAT("weather.tbl[",U$1,"]")),MATCH(vp.tbl[[#This Row],[SDate]],weather.tbl[Date],0))</f>
        <v>5</v>
      </c>
      <c r="V1166" s="2">
        <v>111869.038</v>
      </c>
      <c r="W1166" t="s">
        <v>48</v>
      </c>
      <c r="X1166">
        <f>IF(OR(vp.tbl[[#This Row],[Sulf]]="",vp.tbl[[#This Row],[Dens]]=""),1,0)</f>
        <v>0</v>
      </c>
      <c r="Y1166">
        <f>IF(vp.tbl[[#This Row],[CrudeType]]="C5+",1,0)</f>
        <v>0</v>
      </c>
      <c r="Z1166">
        <f>IF(AND(vp.tbl[[#This Row],[CrudeType]]="Crude",vp.tbl[[#This Row],[Dens]]&lt;=825,vp.tbl[[#This Row],[Sulf]]&gt;0.5,vp.tbl[[#This Row],[Unknown]]=0),1,0)</f>
        <v>0</v>
      </c>
      <c r="AA1166">
        <f>IF(AND(vp.tbl[[#This Row],[CrudeType]]="Crude",vp.tbl[[#This Row],[Dens]]&lt;=825,vp.tbl[[#This Row],[Sulf]]&lt;=0.5,vp.tbl[[#This Row],[Unknown]]=0),1,0)</f>
        <v>0</v>
      </c>
      <c r="AB1166">
        <f>IF(AND(vp.tbl[[#This Row],[CrudeType]]="Crude",vp.tbl[[#This Row],[Dens]]&gt;825,vp.tbl[[#This Row],[Dens]]&lt;=870,vp.tbl[[#This Row],[Sulf]]&gt;0.5,vp.tbl[[#This Row],[Unknown]]=0),1,0)</f>
        <v>1</v>
      </c>
      <c r="AC1166">
        <f>IF(AND(vp.tbl[[#This Row],[CrudeType]]="Crude",vp.tbl[[#This Row],[Dens]]&gt;825,vp.tbl[[#This Row],[Dens]]&lt;=900,vp.tbl[[#This Row],[Sulf]]&lt;=0.5,vp.tbl[[#This Row],[Unknown]]=0),1,0)</f>
        <v>0</v>
      </c>
      <c r="AD1166">
        <f>IF(AND(vp.tbl[[#This Row],[CrudeType]]="Crude",vp.tbl[[#This Row],[Dens]]&gt;870,vp.tbl[[#This Row],[Dens]]&lt;=900,vp.tbl[[#This Row],[Sulf]]&gt;0.5,vp.tbl[[#This Row],[Unknown]]=0),1,0)</f>
        <v>0</v>
      </c>
      <c r="AE1166">
        <f>IF(AND(vp.tbl[[#This Row],[CrudeType]]="Crude",vp.tbl[[#This Row],[Dens]]&gt;900,vp.tbl[[#This Row],[Sulf]]&lt;=0.5,vp.tbl[[#This Row],[Unknown]]=0),1,0)</f>
        <v>0</v>
      </c>
      <c r="AF1166">
        <f>IF(AND(vp.tbl[[#This Row],[CrudeType]]="Crude",vp.tbl[[#This Row],[Dens]]&gt;900,vp.tbl[[#This Row],[Sulf]]&lt;=0.5,vp.tbl[[#This Row],[Unknown]]=0),1,0)</f>
        <v>0</v>
      </c>
      <c r="AG1166" t="str">
        <f>INDEX(vp.tbl[[#Headers],[Unknown]:[Heavy_SW]],MATCH(1,vp.tbl[[#This Row],[Unknown]:[Heavy_SW]],0))</f>
        <v>Medium_LSB</v>
      </c>
      <c r="AH1166" t="e">
        <f>INDEX([1]!crudeBD.lkup[Number],MATCH(vp.tbl[[#This Row],[Crude_Breakdown]],[1]!crudeBD.lkup[Crude Breakdown],0))</f>
        <v>#REF!</v>
      </c>
      <c r="AI1166">
        <f>MONTH(vp.tbl[[#This Row],[SDate]])</f>
        <v>4</v>
      </c>
      <c r="AJ1166" s="5">
        <f>IFERROR(vp.tbl[[#This Row],[Sulf]]*vp.tbl[[#This Row],[Net Dens]],"")</f>
        <v>102957281.94722879</v>
      </c>
      <c r="AK1166" s="5">
        <f>IFERROR(vp.tbl[[#This Row],[Dens]]*vp.tbl[[#This Row],[VolumeM3]],"")</f>
        <v>94283225.226399988</v>
      </c>
      <c r="AL1166" s="5">
        <f>IFERROR(vp.tbl[[#This Row],[VP]]*vp.tbl[[#This Row],[VolumeM3]],"")</f>
        <v>8390177.8499999996</v>
      </c>
      <c r="AM1166" s="4">
        <f>IFERROR((vp.tbl[[#This Row],[VP]]-INDEX(crudeBD.lkup.complete[Mean_VP],MATCH(vp.tbl[[#This Row],[Crude_Breakdown]],crudeBD.lkup.complete[Crude Breakdown],0)))^2,"")</f>
        <v>26.766084569139178</v>
      </c>
      <c r="AN1166" s="4">
        <f>IFERROR((vp.tbl[[#This Row],[Dens]]-INDEX(crudeBD.lkup.complete[Mean_Dens],MATCH(vp.tbl[[#This Row],[Crude_Breakdown]],crudeBD.lkup.complete[Crude Breakdown],0)))^2,"")</f>
        <v>6.209180790894214</v>
      </c>
      <c r="AO1166" s="4">
        <f>IFERROR((vp.tbl[[#This Row],[Sulf]]-INDEX(crudeBD.lkup.complete[Mean_Sulf],MATCH(vp.tbl[[#This Row],[Crude_Breakdown]],crudeBD.lkup.complete[Crude Breakdown],0)))^2,"")</f>
        <v>0.13171808383090647</v>
      </c>
      <c r="AP1166">
        <f>IF(AND(vp.tbl[[#This Row],[SDate]]&gt;=DATE(YEAR(vp.tbl[[#This Row],[SDate]]),5,1),vp.tbl[[#This Row],[SDate]]&lt;=DATE(YEAR(vp.tbl[[#This Row],[SDate]]),9,15)),1,0)</f>
        <v>0</v>
      </c>
      <c r="AQ1166" s="15">
        <f>IF(vp.tbl[[#This Row],[SDate]]&lt;DATE(2016,12,1),0,1)</f>
        <v>1</v>
      </c>
    </row>
    <row r="1167" spans="1:43" x14ac:dyDescent="0.25">
      <c r="A1167">
        <v>1166</v>
      </c>
      <c r="B1167" t="s">
        <v>60</v>
      </c>
      <c r="C1167" t="s">
        <v>60</v>
      </c>
      <c r="D1167" t="s">
        <v>61</v>
      </c>
      <c r="E1167" t="s">
        <v>55</v>
      </c>
      <c r="F1167" s="1">
        <v>42828</v>
      </c>
      <c r="G1167" s="2">
        <v>89.5</v>
      </c>
      <c r="H1167" s="2">
        <v>1.208</v>
      </c>
      <c r="I1167" s="2">
        <v>1.208</v>
      </c>
      <c r="J1167" s="2">
        <v>13.2</v>
      </c>
      <c r="K1167" s="2">
        <v>8</v>
      </c>
      <c r="L1167" s="2">
        <v>838.1</v>
      </c>
      <c r="M1167" s="2">
        <v>838.1</v>
      </c>
      <c r="N1167" s="2">
        <f ca="1">INDEX(INDIRECT(_xlfn.CONCAT("weather.tbl[",N$1,"]")),MATCH(vp.tbl[[#This Row],[SDate]],weather.tbl[Date],0))</f>
        <v>5.583333333333333</v>
      </c>
      <c r="O1167" s="2">
        <f ca="1">INDEX(INDIRECT(_xlfn.CONCAT("weather.tbl[",O$1,"]")),MATCH(vp.tbl[[#This Row],[SDate]],weather.tbl[Date],0))</f>
        <v>5.4738095238095239</v>
      </c>
      <c r="P1167" s="2">
        <f ca="1">INDEX(INDIRECT(_xlfn.CONCAT("weather.tbl[",P$1,"]")),MATCH(vp.tbl[[#This Row],[SDate]],weather.tbl[Date],0))</f>
        <v>5</v>
      </c>
      <c r="Q1167" s="2">
        <f ca="1">INDEX(INDIRECT(_xlfn.CONCAT("weather.tbl[",Q$1,"]")),MATCH(vp.tbl[[#This Row],[SDate]],weather.tbl[Date],0))</f>
        <v>4.9000000000000004</v>
      </c>
      <c r="R1167" s="2">
        <f ca="1">INDEX(INDIRECT(_xlfn.CONCAT("weather.tbl[",R$1,"]")),MATCH(vp.tbl[[#This Row],[SDate]],weather.tbl[Date],0))</f>
        <v>8.3000000000000007</v>
      </c>
      <c r="S1167" s="2">
        <f ca="1">INDEX(INDIRECT(_xlfn.CONCAT("weather.tbl[",S$1,"]")),MATCH(vp.tbl[[#This Row],[SDate]],weather.tbl[Date],0))</f>
        <v>4.8</v>
      </c>
      <c r="T1167" s="2">
        <f ca="1">INDEX(INDIRECT(_xlfn.CONCAT("weather.tbl[",T$1,"]")),MATCH(vp.tbl[[#This Row],[SDate]],weather.tbl[Date],0))</f>
        <v>5.5</v>
      </c>
      <c r="U1167" s="2">
        <f ca="1">INDEX(INDIRECT(_xlfn.CONCAT("weather.tbl[",U$1,"]")),MATCH(vp.tbl[[#This Row],[SDate]],weather.tbl[Date],0))</f>
        <v>5</v>
      </c>
      <c r="V1167" s="2">
        <v>111869.038</v>
      </c>
      <c r="W1167" t="s">
        <v>48</v>
      </c>
      <c r="X1167">
        <f>IF(OR(vp.tbl[[#This Row],[Sulf]]="",vp.tbl[[#This Row],[Dens]]=""),1,0)</f>
        <v>0</v>
      </c>
      <c r="Y1167">
        <f>IF(vp.tbl[[#This Row],[CrudeType]]="C5+",1,0)</f>
        <v>0</v>
      </c>
      <c r="Z1167">
        <f>IF(AND(vp.tbl[[#This Row],[CrudeType]]="Crude",vp.tbl[[#This Row],[Dens]]&lt;=825,vp.tbl[[#This Row],[Sulf]]&gt;0.5,vp.tbl[[#This Row],[Unknown]]=0),1,0)</f>
        <v>0</v>
      </c>
      <c r="AA1167">
        <f>IF(AND(vp.tbl[[#This Row],[CrudeType]]="Crude",vp.tbl[[#This Row],[Dens]]&lt;=825,vp.tbl[[#This Row],[Sulf]]&lt;=0.5,vp.tbl[[#This Row],[Unknown]]=0),1,0)</f>
        <v>0</v>
      </c>
      <c r="AB1167">
        <f>IF(AND(vp.tbl[[#This Row],[CrudeType]]="Crude",vp.tbl[[#This Row],[Dens]]&gt;825,vp.tbl[[#This Row],[Dens]]&lt;=870,vp.tbl[[#This Row],[Sulf]]&gt;0.5,vp.tbl[[#This Row],[Unknown]]=0),1,0)</f>
        <v>1</v>
      </c>
      <c r="AC1167">
        <f>IF(AND(vp.tbl[[#This Row],[CrudeType]]="Crude",vp.tbl[[#This Row],[Dens]]&gt;825,vp.tbl[[#This Row],[Dens]]&lt;=900,vp.tbl[[#This Row],[Sulf]]&lt;=0.5,vp.tbl[[#This Row],[Unknown]]=0),1,0)</f>
        <v>0</v>
      </c>
      <c r="AD1167">
        <f>IF(AND(vp.tbl[[#This Row],[CrudeType]]="Crude",vp.tbl[[#This Row],[Dens]]&gt;870,vp.tbl[[#This Row],[Dens]]&lt;=900,vp.tbl[[#This Row],[Sulf]]&gt;0.5,vp.tbl[[#This Row],[Unknown]]=0),1,0)</f>
        <v>0</v>
      </c>
      <c r="AE1167">
        <f>IF(AND(vp.tbl[[#This Row],[CrudeType]]="Crude",vp.tbl[[#This Row],[Dens]]&gt;900,vp.tbl[[#This Row],[Sulf]]&lt;=0.5,vp.tbl[[#This Row],[Unknown]]=0),1,0)</f>
        <v>0</v>
      </c>
      <c r="AF1167">
        <f>IF(AND(vp.tbl[[#This Row],[CrudeType]]="Crude",vp.tbl[[#This Row],[Dens]]&gt;900,vp.tbl[[#This Row],[Sulf]]&lt;=0.5,vp.tbl[[#This Row],[Unknown]]=0),1,0)</f>
        <v>0</v>
      </c>
      <c r="AG1167" t="str">
        <f>INDEX(vp.tbl[[#Headers],[Unknown]:[Heavy_SW]],MATCH(1,vp.tbl[[#This Row],[Unknown]:[Heavy_SW]],0))</f>
        <v>Medium_LSB</v>
      </c>
      <c r="AH1167" t="e">
        <f>INDEX([1]!crudeBD.lkup[Number],MATCH(vp.tbl[[#This Row],[Crude_Breakdown]],[1]!crudeBD.lkup[Crude Breakdown],0))</f>
        <v>#REF!</v>
      </c>
      <c r="AI1167">
        <f>MONTH(vp.tbl[[#This Row],[SDate]])</f>
        <v>4</v>
      </c>
      <c r="AJ1167" s="5">
        <f>IFERROR(vp.tbl[[#This Row],[Sulf]]*vp.tbl[[#This Row],[Net Dens]],"")</f>
        <v>113258988.42334241</v>
      </c>
      <c r="AK1167" s="5">
        <f>IFERROR(vp.tbl[[#This Row],[Dens]]*vp.tbl[[#This Row],[VolumeM3]],"")</f>
        <v>93757440.747800007</v>
      </c>
      <c r="AL1167" s="5">
        <f>IFERROR(vp.tbl[[#This Row],[VP]]*vp.tbl[[#This Row],[VolumeM3]],"")</f>
        <v>10012278.901000001</v>
      </c>
      <c r="AM1167" s="4">
        <f>IFERROR((vp.tbl[[#This Row],[VP]]-INDEX(crudeBD.lkup.complete[Mean_VP],MATCH(vp.tbl[[#This Row],[Crude_Breakdown]],crudeBD.lkup.complete[Crude Breakdown],0)))^2,"")</f>
        <v>86.981831404583289</v>
      </c>
      <c r="AN1167" s="4">
        <f>IFERROR((vp.tbl[[#This Row],[Dens]]-INDEX(crudeBD.lkup.complete[Mean_Dens],MATCH(vp.tbl[[#This Row],[Crude_Breakdown]],crudeBD.lkup.complete[Crude Breakdown],0)))^2,"")</f>
        <v>51.722314968099596</v>
      </c>
      <c r="AO1167" s="4">
        <f>IFERROR((vp.tbl[[#This Row],[Sulf]]-INDEX(crudeBD.lkup.complete[Mean_Sulf],MATCH(vp.tbl[[#This Row],[Crude_Breakdown]],crudeBD.lkup.complete[Crude Breakdown],0)))^2,"")</f>
        <v>6.0974356134703679E-2</v>
      </c>
      <c r="AP1167">
        <f>IF(AND(vp.tbl[[#This Row],[SDate]]&gt;=DATE(YEAR(vp.tbl[[#This Row],[SDate]]),5,1),vp.tbl[[#This Row],[SDate]]&lt;=DATE(YEAR(vp.tbl[[#This Row],[SDate]]),9,15)),1,0)</f>
        <v>0</v>
      </c>
      <c r="AQ1167" s="15">
        <f>IF(vp.tbl[[#This Row],[SDate]]&lt;DATE(2016,12,1),0,1)</f>
        <v>1</v>
      </c>
    </row>
    <row r="1168" spans="1:43" x14ac:dyDescent="0.25">
      <c r="A1168">
        <v>1167</v>
      </c>
      <c r="B1168" t="s">
        <v>49</v>
      </c>
      <c r="C1168" t="s">
        <v>49</v>
      </c>
      <c r="D1168" t="s">
        <v>81</v>
      </c>
      <c r="F1168" s="1">
        <v>42829</v>
      </c>
      <c r="G1168" s="2">
        <v>80.599999999999994</v>
      </c>
      <c r="H1168" s="2">
        <v>0.52100000000000002</v>
      </c>
      <c r="I1168" s="2">
        <v>0.52100000000000002</v>
      </c>
      <c r="J1168" s="2">
        <v>6.5</v>
      </c>
      <c r="K1168" s="2">
        <v>6</v>
      </c>
      <c r="L1168" s="2">
        <v>820.9</v>
      </c>
      <c r="M1168" s="2">
        <v>820.9</v>
      </c>
      <c r="N1168" s="2">
        <f ca="1">INDEX(INDIRECT(_xlfn.CONCAT("weather.tbl[",N$1,"]")),MATCH(vp.tbl[[#This Row],[SDate]],weather.tbl[Date],0))</f>
        <v>5.166666666666667</v>
      </c>
      <c r="O1168" s="2">
        <f ca="1">INDEX(INDIRECT(_xlfn.CONCAT("weather.tbl[",O$1,"]")),MATCH(vp.tbl[[#This Row],[SDate]],weather.tbl[Date],0))</f>
        <v>5.9857142857142858</v>
      </c>
      <c r="P1168" s="2">
        <f ca="1">INDEX(INDIRECT(_xlfn.CONCAT("weather.tbl[",P$1,"]")),MATCH(vp.tbl[[#This Row],[SDate]],weather.tbl[Date],0))</f>
        <v>5.2</v>
      </c>
      <c r="Q1168" s="2">
        <f ca="1">INDEX(INDIRECT(_xlfn.CONCAT("weather.tbl[",Q$1,"]")),MATCH(vp.tbl[[#This Row],[SDate]],weather.tbl[Date],0))</f>
        <v>4.0999999999999996</v>
      </c>
      <c r="R1168" s="2">
        <f ca="1">INDEX(INDIRECT(_xlfn.CONCAT("weather.tbl[",R$1,"]")),MATCH(vp.tbl[[#This Row],[SDate]],weather.tbl[Date],0))</f>
        <v>6.5</v>
      </c>
      <c r="S1168" s="2">
        <f ca="1">INDEX(INDIRECT(_xlfn.CONCAT("weather.tbl[",S$1,"]")),MATCH(vp.tbl[[#This Row],[SDate]],weather.tbl[Date],0))</f>
        <v>4.4000000000000004</v>
      </c>
      <c r="T1168" s="2">
        <f ca="1">INDEX(INDIRECT(_xlfn.CONCAT("weather.tbl[",T$1,"]")),MATCH(vp.tbl[[#This Row],[SDate]],weather.tbl[Date],0))</f>
        <v>6</v>
      </c>
      <c r="U1168" s="2">
        <f ca="1">INDEX(INDIRECT(_xlfn.CONCAT("weather.tbl[",U$1,"]")),MATCH(vp.tbl[[#This Row],[SDate]],weather.tbl[Date],0))</f>
        <v>4.8</v>
      </c>
      <c r="V1168" s="2">
        <v>19345.195</v>
      </c>
      <c r="W1168" t="s">
        <v>48</v>
      </c>
      <c r="X1168">
        <f>IF(OR(vp.tbl[[#This Row],[Sulf]]="",vp.tbl[[#This Row],[Dens]]=""),1,0)</f>
        <v>0</v>
      </c>
      <c r="Y1168">
        <f>IF(vp.tbl[[#This Row],[CrudeType]]="C5+",1,0)</f>
        <v>0</v>
      </c>
      <c r="Z1168">
        <f>IF(AND(vp.tbl[[#This Row],[CrudeType]]="Crude",vp.tbl[[#This Row],[Dens]]&lt;=825,vp.tbl[[#This Row],[Sulf]]&gt;0.5,vp.tbl[[#This Row],[Unknown]]=0),1,0)</f>
        <v>1</v>
      </c>
      <c r="AA1168">
        <f>IF(AND(vp.tbl[[#This Row],[CrudeType]]="Crude",vp.tbl[[#This Row],[Dens]]&lt;=825,vp.tbl[[#This Row],[Sulf]]&lt;=0.5,vp.tbl[[#This Row],[Unknown]]=0),1,0)</f>
        <v>0</v>
      </c>
      <c r="AB1168">
        <f>IF(AND(vp.tbl[[#This Row],[CrudeType]]="Crude",vp.tbl[[#This Row],[Dens]]&gt;825,vp.tbl[[#This Row],[Dens]]&lt;=870,vp.tbl[[#This Row],[Sulf]]&gt;0.5,vp.tbl[[#This Row],[Unknown]]=0),1,0)</f>
        <v>0</v>
      </c>
      <c r="AC1168">
        <f>IF(AND(vp.tbl[[#This Row],[CrudeType]]="Crude",vp.tbl[[#This Row],[Dens]]&gt;825,vp.tbl[[#This Row],[Dens]]&lt;=900,vp.tbl[[#This Row],[Sulf]]&lt;=0.5,vp.tbl[[#This Row],[Unknown]]=0),1,0)</f>
        <v>0</v>
      </c>
      <c r="AD1168">
        <f>IF(AND(vp.tbl[[#This Row],[CrudeType]]="Crude",vp.tbl[[#This Row],[Dens]]&gt;870,vp.tbl[[#This Row],[Dens]]&lt;=900,vp.tbl[[#This Row],[Sulf]]&gt;0.5,vp.tbl[[#This Row],[Unknown]]=0),1,0)</f>
        <v>0</v>
      </c>
      <c r="AE1168">
        <f>IF(AND(vp.tbl[[#This Row],[CrudeType]]="Crude",vp.tbl[[#This Row],[Dens]]&gt;900,vp.tbl[[#This Row],[Sulf]]&lt;=0.5,vp.tbl[[#This Row],[Unknown]]=0),1,0)</f>
        <v>0</v>
      </c>
      <c r="AF1168">
        <f>IF(AND(vp.tbl[[#This Row],[CrudeType]]="Crude",vp.tbl[[#This Row],[Dens]]&gt;900,vp.tbl[[#This Row],[Sulf]]&lt;=0.5,vp.tbl[[#This Row],[Unknown]]=0),1,0)</f>
        <v>0</v>
      </c>
      <c r="AG1168" t="str">
        <f>INDEX(vp.tbl[[#Headers],[Unknown]:[Heavy_SW]],MATCH(1,vp.tbl[[#This Row],[Unknown]:[Heavy_SW]],0))</f>
        <v>Light_LSB</v>
      </c>
      <c r="AH1168" t="e">
        <f>INDEX([1]!crudeBD.lkup[Number],MATCH(vp.tbl[[#This Row],[Crude_Breakdown]],[1]!crudeBD.lkup[Crude Breakdown],0))</f>
        <v>#REF!</v>
      </c>
      <c r="AI1168">
        <f>MONTH(vp.tbl[[#This Row],[SDate]])</f>
        <v>4</v>
      </c>
      <c r="AJ1168" s="5">
        <f>IFERROR(vp.tbl[[#This Row],[Sulf]]*vp.tbl[[#This Row],[Net Dens]],"")</f>
        <v>8273725.1698354995</v>
      </c>
      <c r="AK1168" s="5">
        <f>IFERROR(vp.tbl[[#This Row],[Dens]]*vp.tbl[[#This Row],[VolumeM3]],"")</f>
        <v>15880470.575499998</v>
      </c>
      <c r="AL1168" s="5">
        <f>IFERROR(vp.tbl[[#This Row],[VP]]*vp.tbl[[#This Row],[VolumeM3]],"")</f>
        <v>1559222.7169999999</v>
      </c>
      <c r="AM1168" s="4">
        <f>IFERROR((vp.tbl[[#This Row],[VP]]-INDEX(crudeBD.lkup.complete[Mean_VP],MATCH(vp.tbl[[#This Row],[Crude_Breakdown]],crudeBD.lkup.complete[Crude Breakdown],0)))^2,"")</f>
        <v>119.81897846742561</v>
      </c>
      <c r="AN1168" s="4">
        <f>IFERROR((vp.tbl[[#This Row],[Dens]]-INDEX(crudeBD.lkup.complete[Mean_Dens],MATCH(vp.tbl[[#This Row],[Crude_Breakdown]],crudeBD.lkup.complete[Crude Breakdown],0)))^2,"")</f>
        <v>5.6797863794725805</v>
      </c>
      <c r="AO1168" s="4">
        <f>IFERROR((vp.tbl[[#This Row],[Sulf]]-INDEX(crudeBD.lkup.complete[Mean_Sulf],MATCH(vp.tbl[[#This Row],[Crude_Breakdown]],crudeBD.lkup.complete[Crude Breakdown],0)))^2,"")</f>
        <v>0.16158082021270512</v>
      </c>
      <c r="AP1168">
        <f>IF(AND(vp.tbl[[#This Row],[SDate]]&gt;=DATE(YEAR(vp.tbl[[#This Row],[SDate]]),5,1),vp.tbl[[#This Row],[SDate]]&lt;=DATE(YEAR(vp.tbl[[#This Row],[SDate]]),9,15)),1,0)</f>
        <v>0</v>
      </c>
      <c r="AQ1168" s="15">
        <f>IF(vp.tbl[[#This Row],[SDate]]&lt;DATE(2016,12,1),0,1)</f>
        <v>1</v>
      </c>
    </row>
    <row r="1169" spans="1:43" x14ac:dyDescent="0.25">
      <c r="A1169">
        <v>1168</v>
      </c>
      <c r="B1169" t="s">
        <v>49</v>
      </c>
      <c r="C1169" t="s">
        <v>49</v>
      </c>
      <c r="D1169" t="s">
        <v>70</v>
      </c>
      <c r="F1169" s="1">
        <v>42829</v>
      </c>
      <c r="G1169" s="2">
        <v>66.2</v>
      </c>
      <c r="H1169" s="2">
        <v>0.71699999999999997</v>
      </c>
      <c r="I1169" s="2">
        <v>0.71699999999999997</v>
      </c>
      <c r="J1169" s="2">
        <v>28.4</v>
      </c>
      <c r="K1169" s="2">
        <v>6</v>
      </c>
      <c r="L1169" s="2">
        <v>829.4</v>
      </c>
      <c r="M1169" s="2">
        <v>829.4</v>
      </c>
      <c r="N1169" s="2">
        <f ca="1">INDEX(INDIRECT(_xlfn.CONCAT("weather.tbl[",N$1,"]")),MATCH(vp.tbl[[#This Row],[SDate]],weather.tbl[Date],0))</f>
        <v>5.166666666666667</v>
      </c>
      <c r="O1169" s="2">
        <f ca="1">INDEX(INDIRECT(_xlfn.CONCAT("weather.tbl[",O$1,"]")),MATCH(vp.tbl[[#This Row],[SDate]],weather.tbl[Date],0))</f>
        <v>5.9857142857142858</v>
      </c>
      <c r="P1169" s="2">
        <f ca="1">INDEX(INDIRECT(_xlfn.CONCAT("weather.tbl[",P$1,"]")),MATCH(vp.tbl[[#This Row],[SDate]],weather.tbl[Date],0))</f>
        <v>5.2</v>
      </c>
      <c r="Q1169" s="2">
        <f ca="1">INDEX(INDIRECT(_xlfn.CONCAT("weather.tbl[",Q$1,"]")),MATCH(vp.tbl[[#This Row],[SDate]],weather.tbl[Date],0))</f>
        <v>4.0999999999999996</v>
      </c>
      <c r="R1169" s="2">
        <f ca="1">INDEX(INDIRECT(_xlfn.CONCAT("weather.tbl[",R$1,"]")),MATCH(vp.tbl[[#This Row],[SDate]],weather.tbl[Date],0))</f>
        <v>6.5</v>
      </c>
      <c r="S1169" s="2">
        <f ca="1">INDEX(INDIRECT(_xlfn.CONCAT("weather.tbl[",S$1,"]")),MATCH(vp.tbl[[#This Row],[SDate]],weather.tbl[Date],0))</f>
        <v>4.4000000000000004</v>
      </c>
      <c r="T1169" s="2">
        <f ca="1">INDEX(INDIRECT(_xlfn.CONCAT("weather.tbl[",T$1,"]")),MATCH(vp.tbl[[#This Row],[SDate]],weather.tbl[Date],0))</f>
        <v>6</v>
      </c>
      <c r="U1169" s="2">
        <f ca="1">INDEX(INDIRECT(_xlfn.CONCAT("weather.tbl[",U$1,"]")),MATCH(vp.tbl[[#This Row],[SDate]],weather.tbl[Date],0))</f>
        <v>4.8</v>
      </c>
      <c r="V1169" s="2">
        <v>3029.3780000000002</v>
      </c>
      <c r="W1169" t="s">
        <v>48</v>
      </c>
      <c r="X1169">
        <f>IF(OR(vp.tbl[[#This Row],[Sulf]]="",vp.tbl[[#This Row],[Dens]]=""),1,0)</f>
        <v>0</v>
      </c>
      <c r="Y1169">
        <f>IF(vp.tbl[[#This Row],[CrudeType]]="C5+",1,0)</f>
        <v>0</v>
      </c>
      <c r="Z1169">
        <f>IF(AND(vp.tbl[[#This Row],[CrudeType]]="Crude",vp.tbl[[#This Row],[Dens]]&lt;=825,vp.tbl[[#This Row],[Sulf]]&gt;0.5,vp.tbl[[#This Row],[Unknown]]=0),1,0)</f>
        <v>0</v>
      </c>
      <c r="AA1169">
        <f>IF(AND(vp.tbl[[#This Row],[CrudeType]]="Crude",vp.tbl[[#This Row],[Dens]]&lt;=825,vp.tbl[[#This Row],[Sulf]]&lt;=0.5,vp.tbl[[#This Row],[Unknown]]=0),1,0)</f>
        <v>0</v>
      </c>
      <c r="AB1169">
        <f>IF(AND(vp.tbl[[#This Row],[CrudeType]]="Crude",vp.tbl[[#This Row],[Dens]]&gt;825,vp.tbl[[#This Row],[Dens]]&lt;=870,vp.tbl[[#This Row],[Sulf]]&gt;0.5,vp.tbl[[#This Row],[Unknown]]=0),1,0)</f>
        <v>1</v>
      </c>
      <c r="AC1169">
        <f>IF(AND(vp.tbl[[#This Row],[CrudeType]]="Crude",vp.tbl[[#This Row],[Dens]]&gt;825,vp.tbl[[#This Row],[Dens]]&lt;=900,vp.tbl[[#This Row],[Sulf]]&lt;=0.5,vp.tbl[[#This Row],[Unknown]]=0),1,0)</f>
        <v>0</v>
      </c>
      <c r="AD1169">
        <f>IF(AND(vp.tbl[[#This Row],[CrudeType]]="Crude",vp.tbl[[#This Row],[Dens]]&gt;870,vp.tbl[[#This Row],[Dens]]&lt;=900,vp.tbl[[#This Row],[Sulf]]&gt;0.5,vp.tbl[[#This Row],[Unknown]]=0),1,0)</f>
        <v>0</v>
      </c>
      <c r="AE1169">
        <f>IF(AND(vp.tbl[[#This Row],[CrudeType]]="Crude",vp.tbl[[#This Row],[Dens]]&gt;900,vp.tbl[[#This Row],[Sulf]]&lt;=0.5,vp.tbl[[#This Row],[Unknown]]=0),1,0)</f>
        <v>0</v>
      </c>
      <c r="AF1169">
        <f>IF(AND(vp.tbl[[#This Row],[CrudeType]]="Crude",vp.tbl[[#This Row],[Dens]]&gt;900,vp.tbl[[#This Row],[Sulf]]&lt;=0.5,vp.tbl[[#This Row],[Unknown]]=0),1,0)</f>
        <v>0</v>
      </c>
      <c r="AG1169" t="str">
        <f>INDEX(vp.tbl[[#Headers],[Unknown]:[Heavy_SW]],MATCH(1,vp.tbl[[#This Row],[Unknown]:[Heavy_SW]],0))</f>
        <v>Medium_LSB</v>
      </c>
      <c r="AH1169" t="e">
        <f>INDEX([1]!crudeBD.lkup[Number],MATCH(vp.tbl[[#This Row],[Crude_Breakdown]],[1]!crudeBD.lkup[Crude Breakdown],0))</f>
        <v>#REF!</v>
      </c>
      <c r="AI1169">
        <f>MONTH(vp.tbl[[#This Row],[SDate]])</f>
        <v>4</v>
      </c>
      <c r="AJ1169" s="5">
        <f>IFERROR(vp.tbl[[#This Row],[Sulf]]*vp.tbl[[#This Row],[Net Dens]],"")</f>
        <v>1801509.9031644</v>
      </c>
      <c r="AK1169" s="5">
        <f>IFERROR(vp.tbl[[#This Row],[Dens]]*vp.tbl[[#This Row],[VolumeM3]],"")</f>
        <v>2512566.1132</v>
      </c>
      <c r="AL1169" s="5">
        <f>IFERROR(vp.tbl[[#This Row],[VP]]*vp.tbl[[#This Row],[VolumeM3]],"")</f>
        <v>200544.82360000003</v>
      </c>
      <c r="AM1169" s="4">
        <f>IFERROR((vp.tbl[[#This Row],[VP]]-INDEX(crudeBD.lkup.complete[Mean_VP],MATCH(vp.tbl[[#This Row],[Crude_Breakdown]],crudeBD.lkup.complete[Crude Breakdown],0)))^2,"")</f>
        <v>195.26135545521441</v>
      </c>
      <c r="AN1169" s="4">
        <f>IFERROR((vp.tbl[[#This Row],[Dens]]-INDEX(crudeBD.lkup.complete[Mean_Dens],MATCH(vp.tbl[[#This Row],[Crude_Breakdown]],crudeBD.lkup.complete[Crude Breakdown],0)))^2,"")</f>
        <v>252.5500314237797</v>
      </c>
      <c r="AO1169" s="4">
        <f>IFERROR((vp.tbl[[#This Row],[Sulf]]-INDEX(crudeBD.lkup.complete[Mean_Sulf],MATCH(vp.tbl[[#This Row],[Crude_Breakdown]],crudeBD.lkup.complete[Crude Breakdown],0)))^2,"")</f>
        <v>0.54454047940052797</v>
      </c>
      <c r="AP1169">
        <f>IF(AND(vp.tbl[[#This Row],[SDate]]&gt;=DATE(YEAR(vp.tbl[[#This Row],[SDate]]),5,1),vp.tbl[[#This Row],[SDate]]&lt;=DATE(YEAR(vp.tbl[[#This Row],[SDate]]),9,15)),1,0)</f>
        <v>0</v>
      </c>
      <c r="AQ1169" s="15">
        <f>IF(vp.tbl[[#This Row],[SDate]]&lt;DATE(2016,12,1),0,1)</f>
        <v>1</v>
      </c>
    </row>
    <row r="1170" spans="1:43" x14ac:dyDescent="0.25">
      <c r="A1170">
        <v>1169</v>
      </c>
      <c r="B1170" t="s">
        <v>96</v>
      </c>
      <c r="C1170" t="s">
        <v>96</v>
      </c>
      <c r="D1170" t="s">
        <v>97</v>
      </c>
      <c r="F1170" s="1">
        <v>42829</v>
      </c>
      <c r="G1170" s="2">
        <v>69.2</v>
      </c>
      <c r="H1170" s="2"/>
      <c r="I1170" s="2">
        <v>0.51</v>
      </c>
      <c r="J1170" s="2">
        <v>37.6</v>
      </c>
      <c r="K1170" s="2">
        <v>6</v>
      </c>
      <c r="L1170" s="2">
        <v>820.7</v>
      </c>
      <c r="M1170" s="2">
        <v>820.7</v>
      </c>
      <c r="N1170" s="2">
        <f ca="1">INDEX(INDIRECT(_xlfn.CONCAT("weather.tbl[",N$1,"]")),MATCH(vp.tbl[[#This Row],[SDate]],weather.tbl[Date],0))</f>
        <v>5.166666666666667</v>
      </c>
      <c r="O1170" s="2">
        <f ca="1">INDEX(INDIRECT(_xlfn.CONCAT("weather.tbl[",O$1,"]")),MATCH(vp.tbl[[#This Row],[SDate]],weather.tbl[Date],0))</f>
        <v>5.9857142857142858</v>
      </c>
      <c r="P1170" s="2">
        <f ca="1">INDEX(INDIRECT(_xlfn.CONCAT("weather.tbl[",P$1,"]")),MATCH(vp.tbl[[#This Row],[SDate]],weather.tbl[Date],0))</f>
        <v>5.2</v>
      </c>
      <c r="Q1170" s="2">
        <f ca="1">INDEX(INDIRECT(_xlfn.CONCAT("weather.tbl[",Q$1,"]")),MATCH(vp.tbl[[#This Row],[SDate]],weather.tbl[Date],0))</f>
        <v>4.0999999999999996</v>
      </c>
      <c r="R1170" s="2">
        <f ca="1">INDEX(INDIRECT(_xlfn.CONCAT("weather.tbl[",R$1,"]")),MATCH(vp.tbl[[#This Row],[SDate]],weather.tbl[Date],0))</f>
        <v>6.5</v>
      </c>
      <c r="S1170" s="2">
        <f ca="1">INDEX(INDIRECT(_xlfn.CONCAT("weather.tbl[",S$1,"]")),MATCH(vp.tbl[[#This Row],[SDate]],weather.tbl[Date],0))</f>
        <v>4.4000000000000004</v>
      </c>
      <c r="T1170" s="2">
        <f ca="1">INDEX(INDIRECT(_xlfn.CONCAT("weather.tbl[",T$1,"]")),MATCH(vp.tbl[[#This Row],[SDate]],weather.tbl[Date],0))</f>
        <v>6</v>
      </c>
      <c r="U1170" s="2">
        <f ca="1">INDEX(INDIRECT(_xlfn.CONCAT("weather.tbl[",U$1,"]")),MATCH(vp.tbl[[#This Row],[SDate]],weather.tbl[Date],0))</f>
        <v>4.8</v>
      </c>
      <c r="V1170" s="2">
        <v>6210.3829999999998</v>
      </c>
      <c r="W1170" t="s">
        <v>48</v>
      </c>
      <c r="X1170">
        <f>IF(OR(vp.tbl[[#This Row],[Sulf]]="",vp.tbl[[#This Row],[Dens]]=""),1,0)</f>
        <v>0</v>
      </c>
      <c r="Y1170">
        <f>IF(vp.tbl[[#This Row],[CrudeType]]="C5+",1,0)</f>
        <v>0</v>
      </c>
      <c r="Z1170">
        <f>IF(AND(vp.tbl[[#This Row],[CrudeType]]="Crude",vp.tbl[[#This Row],[Dens]]&lt;=825,vp.tbl[[#This Row],[Sulf]]&gt;0.5,vp.tbl[[#This Row],[Unknown]]=0),1,0)</f>
        <v>1</v>
      </c>
      <c r="AA1170">
        <f>IF(AND(vp.tbl[[#This Row],[CrudeType]]="Crude",vp.tbl[[#This Row],[Dens]]&lt;=825,vp.tbl[[#This Row],[Sulf]]&lt;=0.5,vp.tbl[[#This Row],[Unknown]]=0),1,0)</f>
        <v>0</v>
      </c>
      <c r="AB1170">
        <f>IF(AND(vp.tbl[[#This Row],[CrudeType]]="Crude",vp.tbl[[#This Row],[Dens]]&gt;825,vp.tbl[[#This Row],[Dens]]&lt;=870,vp.tbl[[#This Row],[Sulf]]&gt;0.5,vp.tbl[[#This Row],[Unknown]]=0),1,0)</f>
        <v>0</v>
      </c>
      <c r="AC1170">
        <f>IF(AND(vp.tbl[[#This Row],[CrudeType]]="Crude",vp.tbl[[#This Row],[Dens]]&gt;825,vp.tbl[[#This Row],[Dens]]&lt;=900,vp.tbl[[#This Row],[Sulf]]&lt;=0.5,vp.tbl[[#This Row],[Unknown]]=0),1,0)</f>
        <v>0</v>
      </c>
      <c r="AD1170">
        <f>IF(AND(vp.tbl[[#This Row],[CrudeType]]="Crude",vp.tbl[[#This Row],[Dens]]&gt;870,vp.tbl[[#This Row],[Dens]]&lt;=900,vp.tbl[[#This Row],[Sulf]]&gt;0.5,vp.tbl[[#This Row],[Unknown]]=0),1,0)</f>
        <v>0</v>
      </c>
      <c r="AE1170">
        <f>IF(AND(vp.tbl[[#This Row],[CrudeType]]="Crude",vp.tbl[[#This Row],[Dens]]&gt;900,vp.tbl[[#This Row],[Sulf]]&lt;=0.5,vp.tbl[[#This Row],[Unknown]]=0),1,0)</f>
        <v>0</v>
      </c>
      <c r="AF1170">
        <f>IF(AND(vp.tbl[[#This Row],[CrudeType]]="Crude",vp.tbl[[#This Row],[Dens]]&gt;900,vp.tbl[[#This Row],[Sulf]]&lt;=0.5,vp.tbl[[#This Row],[Unknown]]=0),1,0)</f>
        <v>0</v>
      </c>
      <c r="AG1170" t="str">
        <f>INDEX(vp.tbl[[#Headers],[Unknown]:[Heavy_SW]],MATCH(1,vp.tbl[[#This Row],[Unknown]:[Heavy_SW]],0))</f>
        <v>Light_LSB</v>
      </c>
      <c r="AH1170" t="e">
        <f>INDEX([1]!crudeBD.lkup[Number],MATCH(vp.tbl[[#This Row],[Crude_Breakdown]],[1]!crudeBD.lkup[Crude Breakdown],0))</f>
        <v>#REF!</v>
      </c>
      <c r="AI1170">
        <f>MONTH(vp.tbl[[#This Row],[SDate]])</f>
        <v>4</v>
      </c>
      <c r="AJ1170" s="5">
        <f>IFERROR(vp.tbl[[#This Row],[Sulf]]*vp.tbl[[#This Row],[Net Dens]],"")</f>
        <v>2599399.2773310002</v>
      </c>
      <c r="AK1170" s="5">
        <f>IFERROR(vp.tbl[[#This Row],[Dens]]*vp.tbl[[#This Row],[VolumeM3]],"")</f>
        <v>5096861.3281000005</v>
      </c>
      <c r="AL1170" s="5">
        <f>IFERROR(vp.tbl[[#This Row],[VP]]*vp.tbl[[#This Row],[VolumeM3]],"")</f>
        <v>429758.5036</v>
      </c>
      <c r="AM1170" s="4">
        <f>IFERROR((vp.tbl[[#This Row],[VP]]-INDEX(crudeBD.lkup.complete[Mean_VP],MATCH(vp.tbl[[#This Row],[Crude_Breakdown]],crudeBD.lkup.complete[Crude Breakdown],0)))^2,"")</f>
        <v>499.35200939526112</v>
      </c>
      <c r="AN1170" s="4">
        <f>IFERROR((vp.tbl[[#This Row],[Dens]]-INDEX(crudeBD.lkup.complete[Mean_Dens],MATCH(vp.tbl[[#This Row],[Crude_Breakdown]],crudeBD.lkup.complete[Crude Breakdown],0)))^2,"")</f>
        <v>4.7664942832528308</v>
      </c>
      <c r="AO1170" s="4">
        <f>IFERROR((vp.tbl[[#This Row],[Sulf]]-INDEX(crudeBD.lkup.complete[Mean_Sulf],MATCH(vp.tbl[[#This Row],[Crude_Breakdown]],crudeBD.lkup.complete[Crude Breakdown],0)))^2,"")</f>
        <v>0.17054518591717246</v>
      </c>
      <c r="AP1170">
        <f>IF(AND(vp.tbl[[#This Row],[SDate]]&gt;=DATE(YEAR(vp.tbl[[#This Row],[SDate]]),5,1),vp.tbl[[#This Row],[SDate]]&lt;=DATE(YEAR(vp.tbl[[#This Row],[SDate]]),9,15)),1,0)</f>
        <v>0</v>
      </c>
      <c r="AQ1170" s="15">
        <f>IF(vp.tbl[[#This Row],[SDate]]&lt;DATE(2016,12,1),0,1)</f>
        <v>1</v>
      </c>
    </row>
    <row r="1171" spans="1:43" x14ac:dyDescent="0.25">
      <c r="A1171">
        <v>1170</v>
      </c>
      <c r="B1171" t="s">
        <v>51</v>
      </c>
      <c r="C1171" t="s">
        <v>51</v>
      </c>
      <c r="D1171" t="s">
        <v>66</v>
      </c>
      <c r="F1171" s="1">
        <v>42829</v>
      </c>
      <c r="G1171" s="2">
        <v>86.2</v>
      </c>
      <c r="H1171" s="2"/>
      <c r="I1171" s="2">
        <v>1.52</v>
      </c>
      <c r="J1171" s="2">
        <v>9.1</v>
      </c>
      <c r="K1171" s="2">
        <v>6</v>
      </c>
      <c r="L1171" s="2">
        <v>825.7</v>
      </c>
      <c r="M1171" s="2">
        <v>825.7</v>
      </c>
      <c r="N1171" s="2">
        <f ca="1">INDEX(INDIRECT(_xlfn.CONCAT("weather.tbl[",N$1,"]")),MATCH(vp.tbl[[#This Row],[SDate]],weather.tbl[Date],0))</f>
        <v>5.166666666666667</v>
      </c>
      <c r="O1171" s="2">
        <f ca="1">INDEX(INDIRECT(_xlfn.CONCAT("weather.tbl[",O$1,"]")),MATCH(vp.tbl[[#This Row],[SDate]],weather.tbl[Date],0))</f>
        <v>5.9857142857142858</v>
      </c>
      <c r="P1171" s="2">
        <f ca="1">INDEX(INDIRECT(_xlfn.CONCAT("weather.tbl[",P$1,"]")),MATCH(vp.tbl[[#This Row],[SDate]],weather.tbl[Date],0))</f>
        <v>5.2</v>
      </c>
      <c r="Q1171" s="2">
        <f ca="1">INDEX(INDIRECT(_xlfn.CONCAT("weather.tbl[",Q$1,"]")),MATCH(vp.tbl[[#This Row],[SDate]],weather.tbl[Date],0))</f>
        <v>4.0999999999999996</v>
      </c>
      <c r="R1171" s="2">
        <f ca="1">INDEX(INDIRECT(_xlfn.CONCAT("weather.tbl[",R$1,"]")),MATCH(vp.tbl[[#This Row],[SDate]],weather.tbl[Date],0))</f>
        <v>6.5</v>
      </c>
      <c r="S1171" s="2">
        <f ca="1">INDEX(INDIRECT(_xlfn.CONCAT("weather.tbl[",S$1,"]")),MATCH(vp.tbl[[#This Row],[SDate]],weather.tbl[Date],0))</f>
        <v>4.4000000000000004</v>
      </c>
      <c r="T1171" s="2">
        <f ca="1">INDEX(INDIRECT(_xlfn.CONCAT("weather.tbl[",T$1,"]")),MATCH(vp.tbl[[#This Row],[SDate]],weather.tbl[Date],0))</f>
        <v>6</v>
      </c>
      <c r="U1171" s="2">
        <f ca="1">INDEX(INDIRECT(_xlfn.CONCAT("weather.tbl[",U$1,"]")),MATCH(vp.tbl[[#This Row],[SDate]],weather.tbl[Date],0))</f>
        <v>4.8</v>
      </c>
      <c r="V1171" s="2">
        <v>3352.8609999999999</v>
      </c>
      <c r="W1171" t="s">
        <v>48</v>
      </c>
      <c r="X1171">
        <f>IF(OR(vp.tbl[[#This Row],[Sulf]]="",vp.tbl[[#This Row],[Dens]]=""),1,0)</f>
        <v>0</v>
      </c>
      <c r="Y1171">
        <f>IF(vp.tbl[[#This Row],[CrudeType]]="C5+",1,0)</f>
        <v>0</v>
      </c>
      <c r="Z1171">
        <f>IF(AND(vp.tbl[[#This Row],[CrudeType]]="Crude",vp.tbl[[#This Row],[Dens]]&lt;=825,vp.tbl[[#This Row],[Sulf]]&gt;0.5,vp.tbl[[#This Row],[Unknown]]=0),1,0)</f>
        <v>0</v>
      </c>
      <c r="AA1171">
        <f>IF(AND(vp.tbl[[#This Row],[CrudeType]]="Crude",vp.tbl[[#This Row],[Dens]]&lt;=825,vp.tbl[[#This Row],[Sulf]]&lt;=0.5,vp.tbl[[#This Row],[Unknown]]=0),1,0)</f>
        <v>0</v>
      </c>
      <c r="AB1171">
        <f>IF(AND(vp.tbl[[#This Row],[CrudeType]]="Crude",vp.tbl[[#This Row],[Dens]]&gt;825,vp.tbl[[#This Row],[Dens]]&lt;=870,vp.tbl[[#This Row],[Sulf]]&gt;0.5,vp.tbl[[#This Row],[Unknown]]=0),1,0)</f>
        <v>1</v>
      </c>
      <c r="AC1171">
        <f>IF(AND(vp.tbl[[#This Row],[CrudeType]]="Crude",vp.tbl[[#This Row],[Dens]]&gt;825,vp.tbl[[#This Row],[Dens]]&lt;=900,vp.tbl[[#This Row],[Sulf]]&lt;=0.5,vp.tbl[[#This Row],[Unknown]]=0),1,0)</f>
        <v>0</v>
      </c>
      <c r="AD1171">
        <f>IF(AND(vp.tbl[[#This Row],[CrudeType]]="Crude",vp.tbl[[#This Row],[Dens]]&gt;870,vp.tbl[[#This Row],[Dens]]&lt;=900,vp.tbl[[#This Row],[Sulf]]&gt;0.5,vp.tbl[[#This Row],[Unknown]]=0),1,0)</f>
        <v>0</v>
      </c>
      <c r="AE1171">
        <f>IF(AND(vp.tbl[[#This Row],[CrudeType]]="Crude",vp.tbl[[#This Row],[Dens]]&gt;900,vp.tbl[[#This Row],[Sulf]]&lt;=0.5,vp.tbl[[#This Row],[Unknown]]=0),1,0)</f>
        <v>0</v>
      </c>
      <c r="AF1171">
        <f>IF(AND(vp.tbl[[#This Row],[CrudeType]]="Crude",vp.tbl[[#This Row],[Dens]]&gt;900,vp.tbl[[#This Row],[Sulf]]&lt;=0.5,vp.tbl[[#This Row],[Unknown]]=0),1,0)</f>
        <v>0</v>
      </c>
      <c r="AG1171" t="str">
        <f>INDEX(vp.tbl[[#Headers],[Unknown]:[Heavy_SW]],MATCH(1,vp.tbl[[#This Row],[Unknown]:[Heavy_SW]],0))</f>
        <v>Medium_LSB</v>
      </c>
      <c r="AH1171" t="e">
        <f>INDEX([1]!crudeBD.lkup[Number],MATCH(vp.tbl[[#This Row],[Crude_Breakdown]],[1]!crudeBD.lkup[Crude Breakdown],0))</f>
        <v>#REF!</v>
      </c>
      <c r="AI1171">
        <f>MONTH(vp.tbl[[#This Row],[SDate]])</f>
        <v>4</v>
      </c>
      <c r="AJ1171" s="5">
        <f>IFERROR(vp.tbl[[#This Row],[Sulf]]*vp.tbl[[#This Row],[Net Dens]],"")</f>
        <v>4208055.1381040001</v>
      </c>
      <c r="AK1171" s="5">
        <f>IFERROR(vp.tbl[[#This Row],[Dens]]*vp.tbl[[#This Row],[VolumeM3]],"")</f>
        <v>2768457.3277000003</v>
      </c>
      <c r="AL1171" s="5">
        <f>IFERROR(vp.tbl[[#This Row],[VP]]*vp.tbl[[#This Row],[VolumeM3]],"")</f>
        <v>289016.61820000003</v>
      </c>
      <c r="AM1171" s="4">
        <f>IFERROR((vp.tbl[[#This Row],[VP]]-INDEX(crudeBD.lkup.complete[Mean_VP],MATCH(vp.tbl[[#This Row],[Crude_Breakdown]],crudeBD.lkup.complete[Crude Breakdown],0)))^2,"")</f>
        <v>36.317557986861559</v>
      </c>
      <c r="AN1171" s="4">
        <f>IFERROR((vp.tbl[[#This Row],[Dens]]-INDEX(crudeBD.lkup.complete[Mean_Dens],MATCH(vp.tbl[[#This Row],[Crude_Breakdown]],crudeBD.lkup.complete[Crude Breakdown],0)))^2,"")</f>
        <v>383.83952003136488</v>
      </c>
      <c r="AO1171" s="4">
        <f>IFERROR((vp.tbl[[#This Row],[Sulf]]-INDEX(crudeBD.lkup.complete[Mean_Sulf],MATCH(vp.tbl[[#This Row],[Crude_Breakdown]],crudeBD.lkup.complete[Crude Breakdown],0)))^2,"")</f>
        <v>4.2341230207786906E-3</v>
      </c>
      <c r="AP1171">
        <f>IF(AND(vp.tbl[[#This Row],[SDate]]&gt;=DATE(YEAR(vp.tbl[[#This Row],[SDate]]),5,1),vp.tbl[[#This Row],[SDate]]&lt;=DATE(YEAR(vp.tbl[[#This Row],[SDate]]),9,15)),1,0)</f>
        <v>0</v>
      </c>
      <c r="AQ1171" s="15">
        <f>IF(vp.tbl[[#This Row],[SDate]]&lt;DATE(2016,12,1),0,1)</f>
        <v>1</v>
      </c>
    </row>
    <row r="1172" spans="1:43" x14ac:dyDescent="0.25">
      <c r="A1172">
        <v>1171</v>
      </c>
      <c r="B1172" t="s">
        <v>51</v>
      </c>
      <c r="C1172" t="s">
        <v>51</v>
      </c>
      <c r="D1172" t="s">
        <v>72</v>
      </c>
      <c r="F1172" s="1">
        <v>42829</v>
      </c>
      <c r="G1172" s="2">
        <v>87.3</v>
      </c>
      <c r="H1172" s="2"/>
      <c r="I1172" s="2">
        <v>1.04</v>
      </c>
      <c r="J1172" s="2">
        <v>31.9</v>
      </c>
      <c r="K1172" s="2">
        <v>6</v>
      </c>
      <c r="L1172" s="2">
        <v>829.6</v>
      </c>
      <c r="M1172" s="2">
        <v>829.6</v>
      </c>
      <c r="N1172" s="2">
        <f ca="1">INDEX(INDIRECT(_xlfn.CONCAT("weather.tbl[",N$1,"]")),MATCH(vp.tbl[[#This Row],[SDate]],weather.tbl[Date],0))</f>
        <v>5.166666666666667</v>
      </c>
      <c r="O1172" s="2">
        <f ca="1">INDEX(INDIRECT(_xlfn.CONCAT("weather.tbl[",O$1,"]")),MATCH(vp.tbl[[#This Row],[SDate]],weather.tbl[Date],0))</f>
        <v>5.9857142857142858</v>
      </c>
      <c r="P1172" s="2">
        <f ca="1">INDEX(INDIRECT(_xlfn.CONCAT("weather.tbl[",P$1,"]")),MATCH(vp.tbl[[#This Row],[SDate]],weather.tbl[Date],0))</f>
        <v>5.2</v>
      </c>
      <c r="Q1172" s="2">
        <f ca="1">INDEX(INDIRECT(_xlfn.CONCAT("weather.tbl[",Q$1,"]")),MATCH(vp.tbl[[#This Row],[SDate]],weather.tbl[Date],0))</f>
        <v>4.0999999999999996</v>
      </c>
      <c r="R1172" s="2">
        <f ca="1">INDEX(INDIRECT(_xlfn.CONCAT("weather.tbl[",R$1,"]")),MATCH(vp.tbl[[#This Row],[SDate]],weather.tbl[Date],0))</f>
        <v>6.5</v>
      </c>
      <c r="S1172" s="2">
        <f ca="1">INDEX(INDIRECT(_xlfn.CONCAT("weather.tbl[",S$1,"]")),MATCH(vp.tbl[[#This Row],[SDate]],weather.tbl[Date],0))</f>
        <v>4.4000000000000004</v>
      </c>
      <c r="T1172" s="2">
        <f ca="1">INDEX(INDIRECT(_xlfn.CONCAT("weather.tbl[",T$1,"]")),MATCH(vp.tbl[[#This Row],[SDate]],weather.tbl[Date],0))</f>
        <v>6</v>
      </c>
      <c r="U1172" s="2">
        <f ca="1">INDEX(INDIRECT(_xlfn.CONCAT("weather.tbl[",U$1,"]")),MATCH(vp.tbl[[#This Row],[SDate]],weather.tbl[Date],0))</f>
        <v>4.8</v>
      </c>
      <c r="V1172" s="2">
        <v>12874.832</v>
      </c>
      <c r="W1172" t="s">
        <v>48</v>
      </c>
      <c r="X1172">
        <f>IF(OR(vp.tbl[[#This Row],[Sulf]]="",vp.tbl[[#This Row],[Dens]]=""),1,0)</f>
        <v>0</v>
      </c>
      <c r="Y1172">
        <f>IF(vp.tbl[[#This Row],[CrudeType]]="C5+",1,0)</f>
        <v>0</v>
      </c>
      <c r="Z1172">
        <f>IF(AND(vp.tbl[[#This Row],[CrudeType]]="Crude",vp.tbl[[#This Row],[Dens]]&lt;=825,vp.tbl[[#This Row],[Sulf]]&gt;0.5,vp.tbl[[#This Row],[Unknown]]=0),1,0)</f>
        <v>0</v>
      </c>
      <c r="AA1172">
        <f>IF(AND(vp.tbl[[#This Row],[CrudeType]]="Crude",vp.tbl[[#This Row],[Dens]]&lt;=825,vp.tbl[[#This Row],[Sulf]]&lt;=0.5,vp.tbl[[#This Row],[Unknown]]=0),1,0)</f>
        <v>0</v>
      </c>
      <c r="AB1172">
        <f>IF(AND(vp.tbl[[#This Row],[CrudeType]]="Crude",vp.tbl[[#This Row],[Dens]]&gt;825,vp.tbl[[#This Row],[Dens]]&lt;=870,vp.tbl[[#This Row],[Sulf]]&gt;0.5,vp.tbl[[#This Row],[Unknown]]=0),1,0)</f>
        <v>1</v>
      </c>
      <c r="AC1172">
        <f>IF(AND(vp.tbl[[#This Row],[CrudeType]]="Crude",vp.tbl[[#This Row],[Dens]]&gt;825,vp.tbl[[#This Row],[Dens]]&lt;=900,vp.tbl[[#This Row],[Sulf]]&lt;=0.5,vp.tbl[[#This Row],[Unknown]]=0),1,0)</f>
        <v>0</v>
      </c>
      <c r="AD1172">
        <f>IF(AND(vp.tbl[[#This Row],[CrudeType]]="Crude",vp.tbl[[#This Row],[Dens]]&gt;870,vp.tbl[[#This Row],[Dens]]&lt;=900,vp.tbl[[#This Row],[Sulf]]&gt;0.5,vp.tbl[[#This Row],[Unknown]]=0),1,0)</f>
        <v>0</v>
      </c>
      <c r="AE1172">
        <f>IF(AND(vp.tbl[[#This Row],[CrudeType]]="Crude",vp.tbl[[#This Row],[Dens]]&gt;900,vp.tbl[[#This Row],[Sulf]]&lt;=0.5,vp.tbl[[#This Row],[Unknown]]=0),1,0)</f>
        <v>0</v>
      </c>
      <c r="AF1172">
        <f>IF(AND(vp.tbl[[#This Row],[CrudeType]]="Crude",vp.tbl[[#This Row],[Dens]]&gt;900,vp.tbl[[#This Row],[Sulf]]&lt;=0.5,vp.tbl[[#This Row],[Unknown]]=0),1,0)</f>
        <v>0</v>
      </c>
      <c r="AG1172" t="str">
        <f>INDEX(vp.tbl[[#Headers],[Unknown]:[Heavy_SW]],MATCH(1,vp.tbl[[#This Row],[Unknown]:[Heavy_SW]],0))</f>
        <v>Medium_LSB</v>
      </c>
      <c r="AH1172" t="e">
        <f>INDEX([1]!crudeBD.lkup[Number],MATCH(vp.tbl[[#This Row],[Crude_Breakdown]],[1]!crudeBD.lkup[Crude Breakdown],0))</f>
        <v>#REF!</v>
      </c>
      <c r="AI1172">
        <f>MONTH(vp.tbl[[#This Row],[SDate]])</f>
        <v>4</v>
      </c>
      <c r="AJ1172" s="5">
        <f>IFERROR(vp.tbl[[#This Row],[Sulf]]*vp.tbl[[#This Row],[Net Dens]],"")</f>
        <v>11108199.052288</v>
      </c>
      <c r="AK1172" s="5">
        <f>IFERROR(vp.tbl[[#This Row],[Dens]]*vp.tbl[[#This Row],[VolumeM3]],"")</f>
        <v>10680960.6272</v>
      </c>
      <c r="AL1172" s="5">
        <f>IFERROR(vp.tbl[[#This Row],[VP]]*vp.tbl[[#This Row],[VolumeM3]],"")</f>
        <v>1123972.8336</v>
      </c>
      <c r="AM1172" s="4">
        <f>IFERROR((vp.tbl[[#This Row],[VP]]-INDEX(crudeBD.lkup.complete[Mean_VP],MATCH(vp.tbl[[#This Row],[Crude_Breakdown]],crudeBD.lkup.complete[Crude Breakdown],0)))^2,"")</f>
        <v>50.785649126102072</v>
      </c>
      <c r="AN1172" s="4">
        <f>IFERROR((vp.tbl[[#This Row],[Dens]]-INDEX(crudeBD.lkup.complete[Mean_Dens],MATCH(vp.tbl[[#This Row],[Crude_Breakdown]],crudeBD.lkup.complete[Crude Breakdown],0)))^2,"")</f>
        <v>246.23330230985462</v>
      </c>
      <c r="AO1172" s="4">
        <f>IFERROR((vp.tbl[[#This Row],[Sulf]]-INDEX(crudeBD.lkup.complete[Mean_Sulf],MATCH(vp.tbl[[#This Row],[Crude_Breakdown]],crudeBD.lkup.complete[Crude Breakdown],0)))^2,"")</f>
        <v>0.17216678934989402</v>
      </c>
      <c r="AP1172">
        <f>IF(AND(vp.tbl[[#This Row],[SDate]]&gt;=DATE(YEAR(vp.tbl[[#This Row],[SDate]]),5,1),vp.tbl[[#This Row],[SDate]]&lt;=DATE(YEAR(vp.tbl[[#This Row],[SDate]]),9,15)),1,0)</f>
        <v>0</v>
      </c>
      <c r="AQ1172" s="15">
        <f>IF(vp.tbl[[#This Row],[SDate]]&lt;DATE(2016,12,1),0,1)</f>
        <v>1</v>
      </c>
    </row>
    <row r="1173" spans="1:43" x14ac:dyDescent="0.25">
      <c r="A1173">
        <v>1172</v>
      </c>
      <c r="B1173" t="s">
        <v>108</v>
      </c>
      <c r="C1173" t="s">
        <v>108</v>
      </c>
      <c r="D1173" t="s">
        <v>109</v>
      </c>
      <c r="F1173" s="1">
        <v>42829</v>
      </c>
      <c r="G1173" s="2">
        <v>85.1</v>
      </c>
      <c r="H1173" s="2"/>
      <c r="I1173" s="2">
        <v>0.76</v>
      </c>
      <c r="J1173" s="2">
        <v>27.2</v>
      </c>
      <c r="K1173" s="2">
        <v>6</v>
      </c>
      <c r="L1173" s="2">
        <v>834.7</v>
      </c>
      <c r="M1173" s="2">
        <v>834.7</v>
      </c>
      <c r="N1173" s="2">
        <f ca="1">INDEX(INDIRECT(_xlfn.CONCAT("weather.tbl[",N$1,"]")),MATCH(vp.tbl[[#This Row],[SDate]],weather.tbl[Date],0))</f>
        <v>5.166666666666667</v>
      </c>
      <c r="O1173" s="2">
        <f ca="1">INDEX(INDIRECT(_xlfn.CONCAT("weather.tbl[",O$1,"]")),MATCH(vp.tbl[[#This Row],[SDate]],weather.tbl[Date],0))</f>
        <v>5.9857142857142858</v>
      </c>
      <c r="P1173" s="2">
        <f ca="1">INDEX(INDIRECT(_xlfn.CONCAT("weather.tbl[",P$1,"]")),MATCH(vp.tbl[[#This Row],[SDate]],weather.tbl[Date],0))</f>
        <v>5.2</v>
      </c>
      <c r="Q1173" s="2">
        <f ca="1">INDEX(INDIRECT(_xlfn.CONCAT("weather.tbl[",Q$1,"]")),MATCH(vp.tbl[[#This Row],[SDate]],weather.tbl[Date],0))</f>
        <v>4.0999999999999996</v>
      </c>
      <c r="R1173" s="2">
        <f ca="1">INDEX(INDIRECT(_xlfn.CONCAT("weather.tbl[",R$1,"]")),MATCH(vp.tbl[[#This Row],[SDate]],weather.tbl[Date],0))</f>
        <v>6.5</v>
      </c>
      <c r="S1173" s="2">
        <f ca="1">INDEX(INDIRECT(_xlfn.CONCAT("weather.tbl[",S$1,"]")),MATCH(vp.tbl[[#This Row],[SDate]],weather.tbl[Date],0))</f>
        <v>4.4000000000000004</v>
      </c>
      <c r="T1173" s="2">
        <f ca="1">INDEX(INDIRECT(_xlfn.CONCAT("weather.tbl[",T$1,"]")),MATCH(vp.tbl[[#This Row],[SDate]],weather.tbl[Date],0))</f>
        <v>6</v>
      </c>
      <c r="U1173" s="2">
        <f ca="1">INDEX(INDIRECT(_xlfn.CONCAT("weather.tbl[",U$1,"]")),MATCH(vp.tbl[[#This Row],[SDate]],weather.tbl[Date],0))</f>
        <v>4.8</v>
      </c>
      <c r="V1173" s="2">
        <v>12560.075999999999</v>
      </c>
      <c r="W1173" t="s">
        <v>48</v>
      </c>
      <c r="X1173">
        <f>IF(OR(vp.tbl[[#This Row],[Sulf]]="",vp.tbl[[#This Row],[Dens]]=""),1,0)</f>
        <v>0</v>
      </c>
      <c r="Y1173">
        <f>IF(vp.tbl[[#This Row],[CrudeType]]="C5+",1,0)</f>
        <v>0</v>
      </c>
      <c r="Z1173">
        <f>IF(AND(vp.tbl[[#This Row],[CrudeType]]="Crude",vp.tbl[[#This Row],[Dens]]&lt;=825,vp.tbl[[#This Row],[Sulf]]&gt;0.5,vp.tbl[[#This Row],[Unknown]]=0),1,0)</f>
        <v>0</v>
      </c>
      <c r="AA1173">
        <f>IF(AND(vp.tbl[[#This Row],[CrudeType]]="Crude",vp.tbl[[#This Row],[Dens]]&lt;=825,vp.tbl[[#This Row],[Sulf]]&lt;=0.5,vp.tbl[[#This Row],[Unknown]]=0),1,0)</f>
        <v>0</v>
      </c>
      <c r="AB1173">
        <f>IF(AND(vp.tbl[[#This Row],[CrudeType]]="Crude",vp.tbl[[#This Row],[Dens]]&gt;825,vp.tbl[[#This Row],[Dens]]&lt;=870,vp.tbl[[#This Row],[Sulf]]&gt;0.5,vp.tbl[[#This Row],[Unknown]]=0),1,0)</f>
        <v>1</v>
      </c>
      <c r="AC1173">
        <f>IF(AND(vp.tbl[[#This Row],[CrudeType]]="Crude",vp.tbl[[#This Row],[Dens]]&gt;825,vp.tbl[[#This Row],[Dens]]&lt;=900,vp.tbl[[#This Row],[Sulf]]&lt;=0.5,vp.tbl[[#This Row],[Unknown]]=0),1,0)</f>
        <v>0</v>
      </c>
      <c r="AD1173">
        <f>IF(AND(vp.tbl[[#This Row],[CrudeType]]="Crude",vp.tbl[[#This Row],[Dens]]&gt;870,vp.tbl[[#This Row],[Dens]]&lt;=900,vp.tbl[[#This Row],[Sulf]]&gt;0.5,vp.tbl[[#This Row],[Unknown]]=0),1,0)</f>
        <v>0</v>
      </c>
      <c r="AE1173">
        <f>IF(AND(vp.tbl[[#This Row],[CrudeType]]="Crude",vp.tbl[[#This Row],[Dens]]&gt;900,vp.tbl[[#This Row],[Sulf]]&lt;=0.5,vp.tbl[[#This Row],[Unknown]]=0),1,0)</f>
        <v>0</v>
      </c>
      <c r="AF1173">
        <f>IF(AND(vp.tbl[[#This Row],[CrudeType]]="Crude",vp.tbl[[#This Row],[Dens]]&gt;900,vp.tbl[[#This Row],[Sulf]]&lt;=0.5,vp.tbl[[#This Row],[Unknown]]=0),1,0)</f>
        <v>0</v>
      </c>
      <c r="AG1173" t="str">
        <f>INDEX(vp.tbl[[#Headers],[Unknown]:[Heavy_SW]],MATCH(1,vp.tbl[[#This Row],[Unknown]:[Heavy_SW]],0))</f>
        <v>Medium_LSB</v>
      </c>
      <c r="AH1173" t="e">
        <f>INDEX([1]!crudeBD.lkup[Number],MATCH(vp.tbl[[#This Row],[Crude_Breakdown]],[1]!crudeBD.lkup[Crude Breakdown],0))</f>
        <v>#REF!</v>
      </c>
      <c r="AI1173">
        <f>MONTH(vp.tbl[[#This Row],[SDate]])</f>
        <v>4</v>
      </c>
      <c r="AJ1173" s="5">
        <f>IFERROR(vp.tbl[[#This Row],[Sulf]]*vp.tbl[[#This Row],[Net Dens]],"")</f>
        <v>7967760.5322720008</v>
      </c>
      <c r="AK1173" s="5">
        <f>IFERROR(vp.tbl[[#This Row],[Dens]]*vp.tbl[[#This Row],[VolumeM3]],"")</f>
        <v>10483895.437200001</v>
      </c>
      <c r="AL1173" s="5">
        <f>IFERROR(vp.tbl[[#This Row],[VP]]*vp.tbl[[#This Row],[VolumeM3]],"")</f>
        <v>1068862.4675999999</v>
      </c>
      <c r="AM1173" s="4">
        <f>IFERROR((vp.tbl[[#This Row],[VP]]-INDEX(crudeBD.lkup.complete[Mean_VP],MATCH(vp.tbl[[#This Row],[Crude_Breakdown]],crudeBD.lkup.complete[Crude Breakdown],0)))^2,"")</f>
        <v>24.26946684762088</v>
      </c>
      <c r="AN1173" s="4">
        <f>IFERROR((vp.tbl[[#This Row],[Dens]]-INDEX(crudeBD.lkup.complete[Mean_Dens],MATCH(vp.tbl[[#This Row],[Crude_Breakdown]],crudeBD.lkup.complete[Crude Breakdown],0)))^2,"")</f>
        <v>112.18670990480112</v>
      </c>
      <c r="AO1173" s="4">
        <f>IFERROR((vp.tbl[[#This Row],[Sulf]]-INDEX(crudeBD.lkup.complete[Mean_Sulf],MATCH(vp.tbl[[#This Row],[Crude_Breakdown]],crudeBD.lkup.complete[Crude Breakdown],0)))^2,"")</f>
        <v>0.48292751137521128</v>
      </c>
      <c r="AP1173">
        <f>IF(AND(vp.tbl[[#This Row],[SDate]]&gt;=DATE(YEAR(vp.tbl[[#This Row],[SDate]]),5,1),vp.tbl[[#This Row],[SDate]]&lt;=DATE(YEAR(vp.tbl[[#This Row],[SDate]]),9,15)),1,0)</f>
        <v>0</v>
      </c>
      <c r="AQ1173" s="15">
        <f>IF(vp.tbl[[#This Row],[SDate]]&lt;DATE(2016,12,1),0,1)</f>
        <v>1</v>
      </c>
    </row>
    <row r="1174" spans="1:43" x14ac:dyDescent="0.25">
      <c r="A1174">
        <v>1173</v>
      </c>
      <c r="B1174" t="s">
        <v>68</v>
      </c>
      <c r="C1174" t="s">
        <v>68</v>
      </c>
      <c r="D1174" t="s">
        <v>98</v>
      </c>
      <c r="F1174" s="1">
        <v>42829</v>
      </c>
      <c r="G1174" s="2">
        <v>58.3</v>
      </c>
      <c r="H1174" s="2"/>
      <c r="I1174" s="2">
        <v>1.35</v>
      </c>
      <c r="J1174" s="2">
        <v>36.6</v>
      </c>
      <c r="K1174" s="2">
        <v>6</v>
      </c>
      <c r="L1174" s="2">
        <v>851.7</v>
      </c>
      <c r="M1174" s="2">
        <v>851.7</v>
      </c>
      <c r="N1174" s="2">
        <f ca="1">INDEX(INDIRECT(_xlfn.CONCAT("weather.tbl[",N$1,"]")),MATCH(vp.tbl[[#This Row],[SDate]],weather.tbl[Date],0))</f>
        <v>5.166666666666667</v>
      </c>
      <c r="O1174" s="2">
        <f ca="1">INDEX(INDIRECT(_xlfn.CONCAT("weather.tbl[",O$1,"]")),MATCH(vp.tbl[[#This Row],[SDate]],weather.tbl[Date],0))</f>
        <v>5.9857142857142858</v>
      </c>
      <c r="P1174" s="2">
        <f ca="1">INDEX(INDIRECT(_xlfn.CONCAT("weather.tbl[",P$1,"]")),MATCH(vp.tbl[[#This Row],[SDate]],weather.tbl[Date],0))</f>
        <v>5.2</v>
      </c>
      <c r="Q1174" s="2">
        <f ca="1">INDEX(INDIRECT(_xlfn.CONCAT("weather.tbl[",Q$1,"]")),MATCH(vp.tbl[[#This Row],[SDate]],weather.tbl[Date],0))</f>
        <v>4.0999999999999996</v>
      </c>
      <c r="R1174" s="2">
        <f ca="1">INDEX(INDIRECT(_xlfn.CONCAT("weather.tbl[",R$1,"]")),MATCH(vp.tbl[[#This Row],[SDate]],weather.tbl[Date],0))</f>
        <v>6.5</v>
      </c>
      <c r="S1174" s="2">
        <f ca="1">INDEX(INDIRECT(_xlfn.CONCAT("weather.tbl[",S$1,"]")),MATCH(vp.tbl[[#This Row],[SDate]],weather.tbl[Date],0))</f>
        <v>4.4000000000000004</v>
      </c>
      <c r="T1174" s="2">
        <f ca="1">INDEX(INDIRECT(_xlfn.CONCAT("weather.tbl[",T$1,"]")),MATCH(vp.tbl[[#This Row],[SDate]],weather.tbl[Date],0))</f>
        <v>6</v>
      </c>
      <c r="U1174" s="2">
        <f ca="1">INDEX(INDIRECT(_xlfn.CONCAT("weather.tbl[",U$1,"]")),MATCH(vp.tbl[[#This Row],[SDate]],weather.tbl[Date],0))</f>
        <v>4.8</v>
      </c>
      <c r="V1174" s="2">
        <v>4664.6729999999998</v>
      </c>
      <c r="W1174" t="s">
        <v>48</v>
      </c>
      <c r="X1174">
        <f>IF(OR(vp.tbl[[#This Row],[Sulf]]="",vp.tbl[[#This Row],[Dens]]=""),1,0)</f>
        <v>0</v>
      </c>
      <c r="Y1174">
        <f>IF(vp.tbl[[#This Row],[CrudeType]]="C5+",1,0)</f>
        <v>0</v>
      </c>
      <c r="Z1174">
        <f>IF(AND(vp.tbl[[#This Row],[CrudeType]]="Crude",vp.tbl[[#This Row],[Dens]]&lt;=825,vp.tbl[[#This Row],[Sulf]]&gt;0.5,vp.tbl[[#This Row],[Unknown]]=0),1,0)</f>
        <v>0</v>
      </c>
      <c r="AA1174">
        <f>IF(AND(vp.tbl[[#This Row],[CrudeType]]="Crude",vp.tbl[[#This Row],[Dens]]&lt;=825,vp.tbl[[#This Row],[Sulf]]&lt;=0.5,vp.tbl[[#This Row],[Unknown]]=0),1,0)</f>
        <v>0</v>
      </c>
      <c r="AB1174">
        <f>IF(AND(vp.tbl[[#This Row],[CrudeType]]="Crude",vp.tbl[[#This Row],[Dens]]&gt;825,vp.tbl[[#This Row],[Dens]]&lt;=870,vp.tbl[[#This Row],[Sulf]]&gt;0.5,vp.tbl[[#This Row],[Unknown]]=0),1,0)</f>
        <v>1</v>
      </c>
      <c r="AC1174">
        <f>IF(AND(vp.tbl[[#This Row],[CrudeType]]="Crude",vp.tbl[[#This Row],[Dens]]&gt;825,vp.tbl[[#This Row],[Dens]]&lt;=900,vp.tbl[[#This Row],[Sulf]]&lt;=0.5,vp.tbl[[#This Row],[Unknown]]=0),1,0)</f>
        <v>0</v>
      </c>
      <c r="AD1174">
        <f>IF(AND(vp.tbl[[#This Row],[CrudeType]]="Crude",vp.tbl[[#This Row],[Dens]]&gt;870,vp.tbl[[#This Row],[Dens]]&lt;=900,vp.tbl[[#This Row],[Sulf]]&gt;0.5,vp.tbl[[#This Row],[Unknown]]=0),1,0)</f>
        <v>0</v>
      </c>
      <c r="AE1174">
        <f>IF(AND(vp.tbl[[#This Row],[CrudeType]]="Crude",vp.tbl[[#This Row],[Dens]]&gt;900,vp.tbl[[#This Row],[Sulf]]&lt;=0.5,vp.tbl[[#This Row],[Unknown]]=0),1,0)</f>
        <v>0</v>
      </c>
      <c r="AF1174">
        <f>IF(AND(vp.tbl[[#This Row],[CrudeType]]="Crude",vp.tbl[[#This Row],[Dens]]&gt;900,vp.tbl[[#This Row],[Sulf]]&lt;=0.5,vp.tbl[[#This Row],[Unknown]]=0),1,0)</f>
        <v>0</v>
      </c>
      <c r="AG1174" t="str">
        <f>INDEX(vp.tbl[[#Headers],[Unknown]:[Heavy_SW]],MATCH(1,vp.tbl[[#This Row],[Unknown]:[Heavy_SW]],0))</f>
        <v>Medium_LSB</v>
      </c>
      <c r="AH1174" t="e">
        <f>INDEX([1]!crudeBD.lkup[Number],MATCH(vp.tbl[[#This Row],[Crude_Breakdown]],[1]!crudeBD.lkup[Crude Breakdown],0))</f>
        <v>#REF!</v>
      </c>
      <c r="AI1174">
        <f>MONTH(vp.tbl[[#This Row],[SDate]])</f>
        <v>4</v>
      </c>
      <c r="AJ1174" s="5">
        <f>IFERROR(vp.tbl[[#This Row],[Sulf]]*vp.tbl[[#This Row],[Net Dens]],"")</f>
        <v>5363417.6920350008</v>
      </c>
      <c r="AK1174" s="5">
        <f>IFERROR(vp.tbl[[#This Row],[Dens]]*vp.tbl[[#This Row],[VolumeM3]],"")</f>
        <v>3972901.9941000002</v>
      </c>
      <c r="AL1174" s="5">
        <f>IFERROR(vp.tbl[[#This Row],[VP]]*vp.tbl[[#This Row],[VolumeM3]],"")</f>
        <v>271950.43589999998</v>
      </c>
      <c r="AM1174" s="4">
        <f>IFERROR((vp.tbl[[#This Row],[VP]]-INDEX(crudeBD.lkup.complete[Mean_VP],MATCH(vp.tbl[[#This Row],[Crude_Breakdown]],crudeBD.lkup.complete[Crude Breakdown],0)))^2,"")</f>
        <v>478.45415545521399</v>
      </c>
      <c r="AN1174" s="4">
        <f>IFERROR((vp.tbl[[#This Row],[Dens]]-INDEX(crudeBD.lkup.complete[Mean_Dens],MATCH(vp.tbl[[#This Row],[Crude_Breakdown]],crudeBD.lkup.complete[Crude Breakdown],0)))^2,"")</f>
        <v>41.064735221291841</v>
      </c>
      <c r="AO1174" s="4">
        <f>IFERROR((vp.tbl[[#This Row],[Sulf]]-INDEX(crudeBD.lkup.complete[Mean_Sulf],MATCH(vp.tbl[[#This Row],[Crude_Breakdown]],crudeBD.lkup.complete[Crude Breakdown],0)))^2,"")</f>
        <v>1.1010275679007022E-2</v>
      </c>
      <c r="AP1174">
        <f>IF(AND(vp.tbl[[#This Row],[SDate]]&gt;=DATE(YEAR(vp.tbl[[#This Row],[SDate]]),5,1),vp.tbl[[#This Row],[SDate]]&lt;=DATE(YEAR(vp.tbl[[#This Row],[SDate]]),9,15)),1,0)</f>
        <v>0</v>
      </c>
      <c r="AQ1174" s="15">
        <f>IF(vp.tbl[[#This Row],[SDate]]&lt;DATE(2016,12,1),0,1)</f>
        <v>1</v>
      </c>
    </row>
    <row r="1175" spans="1:43" x14ac:dyDescent="0.25">
      <c r="A1175">
        <v>1174</v>
      </c>
      <c r="B1175" t="s">
        <v>68</v>
      </c>
      <c r="C1175" t="s">
        <v>68</v>
      </c>
      <c r="D1175" t="s">
        <v>69</v>
      </c>
      <c r="F1175" s="1">
        <v>42829</v>
      </c>
      <c r="G1175" s="2">
        <v>74.3</v>
      </c>
      <c r="H1175" s="2"/>
      <c r="I1175" s="2">
        <v>1.52</v>
      </c>
      <c r="J1175" s="2">
        <v>18.2</v>
      </c>
      <c r="K1175" s="2">
        <v>6</v>
      </c>
      <c r="L1175" s="2">
        <v>853.4</v>
      </c>
      <c r="M1175" s="2">
        <v>853.4</v>
      </c>
      <c r="N1175" s="2">
        <f ca="1">INDEX(INDIRECT(_xlfn.CONCAT("weather.tbl[",N$1,"]")),MATCH(vp.tbl[[#This Row],[SDate]],weather.tbl[Date],0))</f>
        <v>5.166666666666667</v>
      </c>
      <c r="O1175" s="2">
        <f ca="1">INDEX(INDIRECT(_xlfn.CONCAT("weather.tbl[",O$1,"]")),MATCH(vp.tbl[[#This Row],[SDate]],weather.tbl[Date],0))</f>
        <v>5.9857142857142858</v>
      </c>
      <c r="P1175" s="2">
        <f ca="1">INDEX(INDIRECT(_xlfn.CONCAT("weather.tbl[",P$1,"]")),MATCH(vp.tbl[[#This Row],[SDate]],weather.tbl[Date],0))</f>
        <v>5.2</v>
      </c>
      <c r="Q1175" s="2">
        <f ca="1">INDEX(INDIRECT(_xlfn.CONCAT("weather.tbl[",Q$1,"]")),MATCH(vp.tbl[[#This Row],[SDate]],weather.tbl[Date],0))</f>
        <v>4.0999999999999996</v>
      </c>
      <c r="R1175" s="2">
        <f ca="1">INDEX(INDIRECT(_xlfn.CONCAT("weather.tbl[",R$1,"]")),MATCH(vp.tbl[[#This Row],[SDate]],weather.tbl[Date],0))</f>
        <v>6.5</v>
      </c>
      <c r="S1175" s="2">
        <f ca="1">INDEX(INDIRECT(_xlfn.CONCAT("weather.tbl[",S$1,"]")),MATCH(vp.tbl[[#This Row],[SDate]],weather.tbl[Date],0))</f>
        <v>4.4000000000000004</v>
      </c>
      <c r="T1175" s="2">
        <f ca="1">INDEX(INDIRECT(_xlfn.CONCAT("weather.tbl[",T$1,"]")),MATCH(vp.tbl[[#This Row],[SDate]],weather.tbl[Date],0))</f>
        <v>6</v>
      </c>
      <c r="U1175" s="2">
        <f ca="1">INDEX(INDIRECT(_xlfn.CONCAT("weather.tbl[",U$1,"]")),MATCH(vp.tbl[[#This Row],[SDate]],weather.tbl[Date],0))</f>
        <v>4.8</v>
      </c>
      <c r="V1175" s="2">
        <v>1529.07</v>
      </c>
      <c r="W1175" t="s">
        <v>48</v>
      </c>
      <c r="X1175">
        <f>IF(OR(vp.tbl[[#This Row],[Sulf]]="",vp.tbl[[#This Row],[Dens]]=""),1,0)</f>
        <v>0</v>
      </c>
      <c r="Y1175">
        <f>IF(vp.tbl[[#This Row],[CrudeType]]="C5+",1,0)</f>
        <v>0</v>
      </c>
      <c r="Z1175">
        <f>IF(AND(vp.tbl[[#This Row],[CrudeType]]="Crude",vp.tbl[[#This Row],[Dens]]&lt;=825,vp.tbl[[#This Row],[Sulf]]&gt;0.5,vp.tbl[[#This Row],[Unknown]]=0),1,0)</f>
        <v>0</v>
      </c>
      <c r="AA1175">
        <f>IF(AND(vp.tbl[[#This Row],[CrudeType]]="Crude",vp.tbl[[#This Row],[Dens]]&lt;=825,vp.tbl[[#This Row],[Sulf]]&lt;=0.5,vp.tbl[[#This Row],[Unknown]]=0),1,0)</f>
        <v>0</v>
      </c>
      <c r="AB1175">
        <f>IF(AND(vp.tbl[[#This Row],[CrudeType]]="Crude",vp.tbl[[#This Row],[Dens]]&gt;825,vp.tbl[[#This Row],[Dens]]&lt;=870,vp.tbl[[#This Row],[Sulf]]&gt;0.5,vp.tbl[[#This Row],[Unknown]]=0),1,0)</f>
        <v>1</v>
      </c>
      <c r="AC1175">
        <f>IF(AND(vp.tbl[[#This Row],[CrudeType]]="Crude",vp.tbl[[#This Row],[Dens]]&gt;825,vp.tbl[[#This Row],[Dens]]&lt;=900,vp.tbl[[#This Row],[Sulf]]&lt;=0.5,vp.tbl[[#This Row],[Unknown]]=0),1,0)</f>
        <v>0</v>
      </c>
      <c r="AD1175">
        <f>IF(AND(vp.tbl[[#This Row],[CrudeType]]="Crude",vp.tbl[[#This Row],[Dens]]&gt;870,vp.tbl[[#This Row],[Dens]]&lt;=900,vp.tbl[[#This Row],[Sulf]]&gt;0.5,vp.tbl[[#This Row],[Unknown]]=0),1,0)</f>
        <v>0</v>
      </c>
      <c r="AE1175">
        <f>IF(AND(vp.tbl[[#This Row],[CrudeType]]="Crude",vp.tbl[[#This Row],[Dens]]&gt;900,vp.tbl[[#This Row],[Sulf]]&lt;=0.5,vp.tbl[[#This Row],[Unknown]]=0),1,0)</f>
        <v>0</v>
      </c>
      <c r="AF1175">
        <f>IF(AND(vp.tbl[[#This Row],[CrudeType]]="Crude",vp.tbl[[#This Row],[Dens]]&gt;900,vp.tbl[[#This Row],[Sulf]]&lt;=0.5,vp.tbl[[#This Row],[Unknown]]=0),1,0)</f>
        <v>0</v>
      </c>
      <c r="AG1175" t="str">
        <f>INDEX(vp.tbl[[#Headers],[Unknown]:[Heavy_SW]],MATCH(1,vp.tbl[[#This Row],[Unknown]:[Heavy_SW]],0))</f>
        <v>Medium_LSB</v>
      </c>
      <c r="AH1175" t="e">
        <f>INDEX([1]!crudeBD.lkup[Number],MATCH(vp.tbl[[#This Row],[Crude_Breakdown]],[1]!crudeBD.lkup[Crude Breakdown],0))</f>
        <v>#REF!</v>
      </c>
      <c r="AI1175">
        <f>MONTH(vp.tbl[[#This Row],[SDate]])</f>
        <v>4</v>
      </c>
      <c r="AJ1175" s="5">
        <f>IFERROR(vp.tbl[[#This Row],[Sulf]]*vp.tbl[[#This Row],[Net Dens]],"")</f>
        <v>1983460.6737599999</v>
      </c>
      <c r="AK1175" s="5">
        <f>IFERROR(vp.tbl[[#This Row],[Dens]]*vp.tbl[[#This Row],[VolumeM3]],"")</f>
        <v>1304908.338</v>
      </c>
      <c r="AL1175" s="5">
        <f>IFERROR(vp.tbl[[#This Row],[VP]]*vp.tbl[[#This Row],[VolumeM3]],"")</f>
        <v>113609.901</v>
      </c>
      <c r="AM1175" s="4">
        <f>IFERROR((vp.tbl[[#This Row],[VP]]-INDEX(crudeBD.lkup.complete[Mean_VP],MATCH(vp.tbl[[#This Row],[Crude_Breakdown]],crudeBD.lkup.complete[Crude Breakdown],0)))^2,"")</f>
        <v>34.499117480531567</v>
      </c>
      <c r="AN1175" s="4">
        <f>IFERROR((vp.tbl[[#This Row],[Dens]]-INDEX(crudeBD.lkup.complete[Mean_Dens],MATCH(vp.tbl[[#This Row],[Crude_Breakdown]],crudeBD.lkup.complete[Crude Breakdown],0)))^2,"")</f>
        <v>65.742537752939811</v>
      </c>
      <c r="AO1175" s="4">
        <f>IFERROR((vp.tbl[[#This Row],[Sulf]]-INDEX(crudeBD.lkup.complete[Mean_Sulf],MATCH(vp.tbl[[#This Row],[Crude_Breakdown]],crudeBD.lkup.complete[Crude Breakdown],0)))^2,"")</f>
        <v>4.2341230207786906E-3</v>
      </c>
      <c r="AP1175">
        <f>IF(AND(vp.tbl[[#This Row],[SDate]]&gt;=DATE(YEAR(vp.tbl[[#This Row],[SDate]]),5,1),vp.tbl[[#This Row],[SDate]]&lt;=DATE(YEAR(vp.tbl[[#This Row],[SDate]]),9,15)),1,0)</f>
        <v>0</v>
      </c>
      <c r="AQ1175" s="15">
        <f>IF(vp.tbl[[#This Row],[SDate]]&lt;DATE(2016,12,1),0,1)</f>
        <v>1</v>
      </c>
    </row>
    <row r="1176" spans="1:43" x14ac:dyDescent="0.25">
      <c r="A1176">
        <v>1175</v>
      </c>
      <c r="B1176" t="s">
        <v>64</v>
      </c>
      <c r="C1176" t="s">
        <v>64</v>
      </c>
      <c r="D1176" t="s">
        <v>65</v>
      </c>
      <c r="F1176" s="1">
        <v>42829</v>
      </c>
      <c r="G1176" s="2">
        <v>47.2</v>
      </c>
      <c r="H1176" s="2"/>
      <c r="I1176" s="2">
        <v>2.11</v>
      </c>
      <c r="J1176" s="2">
        <v>33.200000000000003</v>
      </c>
      <c r="K1176" s="2">
        <v>6</v>
      </c>
      <c r="L1176" s="2">
        <v>876.5</v>
      </c>
      <c r="M1176" s="2">
        <v>876.5</v>
      </c>
      <c r="N1176" s="2">
        <f ca="1">INDEX(INDIRECT(_xlfn.CONCAT("weather.tbl[",N$1,"]")),MATCH(vp.tbl[[#This Row],[SDate]],weather.tbl[Date],0))</f>
        <v>5.166666666666667</v>
      </c>
      <c r="O1176" s="2">
        <f ca="1">INDEX(INDIRECT(_xlfn.CONCAT("weather.tbl[",O$1,"]")),MATCH(vp.tbl[[#This Row],[SDate]],weather.tbl[Date],0))</f>
        <v>5.9857142857142858</v>
      </c>
      <c r="P1176" s="2">
        <f ca="1">INDEX(INDIRECT(_xlfn.CONCAT("weather.tbl[",P$1,"]")),MATCH(vp.tbl[[#This Row],[SDate]],weather.tbl[Date],0))</f>
        <v>5.2</v>
      </c>
      <c r="Q1176" s="2">
        <f ca="1">INDEX(INDIRECT(_xlfn.CONCAT("weather.tbl[",Q$1,"]")),MATCH(vp.tbl[[#This Row],[SDate]],weather.tbl[Date],0))</f>
        <v>4.0999999999999996</v>
      </c>
      <c r="R1176" s="2">
        <f ca="1">INDEX(INDIRECT(_xlfn.CONCAT("weather.tbl[",R$1,"]")),MATCH(vp.tbl[[#This Row],[SDate]],weather.tbl[Date],0))</f>
        <v>6.5</v>
      </c>
      <c r="S1176" s="2">
        <f ca="1">INDEX(INDIRECT(_xlfn.CONCAT("weather.tbl[",S$1,"]")),MATCH(vp.tbl[[#This Row],[SDate]],weather.tbl[Date],0))</f>
        <v>4.4000000000000004</v>
      </c>
      <c r="T1176" s="2">
        <f ca="1">INDEX(INDIRECT(_xlfn.CONCAT("weather.tbl[",T$1,"]")),MATCH(vp.tbl[[#This Row],[SDate]],weather.tbl[Date],0))</f>
        <v>6</v>
      </c>
      <c r="U1176" s="2">
        <f ca="1">INDEX(INDIRECT(_xlfn.CONCAT("weather.tbl[",U$1,"]")),MATCH(vp.tbl[[#This Row],[SDate]],weather.tbl[Date],0))</f>
        <v>4.8</v>
      </c>
      <c r="V1176" s="2">
        <v>21877.668000000001</v>
      </c>
      <c r="W1176" t="s">
        <v>48</v>
      </c>
      <c r="X1176">
        <f>IF(OR(vp.tbl[[#This Row],[Sulf]]="",vp.tbl[[#This Row],[Dens]]=""),1,0)</f>
        <v>0</v>
      </c>
      <c r="Y1176">
        <f>IF(vp.tbl[[#This Row],[CrudeType]]="C5+",1,0)</f>
        <v>0</v>
      </c>
      <c r="Z1176">
        <f>IF(AND(vp.tbl[[#This Row],[CrudeType]]="Crude",vp.tbl[[#This Row],[Dens]]&lt;=825,vp.tbl[[#This Row],[Sulf]]&gt;0.5,vp.tbl[[#This Row],[Unknown]]=0),1,0)</f>
        <v>0</v>
      </c>
      <c r="AA1176">
        <f>IF(AND(vp.tbl[[#This Row],[CrudeType]]="Crude",vp.tbl[[#This Row],[Dens]]&lt;=825,vp.tbl[[#This Row],[Sulf]]&lt;=0.5,vp.tbl[[#This Row],[Unknown]]=0),1,0)</f>
        <v>0</v>
      </c>
      <c r="AB1176">
        <f>IF(AND(vp.tbl[[#This Row],[CrudeType]]="Crude",vp.tbl[[#This Row],[Dens]]&gt;825,vp.tbl[[#This Row],[Dens]]&lt;=870,vp.tbl[[#This Row],[Sulf]]&gt;0.5,vp.tbl[[#This Row],[Unknown]]=0),1,0)</f>
        <v>0</v>
      </c>
      <c r="AC1176">
        <f>IF(AND(vp.tbl[[#This Row],[CrudeType]]="Crude",vp.tbl[[#This Row],[Dens]]&gt;825,vp.tbl[[#This Row],[Dens]]&lt;=900,vp.tbl[[#This Row],[Sulf]]&lt;=0.5,vp.tbl[[#This Row],[Unknown]]=0),1,0)</f>
        <v>0</v>
      </c>
      <c r="AD1176">
        <f>IF(AND(vp.tbl[[#This Row],[CrudeType]]="Crude",vp.tbl[[#This Row],[Dens]]&gt;870,vp.tbl[[#This Row],[Dens]]&lt;=900,vp.tbl[[#This Row],[Sulf]]&gt;0.5,vp.tbl[[#This Row],[Unknown]]=0),1,0)</f>
        <v>1</v>
      </c>
      <c r="AE1176">
        <f>IF(AND(vp.tbl[[#This Row],[CrudeType]]="Crude",vp.tbl[[#This Row],[Dens]]&gt;900,vp.tbl[[#This Row],[Sulf]]&lt;=0.5,vp.tbl[[#This Row],[Unknown]]=0),1,0)</f>
        <v>0</v>
      </c>
      <c r="AF1176">
        <f>IF(AND(vp.tbl[[#This Row],[CrudeType]]="Crude",vp.tbl[[#This Row],[Dens]]&gt;900,vp.tbl[[#This Row],[Sulf]]&lt;=0.5,vp.tbl[[#This Row],[Unknown]]=0),1,0)</f>
        <v>0</v>
      </c>
      <c r="AG1176" t="str">
        <f>INDEX(vp.tbl[[#Headers],[Unknown]:[Heavy_SW]],MATCH(1,vp.tbl[[#This Row],[Unknown]:[Heavy_SW]],0))</f>
        <v>Midale</v>
      </c>
      <c r="AH1176" t="e">
        <f>INDEX([1]!crudeBD.lkup[Number],MATCH(vp.tbl[[#This Row],[Crude_Breakdown]],[1]!crudeBD.lkup[Crude Breakdown],0))</f>
        <v>#REF!</v>
      </c>
      <c r="AI1176">
        <f>MONTH(vp.tbl[[#This Row],[SDate]])</f>
        <v>4</v>
      </c>
      <c r="AJ1176" s="5">
        <f>IFERROR(vp.tbl[[#This Row],[Sulf]]*vp.tbl[[#This Row],[Net Dens]],"")</f>
        <v>40460887.364220001</v>
      </c>
      <c r="AK1176" s="5">
        <f>IFERROR(vp.tbl[[#This Row],[Dens]]*vp.tbl[[#This Row],[VolumeM3]],"")</f>
        <v>19175776.002</v>
      </c>
      <c r="AL1176" s="5">
        <f>IFERROR(vp.tbl[[#This Row],[VP]]*vp.tbl[[#This Row],[VolumeM3]],"")</f>
        <v>1032625.9296000001</v>
      </c>
      <c r="AM1176" s="4">
        <f>IFERROR((vp.tbl[[#This Row],[VP]]-INDEX(crudeBD.lkup.complete[Mean_VP],MATCH(vp.tbl[[#This Row],[Crude_Breakdown]],crudeBD.lkup.complete[Crude Breakdown],0)))^2,"")</f>
        <v>442.61243009945622</v>
      </c>
      <c r="AN1176" s="4">
        <f>IFERROR((vp.tbl[[#This Row],[Dens]]-INDEX(crudeBD.lkup.complete[Mean_Dens],MATCH(vp.tbl[[#This Row],[Crude_Breakdown]],crudeBD.lkup.complete[Crude Breakdown],0)))^2,"")</f>
        <v>1.1068192906730354</v>
      </c>
      <c r="AO1176" s="4">
        <f>IFERROR((vp.tbl[[#This Row],[Sulf]]-INDEX(crudeBD.lkup.complete[Mean_Sulf],MATCH(vp.tbl[[#This Row],[Crude_Breakdown]],crudeBD.lkup.complete[Crude Breakdown],0)))^2,"")</f>
        <v>9.3232599254812601E-2</v>
      </c>
      <c r="AP1176">
        <f>IF(AND(vp.tbl[[#This Row],[SDate]]&gt;=DATE(YEAR(vp.tbl[[#This Row],[SDate]]),5,1),vp.tbl[[#This Row],[SDate]]&lt;=DATE(YEAR(vp.tbl[[#This Row],[SDate]]),9,15)),1,0)</f>
        <v>0</v>
      </c>
      <c r="AQ1176" s="15">
        <f>IF(vp.tbl[[#This Row],[SDate]]&lt;DATE(2016,12,1),0,1)</f>
        <v>1</v>
      </c>
    </row>
    <row r="1177" spans="1:43" x14ac:dyDescent="0.25">
      <c r="A1177">
        <v>1176</v>
      </c>
      <c r="B1177" t="s">
        <v>49</v>
      </c>
      <c r="C1177" t="s">
        <v>49</v>
      </c>
      <c r="D1177" t="s">
        <v>92</v>
      </c>
      <c r="F1177" s="1">
        <v>42830</v>
      </c>
      <c r="G1177" s="2">
        <v>74.400000000000006</v>
      </c>
      <c r="H1177" s="2">
        <v>0.46500000000000002</v>
      </c>
      <c r="I1177" s="2">
        <v>0.46500000000000002</v>
      </c>
      <c r="J1177" s="2">
        <v>19.399999999999999</v>
      </c>
      <c r="K1177" s="2">
        <v>9</v>
      </c>
      <c r="L1177" s="2">
        <v>819.9</v>
      </c>
      <c r="M1177" s="2">
        <v>819.9</v>
      </c>
      <c r="N1177" s="2">
        <f ca="1">INDEX(INDIRECT(_xlfn.CONCAT("weather.tbl[",N$1,"]")),MATCH(vp.tbl[[#This Row],[SDate]],weather.tbl[Date],0))</f>
        <v>3.2666666666666671</v>
      </c>
      <c r="O1177" s="2">
        <f ca="1">INDEX(INDIRECT(_xlfn.CONCAT("weather.tbl[",O$1,"]")),MATCH(vp.tbl[[#This Row],[SDate]],weather.tbl[Date],0))</f>
        <v>5.4857142857142858</v>
      </c>
      <c r="P1177" s="2">
        <f ca="1">INDEX(INDIRECT(_xlfn.CONCAT("weather.tbl[",P$1,"]")),MATCH(vp.tbl[[#This Row],[SDate]],weather.tbl[Date],0))</f>
        <v>3.2</v>
      </c>
      <c r="Q1177" s="2">
        <f ca="1">INDEX(INDIRECT(_xlfn.CONCAT("weather.tbl[",Q$1,"]")),MATCH(vp.tbl[[#This Row],[SDate]],weather.tbl[Date],0))</f>
        <v>3.4</v>
      </c>
      <c r="R1177" s="2">
        <f ca="1">INDEX(INDIRECT(_xlfn.CONCAT("weather.tbl[",R$1,"]")),MATCH(vp.tbl[[#This Row],[SDate]],weather.tbl[Date],0))</f>
        <v>3.5</v>
      </c>
      <c r="S1177" s="2">
        <f ca="1">INDEX(INDIRECT(_xlfn.CONCAT("weather.tbl[",S$1,"]")),MATCH(vp.tbl[[#This Row],[SDate]],weather.tbl[Date],0))</f>
        <v>3</v>
      </c>
      <c r="T1177" s="2">
        <f ca="1">INDEX(INDIRECT(_xlfn.CONCAT("weather.tbl[",T$1,"]")),MATCH(vp.tbl[[#This Row],[SDate]],weather.tbl[Date],0))</f>
        <v>3.7</v>
      </c>
      <c r="U1177" s="2">
        <f ca="1">INDEX(INDIRECT(_xlfn.CONCAT("weather.tbl[",U$1,"]")),MATCH(vp.tbl[[#This Row],[SDate]],weather.tbl[Date],0))</f>
        <v>2.8</v>
      </c>
      <c r="V1177" s="2">
        <v>23117.685000000001</v>
      </c>
      <c r="W1177" t="s">
        <v>48</v>
      </c>
      <c r="X1177">
        <f>IF(OR(vp.tbl[[#This Row],[Sulf]]="",vp.tbl[[#This Row],[Dens]]=""),1,0)</f>
        <v>0</v>
      </c>
      <c r="Y1177">
        <f>IF(vp.tbl[[#This Row],[CrudeType]]="C5+",1,0)</f>
        <v>0</v>
      </c>
      <c r="Z1177">
        <f>IF(AND(vp.tbl[[#This Row],[CrudeType]]="Crude",vp.tbl[[#This Row],[Dens]]&lt;=825,vp.tbl[[#This Row],[Sulf]]&gt;0.5,vp.tbl[[#This Row],[Unknown]]=0),1,0)</f>
        <v>0</v>
      </c>
      <c r="AA1177">
        <f>IF(AND(vp.tbl[[#This Row],[CrudeType]]="Crude",vp.tbl[[#This Row],[Dens]]&lt;=825,vp.tbl[[#This Row],[Sulf]]&lt;=0.5,vp.tbl[[#This Row],[Unknown]]=0),1,0)</f>
        <v>1</v>
      </c>
      <c r="AB1177">
        <f>IF(AND(vp.tbl[[#This Row],[CrudeType]]="Crude",vp.tbl[[#This Row],[Dens]]&gt;825,vp.tbl[[#This Row],[Dens]]&lt;=870,vp.tbl[[#This Row],[Sulf]]&gt;0.5,vp.tbl[[#This Row],[Unknown]]=0),1,0)</f>
        <v>0</v>
      </c>
      <c r="AC1177">
        <f>IF(AND(vp.tbl[[#This Row],[CrudeType]]="Crude",vp.tbl[[#This Row],[Dens]]&gt;825,vp.tbl[[#This Row],[Dens]]&lt;=900,vp.tbl[[#This Row],[Sulf]]&lt;=0.5,vp.tbl[[#This Row],[Unknown]]=0),1,0)</f>
        <v>0</v>
      </c>
      <c r="AD1177">
        <f>IF(AND(vp.tbl[[#This Row],[CrudeType]]="Crude",vp.tbl[[#This Row],[Dens]]&gt;870,vp.tbl[[#This Row],[Dens]]&lt;=900,vp.tbl[[#This Row],[Sulf]]&gt;0.5,vp.tbl[[#This Row],[Unknown]]=0),1,0)</f>
        <v>0</v>
      </c>
      <c r="AE1177">
        <f>IF(AND(vp.tbl[[#This Row],[CrudeType]]="Crude",vp.tbl[[#This Row],[Dens]]&gt;900,vp.tbl[[#This Row],[Sulf]]&lt;=0.5,vp.tbl[[#This Row],[Unknown]]=0),1,0)</f>
        <v>0</v>
      </c>
      <c r="AF1177">
        <f>IF(AND(vp.tbl[[#This Row],[CrudeType]]="Crude",vp.tbl[[#This Row],[Dens]]&gt;900,vp.tbl[[#This Row],[Sulf]]&lt;=0.5,vp.tbl[[#This Row],[Unknown]]=0),1,0)</f>
        <v>0</v>
      </c>
      <c r="AG1177" t="str">
        <f>INDEX(vp.tbl[[#Headers],[Unknown]:[Heavy_SW]],MATCH(1,vp.tbl[[#This Row],[Unknown]:[Heavy_SW]],0))</f>
        <v>Light_SW</v>
      </c>
      <c r="AH1177" t="e">
        <f>INDEX([1]!crudeBD.lkup[Number],MATCH(vp.tbl[[#This Row],[Crude_Breakdown]],[1]!crudeBD.lkup[Crude Breakdown],0))</f>
        <v>#REF!</v>
      </c>
      <c r="AI1177">
        <f>MONTH(vp.tbl[[#This Row],[SDate]])</f>
        <v>4</v>
      </c>
      <c r="AJ1177" s="5">
        <f>IFERROR(vp.tbl[[#This Row],[Sulf]]*vp.tbl[[#This Row],[Net Dens]],"")</f>
        <v>8813698.3181474991</v>
      </c>
      <c r="AK1177" s="5">
        <f>IFERROR(vp.tbl[[#This Row],[Dens]]*vp.tbl[[#This Row],[VolumeM3]],"")</f>
        <v>18954189.931499999</v>
      </c>
      <c r="AL1177" s="5">
        <f>IFERROR(vp.tbl[[#This Row],[VP]]*vp.tbl[[#This Row],[VolumeM3]],"")</f>
        <v>1719955.7640000002</v>
      </c>
      <c r="AM1177" s="4">
        <f>IFERROR((vp.tbl[[#This Row],[VP]]-INDEX(crudeBD.lkup.complete[Mean_VP],MATCH(vp.tbl[[#This Row],[Crude_Breakdown]],crudeBD.lkup.complete[Crude Breakdown],0)))^2,"")</f>
        <v>329.43388337359801</v>
      </c>
      <c r="AN1177" s="4">
        <f>IFERROR((vp.tbl[[#This Row],[Dens]]-INDEX(crudeBD.lkup.complete[Mean_Dens],MATCH(vp.tbl[[#This Row],[Crude_Breakdown]],crudeBD.lkup.complete[Crude Breakdown],0)))^2,"")</f>
        <v>134.29337262805635</v>
      </c>
      <c r="AO1177" s="4">
        <f>IFERROR((vp.tbl[[#This Row],[Sulf]]-INDEX(crudeBD.lkup.complete[Mean_Sulf],MATCH(vp.tbl[[#This Row],[Crude_Breakdown]],crudeBD.lkup.complete[Crude Breakdown],0)))^2,"")</f>
        <v>5.2330308647185311E-2</v>
      </c>
      <c r="AP1177">
        <f>IF(AND(vp.tbl[[#This Row],[SDate]]&gt;=DATE(YEAR(vp.tbl[[#This Row],[SDate]]),5,1),vp.tbl[[#This Row],[SDate]]&lt;=DATE(YEAR(vp.tbl[[#This Row],[SDate]]),9,15)),1,0)</f>
        <v>0</v>
      </c>
      <c r="AQ1177" s="15">
        <f>IF(vp.tbl[[#This Row],[SDate]]&lt;DATE(2016,12,1),0,1)</f>
        <v>1</v>
      </c>
    </row>
    <row r="1178" spans="1:43" x14ac:dyDescent="0.25">
      <c r="A1178">
        <v>1177</v>
      </c>
      <c r="B1178" t="s">
        <v>49</v>
      </c>
      <c r="C1178" t="s">
        <v>49</v>
      </c>
      <c r="D1178" t="s">
        <v>50</v>
      </c>
      <c r="F1178" s="1">
        <v>42830</v>
      </c>
      <c r="G1178" s="2">
        <v>69.099999999999994</v>
      </c>
      <c r="H1178" s="2">
        <v>2.5430000000000001</v>
      </c>
      <c r="I1178" s="2">
        <v>2.5430000000000001</v>
      </c>
      <c r="J1178" s="2">
        <v>19.5</v>
      </c>
      <c r="K1178" s="2">
        <v>9</v>
      </c>
      <c r="L1178" s="2">
        <v>870.8</v>
      </c>
      <c r="M1178" s="2">
        <v>870.8</v>
      </c>
      <c r="N1178" s="2">
        <f ca="1">INDEX(INDIRECT(_xlfn.CONCAT("weather.tbl[",N$1,"]")),MATCH(vp.tbl[[#This Row],[SDate]],weather.tbl[Date],0))</f>
        <v>3.2666666666666671</v>
      </c>
      <c r="O1178" s="2">
        <f ca="1">INDEX(INDIRECT(_xlfn.CONCAT("weather.tbl[",O$1,"]")),MATCH(vp.tbl[[#This Row],[SDate]],weather.tbl[Date],0))</f>
        <v>5.4857142857142858</v>
      </c>
      <c r="P1178" s="2">
        <f ca="1">INDEX(INDIRECT(_xlfn.CONCAT("weather.tbl[",P$1,"]")),MATCH(vp.tbl[[#This Row],[SDate]],weather.tbl[Date],0))</f>
        <v>3.2</v>
      </c>
      <c r="Q1178" s="2">
        <f ca="1">INDEX(INDIRECT(_xlfn.CONCAT("weather.tbl[",Q$1,"]")),MATCH(vp.tbl[[#This Row],[SDate]],weather.tbl[Date],0))</f>
        <v>3.4</v>
      </c>
      <c r="R1178" s="2">
        <f ca="1">INDEX(INDIRECT(_xlfn.CONCAT("weather.tbl[",R$1,"]")),MATCH(vp.tbl[[#This Row],[SDate]],weather.tbl[Date],0))</f>
        <v>3.5</v>
      </c>
      <c r="S1178" s="2">
        <f ca="1">INDEX(INDIRECT(_xlfn.CONCAT("weather.tbl[",S$1,"]")),MATCH(vp.tbl[[#This Row],[SDate]],weather.tbl[Date],0))</f>
        <v>3</v>
      </c>
      <c r="T1178" s="2">
        <f ca="1">INDEX(INDIRECT(_xlfn.CONCAT("weather.tbl[",T$1,"]")),MATCH(vp.tbl[[#This Row],[SDate]],weather.tbl[Date],0))</f>
        <v>3.7</v>
      </c>
      <c r="U1178" s="2">
        <f ca="1">INDEX(INDIRECT(_xlfn.CONCAT("weather.tbl[",U$1,"]")),MATCH(vp.tbl[[#This Row],[SDate]],weather.tbl[Date],0))</f>
        <v>2.8</v>
      </c>
      <c r="V1178" s="2">
        <v>6716.366</v>
      </c>
      <c r="W1178" t="s">
        <v>48</v>
      </c>
      <c r="X1178">
        <f>IF(OR(vp.tbl[[#This Row],[Sulf]]="",vp.tbl[[#This Row],[Dens]]=""),1,0)</f>
        <v>0</v>
      </c>
      <c r="Y1178">
        <f>IF(vp.tbl[[#This Row],[CrudeType]]="C5+",1,0)</f>
        <v>0</v>
      </c>
      <c r="Z1178">
        <f>IF(AND(vp.tbl[[#This Row],[CrudeType]]="Crude",vp.tbl[[#This Row],[Dens]]&lt;=825,vp.tbl[[#This Row],[Sulf]]&gt;0.5,vp.tbl[[#This Row],[Unknown]]=0),1,0)</f>
        <v>0</v>
      </c>
      <c r="AA1178">
        <f>IF(AND(vp.tbl[[#This Row],[CrudeType]]="Crude",vp.tbl[[#This Row],[Dens]]&lt;=825,vp.tbl[[#This Row],[Sulf]]&lt;=0.5,vp.tbl[[#This Row],[Unknown]]=0),1,0)</f>
        <v>0</v>
      </c>
      <c r="AB1178">
        <f>IF(AND(vp.tbl[[#This Row],[CrudeType]]="Crude",vp.tbl[[#This Row],[Dens]]&gt;825,vp.tbl[[#This Row],[Dens]]&lt;=870,vp.tbl[[#This Row],[Sulf]]&gt;0.5,vp.tbl[[#This Row],[Unknown]]=0),1,0)</f>
        <v>0</v>
      </c>
      <c r="AC1178">
        <f>IF(AND(vp.tbl[[#This Row],[CrudeType]]="Crude",vp.tbl[[#This Row],[Dens]]&gt;825,vp.tbl[[#This Row],[Dens]]&lt;=900,vp.tbl[[#This Row],[Sulf]]&lt;=0.5,vp.tbl[[#This Row],[Unknown]]=0),1,0)</f>
        <v>0</v>
      </c>
      <c r="AD1178">
        <f>IF(AND(vp.tbl[[#This Row],[CrudeType]]="Crude",vp.tbl[[#This Row],[Dens]]&gt;870,vp.tbl[[#This Row],[Dens]]&lt;=900,vp.tbl[[#This Row],[Sulf]]&gt;0.5,vp.tbl[[#This Row],[Unknown]]=0),1,0)</f>
        <v>1</v>
      </c>
      <c r="AE1178">
        <f>IF(AND(vp.tbl[[#This Row],[CrudeType]]="Crude",vp.tbl[[#This Row],[Dens]]&gt;900,vp.tbl[[#This Row],[Sulf]]&lt;=0.5,vp.tbl[[#This Row],[Unknown]]=0),1,0)</f>
        <v>0</v>
      </c>
      <c r="AF1178">
        <f>IF(AND(vp.tbl[[#This Row],[CrudeType]]="Crude",vp.tbl[[#This Row],[Dens]]&gt;900,vp.tbl[[#This Row],[Sulf]]&lt;=0.5,vp.tbl[[#This Row],[Unknown]]=0),1,0)</f>
        <v>0</v>
      </c>
      <c r="AG1178" t="str">
        <f>INDEX(vp.tbl[[#Headers],[Unknown]:[Heavy_SW]],MATCH(1,vp.tbl[[#This Row],[Unknown]:[Heavy_SW]],0))</f>
        <v>Midale</v>
      </c>
      <c r="AH1178" t="e">
        <f>INDEX([1]!crudeBD.lkup[Number],MATCH(vp.tbl[[#This Row],[Crude_Breakdown]],[1]!crudeBD.lkup[Crude Breakdown],0))</f>
        <v>#REF!</v>
      </c>
      <c r="AI1178">
        <f>MONTH(vp.tbl[[#This Row],[SDate]])</f>
        <v>4</v>
      </c>
      <c r="AJ1178" s="5">
        <f>IFERROR(vp.tbl[[#This Row],[Sulf]]*vp.tbl[[#This Row],[Net Dens]],"")</f>
        <v>14873019.077050401</v>
      </c>
      <c r="AK1178" s="5">
        <f>IFERROR(vp.tbl[[#This Row],[Dens]]*vp.tbl[[#This Row],[VolumeM3]],"")</f>
        <v>5848611.5127999997</v>
      </c>
      <c r="AL1178" s="5">
        <f>IFERROR(vp.tbl[[#This Row],[VP]]*vp.tbl[[#This Row],[VolumeM3]],"")</f>
        <v>464100.89059999998</v>
      </c>
      <c r="AM1178" s="4">
        <f>IFERROR((vp.tbl[[#This Row],[VP]]-INDEX(crudeBD.lkup.complete[Mean_VP],MATCH(vp.tbl[[#This Row],[Crude_Breakdown]],crudeBD.lkup.complete[Crude Breakdown],0)))^2,"")</f>
        <v>0.74243009945577543</v>
      </c>
      <c r="AN1178" s="4">
        <f>IFERROR((vp.tbl[[#This Row],[Dens]]-INDEX(crudeBD.lkup.complete[Mean_Dens],MATCH(vp.tbl[[#This Row],[Crude_Breakdown]],crudeBD.lkup.complete[Crude Breakdown],0)))^2,"")</f>
        <v>45.590243948204446</v>
      </c>
      <c r="AO1178" s="4">
        <f>IFERROR((vp.tbl[[#This Row],[Sulf]]-INDEX(crudeBD.lkup.complete[Mean_Sulf],MATCH(vp.tbl[[#This Row],[Crude_Breakdown]],crudeBD.lkup.complete[Crude Breakdown],0)))^2,"")</f>
        <v>1.6297040624676656E-2</v>
      </c>
      <c r="AP1178">
        <f>IF(AND(vp.tbl[[#This Row],[SDate]]&gt;=DATE(YEAR(vp.tbl[[#This Row],[SDate]]),5,1),vp.tbl[[#This Row],[SDate]]&lt;=DATE(YEAR(vp.tbl[[#This Row],[SDate]]),9,15)),1,0)</f>
        <v>0</v>
      </c>
      <c r="AQ1178" s="15">
        <f>IF(vp.tbl[[#This Row],[SDate]]&lt;DATE(2016,12,1),0,1)</f>
        <v>1</v>
      </c>
    </row>
    <row r="1179" spans="1:43" x14ac:dyDescent="0.25">
      <c r="A1179">
        <v>1178</v>
      </c>
      <c r="B1179" t="s">
        <v>51</v>
      </c>
      <c r="C1179" t="s">
        <v>51</v>
      </c>
      <c r="D1179" t="s">
        <v>58</v>
      </c>
      <c r="F1179" s="1">
        <v>42830</v>
      </c>
      <c r="G1179" s="2">
        <v>97.4</v>
      </c>
      <c r="H1179" s="2"/>
      <c r="I1179" s="2">
        <v>1.33</v>
      </c>
      <c r="J1179" s="2">
        <v>28.2</v>
      </c>
      <c r="K1179" s="2">
        <v>9</v>
      </c>
      <c r="L1179" s="2">
        <v>817.8</v>
      </c>
      <c r="M1179" s="2">
        <v>817.8</v>
      </c>
      <c r="N1179" s="2">
        <f ca="1">INDEX(INDIRECT(_xlfn.CONCAT("weather.tbl[",N$1,"]")),MATCH(vp.tbl[[#This Row],[SDate]],weather.tbl[Date],0))</f>
        <v>3.2666666666666671</v>
      </c>
      <c r="O1179" s="2">
        <f ca="1">INDEX(INDIRECT(_xlfn.CONCAT("weather.tbl[",O$1,"]")),MATCH(vp.tbl[[#This Row],[SDate]],weather.tbl[Date],0))</f>
        <v>5.4857142857142858</v>
      </c>
      <c r="P1179" s="2">
        <f ca="1">INDEX(INDIRECT(_xlfn.CONCAT("weather.tbl[",P$1,"]")),MATCH(vp.tbl[[#This Row],[SDate]],weather.tbl[Date],0))</f>
        <v>3.2</v>
      </c>
      <c r="Q1179" s="2">
        <f ca="1">INDEX(INDIRECT(_xlfn.CONCAT("weather.tbl[",Q$1,"]")),MATCH(vp.tbl[[#This Row],[SDate]],weather.tbl[Date],0))</f>
        <v>3.4</v>
      </c>
      <c r="R1179" s="2">
        <f ca="1">INDEX(INDIRECT(_xlfn.CONCAT("weather.tbl[",R$1,"]")),MATCH(vp.tbl[[#This Row],[SDate]],weather.tbl[Date],0))</f>
        <v>3.5</v>
      </c>
      <c r="S1179" s="2">
        <f ca="1">INDEX(INDIRECT(_xlfn.CONCAT("weather.tbl[",S$1,"]")),MATCH(vp.tbl[[#This Row],[SDate]],weather.tbl[Date],0))</f>
        <v>3</v>
      </c>
      <c r="T1179" s="2">
        <f ca="1">INDEX(INDIRECT(_xlfn.CONCAT("weather.tbl[",T$1,"]")),MATCH(vp.tbl[[#This Row],[SDate]],weather.tbl[Date],0))</f>
        <v>3.7</v>
      </c>
      <c r="U1179" s="2">
        <f ca="1">INDEX(INDIRECT(_xlfn.CONCAT("weather.tbl[",U$1,"]")),MATCH(vp.tbl[[#This Row],[SDate]],weather.tbl[Date],0))</f>
        <v>2.8</v>
      </c>
      <c r="V1179" s="2">
        <v>5505.9059999999999</v>
      </c>
      <c r="W1179" t="s">
        <v>48</v>
      </c>
      <c r="X1179">
        <f>IF(OR(vp.tbl[[#This Row],[Sulf]]="",vp.tbl[[#This Row],[Dens]]=""),1,0)</f>
        <v>0</v>
      </c>
      <c r="Y1179">
        <f>IF(vp.tbl[[#This Row],[CrudeType]]="C5+",1,0)</f>
        <v>0</v>
      </c>
      <c r="Z1179">
        <f>IF(AND(vp.tbl[[#This Row],[CrudeType]]="Crude",vp.tbl[[#This Row],[Dens]]&lt;=825,vp.tbl[[#This Row],[Sulf]]&gt;0.5,vp.tbl[[#This Row],[Unknown]]=0),1,0)</f>
        <v>1</v>
      </c>
      <c r="AA1179">
        <f>IF(AND(vp.tbl[[#This Row],[CrudeType]]="Crude",vp.tbl[[#This Row],[Dens]]&lt;=825,vp.tbl[[#This Row],[Sulf]]&lt;=0.5,vp.tbl[[#This Row],[Unknown]]=0),1,0)</f>
        <v>0</v>
      </c>
      <c r="AB1179">
        <f>IF(AND(vp.tbl[[#This Row],[CrudeType]]="Crude",vp.tbl[[#This Row],[Dens]]&gt;825,vp.tbl[[#This Row],[Dens]]&lt;=870,vp.tbl[[#This Row],[Sulf]]&gt;0.5,vp.tbl[[#This Row],[Unknown]]=0),1,0)</f>
        <v>0</v>
      </c>
      <c r="AC1179">
        <f>IF(AND(vp.tbl[[#This Row],[CrudeType]]="Crude",vp.tbl[[#This Row],[Dens]]&gt;825,vp.tbl[[#This Row],[Dens]]&lt;=900,vp.tbl[[#This Row],[Sulf]]&lt;=0.5,vp.tbl[[#This Row],[Unknown]]=0),1,0)</f>
        <v>0</v>
      </c>
      <c r="AD1179">
        <f>IF(AND(vp.tbl[[#This Row],[CrudeType]]="Crude",vp.tbl[[#This Row],[Dens]]&gt;870,vp.tbl[[#This Row],[Dens]]&lt;=900,vp.tbl[[#This Row],[Sulf]]&gt;0.5,vp.tbl[[#This Row],[Unknown]]=0),1,0)</f>
        <v>0</v>
      </c>
      <c r="AE1179">
        <f>IF(AND(vp.tbl[[#This Row],[CrudeType]]="Crude",vp.tbl[[#This Row],[Dens]]&gt;900,vp.tbl[[#This Row],[Sulf]]&lt;=0.5,vp.tbl[[#This Row],[Unknown]]=0),1,0)</f>
        <v>0</v>
      </c>
      <c r="AF1179">
        <f>IF(AND(vp.tbl[[#This Row],[CrudeType]]="Crude",vp.tbl[[#This Row],[Dens]]&gt;900,vp.tbl[[#This Row],[Sulf]]&lt;=0.5,vp.tbl[[#This Row],[Unknown]]=0),1,0)</f>
        <v>0</v>
      </c>
      <c r="AG1179" t="str">
        <f>INDEX(vp.tbl[[#Headers],[Unknown]:[Heavy_SW]],MATCH(1,vp.tbl[[#This Row],[Unknown]:[Heavy_SW]],0))</f>
        <v>Light_LSB</v>
      </c>
      <c r="AH1179" t="e">
        <f>INDEX([1]!crudeBD.lkup[Number],MATCH(vp.tbl[[#This Row],[Crude_Breakdown]],[1]!crudeBD.lkup[Crude Breakdown],0))</f>
        <v>#REF!</v>
      </c>
      <c r="AI1179">
        <f>MONTH(vp.tbl[[#This Row],[SDate]])</f>
        <v>4</v>
      </c>
      <c r="AJ1179" s="5">
        <f>IFERROR(vp.tbl[[#This Row],[Sulf]]*vp.tbl[[#This Row],[Net Dens]],"")</f>
        <v>5988630.8026439995</v>
      </c>
      <c r="AK1179" s="5">
        <f>IFERROR(vp.tbl[[#This Row],[Dens]]*vp.tbl[[#This Row],[VolumeM3]],"")</f>
        <v>4502729.9267999995</v>
      </c>
      <c r="AL1179" s="5">
        <f>IFERROR(vp.tbl[[#This Row],[VP]]*vp.tbl[[#This Row],[VolumeM3]],"")</f>
        <v>536275.24440000008</v>
      </c>
      <c r="AM1179" s="4">
        <f>IFERROR((vp.tbl[[#This Row],[VP]]-INDEX(crudeBD.lkup.complete[Mean_VP],MATCH(vp.tbl[[#This Row],[Crude_Breakdown]],crudeBD.lkup.complete[Crude Breakdown],0)))^2,"")</f>
        <v>34.267143415878117</v>
      </c>
      <c r="AN1179" s="4">
        <f>IFERROR((vp.tbl[[#This Row],[Dens]]-INDEX(crudeBD.lkup.complete[Mean_Dens],MATCH(vp.tbl[[#This Row],[Crude_Breakdown]],crudeBD.lkup.complete[Crude Breakdown],0)))^2,"")</f>
        <v>0.51375888806187209</v>
      </c>
      <c r="AO1179" s="4">
        <f>IFERROR((vp.tbl[[#This Row],[Sulf]]-INDEX(crudeBD.lkup.complete[Mean_Sulf],MATCH(vp.tbl[[#This Row],[Crude_Breakdown]],crudeBD.lkup.complete[Crude Breakdown],0)))^2,"")</f>
        <v>0.16567246976597019</v>
      </c>
      <c r="AP1179">
        <f>IF(AND(vp.tbl[[#This Row],[SDate]]&gt;=DATE(YEAR(vp.tbl[[#This Row],[SDate]]),5,1),vp.tbl[[#This Row],[SDate]]&lt;=DATE(YEAR(vp.tbl[[#This Row],[SDate]]),9,15)),1,0)</f>
        <v>0</v>
      </c>
      <c r="AQ1179" s="15">
        <f>IF(vp.tbl[[#This Row],[SDate]]&lt;DATE(2016,12,1),0,1)</f>
        <v>1</v>
      </c>
    </row>
    <row r="1180" spans="1:43" x14ac:dyDescent="0.25">
      <c r="A1180">
        <v>1179</v>
      </c>
      <c r="B1180" t="s">
        <v>51</v>
      </c>
      <c r="C1180" t="s">
        <v>51</v>
      </c>
      <c r="D1180" t="s">
        <v>71</v>
      </c>
      <c r="F1180" s="1">
        <v>42830</v>
      </c>
      <c r="G1180" s="2">
        <v>85.4</v>
      </c>
      <c r="H1180" s="2"/>
      <c r="I1180" s="2">
        <v>1.57</v>
      </c>
      <c r="J1180" s="2">
        <v>17.8</v>
      </c>
      <c r="K1180" s="2">
        <v>9</v>
      </c>
      <c r="L1180" s="2">
        <v>826.8</v>
      </c>
      <c r="M1180" s="2">
        <v>826.8</v>
      </c>
      <c r="N1180" s="2">
        <f ca="1">INDEX(INDIRECT(_xlfn.CONCAT("weather.tbl[",N$1,"]")),MATCH(vp.tbl[[#This Row],[SDate]],weather.tbl[Date],0))</f>
        <v>3.2666666666666671</v>
      </c>
      <c r="O1180" s="2">
        <f ca="1">INDEX(INDIRECT(_xlfn.CONCAT("weather.tbl[",O$1,"]")),MATCH(vp.tbl[[#This Row],[SDate]],weather.tbl[Date],0))</f>
        <v>5.4857142857142858</v>
      </c>
      <c r="P1180" s="2">
        <f ca="1">INDEX(INDIRECT(_xlfn.CONCAT("weather.tbl[",P$1,"]")),MATCH(vp.tbl[[#This Row],[SDate]],weather.tbl[Date],0))</f>
        <v>3.2</v>
      </c>
      <c r="Q1180" s="2">
        <f ca="1">INDEX(INDIRECT(_xlfn.CONCAT("weather.tbl[",Q$1,"]")),MATCH(vp.tbl[[#This Row],[SDate]],weather.tbl[Date],0))</f>
        <v>3.4</v>
      </c>
      <c r="R1180" s="2">
        <f ca="1">INDEX(INDIRECT(_xlfn.CONCAT("weather.tbl[",R$1,"]")),MATCH(vp.tbl[[#This Row],[SDate]],weather.tbl[Date],0))</f>
        <v>3.5</v>
      </c>
      <c r="S1180" s="2">
        <f ca="1">INDEX(INDIRECT(_xlfn.CONCAT("weather.tbl[",S$1,"]")),MATCH(vp.tbl[[#This Row],[SDate]],weather.tbl[Date],0))</f>
        <v>3</v>
      </c>
      <c r="T1180" s="2">
        <f ca="1">INDEX(INDIRECT(_xlfn.CONCAT("weather.tbl[",T$1,"]")),MATCH(vp.tbl[[#This Row],[SDate]],weather.tbl[Date],0))</f>
        <v>3.7</v>
      </c>
      <c r="U1180" s="2">
        <f ca="1">INDEX(INDIRECT(_xlfn.CONCAT("weather.tbl[",U$1,"]")),MATCH(vp.tbl[[#This Row],[SDate]],weather.tbl[Date],0))</f>
        <v>2.8</v>
      </c>
      <c r="V1180" s="2">
        <v>8466.4830000000002</v>
      </c>
      <c r="W1180" t="s">
        <v>48</v>
      </c>
      <c r="X1180">
        <f>IF(OR(vp.tbl[[#This Row],[Sulf]]="",vp.tbl[[#This Row],[Dens]]=""),1,0)</f>
        <v>0</v>
      </c>
      <c r="Y1180">
        <f>IF(vp.tbl[[#This Row],[CrudeType]]="C5+",1,0)</f>
        <v>0</v>
      </c>
      <c r="Z1180">
        <f>IF(AND(vp.tbl[[#This Row],[CrudeType]]="Crude",vp.tbl[[#This Row],[Dens]]&lt;=825,vp.tbl[[#This Row],[Sulf]]&gt;0.5,vp.tbl[[#This Row],[Unknown]]=0),1,0)</f>
        <v>0</v>
      </c>
      <c r="AA1180">
        <f>IF(AND(vp.tbl[[#This Row],[CrudeType]]="Crude",vp.tbl[[#This Row],[Dens]]&lt;=825,vp.tbl[[#This Row],[Sulf]]&lt;=0.5,vp.tbl[[#This Row],[Unknown]]=0),1,0)</f>
        <v>0</v>
      </c>
      <c r="AB1180">
        <f>IF(AND(vp.tbl[[#This Row],[CrudeType]]="Crude",vp.tbl[[#This Row],[Dens]]&gt;825,vp.tbl[[#This Row],[Dens]]&lt;=870,vp.tbl[[#This Row],[Sulf]]&gt;0.5,vp.tbl[[#This Row],[Unknown]]=0),1,0)</f>
        <v>1</v>
      </c>
      <c r="AC1180">
        <f>IF(AND(vp.tbl[[#This Row],[CrudeType]]="Crude",vp.tbl[[#This Row],[Dens]]&gt;825,vp.tbl[[#This Row],[Dens]]&lt;=900,vp.tbl[[#This Row],[Sulf]]&lt;=0.5,vp.tbl[[#This Row],[Unknown]]=0),1,0)</f>
        <v>0</v>
      </c>
      <c r="AD1180">
        <f>IF(AND(vp.tbl[[#This Row],[CrudeType]]="Crude",vp.tbl[[#This Row],[Dens]]&gt;870,vp.tbl[[#This Row],[Dens]]&lt;=900,vp.tbl[[#This Row],[Sulf]]&gt;0.5,vp.tbl[[#This Row],[Unknown]]=0),1,0)</f>
        <v>0</v>
      </c>
      <c r="AE1180">
        <f>IF(AND(vp.tbl[[#This Row],[CrudeType]]="Crude",vp.tbl[[#This Row],[Dens]]&gt;900,vp.tbl[[#This Row],[Sulf]]&lt;=0.5,vp.tbl[[#This Row],[Unknown]]=0),1,0)</f>
        <v>0</v>
      </c>
      <c r="AF1180">
        <f>IF(AND(vp.tbl[[#This Row],[CrudeType]]="Crude",vp.tbl[[#This Row],[Dens]]&gt;900,vp.tbl[[#This Row],[Sulf]]&lt;=0.5,vp.tbl[[#This Row],[Unknown]]=0),1,0)</f>
        <v>0</v>
      </c>
      <c r="AG1180" t="str">
        <f>INDEX(vp.tbl[[#Headers],[Unknown]:[Heavy_SW]],MATCH(1,vp.tbl[[#This Row],[Unknown]:[Heavy_SW]],0))</f>
        <v>Medium_LSB</v>
      </c>
      <c r="AH1180" t="e">
        <f>INDEX([1]!crudeBD.lkup[Number],MATCH(vp.tbl[[#This Row],[Crude_Breakdown]],[1]!crudeBD.lkup[Crude Breakdown],0))</f>
        <v>#REF!</v>
      </c>
      <c r="AI1180">
        <f>MONTH(vp.tbl[[#This Row],[SDate]])</f>
        <v>4</v>
      </c>
      <c r="AJ1180" s="5">
        <f>IFERROR(vp.tbl[[#This Row],[Sulf]]*vp.tbl[[#This Row],[Net Dens]],"")</f>
        <v>10990138.386708001</v>
      </c>
      <c r="AK1180" s="5">
        <f>IFERROR(vp.tbl[[#This Row],[Dens]]*vp.tbl[[#This Row],[VolumeM3]],"")</f>
        <v>7000088.1443999996</v>
      </c>
      <c r="AL1180" s="5">
        <f>IFERROR(vp.tbl[[#This Row],[VP]]*vp.tbl[[#This Row],[VolumeM3]],"")</f>
        <v>723037.64820000005</v>
      </c>
      <c r="AM1180" s="4">
        <f>IFERROR((vp.tbl[[#This Row],[VP]]-INDEX(crudeBD.lkup.complete[Mean_VP],MATCH(vp.tbl[[#This Row],[Crude_Breakdown]],crudeBD.lkup.complete[Crude Breakdown],0)))^2,"")</f>
        <v>27.315309885595703</v>
      </c>
      <c r="AN1180" s="4">
        <f>IFERROR((vp.tbl[[#This Row],[Dens]]-INDEX(crudeBD.lkup.complete[Mean_Dens],MATCH(vp.tbl[[#This Row],[Crude_Breakdown]],crudeBD.lkup.complete[Crude Breakdown],0)))^2,"")</f>
        <v>341.94750990478821</v>
      </c>
      <c r="AO1180" s="4">
        <f>IFERROR((vp.tbl[[#This Row],[Sulf]]-INDEX(crudeBD.lkup.complete[Mean_Sulf],MATCH(vp.tbl[[#This Row],[Crude_Breakdown]],crudeBD.lkup.complete[Crude Breakdown],0)))^2,"")</f>
        <v>1.3241136944829188E-2</v>
      </c>
      <c r="AP1180">
        <f>IF(AND(vp.tbl[[#This Row],[SDate]]&gt;=DATE(YEAR(vp.tbl[[#This Row],[SDate]]),5,1),vp.tbl[[#This Row],[SDate]]&lt;=DATE(YEAR(vp.tbl[[#This Row],[SDate]]),9,15)),1,0)</f>
        <v>0</v>
      </c>
      <c r="AQ1180" s="15">
        <f>IF(vp.tbl[[#This Row],[SDate]]&lt;DATE(2016,12,1),0,1)</f>
        <v>1</v>
      </c>
    </row>
    <row r="1181" spans="1:43" x14ac:dyDescent="0.25">
      <c r="A1181">
        <v>1180</v>
      </c>
      <c r="B1181" t="s">
        <v>56</v>
      </c>
      <c r="C1181" t="s">
        <v>56</v>
      </c>
      <c r="D1181" t="s">
        <v>57</v>
      </c>
      <c r="F1181" s="1">
        <v>42830</v>
      </c>
      <c r="G1181" s="2">
        <v>77.599999999999994</v>
      </c>
      <c r="H1181" s="2"/>
      <c r="I1181" s="2">
        <v>1.68</v>
      </c>
      <c r="J1181" s="2">
        <v>16.399999999999999</v>
      </c>
      <c r="K1181" s="2">
        <v>9</v>
      </c>
      <c r="L1181" s="2">
        <v>853.4</v>
      </c>
      <c r="M1181" s="2">
        <v>853.4</v>
      </c>
      <c r="N1181" s="2">
        <f ca="1">INDEX(INDIRECT(_xlfn.CONCAT("weather.tbl[",N$1,"]")),MATCH(vp.tbl[[#This Row],[SDate]],weather.tbl[Date],0))</f>
        <v>3.2666666666666671</v>
      </c>
      <c r="O1181" s="2">
        <f ca="1">INDEX(INDIRECT(_xlfn.CONCAT("weather.tbl[",O$1,"]")),MATCH(vp.tbl[[#This Row],[SDate]],weather.tbl[Date],0))</f>
        <v>5.4857142857142858</v>
      </c>
      <c r="P1181" s="2">
        <f ca="1">INDEX(INDIRECT(_xlfn.CONCAT("weather.tbl[",P$1,"]")),MATCH(vp.tbl[[#This Row],[SDate]],weather.tbl[Date],0))</f>
        <v>3.2</v>
      </c>
      <c r="Q1181" s="2">
        <f ca="1">INDEX(INDIRECT(_xlfn.CONCAT("weather.tbl[",Q$1,"]")),MATCH(vp.tbl[[#This Row],[SDate]],weather.tbl[Date],0))</f>
        <v>3.4</v>
      </c>
      <c r="R1181" s="2">
        <f ca="1">INDEX(INDIRECT(_xlfn.CONCAT("weather.tbl[",R$1,"]")),MATCH(vp.tbl[[#This Row],[SDate]],weather.tbl[Date],0))</f>
        <v>3.5</v>
      </c>
      <c r="S1181" s="2">
        <f ca="1">INDEX(INDIRECT(_xlfn.CONCAT("weather.tbl[",S$1,"]")),MATCH(vp.tbl[[#This Row],[SDate]],weather.tbl[Date],0))</f>
        <v>3</v>
      </c>
      <c r="T1181" s="2">
        <f ca="1">INDEX(INDIRECT(_xlfn.CONCAT("weather.tbl[",T$1,"]")),MATCH(vp.tbl[[#This Row],[SDate]],weather.tbl[Date],0))</f>
        <v>3.7</v>
      </c>
      <c r="U1181" s="2">
        <f ca="1">INDEX(INDIRECT(_xlfn.CONCAT("weather.tbl[",U$1,"]")),MATCH(vp.tbl[[#This Row],[SDate]],weather.tbl[Date],0))</f>
        <v>2.8</v>
      </c>
      <c r="V1181" s="2">
        <v>2980.6370000000002</v>
      </c>
      <c r="W1181" t="s">
        <v>48</v>
      </c>
      <c r="X1181">
        <f>IF(OR(vp.tbl[[#This Row],[Sulf]]="",vp.tbl[[#This Row],[Dens]]=""),1,0)</f>
        <v>0</v>
      </c>
      <c r="Y1181">
        <f>IF(vp.tbl[[#This Row],[CrudeType]]="C5+",1,0)</f>
        <v>0</v>
      </c>
      <c r="Z1181">
        <f>IF(AND(vp.tbl[[#This Row],[CrudeType]]="Crude",vp.tbl[[#This Row],[Dens]]&lt;=825,vp.tbl[[#This Row],[Sulf]]&gt;0.5,vp.tbl[[#This Row],[Unknown]]=0),1,0)</f>
        <v>0</v>
      </c>
      <c r="AA1181">
        <f>IF(AND(vp.tbl[[#This Row],[CrudeType]]="Crude",vp.tbl[[#This Row],[Dens]]&lt;=825,vp.tbl[[#This Row],[Sulf]]&lt;=0.5,vp.tbl[[#This Row],[Unknown]]=0),1,0)</f>
        <v>0</v>
      </c>
      <c r="AB1181">
        <f>IF(AND(vp.tbl[[#This Row],[CrudeType]]="Crude",vp.tbl[[#This Row],[Dens]]&gt;825,vp.tbl[[#This Row],[Dens]]&lt;=870,vp.tbl[[#This Row],[Sulf]]&gt;0.5,vp.tbl[[#This Row],[Unknown]]=0),1,0)</f>
        <v>1</v>
      </c>
      <c r="AC1181">
        <f>IF(AND(vp.tbl[[#This Row],[CrudeType]]="Crude",vp.tbl[[#This Row],[Dens]]&gt;825,vp.tbl[[#This Row],[Dens]]&lt;=900,vp.tbl[[#This Row],[Sulf]]&lt;=0.5,vp.tbl[[#This Row],[Unknown]]=0),1,0)</f>
        <v>0</v>
      </c>
      <c r="AD1181">
        <f>IF(AND(vp.tbl[[#This Row],[CrudeType]]="Crude",vp.tbl[[#This Row],[Dens]]&gt;870,vp.tbl[[#This Row],[Dens]]&lt;=900,vp.tbl[[#This Row],[Sulf]]&gt;0.5,vp.tbl[[#This Row],[Unknown]]=0),1,0)</f>
        <v>0</v>
      </c>
      <c r="AE1181">
        <f>IF(AND(vp.tbl[[#This Row],[CrudeType]]="Crude",vp.tbl[[#This Row],[Dens]]&gt;900,vp.tbl[[#This Row],[Sulf]]&lt;=0.5,vp.tbl[[#This Row],[Unknown]]=0),1,0)</f>
        <v>0</v>
      </c>
      <c r="AF1181">
        <f>IF(AND(vp.tbl[[#This Row],[CrudeType]]="Crude",vp.tbl[[#This Row],[Dens]]&gt;900,vp.tbl[[#This Row],[Sulf]]&lt;=0.5,vp.tbl[[#This Row],[Unknown]]=0),1,0)</f>
        <v>0</v>
      </c>
      <c r="AG1181" t="str">
        <f>INDEX(vp.tbl[[#Headers],[Unknown]:[Heavy_SW]],MATCH(1,vp.tbl[[#This Row],[Unknown]:[Heavy_SW]],0))</f>
        <v>Medium_LSB</v>
      </c>
      <c r="AH1181" t="e">
        <f>INDEX([1]!crudeBD.lkup[Number],MATCH(vp.tbl[[#This Row],[Crude_Breakdown]],[1]!crudeBD.lkup[Crude Breakdown],0))</f>
        <v>#REF!</v>
      </c>
      <c r="AI1181">
        <f>MONTH(vp.tbl[[#This Row],[SDate]])</f>
        <v>4</v>
      </c>
      <c r="AJ1181" s="5">
        <f>IFERROR(vp.tbl[[#This Row],[Sulf]]*vp.tbl[[#This Row],[Net Dens]],"")</f>
        <v>4273375.0345440004</v>
      </c>
      <c r="AK1181" s="5">
        <f>IFERROR(vp.tbl[[#This Row],[Dens]]*vp.tbl[[#This Row],[VolumeM3]],"")</f>
        <v>2543675.6158000003</v>
      </c>
      <c r="AL1181" s="5">
        <f>IFERROR(vp.tbl[[#This Row],[VP]]*vp.tbl[[#This Row],[VolumeM3]],"")</f>
        <v>231297.43119999999</v>
      </c>
      <c r="AM1181" s="4">
        <f>IFERROR((vp.tbl[[#This Row],[VP]]-INDEX(crudeBD.lkup.complete[Mean_VP],MATCH(vp.tbl[[#This Row],[Crude_Breakdown]],crudeBD.lkup.complete[Crude Breakdown],0)))^2,"")</f>
        <v>6.6233908982533247</v>
      </c>
      <c r="AN1181" s="4">
        <f>IFERROR((vp.tbl[[#This Row],[Dens]]-INDEX(crudeBD.lkup.complete[Mean_Dens],MATCH(vp.tbl[[#This Row],[Crude_Breakdown]],crudeBD.lkup.complete[Crude Breakdown],0)))^2,"")</f>
        <v>65.742537752939811</v>
      </c>
      <c r="AO1181" s="4">
        <f>IFERROR((vp.tbl[[#This Row],[Sulf]]-INDEX(crudeBD.lkup.complete[Mean_Sulf],MATCH(vp.tbl[[#This Row],[Crude_Breakdown]],crudeBD.lkup.complete[Crude Breakdown],0)))^2,"")</f>
        <v>5.0656567577740209E-2</v>
      </c>
      <c r="AP1181">
        <f>IF(AND(vp.tbl[[#This Row],[SDate]]&gt;=DATE(YEAR(vp.tbl[[#This Row],[SDate]]),5,1),vp.tbl[[#This Row],[SDate]]&lt;=DATE(YEAR(vp.tbl[[#This Row],[SDate]]),9,15)),1,0)</f>
        <v>0</v>
      </c>
      <c r="AQ1181" s="15">
        <f>IF(vp.tbl[[#This Row],[SDate]]&lt;DATE(2016,12,1),0,1)</f>
        <v>1</v>
      </c>
    </row>
    <row r="1182" spans="1:43" x14ac:dyDescent="0.25">
      <c r="A1182">
        <v>1181</v>
      </c>
      <c r="B1182" t="s">
        <v>56</v>
      </c>
      <c r="C1182" t="s">
        <v>56</v>
      </c>
      <c r="D1182" t="s">
        <v>94</v>
      </c>
      <c r="F1182" s="1">
        <v>42830</v>
      </c>
      <c r="G1182" s="2">
        <v>75.8</v>
      </c>
      <c r="H1182" s="2"/>
      <c r="I1182" s="2">
        <v>1.97</v>
      </c>
      <c r="J1182" s="2">
        <v>26.6</v>
      </c>
      <c r="K1182" s="2">
        <v>9</v>
      </c>
      <c r="L1182" s="2">
        <v>858.3</v>
      </c>
      <c r="M1182" s="2">
        <v>858.3</v>
      </c>
      <c r="N1182" s="2">
        <f ca="1">INDEX(INDIRECT(_xlfn.CONCAT("weather.tbl[",N$1,"]")),MATCH(vp.tbl[[#This Row],[SDate]],weather.tbl[Date],0))</f>
        <v>3.2666666666666671</v>
      </c>
      <c r="O1182" s="2">
        <f ca="1">INDEX(INDIRECT(_xlfn.CONCAT("weather.tbl[",O$1,"]")),MATCH(vp.tbl[[#This Row],[SDate]],weather.tbl[Date],0))</f>
        <v>5.4857142857142858</v>
      </c>
      <c r="P1182" s="2">
        <f ca="1">INDEX(INDIRECT(_xlfn.CONCAT("weather.tbl[",P$1,"]")),MATCH(vp.tbl[[#This Row],[SDate]],weather.tbl[Date],0))</f>
        <v>3.2</v>
      </c>
      <c r="Q1182" s="2">
        <f ca="1">INDEX(INDIRECT(_xlfn.CONCAT("weather.tbl[",Q$1,"]")),MATCH(vp.tbl[[#This Row],[SDate]],weather.tbl[Date],0))</f>
        <v>3.4</v>
      </c>
      <c r="R1182" s="2">
        <f ca="1">INDEX(INDIRECT(_xlfn.CONCAT("weather.tbl[",R$1,"]")),MATCH(vp.tbl[[#This Row],[SDate]],weather.tbl[Date],0))</f>
        <v>3.5</v>
      </c>
      <c r="S1182" s="2">
        <f ca="1">INDEX(INDIRECT(_xlfn.CONCAT("weather.tbl[",S$1,"]")),MATCH(vp.tbl[[#This Row],[SDate]],weather.tbl[Date],0))</f>
        <v>3</v>
      </c>
      <c r="T1182" s="2">
        <f ca="1">INDEX(INDIRECT(_xlfn.CONCAT("weather.tbl[",T$1,"]")),MATCH(vp.tbl[[#This Row],[SDate]],weather.tbl[Date],0))</f>
        <v>3.7</v>
      </c>
      <c r="U1182" s="2">
        <f ca="1">INDEX(INDIRECT(_xlfn.CONCAT("weather.tbl[",U$1,"]")),MATCH(vp.tbl[[#This Row],[SDate]],weather.tbl[Date],0))</f>
        <v>2.8</v>
      </c>
      <c r="V1182" s="2">
        <v>3705.826</v>
      </c>
      <c r="W1182" t="s">
        <v>48</v>
      </c>
      <c r="X1182">
        <f>IF(OR(vp.tbl[[#This Row],[Sulf]]="",vp.tbl[[#This Row],[Dens]]=""),1,0)</f>
        <v>0</v>
      </c>
      <c r="Y1182">
        <f>IF(vp.tbl[[#This Row],[CrudeType]]="C5+",1,0)</f>
        <v>0</v>
      </c>
      <c r="Z1182">
        <f>IF(AND(vp.tbl[[#This Row],[CrudeType]]="Crude",vp.tbl[[#This Row],[Dens]]&lt;=825,vp.tbl[[#This Row],[Sulf]]&gt;0.5,vp.tbl[[#This Row],[Unknown]]=0),1,0)</f>
        <v>0</v>
      </c>
      <c r="AA1182">
        <f>IF(AND(vp.tbl[[#This Row],[CrudeType]]="Crude",vp.tbl[[#This Row],[Dens]]&lt;=825,vp.tbl[[#This Row],[Sulf]]&lt;=0.5,vp.tbl[[#This Row],[Unknown]]=0),1,0)</f>
        <v>0</v>
      </c>
      <c r="AB1182">
        <f>IF(AND(vp.tbl[[#This Row],[CrudeType]]="Crude",vp.tbl[[#This Row],[Dens]]&gt;825,vp.tbl[[#This Row],[Dens]]&lt;=870,vp.tbl[[#This Row],[Sulf]]&gt;0.5,vp.tbl[[#This Row],[Unknown]]=0),1,0)</f>
        <v>1</v>
      </c>
      <c r="AC1182">
        <f>IF(AND(vp.tbl[[#This Row],[CrudeType]]="Crude",vp.tbl[[#This Row],[Dens]]&gt;825,vp.tbl[[#This Row],[Dens]]&lt;=900,vp.tbl[[#This Row],[Sulf]]&lt;=0.5,vp.tbl[[#This Row],[Unknown]]=0),1,0)</f>
        <v>0</v>
      </c>
      <c r="AD1182">
        <f>IF(AND(vp.tbl[[#This Row],[CrudeType]]="Crude",vp.tbl[[#This Row],[Dens]]&gt;870,vp.tbl[[#This Row],[Dens]]&lt;=900,vp.tbl[[#This Row],[Sulf]]&gt;0.5,vp.tbl[[#This Row],[Unknown]]=0),1,0)</f>
        <v>0</v>
      </c>
      <c r="AE1182">
        <f>IF(AND(vp.tbl[[#This Row],[CrudeType]]="Crude",vp.tbl[[#This Row],[Dens]]&gt;900,vp.tbl[[#This Row],[Sulf]]&lt;=0.5,vp.tbl[[#This Row],[Unknown]]=0),1,0)</f>
        <v>0</v>
      </c>
      <c r="AF1182">
        <f>IF(AND(vp.tbl[[#This Row],[CrudeType]]="Crude",vp.tbl[[#This Row],[Dens]]&gt;900,vp.tbl[[#This Row],[Sulf]]&lt;=0.5,vp.tbl[[#This Row],[Unknown]]=0),1,0)</f>
        <v>0</v>
      </c>
      <c r="AG1182" t="str">
        <f>INDEX(vp.tbl[[#Headers],[Unknown]:[Heavy_SW]],MATCH(1,vp.tbl[[#This Row],[Unknown]:[Heavy_SW]],0))</f>
        <v>Medium_LSB</v>
      </c>
      <c r="AH1182" t="e">
        <f>INDEX([1]!crudeBD.lkup[Number],MATCH(vp.tbl[[#This Row],[Crude_Breakdown]],[1]!crudeBD.lkup[Crude Breakdown],0))</f>
        <v>#REF!</v>
      </c>
      <c r="AI1182">
        <f>MONTH(vp.tbl[[#This Row],[SDate]])</f>
        <v>4</v>
      </c>
      <c r="AJ1182" s="5">
        <f>IFERROR(vp.tbl[[#This Row],[Sulf]]*vp.tbl[[#This Row],[Net Dens]],"")</f>
        <v>6265999.5979259992</v>
      </c>
      <c r="AK1182" s="5">
        <f>IFERROR(vp.tbl[[#This Row],[Dens]]*vp.tbl[[#This Row],[VolumeM3]],"")</f>
        <v>3180710.4557999996</v>
      </c>
      <c r="AL1182" s="5">
        <f>IFERROR(vp.tbl[[#This Row],[VP]]*vp.tbl[[#This Row],[VolumeM3]],"")</f>
        <v>280901.61079999997</v>
      </c>
      <c r="AM1182" s="4">
        <f>IFERROR((vp.tbl[[#This Row],[VP]]-INDEX(crudeBD.lkup.complete[Mean_VP],MATCH(vp.tbl[[#This Row],[Crude_Breakdown]],crudeBD.lkup.complete[Crude Breakdown],0)))^2,"")</f>
        <v>19.128332670405086</v>
      </c>
      <c r="AN1182" s="4">
        <f>IFERROR((vp.tbl[[#This Row],[Dens]]-INDEX(crudeBD.lkup.complete[Mean_Dens],MATCH(vp.tbl[[#This Row],[Crude_Breakdown]],crudeBD.lkup.complete[Crude Breakdown],0)))^2,"")</f>
        <v>169.2126744618094</v>
      </c>
      <c r="AO1182" s="4">
        <f>IFERROR((vp.tbl[[#This Row],[Sulf]]-INDEX(crudeBD.lkup.complete[Mean_Sulf],MATCH(vp.tbl[[#This Row],[Crude_Breakdown]],crudeBD.lkup.complete[Crude Breakdown],0)))^2,"")</f>
        <v>0.265297248337233</v>
      </c>
      <c r="AP1182">
        <f>IF(AND(vp.tbl[[#This Row],[SDate]]&gt;=DATE(YEAR(vp.tbl[[#This Row],[SDate]]),5,1),vp.tbl[[#This Row],[SDate]]&lt;=DATE(YEAR(vp.tbl[[#This Row],[SDate]]),9,15)),1,0)</f>
        <v>0</v>
      </c>
      <c r="AQ1182" s="15">
        <f>IF(vp.tbl[[#This Row],[SDate]]&lt;DATE(2016,12,1),0,1)</f>
        <v>1</v>
      </c>
    </row>
    <row r="1183" spans="1:43" x14ac:dyDescent="0.25">
      <c r="A1183">
        <v>1182</v>
      </c>
      <c r="B1183" t="s">
        <v>111</v>
      </c>
      <c r="C1183" t="s">
        <v>111</v>
      </c>
      <c r="D1183" t="s">
        <v>112</v>
      </c>
      <c r="F1183" s="1">
        <v>42830</v>
      </c>
      <c r="G1183" s="2">
        <v>63.7</v>
      </c>
      <c r="H1183" s="2"/>
      <c r="I1183" s="2">
        <v>1.87</v>
      </c>
      <c r="J1183" s="2">
        <v>37.1</v>
      </c>
      <c r="K1183" s="2">
        <v>9</v>
      </c>
      <c r="L1183" s="2">
        <v>859.6</v>
      </c>
      <c r="M1183" s="2">
        <v>859.6</v>
      </c>
      <c r="N1183" s="2">
        <f ca="1">INDEX(INDIRECT(_xlfn.CONCAT("weather.tbl[",N$1,"]")),MATCH(vp.tbl[[#This Row],[SDate]],weather.tbl[Date],0))</f>
        <v>3.2666666666666671</v>
      </c>
      <c r="O1183" s="2">
        <f ca="1">INDEX(INDIRECT(_xlfn.CONCAT("weather.tbl[",O$1,"]")),MATCH(vp.tbl[[#This Row],[SDate]],weather.tbl[Date],0))</f>
        <v>5.4857142857142858</v>
      </c>
      <c r="P1183" s="2">
        <f ca="1">INDEX(INDIRECT(_xlfn.CONCAT("weather.tbl[",P$1,"]")),MATCH(vp.tbl[[#This Row],[SDate]],weather.tbl[Date],0))</f>
        <v>3.2</v>
      </c>
      <c r="Q1183" s="2">
        <f ca="1">INDEX(INDIRECT(_xlfn.CONCAT("weather.tbl[",Q$1,"]")),MATCH(vp.tbl[[#This Row],[SDate]],weather.tbl[Date],0))</f>
        <v>3.4</v>
      </c>
      <c r="R1183" s="2">
        <f ca="1">INDEX(INDIRECT(_xlfn.CONCAT("weather.tbl[",R$1,"]")),MATCH(vp.tbl[[#This Row],[SDate]],weather.tbl[Date],0))</f>
        <v>3.5</v>
      </c>
      <c r="S1183" s="2">
        <f ca="1">INDEX(INDIRECT(_xlfn.CONCAT("weather.tbl[",S$1,"]")),MATCH(vp.tbl[[#This Row],[SDate]],weather.tbl[Date],0))</f>
        <v>3</v>
      </c>
      <c r="T1183" s="2">
        <f ca="1">INDEX(INDIRECT(_xlfn.CONCAT("weather.tbl[",T$1,"]")),MATCH(vp.tbl[[#This Row],[SDate]],weather.tbl[Date],0))</f>
        <v>3.7</v>
      </c>
      <c r="U1183" s="2">
        <f ca="1">INDEX(INDIRECT(_xlfn.CONCAT("weather.tbl[",U$1,"]")),MATCH(vp.tbl[[#This Row],[SDate]],weather.tbl[Date],0))</f>
        <v>2.8</v>
      </c>
      <c r="V1183" s="2">
        <v>7693.7780000000002</v>
      </c>
      <c r="W1183" t="s">
        <v>48</v>
      </c>
      <c r="X1183">
        <f>IF(OR(vp.tbl[[#This Row],[Sulf]]="",vp.tbl[[#This Row],[Dens]]=""),1,0)</f>
        <v>0</v>
      </c>
      <c r="Y1183">
        <f>IF(vp.tbl[[#This Row],[CrudeType]]="C5+",1,0)</f>
        <v>0</v>
      </c>
      <c r="Z1183">
        <f>IF(AND(vp.tbl[[#This Row],[CrudeType]]="Crude",vp.tbl[[#This Row],[Dens]]&lt;=825,vp.tbl[[#This Row],[Sulf]]&gt;0.5,vp.tbl[[#This Row],[Unknown]]=0),1,0)</f>
        <v>0</v>
      </c>
      <c r="AA1183">
        <f>IF(AND(vp.tbl[[#This Row],[CrudeType]]="Crude",vp.tbl[[#This Row],[Dens]]&lt;=825,vp.tbl[[#This Row],[Sulf]]&lt;=0.5,vp.tbl[[#This Row],[Unknown]]=0),1,0)</f>
        <v>0</v>
      </c>
      <c r="AB1183">
        <f>IF(AND(vp.tbl[[#This Row],[CrudeType]]="Crude",vp.tbl[[#This Row],[Dens]]&gt;825,vp.tbl[[#This Row],[Dens]]&lt;=870,vp.tbl[[#This Row],[Sulf]]&gt;0.5,vp.tbl[[#This Row],[Unknown]]=0),1,0)</f>
        <v>1</v>
      </c>
      <c r="AC1183">
        <f>IF(AND(vp.tbl[[#This Row],[CrudeType]]="Crude",vp.tbl[[#This Row],[Dens]]&gt;825,vp.tbl[[#This Row],[Dens]]&lt;=900,vp.tbl[[#This Row],[Sulf]]&lt;=0.5,vp.tbl[[#This Row],[Unknown]]=0),1,0)</f>
        <v>0</v>
      </c>
      <c r="AD1183">
        <f>IF(AND(vp.tbl[[#This Row],[CrudeType]]="Crude",vp.tbl[[#This Row],[Dens]]&gt;870,vp.tbl[[#This Row],[Dens]]&lt;=900,vp.tbl[[#This Row],[Sulf]]&gt;0.5,vp.tbl[[#This Row],[Unknown]]=0),1,0)</f>
        <v>0</v>
      </c>
      <c r="AE1183">
        <f>IF(AND(vp.tbl[[#This Row],[CrudeType]]="Crude",vp.tbl[[#This Row],[Dens]]&gt;900,vp.tbl[[#This Row],[Sulf]]&lt;=0.5,vp.tbl[[#This Row],[Unknown]]=0),1,0)</f>
        <v>0</v>
      </c>
      <c r="AF1183">
        <f>IF(AND(vp.tbl[[#This Row],[CrudeType]]="Crude",vp.tbl[[#This Row],[Dens]]&gt;900,vp.tbl[[#This Row],[Sulf]]&lt;=0.5,vp.tbl[[#This Row],[Unknown]]=0),1,0)</f>
        <v>0</v>
      </c>
      <c r="AG1183" t="str">
        <f>INDEX(vp.tbl[[#Headers],[Unknown]:[Heavy_SW]],MATCH(1,vp.tbl[[#This Row],[Unknown]:[Heavy_SW]],0))</f>
        <v>Medium_LSB</v>
      </c>
      <c r="AH1183" t="e">
        <f>INDEX([1]!crudeBD.lkup[Number],MATCH(vp.tbl[[#This Row],[Crude_Breakdown]],[1]!crudeBD.lkup[Crude Breakdown],0))</f>
        <v>#REF!</v>
      </c>
      <c r="AI1183">
        <f>MONTH(vp.tbl[[#This Row],[SDate]])</f>
        <v>4</v>
      </c>
      <c r="AJ1183" s="5">
        <f>IFERROR(vp.tbl[[#This Row],[Sulf]]*vp.tbl[[#This Row],[Net Dens]],"")</f>
        <v>12367378.833656002</v>
      </c>
      <c r="AK1183" s="5">
        <f>IFERROR(vp.tbl[[#This Row],[Dens]]*vp.tbl[[#This Row],[VolumeM3]],"")</f>
        <v>6613571.5688000005</v>
      </c>
      <c r="AL1183" s="5">
        <f>IFERROR(vp.tbl[[#This Row],[VP]]*vp.tbl[[#This Row],[VolumeM3]],"")</f>
        <v>490093.65860000002</v>
      </c>
      <c r="AM1183" s="4">
        <f>IFERROR((vp.tbl[[#This Row],[VP]]-INDEX(crudeBD.lkup.complete[Mean_VP],MATCH(vp.tbl[[#This Row],[Crude_Breakdown]],crudeBD.lkup.complete[Crude Breakdown],0)))^2,"")</f>
        <v>271.37933013875852</v>
      </c>
      <c r="AN1183" s="4">
        <f>IFERROR((vp.tbl[[#This Row],[Dens]]-INDEX(crudeBD.lkup.complete[Mean_Dens],MATCH(vp.tbl[[#This Row],[Crude_Breakdown]],crudeBD.lkup.complete[Crude Breakdown],0)))^2,"")</f>
        <v>204.72393522130747</v>
      </c>
      <c r="AO1183" s="4">
        <f>IFERROR((vp.tbl[[#This Row],[Sulf]]-INDEX(crudeBD.lkup.complete[Mean_Sulf],MATCH(vp.tbl[[#This Row],[Crude_Breakdown]],crudeBD.lkup.complete[Crude Breakdown],0)))^2,"")</f>
        <v>0.17228322048913217</v>
      </c>
      <c r="AP1183">
        <f>IF(AND(vp.tbl[[#This Row],[SDate]]&gt;=DATE(YEAR(vp.tbl[[#This Row],[SDate]]),5,1),vp.tbl[[#This Row],[SDate]]&lt;=DATE(YEAR(vp.tbl[[#This Row],[SDate]]),9,15)),1,0)</f>
        <v>0</v>
      </c>
      <c r="AQ1183" s="15">
        <f>IF(vp.tbl[[#This Row],[SDate]]&lt;DATE(2016,12,1),0,1)</f>
        <v>1</v>
      </c>
    </row>
    <row r="1184" spans="1:43" x14ac:dyDescent="0.25">
      <c r="A1184">
        <v>1183</v>
      </c>
      <c r="B1184" t="s">
        <v>46</v>
      </c>
      <c r="C1184" t="s">
        <v>46</v>
      </c>
      <c r="D1184" t="s">
        <v>47</v>
      </c>
      <c r="F1184" s="1">
        <v>42830</v>
      </c>
      <c r="G1184" s="2">
        <v>57</v>
      </c>
      <c r="H1184" s="2"/>
      <c r="I1184" s="2">
        <v>2.4</v>
      </c>
      <c r="J1184" s="2">
        <v>30.7</v>
      </c>
      <c r="K1184" s="2">
        <v>9</v>
      </c>
      <c r="L1184" s="2">
        <v>869.1</v>
      </c>
      <c r="M1184" s="2">
        <v>869.1</v>
      </c>
      <c r="N1184" s="2">
        <f ca="1">INDEX(INDIRECT(_xlfn.CONCAT("weather.tbl[",N$1,"]")),MATCH(vp.tbl[[#This Row],[SDate]],weather.tbl[Date],0))</f>
        <v>3.2666666666666671</v>
      </c>
      <c r="O1184" s="2">
        <f ca="1">INDEX(INDIRECT(_xlfn.CONCAT("weather.tbl[",O$1,"]")),MATCH(vp.tbl[[#This Row],[SDate]],weather.tbl[Date],0))</f>
        <v>5.4857142857142858</v>
      </c>
      <c r="P1184" s="2">
        <f ca="1">INDEX(INDIRECT(_xlfn.CONCAT("weather.tbl[",P$1,"]")),MATCH(vp.tbl[[#This Row],[SDate]],weather.tbl[Date],0))</f>
        <v>3.2</v>
      </c>
      <c r="Q1184" s="2">
        <f ca="1">INDEX(INDIRECT(_xlfn.CONCAT("weather.tbl[",Q$1,"]")),MATCH(vp.tbl[[#This Row],[SDate]],weather.tbl[Date],0))</f>
        <v>3.4</v>
      </c>
      <c r="R1184" s="2">
        <f ca="1">INDEX(INDIRECT(_xlfn.CONCAT("weather.tbl[",R$1,"]")),MATCH(vp.tbl[[#This Row],[SDate]],weather.tbl[Date],0))</f>
        <v>3.5</v>
      </c>
      <c r="S1184" s="2">
        <f ca="1">INDEX(INDIRECT(_xlfn.CONCAT("weather.tbl[",S$1,"]")),MATCH(vp.tbl[[#This Row],[SDate]],weather.tbl[Date],0))</f>
        <v>3</v>
      </c>
      <c r="T1184" s="2">
        <f ca="1">INDEX(INDIRECT(_xlfn.CONCAT("weather.tbl[",T$1,"]")),MATCH(vp.tbl[[#This Row],[SDate]],weather.tbl[Date],0))</f>
        <v>3.7</v>
      </c>
      <c r="U1184" s="2">
        <f ca="1">INDEX(INDIRECT(_xlfn.CONCAT("weather.tbl[",U$1,"]")),MATCH(vp.tbl[[#This Row],[SDate]],weather.tbl[Date],0))</f>
        <v>2.8</v>
      </c>
      <c r="V1184" s="2">
        <v>115537.139</v>
      </c>
      <c r="W1184" t="s">
        <v>48</v>
      </c>
      <c r="X1184">
        <f>IF(OR(vp.tbl[[#This Row],[Sulf]]="",vp.tbl[[#This Row],[Dens]]=""),1,0)</f>
        <v>0</v>
      </c>
      <c r="Y1184">
        <f>IF(vp.tbl[[#This Row],[CrudeType]]="C5+",1,0)</f>
        <v>0</v>
      </c>
      <c r="Z1184">
        <f>IF(AND(vp.tbl[[#This Row],[CrudeType]]="Crude",vp.tbl[[#This Row],[Dens]]&lt;=825,vp.tbl[[#This Row],[Sulf]]&gt;0.5,vp.tbl[[#This Row],[Unknown]]=0),1,0)</f>
        <v>0</v>
      </c>
      <c r="AA1184">
        <f>IF(AND(vp.tbl[[#This Row],[CrudeType]]="Crude",vp.tbl[[#This Row],[Dens]]&lt;=825,vp.tbl[[#This Row],[Sulf]]&lt;=0.5,vp.tbl[[#This Row],[Unknown]]=0),1,0)</f>
        <v>0</v>
      </c>
      <c r="AB1184">
        <f>IF(AND(vp.tbl[[#This Row],[CrudeType]]="Crude",vp.tbl[[#This Row],[Dens]]&gt;825,vp.tbl[[#This Row],[Dens]]&lt;=870,vp.tbl[[#This Row],[Sulf]]&gt;0.5,vp.tbl[[#This Row],[Unknown]]=0),1,0)</f>
        <v>1</v>
      </c>
      <c r="AC1184">
        <f>IF(AND(vp.tbl[[#This Row],[CrudeType]]="Crude",vp.tbl[[#This Row],[Dens]]&gt;825,vp.tbl[[#This Row],[Dens]]&lt;=900,vp.tbl[[#This Row],[Sulf]]&lt;=0.5,vp.tbl[[#This Row],[Unknown]]=0),1,0)</f>
        <v>0</v>
      </c>
      <c r="AD1184">
        <f>IF(AND(vp.tbl[[#This Row],[CrudeType]]="Crude",vp.tbl[[#This Row],[Dens]]&gt;870,vp.tbl[[#This Row],[Dens]]&lt;=900,vp.tbl[[#This Row],[Sulf]]&gt;0.5,vp.tbl[[#This Row],[Unknown]]=0),1,0)</f>
        <v>0</v>
      </c>
      <c r="AE1184">
        <f>IF(AND(vp.tbl[[#This Row],[CrudeType]]="Crude",vp.tbl[[#This Row],[Dens]]&gt;900,vp.tbl[[#This Row],[Sulf]]&lt;=0.5,vp.tbl[[#This Row],[Unknown]]=0),1,0)</f>
        <v>0</v>
      </c>
      <c r="AF1184">
        <f>IF(AND(vp.tbl[[#This Row],[CrudeType]]="Crude",vp.tbl[[#This Row],[Dens]]&gt;900,vp.tbl[[#This Row],[Sulf]]&lt;=0.5,vp.tbl[[#This Row],[Unknown]]=0),1,0)</f>
        <v>0</v>
      </c>
      <c r="AG1184" t="str">
        <f>INDEX(vp.tbl[[#Headers],[Unknown]:[Heavy_SW]],MATCH(1,vp.tbl[[#This Row],[Unknown]:[Heavy_SW]],0))</f>
        <v>Medium_LSB</v>
      </c>
      <c r="AH1184" t="e">
        <f>INDEX([1]!crudeBD.lkup[Number],MATCH(vp.tbl[[#This Row],[Crude_Breakdown]],[1]!crudeBD.lkup[Crude Breakdown],0))</f>
        <v>#REF!</v>
      </c>
      <c r="AI1184">
        <f>MONTH(vp.tbl[[#This Row],[SDate]])</f>
        <v>4</v>
      </c>
      <c r="AJ1184" s="5">
        <f>IFERROR(vp.tbl[[#This Row],[Sulf]]*vp.tbl[[#This Row],[Net Dens]],"")</f>
        <v>240991986.01175997</v>
      </c>
      <c r="AK1184" s="5">
        <f>IFERROR(vp.tbl[[#This Row],[Dens]]*vp.tbl[[#This Row],[VolumeM3]],"")</f>
        <v>100413327.50489999</v>
      </c>
      <c r="AL1184" s="5">
        <f>IFERROR(vp.tbl[[#This Row],[VP]]*vp.tbl[[#This Row],[VolumeM3]],"")</f>
        <v>6585616.9229999995</v>
      </c>
      <c r="AM1184" s="4">
        <f>IFERROR((vp.tbl[[#This Row],[VP]]-INDEX(crudeBD.lkup.complete[Mean_VP],MATCH(vp.tbl[[#This Row],[Crude_Breakdown]],crudeBD.lkup.complete[Crude Breakdown],0)))^2,"")</f>
        <v>537.01550229065685</v>
      </c>
      <c r="AN1184" s="4">
        <f>IFERROR((vp.tbl[[#This Row],[Dens]]-INDEX(crudeBD.lkup.complete[Mean_Dens],MATCH(vp.tbl[[#This Row],[Crude_Breakdown]],crudeBD.lkup.complete[Crude Breakdown],0)))^2,"")</f>
        <v>566.82930230993418</v>
      </c>
      <c r="AO1184" s="4">
        <f>IFERROR((vp.tbl[[#This Row],[Sulf]]-INDEX(crudeBD.lkup.complete[Mean_Sulf],MATCH(vp.tbl[[#This Row],[Crude_Breakdown]],crudeBD.lkup.complete[Crude Breakdown],0)))^2,"")</f>
        <v>0.8931575680840671</v>
      </c>
      <c r="AP1184">
        <f>IF(AND(vp.tbl[[#This Row],[SDate]]&gt;=DATE(YEAR(vp.tbl[[#This Row],[SDate]]),5,1),vp.tbl[[#This Row],[SDate]]&lt;=DATE(YEAR(vp.tbl[[#This Row],[SDate]]),9,15)),1,0)</f>
        <v>0</v>
      </c>
      <c r="AQ1184" s="15">
        <f>IF(vp.tbl[[#This Row],[SDate]]&lt;DATE(2016,12,1),0,1)</f>
        <v>1</v>
      </c>
    </row>
    <row r="1185" spans="1:43" x14ac:dyDescent="0.25">
      <c r="A1185">
        <v>1184</v>
      </c>
      <c r="B1185" t="s">
        <v>51</v>
      </c>
      <c r="C1185" t="s">
        <v>51</v>
      </c>
      <c r="D1185" t="s">
        <v>52</v>
      </c>
      <c r="F1185" s="1">
        <v>42830</v>
      </c>
      <c r="G1185" s="2">
        <v>73.900000000000006</v>
      </c>
      <c r="H1185" s="2"/>
      <c r="I1185" s="2">
        <v>2.4</v>
      </c>
      <c r="J1185" s="2">
        <v>32.4</v>
      </c>
      <c r="K1185" s="2">
        <v>9</v>
      </c>
      <c r="L1185" s="2">
        <v>869.4</v>
      </c>
      <c r="M1185" s="2">
        <v>869.4</v>
      </c>
      <c r="N1185" s="2">
        <f ca="1">INDEX(INDIRECT(_xlfn.CONCAT("weather.tbl[",N$1,"]")),MATCH(vp.tbl[[#This Row],[SDate]],weather.tbl[Date],0))</f>
        <v>3.2666666666666671</v>
      </c>
      <c r="O1185" s="2">
        <f ca="1">INDEX(INDIRECT(_xlfn.CONCAT("weather.tbl[",O$1,"]")),MATCH(vp.tbl[[#This Row],[SDate]],weather.tbl[Date],0))</f>
        <v>5.4857142857142858</v>
      </c>
      <c r="P1185" s="2">
        <f ca="1">INDEX(INDIRECT(_xlfn.CONCAT("weather.tbl[",P$1,"]")),MATCH(vp.tbl[[#This Row],[SDate]],weather.tbl[Date],0))</f>
        <v>3.2</v>
      </c>
      <c r="Q1185" s="2">
        <f ca="1">INDEX(INDIRECT(_xlfn.CONCAT("weather.tbl[",Q$1,"]")),MATCH(vp.tbl[[#This Row],[SDate]],weather.tbl[Date],0))</f>
        <v>3.4</v>
      </c>
      <c r="R1185" s="2">
        <f ca="1">INDEX(INDIRECT(_xlfn.CONCAT("weather.tbl[",R$1,"]")),MATCH(vp.tbl[[#This Row],[SDate]],weather.tbl[Date],0))</f>
        <v>3.5</v>
      </c>
      <c r="S1185" s="2">
        <f ca="1">INDEX(INDIRECT(_xlfn.CONCAT("weather.tbl[",S$1,"]")),MATCH(vp.tbl[[#This Row],[SDate]],weather.tbl[Date],0))</f>
        <v>3</v>
      </c>
      <c r="T1185" s="2">
        <f ca="1">INDEX(INDIRECT(_xlfn.CONCAT("weather.tbl[",T$1,"]")),MATCH(vp.tbl[[#This Row],[SDate]],weather.tbl[Date],0))</f>
        <v>3.7</v>
      </c>
      <c r="U1185" s="2">
        <f ca="1">INDEX(INDIRECT(_xlfn.CONCAT("weather.tbl[",U$1,"]")),MATCH(vp.tbl[[#This Row],[SDate]],weather.tbl[Date],0))</f>
        <v>2.8</v>
      </c>
      <c r="V1185" s="2">
        <v>7160.7740000000003</v>
      </c>
      <c r="W1185" t="s">
        <v>48</v>
      </c>
      <c r="X1185">
        <f>IF(OR(vp.tbl[[#This Row],[Sulf]]="",vp.tbl[[#This Row],[Dens]]=""),1,0)</f>
        <v>0</v>
      </c>
      <c r="Y1185">
        <f>IF(vp.tbl[[#This Row],[CrudeType]]="C5+",1,0)</f>
        <v>0</v>
      </c>
      <c r="Z1185">
        <f>IF(AND(vp.tbl[[#This Row],[CrudeType]]="Crude",vp.tbl[[#This Row],[Dens]]&lt;=825,vp.tbl[[#This Row],[Sulf]]&gt;0.5,vp.tbl[[#This Row],[Unknown]]=0),1,0)</f>
        <v>0</v>
      </c>
      <c r="AA1185">
        <f>IF(AND(vp.tbl[[#This Row],[CrudeType]]="Crude",vp.tbl[[#This Row],[Dens]]&lt;=825,vp.tbl[[#This Row],[Sulf]]&lt;=0.5,vp.tbl[[#This Row],[Unknown]]=0),1,0)</f>
        <v>0</v>
      </c>
      <c r="AB1185">
        <f>IF(AND(vp.tbl[[#This Row],[CrudeType]]="Crude",vp.tbl[[#This Row],[Dens]]&gt;825,vp.tbl[[#This Row],[Dens]]&lt;=870,vp.tbl[[#This Row],[Sulf]]&gt;0.5,vp.tbl[[#This Row],[Unknown]]=0),1,0)</f>
        <v>1</v>
      </c>
      <c r="AC1185">
        <f>IF(AND(vp.tbl[[#This Row],[CrudeType]]="Crude",vp.tbl[[#This Row],[Dens]]&gt;825,vp.tbl[[#This Row],[Dens]]&lt;=900,vp.tbl[[#This Row],[Sulf]]&lt;=0.5,vp.tbl[[#This Row],[Unknown]]=0),1,0)</f>
        <v>0</v>
      </c>
      <c r="AD1185">
        <f>IF(AND(vp.tbl[[#This Row],[CrudeType]]="Crude",vp.tbl[[#This Row],[Dens]]&gt;870,vp.tbl[[#This Row],[Dens]]&lt;=900,vp.tbl[[#This Row],[Sulf]]&gt;0.5,vp.tbl[[#This Row],[Unknown]]=0),1,0)</f>
        <v>0</v>
      </c>
      <c r="AE1185">
        <f>IF(AND(vp.tbl[[#This Row],[CrudeType]]="Crude",vp.tbl[[#This Row],[Dens]]&gt;900,vp.tbl[[#This Row],[Sulf]]&lt;=0.5,vp.tbl[[#This Row],[Unknown]]=0),1,0)</f>
        <v>0</v>
      </c>
      <c r="AF1185">
        <f>IF(AND(vp.tbl[[#This Row],[CrudeType]]="Crude",vp.tbl[[#This Row],[Dens]]&gt;900,vp.tbl[[#This Row],[Sulf]]&lt;=0.5,vp.tbl[[#This Row],[Unknown]]=0),1,0)</f>
        <v>0</v>
      </c>
      <c r="AG1185" t="str">
        <f>INDEX(vp.tbl[[#Headers],[Unknown]:[Heavy_SW]],MATCH(1,vp.tbl[[#This Row],[Unknown]:[Heavy_SW]],0))</f>
        <v>Medium_LSB</v>
      </c>
      <c r="AH1185" t="e">
        <f>INDEX([1]!crudeBD.lkup[Number],MATCH(vp.tbl[[#This Row],[Crude_Breakdown]],[1]!crudeBD.lkup[Crude Breakdown],0))</f>
        <v>#REF!</v>
      </c>
      <c r="AI1185">
        <f>MONTH(vp.tbl[[#This Row],[SDate]])</f>
        <v>4</v>
      </c>
      <c r="AJ1185" s="5">
        <f>IFERROR(vp.tbl[[#This Row],[Sulf]]*vp.tbl[[#This Row],[Net Dens]],"")</f>
        <v>14941384.597439999</v>
      </c>
      <c r="AK1185" s="5">
        <f>IFERROR(vp.tbl[[#This Row],[Dens]]*vp.tbl[[#This Row],[VolumeM3]],"")</f>
        <v>6225576.9155999999</v>
      </c>
      <c r="AL1185" s="5">
        <f>IFERROR(vp.tbl[[#This Row],[VP]]*vp.tbl[[#This Row],[VolumeM3]],"")</f>
        <v>529181.19860000012</v>
      </c>
      <c r="AM1185" s="4">
        <f>IFERROR((vp.tbl[[#This Row],[VP]]-INDEX(crudeBD.lkup.complete[Mean_VP],MATCH(vp.tbl[[#This Row],[Crude_Breakdown]],crudeBD.lkup.complete[Crude Breakdown],0)))^2,"")</f>
        <v>39.357993429898521</v>
      </c>
      <c r="AN1185" s="4">
        <f>IFERROR((vp.tbl[[#This Row],[Dens]]-INDEX(crudeBD.lkup.complete[Mean_Dens],MATCH(vp.tbl[[#This Row],[Crude_Breakdown]],crudeBD.lkup.complete[Crude Breakdown],0)))^2,"")</f>
        <v>581.20420863904656</v>
      </c>
      <c r="AO1185" s="4">
        <f>IFERROR((vp.tbl[[#This Row],[Sulf]]-INDEX(crudeBD.lkup.complete[Mean_Sulf],MATCH(vp.tbl[[#This Row],[Crude_Breakdown]],crudeBD.lkup.complete[Crude Breakdown],0)))^2,"")</f>
        <v>0.8931575680840671</v>
      </c>
      <c r="AP1185">
        <f>IF(AND(vp.tbl[[#This Row],[SDate]]&gt;=DATE(YEAR(vp.tbl[[#This Row],[SDate]]),5,1),vp.tbl[[#This Row],[SDate]]&lt;=DATE(YEAR(vp.tbl[[#This Row],[SDate]]),9,15)),1,0)</f>
        <v>0</v>
      </c>
      <c r="AQ1185" s="15">
        <f>IF(vp.tbl[[#This Row],[SDate]]&lt;DATE(2016,12,1),0,1)</f>
        <v>1</v>
      </c>
    </row>
    <row r="1186" spans="1:43" x14ac:dyDescent="0.25">
      <c r="A1186">
        <v>1185</v>
      </c>
      <c r="B1186" t="s">
        <v>111</v>
      </c>
      <c r="C1186" t="s">
        <v>111</v>
      </c>
      <c r="D1186" t="s">
        <v>234</v>
      </c>
      <c r="F1186" s="1">
        <v>42830</v>
      </c>
      <c r="G1186" s="2">
        <v>65.2</v>
      </c>
      <c r="H1186" s="2"/>
      <c r="I1186" s="2">
        <v>2.92</v>
      </c>
      <c r="J1186" s="2">
        <v>37.5</v>
      </c>
      <c r="K1186" s="2">
        <v>9</v>
      </c>
      <c r="L1186" s="2">
        <v>886.1</v>
      </c>
      <c r="M1186" s="2">
        <v>886.1</v>
      </c>
      <c r="N1186" s="2">
        <f ca="1">INDEX(INDIRECT(_xlfn.CONCAT("weather.tbl[",N$1,"]")),MATCH(vp.tbl[[#This Row],[SDate]],weather.tbl[Date],0))</f>
        <v>3.2666666666666671</v>
      </c>
      <c r="O1186" s="2">
        <f ca="1">INDEX(INDIRECT(_xlfn.CONCAT("weather.tbl[",O$1,"]")),MATCH(vp.tbl[[#This Row],[SDate]],weather.tbl[Date],0))</f>
        <v>5.4857142857142858</v>
      </c>
      <c r="P1186" s="2">
        <f ca="1">INDEX(INDIRECT(_xlfn.CONCAT("weather.tbl[",P$1,"]")),MATCH(vp.tbl[[#This Row],[SDate]],weather.tbl[Date],0))</f>
        <v>3.2</v>
      </c>
      <c r="Q1186" s="2">
        <f ca="1">INDEX(INDIRECT(_xlfn.CONCAT("weather.tbl[",Q$1,"]")),MATCH(vp.tbl[[#This Row],[SDate]],weather.tbl[Date],0))</f>
        <v>3.4</v>
      </c>
      <c r="R1186" s="2">
        <f ca="1">INDEX(INDIRECT(_xlfn.CONCAT("weather.tbl[",R$1,"]")),MATCH(vp.tbl[[#This Row],[SDate]],weather.tbl[Date],0))</f>
        <v>3.5</v>
      </c>
      <c r="S1186" s="2">
        <f ca="1">INDEX(INDIRECT(_xlfn.CONCAT("weather.tbl[",S$1,"]")),MATCH(vp.tbl[[#This Row],[SDate]],weather.tbl[Date],0))</f>
        <v>3</v>
      </c>
      <c r="T1186" s="2">
        <f ca="1">INDEX(INDIRECT(_xlfn.CONCAT("weather.tbl[",T$1,"]")),MATCH(vp.tbl[[#This Row],[SDate]],weather.tbl[Date],0))</f>
        <v>3.7</v>
      </c>
      <c r="U1186" s="2">
        <f ca="1">INDEX(INDIRECT(_xlfn.CONCAT("weather.tbl[",U$1,"]")),MATCH(vp.tbl[[#This Row],[SDate]],weather.tbl[Date],0))</f>
        <v>2.8</v>
      </c>
      <c r="V1186" s="2">
        <v>6110.1149999999998</v>
      </c>
      <c r="W1186" t="s">
        <v>48</v>
      </c>
      <c r="X1186">
        <f>IF(OR(vp.tbl[[#This Row],[Sulf]]="",vp.tbl[[#This Row],[Dens]]=""),1,0)</f>
        <v>0</v>
      </c>
      <c r="Y1186">
        <f>IF(vp.tbl[[#This Row],[CrudeType]]="C5+",1,0)</f>
        <v>0</v>
      </c>
      <c r="Z1186">
        <f>IF(AND(vp.tbl[[#This Row],[CrudeType]]="Crude",vp.tbl[[#This Row],[Dens]]&lt;=825,vp.tbl[[#This Row],[Sulf]]&gt;0.5,vp.tbl[[#This Row],[Unknown]]=0),1,0)</f>
        <v>0</v>
      </c>
      <c r="AA1186">
        <f>IF(AND(vp.tbl[[#This Row],[CrudeType]]="Crude",vp.tbl[[#This Row],[Dens]]&lt;=825,vp.tbl[[#This Row],[Sulf]]&lt;=0.5,vp.tbl[[#This Row],[Unknown]]=0),1,0)</f>
        <v>0</v>
      </c>
      <c r="AB1186">
        <f>IF(AND(vp.tbl[[#This Row],[CrudeType]]="Crude",vp.tbl[[#This Row],[Dens]]&gt;825,vp.tbl[[#This Row],[Dens]]&lt;=870,vp.tbl[[#This Row],[Sulf]]&gt;0.5,vp.tbl[[#This Row],[Unknown]]=0),1,0)</f>
        <v>0</v>
      </c>
      <c r="AC1186">
        <f>IF(AND(vp.tbl[[#This Row],[CrudeType]]="Crude",vp.tbl[[#This Row],[Dens]]&gt;825,vp.tbl[[#This Row],[Dens]]&lt;=900,vp.tbl[[#This Row],[Sulf]]&lt;=0.5,vp.tbl[[#This Row],[Unknown]]=0),1,0)</f>
        <v>0</v>
      </c>
      <c r="AD1186">
        <f>IF(AND(vp.tbl[[#This Row],[CrudeType]]="Crude",vp.tbl[[#This Row],[Dens]]&gt;870,vp.tbl[[#This Row],[Dens]]&lt;=900,vp.tbl[[#This Row],[Sulf]]&gt;0.5,vp.tbl[[#This Row],[Unknown]]=0),1,0)</f>
        <v>1</v>
      </c>
      <c r="AE1186">
        <f>IF(AND(vp.tbl[[#This Row],[CrudeType]]="Crude",vp.tbl[[#This Row],[Dens]]&gt;900,vp.tbl[[#This Row],[Sulf]]&lt;=0.5,vp.tbl[[#This Row],[Unknown]]=0),1,0)</f>
        <v>0</v>
      </c>
      <c r="AF1186">
        <f>IF(AND(vp.tbl[[#This Row],[CrudeType]]="Crude",vp.tbl[[#This Row],[Dens]]&gt;900,vp.tbl[[#This Row],[Sulf]]&lt;=0.5,vp.tbl[[#This Row],[Unknown]]=0),1,0)</f>
        <v>0</v>
      </c>
      <c r="AG1186" t="str">
        <f>INDEX(vp.tbl[[#Headers],[Unknown]:[Heavy_SW]],MATCH(1,vp.tbl[[#This Row],[Unknown]:[Heavy_SW]],0))</f>
        <v>Midale</v>
      </c>
      <c r="AH1186" t="e">
        <f>INDEX([1]!crudeBD.lkup[Number],MATCH(vp.tbl[[#This Row],[Crude_Breakdown]],[1]!crudeBD.lkup[Crude Breakdown],0))</f>
        <v>#REF!</v>
      </c>
      <c r="AI1186">
        <f>MONTH(vp.tbl[[#This Row],[SDate]])</f>
        <v>4</v>
      </c>
      <c r="AJ1186" s="5">
        <f>IFERROR(vp.tbl[[#This Row],[Sulf]]*vp.tbl[[#This Row],[Net Dens]],"")</f>
        <v>15809384.87238</v>
      </c>
      <c r="AK1186" s="5">
        <f>IFERROR(vp.tbl[[#This Row],[Dens]]*vp.tbl[[#This Row],[VolumeM3]],"")</f>
        <v>5414172.9014999997</v>
      </c>
      <c r="AL1186" s="5">
        <f>IFERROR(vp.tbl[[#This Row],[VP]]*vp.tbl[[#This Row],[VolumeM3]],"")</f>
        <v>398379.49800000002</v>
      </c>
      <c r="AM1186" s="4">
        <f>IFERROR((vp.tbl[[#This Row],[VP]]-INDEX(crudeBD.lkup.complete[Mean_VP],MATCH(vp.tbl[[#This Row],[Crude_Breakdown]],crudeBD.lkup.complete[Crude Breakdown],0)))^2,"")</f>
        <v>9.2316081816476512</v>
      </c>
      <c r="AN1186" s="4">
        <f>IFERROR((vp.tbl[[#This Row],[Dens]]-INDEX(crudeBD.lkup.complete[Mean_Dens],MATCH(vp.tbl[[#This Row],[Crude_Breakdown]],crudeBD.lkup.complete[Crude Breakdown],0)))^2,"")</f>
        <v>73.067367235884717</v>
      </c>
      <c r="AO1186" s="4">
        <f>IFERROR((vp.tbl[[#This Row],[Sulf]]-INDEX(crudeBD.lkup.complete[Mean_Sulf],MATCH(vp.tbl[[#This Row],[Crude_Breakdown]],crudeBD.lkup.complete[Crude Breakdown],0)))^2,"")</f>
        <v>0.25468157733700625</v>
      </c>
      <c r="AP1186">
        <f>IF(AND(vp.tbl[[#This Row],[SDate]]&gt;=DATE(YEAR(vp.tbl[[#This Row],[SDate]]),5,1),vp.tbl[[#This Row],[SDate]]&lt;=DATE(YEAR(vp.tbl[[#This Row],[SDate]]),9,15)),1,0)</f>
        <v>0</v>
      </c>
      <c r="AQ1186" s="15">
        <f>IF(vp.tbl[[#This Row],[SDate]]&lt;DATE(2016,12,1),0,1)</f>
        <v>1</v>
      </c>
    </row>
    <row r="1187" spans="1:43" x14ac:dyDescent="0.25">
      <c r="A1187">
        <v>1186</v>
      </c>
      <c r="B1187" t="s">
        <v>53</v>
      </c>
      <c r="C1187" t="s">
        <v>53</v>
      </c>
      <c r="D1187" t="s">
        <v>54</v>
      </c>
      <c r="E1187" t="s">
        <v>73</v>
      </c>
      <c r="F1187" s="1">
        <v>42831</v>
      </c>
      <c r="G1187" s="2">
        <v>44.7</v>
      </c>
      <c r="H1187" s="2"/>
      <c r="I1187" s="2">
        <v>1.2</v>
      </c>
      <c r="J1187" s="2">
        <v>11</v>
      </c>
      <c r="K1187" s="2">
        <v>12</v>
      </c>
      <c r="L1187" s="2">
        <v>823.7</v>
      </c>
      <c r="M1187" s="2">
        <v>823.7</v>
      </c>
      <c r="N1187" s="2">
        <f ca="1">INDEX(INDIRECT(_xlfn.CONCAT("weather.tbl[",N$1,"]")),MATCH(vp.tbl[[#This Row],[SDate]],weather.tbl[Date],0))</f>
        <v>5.8999999999999995</v>
      </c>
      <c r="O1187" s="2">
        <f ca="1">INDEX(INDIRECT(_xlfn.CONCAT("weather.tbl[",O$1,"]")),MATCH(vp.tbl[[#This Row],[SDate]],weather.tbl[Date],0))</f>
        <v>5.1476190476190471</v>
      </c>
      <c r="P1187" s="2">
        <f ca="1">INDEX(INDIRECT(_xlfn.CONCAT("weather.tbl[",P$1,"]")),MATCH(vp.tbl[[#This Row],[SDate]],weather.tbl[Date],0))</f>
        <v>6.5</v>
      </c>
      <c r="Q1187" s="2">
        <f ca="1">INDEX(INDIRECT(_xlfn.CONCAT("weather.tbl[",Q$1,"]")),MATCH(vp.tbl[[#This Row],[SDate]],weather.tbl[Date],0))</f>
        <v>7.6</v>
      </c>
      <c r="R1187" s="2">
        <f ca="1">INDEX(INDIRECT(_xlfn.CONCAT("weather.tbl[",R$1,"]")),MATCH(vp.tbl[[#This Row],[SDate]],weather.tbl[Date],0))</f>
        <v>3.5</v>
      </c>
      <c r="S1187" s="2">
        <f ca="1">INDEX(INDIRECT(_xlfn.CONCAT("weather.tbl[",S$1,"]")),MATCH(vp.tbl[[#This Row],[SDate]],weather.tbl[Date],0))</f>
        <v>7.7</v>
      </c>
      <c r="T1187" s="2">
        <f ca="1">INDEX(INDIRECT(_xlfn.CONCAT("weather.tbl[",T$1,"]")),MATCH(vp.tbl[[#This Row],[SDate]],weather.tbl[Date],0))</f>
        <v>5.3</v>
      </c>
      <c r="U1187" s="2">
        <f ca="1">INDEX(INDIRECT(_xlfn.CONCAT("weather.tbl[",U$1,"]")),MATCH(vp.tbl[[#This Row],[SDate]],weather.tbl[Date],0))</f>
        <v>4.8</v>
      </c>
      <c r="V1187" s="2">
        <v>6264.8940000000002</v>
      </c>
      <c r="W1187" t="s">
        <v>48</v>
      </c>
      <c r="X1187">
        <f>IF(OR(vp.tbl[[#This Row],[Sulf]]="",vp.tbl[[#This Row],[Dens]]=""),1,0)</f>
        <v>0</v>
      </c>
      <c r="Y1187">
        <f>IF(vp.tbl[[#This Row],[CrudeType]]="C5+",1,0)</f>
        <v>0</v>
      </c>
      <c r="Z1187">
        <f>IF(AND(vp.tbl[[#This Row],[CrudeType]]="Crude",vp.tbl[[#This Row],[Dens]]&lt;=825,vp.tbl[[#This Row],[Sulf]]&gt;0.5,vp.tbl[[#This Row],[Unknown]]=0),1,0)</f>
        <v>1</v>
      </c>
      <c r="AA1187">
        <f>IF(AND(vp.tbl[[#This Row],[CrudeType]]="Crude",vp.tbl[[#This Row],[Dens]]&lt;=825,vp.tbl[[#This Row],[Sulf]]&lt;=0.5,vp.tbl[[#This Row],[Unknown]]=0),1,0)</f>
        <v>0</v>
      </c>
      <c r="AB1187">
        <f>IF(AND(vp.tbl[[#This Row],[CrudeType]]="Crude",vp.tbl[[#This Row],[Dens]]&gt;825,vp.tbl[[#This Row],[Dens]]&lt;=870,vp.tbl[[#This Row],[Sulf]]&gt;0.5,vp.tbl[[#This Row],[Unknown]]=0),1,0)</f>
        <v>0</v>
      </c>
      <c r="AC1187">
        <f>IF(AND(vp.tbl[[#This Row],[CrudeType]]="Crude",vp.tbl[[#This Row],[Dens]]&gt;825,vp.tbl[[#This Row],[Dens]]&lt;=900,vp.tbl[[#This Row],[Sulf]]&lt;=0.5,vp.tbl[[#This Row],[Unknown]]=0),1,0)</f>
        <v>0</v>
      </c>
      <c r="AD1187">
        <f>IF(AND(vp.tbl[[#This Row],[CrudeType]]="Crude",vp.tbl[[#This Row],[Dens]]&gt;870,vp.tbl[[#This Row],[Dens]]&lt;=900,vp.tbl[[#This Row],[Sulf]]&gt;0.5,vp.tbl[[#This Row],[Unknown]]=0),1,0)</f>
        <v>0</v>
      </c>
      <c r="AE1187">
        <f>IF(AND(vp.tbl[[#This Row],[CrudeType]]="Crude",vp.tbl[[#This Row],[Dens]]&gt;900,vp.tbl[[#This Row],[Sulf]]&lt;=0.5,vp.tbl[[#This Row],[Unknown]]=0),1,0)</f>
        <v>0</v>
      </c>
      <c r="AF1187">
        <f>IF(AND(vp.tbl[[#This Row],[CrudeType]]="Crude",vp.tbl[[#This Row],[Dens]]&gt;900,vp.tbl[[#This Row],[Sulf]]&lt;=0.5,vp.tbl[[#This Row],[Unknown]]=0),1,0)</f>
        <v>0</v>
      </c>
      <c r="AG1187" t="str">
        <f>INDEX(vp.tbl[[#Headers],[Unknown]:[Heavy_SW]],MATCH(1,vp.tbl[[#This Row],[Unknown]:[Heavy_SW]],0))</f>
        <v>Light_LSB</v>
      </c>
      <c r="AH1187" t="e">
        <f>INDEX([1]!crudeBD.lkup[Number],MATCH(vp.tbl[[#This Row],[Crude_Breakdown]],[1]!crudeBD.lkup[Crude Breakdown],0))</f>
        <v>#REF!</v>
      </c>
      <c r="AI1187">
        <f>MONTH(vp.tbl[[#This Row],[SDate]])</f>
        <v>4</v>
      </c>
      <c r="AJ1187" s="5">
        <f>IFERROR(vp.tbl[[#This Row],[Sulf]]*vp.tbl[[#This Row],[Net Dens]],"")</f>
        <v>6192471.8253600001</v>
      </c>
      <c r="AK1187" s="5">
        <f>IFERROR(vp.tbl[[#This Row],[Dens]]*vp.tbl[[#This Row],[VolumeM3]],"")</f>
        <v>5160393.1878000004</v>
      </c>
      <c r="AL1187" s="5">
        <f>IFERROR(vp.tbl[[#This Row],[VP]]*vp.tbl[[#This Row],[VolumeM3]],"")</f>
        <v>280040.76180000004</v>
      </c>
      <c r="AM1187" s="4">
        <f>IFERROR((vp.tbl[[#This Row],[VP]]-INDEX(crudeBD.lkup.complete[Mean_VP],MATCH(vp.tbl[[#This Row],[Crude_Breakdown]],crudeBD.lkup.complete[Crude Breakdown],0)))^2,"")</f>
        <v>2194.5651021787676</v>
      </c>
      <c r="AN1187" s="4">
        <f>IFERROR((vp.tbl[[#This Row],[Dens]]-INDEX(crudeBD.lkup.complete[Mean_Dens],MATCH(vp.tbl[[#This Row],[Crude_Breakdown]],crudeBD.lkup.complete[Crude Breakdown],0)))^2,"")</f>
        <v>26.865875726553959</v>
      </c>
      <c r="AO1187" s="4">
        <f>IFERROR((vp.tbl[[#This Row],[Sulf]]-INDEX(crudeBD.lkup.complete[Mean_Sulf],MATCH(vp.tbl[[#This Row],[Crude_Breakdown]],crudeBD.lkup.complete[Crude Breakdown],0)))^2,"")</f>
        <v>7.6744973546038778E-2</v>
      </c>
      <c r="AP1187">
        <f>IF(AND(vp.tbl[[#This Row],[SDate]]&gt;=DATE(YEAR(vp.tbl[[#This Row],[SDate]]),5,1),vp.tbl[[#This Row],[SDate]]&lt;=DATE(YEAR(vp.tbl[[#This Row],[SDate]]),9,15)),1,0)</f>
        <v>0</v>
      </c>
      <c r="AQ1187" s="15">
        <f>IF(vp.tbl[[#This Row],[SDate]]&lt;DATE(2016,12,1),0,1)</f>
        <v>1</v>
      </c>
    </row>
    <row r="1188" spans="1:43" x14ac:dyDescent="0.25">
      <c r="A1188">
        <v>1187</v>
      </c>
      <c r="B1188" t="s">
        <v>49</v>
      </c>
      <c r="C1188" t="s">
        <v>49</v>
      </c>
      <c r="D1188" t="s">
        <v>246</v>
      </c>
      <c r="F1188" s="1">
        <v>42831</v>
      </c>
      <c r="G1188" s="2">
        <v>78.900000000000006</v>
      </c>
      <c r="H1188" s="2">
        <v>0.58099999999999996</v>
      </c>
      <c r="I1188" s="2">
        <v>0.58099999999999996</v>
      </c>
      <c r="J1188" s="2">
        <v>13.7</v>
      </c>
      <c r="K1188" s="2">
        <v>12</v>
      </c>
      <c r="L1188" s="2">
        <v>824.5</v>
      </c>
      <c r="M1188" s="2">
        <v>824.5</v>
      </c>
      <c r="N1188" s="2">
        <f ca="1">INDEX(INDIRECT(_xlfn.CONCAT("weather.tbl[",N$1,"]")),MATCH(vp.tbl[[#This Row],[SDate]],weather.tbl[Date],0))</f>
        <v>5.8999999999999995</v>
      </c>
      <c r="O1188" s="2">
        <f ca="1">INDEX(INDIRECT(_xlfn.CONCAT("weather.tbl[",O$1,"]")),MATCH(vp.tbl[[#This Row],[SDate]],weather.tbl[Date],0))</f>
        <v>5.1476190476190471</v>
      </c>
      <c r="P1188" s="2">
        <f ca="1">INDEX(INDIRECT(_xlfn.CONCAT("weather.tbl[",P$1,"]")),MATCH(vp.tbl[[#This Row],[SDate]],weather.tbl[Date],0))</f>
        <v>6.5</v>
      </c>
      <c r="Q1188" s="2">
        <f ca="1">INDEX(INDIRECT(_xlfn.CONCAT("weather.tbl[",Q$1,"]")),MATCH(vp.tbl[[#This Row],[SDate]],weather.tbl[Date],0))</f>
        <v>7.6</v>
      </c>
      <c r="R1188" s="2">
        <f ca="1">INDEX(INDIRECT(_xlfn.CONCAT("weather.tbl[",R$1,"]")),MATCH(vp.tbl[[#This Row],[SDate]],weather.tbl[Date],0))</f>
        <v>3.5</v>
      </c>
      <c r="S1188" s="2">
        <f ca="1">INDEX(INDIRECT(_xlfn.CONCAT("weather.tbl[",S$1,"]")),MATCH(vp.tbl[[#This Row],[SDate]],weather.tbl[Date],0))</f>
        <v>7.7</v>
      </c>
      <c r="T1188" s="2">
        <f ca="1">INDEX(INDIRECT(_xlfn.CONCAT("weather.tbl[",T$1,"]")),MATCH(vp.tbl[[#This Row],[SDate]],weather.tbl[Date],0))</f>
        <v>5.3</v>
      </c>
      <c r="U1188" s="2">
        <f ca="1">INDEX(INDIRECT(_xlfn.CONCAT("weather.tbl[",U$1,"]")),MATCH(vp.tbl[[#This Row],[SDate]],weather.tbl[Date],0))</f>
        <v>4.8</v>
      </c>
      <c r="V1188" s="2">
        <v>112.955</v>
      </c>
      <c r="W1188" t="s">
        <v>48</v>
      </c>
      <c r="X1188">
        <f>IF(OR(vp.tbl[[#This Row],[Sulf]]="",vp.tbl[[#This Row],[Dens]]=""),1,0)</f>
        <v>0</v>
      </c>
      <c r="Y1188">
        <f>IF(vp.tbl[[#This Row],[CrudeType]]="C5+",1,0)</f>
        <v>0</v>
      </c>
      <c r="Z1188">
        <f>IF(AND(vp.tbl[[#This Row],[CrudeType]]="Crude",vp.tbl[[#This Row],[Dens]]&lt;=825,vp.tbl[[#This Row],[Sulf]]&gt;0.5,vp.tbl[[#This Row],[Unknown]]=0),1,0)</f>
        <v>1</v>
      </c>
      <c r="AA1188">
        <f>IF(AND(vp.tbl[[#This Row],[CrudeType]]="Crude",vp.tbl[[#This Row],[Dens]]&lt;=825,vp.tbl[[#This Row],[Sulf]]&lt;=0.5,vp.tbl[[#This Row],[Unknown]]=0),1,0)</f>
        <v>0</v>
      </c>
      <c r="AB1188">
        <f>IF(AND(vp.tbl[[#This Row],[CrudeType]]="Crude",vp.tbl[[#This Row],[Dens]]&gt;825,vp.tbl[[#This Row],[Dens]]&lt;=870,vp.tbl[[#This Row],[Sulf]]&gt;0.5,vp.tbl[[#This Row],[Unknown]]=0),1,0)</f>
        <v>0</v>
      </c>
      <c r="AC1188">
        <f>IF(AND(vp.tbl[[#This Row],[CrudeType]]="Crude",vp.tbl[[#This Row],[Dens]]&gt;825,vp.tbl[[#This Row],[Dens]]&lt;=900,vp.tbl[[#This Row],[Sulf]]&lt;=0.5,vp.tbl[[#This Row],[Unknown]]=0),1,0)</f>
        <v>0</v>
      </c>
      <c r="AD1188">
        <f>IF(AND(vp.tbl[[#This Row],[CrudeType]]="Crude",vp.tbl[[#This Row],[Dens]]&gt;870,vp.tbl[[#This Row],[Dens]]&lt;=900,vp.tbl[[#This Row],[Sulf]]&gt;0.5,vp.tbl[[#This Row],[Unknown]]=0),1,0)</f>
        <v>0</v>
      </c>
      <c r="AE1188">
        <f>IF(AND(vp.tbl[[#This Row],[CrudeType]]="Crude",vp.tbl[[#This Row],[Dens]]&gt;900,vp.tbl[[#This Row],[Sulf]]&lt;=0.5,vp.tbl[[#This Row],[Unknown]]=0),1,0)</f>
        <v>0</v>
      </c>
      <c r="AF1188">
        <f>IF(AND(vp.tbl[[#This Row],[CrudeType]]="Crude",vp.tbl[[#This Row],[Dens]]&gt;900,vp.tbl[[#This Row],[Sulf]]&lt;=0.5,vp.tbl[[#This Row],[Unknown]]=0),1,0)</f>
        <v>0</v>
      </c>
      <c r="AG1188" t="str">
        <f>INDEX(vp.tbl[[#Headers],[Unknown]:[Heavy_SW]],MATCH(1,vp.tbl[[#This Row],[Unknown]:[Heavy_SW]],0))</f>
        <v>Light_LSB</v>
      </c>
      <c r="AH1188" t="e">
        <f>INDEX([1]!crudeBD.lkup[Number],MATCH(vp.tbl[[#This Row],[Crude_Breakdown]],[1]!crudeBD.lkup[Crude Breakdown],0))</f>
        <v>#REF!</v>
      </c>
      <c r="AI1188">
        <f>MONTH(vp.tbl[[#This Row],[SDate]])</f>
        <v>4</v>
      </c>
      <c r="AJ1188" s="5">
        <f>IFERROR(vp.tbl[[#This Row],[Sulf]]*vp.tbl[[#This Row],[Net Dens]],"")</f>
        <v>54109.34194749999</v>
      </c>
      <c r="AK1188" s="5">
        <f>IFERROR(vp.tbl[[#This Row],[Dens]]*vp.tbl[[#This Row],[VolumeM3]],"")</f>
        <v>93131.397499999992</v>
      </c>
      <c r="AL1188" s="5">
        <f>IFERROR(vp.tbl[[#This Row],[VP]]*vp.tbl[[#This Row],[VolumeM3]],"")</f>
        <v>8912.1495000000014</v>
      </c>
      <c r="AM1188" s="4">
        <f>IFERROR((vp.tbl[[#This Row],[VP]]-INDEX(crudeBD.lkup.complete[Mean_VP],MATCH(vp.tbl[[#This Row],[Crude_Breakdown]],crudeBD.lkup.complete[Crude Breakdown],0)))^2,"")</f>
        <v>159.92600939526051</v>
      </c>
      <c r="AN1188" s="4">
        <f>IFERROR((vp.tbl[[#This Row],[Dens]]-INDEX(crudeBD.lkup.complete[Mean_Dens],MATCH(vp.tbl[[#This Row],[Crude_Breakdown]],crudeBD.lkup.complete[Crude Breakdown],0)))^2,"")</f>
        <v>35.799044111433716</v>
      </c>
      <c r="AO1188" s="4">
        <f>IFERROR((vp.tbl[[#This Row],[Sulf]]-INDEX(crudeBD.lkup.complete[Mean_Sulf],MATCH(vp.tbl[[#This Row],[Crude_Breakdown]],crudeBD.lkup.complete[Crude Breakdown],0)))^2,"")</f>
        <v>0.11694428000651962</v>
      </c>
      <c r="AP1188">
        <f>IF(AND(vp.tbl[[#This Row],[SDate]]&gt;=DATE(YEAR(vp.tbl[[#This Row],[SDate]]),5,1),vp.tbl[[#This Row],[SDate]]&lt;=DATE(YEAR(vp.tbl[[#This Row],[SDate]]),9,15)),1,0)</f>
        <v>0</v>
      </c>
      <c r="AQ1188" s="15">
        <f>IF(vp.tbl[[#This Row],[SDate]]&lt;DATE(2016,12,1),0,1)</f>
        <v>1</v>
      </c>
    </row>
    <row r="1189" spans="1:43" x14ac:dyDescent="0.25">
      <c r="A1189">
        <v>1188</v>
      </c>
      <c r="B1189" t="s">
        <v>49</v>
      </c>
      <c r="C1189" t="s">
        <v>49</v>
      </c>
      <c r="D1189" t="s">
        <v>247</v>
      </c>
      <c r="F1189" s="1">
        <v>42831</v>
      </c>
      <c r="G1189" s="2">
        <v>65.599999999999994</v>
      </c>
      <c r="H1189" s="2">
        <v>0.64200000000000002</v>
      </c>
      <c r="I1189" s="2">
        <v>0.64200000000000002</v>
      </c>
      <c r="J1189" s="2">
        <v>26.2</v>
      </c>
      <c r="K1189" s="2">
        <v>12</v>
      </c>
      <c r="L1189" s="2">
        <v>829.6</v>
      </c>
      <c r="M1189" s="2">
        <v>829.6</v>
      </c>
      <c r="N1189" s="2">
        <f ca="1">INDEX(INDIRECT(_xlfn.CONCAT("weather.tbl[",N$1,"]")),MATCH(vp.tbl[[#This Row],[SDate]],weather.tbl[Date],0))</f>
        <v>5.8999999999999995</v>
      </c>
      <c r="O1189" s="2">
        <f ca="1">INDEX(INDIRECT(_xlfn.CONCAT("weather.tbl[",O$1,"]")),MATCH(vp.tbl[[#This Row],[SDate]],weather.tbl[Date],0))</f>
        <v>5.1476190476190471</v>
      </c>
      <c r="P1189" s="2">
        <f ca="1">INDEX(INDIRECT(_xlfn.CONCAT("weather.tbl[",P$1,"]")),MATCH(vp.tbl[[#This Row],[SDate]],weather.tbl[Date],0))</f>
        <v>6.5</v>
      </c>
      <c r="Q1189" s="2">
        <f ca="1">INDEX(INDIRECT(_xlfn.CONCAT("weather.tbl[",Q$1,"]")),MATCH(vp.tbl[[#This Row],[SDate]],weather.tbl[Date],0))</f>
        <v>7.6</v>
      </c>
      <c r="R1189" s="2">
        <f ca="1">INDEX(INDIRECT(_xlfn.CONCAT("weather.tbl[",R$1,"]")),MATCH(vp.tbl[[#This Row],[SDate]],weather.tbl[Date],0))</f>
        <v>3.5</v>
      </c>
      <c r="S1189" s="2">
        <f ca="1">INDEX(INDIRECT(_xlfn.CONCAT("weather.tbl[",S$1,"]")),MATCH(vp.tbl[[#This Row],[SDate]],weather.tbl[Date],0))</f>
        <v>7.7</v>
      </c>
      <c r="T1189" s="2">
        <f ca="1">INDEX(INDIRECT(_xlfn.CONCAT("weather.tbl[",T$1,"]")),MATCH(vp.tbl[[#This Row],[SDate]],weather.tbl[Date],0))</f>
        <v>5.3</v>
      </c>
      <c r="U1189" s="2">
        <f ca="1">INDEX(INDIRECT(_xlfn.CONCAT("weather.tbl[",U$1,"]")),MATCH(vp.tbl[[#This Row],[SDate]],weather.tbl[Date],0))</f>
        <v>4.8</v>
      </c>
      <c r="V1189" s="2">
        <v>420.66800000000001</v>
      </c>
      <c r="W1189" t="s">
        <v>48</v>
      </c>
      <c r="X1189">
        <f>IF(OR(vp.tbl[[#This Row],[Sulf]]="",vp.tbl[[#This Row],[Dens]]=""),1,0)</f>
        <v>0</v>
      </c>
      <c r="Y1189">
        <f>IF(vp.tbl[[#This Row],[CrudeType]]="C5+",1,0)</f>
        <v>0</v>
      </c>
      <c r="Z1189">
        <f>IF(AND(vp.tbl[[#This Row],[CrudeType]]="Crude",vp.tbl[[#This Row],[Dens]]&lt;=825,vp.tbl[[#This Row],[Sulf]]&gt;0.5,vp.tbl[[#This Row],[Unknown]]=0),1,0)</f>
        <v>0</v>
      </c>
      <c r="AA1189">
        <f>IF(AND(vp.tbl[[#This Row],[CrudeType]]="Crude",vp.tbl[[#This Row],[Dens]]&lt;=825,vp.tbl[[#This Row],[Sulf]]&lt;=0.5,vp.tbl[[#This Row],[Unknown]]=0),1,0)</f>
        <v>0</v>
      </c>
      <c r="AB1189">
        <f>IF(AND(vp.tbl[[#This Row],[CrudeType]]="Crude",vp.tbl[[#This Row],[Dens]]&gt;825,vp.tbl[[#This Row],[Dens]]&lt;=870,vp.tbl[[#This Row],[Sulf]]&gt;0.5,vp.tbl[[#This Row],[Unknown]]=0),1,0)</f>
        <v>1</v>
      </c>
      <c r="AC1189">
        <f>IF(AND(vp.tbl[[#This Row],[CrudeType]]="Crude",vp.tbl[[#This Row],[Dens]]&gt;825,vp.tbl[[#This Row],[Dens]]&lt;=900,vp.tbl[[#This Row],[Sulf]]&lt;=0.5,vp.tbl[[#This Row],[Unknown]]=0),1,0)</f>
        <v>0</v>
      </c>
      <c r="AD1189">
        <f>IF(AND(vp.tbl[[#This Row],[CrudeType]]="Crude",vp.tbl[[#This Row],[Dens]]&gt;870,vp.tbl[[#This Row],[Dens]]&lt;=900,vp.tbl[[#This Row],[Sulf]]&gt;0.5,vp.tbl[[#This Row],[Unknown]]=0),1,0)</f>
        <v>0</v>
      </c>
      <c r="AE1189">
        <f>IF(AND(vp.tbl[[#This Row],[CrudeType]]="Crude",vp.tbl[[#This Row],[Dens]]&gt;900,vp.tbl[[#This Row],[Sulf]]&lt;=0.5,vp.tbl[[#This Row],[Unknown]]=0),1,0)</f>
        <v>0</v>
      </c>
      <c r="AF1189">
        <f>IF(AND(vp.tbl[[#This Row],[CrudeType]]="Crude",vp.tbl[[#This Row],[Dens]]&gt;900,vp.tbl[[#This Row],[Sulf]]&lt;=0.5,vp.tbl[[#This Row],[Unknown]]=0),1,0)</f>
        <v>0</v>
      </c>
      <c r="AG1189" t="str">
        <f>INDEX(vp.tbl[[#Headers],[Unknown]:[Heavy_SW]],MATCH(1,vp.tbl[[#This Row],[Unknown]:[Heavy_SW]],0))</f>
        <v>Medium_LSB</v>
      </c>
      <c r="AH1189" t="e">
        <f>INDEX([1]!crudeBD.lkup[Number],MATCH(vp.tbl[[#This Row],[Crude_Breakdown]],[1]!crudeBD.lkup[Crude Breakdown],0))</f>
        <v>#REF!</v>
      </c>
      <c r="AI1189">
        <f>MONTH(vp.tbl[[#This Row],[SDate]])</f>
        <v>4</v>
      </c>
      <c r="AJ1189" s="5">
        <f>IFERROR(vp.tbl[[#This Row],[Sulf]]*vp.tbl[[#This Row],[Net Dens]],"")</f>
        <v>224049.12293760001</v>
      </c>
      <c r="AK1189" s="5">
        <f>IFERROR(vp.tbl[[#This Row],[Dens]]*vp.tbl[[#This Row],[VolumeM3]],"")</f>
        <v>348986.1728</v>
      </c>
      <c r="AL1189" s="5">
        <f>IFERROR(vp.tbl[[#This Row],[VP]]*vp.tbl[[#This Row],[VolumeM3]],"")</f>
        <v>27595.820799999998</v>
      </c>
      <c r="AM1189" s="4">
        <f>IFERROR((vp.tbl[[#This Row],[VP]]-INDEX(crudeBD.lkup.complete[Mean_VP],MATCH(vp.tbl[[#This Row],[Crude_Breakdown]],crudeBD.lkup.complete[Crude Breakdown],0)))^2,"")</f>
        <v>212.38966937926523</v>
      </c>
      <c r="AN1189" s="4">
        <f>IFERROR((vp.tbl[[#This Row],[Dens]]-INDEX(crudeBD.lkup.complete[Mean_Dens],MATCH(vp.tbl[[#This Row],[Crude_Breakdown]],crudeBD.lkup.complete[Crude Breakdown],0)))^2,"")</f>
        <v>246.23330230985462</v>
      </c>
      <c r="AO1189" s="4">
        <f>IFERROR((vp.tbl[[#This Row],[Sulf]]-INDEX(crudeBD.lkup.complete[Mean_Sulf],MATCH(vp.tbl[[#This Row],[Crude_Breakdown]],crudeBD.lkup.complete[Crude Breakdown],0)))^2,"")</f>
        <v>0.6608549585144522</v>
      </c>
      <c r="AP1189">
        <f>IF(AND(vp.tbl[[#This Row],[SDate]]&gt;=DATE(YEAR(vp.tbl[[#This Row],[SDate]]),5,1),vp.tbl[[#This Row],[SDate]]&lt;=DATE(YEAR(vp.tbl[[#This Row],[SDate]]),9,15)),1,0)</f>
        <v>0</v>
      </c>
      <c r="AQ1189" s="15">
        <f>IF(vp.tbl[[#This Row],[SDate]]&lt;DATE(2016,12,1),0,1)</f>
        <v>1</v>
      </c>
    </row>
    <row r="1190" spans="1:43" x14ac:dyDescent="0.25">
      <c r="A1190">
        <v>1189</v>
      </c>
      <c r="B1190" t="s">
        <v>49</v>
      </c>
      <c r="C1190" t="s">
        <v>49</v>
      </c>
      <c r="D1190" t="s">
        <v>248</v>
      </c>
      <c r="F1190" s="1">
        <v>42831</v>
      </c>
      <c r="G1190" s="2">
        <v>63.1</v>
      </c>
      <c r="H1190" s="2">
        <v>1.1359999999999999</v>
      </c>
      <c r="I1190" s="2">
        <v>1.1359999999999999</v>
      </c>
      <c r="J1190" s="2">
        <v>24.9</v>
      </c>
      <c r="K1190" s="2">
        <v>12</v>
      </c>
      <c r="L1190" s="2">
        <v>847.5</v>
      </c>
      <c r="M1190" s="2">
        <v>847.5</v>
      </c>
      <c r="N1190" s="2">
        <f ca="1">INDEX(INDIRECT(_xlfn.CONCAT("weather.tbl[",N$1,"]")),MATCH(vp.tbl[[#This Row],[SDate]],weather.tbl[Date],0))</f>
        <v>5.8999999999999995</v>
      </c>
      <c r="O1190" s="2">
        <f ca="1">INDEX(INDIRECT(_xlfn.CONCAT("weather.tbl[",O$1,"]")),MATCH(vp.tbl[[#This Row],[SDate]],weather.tbl[Date],0))</f>
        <v>5.1476190476190471</v>
      </c>
      <c r="P1190" s="2">
        <f ca="1">INDEX(INDIRECT(_xlfn.CONCAT("weather.tbl[",P$1,"]")),MATCH(vp.tbl[[#This Row],[SDate]],weather.tbl[Date],0))</f>
        <v>6.5</v>
      </c>
      <c r="Q1190" s="2">
        <f ca="1">INDEX(INDIRECT(_xlfn.CONCAT("weather.tbl[",Q$1,"]")),MATCH(vp.tbl[[#This Row],[SDate]],weather.tbl[Date],0))</f>
        <v>7.6</v>
      </c>
      <c r="R1190" s="2">
        <f ca="1">INDEX(INDIRECT(_xlfn.CONCAT("weather.tbl[",R$1,"]")),MATCH(vp.tbl[[#This Row],[SDate]],weather.tbl[Date],0))</f>
        <v>3.5</v>
      </c>
      <c r="S1190" s="2">
        <f ca="1">INDEX(INDIRECT(_xlfn.CONCAT("weather.tbl[",S$1,"]")),MATCH(vp.tbl[[#This Row],[SDate]],weather.tbl[Date],0))</f>
        <v>7.7</v>
      </c>
      <c r="T1190" s="2">
        <f ca="1">INDEX(INDIRECT(_xlfn.CONCAT("weather.tbl[",T$1,"]")),MATCH(vp.tbl[[#This Row],[SDate]],weather.tbl[Date],0))</f>
        <v>5.3</v>
      </c>
      <c r="U1190" s="2">
        <f ca="1">INDEX(INDIRECT(_xlfn.CONCAT("weather.tbl[",U$1,"]")),MATCH(vp.tbl[[#This Row],[SDate]],weather.tbl[Date],0))</f>
        <v>4.8</v>
      </c>
      <c r="V1190" s="2">
        <v>3547.7240000000002</v>
      </c>
      <c r="W1190" t="s">
        <v>48</v>
      </c>
      <c r="X1190">
        <f>IF(OR(vp.tbl[[#This Row],[Sulf]]="",vp.tbl[[#This Row],[Dens]]=""),1,0)</f>
        <v>0</v>
      </c>
      <c r="Y1190">
        <f>IF(vp.tbl[[#This Row],[CrudeType]]="C5+",1,0)</f>
        <v>0</v>
      </c>
      <c r="Z1190">
        <f>IF(AND(vp.tbl[[#This Row],[CrudeType]]="Crude",vp.tbl[[#This Row],[Dens]]&lt;=825,vp.tbl[[#This Row],[Sulf]]&gt;0.5,vp.tbl[[#This Row],[Unknown]]=0),1,0)</f>
        <v>0</v>
      </c>
      <c r="AA1190">
        <f>IF(AND(vp.tbl[[#This Row],[CrudeType]]="Crude",vp.tbl[[#This Row],[Dens]]&lt;=825,vp.tbl[[#This Row],[Sulf]]&lt;=0.5,vp.tbl[[#This Row],[Unknown]]=0),1,0)</f>
        <v>0</v>
      </c>
      <c r="AB1190">
        <f>IF(AND(vp.tbl[[#This Row],[CrudeType]]="Crude",vp.tbl[[#This Row],[Dens]]&gt;825,vp.tbl[[#This Row],[Dens]]&lt;=870,vp.tbl[[#This Row],[Sulf]]&gt;0.5,vp.tbl[[#This Row],[Unknown]]=0),1,0)</f>
        <v>1</v>
      </c>
      <c r="AC1190">
        <f>IF(AND(vp.tbl[[#This Row],[CrudeType]]="Crude",vp.tbl[[#This Row],[Dens]]&gt;825,vp.tbl[[#This Row],[Dens]]&lt;=900,vp.tbl[[#This Row],[Sulf]]&lt;=0.5,vp.tbl[[#This Row],[Unknown]]=0),1,0)</f>
        <v>0</v>
      </c>
      <c r="AD1190">
        <f>IF(AND(vp.tbl[[#This Row],[CrudeType]]="Crude",vp.tbl[[#This Row],[Dens]]&gt;870,vp.tbl[[#This Row],[Dens]]&lt;=900,vp.tbl[[#This Row],[Sulf]]&gt;0.5,vp.tbl[[#This Row],[Unknown]]=0),1,0)</f>
        <v>0</v>
      </c>
      <c r="AE1190">
        <f>IF(AND(vp.tbl[[#This Row],[CrudeType]]="Crude",vp.tbl[[#This Row],[Dens]]&gt;900,vp.tbl[[#This Row],[Sulf]]&lt;=0.5,vp.tbl[[#This Row],[Unknown]]=0),1,0)</f>
        <v>0</v>
      </c>
      <c r="AF1190">
        <f>IF(AND(vp.tbl[[#This Row],[CrudeType]]="Crude",vp.tbl[[#This Row],[Dens]]&gt;900,vp.tbl[[#This Row],[Sulf]]&lt;=0.5,vp.tbl[[#This Row],[Unknown]]=0),1,0)</f>
        <v>0</v>
      </c>
      <c r="AG1190" t="str">
        <f>INDEX(vp.tbl[[#Headers],[Unknown]:[Heavy_SW]],MATCH(1,vp.tbl[[#This Row],[Unknown]:[Heavy_SW]],0))</f>
        <v>Medium_LSB</v>
      </c>
      <c r="AH1190" t="e">
        <f>INDEX([1]!crudeBD.lkup[Number],MATCH(vp.tbl[[#This Row],[Crude_Breakdown]],[1]!crudeBD.lkup[Crude Breakdown],0))</f>
        <v>#REF!</v>
      </c>
      <c r="AI1190">
        <f>MONTH(vp.tbl[[#This Row],[SDate]])</f>
        <v>4</v>
      </c>
      <c r="AJ1190" s="5">
        <f>IFERROR(vp.tbl[[#This Row],[Sulf]]*vp.tbl[[#This Row],[Net Dens]],"")</f>
        <v>3415606.7582399999</v>
      </c>
      <c r="AK1190" s="5">
        <f>IFERROR(vp.tbl[[#This Row],[Dens]]*vp.tbl[[#This Row],[VolumeM3]],"")</f>
        <v>3006696.0900000003</v>
      </c>
      <c r="AL1190" s="5">
        <f>IFERROR(vp.tbl[[#This Row],[VP]]*vp.tbl[[#This Row],[VolumeM3]],"")</f>
        <v>223861.38440000001</v>
      </c>
      <c r="AM1190" s="4">
        <f>IFERROR((vp.tbl[[#This Row],[VP]]-INDEX(crudeBD.lkup.complete[Mean_VP],MATCH(vp.tbl[[#This Row],[Crude_Breakdown]],crudeBD.lkup.complete[Crude Breakdown],0)))^2,"")</f>
        <v>291.50764406280916</v>
      </c>
      <c r="AN1190" s="4">
        <f>IFERROR((vp.tbl[[#This Row],[Dens]]-INDEX(crudeBD.lkup.complete[Mean_Dens],MATCH(vp.tbl[[#This Row],[Crude_Breakdown]],crudeBD.lkup.complete[Crude Breakdown],0)))^2,"")</f>
        <v>4.8760466136880529</v>
      </c>
      <c r="AO1190" s="4">
        <f>IFERROR((vp.tbl[[#This Row],[Sulf]]-INDEX(crudeBD.lkup.complete[Mean_Sulf],MATCH(vp.tbl[[#This Row],[Crude_Breakdown]],crudeBD.lkup.complete[Crude Breakdown],0)))^2,"")</f>
        <v>0.10171625608407103</v>
      </c>
      <c r="AP1190">
        <f>IF(AND(vp.tbl[[#This Row],[SDate]]&gt;=DATE(YEAR(vp.tbl[[#This Row],[SDate]]),5,1),vp.tbl[[#This Row],[SDate]]&lt;=DATE(YEAR(vp.tbl[[#This Row],[SDate]]),9,15)),1,0)</f>
        <v>0</v>
      </c>
      <c r="AQ1190" s="15">
        <f>IF(vp.tbl[[#This Row],[SDate]]&lt;DATE(2016,12,1),0,1)</f>
        <v>1</v>
      </c>
    </row>
    <row r="1191" spans="1:43" x14ac:dyDescent="0.25">
      <c r="A1191">
        <v>1190</v>
      </c>
      <c r="B1191" t="s">
        <v>49</v>
      </c>
      <c r="C1191" t="s">
        <v>49</v>
      </c>
      <c r="D1191" t="s">
        <v>249</v>
      </c>
      <c r="F1191" s="1">
        <v>42831</v>
      </c>
      <c r="G1191" s="2">
        <v>53.2</v>
      </c>
      <c r="H1191" s="2">
        <v>3.69</v>
      </c>
      <c r="I1191" s="2">
        <v>3.69</v>
      </c>
      <c r="J1191" s="2">
        <v>26.1</v>
      </c>
      <c r="K1191" s="2">
        <v>9</v>
      </c>
      <c r="L1191" s="2">
        <v>881.1</v>
      </c>
      <c r="M1191" s="2">
        <v>881.1</v>
      </c>
      <c r="N1191" s="2">
        <f ca="1">INDEX(INDIRECT(_xlfn.CONCAT("weather.tbl[",N$1,"]")),MATCH(vp.tbl[[#This Row],[SDate]],weather.tbl[Date],0))</f>
        <v>5.8999999999999995</v>
      </c>
      <c r="O1191" s="2">
        <f ca="1">INDEX(INDIRECT(_xlfn.CONCAT("weather.tbl[",O$1,"]")),MATCH(vp.tbl[[#This Row],[SDate]],weather.tbl[Date],0))</f>
        <v>5.1476190476190471</v>
      </c>
      <c r="P1191" s="2">
        <f ca="1">INDEX(INDIRECT(_xlfn.CONCAT("weather.tbl[",P$1,"]")),MATCH(vp.tbl[[#This Row],[SDate]],weather.tbl[Date],0))</f>
        <v>6.5</v>
      </c>
      <c r="Q1191" s="2">
        <f ca="1">INDEX(INDIRECT(_xlfn.CONCAT("weather.tbl[",Q$1,"]")),MATCH(vp.tbl[[#This Row],[SDate]],weather.tbl[Date],0))</f>
        <v>7.6</v>
      </c>
      <c r="R1191" s="2">
        <f ca="1">INDEX(INDIRECT(_xlfn.CONCAT("weather.tbl[",R$1,"]")),MATCH(vp.tbl[[#This Row],[SDate]],weather.tbl[Date],0))</f>
        <v>3.5</v>
      </c>
      <c r="S1191" s="2">
        <f ca="1">INDEX(INDIRECT(_xlfn.CONCAT("weather.tbl[",S$1,"]")),MATCH(vp.tbl[[#This Row],[SDate]],weather.tbl[Date],0))</f>
        <v>7.7</v>
      </c>
      <c r="T1191" s="2">
        <f ca="1">INDEX(INDIRECT(_xlfn.CONCAT("weather.tbl[",T$1,"]")),MATCH(vp.tbl[[#This Row],[SDate]],weather.tbl[Date],0))</f>
        <v>5.3</v>
      </c>
      <c r="U1191" s="2">
        <f ca="1">INDEX(INDIRECT(_xlfn.CONCAT("weather.tbl[",U$1,"]")),MATCH(vp.tbl[[#This Row],[SDate]],weather.tbl[Date],0))</f>
        <v>4.8</v>
      </c>
      <c r="V1191" s="2">
        <v>317.09399999999999</v>
      </c>
      <c r="W1191" t="s">
        <v>48</v>
      </c>
      <c r="X1191">
        <f>IF(OR(vp.tbl[[#This Row],[Sulf]]="",vp.tbl[[#This Row],[Dens]]=""),1,0)</f>
        <v>0</v>
      </c>
      <c r="Y1191">
        <f>IF(vp.tbl[[#This Row],[CrudeType]]="C5+",1,0)</f>
        <v>0</v>
      </c>
      <c r="Z1191">
        <f>IF(AND(vp.tbl[[#This Row],[CrudeType]]="Crude",vp.tbl[[#This Row],[Dens]]&lt;=825,vp.tbl[[#This Row],[Sulf]]&gt;0.5,vp.tbl[[#This Row],[Unknown]]=0),1,0)</f>
        <v>0</v>
      </c>
      <c r="AA1191">
        <f>IF(AND(vp.tbl[[#This Row],[CrudeType]]="Crude",vp.tbl[[#This Row],[Dens]]&lt;=825,vp.tbl[[#This Row],[Sulf]]&lt;=0.5,vp.tbl[[#This Row],[Unknown]]=0),1,0)</f>
        <v>0</v>
      </c>
      <c r="AB1191">
        <f>IF(AND(vp.tbl[[#This Row],[CrudeType]]="Crude",vp.tbl[[#This Row],[Dens]]&gt;825,vp.tbl[[#This Row],[Dens]]&lt;=870,vp.tbl[[#This Row],[Sulf]]&gt;0.5,vp.tbl[[#This Row],[Unknown]]=0),1,0)</f>
        <v>0</v>
      </c>
      <c r="AC1191">
        <f>IF(AND(vp.tbl[[#This Row],[CrudeType]]="Crude",vp.tbl[[#This Row],[Dens]]&gt;825,vp.tbl[[#This Row],[Dens]]&lt;=900,vp.tbl[[#This Row],[Sulf]]&lt;=0.5,vp.tbl[[#This Row],[Unknown]]=0),1,0)</f>
        <v>0</v>
      </c>
      <c r="AD1191">
        <f>IF(AND(vp.tbl[[#This Row],[CrudeType]]="Crude",vp.tbl[[#This Row],[Dens]]&gt;870,vp.tbl[[#This Row],[Dens]]&lt;=900,vp.tbl[[#This Row],[Sulf]]&gt;0.5,vp.tbl[[#This Row],[Unknown]]=0),1,0)</f>
        <v>1</v>
      </c>
      <c r="AE1191">
        <f>IF(AND(vp.tbl[[#This Row],[CrudeType]]="Crude",vp.tbl[[#This Row],[Dens]]&gt;900,vp.tbl[[#This Row],[Sulf]]&lt;=0.5,vp.tbl[[#This Row],[Unknown]]=0),1,0)</f>
        <v>0</v>
      </c>
      <c r="AF1191">
        <f>IF(AND(vp.tbl[[#This Row],[CrudeType]]="Crude",vp.tbl[[#This Row],[Dens]]&gt;900,vp.tbl[[#This Row],[Sulf]]&lt;=0.5,vp.tbl[[#This Row],[Unknown]]=0),1,0)</f>
        <v>0</v>
      </c>
      <c r="AG1191" t="str">
        <f>INDEX(vp.tbl[[#Headers],[Unknown]:[Heavy_SW]],MATCH(1,vp.tbl[[#This Row],[Unknown]:[Heavy_SW]],0))</f>
        <v>Midale</v>
      </c>
      <c r="AH1191" t="e">
        <f>INDEX([1]!crudeBD.lkup[Number],MATCH(vp.tbl[[#This Row],[Crude_Breakdown]],[1]!crudeBD.lkup[Crude Breakdown],0))</f>
        <v>#REF!</v>
      </c>
      <c r="AI1191">
        <f>MONTH(vp.tbl[[#This Row],[SDate]])</f>
        <v>4</v>
      </c>
      <c r="AJ1191" s="5">
        <f>IFERROR(vp.tbl[[#This Row],[Sulf]]*vp.tbl[[#This Row],[Net Dens]],"")</f>
        <v>1030954.721346</v>
      </c>
      <c r="AK1191" s="5">
        <f>IFERROR(vp.tbl[[#This Row],[Dens]]*vp.tbl[[#This Row],[VolumeM3]],"")</f>
        <v>279391.52340000001</v>
      </c>
      <c r="AL1191" s="5">
        <f>IFERROR(vp.tbl[[#This Row],[VP]]*vp.tbl[[#This Row],[VolumeM3]],"")</f>
        <v>16869.400799999999</v>
      </c>
      <c r="AM1191" s="4">
        <f>IFERROR((vp.tbl[[#This Row],[VP]]-INDEX(crudeBD.lkup.complete[Mean_VP],MATCH(vp.tbl[[#This Row],[Crude_Breakdown]],crudeBD.lkup.complete[Crude Breakdown],0)))^2,"")</f>
        <v>226.15215612685338</v>
      </c>
      <c r="AN1191" s="4">
        <f>IFERROR((vp.tbl[[#This Row],[Dens]]-INDEX(crudeBD.lkup.complete[Mean_Dens],MATCH(vp.tbl[[#This Row],[Crude_Breakdown]],crudeBD.lkup.complete[Crude Breakdown],0)))^2,"")</f>
        <v>12.587915181086942</v>
      </c>
      <c r="AO1191" s="4">
        <f>IFERROR((vp.tbl[[#This Row],[Sulf]]-INDEX(crudeBD.lkup.complete[Mean_Sulf],MATCH(vp.tbl[[#This Row],[Crude_Breakdown]],crudeBD.lkup.complete[Crude Breakdown],0)))^2,"")</f>
        <v>1.6247577663781041</v>
      </c>
      <c r="AP1191">
        <f>IF(AND(vp.tbl[[#This Row],[SDate]]&gt;=DATE(YEAR(vp.tbl[[#This Row],[SDate]]),5,1),vp.tbl[[#This Row],[SDate]]&lt;=DATE(YEAR(vp.tbl[[#This Row],[SDate]]),9,15)),1,0)</f>
        <v>0</v>
      </c>
      <c r="AQ1191" s="15">
        <f>IF(vp.tbl[[#This Row],[SDate]]&lt;DATE(2016,12,1),0,1)</f>
        <v>1</v>
      </c>
    </row>
    <row r="1192" spans="1:43" x14ac:dyDescent="0.25">
      <c r="A1192">
        <v>1191</v>
      </c>
      <c r="B1192" t="s">
        <v>51</v>
      </c>
      <c r="C1192" t="s">
        <v>51</v>
      </c>
      <c r="D1192" t="s">
        <v>250</v>
      </c>
      <c r="F1192" s="1">
        <v>42831</v>
      </c>
      <c r="G1192" s="2">
        <v>72.099999999999994</v>
      </c>
      <c r="H1192" s="2"/>
      <c r="I1192" s="2">
        <v>0.69</v>
      </c>
      <c r="J1192" s="2">
        <v>22.7</v>
      </c>
      <c r="K1192" s="2">
        <v>12</v>
      </c>
      <c r="L1192" s="2">
        <v>827</v>
      </c>
      <c r="M1192" s="2">
        <v>827</v>
      </c>
      <c r="N1192" s="2">
        <f ca="1">INDEX(INDIRECT(_xlfn.CONCAT("weather.tbl[",N$1,"]")),MATCH(vp.tbl[[#This Row],[SDate]],weather.tbl[Date],0))</f>
        <v>5.8999999999999995</v>
      </c>
      <c r="O1192" s="2">
        <f ca="1">INDEX(INDIRECT(_xlfn.CONCAT("weather.tbl[",O$1,"]")),MATCH(vp.tbl[[#This Row],[SDate]],weather.tbl[Date],0))</f>
        <v>5.1476190476190471</v>
      </c>
      <c r="P1192" s="2">
        <f ca="1">INDEX(INDIRECT(_xlfn.CONCAT("weather.tbl[",P$1,"]")),MATCH(vp.tbl[[#This Row],[SDate]],weather.tbl[Date],0))</f>
        <v>6.5</v>
      </c>
      <c r="Q1192" s="2">
        <f ca="1">INDEX(INDIRECT(_xlfn.CONCAT("weather.tbl[",Q$1,"]")),MATCH(vp.tbl[[#This Row],[SDate]],weather.tbl[Date],0))</f>
        <v>7.6</v>
      </c>
      <c r="R1192" s="2">
        <f ca="1">INDEX(INDIRECT(_xlfn.CONCAT("weather.tbl[",R$1,"]")),MATCH(vp.tbl[[#This Row],[SDate]],weather.tbl[Date],0))</f>
        <v>3.5</v>
      </c>
      <c r="S1192" s="2">
        <f ca="1">INDEX(INDIRECT(_xlfn.CONCAT("weather.tbl[",S$1,"]")),MATCH(vp.tbl[[#This Row],[SDate]],weather.tbl[Date],0))</f>
        <v>7.7</v>
      </c>
      <c r="T1192" s="2">
        <f ca="1">INDEX(INDIRECT(_xlfn.CONCAT("weather.tbl[",T$1,"]")),MATCH(vp.tbl[[#This Row],[SDate]],weather.tbl[Date],0))</f>
        <v>5.3</v>
      </c>
      <c r="U1192" s="2">
        <f ca="1">INDEX(INDIRECT(_xlfn.CONCAT("weather.tbl[",U$1,"]")),MATCH(vp.tbl[[#This Row],[SDate]],weather.tbl[Date],0))</f>
        <v>4.8</v>
      </c>
      <c r="V1192" s="2">
        <v>453.23099999999999</v>
      </c>
      <c r="W1192" t="s">
        <v>48</v>
      </c>
      <c r="X1192">
        <f>IF(OR(vp.tbl[[#This Row],[Sulf]]="",vp.tbl[[#This Row],[Dens]]=""),1,0)</f>
        <v>0</v>
      </c>
      <c r="Y1192">
        <f>IF(vp.tbl[[#This Row],[CrudeType]]="C5+",1,0)</f>
        <v>0</v>
      </c>
      <c r="Z1192">
        <f>IF(AND(vp.tbl[[#This Row],[CrudeType]]="Crude",vp.tbl[[#This Row],[Dens]]&lt;=825,vp.tbl[[#This Row],[Sulf]]&gt;0.5,vp.tbl[[#This Row],[Unknown]]=0),1,0)</f>
        <v>0</v>
      </c>
      <c r="AA1192">
        <f>IF(AND(vp.tbl[[#This Row],[CrudeType]]="Crude",vp.tbl[[#This Row],[Dens]]&lt;=825,vp.tbl[[#This Row],[Sulf]]&lt;=0.5,vp.tbl[[#This Row],[Unknown]]=0),1,0)</f>
        <v>0</v>
      </c>
      <c r="AB1192">
        <f>IF(AND(vp.tbl[[#This Row],[CrudeType]]="Crude",vp.tbl[[#This Row],[Dens]]&gt;825,vp.tbl[[#This Row],[Dens]]&lt;=870,vp.tbl[[#This Row],[Sulf]]&gt;0.5,vp.tbl[[#This Row],[Unknown]]=0),1,0)</f>
        <v>1</v>
      </c>
      <c r="AC1192">
        <f>IF(AND(vp.tbl[[#This Row],[CrudeType]]="Crude",vp.tbl[[#This Row],[Dens]]&gt;825,vp.tbl[[#This Row],[Dens]]&lt;=900,vp.tbl[[#This Row],[Sulf]]&lt;=0.5,vp.tbl[[#This Row],[Unknown]]=0),1,0)</f>
        <v>0</v>
      </c>
      <c r="AD1192">
        <f>IF(AND(vp.tbl[[#This Row],[CrudeType]]="Crude",vp.tbl[[#This Row],[Dens]]&gt;870,vp.tbl[[#This Row],[Dens]]&lt;=900,vp.tbl[[#This Row],[Sulf]]&gt;0.5,vp.tbl[[#This Row],[Unknown]]=0),1,0)</f>
        <v>0</v>
      </c>
      <c r="AE1192">
        <f>IF(AND(vp.tbl[[#This Row],[CrudeType]]="Crude",vp.tbl[[#This Row],[Dens]]&gt;900,vp.tbl[[#This Row],[Sulf]]&lt;=0.5,vp.tbl[[#This Row],[Unknown]]=0),1,0)</f>
        <v>0</v>
      </c>
      <c r="AF1192">
        <f>IF(AND(vp.tbl[[#This Row],[CrudeType]]="Crude",vp.tbl[[#This Row],[Dens]]&gt;900,vp.tbl[[#This Row],[Sulf]]&lt;=0.5,vp.tbl[[#This Row],[Unknown]]=0),1,0)</f>
        <v>0</v>
      </c>
      <c r="AG1192" t="str">
        <f>INDEX(vp.tbl[[#Headers],[Unknown]:[Heavy_SW]],MATCH(1,vp.tbl[[#This Row],[Unknown]:[Heavy_SW]],0))</f>
        <v>Medium_LSB</v>
      </c>
      <c r="AH1192" t="e">
        <f>INDEX([1]!crudeBD.lkup[Number],MATCH(vp.tbl[[#This Row],[Crude_Breakdown]],[1]!crudeBD.lkup[Crude Breakdown],0))</f>
        <v>#REF!</v>
      </c>
      <c r="AI1192">
        <f>MONTH(vp.tbl[[#This Row],[SDate]])</f>
        <v>4</v>
      </c>
      <c r="AJ1192" s="5">
        <f>IFERROR(vp.tbl[[#This Row],[Sulf]]*vp.tbl[[#This Row],[Net Dens]],"")</f>
        <v>258627.20552999998</v>
      </c>
      <c r="AK1192" s="5">
        <f>IFERROR(vp.tbl[[#This Row],[Dens]]*vp.tbl[[#This Row],[VolumeM3]],"")</f>
        <v>374822.03700000001</v>
      </c>
      <c r="AL1192" s="5">
        <f>IFERROR(vp.tbl[[#This Row],[VP]]*vp.tbl[[#This Row],[VolumeM3]],"")</f>
        <v>32677.955099999996</v>
      </c>
      <c r="AM1192" s="4">
        <f>IFERROR((vp.tbl[[#This Row],[VP]]-INDEX(crudeBD.lkup.complete[Mean_VP],MATCH(vp.tbl[[#This Row],[Crude_Breakdown]],crudeBD.lkup.complete[Crude Breakdown],0)))^2,"")</f>
        <v>65.182935202050444</v>
      </c>
      <c r="AN1192" s="4">
        <f>IFERROR((vp.tbl[[#This Row],[Dens]]-INDEX(crudeBD.lkup.complete[Mean_Dens],MATCH(vp.tbl[[#This Row],[Crude_Breakdown]],crudeBD.lkup.complete[Crude Breakdown],0)))^2,"")</f>
        <v>334.59078079086288</v>
      </c>
      <c r="AO1192" s="4">
        <f>IFERROR((vp.tbl[[#This Row],[Sulf]]-INDEX(crudeBD.lkup.complete[Mean_Sulf],MATCH(vp.tbl[[#This Row],[Crude_Breakdown]],crudeBD.lkup.complete[Crude Breakdown],0)))^2,"")</f>
        <v>0.58511769188154072</v>
      </c>
      <c r="AP1192">
        <f>IF(AND(vp.tbl[[#This Row],[SDate]]&gt;=DATE(YEAR(vp.tbl[[#This Row],[SDate]]),5,1),vp.tbl[[#This Row],[SDate]]&lt;=DATE(YEAR(vp.tbl[[#This Row],[SDate]]),9,15)),1,0)</f>
        <v>0</v>
      </c>
      <c r="AQ1192" s="15">
        <f>IF(vp.tbl[[#This Row],[SDate]]&lt;DATE(2016,12,1),0,1)</f>
        <v>1</v>
      </c>
    </row>
    <row r="1193" spans="1:43" x14ac:dyDescent="0.25">
      <c r="A1193">
        <v>1192</v>
      </c>
      <c r="B1193" t="s">
        <v>68</v>
      </c>
      <c r="C1193" t="s">
        <v>68</v>
      </c>
      <c r="D1193" t="s">
        <v>251</v>
      </c>
      <c r="F1193" s="1">
        <v>42831</v>
      </c>
      <c r="G1193" s="2">
        <v>53.8</v>
      </c>
      <c r="H1193" s="2"/>
      <c r="I1193" s="2">
        <v>0.66</v>
      </c>
      <c r="J1193" s="2">
        <v>7.4</v>
      </c>
      <c r="K1193" s="2">
        <v>12</v>
      </c>
      <c r="L1193" s="2">
        <v>832.5</v>
      </c>
      <c r="M1193" s="2">
        <v>832.5</v>
      </c>
      <c r="N1193" s="2">
        <f ca="1">INDEX(INDIRECT(_xlfn.CONCAT("weather.tbl[",N$1,"]")),MATCH(vp.tbl[[#This Row],[SDate]],weather.tbl[Date],0))</f>
        <v>5.8999999999999995</v>
      </c>
      <c r="O1193" s="2">
        <f ca="1">INDEX(INDIRECT(_xlfn.CONCAT("weather.tbl[",O$1,"]")),MATCH(vp.tbl[[#This Row],[SDate]],weather.tbl[Date],0))</f>
        <v>5.1476190476190471</v>
      </c>
      <c r="P1193" s="2">
        <f ca="1">INDEX(INDIRECT(_xlfn.CONCAT("weather.tbl[",P$1,"]")),MATCH(vp.tbl[[#This Row],[SDate]],weather.tbl[Date],0))</f>
        <v>6.5</v>
      </c>
      <c r="Q1193" s="2">
        <f ca="1">INDEX(INDIRECT(_xlfn.CONCAT("weather.tbl[",Q$1,"]")),MATCH(vp.tbl[[#This Row],[SDate]],weather.tbl[Date],0))</f>
        <v>7.6</v>
      </c>
      <c r="R1193" s="2">
        <f ca="1">INDEX(INDIRECT(_xlfn.CONCAT("weather.tbl[",R$1,"]")),MATCH(vp.tbl[[#This Row],[SDate]],weather.tbl[Date],0))</f>
        <v>3.5</v>
      </c>
      <c r="S1193" s="2">
        <f ca="1">INDEX(INDIRECT(_xlfn.CONCAT("weather.tbl[",S$1,"]")),MATCH(vp.tbl[[#This Row],[SDate]],weather.tbl[Date],0))</f>
        <v>7.7</v>
      </c>
      <c r="T1193" s="2">
        <f ca="1">INDEX(INDIRECT(_xlfn.CONCAT("weather.tbl[",T$1,"]")),MATCH(vp.tbl[[#This Row],[SDate]],weather.tbl[Date],0))</f>
        <v>5.3</v>
      </c>
      <c r="U1193" s="2">
        <f ca="1">INDEX(INDIRECT(_xlfn.CONCAT("weather.tbl[",U$1,"]")),MATCH(vp.tbl[[#This Row],[SDate]],weather.tbl[Date],0))</f>
        <v>4.8</v>
      </c>
      <c r="V1193" s="2">
        <v>93.527000000000001</v>
      </c>
      <c r="W1193" t="s">
        <v>48</v>
      </c>
      <c r="X1193">
        <f>IF(OR(vp.tbl[[#This Row],[Sulf]]="",vp.tbl[[#This Row],[Dens]]=""),1,0)</f>
        <v>0</v>
      </c>
      <c r="Y1193">
        <f>IF(vp.tbl[[#This Row],[CrudeType]]="C5+",1,0)</f>
        <v>0</v>
      </c>
      <c r="Z1193">
        <f>IF(AND(vp.tbl[[#This Row],[CrudeType]]="Crude",vp.tbl[[#This Row],[Dens]]&lt;=825,vp.tbl[[#This Row],[Sulf]]&gt;0.5,vp.tbl[[#This Row],[Unknown]]=0),1,0)</f>
        <v>0</v>
      </c>
      <c r="AA1193">
        <f>IF(AND(vp.tbl[[#This Row],[CrudeType]]="Crude",vp.tbl[[#This Row],[Dens]]&lt;=825,vp.tbl[[#This Row],[Sulf]]&lt;=0.5,vp.tbl[[#This Row],[Unknown]]=0),1,0)</f>
        <v>0</v>
      </c>
      <c r="AB1193">
        <f>IF(AND(vp.tbl[[#This Row],[CrudeType]]="Crude",vp.tbl[[#This Row],[Dens]]&gt;825,vp.tbl[[#This Row],[Dens]]&lt;=870,vp.tbl[[#This Row],[Sulf]]&gt;0.5,vp.tbl[[#This Row],[Unknown]]=0),1,0)</f>
        <v>1</v>
      </c>
      <c r="AC1193">
        <f>IF(AND(vp.tbl[[#This Row],[CrudeType]]="Crude",vp.tbl[[#This Row],[Dens]]&gt;825,vp.tbl[[#This Row],[Dens]]&lt;=900,vp.tbl[[#This Row],[Sulf]]&lt;=0.5,vp.tbl[[#This Row],[Unknown]]=0),1,0)</f>
        <v>0</v>
      </c>
      <c r="AD1193">
        <f>IF(AND(vp.tbl[[#This Row],[CrudeType]]="Crude",vp.tbl[[#This Row],[Dens]]&gt;870,vp.tbl[[#This Row],[Dens]]&lt;=900,vp.tbl[[#This Row],[Sulf]]&gt;0.5,vp.tbl[[#This Row],[Unknown]]=0),1,0)</f>
        <v>0</v>
      </c>
      <c r="AE1193">
        <f>IF(AND(vp.tbl[[#This Row],[CrudeType]]="Crude",vp.tbl[[#This Row],[Dens]]&gt;900,vp.tbl[[#This Row],[Sulf]]&lt;=0.5,vp.tbl[[#This Row],[Unknown]]=0),1,0)</f>
        <v>0</v>
      </c>
      <c r="AF1193">
        <f>IF(AND(vp.tbl[[#This Row],[CrudeType]]="Crude",vp.tbl[[#This Row],[Dens]]&gt;900,vp.tbl[[#This Row],[Sulf]]&lt;=0.5,vp.tbl[[#This Row],[Unknown]]=0),1,0)</f>
        <v>0</v>
      </c>
      <c r="AG1193" t="str">
        <f>INDEX(vp.tbl[[#Headers],[Unknown]:[Heavy_SW]],MATCH(1,vp.tbl[[#This Row],[Unknown]:[Heavy_SW]],0))</f>
        <v>Medium_LSB</v>
      </c>
      <c r="AH1193" t="e">
        <f>INDEX([1]!crudeBD.lkup[Number],MATCH(vp.tbl[[#This Row],[Crude_Breakdown]],[1]!crudeBD.lkup[Crude Breakdown],0))</f>
        <v>#REF!</v>
      </c>
      <c r="AI1193">
        <f>MONTH(vp.tbl[[#This Row],[SDate]])</f>
        <v>4</v>
      </c>
      <c r="AJ1193" s="5">
        <f>IFERROR(vp.tbl[[#This Row],[Sulf]]*vp.tbl[[#This Row],[Net Dens]],"")</f>
        <v>51388.410149999996</v>
      </c>
      <c r="AK1193" s="5">
        <f>IFERROR(vp.tbl[[#This Row],[Dens]]*vp.tbl[[#This Row],[VolumeM3]],"")</f>
        <v>77861.227499999994</v>
      </c>
      <c r="AL1193" s="5">
        <f>IFERROR(vp.tbl[[#This Row],[VP]]*vp.tbl[[#This Row],[VolumeM3]],"")</f>
        <v>5031.7525999999998</v>
      </c>
      <c r="AM1193" s="4">
        <f>IFERROR((vp.tbl[[#This Row],[VP]]-INDEX(crudeBD.lkup.complete[Mean_VP],MATCH(vp.tbl[[#This Row],[Crude_Breakdown]],crudeBD.lkup.complete[Crude Breakdown],0)))^2,"")</f>
        <v>695.5665098855934</v>
      </c>
      <c r="AN1193" s="4">
        <f>IFERROR((vp.tbl[[#This Row],[Dens]]-INDEX(crudeBD.lkup.complete[Mean_Dens],MATCH(vp.tbl[[#This Row],[Crude_Breakdown]],crudeBD.lkup.complete[Crude Breakdown],0)))^2,"")</f>
        <v>163.63073015796232</v>
      </c>
      <c r="AO1193" s="4">
        <f>IFERROR((vp.tbl[[#This Row],[Sulf]]-INDEX(crudeBD.lkup.complete[Mean_Sulf],MATCH(vp.tbl[[#This Row],[Crude_Breakdown]],crudeBD.lkup.complete[Crude Breakdown],0)))^2,"")</f>
        <v>0.6319134835271103</v>
      </c>
      <c r="AP1193">
        <f>IF(AND(vp.tbl[[#This Row],[SDate]]&gt;=DATE(YEAR(vp.tbl[[#This Row],[SDate]]),5,1),vp.tbl[[#This Row],[SDate]]&lt;=DATE(YEAR(vp.tbl[[#This Row],[SDate]]),9,15)),1,0)</f>
        <v>0</v>
      </c>
      <c r="AQ1193" s="15">
        <f>IF(vp.tbl[[#This Row],[SDate]]&lt;DATE(2016,12,1),0,1)</f>
        <v>1</v>
      </c>
    </row>
    <row r="1194" spans="1:43" x14ac:dyDescent="0.25">
      <c r="A1194">
        <v>1193</v>
      </c>
      <c r="B1194" t="s">
        <v>53</v>
      </c>
      <c r="C1194" t="s">
        <v>53</v>
      </c>
      <c r="D1194" t="s">
        <v>54</v>
      </c>
      <c r="E1194" t="s">
        <v>55</v>
      </c>
      <c r="F1194" s="1">
        <v>42831</v>
      </c>
      <c r="G1194" s="2">
        <v>80.7</v>
      </c>
      <c r="H1194" s="2"/>
      <c r="I1194" s="2">
        <v>1.2</v>
      </c>
      <c r="J1194" s="2">
        <v>12.6</v>
      </c>
      <c r="K1194" s="2">
        <v>12</v>
      </c>
      <c r="L1194" s="2">
        <v>840</v>
      </c>
      <c r="M1194" s="2">
        <v>840</v>
      </c>
      <c r="N1194" s="2">
        <f ca="1">INDEX(INDIRECT(_xlfn.CONCAT("weather.tbl[",N$1,"]")),MATCH(vp.tbl[[#This Row],[SDate]],weather.tbl[Date],0))</f>
        <v>5.8999999999999995</v>
      </c>
      <c r="O1194" s="2">
        <f ca="1">INDEX(INDIRECT(_xlfn.CONCAT("weather.tbl[",O$1,"]")),MATCH(vp.tbl[[#This Row],[SDate]],weather.tbl[Date],0))</f>
        <v>5.1476190476190471</v>
      </c>
      <c r="P1194" s="2">
        <f ca="1">INDEX(INDIRECT(_xlfn.CONCAT("weather.tbl[",P$1,"]")),MATCH(vp.tbl[[#This Row],[SDate]],weather.tbl[Date],0))</f>
        <v>6.5</v>
      </c>
      <c r="Q1194" s="2">
        <f ca="1">INDEX(INDIRECT(_xlfn.CONCAT("weather.tbl[",Q$1,"]")),MATCH(vp.tbl[[#This Row],[SDate]],weather.tbl[Date],0))</f>
        <v>7.6</v>
      </c>
      <c r="R1194" s="2">
        <f ca="1">INDEX(INDIRECT(_xlfn.CONCAT("weather.tbl[",R$1,"]")),MATCH(vp.tbl[[#This Row],[SDate]],weather.tbl[Date],0))</f>
        <v>3.5</v>
      </c>
      <c r="S1194" s="2">
        <f ca="1">INDEX(INDIRECT(_xlfn.CONCAT("weather.tbl[",S$1,"]")),MATCH(vp.tbl[[#This Row],[SDate]],weather.tbl[Date],0))</f>
        <v>7.7</v>
      </c>
      <c r="T1194" s="2">
        <f ca="1">INDEX(INDIRECT(_xlfn.CONCAT("weather.tbl[",T$1,"]")),MATCH(vp.tbl[[#This Row],[SDate]],weather.tbl[Date],0))</f>
        <v>5.3</v>
      </c>
      <c r="U1194" s="2">
        <f ca="1">INDEX(INDIRECT(_xlfn.CONCAT("weather.tbl[",U$1,"]")),MATCH(vp.tbl[[#This Row],[SDate]],weather.tbl[Date],0))</f>
        <v>4.8</v>
      </c>
      <c r="V1194" s="2">
        <v>6264.8940000000002</v>
      </c>
      <c r="W1194" t="s">
        <v>48</v>
      </c>
      <c r="X1194">
        <f>IF(OR(vp.tbl[[#This Row],[Sulf]]="",vp.tbl[[#This Row],[Dens]]=""),1,0)</f>
        <v>0</v>
      </c>
      <c r="Y1194">
        <f>IF(vp.tbl[[#This Row],[CrudeType]]="C5+",1,0)</f>
        <v>0</v>
      </c>
      <c r="Z1194">
        <f>IF(AND(vp.tbl[[#This Row],[CrudeType]]="Crude",vp.tbl[[#This Row],[Dens]]&lt;=825,vp.tbl[[#This Row],[Sulf]]&gt;0.5,vp.tbl[[#This Row],[Unknown]]=0),1,0)</f>
        <v>0</v>
      </c>
      <c r="AA1194">
        <f>IF(AND(vp.tbl[[#This Row],[CrudeType]]="Crude",vp.tbl[[#This Row],[Dens]]&lt;=825,vp.tbl[[#This Row],[Sulf]]&lt;=0.5,vp.tbl[[#This Row],[Unknown]]=0),1,0)</f>
        <v>0</v>
      </c>
      <c r="AB1194">
        <f>IF(AND(vp.tbl[[#This Row],[CrudeType]]="Crude",vp.tbl[[#This Row],[Dens]]&gt;825,vp.tbl[[#This Row],[Dens]]&lt;=870,vp.tbl[[#This Row],[Sulf]]&gt;0.5,vp.tbl[[#This Row],[Unknown]]=0),1,0)</f>
        <v>1</v>
      </c>
      <c r="AC1194">
        <f>IF(AND(vp.tbl[[#This Row],[CrudeType]]="Crude",vp.tbl[[#This Row],[Dens]]&gt;825,vp.tbl[[#This Row],[Dens]]&lt;=900,vp.tbl[[#This Row],[Sulf]]&lt;=0.5,vp.tbl[[#This Row],[Unknown]]=0),1,0)</f>
        <v>0</v>
      </c>
      <c r="AD1194">
        <f>IF(AND(vp.tbl[[#This Row],[CrudeType]]="Crude",vp.tbl[[#This Row],[Dens]]&gt;870,vp.tbl[[#This Row],[Dens]]&lt;=900,vp.tbl[[#This Row],[Sulf]]&gt;0.5,vp.tbl[[#This Row],[Unknown]]=0),1,0)</f>
        <v>0</v>
      </c>
      <c r="AE1194">
        <f>IF(AND(vp.tbl[[#This Row],[CrudeType]]="Crude",vp.tbl[[#This Row],[Dens]]&gt;900,vp.tbl[[#This Row],[Sulf]]&lt;=0.5,vp.tbl[[#This Row],[Unknown]]=0),1,0)</f>
        <v>0</v>
      </c>
      <c r="AF1194">
        <f>IF(AND(vp.tbl[[#This Row],[CrudeType]]="Crude",vp.tbl[[#This Row],[Dens]]&gt;900,vp.tbl[[#This Row],[Sulf]]&lt;=0.5,vp.tbl[[#This Row],[Unknown]]=0),1,0)</f>
        <v>0</v>
      </c>
      <c r="AG1194" t="str">
        <f>INDEX(vp.tbl[[#Headers],[Unknown]:[Heavy_SW]],MATCH(1,vp.tbl[[#This Row],[Unknown]:[Heavy_SW]],0))</f>
        <v>Medium_LSB</v>
      </c>
      <c r="AH1194" t="e">
        <f>INDEX([1]!crudeBD.lkup[Number],MATCH(vp.tbl[[#This Row],[Crude_Breakdown]],[1]!crudeBD.lkup[Crude Breakdown],0))</f>
        <v>#REF!</v>
      </c>
      <c r="AI1194">
        <f>MONTH(vp.tbl[[#This Row],[SDate]])</f>
        <v>4</v>
      </c>
      <c r="AJ1194" s="5">
        <f>IFERROR(vp.tbl[[#This Row],[Sulf]]*vp.tbl[[#This Row],[Net Dens]],"")</f>
        <v>6315013.1519999998</v>
      </c>
      <c r="AK1194" s="5">
        <f>IFERROR(vp.tbl[[#This Row],[Dens]]*vp.tbl[[#This Row],[VolumeM3]],"")</f>
        <v>5262510.96</v>
      </c>
      <c r="AL1194" s="5">
        <f>IFERROR(vp.tbl[[#This Row],[VP]]*vp.tbl[[#This Row],[VolumeM3]],"")</f>
        <v>505576.94580000004</v>
      </c>
      <c r="AM1194" s="4">
        <f>IFERROR((vp.tbl[[#This Row],[VP]]-INDEX(crudeBD.lkup.complete[Mean_VP],MATCH(vp.tbl[[#This Row],[Crude_Breakdown]],crudeBD.lkup.complete[Crude Breakdown],0)))^2,"")</f>
        <v>0.27710229065859016</v>
      </c>
      <c r="AN1194" s="4">
        <f>IFERROR((vp.tbl[[#This Row],[Dens]]-INDEX(crudeBD.lkup.complete[Mean_Dens],MATCH(vp.tbl[[#This Row],[Crude_Breakdown]],crudeBD.lkup.complete[Crude Breakdown],0)))^2,"")</f>
        <v>28.003388385825183</v>
      </c>
      <c r="AO1194" s="4">
        <f>IFERROR((vp.tbl[[#This Row],[Sulf]]-INDEX(crudeBD.lkup.complete[Mean_Sulf],MATCH(vp.tbl[[#This Row],[Crude_Breakdown]],crudeBD.lkup.complete[Crude Breakdown],0)))^2,"")</f>
        <v>6.4989233906855612E-2</v>
      </c>
      <c r="AP1194">
        <f>IF(AND(vp.tbl[[#This Row],[SDate]]&gt;=DATE(YEAR(vp.tbl[[#This Row],[SDate]]),5,1),vp.tbl[[#This Row],[SDate]]&lt;=DATE(YEAR(vp.tbl[[#This Row],[SDate]]),9,15)),1,0)</f>
        <v>0</v>
      </c>
      <c r="AQ1194" s="15">
        <f>IF(vp.tbl[[#This Row],[SDate]]&lt;DATE(2016,12,1),0,1)</f>
        <v>1</v>
      </c>
    </row>
    <row r="1195" spans="1:43" x14ac:dyDescent="0.25">
      <c r="A1195">
        <v>1194</v>
      </c>
      <c r="B1195" t="s">
        <v>49</v>
      </c>
      <c r="C1195" t="s">
        <v>49</v>
      </c>
      <c r="D1195" t="s">
        <v>103</v>
      </c>
      <c r="F1195" s="1">
        <v>42834</v>
      </c>
      <c r="G1195" s="2">
        <v>47.9</v>
      </c>
      <c r="H1195" s="2">
        <v>2.0499999999999998</v>
      </c>
      <c r="I1195" s="2">
        <v>2.0499999999999998</v>
      </c>
      <c r="J1195" s="2">
        <v>32.5</v>
      </c>
      <c r="K1195" s="2">
        <v>8</v>
      </c>
      <c r="L1195" s="2">
        <v>885.2</v>
      </c>
      <c r="M1195" s="2">
        <v>885.2</v>
      </c>
      <c r="N1195" s="2">
        <f ca="1">INDEX(INDIRECT(_xlfn.CONCAT("weather.tbl[",N$1,"]")),MATCH(vp.tbl[[#This Row],[SDate]],weather.tbl[Date],0))</f>
        <v>2.6666666666666665</v>
      </c>
      <c r="O1195" s="2">
        <f ca="1">INDEX(INDIRECT(_xlfn.CONCAT("weather.tbl[",O$1,"]")),MATCH(vp.tbl[[#This Row],[SDate]],weather.tbl[Date],0))</f>
        <v>6.7261904761904754</v>
      </c>
      <c r="P1195" s="2">
        <f ca="1">INDEX(INDIRECT(_xlfn.CONCAT("weather.tbl[",P$1,"]")),MATCH(vp.tbl[[#This Row],[SDate]],weather.tbl[Date],0))</f>
        <v>2.2999999999999998</v>
      </c>
      <c r="Q1195" s="2">
        <f ca="1">INDEX(INDIRECT(_xlfn.CONCAT("weather.tbl[",Q$1,"]")),MATCH(vp.tbl[[#This Row],[SDate]],weather.tbl[Date],0))</f>
        <v>0.6</v>
      </c>
      <c r="R1195" s="2">
        <f ca="1">INDEX(INDIRECT(_xlfn.CONCAT("weather.tbl[",R$1,"]")),MATCH(vp.tbl[[#This Row],[SDate]],weather.tbl[Date],0))</f>
        <v>13</v>
      </c>
      <c r="S1195" s="2">
        <f ca="1">INDEX(INDIRECT(_xlfn.CONCAT("weather.tbl[",S$1,"]")),MATCH(vp.tbl[[#This Row],[SDate]],weather.tbl[Date],0))</f>
        <v>-1</v>
      </c>
      <c r="T1195" s="2">
        <f ca="1">INDEX(INDIRECT(_xlfn.CONCAT("weather.tbl[",T$1,"]")),MATCH(vp.tbl[[#This Row],[SDate]],weather.tbl[Date],0))</f>
        <v>1.9</v>
      </c>
      <c r="U1195" s="2">
        <f ca="1">INDEX(INDIRECT(_xlfn.CONCAT("weather.tbl[",U$1,"]")),MATCH(vp.tbl[[#This Row],[SDate]],weather.tbl[Date],0))</f>
        <v>-0.8</v>
      </c>
      <c r="V1195" s="2">
        <v>797.85299999999995</v>
      </c>
      <c r="W1195" t="s">
        <v>48</v>
      </c>
      <c r="X1195">
        <f>IF(OR(vp.tbl[[#This Row],[Sulf]]="",vp.tbl[[#This Row],[Dens]]=""),1,0)</f>
        <v>0</v>
      </c>
      <c r="Y1195">
        <f>IF(vp.tbl[[#This Row],[CrudeType]]="C5+",1,0)</f>
        <v>0</v>
      </c>
      <c r="Z1195">
        <f>IF(AND(vp.tbl[[#This Row],[CrudeType]]="Crude",vp.tbl[[#This Row],[Dens]]&lt;=825,vp.tbl[[#This Row],[Sulf]]&gt;0.5,vp.tbl[[#This Row],[Unknown]]=0),1,0)</f>
        <v>0</v>
      </c>
      <c r="AA1195">
        <f>IF(AND(vp.tbl[[#This Row],[CrudeType]]="Crude",vp.tbl[[#This Row],[Dens]]&lt;=825,vp.tbl[[#This Row],[Sulf]]&lt;=0.5,vp.tbl[[#This Row],[Unknown]]=0),1,0)</f>
        <v>0</v>
      </c>
      <c r="AB1195">
        <f>IF(AND(vp.tbl[[#This Row],[CrudeType]]="Crude",vp.tbl[[#This Row],[Dens]]&gt;825,vp.tbl[[#This Row],[Dens]]&lt;=870,vp.tbl[[#This Row],[Sulf]]&gt;0.5,vp.tbl[[#This Row],[Unknown]]=0),1,0)</f>
        <v>0</v>
      </c>
      <c r="AC1195">
        <f>IF(AND(vp.tbl[[#This Row],[CrudeType]]="Crude",vp.tbl[[#This Row],[Dens]]&gt;825,vp.tbl[[#This Row],[Dens]]&lt;=900,vp.tbl[[#This Row],[Sulf]]&lt;=0.5,vp.tbl[[#This Row],[Unknown]]=0),1,0)</f>
        <v>0</v>
      </c>
      <c r="AD1195">
        <f>IF(AND(vp.tbl[[#This Row],[CrudeType]]="Crude",vp.tbl[[#This Row],[Dens]]&gt;870,vp.tbl[[#This Row],[Dens]]&lt;=900,vp.tbl[[#This Row],[Sulf]]&gt;0.5,vp.tbl[[#This Row],[Unknown]]=0),1,0)</f>
        <v>1</v>
      </c>
      <c r="AE1195">
        <f>IF(AND(vp.tbl[[#This Row],[CrudeType]]="Crude",vp.tbl[[#This Row],[Dens]]&gt;900,vp.tbl[[#This Row],[Sulf]]&lt;=0.5,vp.tbl[[#This Row],[Unknown]]=0),1,0)</f>
        <v>0</v>
      </c>
      <c r="AF1195">
        <f>IF(AND(vp.tbl[[#This Row],[CrudeType]]="Crude",vp.tbl[[#This Row],[Dens]]&gt;900,vp.tbl[[#This Row],[Sulf]]&lt;=0.5,vp.tbl[[#This Row],[Unknown]]=0),1,0)</f>
        <v>0</v>
      </c>
      <c r="AG1195" t="str">
        <f>INDEX(vp.tbl[[#Headers],[Unknown]:[Heavy_SW]],MATCH(1,vp.tbl[[#This Row],[Unknown]:[Heavy_SW]],0))</f>
        <v>Midale</v>
      </c>
      <c r="AH1195" t="e">
        <f>INDEX([1]!crudeBD.lkup[Number],MATCH(vp.tbl[[#This Row],[Crude_Breakdown]],[1]!crudeBD.lkup[Crude Breakdown],0))</f>
        <v>#REF!</v>
      </c>
      <c r="AI1195">
        <f>MONTH(vp.tbl[[#This Row],[SDate]])</f>
        <v>4</v>
      </c>
      <c r="AJ1195" s="5">
        <f>IFERROR(vp.tbl[[#This Row],[Sulf]]*vp.tbl[[#This Row],[Net Dens]],"")</f>
        <v>1447831.9249799999</v>
      </c>
      <c r="AK1195" s="5">
        <f>IFERROR(vp.tbl[[#This Row],[Dens]]*vp.tbl[[#This Row],[VolumeM3]],"")</f>
        <v>706259.47560000001</v>
      </c>
      <c r="AL1195" s="5">
        <f>IFERROR(vp.tbl[[#This Row],[VP]]*vp.tbl[[#This Row],[VolumeM3]],"")</f>
        <v>38217.1587</v>
      </c>
      <c r="AM1195" s="4">
        <f>IFERROR((vp.tbl[[#This Row],[VP]]-INDEX(crudeBD.lkup.complete[Mean_VP],MATCH(vp.tbl[[#This Row],[Crude_Breakdown]],crudeBD.lkup.complete[Crude Breakdown],0)))^2,"")</f>
        <v>413.64873146931939</v>
      </c>
      <c r="AN1195" s="4">
        <f>IFERROR((vp.tbl[[#This Row],[Dens]]-INDEX(crudeBD.lkup.complete[Mean_Dens],MATCH(vp.tbl[[#This Row],[Crude_Breakdown]],crudeBD.lkup.complete[Crude Breakdown],0)))^2,"")</f>
        <v>58.491065866021465</v>
      </c>
      <c r="AO1195" s="4">
        <f>IFERROR((vp.tbl[[#This Row],[Sulf]]-INDEX(crudeBD.lkup.complete[Mean_Sulf],MATCH(vp.tbl[[#This Row],[Crude_Breakdown]],crudeBD.lkup.complete[Crude Breakdown],0)))^2,"")</f>
        <v>0.13347341569316867</v>
      </c>
      <c r="AP1195">
        <f>IF(AND(vp.tbl[[#This Row],[SDate]]&gt;=DATE(YEAR(vp.tbl[[#This Row],[SDate]]),5,1),vp.tbl[[#This Row],[SDate]]&lt;=DATE(YEAR(vp.tbl[[#This Row],[SDate]]),9,15)),1,0)</f>
        <v>0</v>
      </c>
      <c r="AQ1195" s="15">
        <f>IF(vp.tbl[[#This Row],[SDate]]&lt;DATE(2016,12,1),0,1)</f>
        <v>1</v>
      </c>
    </row>
    <row r="1196" spans="1:43" x14ac:dyDescent="0.25">
      <c r="A1196">
        <v>1195</v>
      </c>
      <c r="B1196" t="s">
        <v>49</v>
      </c>
      <c r="C1196" t="s">
        <v>49</v>
      </c>
      <c r="D1196" t="s">
        <v>104</v>
      </c>
      <c r="F1196" s="1">
        <v>42834</v>
      </c>
      <c r="G1196" s="2">
        <v>40.299999999999997</v>
      </c>
      <c r="H1196" s="2">
        <v>2.1139999999999999</v>
      </c>
      <c r="I1196" s="2">
        <v>2.1139999999999999</v>
      </c>
      <c r="J1196" s="2">
        <v>31.3</v>
      </c>
      <c r="K1196" s="2">
        <v>8</v>
      </c>
      <c r="L1196" s="2">
        <v>882.3</v>
      </c>
      <c r="M1196" s="2">
        <v>882.3</v>
      </c>
      <c r="N1196" s="2">
        <f ca="1">INDEX(INDIRECT(_xlfn.CONCAT("weather.tbl[",N$1,"]")),MATCH(vp.tbl[[#This Row],[SDate]],weather.tbl[Date],0))</f>
        <v>2.6666666666666665</v>
      </c>
      <c r="O1196" s="2">
        <f ca="1">INDEX(INDIRECT(_xlfn.CONCAT("weather.tbl[",O$1,"]")),MATCH(vp.tbl[[#This Row],[SDate]],weather.tbl[Date],0))</f>
        <v>6.7261904761904754</v>
      </c>
      <c r="P1196" s="2">
        <f ca="1">INDEX(INDIRECT(_xlfn.CONCAT("weather.tbl[",P$1,"]")),MATCH(vp.tbl[[#This Row],[SDate]],weather.tbl[Date],0))</f>
        <v>2.2999999999999998</v>
      </c>
      <c r="Q1196" s="2">
        <f ca="1">INDEX(INDIRECT(_xlfn.CONCAT("weather.tbl[",Q$1,"]")),MATCH(vp.tbl[[#This Row],[SDate]],weather.tbl[Date],0))</f>
        <v>0.6</v>
      </c>
      <c r="R1196" s="2">
        <f ca="1">INDEX(INDIRECT(_xlfn.CONCAT("weather.tbl[",R$1,"]")),MATCH(vp.tbl[[#This Row],[SDate]],weather.tbl[Date],0))</f>
        <v>13</v>
      </c>
      <c r="S1196" s="2">
        <f ca="1">INDEX(INDIRECT(_xlfn.CONCAT("weather.tbl[",S$1,"]")),MATCH(vp.tbl[[#This Row],[SDate]],weather.tbl[Date],0))</f>
        <v>-1</v>
      </c>
      <c r="T1196" s="2">
        <f ca="1">INDEX(INDIRECT(_xlfn.CONCAT("weather.tbl[",T$1,"]")),MATCH(vp.tbl[[#This Row],[SDate]],weather.tbl[Date],0))</f>
        <v>1.9</v>
      </c>
      <c r="U1196" s="2">
        <f ca="1">INDEX(INDIRECT(_xlfn.CONCAT("weather.tbl[",U$1,"]")),MATCH(vp.tbl[[#This Row],[SDate]],weather.tbl[Date],0))</f>
        <v>-0.8</v>
      </c>
      <c r="V1196" s="2">
        <v>543.57100000000003</v>
      </c>
      <c r="W1196" t="s">
        <v>48</v>
      </c>
      <c r="X1196">
        <f>IF(OR(vp.tbl[[#This Row],[Sulf]]="",vp.tbl[[#This Row],[Dens]]=""),1,0)</f>
        <v>0</v>
      </c>
      <c r="Y1196">
        <f>IF(vp.tbl[[#This Row],[CrudeType]]="C5+",1,0)</f>
        <v>0</v>
      </c>
      <c r="Z1196">
        <f>IF(AND(vp.tbl[[#This Row],[CrudeType]]="Crude",vp.tbl[[#This Row],[Dens]]&lt;=825,vp.tbl[[#This Row],[Sulf]]&gt;0.5,vp.tbl[[#This Row],[Unknown]]=0),1,0)</f>
        <v>0</v>
      </c>
      <c r="AA1196">
        <f>IF(AND(vp.tbl[[#This Row],[CrudeType]]="Crude",vp.tbl[[#This Row],[Dens]]&lt;=825,vp.tbl[[#This Row],[Sulf]]&lt;=0.5,vp.tbl[[#This Row],[Unknown]]=0),1,0)</f>
        <v>0</v>
      </c>
      <c r="AB1196">
        <f>IF(AND(vp.tbl[[#This Row],[CrudeType]]="Crude",vp.tbl[[#This Row],[Dens]]&gt;825,vp.tbl[[#This Row],[Dens]]&lt;=870,vp.tbl[[#This Row],[Sulf]]&gt;0.5,vp.tbl[[#This Row],[Unknown]]=0),1,0)</f>
        <v>0</v>
      </c>
      <c r="AC1196">
        <f>IF(AND(vp.tbl[[#This Row],[CrudeType]]="Crude",vp.tbl[[#This Row],[Dens]]&gt;825,vp.tbl[[#This Row],[Dens]]&lt;=900,vp.tbl[[#This Row],[Sulf]]&lt;=0.5,vp.tbl[[#This Row],[Unknown]]=0),1,0)</f>
        <v>0</v>
      </c>
      <c r="AD1196">
        <f>IF(AND(vp.tbl[[#This Row],[CrudeType]]="Crude",vp.tbl[[#This Row],[Dens]]&gt;870,vp.tbl[[#This Row],[Dens]]&lt;=900,vp.tbl[[#This Row],[Sulf]]&gt;0.5,vp.tbl[[#This Row],[Unknown]]=0),1,0)</f>
        <v>1</v>
      </c>
      <c r="AE1196">
        <f>IF(AND(vp.tbl[[#This Row],[CrudeType]]="Crude",vp.tbl[[#This Row],[Dens]]&gt;900,vp.tbl[[#This Row],[Sulf]]&lt;=0.5,vp.tbl[[#This Row],[Unknown]]=0),1,0)</f>
        <v>0</v>
      </c>
      <c r="AF1196">
        <f>IF(AND(vp.tbl[[#This Row],[CrudeType]]="Crude",vp.tbl[[#This Row],[Dens]]&gt;900,vp.tbl[[#This Row],[Sulf]]&lt;=0.5,vp.tbl[[#This Row],[Unknown]]=0),1,0)</f>
        <v>0</v>
      </c>
      <c r="AG1196" t="str">
        <f>INDEX(vp.tbl[[#Headers],[Unknown]:[Heavy_SW]],MATCH(1,vp.tbl[[#This Row],[Unknown]:[Heavy_SW]],0))</f>
        <v>Midale</v>
      </c>
      <c r="AH1196" t="e">
        <f>INDEX([1]!crudeBD.lkup[Number],MATCH(vp.tbl[[#This Row],[Crude_Breakdown]],[1]!crudeBD.lkup[Crude Breakdown],0))</f>
        <v>#REF!</v>
      </c>
      <c r="AI1196">
        <f>MONTH(vp.tbl[[#This Row],[SDate]])</f>
        <v>4</v>
      </c>
      <c r="AJ1196" s="5">
        <f>IFERROR(vp.tbl[[#This Row],[Sulf]]*vp.tbl[[#This Row],[Net Dens]],"")</f>
        <v>1013858.9536361999</v>
      </c>
      <c r="AK1196" s="5">
        <f>IFERROR(vp.tbl[[#This Row],[Dens]]*vp.tbl[[#This Row],[VolumeM3]],"")</f>
        <v>479592.69329999998</v>
      </c>
      <c r="AL1196" s="5">
        <f>IFERROR(vp.tbl[[#This Row],[VP]]*vp.tbl[[#This Row],[VolumeM3]],"")</f>
        <v>21905.9113</v>
      </c>
      <c r="AM1196" s="4">
        <f>IFERROR((vp.tbl[[#This Row],[VP]]-INDEX(crudeBD.lkup.complete[Mean_VP],MATCH(vp.tbl[[#This Row],[Crude_Breakdown]],crudeBD.lkup.complete[Crude Breakdown],0)))^2,"")</f>
        <v>780.55174516794989</v>
      </c>
      <c r="AN1196" s="4">
        <f>IFERROR((vp.tbl[[#This Row],[Dens]]-INDEX(crudeBD.lkup.complete[Mean_Dens],MATCH(vp.tbl[[#This Row],[Crude_Breakdown]],crudeBD.lkup.complete[Crude Breakdown],0)))^2,"")</f>
        <v>22.54298367423776</v>
      </c>
      <c r="AO1196" s="4">
        <f>IFERROR((vp.tbl[[#This Row],[Sulf]]-INDEX(crudeBD.lkup.complete[Mean_Sulf],MATCH(vp.tbl[[#This Row],[Crude_Breakdown]],crudeBD.lkup.complete[Crude Breakdown],0)))^2,"")</f>
        <v>9.0805878158922201E-2</v>
      </c>
      <c r="AP1196">
        <f>IF(AND(vp.tbl[[#This Row],[SDate]]&gt;=DATE(YEAR(vp.tbl[[#This Row],[SDate]]),5,1),vp.tbl[[#This Row],[SDate]]&lt;=DATE(YEAR(vp.tbl[[#This Row],[SDate]]),9,15)),1,0)</f>
        <v>0</v>
      </c>
      <c r="AQ1196" s="15">
        <f>IF(vp.tbl[[#This Row],[SDate]]&lt;DATE(2016,12,1),0,1)</f>
        <v>1</v>
      </c>
    </row>
    <row r="1197" spans="1:43" x14ac:dyDescent="0.25">
      <c r="A1197">
        <v>1196</v>
      </c>
      <c r="B1197" t="s">
        <v>49</v>
      </c>
      <c r="C1197" t="s">
        <v>49</v>
      </c>
      <c r="D1197" t="s">
        <v>102</v>
      </c>
      <c r="F1197" s="1">
        <v>42834</v>
      </c>
      <c r="G1197" s="2">
        <v>49.1</v>
      </c>
      <c r="H1197" s="2">
        <v>2.2639999999999998</v>
      </c>
      <c r="I1197" s="2">
        <v>2.2639999999999998</v>
      </c>
      <c r="J1197" s="2">
        <v>31.4</v>
      </c>
      <c r="K1197" s="2">
        <v>8</v>
      </c>
      <c r="L1197" s="2">
        <v>887.7</v>
      </c>
      <c r="M1197" s="2">
        <v>887.7</v>
      </c>
      <c r="N1197" s="2">
        <f ca="1">INDEX(INDIRECT(_xlfn.CONCAT("weather.tbl[",N$1,"]")),MATCH(vp.tbl[[#This Row],[SDate]],weather.tbl[Date],0))</f>
        <v>2.6666666666666665</v>
      </c>
      <c r="O1197" s="2">
        <f ca="1">INDEX(INDIRECT(_xlfn.CONCAT("weather.tbl[",O$1,"]")),MATCH(vp.tbl[[#This Row],[SDate]],weather.tbl[Date],0))</f>
        <v>6.7261904761904754</v>
      </c>
      <c r="P1197" s="2">
        <f ca="1">INDEX(INDIRECT(_xlfn.CONCAT("weather.tbl[",P$1,"]")),MATCH(vp.tbl[[#This Row],[SDate]],weather.tbl[Date],0))</f>
        <v>2.2999999999999998</v>
      </c>
      <c r="Q1197" s="2">
        <f ca="1">INDEX(INDIRECT(_xlfn.CONCAT("weather.tbl[",Q$1,"]")),MATCH(vp.tbl[[#This Row],[SDate]],weather.tbl[Date],0))</f>
        <v>0.6</v>
      </c>
      <c r="R1197" s="2">
        <f ca="1">INDEX(INDIRECT(_xlfn.CONCAT("weather.tbl[",R$1,"]")),MATCH(vp.tbl[[#This Row],[SDate]],weather.tbl[Date],0))</f>
        <v>13</v>
      </c>
      <c r="S1197" s="2">
        <f ca="1">INDEX(INDIRECT(_xlfn.CONCAT("weather.tbl[",S$1,"]")),MATCH(vp.tbl[[#This Row],[SDate]],weather.tbl[Date],0))</f>
        <v>-1</v>
      </c>
      <c r="T1197" s="2">
        <f ca="1">INDEX(INDIRECT(_xlfn.CONCAT("weather.tbl[",T$1,"]")),MATCH(vp.tbl[[#This Row],[SDate]],weather.tbl[Date],0))</f>
        <v>1.9</v>
      </c>
      <c r="U1197" s="2">
        <f ca="1">INDEX(INDIRECT(_xlfn.CONCAT("weather.tbl[",U$1,"]")),MATCH(vp.tbl[[#This Row],[SDate]],weather.tbl[Date],0))</f>
        <v>-0.8</v>
      </c>
      <c r="V1197" s="2">
        <v>1712.0139999999999</v>
      </c>
      <c r="W1197" t="s">
        <v>48</v>
      </c>
      <c r="X1197">
        <f>IF(OR(vp.tbl[[#This Row],[Sulf]]="",vp.tbl[[#This Row],[Dens]]=""),1,0)</f>
        <v>0</v>
      </c>
      <c r="Y1197">
        <f>IF(vp.tbl[[#This Row],[CrudeType]]="C5+",1,0)</f>
        <v>0</v>
      </c>
      <c r="Z1197">
        <f>IF(AND(vp.tbl[[#This Row],[CrudeType]]="Crude",vp.tbl[[#This Row],[Dens]]&lt;=825,vp.tbl[[#This Row],[Sulf]]&gt;0.5,vp.tbl[[#This Row],[Unknown]]=0),1,0)</f>
        <v>0</v>
      </c>
      <c r="AA1197">
        <f>IF(AND(vp.tbl[[#This Row],[CrudeType]]="Crude",vp.tbl[[#This Row],[Dens]]&lt;=825,vp.tbl[[#This Row],[Sulf]]&lt;=0.5,vp.tbl[[#This Row],[Unknown]]=0),1,0)</f>
        <v>0</v>
      </c>
      <c r="AB1197">
        <f>IF(AND(vp.tbl[[#This Row],[CrudeType]]="Crude",vp.tbl[[#This Row],[Dens]]&gt;825,vp.tbl[[#This Row],[Dens]]&lt;=870,vp.tbl[[#This Row],[Sulf]]&gt;0.5,vp.tbl[[#This Row],[Unknown]]=0),1,0)</f>
        <v>0</v>
      </c>
      <c r="AC1197">
        <f>IF(AND(vp.tbl[[#This Row],[CrudeType]]="Crude",vp.tbl[[#This Row],[Dens]]&gt;825,vp.tbl[[#This Row],[Dens]]&lt;=900,vp.tbl[[#This Row],[Sulf]]&lt;=0.5,vp.tbl[[#This Row],[Unknown]]=0),1,0)</f>
        <v>0</v>
      </c>
      <c r="AD1197">
        <f>IF(AND(vp.tbl[[#This Row],[CrudeType]]="Crude",vp.tbl[[#This Row],[Dens]]&gt;870,vp.tbl[[#This Row],[Dens]]&lt;=900,vp.tbl[[#This Row],[Sulf]]&gt;0.5,vp.tbl[[#This Row],[Unknown]]=0),1,0)</f>
        <v>1</v>
      </c>
      <c r="AE1197">
        <f>IF(AND(vp.tbl[[#This Row],[CrudeType]]="Crude",vp.tbl[[#This Row],[Dens]]&gt;900,vp.tbl[[#This Row],[Sulf]]&lt;=0.5,vp.tbl[[#This Row],[Unknown]]=0),1,0)</f>
        <v>0</v>
      </c>
      <c r="AF1197">
        <f>IF(AND(vp.tbl[[#This Row],[CrudeType]]="Crude",vp.tbl[[#This Row],[Dens]]&gt;900,vp.tbl[[#This Row],[Sulf]]&lt;=0.5,vp.tbl[[#This Row],[Unknown]]=0),1,0)</f>
        <v>0</v>
      </c>
      <c r="AG1197" t="str">
        <f>INDEX(vp.tbl[[#Headers],[Unknown]:[Heavy_SW]],MATCH(1,vp.tbl[[#This Row],[Unknown]:[Heavy_SW]],0))</f>
        <v>Midale</v>
      </c>
      <c r="AH1197" t="e">
        <f>INDEX([1]!crudeBD.lkup[Number],MATCH(vp.tbl[[#This Row],[Crude_Breakdown]],[1]!crudeBD.lkup[Crude Breakdown],0))</f>
        <v>#REF!</v>
      </c>
      <c r="AI1197">
        <f>MONTH(vp.tbl[[#This Row],[SDate]])</f>
        <v>4</v>
      </c>
      <c r="AJ1197" s="5">
        <f>IFERROR(vp.tbl[[#This Row],[Sulf]]*vp.tbl[[#This Row],[Net Dens]],"")</f>
        <v>3440724.9301391998</v>
      </c>
      <c r="AK1197" s="5">
        <f>IFERROR(vp.tbl[[#This Row],[Dens]]*vp.tbl[[#This Row],[VolumeM3]],"")</f>
        <v>1519754.8278000001</v>
      </c>
      <c r="AL1197" s="5">
        <f>IFERROR(vp.tbl[[#This Row],[VP]]*vp.tbl[[#This Row],[VolumeM3]],"")</f>
        <v>84059.887399999992</v>
      </c>
      <c r="AM1197" s="4">
        <f>IFERROR((vp.tbl[[#This Row],[VP]]-INDEX(crudeBD.lkup.complete[Mean_VP],MATCH(vp.tbl[[#This Row],[Crude_Breakdown]],crudeBD.lkup.complete[Crude Breakdown],0)))^2,"")</f>
        <v>366.27667667479869</v>
      </c>
      <c r="AN1197" s="4">
        <f>IFERROR((vp.tbl[[#This Row],[Dens]]-INDEX(crudeBD.lkup.complete[Mean_Dens],MATCH(vp.tbl[[#This Row],[Crude_Breakdown]],crudeBD.lkup.complete[Crude Breakdown],0)))^2,"")</f>
        <v>102.98079189342046</v>
      </c>
      <c r="AO1197" s="4">
        <f>IFERROR((vp.tbl[[#This Row],[Sulf]]-INDEX(crudeBD.lkup.complete[Mean_Sulf],MATCH(vp.tbl[[#This Row],[Crude_Breakdown]],crudeBD.lkup.complete[Crude Breakdown],0)))^2,"")</f>
        <v>2.2903837063032149E-2</v>
      </c>
      <c r="AP1197">
        <f>IF(AND(vp.tbl[[#This Row],[SDate]]&gt;=DATE(YEAR(vp.tbl[[#This Row],[SDate]]),5,1),vp.tbl[[#This Row],[SDate]]&lt;=DATE(YEAR(vp.tbl[[#This Row],[SDate]]),9,15)),1,0)</f>
        <v>0</v>
      </c>
      <c r="AQ1197" s="15">
        <f>IF(vp.tbl[[#This Row],[SDate]]&lt;DATE(2016,12,1),0,1)</f>
        <v>1</v>
      </c>
    </row>
    <row r="1198" spans="1:43" x14ac:dyDescent="0.25">
      <c r="A1198">
        <v>1197</v>
      </c>
      <c r="B1198" t="s">
        <v>68</v>
      </c>
      <c r="C1198" t="s">
        <v>68</v>
      </c>
      <c r="D1198" t="s">
        <v>252</v>
      </c>
      <c r="F1198" s="1">
        <v>42834</v>
      </c>
      <c r="G1198" s="2">
        <v>56.2</v>
      </c>
      <c r="H1198" s="2"/>
      <c r="I1198" s="2">
        <v>2.1800000000000002</v>
      </c>
      <c r="J1198" s="2">
        <v>26.9</v>
      </c>
      <c r="K1198" s="2">
        <v>8</v>
      </c>
      <c r="L1198" s="2">
        <v>885.1</v>
      </c>
      <c r="M1198" s="2">
        <v>885.1</v>
      </c>
      <c r="N1198" s="2">
        <f ca="1">INDEX(INDIRECT(_xlfn.CONCAT("weather.tbl[",N$1,"]")),MATCH(vp.tbl[[#This Row],[SDate]],weather.tbl[Date],0))</f>
        <v>2.6666666666666665</v>
      </c>
      <c r="O1198" s="2">
        <f ca="1">INDEX(INDIRECT(_xlfn.CONCAT("weather.tbl[",O$1,"]")),MATCH(vp.tbl[[#This Row],[SDate]],weather.tbl[Date],0))</f>
        <v>6.7261904761904754</v>
      </c>
      <c r="P1198" s="2">
        <f ca="1">INDEX(INDIRECT(_xlfn.CONCAT("weather.tbl[",P$1,"]")),MATCH(vp.tbl[[#This Row],[SDate]],weather.tbl[Date],0))</f>
        <v>2.2999999999999998</v>
      </c>
      <c r="Q1198" s="2">
        <f ca="1">INDEX(INDIRECT(_xlfn.CONCAT("weather.tbl[",Q$1,"]")),MATCH(vp.tbl[[#This Row],[SDate]],weather.tbl[Date],0))</f>
        <v>0.6</v>
      </c>
      <c r="R1198" s="2">
        <f ca="1">INDEX(INDIRECT(_xlfn.CONCAT("weather.tbl[",R$1,"]")),MATCH(vp.tbl[[#This Row],[SDate]],weather.tbl[Date],0))</f>
        <v>13</v>
      </c>
      <c r="S1198" s="2">
        <f ca="1">INDEX(INDIRECT(_xlfn.CONCAT("weather.tbl[",S$1,"]")),MATCH(vp.tbl[[#This Row],[SDate]],weather.tbl[Date],0))</f>
        <v>-1</v>
      </c>
      <c r="T1198" s="2">
        <f ca="1">INDEX(INDIRECT(_xlfn.CONCAT("weather.tbl[",T$1,"]")),MATCH(vp.tbl[[#This Row],[SDate]],weather.tbl[Date],0))</f>
        <v>1.9</v>
      </c>
      <c r="U1198" s="2">
        <f ca="1">INDEX(INDIRECT(_xlfn.CONCAT("weather.tbl[",U$1,"]")),MATCH(vp.tbl[[#This Row],[SDate]],weather.tbl[Date],0))</f>
        <v>-0.8</v>
      </c>
      <c r="V1198" s="2">
        <v>1800.854</v>
      </c>
      <c r="W1198" t="s">
        <v>48</v>
      </c>
      <c r="X1198">
        <f>IF(OR(vp.tbl[[#This Row],[Sulf]]="",vp.tbl[[#This Row],[Dens]]=""),1,0)</f>
        <v>0</v>
      </c>
      <c r="Y1198">
        <f>IF(vp.tbl[[#This Row],[CrudeType]]="C5+",1,0)</f>
        <v>0</v>
      </c>
      <c r="Z1198">
        <f>IF(AND(vp.tbl[[#This Row],[CrudeType]]="Crude",vp.tbl[[#This Row],[Dens]]&lt;=825,vp.tbl[[#This Row],[Sulf]]&gt;0.5,vp.tbl[[#This Row],[Unknown]]=0),1,0)</f>
        <v>0</v>
      </c>
      <c r="AA1198">
        <f>IF(AND(vp.tbl[[#This Row],[CrudeType]]="Crude",vp.tbl[[#This Row],[Dens]]&lt;=825,vp.tbl[[#This Row],[Sulf]]&lt;=0.5,vp.tbl[[#This Row],[Unknown]]=0),1,0)</f>
        <v>0</v>
      </c>
      <c r="AB1198">
        <f>IF(AND(vp.tbl[[#This Row],[CrudeType]]="Crude",vp.tbl[[#This Row],[Dens]]&gt;825,vp.tbl[[#This Row],[Dens]]&lt;=870,vp.tbl[[#This Row],[Sulf]]&gt;0.5,vp.tbl[[#This Row],[Unknown]]=0),1,0)</f>
        <v>0</v>
      </c>
      <c r="AC1198">
        <f>IF(AND(vp.tbl[[#This Row],[CrudeType]]="Crude",vp.tbl[[#This Row],[Dens]]&gt;825,vp.tbl[[#This Row],[Dens]]&lt;=900,vp.tbl[[#This Row],[Sulf]]&lt;=0.5,vp.tbl[[#This Row],[Unknown]]=0),1,0)</f>
        <v>0</v>
      </c>
      <c r="AD1198">
        <f>IF(AND(vp.tbl[[#This Row],[CrudeType]]="Crude",vp.tbl[[#This Row],[Dens]]&gt;870,vp.tbl[[#This Row],[Dens]]&lt;=900,vp.tbl[[#This Row],[Sulf]]&gt;0.5,vp.tbl[[#This Row],[Unknown]]=0),1,0)</f>
        <v>1</v>
      </c>
      <c r="AE1198">
        <f>IF(AND(vp.tbl[[#This Row],[CrudeType]]="Crude",vp.tbl[[#This Row],[Dens]]&gt;900,vp.tbl[[#This Row],[Sulf]]&lt;=0.5,vp.tbl[[#This Row],[Unknown]]=0),1,0)</f>
        <v>0</v>
      </c>
      <c r="AF1198">
        <f>IF(AND(vp.tbl[[#This Row],[CrudeType]]="Crude",vp.tbl[[#This Row],[Dens]]&gt;900,vp.tbl[[#This Row],[Sulf]]&lt;=0.5,vp.tbl[[#This Row],[Unknown]]=0),1,0)</f>
        <v>0</v>
      </c>
      <c r="AG1198" t="str">
        <f>INDEX(vp.tbl[[#Headers],[Unknown]:[Heavy_SW]],MATCH(1,vp.tbl[[#This Row],[Unknown]:[Heavy_SW]],0))</f>
        <v>Midale</v>
      </c>
      <c r="AH1198" t="e">
        <f>INDEX([1]!crudeBD.lkup[Number],MATCH(vp.tbl[[#This Row],[Crude_Breakdown]],[1]!crudeBD.lkup[Crude Breakdown],0))</f>
        <v>#REF!</v>
      </c>
      <c r="AI1198">
        <f>MONTH(vp.tbl[[#This Row],[SDate]])</f>
        <v>4</v>
      </c>
      <c r="AJ1198" s="5">
        <f>IFERROR(vp.tbl[[#This Row],[Sulf]]*vp.tbl[[#This Row],[Net Dens]],"")</f>
        <v>3474780.2083720001</v>
      </c>
      <c r="AK1198" s="5">
        <f>IFERROR(vp.tbl[[#This Row],[Dens]]*vp.tbl[[#This Row],[VolumeM3]],"")</f>
        <v>1593935.8754</v>
      </c>
      <c r="AL1198" s="5">
        <f>IFERROR(vp.tbl[[#This Row],[VP]]*vp.tbl[[#This Row],[VolumeM3]],"")</f>
        <v>101207.9948</v>
      </c>
      <c r="AM1198" s="4">
        <f>IFERROR((vp.tbl[[#This Row],[VP]]-INDEX(crudeBD.lkup.complete[Mean_VP],MATCH(vp.tbl[[#This Row],[Crude_Breakdown]],crudeBD.lkup.complete[Crude Breakdown],0)))^2,"")</f>
        <v>144.92201914055195</v>
      </c>
      <c r="AN1198" s="4">
        <f>IFERROR((vp.tbl[[#This Row],[Dens]]-INDEX(crudeBD.lkup.complete[Mean_Dens],MATCH(vp.tbl[[#This Row],[Crude_Breakdown]],crudeBD.lkup.complete[Crude Breakdown],0)))^2,"")</f>
        <v>56.971476824925162</v>
      </c>
      <c r="AO1198" s="4">
        <f>IFERROR((vp.tbl[[#This Row],[Sulf]]-INDEX(crudeBD.lkup.complete[Mean_Sulf],MATCH(vp.tbl[[#This Row],[Crude_Breakdown]],crudeBD.lkup.complete[Crude Breakdown],0)))^2,"")</f>
        <v>5.5384980076730435E-2</v>
      </c>
      <c r="AP1198">
        <f>IF(AND(vp.tbl[[#This Row],[SDate]]&gt;=DATE(YEAR(vp.tbl[[#This Row],[SDate]]),5,1),vp.tbl[[#This Row],[SDate]]&lt;=DATE(YEAR(vp.tbl[[#This Row],[SDate]]),9,15)),1,0)</f>
        <v>0</v>
      </c>
      <c r="AQ1198" s="15">
        <f>IF(vp.tbl[[#This Row],[SDate]]&lt;DATE(2016,12,1),0,1)</f>
        <v>1</v>
      </c>
    </row>
    <row r="1199" spans="1:43" x14ac:dyDescent="0.25">
      <c r="A1199">
        <v>1198</v>
      </c>
      <c r="B1199" t="s">
        <v>68</v>
      </c>
      <c r="C1199" t="s">
        <v>68</v>
      </c>
      <c r="D1199" t="s">
        <v>253</v>
      </c>
      <c r="F1199" s="1">
        <v>42834</v>
      </c>
      <c r="G1199" s="2">
        <v>32</v>
      </c>
      <c r="H1199" s="2"/>
      <c r="I1199" s="2">
        <v>1.96</v>
      </c>
      <c r="J1199" s="2">
        <v>32.6</v>
      </c>
      <c r="K1199" s="2">
        <v>8</v>
      </c>
      <c r="L1199" s="2">
        <v>885.7</v>
      </c>
      <c r="M1199" s="2">
        <v>885.7</v>
      </c>
      <c r="N1199" s="2">
        <f ca="1">INDEX(INDIRECT(_xlfn.CONCAT("weather.tbl[",N$1,"]")),MATCH(vp.tbl[[#This Row],[SDate]],weather.tbl[Date],0))</f>
        <v>2.6666666666666665</v>
      </c>
      <c r="O1199" s="2">
        <f ca="1">INDEX(INDIRECT(_xlfn.CONCAT("weather.tbl[",O$1,"]")),MATCH(vp.tbl[[#This Row],[SDate]],weather.tbl[Date],0))</f>
        <v>6.7261904761904754</v>
      </c>
      <c r="P1199" s="2">
        <f ca="1">INDEX(INDIRECT(_xlfn.CONCAT("weather.tbl[",P$1,"]")),MATCH(vp.tbl[[#This Row],[SDate]],weather.tbl[Date],0))</f>
        <v>2.2999999999999998</v>
      </c>
      <c r="Q1199" s="2">
        <f ca="1">INDEX(INDIRECT(_xlfn.CONCAT("weather.tbl[",Q$1,"]")),MATCH(vp.tbl[[#This Row],[SDate]],weather.tbl[Date],0))</f>
        <v>0.6</v>
      </c>
      <c r="R1199" s="2">
        <f ca="1">INDEX(INDIRECT(_xlfn.CONCAT("weather.tbl[",R$1,"]")),MATCH(vp.tbl[[#This Row],[SDate]],weather.tbl[Date],0))</f>
        <v>13</v>
      </c>
      <c r="S1199" s="2">
        <f ca="1">INDEX(INDIRECT(_xlfn.CONCAT("weather.tbl[",S$1,"]")),MATCH(vp.tbl[[#This Row],[SDate]],weather.tbl[Date],0))</f>
        <v>-1</v>
      </c>
      <c r="T1199" s="2">
        <f ca="1">INDEX(INDIRECT(_xlfn.CONCAT("weather.tbl[",T$1,"]")),MATCH(vp.tbl[[#This Row],[SDate]],weather.tbl[Date],0))</f>
        <v>1.9</v>
      </c>
      <c r="U1199" s="2">
        <f ca="1">INDEX(INDIRECT(_xlfn.CONCAT("weather.tbl[",U$1,"]")),MATCH(vp.tbl[[#This Row],[SDate]],weather.tbl[Date],0))</f>
        <v>-0.8</v>
      </c>
      <c r="V1199" s="2">
        <v>1305.3330000000001</v>
      </c>
      <c r="W1199" t="s">
        <v>48</v>
      </c>
      <c r="X1199">
        <f>IF(OR(vp.tbl[[#This Row],[Sulf]]="",vp.tbl[[#This Row],[Dens]]=""),1,0)</f>
        <v>0</v>
      </c>
      <c r="Y1199">
        <f>IF(vp.tbl[[#This Row],[CrudeType]]="C5+",1,0)</f>
        <v>0</v>
      </c>
      <c r="Z1199">
        <f>IF(AND(vp.tbl[[#This Row],[CrudeType]]="Crude",vp.tbl[[#This Row],[Dens]]&lt;=825,vp.tbl[[#This Row],[Sulf]]&gt;0.5,vp.tbl[[#This Row],[Unknown]]=0),1,0)</f>
        <v>0</v>
      </c>
      <c r="AA1199">
        <f>IF(AND(vp.tbl[[#This Row],[CrudeType]]="Crude",vp.tbl[[#This Row],[Dens]]&lt;=825,vp.tbl[[#This Row],[Sulf]]&lt;=0.5,vp.tbl[[#This Row],[Unknown]]=0),1,0)</f>
        <v>0</v>
      </c>
      <c r="AB1199">
        <f>IF(AND(vp.tbl[[#This Row],[CrudeType]]="Crude",vp.tbl[[#This Row],[Dens]]&gt;825,vp.tbl[[#This Row],[Dens]]&lt;=870,vp.tbl[[#This Row],[Sulf]]&gt;0.5,vp.tbl[[#This Row],[Unknown]]=0),1,0)</f>
        <v>0</v>
      </c>
      <c r="AC1199">
        <f>IF(AND(vp.tbl[[#This Row],[CrudeType]]="Crude",vp.tbl[[#This Row],[Dens]]&gt;825,vp.tbl[[#This Row],[Dens]]&lt;=900,vp.tbl[[#This Row],[Sulf]]&lt;=0.5,vp.tbl[[#This Row],[Unknown]]=0),1,0)</f>
        <v>0</v>
      </c>
      <c r="AD1199">
        <f>IF(AND(vp.tbl[[#This Row],[CrudeType]]="Crude",vp.tbl[[#This Row],[Dens]]&gt;870,vp.tbl[[#This Row],[Dens]]&lt;=900,vp.tbl[[#This Row],[Sulf]]&gt;0.5,vp.tbl[[#This Row],[Unknown]]=0),1,0)</f>
        <v>1</v>
      </c>
      <c r="AE1199">
        <f>IF(AND(vp.tbl[[#This Row],[CrudeType]]="Crude",vp.tbl[[#This Row],[Dens]]&gt;900,vp.tbl[[#This Row],[Sulf]]&lt;=0.5,vp.tbl[[#This Row],[Unknown]]=0),1,0)</f>
        <v>0</v>
      </c>
      <c r="AF1199">
        <f>IF(AND(vp.tbl[[#This Row],[CrudeType]]="Crude",vp.tbl[[#This Row],[Dens]]&gt;900,vp.tbl[[#This Row],[Sulf]]&lt;=0.5,vp.tbl[[#This Row],[Unknown]]=0),1,0)</f>
        <v>0</v>
      </c>
      <c r="AG1199" t="str">
        <f>INDEX(vp.tbl[[#Headers],[Unknown]:[Heavy_SW]],MATCH(1,vp.tbl[[#This Row],[Unknown]:[Heavy_SW]],0))</f>
        <v>Midale</v>
      </c>
      <c r="AH1199" t="e">
        <f>INDEX([1]!crudeBD.lkup[Number],MATCH(vp.tbl[[#This Row],[Crude_Breakdown]],[1]!crudeBD.lkup[Crude Breakdown],0))</f>
        <v>#REF!</v>
      </c>
      <c r="AI1199">
        <f>MONTH(vp.tbl[[#This Row],[SDate]])</f>
        <v>4</v>
      </c>
      <c r="AJ1199" s="5">
        <f>IFERROR(vp.tbl[[#This Row],[Sulf]]*vp.tbl[[#This Row],[Net Dens]],"")</f>
        <v>2266021.5386760002</v>
      </c>
      <c r="AK1199" s="5">
        <f>IFERROR(vp.tbl[[#This Row],[Dens]]*vp.tbl[[#This Row],[VolumeM3]],"")</f>
        <v>1156133.4381000001</v>
      </c>
      <c r="AL1199" s="5">
        <f>IFERROR(vp.tbl[[#This Row],[VP]]*vp.tbl[[#This Row],[VolumeM3]],"")</f>
        <v>41770.656000000003</v>
      </c>
      <c r="AM1199" s="4">
        <f>IFERROR((vp.tbl[[#This Row],[VP]]-INDEX(crudeBD.lkup.complete[Mean_VP],MATCH(vp.tbl[[#This Row],[Crude_Breakdown]],crudeBD.lkup.complete[Crude Breakdown],0)))^2,"")</f>
        <v>1313.2184574967171</v>
      </c>
      <c r="AN1199" s="4">
        <f>IFERROR((vp.tbl[[#This Row],[Dens]]-INDEX(crudeBD.lkup.complete[Mean_Dens],MATCH(vp.tbl[[#This Row],[Crude_Breakdown]],crudeBD.lkup.complete[Crude Breakdown],0)))^2,"")</f>
        <v>66.389011071501258</v>
      </c>
      <c r="AO1199" s="4">
        <f>IFERROR((vp.tbl[[#This Row],[Sulf]]-INDEX(crudeBD.lkup.complete[Mean_Sulf],MATCH(vp.tbl[[#This Row],[Crude_Breakdown]],crudeBD.lkup.complete[Crude Breakdown],0)))^2,"")</f>
        <v>0.20733464035070259</v>
      </c>
      <c r="AP1199">
        <f>IF(AND(vp.tbl[[#This Row],[SDate]]&gt;=DATE(YEAR(vp.tbl[[#This Row],[SDate]]),5,1),vp.tbl[[#This Row],[SDate]]&lt;=DATE(YEAR(vp.tbl[[#This Row],[SDate]]),9,15)),1,0)</f>
        <v>0</v>
      </c>
      <c r="AQ1199" s="15">
        <f>IF(vp.tbl[[#This Row],[SDate]]&lt;DATE(2016,12,1),0,1)</f>
        <v>1</v>
      </c>
    </row>
    <row r="1200" spans="1:43" x14ac:dyDescent="0.25">
      <c r="A1200">
        <v>1199</v>
      </c>
      <c r="B1200" t="s">
        <v>49</v>
      </c>
      <c r="C1200" t="s">
        <v>49</v>
      </c>
      <c r="D1200" t="s">
        <v>101</v>
      </c>
      <c r="F1200" s="1">
        <v>42835</v>
      </c>
      <c r="G1200" s="2">
        <v>67.5</v>
      </c>
      <c r="H1200" s="2">
        <v>0.30399999999999999</v>
      </c>
      <c r="I1200" s="2">
        <v>0.30399999999999999</v>
      </c>
      <c r="J1200" s="2">
        <v>13.4</v>
      </c>
      <c r="K1200" s="2">
        <v>6</v>
      </c>
      <c r="L1200" s="2">
        <v>816.2</v>
      </c>
      <c r="M1200" s="2">
        <v>816.2</v>
      </c>
      <c r="N1200" s="2">
        <f ca="1">INDEX(INDIRECT(_xlfn.CONCAT("weather.tbl[",N$1,"]")),MATCH(vp.tbl[[#This Row],[SDate]],weather.tbl[Date],0))</f>
        <v>-0.3</v>
      </c>
      <c r="O1200" s="2">
        <f ca="1">INDEX(INDIRECT(_xlfn.CONCAT("weather.tbl[",O$1,"]")),MATCH(vp.tbl[[#This Row],[SDate]],weather.tbl[Date],0))</f>
        <v>5.8857142857142852</v>
      </c>
      <c r="P1200" s="2">
        <f ca="1">INDEX(INDIRECT(_xlfn.CONCAT("weather.tbl[",P$1,"]")),MATCH(vp.tbl[[#This Row],[SDate]],weather.tbl[Date],0))</f>
        <v>0.8</v>
      </c>
      <c r="Q1200" s="2">
        <f ca="1">INDEX(INDIRECT(_xlfn.CONCAT("weather.tbl[",Q$1,"]")),MATCH(vp.tbl[[#This Row],[SDate]],weather.tbl[Date],0))</f>
        <v>0.3</v>
      </c>
      <c r="R1200" s="2">
        <f ca="1">INDEX(INDIRECT(_xlfn.CONCAT("weather.tbl[",R$1,"]")),MATCH(vp.tbl[[#This Row],[SDate]],weather.tbl[Date],0))</f>
        <v>-0.3</v>
      </c>
      <c r="S1200" s="2">
        <f ca="1">INDEX(INDIRECT(_xlfn.CONCAT("weather.tbl[",S$1,"]")),MATCH(vp.tbl[[#This Row],[SDate]],weather.tbl[Date],0))</f>
        <v>-0.7</v>
      </c>
      <c r="T1200" s="2">
        <f ca="1">INDEX(INDIRECT(_xlfn.CONCAT("weather.tbl[",T$1,"]")),MATCH(vp.tbl[[#This Row],[SDate]],weather.tbl[Date],0))</f>
        <v>-0.6</v>
      </c>
      <c r="U1200" s="2">
        <f ca="1">INDEX(INDIRECT(_xlfn.CONCAT("weather.tbl[",U$1,"]")),MATCH(vp.tbl[[#This Row],[SDate]],weather.tbl[Date],0))</f>
        <v>-1.3</v>
      </c>
      <c r="V1200" s="2">
        <v>498.88400000000001</v>
      </c>
      <c r="W1200" t="s">
        <v>48</v>
      </c>
      <c r="X1200">
        <f>IF(OR(vp.tbl[[#This Row],[Sulf]]="",vp.tbl[[#This Row],[Dens]]=""),1,0)</f>
        <v>0</v>
      </c>
      <c r="Y1200">
        <f>IF(vp.tbl[[#This Row],[CrudeType]]="C5+",1,0)</f>
        <v>0</v>
      </c>
      <c r="Z1200">
        <f>IF(AND(vp.tbl[[#This Row],[CrudeType]]="Crude",vp.tbl[[#This Row],[Dens]]&lt;=825,vp.tbl[[#This Row],[Sulf]]&gt;0.5,vp.tbl[[#This Row],[Unknown]]=0),1,0)</f>
        <v>0</v>
      </c>
      <c r="AA1200">
        <f>IF(AND(vp.tbl[[#This Row],[CrudeType]]="Crude",vp.tbl[[#This Row],[Dens]]&lt;=825,vp.tbl[[#This Row],[Sulf]]&lt;=0.5,vp.tbl[[#This Row],[Unknown]]=0),1,0)</f>
        <v>1</v>
      </c>
      <c r="AB1200">
        <f>IF(AND(vp.tbl[[#This Row],[CrudeType]]="Crude",vp.tbl[[#This Row],[Dens]]&gt;825,vp.tbl[[#This Row],[Dens]]&lt;=870,vp.tbl[[#This Row],[Sulf]]&gt;0.5,vp.tbl[[#This Row],[Unknown]]=0),1,0)</f>
        <v>0</v>
      </c>
      <c r="AC1200">
        <f>IF(AND(vp.tbl[[#This Row],[CrudeType]]="Crude",vp.tbl[[#This Row],[Dens]]&gt;825,vp.tbl[[#This Row],[Dens]]&lt;=900,vp.tbl[[#This Row],[Sulf]]&lt;=0.5,vp.tbl[[#This Row],[Unknown]]=0),1,0)</f>
        <v>0</v>
      </c>
      <c r="AD1200">
        <f>IF(AND(vp.tbl[[#This Row],[CrudeType]]="Crude",vp.tbl[[#This Row],[Dens]]&gt;870,vp.tbl[[#This Row],[Dens]]&lt;=900,vp.tbl[[#This Row],[Sulf]]&gt;0.5,vp.tbl[[#This Row],[Unknown]]=0),1,0)</f>
        <v>0</v>
      </c>
      <c r="AE1200">
        <f>IF(AND(vp.tbl[[#This Row],[CrudeType]]="Crude",vp.tbl[[#This Row],[Dens]]&gt;900,vp.tbl[[#This Row],[Sulf]]&lt;=0.5,vp.tbl[[#This Row],[Unknown]]=0),1,0)</f>
        <v>0</v>
      </c>
      <c r="AF1200">
        <f>IF(AND(vp.tbl[[#This Row],[CrudeType]]="Crude",vp.tbl[[#This Row],[Dens]]&gt;900,vp.tbl[[#This Row],[Sulf]]&lt;=0.5,vp.tbl[[#This Row],[Unknown]]=0),1,0)</f>
        <v>0</v>
      </c>
      <c r="AG1200" t="str">
        <f>INDEX(vp.tbl[[#Headers],[Unknown]:[Heavy_SW]],MATCH(1,vp.tbl[[#This Row],[Unknown]:[Heavy_SW]],0))</f>
        <v>Light_SW</v>
      </c>
      <c r="AH1200" t="e">
        <f>INDEX([1]!crudeBD.lkup[Number],MATCH(vp.tbl[[#This Row],[Crude_Breakdown]],[1]!crudeBD.lkup[Crude Breakdown],0))</f>
        <v>#REF!</v>
      </c>
      <c r="AI1200">
        <f>MONTH(vp.tbl[[#This Row],[SDate]])</f>
        <v>4</v>
      </c>
      <c r="AJ1200" s="5">
        <f>IFERROR(vp.tbl[[#This Row],[Sulf]]*vp.tbl[[#This Row],[Net Dens]],"")</f>
        <v>123785.4927232</v>
      </c>
      <c r="AK1200" s="5">
        <f>IFERROR(vp.tbl[[#This Row],[Dens]]*vp.tbl[[#This Row],[VolumeM3]],"")</f>
        <v>407189.12080000003</v>
      </c>
      <c r="AL1200" s="5">
        <f>IFERROR(vp.tbl[[#This Row],[VP]]*vp.tbl[[#This Row],[VolumeM3]],"")</f>
        <v>33674.67</v>
      </c>
      <c r="AM1200" s="4">
        <f>IFERROR((vp.tbl[[#This Row],[VP]]-INDEX(crudeBD.lkup.complete[Mean_VP],MATCH(vp.tbl[[#This Row],[Crude_Breakdown]],crudeBD.lkup.complete[Crude Breakdown],0)))^2,"")</f>
        <v>627.51821089973021</v>
      </c>
      <c r="AN1200" s="4">
        <f>IFERROR((vp.tbl[[#This Row],[Dens]]-INDEX(crudeBD.lkup.complete[Mean_Dens],MATCH(vp.tbl[[#This Row],[Crude_Breakdown]],crudeBD.lkup.complete[Crude Breakdown],0)))^2,"")</f>
        <v>62.228459736069915</v>
      </c>
      <c r="AO1200" s="4">
        <f>IFERROR((vp.tbl[[#This Row],[Sulf]]-INDEX(crudeBD.lkup.complete[Mean_Sulf],MATCH(vp.tbl[[#This Row],[Crude_Breakdown]],crudeBD.lkup.complete[Crude Breakdown],0)))^2,"")</f>
        <v>4.5911720618193935E-3</v>
      </c>
      <c r="AP1200">
        <f>IF(AND(vp.tbl[[#This Row],[SDate]]&gt;=DATE(YEAR(vp.tbl[[#This Row],[SDate]]),5,1),vp.tbl[[#This Row],[SDate]]&lt;=DATE(YEAR(vp.tbl[[#This Row],[SDate]]),9,15)),1,0)</f>
        <v>0</v>
      </c>
      <c r="AQ1200" s="15">
        <f>IF(vp.tbl[[#This Row],[SDate]]&lt;DATE(2016,12,1),0,1)</f>
        <v>1</v>
      </c>
    </row>
    <row r="1201" spans="1:43" x14ac:dyDescent="0.25">
      <c r="A1201">
        <v>1200</v>
      </c>
      <c r="B1201" t="s">
        <v>49</v>
      </c>
      <c r="C1201" t="s">
        <v>49</v>
      </c>
      <c r="D1201" t="s">
        <v>67</v>
      </c>
      <c r="F1201" s="1">
        <v>42835</v>
      </c>
      <c r="G1201" s="2">
        <v>90.6</v>
      </c>
      <c r="H1201" s="2">
        <v>0.41499999999999998</v>
      </c>
      <c r="I1201" s="2">
        <v>0.41499999999999998</v>
      </c>
      <c r="J1201" s="2">
        <v>8.1999999999999993</v>
      </c>
      <c r="K1201" s="2">
        <v>6</v>
      </c>
      <c r="L1201" s="2">
        <v>812.7</v>
      </c>
      <c r="M1201" s="2">
        <v>812.7</v>
      </c>
      <c r="N1201" s="2">
        <f ca="1">INDEX(INDIRECT(_xlfn.CONCAT("weather.tbl[",N$1,"]")),MATCH(vp.tbl[[#This Row],[SDate]],weather.tbl[Date],0))</f>
        <v>-0.3</v>
      </c>
      <c r="O1201" s="2">
        <f ca="1">INDEX(INDIRECT(_xlfn.CONCAT("weather.tbl[",O$1,"]")),MATCH(vp.tbl[[#This Row],[SDate]],weather.tbl[Date],0))</f>
        <v>5.8857142857142852</v>
      </c>
      <c r="P1201" s="2">
        <f ca="1">INDEX(INDIRECT(_xlfn.CONCAT("weather.tbl[",P$1,"]")),MATCH(vp.tbl[[#This Row],[SDate]],weather.tbl[Date],0))</f>
        <v>0.8</v>
      </c>
      <c r="Q1201" s="2">
        <f ca="1">INDEX(INDIRECT(_xlfn.CONCAT("weather.tbl[",Q$1,"]")),MATCH(vp.tbl[[#This Row],[SDate]],weather.tbl[Date],0))</f>
        <v>0.3</v>
      </c>
      <c r="R1201" s="2">
        <f ca="1">INDEX(INDIRECT(_xlfn.CONCAT("weather.tbl[",R$1,"]")),MATCH(vp.tbl[[#This Row],[SDate]],weather.tbl[Date],0))</f>
        <v>-0.3</v>
      </c>
      <c r="S1201" s="2">
        <f ca="1">INDEX(INDIRECT(_xlfn.CONCAT("weather.tbl[",S$1,"]")),MATCH(vp.tbl[[#This Row],[SDate]],weather.tbl[Date],0))</f>
        <v>-0.7</v>
      </c>
      <c r="T1201" s="2">
        <f ca="1">INDEX(INDIRECT(_xlfn.CONCAT("weather.tbl[",T$1,"]")),MATCH(vp.tbl[[#This Row],[SDate]],weather.tbl[Date],0))</f>
        <v>-0.6</v>
      </c>
      <c r="U1201" s="2">
        <f ca="1">INDEX(INDIRECT(_xlfn.CONCAT("weather.tbl[",U$1,"]")),MATCH(vp.tbl[[#This Row],[SDate]],weather.tbl[Date],0))</f>
        <v>-1.3</v>
      </c>
      <c r="V1201" s="2">
        <v>140792.67800000001</v>
      </c>
      <c r="W1201" t="s">
        <v>48</v>
      </c>
      <c r="X1201">
        <f>IF(OR(vp.tbl[[#This Row],[Sulf]]="",vp.tbl[[#This Row],[Dens]]=""),1,0)</f>
        <v>0</v>
      </c>
      <c r="Y1201">
        <f>IF(vp.tbl[[#This Row],[CrudeType]]="C5+",1,0)</f>
        <v>0</v>
      </c>
      <c r="Z1201">
        <f>IF(AND(vp.tbl[[#This Row],[CrudeType]]="Crude",vp.tbl[[#This Row],[Dens]]&lt;=825,vp.tbl[[#This Row],[Sulf]]&gt;0.5,vp.tbl[[#This Row],[Unknown]]=0),1,0)</f>
        <v>0</v>
      </c>
      <c r="AA1201">
        <f>IF(AND(vp.tbl[[#This Row],[CrudeType]]="Crude",vp.tbl[[#This Row],[Dens]]&lt;=825,vp.tbl[[#This Row],[Sulf]]&lt;=0.5,vp.tbl[[#This Row],[Unknown]]=0),1,0)</f>
        <v>1</v>
      </c>
      <c r="AB1201">
        <f>IF(AND(vp.tbl[[#This Row],[CrudeType]]="Crude",vp.tbl[[#This Row],[Dens]]&gt;825,vp.tbl[[#This Row],[Dens]]&lt;=870,vp.tbl[[#This Row],[Sulf]]&gt;0.5,vp.tbl[[#This Row],[Unknown]]=0),1,0)</f>
        <v>0</v>
      </c>
      <c r="AC1201">
        <f>IF(AND(vp.tbl[[#This Row],[CrudeType]]="Crude",vp.tbl[[#This Row],[Dens]]&gt;825,vp.tbl[[#This Row],[Dens]]&lt;=900,vp.tbl[[#This Row],[Sulf]]&lt;=0.5,vp.tbl[[#This Row],[Unknown]]=0),1,0)</f>
        <v>0</v>
      </c>
      <c r="AD1201">
        <f>IF(AND(vp.tbl[[#This Row],[CrudeType]]="Crude",vp.tbl[[#This Row],[Dens]]&gt;870,vp.tbl[[#This Row],[Dens]]&lt;=900,vp.tbl[[#This Row],[Sulf]]&gt;0.5,vp.tbl[[#This Row],[Unknown]]=0),1,0)</f>
        <v>0</v>
      </c>
      <c r="AE1201">
        <f>IF(AND(vp.tbl[[#This Row],[CrudeType]]="Crude",vp.tbl[[#This Row],[Dens]]&gt;900,vp.tbl[[#This Row],[Sulf]]&lt;=0.5,vp.tbl[[#This Row],[Unknown]]=0),1,0)</f>
        <v>0</v>
      </c>
      <c r="AF1201">
        <f>IF(AND(vp.tbl[[#This Row],[CrudeType]]="Crude",vp.tbl[[#This Row],[Dens]]&gt;900,vp.tbl[[#This Row],[Sulf]]&lt;=0.5,vp.tbl[[#This Row],[Unknown]]=0),1,0)</f>
        <v>0</v>
      </c>
      <c r="AG1201" t="str">
        <f>INDEX(vp.tbl[[#Headers],[Unknown]:[Heavy_SW]],MATCH(1,vp.tbl[[#This Row],[Unknown]:[Heavy_SW]],0))</f>
        <v>Light_SW</v>
      </c>
      <c r="AH1201" t="e">
        <f>INDEX([1]!crudeBD.lkup[Number],MATCH(vp.tbl[[#This Row],[Crude_Breakdown]],[1]!crudeBD.lkup[Crude Breakdown],0))</f>
        <v>#REF!</v>
      </c>
      <c r="AI1201">
        <f>MONTH(vp.tbl[[#This Row],[SDate]])</f>
        <v>4</v>
      </c>
      <c r="AJ1201" s="5">
        <f>IFERROR(vp.tbl[[#This Row],[Sulf]]*vp.tbl[[#This Row],[Net Dens]],"")</f>
        <v>47485216.90539901</v>
      </c>
      <c r="AK1201" s="5">
        <f>IFERROR(vp.tbl[[#This Row],[Dens]]*vp.tbl[[#This Row],[VolumeM3]],"")</f>
        <v>114422209.41060002</v>
      </c>
      <c r="AL1201" s="5">
        <f>IFERROR(vp.tbl[[#This Row],[VP]]*vp.tbl[[#This Row],[VolumeM3]],"")</f>
        <v>12755816.626800001</v>
      </c>
      <c r="AM1201" s="4">
        <f>IFERROR((vp.tbl[[#This Row],[VP]]-INDEX(crudeBD.lkup.complete[Mean_VP],MATCH(vp.tbl[[#This Row],[Crude_Breakdown]],crudeBD.lkup.complete[Crude Breakdown],0)))^2,"")</f>
        <v>3.8037230948535536</v>
      </c>
      <c r="AN1201" s="4">
        <f>IFERROR((vp.tbl[[#This Row],[Dens]]-INDEX(crudeBD.lkup.complete[Mean_Dens],MATCH(vp.tbl[[#This Row],[Crude_Breakdown]],crudeBD.lkup.complete[Crude Breakdown],0)))^2,"")</f>
        <v>19.258947540946117</v>
      </c>
      <c r="AO1201" s="4">
        <f>IFERROR((vp.tbl[[#This Row],[Sulf]]-INDEX(crudeBD.lkup.complete[Mean_Sulf],MATCH(vp.tbl[[#This Row],[Crude_Breakdown]],crudeBD.lkup.complete[Crude Breakdown],0)))^2,"")</f>
        <v>3.1954489831854262E-2</v>
      </c>
      <c r="AP1201">
        <f>IF(AND(vp.tbl[[#This Row],[SDate]]&gt;=DATE(YEAR(vp.tbl[[#This Row],[SDate]]),5,1),vp.tbl[[#This Row],[SDate]]&lt;=DATE(YEAR(vp.tbl[[#This Row],[SDate]]),9,15)),1,0)</f>
        <v>0</v>
      </c>
      <c r="AQ1201" s="15">
        <f>IF(vp.tbl[[#This Row],[SDate]]&lt;DATE(2016,12,1),0,1)</f>
        <v>1</v>
      </c>
    </row>
    <row r="1202" spans="1:43" x14ac:dyDescent="0.25">
      <c r="A1202">
        <v>1201</v>
      </c>
      <c r="B1202" t="s">
        <v>49</v>
      </c>
      <c r="C1202" t="s">
        <v>49</v>
      </c>
      <c r="D1202" t="s">
        <v>80</v>
      </c>
      <c r="F1202" s="1">
        <v>42835</v>
      </c>
      <c r="G1202" s="2">
        <v>91.2</v>
      </c>
      <c r="H1202" s="2">
        <v>0.51600000000000001</v>
      </c>
      <c r="I1202" s="2">
        <v>0.51600000000000001</v>
      </c>
      <c r="J1202" s="2">
        <v>21.1</v>
      </c>
      <c r="K1202" s="2">
        <v>6</v>
      </c>
      <c r="L1202" s="2">
        <v>814.9</v>
      </c>
      <c r="M1202" s="2">
        <v>814.9</v>
      </c>
      <c r="N1202" s="2">
        <f ca="1">INDEX(INDIRECT(_xlfn.CONCAT("weather.tbl[",N$1,"]")),MATCH(vp.tbl[[#This Row],[SDate]],weather.tbl[Date],0))</f>
        <v>-0.3</v>
      </c>
      <c r="O1202" s="2">
        <f ca="1">INDEX(INDIRECT(_xlfn.CONCAT("weather.tbl[",O$1,"]")),MATCH(vp.tbl[[#This Row],[SDate]],weather.tbl[Date],0))</f>
        <v>5.8857142857142852</v>
      </c>
      <c r="P1202" s="2">
        <f ca="1">INDEX(INDIRECT(_xlfn.CONCAT("weather.tbl[",P$1,"]")),MATCH(vp.tbl[[#This Row],[SDate]],weather.tbl[Date],0))</f>
        <v>0.8</v>
      </c>
      <c r="Q1202" s="2">
        <f ca="1">INDEX(INDIRECT(_xlfn.CONCAT("weather.tbl[",Q$1,"]")),MATCH(vp.tbl[[#This Row],[SDate]],weather.tbl[Date],0))</f>
        <v>0.3</v>
      </c>
      <c r="R1202" s="2">
        <f ca="1">INDEX(INDIRECT(_xlfn.CONCAT("weather.tbl[",R$1,"]")),MATCH(vp.tbl[[#This Row],[SDate]],weather.tbl[Date],0))</f>
        <v>-0.3</v>
      </c>
      <c r="S1202" s="2">
        <f ca="1">INDEX(INDIRECT(_xlfn.CONCAT("weather.tbl[",S$1,"]")),MATCH(vp.tbl[[#This Row],[SDate]],weather.tbl[Date],0))</f>
        <v>-0.7</v>
      </c>
      <c r="T1202" s="2">
        <f ca="1">INDEX(INDIRECT(_xlfn.CONCAT("weather.tbl[",T$1,"]")),MATCH(vp.tbl[[#This Row],[SDate]],weather.tbl[Date],0))</f>
        <v>-0.6</v>
      </c>
      <c r="U1202" s="2">
        <f ca="1">INDEX(INDIRECT(_xlfn.CONCAT("weather.tbl[",U$1,"]")),MATCH(vp.tbl[[#This Row],[SDate]],weather.tbl[Date],0))</f>
        <v>-1.3</v>
      </c>
      <c r="V1202" s="2">
        <v>21198.933000000001</v>
      </c>
      <c r="W1202" t="s">
        <v>48</v>
      </c>
      <c r="X1202">
        <f>IF(OR(vp.tbl[[#This Row],[Sulf]]="",vp.tbl[[#This Row],[Dens]]=""),1,0)</f>
        <v>0</v>
      </c>
      <c r="Y1202">
        <f>IF(vp.tbl[[#This Row],[CrudeType]]="C5+",1,0)</f>
        <v>0</v>
      </c>
      <c r="Z1202">
        <f>IF(AND(vp.tbl[[#This Row],[CrudeType]]="Crude",vp.tbl[[#This Row],[Dens]]&lt;=825,vp.tbl[[#This Row],[Sulf]]&gt;0.5,vp.tbl[[#This Row],[Unknown]]=0),1,0)</f>
        <v>1</v>
      </c>
      <c r="AA1202">
        <f>IF(AND(vp.tbl[[#This Row],[CrudeType]]="Crude",vp.tbl[[#This Row],[Dens]]&lt;=825,vp.tbl[[#This Row],[Sulf]]&lt;=0.5,vp.tbl[[#This Row],[Unknown]]=0),1,0)</f>
        <v>0</v>
      </c>
      <c r="AB1202">
        <f>IF(AND(vp.tbl[[#This Row],[CrudeType]]="Crude",vp.tbl[[#This Row],[Dens]]&gt;825,vp.tbl[[#This Row],[Dens]]&lt;=870,vp.tbl[[#This Row],[Sulf]]&gt;0.5,vp.tbl[[#This Row],[Unknown]]=0),1,0)</f>
        <v>0</v>
      </c>
      <c r="AC1202">
        <f>IF(AND(vp.tbl[[#This Row],[CrudeType]]="Crude",vp.tbl[[#This Row],[Dens]]&gt;825,vp.tbl[[#This Row],[Dens]]&lt;=900,vp.tbl[[#This Row],[Sulf]]&lt;=0.5,vp.tbl[[#This Row],[Unknown]]=0),1,0)</f>
        <v>0</v>
      </c>
      <c r="AD1202">
        <f>IF(AND(vp.tbl[[#This Row],[CrudeType]]="Crude",vp.tbl[[#This Row],[Dens]]&gt;870,vp.tbl[[#This Row],[Dens]]&lt;=900,vp.tbl[[#This Row],[Sulf]]&gt;0.5,vp.tbl[[#This Row],[Unknown]]=0),1,0)</f>
        <v>0</v>
      </c>
      <c r="AE1202">
        <f>IF(AND(vp.tbl[[#This Row],[CrudeType]]="Crude",vp.tbl[[#This Row],[Dens]]&gt;900,vp.tbl[[#This Row],[Sulf]]&lt;=0.5,vp.tbl[[#This Row],[Unknown]]=0),1,0)</f>
        <v>0</v>
      </c>
      <c r="AF1202">
        <f>IF(AND(vp.tbl[[#This Row],[CrudeType]]="Crude",vp.tbl[[#This Row],[Dens]]&gt;900,vp.tbl[[#This Row],[Sulf]]&lt;=0.5,vp.tbl[[#This Row],[Unknown]]=0),1,0)</f>
        <v>0</v>
      </c>
      <c r="AG1202" t="str">
        <f>INDEX(vp.tbl[[#Headers],[Unknown]:[Heavy_SW]],MATCH(1,vp.tbl[[#This Row],[Unknown]:[Heavy_SW]],0))</f>
        <v>Light_LSB</v>
      </c>
      <c r="AH1202" t="e">
        <f>INDEX([1]!crudeBD.lkup[Number],MATCH(vp.tbl[[#This Row],[Crude_Breakdown]],[1]!crudeBD.lkup[Crude Breakdown],0))</f>
        <v>#REF!</v>
      </c>
      <c r="AI1202">
        <f>MONTH(vp.tbl[[#This Row],[SDate]])</f>
        <v>4</v>
      </c>
      <c r="AJ1202" s="5">
        <f>IFERROR(vp.tbl[[#This Row],[Sulf]]*vp.tbl[[#This Row],[Net Dens]],"")</f>
        <v>8913905.4188771993</v>
      </c>
      <c r="AK1202" s="5">
        <f>IFERROR(vp.tbl[[#This Row],[Dens]]*vp.tbl[[#This Row],[VolumeM3]],"")</f>
        <v>17275010.501699999</v>
      </c>
      <c r="AL1202" s="5">
        <f>IFERROR(vp.tbl[[#This Row],[VP]]*vp.tbl[[#This Row],[VolumeM3]],"")</f>
        <v>1933342.6896000002</v>
      </c>
      <c r="AM1202" s="4">
        <f>IFERROR((vp.tbl[[#This Row],[VP]]-INDEX(crudeBD.lkup.complete[Mean_VP],MATCH(vp.tbl[[#This Row],[Crude_Breakdown]],crudeBD.lkup.complete[Crude Breakdown],0)))^2,"")</f>
        <v>0.11984444680626891</v>
      </c>
      <c r="AN1202" s="4">
        <f>IFERROR((vp.tbl[[#This Row],[Dens]]-INDEX(crudeBD.lkup.complete[Mean_Dens],MATCH(vp.tbl[[#This Row],[Crude_Breakdown]],crudeBD.lkup.complete[Crude Breakdown],0)))^2,"")</f>
        <v>13.081023492871147</v>
      </c>
      <c r="AO1202" s="4">
        <f>IFERROR((vp.tbl[[#This Row],[Sulf]]-INDEX(crudeBD.lkup.complete[Mean_Sulf],MATCH(vp.tbl[[#This Row],[Crude_Breakdown]],crudeBD.lkup.complete[Crude Breakdown],0)))^2,"")</f>
        <v>0.16562553189655391</v>
      </c>
      <c r="AP1202">
        <f>IF(AND(vp.tbl[[#This Row],[SDate]]&gt;=DATE(YEAR(vp.tbl[[#This Row],[SDate]]),5,1),vp.tbl[[#This Row],[SDate]]&lt;=DATE(YEAR(vp.tbl[[#This Row],[SDate]]),9,15)),1,0)</f>
        <v>0</v>
      </c>
      <c r="AQ1202" s="15">
        <f>IF(vp.tbl[[#This Row],[SDate]]&lt;DATE(2016,12,1),0,1)</f>
        <v>1</v>
      </c>
    </row>
    <row r="1203" spans="1:43" x14ac:dyDescent="0.25">
      <c r="A1203">
        <v>1202</v>
      </c>
      <c r="B1203" t="s">
        <v>49</v>
      </c>
      <c r="C1203" t="s">
        <v>49</v>
      </c>
      <c r="D1203" t="s">
        <v>89</v>
      </c>
      <c r="F1203" s="1">
        <v>42835</v>
      </c>
      <c r="G1203" s="2">
        <v>89.9</v>
      </c>
      <c r="H1203" s="2">
        <v>0.79100000000000004</v>
      </c>
      <c r="I1203" s="2">
        <v>0.79100000000000004</v>
      </c>
      <c r="J1203" s="2">
        <v>7.1</v>
      </c>
      <c r="K1203" s="2">
        <v>6</v>
      </c>
      <c r="L1203" s="2">
        <v>819.7</v>
      </c>
      <c r="M1203" s="2">
        <v>819.7</v>
      </c>
      <c r="N1203" s="2">
        <f ca="1">INDEX(INDIRECT(_xlfn.CONCAT("weather.tbl[",N$1,"]")),MATCH(vp.tbl[[#This Row],[SDate]],weather.tbl[Date],0))</f>
        <v>-0.3</v>
      </c>
      <c r="O1203" s="2">
        <f ca="1">INDEX(INDIRECT(_xlfn.CONCAT("weather.tbl[",O$1,"]")),MATCH(vp.tbl[[#This Row],[SDate]],weather.tbl[Date],0))</f>
        <v>5.8857142857142852</v>
      </c>
      <c r="P1203" s="2">
        <f ca="1">INDEX(INDIRECT(_xlfn.CONCAT("weather.tbl[",P$1,"]")),MATCH(vp.tbl[[#This Row],[SDate]],weather.tbl[Date],0))</f>
        <v>0.8</v>
      </c>
      <c r="Q1203" s="2">
        <f ca="1">INDEX(INDIRECT(_xlfn.CONCAT("weather.tbl[",Q$1,"]")),MATCH(vp.tbl[[#This Row],[SDate]],weather.tbl[Date],0))</f>
        <v>0.3</v>
      </c>
      <c r="R1203" s="2">
        <f ca="1">INDEX(INDIRECT(_xlfn.CONCAT("weather.tbl[",R$1,"]")),MATCH(vp.tbl[[#This Row],[SDate]],weather.tbl[Date],0))</f>
        <v>-0.3</v>
      </c>
      <c r="S1203" s="2">
        <f ca="1">INDEX(INDIRECT(_xlfn.CONCAT("weather.tbl[",S$1,"]")),MATCH(vp.tbl[[#This Row],[SDate]],weather.tbl[Date],0))</f>
        <v>-0.7</v>
      </c>
      <c r="T1203" s="2">
        <f ca="1">INDEX(INDIRECT(_xlfn.CONCAT("weather.tbl[",T$1,"]")),MATCH(vp.tbl[[#This Row],[SDate]],weather.tbl[Date],0))</f>
        <v>-0.6</v>
      </c>
      <c r="U1203" s="2">
        <f ca="1">INDEX(INDIRECT(_xlfn.CONCAT("weather.tbl[",U$1,"]")),MATCH(vp.tbl[[#This Row],[SDate]],weather.tbl[Date],0))</f>
        <v>-1.3</v>
      </c>
      <c r="V1203" s="2">
        <v>6439.6459999999997</v>
      </c>
      <c r="W1203" t="s">
        <v>48</v>
      </c>
      <c r="X1203">
        <f>IF(OR(vp.tbl[[#This Row],[Sulf]]="",vp.tbl[[#This Row],[Dens]]=""),1,0)</f>
        <v>0</v>
      </c>
      <c r="Y1203">
        <f>IF(vp.tbl[[#This Row],[CrudeType]]="C5+",1,0)</f>
        <v>0</v>
      </c>
      <c r="Z1203">
        <f>IF(AND(vp.tbl[[#This Row],[CrudeType]]="Crude",vp.tbl[[#This Row],[Dens]]&lt;=825,vp.tbl[[#This Row],[Sulf]]&gt;0.5,vp.tbl[[#This Row],[Unknown]]=0),1,0)</f>
        <v>1</v>
      </c>
      <c r="AA1203">
        <f>IF(AND(vp.tbl[[#This Row],[CrudeType]]="Crude",vp.tbl[[#This Row],[Dens]]&lt;=825,vp.tbl[[#This Row],[Sulf]]&lt;=0.5,vp.tbl[[#This Row],[Unknown]]=0),1,0)</f>
        <v>0</v>
      </c>
      <c r="AB1203">
        <f>IF(AND(vp.tbl[[#This Row],[CrudeType]]="Crude",vp.tbl[[#This Row],[Dens]]&gt;825,vp.tbl[[#This Row],[Dens]]&lt;=870,vp.tbl[[#This Row],[Sulf]]&gt;0.5,vp.tbl[[#This Row],[Unknown]]=0),1,0)</f>
        <v>0</v>
      </c>
      <c r="AC1203">
        <f>IF(AND(vp.tbl[[#This Row],[CrudeType]]="Crude",vp.tbl[[#This Row],[Dens]]&gt;825,vp.tbl[[#This Row],[Dens]]&lt;=900,vp.tbl[[#This Row],[Sulf]]&lt;=0.5,vp.tbl[[#This Row],[Unknown]]=0),1,0)</f>
        <v>0</v>
      </c>
      <c r="AD1203">
        <f>IF(AND(vp.tbl[[#This Row],[CrudeType]]="Crude",vp.tbl[[#This Row],[Dens]]&gt;870,vp.tbl[[#This Row],[Dens]]&lt;=900,vp.tbl[[#This Row],[Sulf]]&gt;0.5,vp.tbl[[#This Row],[Unknown]]=0),1,0)</f>
        <v>0</v>
      </c>
      <c r="AE1203">
        <f>IF(AND(vp.tbl[[#This Row],[CrudeType]]="Crude",vp.tbl[[#This Row],[Dens]]&gt;900,vp.tbl[[#This Row],[Sulf]]&lt;=0.5,vp.tbl[[#This Row],[Unknown]]=0),1,0)</f>
        <v>0</v>
      </c>
      <c r="AF1203">
        <f>IF(AND(vp.tbl[[#This Row],[CrudeType]]="Crude",vp.tbl[[#This Row],[Dens]]&gt;900,vp.tbl[[#This Row],[Sulf]]&lt;=0.5,vp.tbl[[#This Row],[Unknown]]=0),1,0)</f>
        <v>0</v>
      </c>
      <c r="AG1203" t="str">
        <f>INDEX(vp.tbl[[#Headers],[Unknown]:[Heavy_SW]],MATCH(1,vp.tbl[[#This Row],[Unknown]:[Heavy_SW]],0))</f>
        <v>Light_LSB</v>
      </c>
      <c r="AH1203" t="e">
        <f>INDEX([1]!crudeBD.lkup[Number],MATCH(vp.tbl[[#This Row],[Crude_Breakdown]],[1]!crudeBD.lkup[Crude Breakdown],0))</f>
        <v>#REF!</v>
      </c>
      <c r="AI1203">
        <f>MONTH(vp.tbl[[#This Row],[SDate]])</f>
        <v>4</v>
      </c>
      <c r="AJ1203" s="5">
        <f>IFERROR(vp.tbl[[#This Row],[Sulf]]*vp.tbl[[#This Row],[Net Dens]],"")</f>
        <v>4175355.0605242001</v>
      </c>
      <c r="AK1203" s="5">
        <f>IFERROR(vp.tbl[[#This Row],[Dens]]*vp.tbl[[#This Row],[VolumeM3]],"")</f>
        <v>5278577.8262</v>
      </c>
      <c r="AL1203" s="5">
        <f>IFERROR(vp.tbl[[#This Row],[VP]]*vp.tbl[[#This Row],[VolumeM3]],"")</f>
        <v>578924.17540000007</v>
      </c>
      <c r="AM1203" s="4">
        <f>IFERROR((vp.tbl[[#This Row],[VP]]-INDEX(crudeBD.lkup.complete[Mean_VP],MATCH(vp.tbl[[#This Row],[Crude_Breakdown]],crudeBD.lkup.complete[Crude Breakdown],0)))^2,"")</f>
        <v>2.7099269210331371</v>
      </c>
      <c r="AN1203" s="4">
        <f>IFERROR((vp.tbl[[#This Row],[Dens]]-INDEX(crudeBD.lkup.complete[Mean_Dens],MATCH(vp.tbl[[#This Row],[Crude_Breakdown]],crudeBD.lkup.complete[Crude Breakdown],0)))^2,"")</f>
        <v>1.4000338021524552</v>
      </c>
      <c r="AO1203" s="4">
        <f>IFERROR((vp.tbl[[#This Row],[Sulf]]-INDEX(crudeBD.lkup.complete[Mean_Sulf],MATCH(vp.tbl[[#This Row],[Crude_Breakdown]],crudeBD.lkup.complete[Crude Breakdown],0)))^2,"")</f>
        <v>1.7416389284870201E-2</v>
      </c>
      <c r="AP1203">
        <f>IF(AND(vp.tbl[[#This Row],[SDate]]&gt;=DATE(YEAR(vp.tbl[[#This Row],[SDate]]),5,1),vp.tbl[[#This Row],[SDate]]&lt;=DATE(YEAR(vp.tbl[[#This Row],[SDate]]),9,15)),1,0)</f>
        <v>0</v>
      </c>
      <c r="AQ1203" s="15">
        <f>IF(vp.tbl[[#This Row],[SDate]]&lt;DATE(2016,12,1),0,1)</f>
        <v>1</v>
      </c>
    </row>
    <row r="1204" spans="1:43" x14ac:dyDescent="0.25">
      <c r="A1204">
        <v>1203</v>
      </c>
      <c r="B1204" t="s">
        <v>49</v>
      </c>
      <c r="C1204" t="s">
        <v>49</v>
      </c>
      <c r="D1204" t="s">
        <v>90</v>
      </c>
      <c r="F1204" s="1">
        <v>42835</v>
      </c>
      <c r="G1204" s="2">
        <v>68.2</v>
      </c>
      <c r="H1204" s="2">
        <v>1.278</v>
      </c>
      <c r="I1204" s="2">
        <v>1.278</v>
      </c>
      <c r="J1204" s="2">
        <v>34.200000000000003</v>
      </c>
      <c r="K1204" s="2">
        <v>6</v>
      </c>
      <c r="L1204" s="2">
        <v>845.7</v>
      </c>
      <c r="M1204" s="2">
        <v>845.7</v>
      </c>
      <c r="N1204" s="2">
        <f ca="1">INDEX(INDIRECT(_xlfn.CONCAT("weather.tbl[",N$1,"]")),MATCH(vp.tbl[[#This Row],[SDate]],weather.tbl[Date],0))</f>
        <v>-0.3</v>
      </c>
      <c r="O1204" s="2">
        <f ca="1">INDEX(INDIRECT(_xlfn.CONCAT("weather.tbl[",O$1,"]")),MATCH(vp.tbl[[#This Row],[SDate]],weather.tbl[Date],0))</f>
        <v>5.8857142857142852</v>
      </c>
      <c r="P1204" s="2">
        <f ca="1">INDEX(INDIRECT(_xlfn.CONCAT("weather.tbl[",P$1,"]")),MATCH(vp.tbl[[#This Row],[SDate]],weather.tbl[Date],0))</f>
        <v>0.8</v>
      </c>
      <c r="Q1204" s="2">
        <f ca="1">INDEX(INDIRECT(_xlfn.CONCAT("weather.tbl[",Q$1,"]")),MATCH(vp.tbl[[#This Row],[SDate]],weather.tbl[Date],0))</f>
        <v>0.3</v>
      </c>
      <c r="R1204" s="2">
        <f ca="1">INDEX(INDIRECT(_xlfn.CONCAT("weather.tbl[",R$1,"]")),MATCH(vp.tbl[[#This Row],[SDate]],weather.tbl[Date],0))</f>
        <v>-0.3</v>
      </c>
      <c r="S1204" s="2">
        <f ca="1">INDEX(INDIRECT(_xlfn.CONCAT("weather.tbl[",S$1,"]")),MATCH(vp.tbl[[#This Row],[SDate]],weather.tbl[Date],0))</f>
        <v>-0.7</v>
      </c>
      <c r="T1204" s="2">
        <f ca="1">INDEX(INDIRECT(_xlfn.CONCAT("weather.tbl[",T$1,"]")),MATCH(vp.tbl[[#This Row],[SDate]],weather.tbl[Date],0))</f>
        <v>-0.6</v>
      </c>
      <c r="U1204" s="2">
        <f ca="1">INDEX(INDIRECT(_xlfn.CONCAT("weather.tbl[",U$1,"]")),MATCH(vp.tbl[[#This Row],[SDate]],weather.tbl[Date],0))</f>
        <v>-1.3</v>
      </c>
      <c r="V1204" s="2">
        <v>4080.2460000000001</v>
      </c>
      <c r="W1204" t="s">
        <v>48</v>
      </c>
      <c r="X1204">
        <f>IF(OR(vp.tbl[[#This Row],[Sulf]]="",vp.tbl[[#This Row],[Dens]]=""),1,0)</f>
        <v>0</v>
      </c>
      <c r="Y1204">
        <f>IF(vp.tbl[[#This Row],[CrudeType]]="C5+",1,0)</f>
        <v>0</v>
      </c>
      <c r="Z1204">
        <f>IF(AND(vp.tbl[[#This Row],[CrudeType]]="Crude",vp.tbl[[#This Row],[Dens]]&lt;=825,vp.tbl[[#This Row],[Sulf]]&gt;0.5,vp.tbl[[#This Row],[Unknown]]=0),1,0)</f>
        <v>0</v>
      </c>
      <c r="AA1204">
        <f>IF(AND(vp.tbl[[#This Row],[CrudeType]]="Crude",vp.tbl[[#This Row],[Dens]]&lt;=825,vp.tbl[[#This Row],[Sulf]]&lt;=0.5,vp.tbl[[#This Row],[Unknown]]=0),1,0)</f>
        <v>0</v>
      </c>
      <c r="AB1204">
        <f>IF(AND(vp.tbl[[#This Row],[CrudeType]]="Crude",vp.tbl[[#This Row],[Dens]]&gt;825,vp.tbl[[#This Row],[Dens]]&lt;=870,vp.tbl[[#This Row],[Sulf]]&gt;0.5,vp.tbl[[#This Row],[Unknown]]=0),1,0)</f>
        <v>1</v>
      </c>
      <c r="AC1204">
        <f>IF(AND(vp.tbl[[#This Row],[CrudeType]]="Crude",vp.tbl[[#This Row],[Dens]]&gt;825,vp.tbl[[#This Row],[Dens]]&lt;=900,vp.tbl[[#This Row],[Sulf]]&lt;=0.5,vp.tbl[[#This Row],[Unknown]]=0),1,0)</f>
        <v>0</v>
      </c>
      <c r="AD1204">
        <f>IF(AND(vp.tbl[[#This Row],[CrudeType]]="Crude",vp.tbl[[#This Row],[Dens]]&gt;870,vp.tbl[[#This Row],[Dens]]&lt;=900,vp.tbl[[#This Row],[Sulf]]&gt;0.5,vp.tbl[[#This Row],[Unknown]]=0),1,0)</f>
        <v>0</v>
      </c>
      <c r="AE1204">
        <f>IF(AND(vp.tbl[[#This Row],[CrudeType]]="Crude",vp.tbl[[#This Row],[Dens]]&gt;900,vp.tbl[[#This Row],[Sulf]]&lt;=0.5,vp.tbl[[#This Row],[Unknown]]=0),1,0)</f>
        <v>0</v>
      </c>
      <c r="AF1204">
        <f>IF(AND(vp.tbl[[#This Row],[CrudeType]]="Crude",vp.tbl[[#This Row],[Dens]]&gt;900,vp.tbl[[#This Row],[Sulf]]&lt;=0.5,vp.tbl[[#This Row],[Unknown]]=0),1,0)</f>
        <v>0</v>
      </c>
      <c r="AG1204" t="str">
        <f>INDEX(vp.tbl[[#Headers],[Unknown]:[Heavy_SW]],MATCH(1,vp.tbl[[#This Row],[Unknown]:[Heavy_SW]],0))</f>
        <v>Medium_LSB</v>
      </c>
      <c r="AH1204" t="e">
        <f>INDEX([1]!crudeBD.lkup[Number],MATCH(vp.tbl[[#This Row],[Crude_Breakdown]],[1]!crudeBD.lkup[Crude Breakdown],0))</f>
        <v>#REF!</v>
      </c>
      <c r="AI1204">
        <f>MONTH(vp.tbl[[#This Row],[SDate]])</f>
        <v>4</v>
      </c>
      <c r="AJ1204" s="5">
        <f>IFERROR(vp.tbl[[#This Row],[Sulf]]*vp.tbl[[#This Row],[Net Dens]],"")</f>
        <v>4409948.6459316006</v>
      </c>
      <c r="AK1204" s="5">
        <f>IFERROR(vp.tbl[[#This Row],[Dens]]*vp.tbl[[#This Row],[VolumeM3]],"")</f>
        <v>3450664.0422000005</v>
      </c>
      <c r="AL1204" s="5">
        <f>IFERROR(vp.tbl[[#This Row],[VP]]*vp.tbl[[#This Row],[VolumeM3]],"")</f>
        <v>278272.77720000001</v>
      </c>
      <c r="AM1204" s="4">
        <f>IFERROR((vp.tbl[[#This Row],[VP]]-INDEX(crudeBD.lkup.complete[Mean_VP],MATCH(vp.tbl[[#This Row],[Crude_Breakdown]],crudeBD.lkup.complete[Crude Breakdown],0)))^2,"")</f>
        <v>143.36697570837913</v>
      </c>
      <c r="AN1204" s="4">
        <f>IFERROR((vp.tbl[[#This Row],[Dens]]-INDEX(crudeBD.lkup.complete[Mean_Dens],MATCH(vp.tbl[[#This Row],[Crude_Breakdown]],crudeBD.lkup.complete[Crude Breakdown],0)))^2,"")</f>
        <v>0.16660863900100117</v>
      </c>
      <c r="AO1204" s="4">
        <f>IFERROR((vp.tbl[[#This Row],[Sulf]]-INDEX(crudeBD.lkup.complete[Mean_Sulf],MATCH(vp.tbl[[#This Row],[Crude_Breakdown]],crudeBD.lkup.complete[Crude Breakdown],0)))^2,"")</f>
        <v>3.1304175628374335E-2</v>
      </c>
      <c r="AP1204">
        <f>IF(AND(vp.tbl[[#This Row],[SDate]]&gt;=DATE(YEAR(vp.tbl[[#This Row],[SDate]]),5,1),vp.tbl[[#This Row],[SDate]]&lt;=DATE(YEAR(vp.tbl[[#This Row],[SDate]]),9,15)),1,0)</f>
        <v>0</v>
      </c>
      <c r="AQ1204" s="15">
        <f>IF(vp.tbl[[#This Row],[SDate]]&lt;DATE(2016,12,1),0,1)</f>
        <v>1</v>
      </c>
    </row>
    <row r="1205" spans="1:43" x14ac:dyDescent="0.25">
      <c r="A1205">
        <v>1204</v>
      </c>
      <c r="B1205" t="s">
        <v>62</v>
      </c>
      <c r="C1205" t="s">
        <v>62</v>
      </c>
      <c r="D1205" t="s">
        <v>79</v>
      </c>
      <c r="F1205" s="1">
        <v>42835</v>
      </c>
      <c r="G1205" s="2">
        <v>84.5</v>
      </c>
      <c r="H1205" s="2"/>
      <c r="I1205" s="2">
        <v>0.25</v>
      </c>
      <c r="J1205" s="2">
        <v>28.7</v>
      </c>
      <c r="K1205" s="2">
        <v>6</v>
      </c>
      <c r="L1205" s="2">
        <v>806</v>
      </c>
      <c r="M1205" s="2">
        <v>806</v>
      </c>
      <c r="N1205" s="2">
        <f ca="1">INDEX(INDIRECT(_xlfn.CONCAT("weather.tbl[",N$1,"]")),MATCH(vp.tbl[[#This Row],[SDate]],weather.tbl[Date],0))</f>
        <v>-0.3</v>
      </c>
      <c r="O1205" s="2">
        <f ca="1">INDEX(INDIRECT(_xlfn.CONCAT("weather.tbl[",O$1,"]")),MATCH(vp.tbl[[#This Row],[SDate]],weather.tbl[Date],0))</f>
        <v>5.8857142857142852</v>
      </c>
      <c r="P1205" s="2">
        <f ca="1">INDEX(INDIRECT(_xlfn.CONCAT("weather.tbl[",P$1,"]")),MATCH(vp.tbl[[#This Row],[SDate]],weather.tbl[Date],0))</f>
        <v>0.8</v>
      </c>
      <c r="Q1205" s="2">
        <f ca="1">INDEX(INDIRECT(_xlfn.CONCAT("weather.tbl[",Q$1,"]")),MATCH(vp.tbl[[#This Row],[SDate]],weather.tbl[Date],0))</f>
        <v>0.3</v>
      </c>
      <c r="R1205" s="2">
        <f ca="1">INDEX(INDIRECT(_xlfn.CONCAT("weather.tbl[",R$1,"]")),MATCH(vp.tbl[[#This Row],[SDate]],weather.tbl[Date],0))</f>
        <v>-0.3</v>
      </c>
      <c r="S1205" s="2">
        <f ca="1">INDEX(INDIRECT(_xlfn.CONCAT("weather.tbl[",S$1,"]")),MATCH(vp.tbl[[#This Row],[SDate]],weather.tbl[Date],0))</f>
        <v>-0.7</v>
      </c>
      <c r="T1205" s="2">
        <f ca="1">INDEX(INDIRECT(_xlfn.CONCAT("weather.tbl[",T$1,"]")),MATCH(vp.tbl[[#This Row],[SDate]],weather.tbl[Date],0))</f>
        <v>-0.6</v>
      </c>
      <c r="U1205" s="2">
        <f ca="1">INDEX(INDIRECT(_xlfn.CONCAT("weather.tbl[",U$1,"]")),MATCH(vp.tbl[[#This Row],[SDate]],weather.tbl[Date],0))</f>
        <v>-1.3</v>
      </c>
      <c r="V1205" s="2">
        <v>13021.991</v>
      </c>
      <c r="W1205" t="s">
        <v>48</v>
      </c>
      <c r="X1205">
        <f>IF(OR(vp.tbl[[#This Row],[Sulf]]="",vp.tbl[[#This Row],[Dens]]=""),1,0)</f>
        <v>0</v>
      </c>
      <c r="Y1205">
        <f>IF(vp.tbl[[#This Row],[CrudeType]]="C5+",1,0)</f>
        <v>0</v>
      </c>
      <c r="Z1205">
        <f>IF(AND(vp.tbl[[#This Row],[CrudeType]]="Crude",vp.tbl[[#This Row],[Dens]]&lt;=825,vp.tbl[[#This Row],[Sulf]]&gt;0.5,vp.tbl[[#This Row],[Unknown]]=0),1,0)</f>
        <v>0</v>
      </c>
      <c r="AA1205">
        <f>IF(AND(vp.tbl[[#This Row],[CrudeType]]="Crude",vp.tbl[[#This Row],[Dens]]&lt;=825,vp.tbl[[#This Row],[Sulf]]&lt;=0.5,vp.tbl[[#This Row],[Unknown]]=0),1,0)</f>
        <v>1</v>
      </c>
      <c r="AB1205">
        <f>IF(AND(vp.tbl[[#This Row],[CrudeType]]="Crude",vp.tbl[[#This Row],[Dens]]&gt;825,vp.tbl[[#This Row],[Dens]]&lt;=870,vp.tbl[[#This Row],[Sulf]]&gt;0.5,vp.tbl[[#This Row],[Unknown]]=0),1,0)</f>
        <v>0</v>
      </c>
      <c r="AC1205">
        <f>IF(AND(vp.tbl[[#This Row],[CrudeType]]="Crude",vp.tbl[[#This Row],[Dens]]&gt;825,vp.tbl[[#This Row],[Dens]]&lt;=900,vp.tbl[[#This Row],[Sulf]]&lt;=0.5,vp.tbl[[#This Row],[Unknown]]=0),1,0)</f>
        <v>0</v>
      </c>
      <c r="AD1205">
        <f>IF(AND(vp.tbl[[#This Row],[CrudeType]]="Crude",vp.tbl[[#This Row],[Dens]]&gt;870,vp.tbl[[#This Row],[Dens]]&lt;=900,vp.tbl[[#This Row],[Sulf]]&gt;0.5,vp.tbl[[#This Row],[Unknown]]=0),1,0)</f>
        <v>0</v>
      </c>
      <c r="AE1205">
        <f>IF(AND(vp.tbl[[#This Row],[CrudeType]]="Crude",vp.tbl[[#This Row],[Dens]]&gt;900,vp.tbl[[#This Row],[Sulf]]&lt;=0.5,vp.tbl[[#This Row],[Unknown]]=0),1,0)</f>
        <v>0</v>
      </c>
      <c r="AF1205">
        <f>IF(AND(vp.tbl[[#This Row],[CrudeType]]="Crude",vp.tbl[[#This Row],[Dens]]&gt;900,vp.tbl[[#This Row],[Sulf]]&lt;=0.5,vp.tbl[[#This Row],[Unknown]]=0),1,0)</f>
        <v>0</v>
      </c>
      <c r="AG1205" t="str">
        <f>INDEX(vp.tbl[[#Headers],[Unknown]:[Heavy_SW]],MATCH(1,vp.tbl[[#This Row],[Unknown]:[Heavy_SW]],0))</f>
        <v>Light_SW</v>
      </c>
      <c r="AH1205" t="e">
        <f>INDEX([1]!crudeBD.lkup[Number],MATCH(vp.tbl[[#This Row],[Crude_Breakdown]],[1]!crudeBD.lkup[Crude Breakdown],0))</f>
        <v>#REF!</v>
      </c>
      <c r="AI1205">
        <f>MONTH(vp.tbl[[#This Row],[SDate]])</f>
        <v>4</v>
      </c>
      <c r="AJ1205" s="5">
        <f>IFERROR(vp.tbl[[#This Row],[Sulf]]*vp.tbl[[#This Row],[Net Dens]],"")</f>
        <v>2623931.1864999998</v>
      </c>
      <c r="AK1205" s="5">
        <f>IFERROR(vp.tbl[[#This Row],[Dens]]*vp.tbl[[#This Row],[VolumeM3]],"")</f>
        <v>10495724.745999999</v>
      </c>
      <c r="AL1205" s="5">
        <f>IFERROR(vp.tbl[[#This Row],[VP]]*vp.tbl[[#This Row],[VolumeM3]],"")</f>
        <v>1100358.2394999999</v>
      </c>
      <c r="AM1205" s="4">
        <f>IFERROR((vp.tbl[[#This Row],[VP]]-INDEX(crudeBD.lkup.complete[Mean_VP],MATCH(vp.tbl[[#This Row],[Crude_Breakdown]],crudeBD.lkup.complete[Crude Breakdown],0)))^2,"")</f>
        <v>64.807548878825301</v>
      </c>
      <c r="AN1205" s="4">
        <f>IFERROR((vp.tbl[[#This Row],[Dens]]-INDEX(crudeBD.lkup.complete[Mean_Dens],MATCH(vp.tbl[[#This Row],[Crude_Breakdown]],crudeBD.lkup.complete[Crude Breakdown],0)))^2,"")</f>
        <v>5.3430241959950573</v>
      </c>
      <c r="AO1205" s="4">
        <f>IFERROR((vp.tbl[[#This Row],[Sulf]]-INDEX(crudeBD.lkup.complete[Mean_Sulf],MATCH(vp.tbl[[#This Row],[Crude_Breakdown]],crudeBD.lkup.complete[Crude Breakdown],0)))^2,"")</f>
        <v>1.8928774126188673E-4</v>
      </c>
      <c r="AP1205">
        <f>IF(AND(vp.tbl[[#This Row],[SDate]]&gt;=DATE(YEAR(vp.tbl[[#This Row],[SDate]]),5,1),vp.tbl[[#This Row],[SDate]]&lt;=DATE(YEAR(vp.tbl[[#This Row],[SDate]]),9,15)),1,0)</f>
        <v>0</v>
      </c>
      <c r="AQ1205" s="15">
        <f>IF(vp.tbl[[#This Row],[SDate]]&lt;DATE(2016,12,1),0,1)</f>
        <v>1</v>
      </c>
    </row>
    <row r="1206" spans="1:43" x14ac:dyDescent="0.25">
      <c r="A1206">
        <v>1205</v>
      </c>
      <c r="B1206" t="s">
        <v>62</v>
      </c>
      <c r="C1206" t="s">
        <v>62</v>
      </c>
      <c r="D1206" t="s">
        <v>83</v>
      </c>
      <c r="F1206" s="1">
        <v>42835</v>
      </c>
      <c r="G1206" s="2">
        <v>81.900000000000006</v>
      </c>
      <c r="H1206" s="2"/>
      <c r="I1206" s="2">
        <v>0.16</v>
      </c>
      <c r="J1206" s="2">
        <v>2.7</v>
      </c>
      <c r="K1206" s="2">
        <v>6</v>
      </c>
      <c r="L1206" s="2">
        <v>808.4</v>
      </c>
      <c r="M1206" s="2">
        <v>808.4</v>
      </c>
      <c r="N1206" s="2">
        <f ca="1">INDEX(INDIRECT(_xlfn.CONCAT("weather.tbl[",N$1,"]")),MATCH(vp.tbl[[#This Row],[SDate]],weather.tbl[Date],0))</f>
        <v>-0.3</v>
      </c>
      <c r="O1206" s="2">
        <f ca="1">INDEX(INDIRECT(_xlfn.CONCAT("weather.tbl[",O$1,"]")),MATCH(vp.tbl[[#This Row],[SDate]],weather.tbl[Date],0))</f>
        <v>5.8857142857142852</v>
      </c>
      <c r="P1206" s="2">
        <f ca="1">INDEX(INDIRECT(_xlfn.CONCAT("weather.tbl[",P$1,"]")),MATCH(vp.tbl[[#This Row],[SDate]],weather.tbl[Date],0))</f>
        <v>0.8</v>
      </c>
      <c r="Q1206" s="2">
        <f ca="1">INDEX(INDIRECT(_xlfn.CONCAT("weather.tbl[",Q$1,"]")),MATCH(vp.tbl[[#This Row],[SDate]],weather.tbl[Date],0))</f>
        <v>0.3</v>
      </c>
      <c r="R1206" s="2">
        <f ca="1">INDEX(INDIRECT(_xlfn.CONCAT("weather.tbl[",R$1,"]")),MATCH(vp.tbl[[#This Row],[SDate]],weather.tbl[Date],0))</f>
        <v>-0.3</v>
      </c>
      <c r="S1206" s="2">
        <f ca="1">INDEX(INDIRECT(_xlfn.CONCAT("weather.tbl[",S$1,"]")),MATCH(vp.tbl[[#This Row],[SDate]],weather.tbl[Date],0))</f>
        <v>-0.7</v>
      </c>
      <c r="T1206" s="2">
        <f ca="1">INDEX(INDIRECT(_xlfn.CONCAT("weather.tbl[",T$1,"]")),MATCH(vp.tbl[[#This Row],[SDate]],weather.tbl[Date],0))</f>
        <v>-0.6</v>
      </c>
      <c r="U1206" s="2">
        <f ca="1">INDEX(INDIRECT(_xlfn.CONCAT("weather.tbl[",U$1,"]")),MATCH(vp.tbl[[#This Row],[SDate]],weather.tbl[Date],0))</f>
        <v>-1.3</v>
      </c>
      <c r="V1206" s="2">
        <v>8089.0709999999999</v>
      </c>
      <c r="W1206" t="s">
        <v>48</v>
      </c>
      <c r="X1206">
        <f>IF(OR(vp.tbl[[#This Row],[Sulf]]="",vp.tbl[[#This Row],[Dens]]=""),1,0)</f>
        <v>0</v>
      </c>
      <c r="Y1206">
        <f>IF(vp.tbl[[#This Row],[CrudeType]]="C5+",1,0)</f>
        <v>0</v>
      </c>
      <c r="Z1206">
        <f>IF(AND(vp.tbl[[#This Row],[CrudeType]]="Crude",vp.tbl[[#This Row],[Dens]]&lt;=825,vp.tbl[[#This Row],[Sulf]]&gt;0.5,vp.tbl[[#This Row],[Unknown]]=0),1,0)</f>
        <v>0</v>
      </c>
      <c r="AA1206">
        <f>IF(AND(vp.tbl[[#This Row],[CrudeType]]="Crude",vp.tbl[[#This Row],[Dens]]&lt;=825,vp.tbl[[#This Row],[Sulf]]&lt;=0.5,vp.tbl[[#This Row],[Unknown]]=0),1,0)</f>
        <v>1</v>
      </c>
      <c r="AB1206">
        <f>IF(AND(vp.tbl[[#This Row],[CrudeType]]="Crude",vp.tbl[[#This Row],[Dens]]&gt;825,vp.tbl[[#This Row],[Dens]]&lt;=870,vp.tbl[[#This Row],[Sulf]]&gt;0.5,vp.tbl[[#This Row],[Unknown]]=0),1,0)</f>
        <v>0</v>
      </c>
      <c r="AC1206">
        <f>IF(AND(vp.tbl[[#This Row],[CrudeType]]="Crude",vp.tbl[[#This Row],[Dens]]&gt;825,vp.tbl[[#This Row],[Dens]]&lt;=900,vp.tbl[[#This Row],[Sulf]]&lt;=0.5,vp.tbl[[#This Row],[Unknown]]=0),1,0)</f>
        <v>0</v>
      </c>
      <c r="AD1206">
        <f>IF(AND(vp.tbl[[#This Row],[CrudeType]]="Crude",vp.tbl[[#This Row],[Dens]]&gt;870,vp.tbl[[#This Row],[Dens]]&lt;=900,vp.tbl[[#This Row],[Sulf]]&gt;0.5,vp.tbl[[#This Row],[Unknown]]=0),1,0)</f>
        <v>0</v>
      </c>
      <c r="AE1206">
        <f>IF(AND(vp.tbl[[#This Row],[CrudeType]]="Crude",vp.tbl[[#This Row],[Dens]]&gt;900,vp.tbl[[#This Row],[Sulf]]&lt;=0.5,vp.tbl[[#This Row],[Unknown]]=0),1,0)</f>
        <v>0</v>
      </c>
      <c r="AF1206">
        <f>IF(AND(vp.tbl[[#This Row],[CrudeType]]="Crude",vp.tbl[[#This Row],[Dens]]&gt;900,vp.tbl[[#This Row],[Sulf]]&lt;=0.5,vp.tbl[[#This Row],[Unknown]]=0),1,0)</f>
        <v>0</v>
      </c>
      <c r="AG1206" t="str">
        <f>INDEX(vp.tbl[[#Headers],[Unknown]:[Heavy_SW]],MATCH(1,vp.tbl[[#This Row],[Unknown]:[Heavy_SW]],0))</f>
        <v>Light_SW</v>
      </c>
      <c r="AH1206" t="e">
        <f>INDEX([1]!crudeBD.lkup[Number],MATCH(vp.tbl[[#This Row],[Crude_Breakdown]],[1]!crudeBD.lkup[Crude Breakdown],0))</f>
        <v>#REF!</v>
      </c>
      <c r="AI1206">
        <f>MONTH(vp.tbl[[#This Row],[SDate]])</f>
        <v>4</v>
      </c>
      <c r="AJ1206" s="5">
        <f>IFERROR(vp.tbl[[#This Row],[Sulf]]*vp.tbl[[#This Row],[Net Dens]],"")</f>
        <v>1046272.799424</v>
      </c>
      <c r="AK1206" s="5">
        <f>IFERROR(vp.tbl[[#This Row],[Dens]]*vp.tbl[[#This Row],[VolumeM3]],"")</f>
        <v>6539204.9963999996</v>
      </c>
      <c r="AL1206" s="5">
        <f>IFERROR(vp.tbl[[#This Row],[VP]]*vp.tbl[[#This Row],[VolumeM3]],"")</f>
        <v>662494.91490000009</v>
      </c>
      <c r="AM1206" s="4">
        <f>IFERROR((vp.tbl[[#This Row],[VP]]-INDEX(crudeBD.lkup.complete[Mean_VP],MATCH(vp.tbl[[#This Row],[Crude_Breakdown]],crudeBD.lkup.complete[Crude Breakdown],0)))^2,"")</f>
        <v>113.42917954084592</v>
      </c>
      <c r="AN1206" s="4">
        <f>IFERROR((vp.tbl[[#This Row],[Dens]]-INDEX(crudeBD.lkup.complete[Mean_Dens],MATCH(vp.tbl[[#This Row],[Crude_Breakdown]],crudeBD.lkup.complete[Crude Breakdown],0)))^2,"")</f>
        <v>7.8325583654390834E-3</v>
      </c>
      <c r="AO1206" s="4">
        <f>IFERROR((vp.tbl[[#This Row],[Sulf]]-INDEX(crudeBD.lkup.complete[Mean_Sulf],MATCH(vp.tbl[[#This Row],[Crude_Breakdown]],crudeBD.lkup.complete[Crude Breakdown],0)))^2,"")</f>
        <v>5.8128138736660397E-3</v>
      </c>
      <c r="AP1206">
        <f>IF(AND(vp.tbl[[#This Row],[SDate]]&gt;=DATE(YEAR(vp.tbl[[#This Row],[SDate]]),5,1),vp.tbl[[#This Row],[SDate]]&lt;=DATE(YEAR(vp.tbl[[#This Row],[SDate]]),9,15)),1,0)</f>
        <v>0</v>
      </c>
      <c r="AQ1206" s="15">
        <f>IF(vp.tbl[[#This Row],[SDate]]&lt;DATE(2016,12,1),0,1)</f>
        <v>1</v>
      </c>
    </row>
    <row r="1207" spans="1:43" x14ac:dyDescent="0.25">
      <c r="A1207">
        <v>1206</v>
      </c>
      <c r="B1207" t="s">
        <v>62</v>
      </c>
      <c r="C1207" t="s">
        <v>62</v>
      </c>
      <c r="D1207" t="s">
        <v>87</v>
      </c>
      <c r="F1207" s="1">
        <v>42835</v>
      </c>
      <c r="G1207" s="2">
        <v>77.5</v>
      </c>
      <c r="H1207" s="2"/>
      <c r="I1207" s="2">
        <v>0.17</v>
      </c>
      <c r="J1207" s="2">
        <v>28.8</v>
      </c>
      <c r="K1207" s="2">
        <v>6</v>
      </c>
      <c r="L1207" s="2">
        <v>811.3</v>
      </c>
      <c r="M1207" s="2">
        <v>811.3</v>
      </c>
      <c r="N1207" s="2">
        <f ca="1">INDEX(INDIRECT(_xlfn.CONCAT("weather.tbl[",N$1,"]")),MATCH(vp.tbl[[#This Row],[SDate]],weather.tbl[Date],0))</f>
        <v>-0.3</v>
      </c>
      <c r="O1207" s="2">
        <f ca="1">INDEX(INDIRECT(_xlfn.CONCAT("weather.tbl[",O$1,"]")),MATCH(vp.tbl[[#This Row],[SDate]],weather.tbl[Date],0))</f>
        <v>5.8857142857142852</v>
      </c>
      <c r="P1207" s="2">
        <f ca="1">INDEX(INDIRECT(_xlfn.CONCAT("weather.tbl[",P$1,"]")),MATCH(vp.tbl[[#This Row],[SDate]],weather.tbl[Date],0))</f>
        <v>0.8</v>
      </c>
      <c r="Q1207" s="2">
        <f ca="1">INDEX(INDIRECT(_xlfn.CONCAT("weather.tbl[",Q$1,"]")),MATCH(vp.tbl[[#This Row],[SDate]],weather.tbl[Date],0))</f>
        <v>0.3</v>
      </c>
      <c r="R1207" s="2">
        <f ca="1">INDEX(INDIRECT(_xlfn.CONCAT("weather.tbl[",R$1,"]")),MATCH(vp.tbl[[#This Row],[SDate]],weather.tbl[Date],0))</f>
        <v>-0.3</v>
      </c>
      <c r="S1207" s="2">
        <f ca="1">INDEX(INDIRECT(_xlfn.CONCAT("weather.tbl[",S$1,"]")),MATCH(vp.tbl[[#This Row],[SDate]],weather.tbl[Date],0))</f>
        <v>-0.7</v>
      </c>
      <c r="T1207" s="2">
        <f ca="1">INDEX(INDIRECT(_xlfn.CONCAT("weather.tbl[",T$1,"]")),MATCH(vp.tbl[[#This Row],[SDate]],weather.tbl[Date],0))</f>
        <v>-0.6</v>
      </c>
      <c r="U1207" s="2">
        <f ca="1">INDEX(INDIRECT(_xlfn.CONCAT("weather.tbl[",U$1,"]")),MATCH(vp.tbl[[#This Row],[SDate]],weather.tbl[Date],0))</f>
        <v>-1.3</v>
      </c>
      <c r="V1207" s="2">
        <v>5250.2839999999997</v>
      </c>
      <c r="W1207" t="s">
        <v>48</v>
      </c>
      <c r="X1207">
        <f>IF(OR(vp.tbl[[#This Row],[Sulf]]="",vp.tbl[[#This Row],[Dens]]=""),1,0)</f>
        <v>0</v>
      </c>
      <c r="Y1207">
        <f>IF(vp.tbl[[#This Row],[CrudeType]]="C5+",1,0)</f>
        <v>0</v>
      </c>
      <c r="Z1207">
        <f>IF(AND(vp.tbl[[#This Row],[CrudeType]]="Crude",vp.tbl[[#This Row],[Dens]]&lt;=825,vp.tbl[[#This Row],[Sulf]]&gt;0.5,vp.tbl[[#This Row],[Unknown]]=0),1,0)</f>
        <v>0</v>
      </c>
      <c r="AA1207">
        <f>IF(AND(vp.tbl[[#This Row],[CrudeType]]="Crude",vp.tbl[[#This Row],[Dens]]&lt;=825,vp.tbl[[#This Row],[Sulf]]&lt;=0.5,vp.tbl[[#This Row],[Unknown]]=0),1,0)</f>
        <v>1</v>
      </c>
      <c r="AB1207">
        <f>IF(AND(vp.tbl[[#This Row],[CrudeType]]="Crude",vp.tbl[[#This Row],[Dens]]&gt;825,vp.tbl[[#This Row],[Dens]]&lt;=870,vp.tbl[[#This Row],[Sulf]]&gt;0.5,vp.tbl[[#This Row],[Unknown]]=0),1,0)</f>
        <v>0</v>
      </c>
      <c r="AC1207">
        <f>IF(AND(vp.tbl[[#This Row],[CrudeType]]="Crude",vp.tbl[[#This Row],[Dens]]&gt;825,vp.tbl[[#This Row],[Dens]]&lt;=900,vp.tbl[[#This Row],[Sulf]]&lt;=0.5,vp.tbl[[#This Row],[Unknown]]=0),1,0)</f>
        <v>0</v>
      </c>
      <c r="AD1207">
        <f>IF(AND(vp.tbl[[#This Row],[CrudeType]]="Crude",vp.tbl[[#This Row],[Dens]]&gt;870,vp.tbl[[#This Row],[Dens]]&lt;=900,vp.tbl[[#This Row],[Sulf]]&gt;0.5,vp.tbl[[#This Row],[Unknown]]=0),1,0)</f>
        <v>0</v>
      </c>
      <c r="AE1207">
        <f>IF(AND(vp.tbl[[#This Row],[CrudeType]]="Crude",vp.tbl[[#This Row],[Dens]]&gt;900,vp.tbl[[#This Row],[Sulf]]&lt;=0.5,vp.tbl[[#This Row],[Unknown]]=0),1,0)</f>
        <v>0</v>
      </c>
      <c r="AF1207">
        <f>IF(AND(vp.tbl[[#This Row],[CrudeType]]="Crude",vp.tbl[[#This Row],[Dens]]&gt;900,vp.tbl[[#This Row],[Sulf]]&lt;=0.5,vp.tbl[[#This Row],[Unknown]]=0),1,0)</f>
        <v>0</v>
      </c>
      <c r="AG1207" t="str">
        <f>INDEX(vp.tbl[[#Headers],[Unknown]:[Heavy_SW]],MATCH(1,vp.tbl[[#This Row],[Unknown]:[Heavy_SW]],0))</f>
        <v>Light_SW</v>
      </c>
      <c r="AH1207" t="e">
        <f>INDEX([1]!crudeBD.lkup[Number],MATCH(vp.tbl[[#This Row],[Crude_Breakdown]],[1]!crudeBD.lkup[Crude Breakdown],0))</f>
        <v>#REF!</v>
      </c>
      <c r="AI1207">
        <f>MONTH(vp.tbl[[#This Row],[SDate]])</f>
        <v>4</v>
      </c>
      <c r="AJ1207" s="5">
        <f>IFERROR(vp.tbl[[#This Row],[Sulf]]*vp.tbl[[#This Row],[Net Dens]],"")</f>
        <v>724124.41956399998</v>
      </c>
      <c r="AK1207" s="5">
        <f>IFERROR(vp.tbl[[#This Row],[Dens]]*vp.tbl[[#This Row],[VolumeM3]],"")</f>
        <v>4259555.4091999996</v>
      </c>
      <c r="AL1207" s="5">
        <f>IFERROR(vp.tbl[[#This Row],[VP]]*vp.tbl[[#This Row],[VolumeM3]],"")</f>
        <v>406897.00999999995</v>
      </c>
      <c r="AM1207" s="4">
        <f>IFERROR((vp.tbl[[#This Row],[VP]]-INDEX(crudeBD.lkup.complete[Mean_VP],MATCH(vp.tbl[[#This Row],[Crude_Breakdown]],crudeBD.lkup.complete[Crude Breakdown],0)))^2,"")</f>
        <v>226.51193912272731</v>
      </c>
      <c r="AN1207" s="4">
        <f>IFERROR((vp.tbl[[#This Row],[Dens]]-INDEX(crudeBD.lkup.complete[Mean_Dens],MATCH(vp.tbl[[#This Row],[Crude_Breakdown]],crudeBD.lkup.complete[Crude Breakdown],0)))^2,"")</f>
        <v>8.931142662896054</v>
      </c>
      <c r="AO1207" s="4">
        <f>IFERROR((vp.tbl[[#This Row],[Sulf]]-INDEX(crudeBD.lkup.complete[Mean_Sulf],MATCH(vp.tbl[[#This Row],[Crude_Breakdown]],crudeBD.lkup.complete[Crude Breakdown],0)))^2,"")</f>
        <v>4.3879776367322437E-3</v>
      </c>
      <c r="AP1207">
        <f>IF(AND(vp.tbl[[#This Row],[SDate]]&gt;=DATE(YEAR(vp.tbl[[#This Row],[SDate]]),5,1),vp.tbl[[#This Row],[SDate]]&lt;=DATE(YEAR(vp.tbl[[#This Row],[SDate]]),9,15)),1,0)</f>
        <v>0</v>
      </c>
      <c r="AQ1207" s="15">
        <f>IF(vp.tbl[[#This Row],[SDate]]&lt;DATE(2016,12,1),0,1)</f>
        <v>1</v>
      </c>
    </row>
    <row r="1208" spans="1:43" x14ac:dyDescent="0.25">
      <c r="A1208">
        <v>1207</v>
      </c>
      <c r="B1208" t="s">
        <v>62</v>
      </c>
      <c r="C1208" t="s">
        <v>62</v>
      </c>
      <c r="D1208" t="s">
        <v>63</v>
      </c>
      <c r="F1208" s="1">
        <v>42835</v>
      </c>
      <c r="G1208" s="2">
        <v>84.2</v>
      </c>
      <c r="H1208" s="2"/>
      <c r="I1208" s="2">
        <v>0.94</v>
      </c>
      <c r="J1208" s="2">
        <v>21.3</v>
      </c>
      <c r="K1208" s="2">
        <v>6</v>
      </c>
      <c r="L1208" s="2">
        <v>817.6</v>
      </c>
      <c r="M1208" s="2">
        <v>817.6</v>
      </c>
      <c r="N1208" s="2">
        <f ca="1">INDEX(INDIRECT(_xlfn.CONCAT("weather.tbl[",N$1,"]")),MATCH(vp.tbl[[#This Row],[SDate]],weather.tbl[Date],0))</f>
        <v>-0.3</v>
      </c>
      <c r="O1208" s="2">
        <f ca="1">INDEX(INDIRECT(_xlfn.CONCAT("weather.tbl[",O$1,"]")),MATCH(vp.tbl[[#This Row],[SDate]],weather.tbl[Date],0))</f>
        <v>5.8857142857142852</v>
      </c>
      <c r="P1208" s="2">
        <f ca="1">INDEX(INDIRECT(_xlfn.CONCAT("weather.tbl[",P$1,"]")),MATCH(vp.tbl[[#This Row],[SDate]],weather.tbl[Date],0))</f>
        <v>0.8</v>
      </c>
      <c r="Q1208" s="2">
        <f ca="1">INDEX(INDIRECT(_xlfn.CONCAT("weather.tbl[",Q$1,"]")),MATCH(vp.tbl[[#This Row],[SDate]],weather.tbl[Date],0))</f>
        <v>0.3</v>
      </c>
      <c r="R1208" s="2">
        <f ca="1">INDEX(INDIRECT(_xlfn.CONCAT("weather.tbl[",R$1,"]")),MATCH(vp.tbl[[#This Row],[SDate]],weather.tbl[Date],0))</f>
        <v>-0.3</v>
      </c>
      <c r="S1208" s="2">
        <f ca="1">INDEX(INDIRECT(_xlfn.CONCAT("weather.tbl[",S$1,"]")),MATCH(vp.tbl[[#This Row],[SDate]],weather.tbl[Date],0))</f>
        <v>-0.7</v>
      </c>
      <c r="T1208" s="2">
        <f ca="1">INDEX(INDIRECT(_xlfn.CONCAT("weather.tbl[",T$1,"]")),MATCH(vp.tbl[[#This Row],[SDate]],weather.tbl[Date],0))</f>
        <v>-0.6</v>
      </c>
      <c r="U1208" s="2">
        <f ca="1">INDEX(INDIRECT(_xlfn.CONCAT("weather.tbl[",U$1,"]")),MATCH(vp.tbl[[#This Row],[SDate]],weather.tbl[Date],0))</f>
        <v>-1.3</v>
      </c>
      <c r="V1208" s="2">
        <v>8008.9170000000004</v>
      </c>
      <c r="W1208" t="s">
        <v>48</v>
      </c>
      <c r="X1208">
        <f>IF(OR(vp.tbl[[#This Row],[Sulf]]="",vp.tbl[[#This Row],[Dens]]=""),1,0)</f>
        <v>0</v>
      </c>
      <c r="Y1208">
        <f>IF(vp.tbl[[#This Row],[CrudeType]]="C5+",1,0)</f>
        <v>0</v>
      </c>
      <c r="Z1208">
        <f>IF(AND(vp.tbl[[#This Row],[CrudeType]]="Crude",vp.tbl[[#This Row],[Dens]]&lt;=825,vp.tbl[[#This Row],[Sulf]]&gt;0.5,vp.tbl[[#This Row],[Unknown]]=0),1,0)</f>
        <v>1</v>
      </c>
      <c r="AA1208">
        <f>IF(AND(vp.tbl[[#This Row],[CrudeType]]="Crude",vp.tbl[[#This Row],[Dens]]&lt;=825,vp.tbl[[#This Row],[Sulf]]&lt;=0.5,vp.tbl[[#This Row],[Unknown]]=0),1,0)</f>
        <v>0</v>
      </c>
      <c r="AB1208">
        <f>IF(AND(vp.tbl[[#This Row],[CrudeType]]="Crude",vp.tbl[[#This Row],[Dens]]&gt;825,vp.tbl[[#This Row],[Dens]]&lt;=870,vp.tbl[[#This Row],[Sulf]]&gt;0.5,vp.tbl[[#This Row],[Unknown]]=0),1,0)</f>
        <v>0</v>
      </c>
      <c r="AC1208">
        <f>IF(AND(vp.tbl[[#This Row],[CrudeType]]="Crude",vp.tbl[[#This Row],[Dens]]&gt;825,vp.tbl[[#This Row],[Dens]]&lt;=900,vp.tbl[[#This Row],[Sulf]]&lt;=0.5,vp.tbl[[#This Row],[Unknown]]=0),1,0)</f>
        <v>0</v>
      </c>
      <c r="AD1208">
        <f>IF(AND(vp.tbl[[#This Row],[CrudeType]]="Crude",vp.tbl[[#This Row],[Dens]]&gt;870,vp.tbl[[#This Row],[Dens]]&lt;=900,vp.tbl[[#This Row],[Sulf]]&gt;0.5,vp.tbl[[#This Row],[Unknown]]=0),1,0)</f>
        <v>0</v>
      </c>
      <c r="AE1208">
        <f>IF(AND(vp.tbl[[#This Row],[CrudeType]]="Crude",vp.tbl[[#This Row],[Dens]]&gt;900,vp.tbl[[#This Row],[Sulf]]&lt;=0.5,vp.tbl[[#This Row],[Unknown]]=0),1,0)</f>
        <v>0</v>
      </c>
      <c r="AF1208">
        <f>IF(AND(vp.tbl[[#This Row],[CrudeType]]="Crude",vp.tbl[[#This Row],[Dens]]&gt;900,vp.tbl[[#This Row],[Sulf]]&lt;=0.5,vp.tbl[[#This Row],[Unknown]]=0),1,0)</f>
        <v>0</v>
      </c>
      <c r="AG1208" t="str">
        <f>INDEX(vp.tbl[[#Headers],[Unknown]:[Heavy_SW]],MATCH(1,vp.tbl[[#This Row],[Unknown]:[Heavy_SW]],0))</f>
        <v>Light_LSB</v>
      </c>
      <c r="AH1208" t="e">
        <f>INDEX([1]!crudeBD.lkup[Number],MATCH(vp.tbl[[#This Row],[Crude_Breakdown]],[1]!crudeBD.lkup[Crude Breakdown],0))</f>
        <v>#REF!</v>
      </c>
      <c r="AI1208">
        <f>MONTH(vp.tbl[[#This Row],[SDate]])</f>
        <v>4</v>
      </c>
      <c r="AJ1208" s="5">
        <f>IFERROR(vp.tbl[[#This Row],[Sulf]]*vp.tbl[[#This Row],[Net Dens]],"")</f>
        <v>6155205.1068480005</v>
      </c>
      <c r="AK1208" s="5">
        <f>IFERROR(vp.tbl[[#This Row],[Dens]]*vp.tbl[[#This Row],[VolumeM3]],"")</f>
        <v>6548090.5392000005</v>
      </c>
      <c r="AL1208" s="5">
        <f>IFERROR(vp.tbl[[#This Row],[VP]]*vp.tbl[[#This Row],[VolumeM3]],"")</f>
        <v>674350.81140000001</v>
      </c>
      <c r="AM1208" s="4">
        <f>IFERROR((vp.tbl[[#This Row],[VP]]-INDEX(crudeBD.lkup.complete[Mean_VP],MATCH(vp.tbl[[#This Row],[Crude_Breakdown]],crudeBD.lkup.complete[Crude Breakdown],0)))^2,"")</f>
        <v>53.966442384950994</v>
      </c>
      <c r="AN1208" s="4">
        <f>IFERROR((vp.tbl[[#This Row],[Dens]]-INDEX(crudeBD.lkup.complete[Mean_Dens],MATCH(vp.tbl[[#This Row],[Crude_Breakdown]],crudeBD.lkup.complete[Crude Breakdown],0)))^2,"")</f>
        <v>0.84046679184170825</v>
      </c>
      <c r="AO1208" s="4">
        <f>IFERROR((vp.tbl[[#This Row],[Sulf]]-INDEX(crudeBD.lkup.complete[Mean_Sulf],MATCH(vp.tbl[[#This Row],[Crude_Breakdown]],crudeBD.lkup.complete[Crude Breakdown],0)))^2,"")</f>
        <v>2.8998110617612668E-4</v>
      </c>
      <c r="AP1208">
        <f>IF(AND(vp.tbl[[#This Row],[SDate]]&gt;=DATE(YEAR(vp.tbl[[#This Row],[SDate]]),5,1),vp.tbl[[#This Row],[SDate]]&lt;=DATE(YEAR(vp.tbl[[#This Row],[SDate]]),9,15)),1,0)</f>
        <v>0</v>
      </c>
      <c r="AQ1208" s="15">
        <f>IF(vp.tbl[[#This Row],[SDate]]&lt;DATE(2016,12,1),0,1)</f>
        <v>1</v>
      </c>
    </row>
    <row r="1209" spans="1:43" x14ac:dyDescent="0.25">
      <c r="A1209">
        <v>1208</v>
      </c>
      <c r="B1209" t="s">
        <v>51</v>
      </c>
      <c r="C1209" t="s">
        <v>51</v>
      </c>
      <c r="D1209" t="s">
        <v>95</v>
      </c>
      <c r="F1209" s="1">
        <v>42835</v>
      </c>
      <c r="G1209" s="2">
        <v>69.099999999999994</v>
      </c>
      <c r="H1209" s="2"/>
      <c r="I1209" s="2">
        <v>1.19</v>
      </c>
      <c r="J1209" s="2">
        <v>28.4</v>
      </c>
      <c r="K1209" s="2">
        <v>6</v>
      </c>
      <c r="L1209" s="2">
        <v>841.4</v>
      </c>
      <c r="M1209" s="2">
        <v>841.4</v>
      </c>
      <c r="N1209" s="2">
        <f ca="1">INDEX(INDIRECT(_xlfn.CONCAT("weather.tbl[",N$1,"]")),MATCH(vp.tbl[[#This Row],[SDate]],weather.tbl[Date],0))</f>
        <v>-0.3</v>
      </c>
      <c r="O1209" s="2">
        <f ca="1">INDEX(INDIRECT(_xlfn.CONCAT("weather.tbl[",O$1,"]")),MATCH(vp.tbl[[#This Row],[SDate]],weather.tbl[Date],0))</f>
        <v>5.8857142857142852</v>
      </c>
      <c r="P1209" s="2">
        <f ca="1">INDEX(INDIRECT(_xlfn.CONCAT("weather.tbl[",P$1,"]")),MATCH(vp.tbl[[#This Row],[SDate]],weather.tbl[Date],0))</f>
        <v>0.8</v>
      </c>
      <c r="Q1209" s="2">
        <f ca="1">INDEX(INDIRECT(_xlfn.CONCAT("weather.tbl[",Q$1,"]")),MATCH(vp.tbl[[#This Row],[SDate]],weather.tbl[Date],0))</f>
        <v>0.3</v>
      </c>
      <c r="R1209" s="2">
        <f ca="1">INDEX(INDIRECT(_xlfn.CONCAT("weather.tbl[",R$1,"]")),MATCH(vp.tbl[[#This Row],[SDate]],weather.tbl[Date],0))</f>
        <v>-0.3</v>
      </c>
      <c r="S1209" s="2">
        <f ca="1">INDEX(INDIRECT(_xlfn.CONCAT("weather.tbl[",S$1,"]")),MATCH(vp.tbl[[#This Row],[SDate]],weather.tbl[Date],0))</f>
        <v>-0.7</v>
      </c>
      <c r="T1209" s="2">
        <f ca="1">INDEX(INDIRECT(_xlfn.CONCAT("weather.tbl[",T$1,"]")),MATCH(vp.tbl[[#This Row],[SDate]],weather.tbl[Date],0))</f>
        <v>-0.6</v>
      </c>
      <c r="U1209" s="2">
        <f ca="1">INDEX(INDIRECT(_xlfn.CONCAT("weather.tbl[",U$1,"]")),MATCH(vp.tbl[[#This Row],[SDate]],weather.tbl[Date],0))</f>
        <v>-1.3</v>
      </c>
      <c r="V1209" s="2">
        <v>6027.9970000000003</v>
      </c>
      <c r="W1209" t="s">
        <v>48</v>
      </c>
      <c r="X1209">
        <f>IF(OR(vp.tbl[[#This Row],[Sulf]]="",vp.tbl[[#This Row],[Dens]]=""),1,0)</f>
        <v>0</v>
      </c>
      <c r="Y1209">
        <f>IF(vp.tbl[[#This Row],[CrudeType]]="C5+",1,0)</f>
        <v>0</v>
      </c>
      <c r="Z1209">
        <f>IF(AND(vp.tbl[[#This Row],[CrudeType]]="Crude",vp.tbl[[#This Row],[Dens]]&lt;=825,vp.tbl[[#This Row],[Sulf]]&gt;0.5,vp.tbl[[#This Row],[Unknown]]=0),1,0)</f>
        <v>0</v>
      </c>
      <c r="AA1209">
        <f>IF(AND(vp.tbl[[#This Row],[CrudeType]]="Crude",vp.tbl[[#This Row],[Dens]]&lt;=825,vp.tbl[[#This Row],[Sulf]]&lt;=0.5,vp.tbl[[#This Row],[Unknown]]=0),1,0)</f>
        <v>0</v>
      </c>
      <c r="AB1209">
        <f>IF(AND(vp.tbl[[#This Row],[CrudeType]]="Crude",vp.tbl[[#This Row],[Dens]]&gt;825,vp.tbl[[#This Row],[Dens]]&lt;=870,vp.tbl[[#This Row],[Sulf]]&gt;0.5,vp.tbl[[#This Row],[Unknown]]=0),1,0)</f>
        <v>1</v>
      </c>
      <c r="AC1209">
        <f>IF(AND(vp.tbl[[#This Row],[CrudeType]]="Crude",vp.tbl[[#This Row],[Dens]]&gt;825,vp.tbl[[#This Row],[Dens]]&lt;=900,vp.tbl[[#This Row],[Sulf]]&lt;=0.5,vp.tbl[[#This Row],[Unknown]]=0),1,0)</f>
        <v>0</v>
      </c>
      <c r="AD1209">
        <f>IF(AND(vp.tbl[[#This Row],[CrudeType]]="Crude",vp.tbl[[#This Row],[Dens]]&gt;870,vp.tbl[[#This Row],[Dens]]&lt;=900,vp.tbl[[#This Row],[Sulf]]&gt;0.5,vp.tbl[[#This Row],[Unknown]]=0),1,0)</f>
        <v>0</v>
      </c>
      <c r="AE1209">
        <f>IF(AND(vp.tbl[[#This Row],[CrudeType]]="Crude",vp.tbl[[#This Row],[Dens]]&gt;900,vp.tbl[[#This Row],[Sulf]]&lt;=0.5,vp.tbl[[#This Row],[Unknown]]=0),1,0)</f>
        <v>0</v>
      </c>
      <c r="AF1209">
        <f>IF(AND(vp.tbl[[#This Row],[CrudeType]]="Crude",vp.tbl[[#This Row],[Dens]]&gt;900,vp.tbl[[#This Row],[Sulf]]&lt;=0.5,vp.tbl[[#This Row],[Unknown]]=0),1,0)</f>
        <v>0</v>
      </c>
      <c r="AG1209" t="str">
        <f>INDEX(vp.tbl[[#Headers],[Unknown]:[Heavy_SW]],MATCH(1,vp.tbl[[#This Row],[Unknown]:[Heavy_SW]],0))</f>
        <v>Medium_LSB</v>
      </c>
      <c r="AH1209" t="e">
        <f>INDEX([1]!crudeBD.lkup[Number],MATCH(vp.tbl[[#This Row],[Crude_Breakdown]],[1]!crudeBD.lkup[Crude Breakdown],0))</f>
        <v>#REF!</v>
      </c>
      <c r="AI1209">
        <f>MONTH(vp.tbl[[#This Row],[SDate]])</f>
        <v>4</v>
      </c>
      <c r="AJ1209" s="5">
        <f>IFERROR(vp.tbl[[#This Row],[Sulf]]*vp.tbl[[#This Row],[Net Dens]],"")</f>
        <v>6035628.4442020003</v>
      </c>
      <c r="AK1209" s="5">
        <f>IFERROR(vp.tbl[[#This Row],[Dens]]*vp.tbl[[#This Row],[VolumeM3]],"")</f>
        <v>5071956.6758000003</v>
      </c>
      <c r="AL1209" s="5">
        <f>IFERROR(vp.tbl[[#This Row],[VP]]*vp.tbl[[#This Row],[VolumeM3]],"")</f>
        <v>416534.59269999998</v>
      </c>
      <c r="AM1209" s="4">
        <f>IFERROR((vp.tbl[[#This Row],[VP]]-INDEX(crudeBD.lkup.complete[Mean_VP],MATCH(vp.tbl[[#This Row],[Crude_Breakdown]],crudeBD.lkup.complete[Crude Breakdown],0)))^2,"")</f>
        <v>122.62450482230342</v>
      </c>
      <c r="AN1209" s="4">
        <f>IFERROR((vp.tbl[[#This Row],[Dens]]-INDEX(crudeBD.lkup.complete[Mean_Dens],MATCH(vp.tbl[[#This Row],[Crude_Breakdown]],crudeBD.lkup.complete[Crude Breakdown],0)))^2,"")</f>
        <v>15.146284588359762</v>
      </c>
      <c r="AO1209" s="4">
        <f>IFERROR((vp.tbl[[#This Row],[Sulf]]-INDEX(crudeBD.lkup.complete[Mean_Sulf],MATCH(vp.tbl[[#This Row],[Crude_Breakdown]],crudeBD.lkup.complete[Crude Breakdown],0)))^2,"")</f>
        <v>7.0187831122045519E-2</v>
      </c>
      <c r="AP1209">
        <f>IF(AND(vp.tbl[[#This Row],[SDate]]&gt;=DATE(YEAR(vp.tbl[[#This Row],[SDate]]),5,1),vp.tbl[[#This Row],[SDate]]&lt;=DATE(YEAR(vp.tbl[[#This Row],[SDate]]),9,15)),1,0)</f>
        <v>0</v>
      </c>
      <c r="AQ1209" s="15">
        <f>IF(vp.tbl[[#This Row],[SDate]]&lt;DATE(2016,12,1),0,1)</f>
        <v>1</v>
      </c>
    </row>
    <row r="1210" spans="1:43" x14ac:dyDescent="0.25">
      <c r="A1210">
        <v>1209</v>
      </c>
      <c r="B1210" t="s">
        <v>60</v>
      </c>
      <c r="C1210" t="s">
        <v>60</v>
      </c>
      <c r="D1210" t="s">
        <v>61</v>
      </c>
      <c r="E1210" t="s">
        <v>73</v>
      </c>
      <c r="F1210" s="1">
        <v>42835</v>
      </c>
      <c r="G1210" s="2">
        <v>69.2</v>
      </c>
      <c r="H1210" s="2">
        <v>1.3320000000000001</v>
      </c>
      <c r="I1210" s="2">
        <v>1.3320000000000001</v>
      </c>
      <c r="J1210" s="2">
        <v>11.4</v>
      </c>
      <c r="K1210" s="2">
        <v>6</v>
      </c>
      <c r="L1210" s="2">
        <v>852.2</v>
      </c>
      <c r="M1210" s="2">
        <v>852.2</v>
      </c>
      <c r="N1210" s="2">
        <f ca="1">INDEX(INDIRECT(_xlfn.CONCAT("weather.tbl[",N$1,"]")),MATCH(vp.tbl[[#This Row],[SDate]],weather.tbl[Date],0))</f>
        <v>-0.3</v>
      </c>
      <c r="O1210" s="2">
        <f ca="1">INDEX(INDIRECT(_xlfn.CONCAT("weather.tbl[",O$1,"]")),MATCH(vp.tbl[[#This Row],[SDate]],weather.tbl[Date],0))</f>
        <v>5.8857142857142852</v>
      </c>
      <c r="P1210" s="2">
        <f ca="1">INDEX(INDIRECT(_xlfn.CONCAT("weather.tbl[",P$1,"]")),MATCH(vp.tbl[[#This Row],[SDate]],weather.tbl[Date],0))</f>
        <v>0.8</v>
      </c>
      <c r="Q1210" s="2">
        <f ca="1">INDEX(INDIRECT(_xlfn.CONCAT("weather.tbl[",Q$1,"]")),MATCH(vp.tbl[[#This Row],[SDate]],weather.tbl[Date],0))</f>
        <v>0.3</v>
      </c>
      <c r="R1210" s="2">
        <f ca="1">INDEX(INDIRECT(_xlfn.CONCAT("weather.tbl[",R$1,"]")),MATCH(vp.tbl[[#This Row],[SDate]],weather.tbl[Date],0))</f>
        <v>-0.3</v>
      </c>
      <c r="S1210" s="2">
        <f ca="1">INDEX(INDIRECT(_xlfn.CONCAT("weather.tbl[",S$1,"]")),MATCH(vp.tbl[[#This Row],[SDate]],weather.tbl[Date],0))</f>
        <v>-0.7</v>
      </c>
      <c r="T1210" s="2">
        <f ca="1">INDEX(INDIRECT(_xlfn.CONCAT("weather.tbl[",T$1,"]")),MATCH(vp.tbl[[#This Row],[SDate]],weather.tbl[Date],0))</f>
        <v>-0.6</v>
      </c>
      <c r="U1210" s="2">
        <f ca="1">INDEX(INDIRECT(_xlfn.CONCAT("weather.tbl[",U$1,"]")),MATCH(vp.tbl[[#This Row],[SDate]],weather.tbl[Date],0))</f>
        <v>-1.3</v>
      </c>
      <c r="V1210" s="2">
        <v>111869.038</v>
      </c>
      <c r="W1210" t="s">
        <v>48</v>
      </c>
      <c r="X1210">
        <f>IF(OR(vp.tbl[[#This Row],[Sulf]]="",vp.tbl[[#This Row],[Dens]]=""),1,0)</f>
        <v>0</v>
      </c>
      <c r="Y1210">
        <f>IF(vp.tbl[[#This Row],[CrudeType]]="C5+",1,0)</f>
        <v>0</v>
      </c>
      <c r="Z1210">
        <f>IF(AND(vp.tbl[[#This Row],[CrudeType]]="Crude",vp.tbl[[#This Row],[Dens]]&lt;=825,vp.tbl[[#This Row],[Sulf]]&gt;0.5,vp.tbl[[#This Row],[Unknown]]=0),1,0)</f>
        <v>0</v>
      </c>
      <c r="AA1210">
        <f>IF(AND(vp.tbl[[#This Row],[CrudeType]]="Crude",vp.tbl[[#This Row],[Dens]]&lt;=825,vp.tbl[[#This Row],[Sulf]]&lt;=0.5,vp.tbl[[#This Row],[Unknown]]=0),1,0)</f>
        <v>0</v>
      </c>
      <c r="AB1210">
        <f>IF(AND(vp.tbl[[#This Row],[CrudeType]]="Crude",vp.tbl[[#This Row],[Dens]]&gt;825,vp.tbl[[#This Row],[Dens]]&lt;=870,vp.tbl[[#This Row],[Sulf]]&gt;0.5,vp.tbl[[#This Row],[Unknown]]=0),1,0)</f>
        <v>1</v>
      </c>
      <c r="AC1210">
        <f>IF(AND(vp.tbl[[#This Row],[CrudeType]]="Crude",vp.tbl[[#This Row],[Dens]]&gt;825,vp.tbl[[#This Row],[Dens]]&lt;=900,vp.tbl[[#This Row],[Sulf]]&lt;=0.5,vp.tbl[[#This Row],[Unknown]]=0),1,0)</f>
        <v>0</v>
      </c>
      <c r="AD1210">
        <f>IF(AND(vp.tbl[[#This Row],[CrudeType]]="Crude",vp.tbl[[#This Row],[Dens]]&gt;870,vp.tbl[[#This Row],[Dens]]&lt;=900,vp.tbl[[#This Row],[Sulf]]&gt;0.5,vp.tbl[[#This Row],[Unknown]]=0),1,0)</f>
        <v>0</v>
      </c>
      <c r="AE1210">
        <f>IF(AND(vp.tbl[[#This Row],[CrudeType]]="Crude",vp.tbl[[#This Row],[Dens]]&gt;900,vp.tbl[[#This Row],[Sulf]]&lt;=0.5,vp.tbl[[#This Row],[Unknown]]=0),1,0)</f>
        <v>0</v>
      </c>
      <c r="AF1210">
        <f>IF(AND(vp.tbl[[#This Row],[CrudeType]]="Crude",vp.tbl[[#This Row],[Dens]]&gt;900,vp.tbl[[#This Row],[Sulf]]&lt;=0.5,vp.tbl[[#This Row],[Unknown]]=0),1,0)</f>
        <v>0</v>
      </c>
      <c r="AG1210" t="str">
        <f>INDEX(vp.tbl[[#Headers],[Unknown]:[Heavy_SW]],MATCH(1,vp.tbl[[#This Row],[Unknown]:[Heavy_SW]],0))</f>
        <v>Medium_LSB</v>
      </c>
      <c r="AH1210" t="e">
        <f>INDEX([1]!crudeBD.lkup[Number],MATCH(vp.tbl[[#This Row],[Crude_Breakdown]],[1]!crudeBD.lkup[Crude Breakdown],0))</f>
        <v>#REF!</v>
      </c>
      <c r="AI1210">
        <f>MONTH(vp.tbl[[#This Row],[SDate]])</f>
        <v>4</v>
      </c>
      <c r="AJ1210" s="5">
        <f>IFERROR(vp.tbl[[#This Row],[Sulf]]*vp.tbl[[#This Row],[Net Dens]],"")</f>
        <v>126985945.85255522</v>
      </c>
      <c r="AK1210" s="5">
        <f>IFERROR(vp.tbl[[#This Row],[Dens]]*vp.tbl[[#This Row],[VolumeM3]],"")</f>
        <v>95334794.183600008</v>
      </c>
      <c r="AL1210" s="5">
        <f>IFERROR(vp.tbl[[#This Row],[VP]]*vp.tbl[[#This Row],[VolumeM3]],"")</f>
        <v>7741337.4296000004</v>
      </c>
      <c r="AM1210" s="4">
        <f>IFERROR((vp.tbl[[#This Row],[VP]]-INDEX(crudeBD.lkup.complete[Mean_VP],MATCH(vp.tbl[[#This Row],[Crude_Breakdown]],crudeBD.lkup.complete[Crude Breakdown],0)))^2,"")</f>
        <v>120.41978583496147</v>
      </c>
      <c r="AN1210" s="4">
        <f>IFERROR((vp.tbl[[#This Row],[Dens]]-INDEX(crudeBD.lkup.complete[Mean_Dens],MATCH(vp.tbl[[#This Row],[Crude_Breakdown]],crudeBD.lkup.complete[Crude Breakdown],0)))^2,"")</f>
        <v>47.722912436482744</v>
      </c>
      <c r="AO1210" s="4">
        <f>IFERROR((vp.tbl[[#This Row],[Sulf]]-INDEX(crudeBD.lkup.complete[Mean_Sulf],MATCH(vp.tbl[[#This Row],[Crude_Breakdown]],crudeBD.lkup.complete[Crude Breakdown],0)))^2,"")</f>
        <v>1.5111750666348848E-2</v>
      </c>
      <c r="AP1210">
        <f>IF(AND(vp.tbl[[#This Row],[SDate]]&gt;=DATE(YEAR(vp.tbl[[#This Row],[SDate]]),5,1),vp.tbl[[#This Row],[SDate]]&lt;=DATE(YEAR(vp.tbl[[#This Row],[SDate]]),9,15)),1,0)</f>
        <v>0</v>
      </c>
      <c r="AQ1210" s="15">
        <f>IF(vp.tbl[[#This Row],[SDate]]&lt;DATE(2016,12,1),0,1)</f>
        <v>1</v>
      </c>
    </row>
    <row r="1211" spans="1:43" x14ac:dyDescent="0.25">
      <c r="A1211">
        <v>1210</v>
      </c>
      <c r="B1211" t="s">
        <v>60</v>
      </c>
      <c r="C1211" t="s">
        <v>60</v>
      </c>
      <c r="D1211" t="s">
        <v>61</v>
      </c>
      <c r="E1211" t="s">
        <v>55</v>
      </c>
      <c r="F1211" s="1">
        <v>42835</v>
      </c>
      <c r="G1211" s="2">
        <v>93</v>
      </c>
      <c r="H1211" s="2">
        <v>1.042</v>
      </c>
      <c r="I1211" s="2">
        <v>1.042</v>
      </c>
      <c r="J1211" s="2">
        <v>10.7</v>
      </c>
      <c r="K1211" s="2">
        <v>6</v>
      </c>
      <c r="L1211" s="2">
        <v>832.5</v>
      </c>
      <c r="M1211" s="2">
        <v>832.5</v>
      </c>
      <c r="N1211" s="2">
        <f ca="1">INDEX(INDIRECT(_xlfn.CONCAT("weather.tbl[",N$1,"]")),MATCH(vp.tbl[[#This Row],[SDate]],weather.tbl[Date],0))</f>
        <v>-0.3</v>
      </c>
      <c r="O1211" s="2">
        <f ca="1">INDEX(INDIRECT(_xlfn.CONCAT("weather.tbl[",O$1,"]")),MATCH(vp.tbl[[#This Row],[SDate]],weather.tbl[Date],0))</f>
        <v>5.8857142857142852</v>
      </c>
      <c r="P1211" s="2">
        <f ca="1">INDEX(INDIRECT(_xlfn.CONCAT("weather.tbl[",P$1,"]")),MATCH(vp.tbl[[#This Row],[SDate]],weather.tbl[Date],0))</f>
        <v>0.8</v>
      </c>
      <c r="Q1211" s="2">
        <f ca="1">INDEX(INDIRECT(_xlfn.CONCAT("weather.tbl[",Q$1,"]")),MATCH(vp.tbl[[#This Row],[SDate]],weather.tbl[Date],0))</f>
        <v>0.3</v>
      </c>
      <c r="R1211" s="2">
        <f ca="1">INDEX(INDIRECT(_xlfn.CONCAT("weather.tbl[",R$1,"]")),MATCH(vp.tbl[[#This Row],[SDate]],weather.tbl[Date],0))</f>
        <v>-0.3</v>
      </c>
      <c r="S1211" s="2">
        <f ca="1">INDEX(INDIRECT(_xlfn.CONCAT("weather.tbl[",S$1,"]")),MATCH(vp.tbl[[#This Row],[SDate]],weather.tbl[Date],0))</f>
        <v>-0.7</v>
      </c>
      <c r="T1211" s="2">
        <f ca="1">INDEX(INDIRECT(_xlfn.CONCAT("weather.tbl[",T$1,"]")),MATCH(vp.tbl[[#This Row],[SDate]],weather.tbl[Date],0))</f>
        <v>-0.6</v>
      </c>
      <c r="U1211" s="2">
        <f ca="1">INDEX(INDIRECT(_xlfn.CONCAT("weather.tbl[",U$1,"]")),MATCH(vp.tbl[[#This Row],[SDate]],weather.tbl[Date],0))</f>
        <v>-1.3</v>
      </c>
      <c r="V1211" s="2">
        <v>111869.038</v>
      </c>
      <c r="W1211" t="s">
        <v>48</v>
      </c>
      <c r="X1211">
        <f>IF(OR(vp.tbl[[#This Row],[Sulf]]="",vp.tbl[[#This Row],[Dens]]=""),1,0)</f>
        <v>0</v>
      </c>
      <c r="Y1211">
        <f>IF(vp.tbl[[#This Row],[CrudeType]]="C5+",1,0)</f>
        <v>0</v>
      </c>
      <c r="Z1211">
        <f>IF(AND(vp.tbl[[#This Row],[CrudeType]]="Crude",vp.tbl[[#This Row],[Dens]]&lt;=825,vp.tbl[[#This Row],[Sulf]]&gt;0.5,vp.tbl[[#This Row],[Unknown]]=0),1,0)</f>
        <v>0</v>
      </c>
      <c r="AA1211">
        <f>IF(AND(vp.tbl[[#This Row],[CrudeType]]="Crude",vp.tbl[[#This Row],[Dens]]&lt;=825,vp.tbl[[#This Row],[Sulf]]&lt;=0.5,vp.tbl[[#This Row],[Unknown]]=0),1,0)</f>
        <v>0</v>
      </c>
      <c r="AB1211">
        <f>IF(AND(vp.tbl[[#This Row],[CrudeType]]="Crude",vp.tbl[[#This Row],[Dens]]&gt;825,vp.tbl[[#This Row],[Dens]]&lt;=870,vp.tbl[[#This Row],[Sulf]]&gt;0.5,vp.tbl[[#This Row],[Unknown]]=0),1,0)</f>
        <v>1</v>
      </c>
      <c r="AC1211">
        <f>IF(AND(vp.tbl[[#This Row],[CrudeType]]="Crude",vp.tbl[[#This Row],[Dens]]&gt;825,vp.tbl[[#This Row],[Dens]]&lt;=900,vp.tbl[[#This Row],[Sulf]]&lt;=0.5,vp.tbl[[#This Row],[Unknown]]=0),1,0)</f>
        <v>0</v>
      </c>
      <c r="AD1211">
        <f>IF(AND(vp.tbl[[#This Row],[CrudeType]]="Crude",vp.tbl[[#This Row],[Dens]]&gt;870,vp.tbl[[#This Row],[Dens]]&lt;=900,vp.tbl[[#This Row],[Sulf]]&gt;0.5,vp.tbl[[#This Row],[Unknown]]=0),1,0)</f>
        <v>0</v>
      </c>
      <c r="AE1211">
        <f>IF(AND(vp.tbl[[#This Row],[CrudeType]]="Crude",vp.tbl[[#This Row],[Dens]]&gt;900,vp.tbl[[#This Row],[Sulf]]&lt;=0.5,vp.tbl[[#This Row],[Unknown]]=0),1,0)</f>
        <v>0</v>
      </c>
      <c r="AF1211">
        <f>IF(AND(vp.tbl[[#This Row],[CrudeType]]="Crude",vp.tbl[[#This Row],[Dens]]&gt;900,vp.tbl[[#This Row],[Sulf]]&lt;=0.5,vp.tbl[[#This Row],[Unknown]]=0),1,0)</f>
        <v>0</v>
      </c>
      <c r="AG1211" t="str">
        <f>INDEX(vp.tbl[[#Headers],[Unknown]:[Heavy_SW]],MATCH(1,vp.tbl[[#This Row],[Unknown]:[Heavy_SW]],0))</f>
        <v>Medium_LSB</v>
      </c>
      <c r="AH1211" t="e">
        <f>INDEX([1]!crudeBD.lkup[Number],MATCH(vp.tbl[[#This Row],[Crude_Breakdown]],[1]!crudeBD.lkup[Crude Breakdown],0))</f>
        <v>#REF!</v>
      </c>
      <c r="AI1211">
        <f>MONTH(vp.tbl[[#This Row],[SDate]])</f>
        <v>4</v>
      </c>
      <c r="AJ1211" s="5">
        <f>IFERROR(vp.tbl[[#This Row],[Sulf]]*vp.tbl[[#This Row],[Net Dens]],"")</f>
        <v>97042475.048670009</v>
      </c>
      <c r="AK1211" s="5">
        <f>IFERROR(vp.tbl[[#This Row],[Dens]]*vp.tbl[[#This Row],[VolumeM3]],"")</f>
        <v>93130974.135000005</v>
      </c>
      <c r="AL1211" s="5">
        <f>IFERROR(vp.tbl[[#This Row],[VP]]*vp.tbl[[#This Row],[VolumeM3]],"")</f>
        <v>10403820.534</v>
      </c>
      <c r="AM1211" s="4">
        <f>IFERROR((vp.tbl[[#This Row],[VP]]-INDEX(crudeBD.lkup.complete[Mean_VP],MATCH(vp.tbl[[#This Row],[Crude_Breakdown]],crudeBD.lkup.complete[Crude Breakdown],0)))^2,"")</f>
        <v>164.51666684762151</v>
      </c>
      <c r="AN1211" s="4">
        <f>IFERROR((vp.tbl[[#This Row],[Dens]]-INDEX(crudeBD.lkup.complete[Mean_Dens],MATCH(vp.tbl[[#This Row],[Crude_Breakdown]],crudeBD.lkup.complete[Crude Breakdown],0)))^2,"")</f>
        <v>163.63073015796232</v>
      </c>
      <c r="AO1211" s="4">
        <f>IFERROR((vp.tbl[[#This Row],[Sulf]]-INDEX(crudeBD.lkup.complete[Mean_Sulf],MATCH(vp.tbl[[#This Row],[Crude_Breakdown]],crudeBD.lkup.complete[Crude Breakdown],0)))^2,"")</f>
        <v>0.17051106990685602</v>
      </c>
      <c r="AP1211">
        <f>IF(AND(vp.tbl[[#This Row],[SDate]]&gt;=DATE(YEAR(vp.tbl[[#This Row],[SDate]]),5,1),vp.tbl[[#This Row],[SDate]]&lt;=DATE(YEAR(vp.tbl[[#This Row],[SDate]]),9,15)),1,0)</f>
        <v>0</v>
      </c>
      <c r="AQ1211" s="15">
        <f>IF(vp.tbl[[#This Row],[SDate]]&lt;DATE(2016,12,1),0,1)</f>
        <v>1</v>
      </c>
    </row>
    <row r="1212" spans="1:43" x14ac:dyDescent="0.25">
      <c r="A1212">
        <v>1211</v>
      </c>
      <c r="B1212" t="s">
        <v>49</v>
      </c>
      <c r="C1212" t="s">
        <v>49</v>
      </c>
      <c r="D1212" t="s">
        <v>81</v>
      </c>
      <c r="F1212" s="1">
        <v>42836</v>
      </c>
      <c r="G1212" s="2">
        <v>83.9</v>
      </c>
      <c r="H1212" s="2">
        <v>0.55700000000000005</v>
      </c>
      <c r="I1212" s="2">
        <v>0.55700000000000005</v>
      </c>
      <c r="J1212" s="2">
        <v>6.4</v>
      </c>
      <c r="K1212" s="2">
        <v>8</v>
      </c>
      <c r="L1212" s="2">
        <v>822.4</v>
      </c>
      <c r="M1212" s="2">
        <v>822.4</v>
      </c>
      <c r="N1212" s="2">
        <f ca="1">INDEX(INDIRECT(_xlfn.CONCAT("weather.tbl[",N$1,"]")),MATCH(vp.tbl[[#This Row],[SDate]],weather.tbl[Date],0))</f>
        <v>5.2833333333333341</v>
      </c>
      <c r="O1212" s="2">
        <f ca="1">INDEX(INDIRECT(_xlfn.CONCAT("weather.tbl[",O$1,"]")),MATCH(vp.tbl[[#This Row],[SDate]],weather.tbl[Date],0))</f>
        <v>5.9023809523809518</v>
      </c>
      <c r="P1212" s="2">
        <f ca="1">INDEX(INDIRECT(_xlfn.CONCAT("weather.tbl[",P$1,"]")),MATCH(vp.tbl[[#This Row],[SDate]],weather.tbl[Date],0))</f>
        <v>6.1</v>
      </c>
      <c r="Q1212" s="2">
        <f ca="1">INDEX(INDIRECT(_xlfn.CONCAT("weather.tbl[",Q$1,"]")),MATCH(vp.tbl[[#This Row],[SDate]],weather.tbl[Date],0))</f>
        <v>5.5</v>
      </c>
      <c r="R1212" s="2">
        <f ca="1">INDEX(INDIRECT(_xlfn.CONCAT("weather.tbl[",R$1,"]")),MATCH(vp.tbl[[#This Row],[SDate]],weather.tbl[Date],0))</f>
        <v>4.5</v>
      </c>
      <c r="S1212" s="2">
        <f ca="1">INDEX(INDIRECT(_xlfn.CONCAT("weather.tbl[",S$1,"]")),MATCH(vp.tbl[[#This Row],[SDate]],weather.tbl[Date],0))</f>
        <v>5.5</v>
      </c>
      <c r="T1212" s="2">
        <f ca="1">INDEX(INDIRECT(_xlfn.CONCAT("weather.tbl[",T$1,"]")),MATCH(vp.tbl[[#This Row],[SDate]],weather.tbl[Date],0))</f>
        <v>5.0999999999999996</v>
      </c>
      <c r="U1212" s="2">
        <f ca="1">INDEX(INDIRECT(_xlfn.CONCAT("weather.tbl[",U$1,"]")),MATCH(vp.tbl[[#This Row],[SDate]],weather.tbl[Date],0))</f>
        <v>5</v>
      </c>
      <c r="V1212" s="2">
        <v>19345.195</v>
      </c>
      <c r="W1212" t="s">
        <v>48</v>
      </c>
      <c r="X1212">
        <f>IF(OR(vp.tbl[[#This Row],[Sulf]]="",vp.tbl[[#This Row],[Dens]]=""),1,0)</f>
        <v>0</v>
      </c>
      <c r="Y1212">
        <f>IF(vp.tbl[[#This Row],[CrudeType]]="C5+",1,0)</f>
        <v>0</v>
      </c>
      <c r="Z1212">
        <f>IF(AND(vp.tbl[[#This Row],[CrudeType]]="Crude",vp.tbl[[#This Row],[Dens]]&lt;=825,vp.tbl[[#This Row],[Sulf]]&gt;0.5,vp.tbl[[#This Row],[Unknown]]=0),1,0)</f>
        <v>1</v>
      </c>
      <c r="AA1212">
        <f>IF(AND(vp.tbl[[#This Row],[CrudeType]]="Crude",vp.tbl[[#This Row],[Dens]]&lt;=825,vp.tbl[[#This Row],[Sulf]]&lt;=0.5,vp.tbl[[#This Row],[Unknown]]=0),1,0)</f>
        <v>0</v>
      </c>
      <c r="AB1212">
        <f>IF(AND(vp.tbl[[#This Row],[CrudeType]]="Crude",vp.tbl[[#This Row],[Dens]]&gt;825,vp.tbl[[#This Row],[Dens]]&lt;=870,vp.tbl[[#This Row],[Sulf]]&gt;0.5,vp.tbl[[#This Row],[Unknown]]=0),1,0)</f>
        <v>0</v>
      </c>
      <c r="AC1212">
        <f>IF(AND(vp.tbl[[#This Row],[CrudeType]]="Crude",vp.tbl[[#This Row],[Dens]]&gt;825,vp.tbl[[#This Row],[Dens]]&lt;=900,vp.tbl[[#This Row],[Sulf]]&lt;=0.5,vp.tbl[[#This Row],[Unknown]]=0),1,0)</f>
        <v>0</v>
      </c>
      <c r="AD1212">
        <f>IF(AND(vp.tbl[[#This Row],[CrudeType]]="Crude",vp.tbl[[#This Row],[Dens]]&gt;870,vp.tbl[[#This Row],[Dens]]&lt;=900,vp.tbl[[#This Row],[Sulf]]&gt;0.5,vp.tbl[[#This Row],[Unknown]]=0),1,0)</f>
        <v>0</v>
      </c>
      <c r="AE1212">
        <f>IF(AND(vp.tbl[[#This Row],[CrudeType]]="Crude",vp.tbl[[#This Row],[Dens]]&gt;900,vp.tbl[[#This Row],[Sulf]]&lt;=0.5,vp.tbl[[#This Row],[Unknown]]=0),1,0)</f>
        <v>0</v>
      </c>
      <c r="AF1212">
        <f>IF(AND(vp.tbl[[#This Row],[CrudeType]]="Crude",vp.tbl[[#This Row],[Dens]]&gt;900,vp.tbl[[#This Row],[Sulf]]&lt;=0.5,vp.tbl[[#This Row],[Unknown]]=0),1,0)</f>
        <v>0</v>
      </c>
      <c r="AG1212" t="str">
        <f>INDEX(vp.tbl[[#Headers],[Unknown]:[Heavy_SW]],MATCH(1,vp.tbl[[#This Row],[Unknown]:[Heavy_SW]],0))</f>
        <v>Light_LSB</v>
      </c>
      <c r="AH1212" t="e">
        <f>INDEX([1]!crudeBD.lkup[Number],MATCH(vp.tbl[[#This Row],[Crude_Breakdown]],[1]!crudeBD.lkup[Crude Breakdown],0))</f>
        <v>#REF!</v>
      </c>
      <c r="AI1212">
        <f>MONTH(vp.tbl[[#This Row],[SDate]])</f>
        <v>4</v>
      </c>
      <c r="AJ1212" s="5">
        <f>IFERROR(vp.tbl[[#This Row],[Sulf]]*vp.tbl[[#This Row],[Net Dens]],"")</f>
        <v>8861585.0209759995</v>
      </c>
      <c r="AK1212" s="5">
        <f>IFERROR(vp.tbl[[#This Row],[Dens]]*vp.tbl[[#This Row],[VolumeM3]],"")</f>
        <v>15909488.367999999</v>
      </c>
      <c r="AL1212" s="5">
        <f>IFERROR(vp.tbl[[#This Row],[VP]]*vp.tbl[[#This Row],[VolumeM3]],"")</f>
        <v>1623061.8605000002</v>
      </c>
      <c r="AM1212" s="4">
        <f>IFERROR((vp.tbl[[#This Row],[VP]]-INDEX(crudeBD.lkup.complete[Mean_VP],MATCH(vp.tbl[[#This Row],[Crude_Breakdown]],crudeBD.lkup.complete[Crude Breakdown],0)))^2,"")</f>
        <v>58.464153725157153</v>
      </c>
      <c r="AN1212" s="4">
        <f>IFERROR((vp.tbl[[#This Row],[Dens]]-INDEX(crudeBD.lkup.complete[Mean_Dens],MATCH(vp.tbl[[#This Row],[Crude_Breakdown]],crudeBD.lkup.complete[Crude Breakdown],0)))^2,"")</f>
        <v>15.07947710112294</v>
      </c>
      <c r="AO1212" s="4">
        <f>IFERROR((vp.tbl[[#This Row],[Sulf]]-INDEX(crudeBD.lkup.complete[Mean_Sulf],MATCH(vp.tbl[[#This Row],[Crude_Breakdown]],crudeBD.lkup.complete[Crude Breakdown],0)))^2,"")</f>
        <v>0.13393489608899375</v>
      </c>
      <c r="AP1212">
        <f>IF(AND(vp.tbl[[#This Row],[SDate]]&gt;=DATE(YEAR(vp.tbl[[#This Row],[SDate]]),5,1),vp.tbl[[#This Row],[SDate]]&lt;=DATE(YEAR(vp.tbl[[#This Row],[SDate]]),9,15)),1,0)</f>
        <v>0</v>
      </c>
      <c r="AQ1212" s="15">
        <f>IF(vp.tbl[[#This Row],[SDate]]&lt;DATE(2016,12,1),0,1)</f>
        <v>1</v>
      </c>
    </row>
    <row r="1213" spans="1:43" x14ac:dyDescent="0.25">
      <c r="A1213">
        <v>1212</v>
      </c>
      <c r="B1213" t="s">
        <v>49</v>
      </c>
      <c r="C1213" t="s">
        <v>49</v>
      </c>
      <c r="D1213" t="s">
        <v>70</v>
      </c>
      <c r="F1213" s="1">
        <v>42836</v>
      </c>
      <c r="G1213" s="2">
        <v>69</v>
      </c>
      <c r="H1213" s="2">
        <v>0.92500000000000004</v>
      </c>
      <c r="I1213" s="2">
        <v>0.92500000000000004</v>
      </c>
      <c r="J1213" s="2">
        <v>22.5</v>
      </c>
      <c r="K1213" s="2">
        <v>8</v>
      </c>
      <c r="L1213" s="2">
        <v>835.4</v>
      </c>
      <c r="M1213" s="2">
        <v>835.4</v>
      </c>
      <c r="N1213" s="2">
        <f ca="1">INDEX(INDIRECT(_xlfn.CONCAT("weather.tbl[",N$1,"]")),MATCH(vp.tbl[[#This Row],[SDate]],weather.tbl[Date],0))</f>
        <v>5.2833333333333341</v>
      </c>
      <c r="O1213" s="2">
        <f ca="1">INDEX(INDIRECT(_xlfn.CONCAT("weather.tbl[",O$1,"]")),MATCH(vp.tbl[[#This Row],[SDate]],weather.tbl[Date],0))</f>
        <v>5.9023809523809518</v>
      </c>
      <c r="P1213" s="2">
        <f ca="1">INDEX(INDIRECT(_xlfn.CONCAT("weather.tbl[",P$1,"]")),MATCH(vp.tbl[[#This Row],[SDate]],weather.tbl[Date],0))</f>
        <v>6.1</v>
      </c>
      <c r="Q1213" s="2">
        <f ca="1">INDEX(INDIRECT(_xlfn.CONCAT("weather.tbl[",Q$1,"]")),MATCH(vp.tbl[[#This Row],[SDate]],weather.tbl[Date],0))</f>
        <v>5.5</v>
      </c>
      <c r="R1213" s="2">
        <f ca="1">INDEX(INDIRECT(_xlfn.CONCAT("weather.tbl[",R$1,"]")),MATCH(vp.tbl[[#This Row],[SDate]],weather.tbl[Date],0))</f>
        <v>4.5</v>
      </c>
      <c r="S1213" s="2">
        <f ca="1">INDEX(INDIRECT(_xlfn.CONCAT("weather.tbl[",S$1,"]")),MATCH(vp.tbl[[#This Row],[SDate]],weather.tbl[Date],0))</f>
        <v>5.5</v>
      </c>
      <c r="T1213" s="2">
        <f ca="1">INDEX(INDIRECT(_xlfn.CONCAT("weather.tbl[",T$1,"]")),MATCH(vp.tbl[[#This Row],[SDate]],weather.tbl[Date],0))</f>
        <v>5.0999999999999996</v>
      </c>
      <c r="U1213" s="2">
        <f ca="1">INDEX(INDIRECT(_xlfn.CONCAT("weather.tbl[",U$1,"]")),MATCH(vp.tbl[[#This Row],[SDate]],weather.tbl[Date],0))</f>
        <v>5</v>
      </c>
      <c r="V1213" s="2">
        <v>3029.3780000000002</v>
      </c>
      <c r="W1213" t="s">
        <v>48</v>
      </c>
      <c r="X1213">
        <f>IF(OR(vp.tbl[[#This Row],[Sulf]]="",vp.tbl[[#This Row],[Dens]]=""),1,0)</f>
        <v>0</v>
      </c>
      <c r="Y1213">
        <f>IF(vp.tbl[[#This Row],[CrudeType]]="C5+",1,0)</f>
        <v>0</v>
      </c>
      <c r="Z1213">
        <f>IF(AND(vp.tbl[[#This Row],[CrudeType]]="Crude",vp.tbl[[#This Row],[Dens]]&lt;=825,vp.tbl[[#This Row],[Sulf]]&gt;0.5,vp.tbl[[#This Row],[Unknown]]=0),1,0)</f>
        <v>0</v>
      </c>
      <c r="AA1213">
        <f>IF(AND(vp.tbl[[#This Row],[CrudeType]]="Crude",vp.tbl[[#This Row],[Dens]]&lt;=825,vp.tbl[[#This Row],[Sulf]]&lt;=0.5,vp.tbl[[#This Row],[Unknown]]=0),1,0)</f>
        <v>0</v>
      </c>
      <c r="AB1213">
        <f>IF(AND(vp.tbl[[#This Row],[CrudeType]]="Crude",vp.tbl[[#This Row],[Dens]]&gt;825,vp.tbl[[#This Row],[Dens]]&lt;=870,vp.tbl[[#This Row],[Sulf]]&gt;0.5,vp.tbl[[#This Row],[Unknown]]=0),1,0)</f>
        <v>1</v>
      </c>
      <c r="AC1213">
        <f>IF(AND(vp.tbl[[#This Row],[CrudeType]]="Crude",vp.tbl[[#This Row],[Dens]]&gt;825,vp.tbl[[#This Row],[Dens]]&lt;=900,vp.tbl[[#This Row],[Sulf]]&lt;=0.5,vp.tbl[[#This Row],[Unknown]]=0),1,0)</f>
        <v>0</v>
      </c>
      <c r="AD1213">
        <f>IF(AND(vp.tbl[[#This Row],[CrudeType]]="Crude",vp.tbl[[#This Row],[Dens]]&gt;870,vp.tbl[[#This Row],[Dens]]&lt;=900,vp.tbl[[#This Row],[Sulf]]&gt;0.5,vp.tbl[[#This Row],[Unknown]]=0),1,0)</f>
        <v>0</v>
      </c>
      <c r="AE1213">
        <f>IF(AND(vp.tbl[[#This Row],[CrudeType]]="Crude",vp.tbl[[#This Row],[Dens]]&gt;900,vp.tbl[[#This Row],[Sulf]]&lt;=0.5,vp.tbl[[#This Row],[Unknown]]=0),1,0)</f>
        <v>0</v>
      </c>
      <c r="AF1213">
        <f>IF(AND(vp.tbl[[#This Row],[CrudeType]]="Crude",vp.tbl[[#This Row],[Dens]]&gt;900,vp.tbl[[#This Row],[Sulf]]&lt;=0.5,vp.tbl[[#This Row],[Unknown]]=0),1,0)</f>
        <v>0</v>
      </c>
      <c r="AG1213" t="str">
        <f>INDEX(vp.tbl[[#Headers],[Unknown]:[Heavy_SW]],MATCH(1,vp.tbl[[#This Row],[Unknown]:[Heavy_SW]],0))</f>
        <v>Medium_LSB</v>
      </c>
      <c r="AH1213" t="e">
        <f>INDEX([1]!crudeBD.lkup[Number],MATCH(vp.tbl[[#This Row],[Crude_Breakdown]],[1]!crudeBD.lkup[Crude Breakdown],0))</f>
        <v>#REF!</v>
      </c>
      <c r="AI1213">
        <f>MONTH(vp.tbl[[#This Row],[SDate]])</f>
        <v>4</v>
      </c>
      <c r="AJ1213" s="5">
        <f>IFERROR(vp.tbl[[#This Row],[Sulf]]*vp.tbl[[#This Row],[Net Dens]],"")</f>
        <v>2340936.7026100005</v>
      </c>
      <c r="AK1213" s="5">
        <f>IFERROR(vp.tbl[[#This Row],[Dens]]*vp.tbl[[#This Row],[VolumeM3]],"")</f>
        <v>2530742.3812000002</v>
      </c>
      <c r="AL1213" s="5">
        <f>IFERROR(vp.tbl[[#This Row],[VP]]*vp.tbl[[#This Row],[VolumeM3]],"")</f>
        <v>209027.08200000002</v>
      </c>
      <c r="AM1213" s="4">
        <f>IFERROR((vp.tbl[[#This Row],[VP]]-INDEX(crudeBD.lkup.complete[Mean_VP],MATCH(vp.tbl[[#This Row],[Crude_Breakdown]],crudeBD.lkup.complete[Crude Breakdown],0)))^2,"")</f>
        <v>124.84922380964507</v>
      </c>
      <c r="AN1213" s="4">
        <f>IFERROR((vp.tbl[[#This Row],[Dens]]-INDEX(crudeBD.lkup.complete[Mean_Dens],MATCH(vp.tbl[[#This Row],[Crude_Breakdown]],crudeBD.lkup.complete[Crude Breakdown],0)))^2,"")</f>
        <v>97.848158006069738</v>
      </c>
      <c r="AO1213" s="4">
        <f>IFERROR((vp.tbl[[#This Row],[Sulf]]-INDEX(crudeBD.lkup.complete[Mean_Sulf],MATCH(vp.tbl[[#This Row],[Crude_Breakdown]],crudeBD.lkup.complete[Crude Breakdown],0)))^2,"")</f>
        <v>0.28082565732457787</v>
      </c>
      <c r="AP1213">
        <f>IF(AND(vp.tbl[[#This Row],[SDate]]&gt;=DATE(YEAR(vp.tbl[[#This Row],[SDate]]),5,1),vp.tbl[[#This Row],[SDate]]&lt;=DATE(YEAR(vp.tbl[[#This Row],[SDate]]),9,15)),1,0)</f>
        <v>0</v>
      </c>
      <c r="AQ1213" s="15">
        <f>IF(vp.tbl[[#This Row],[SDate]]&lt;DATE(2016,12,1),0,1)</f>
        <v>1</v>
      </c>
    </row>
    <row r="1214" spans="1:43" x14ac:dyDescent="0.25">
      <c r="A1214">
        <v>1213</v>
      </c>
      <c r="B1214" t="s">
        <v>49</v>
      </c>
      <c r="C1214" t="s">
        <v>49</v>
      </c>
      <c r="D1214" t="s">
        <v>88</v>
      </c>
      <c r="F1214" s="1">
        <v>42836</v>
      </c>
      <c r="G1214" s="2">
        <v>92.3</v>
      </c>
      <c r="H1214" s="2">
        <v>1.4390000000000001</v>
      </c>
      <c r="I1214" s="2">
        <v>1.4390000000000001</v>
      </c>
      <c r="J1214" s="2">
        <v>11.6</v>
      </c>
      <c r="K1214" s="2">
        <v>8</v>
      </c>
      <c r="L1214" s="2">
        <v>804.5</v>
      </c>
      <c r="M1214" s="2">
        <v>804.5</v>
      </c>
      <c r="N1214" s="2">
        <f ca="1">INDEX(INDIRECT(_xlfn.CONCAT("weather.tbl[",N$1,"]")),MATCH(vp.tbl[[#This Row],[SDate]],weather.tbl[Date],0))</f>
        <v>5.2833333333333341</v>
      </c>
      <c r="O1214" s="2">
        <f ca="1">INDEX(INDIRECT(_xlfn.CONCAT("weather.tbl[",O$1,"]")),MATCH(vp.tbl[[#This Row],[SDate]],weather.tbl[Date],0))</f>
        <v>5.9023809523809518</v>
      </c>
      <c r="P1214" s="2">
        <f ca="1">INDEX(INDIRECT(_xlfn.CONCAT("weather.tbl[",P$1,"]")),MATCH(vp.tbl[[#This Row],[SDate]],weather.tbl[Date],0))</f>
        <v>6.1</v>
      </c>
      <c r="Q1214" s="2">
        <f ca="1">INDEX(INDIRECT(_xlfn.CONCAT("weather.tbl[",Q$1,"]")),MATCH(vp.tbl[[#This Row],[SDate]],weather.tbl[Date],0))</f>
        <v>5.5</v>
      </c>
      <c r="R1214" s="2">
        <f ca="1">INDEX(INDIRECT(_xlfn.CONCAT("weather.tbl[",R$1,"]")),MATCH(vp.tbl[[#This Row],[SDate]],weather.tbl[Date],0))</f>
        <v>4.5</v>
      </c>
      <c r="S1214" s="2">
        <f ca="1">INDEX(INDIRECT(_xlfn.CONCAT("weather.tbl[",S$1,"]")),MATCH(vp.tbl[[#This Row],[SDate]],weather.tbl[Date],0))</f>
        <v>5.5</v>
      </c>
      <c r="T1214" s="2">
        <f ca="1">INDEX(INDIRECT(_xlfn.CONCAT("weather.tbl[",T$1,"]")),MATCH(vp.tbl[[#This Row],[SDate]],weather.tbl[Date],0))</f>
        <v>5.0999999999999996</v>
      </c>
      <c r="U1214" s="2">
        <f ca="1">INDEX(INDIRECT(_xlfn.CONCAT("weather.tbl[",U$1,"]")),MATCH(vp.tbl[[#This Row],[SDate]],weather.tbl[Date],0))</f>
        <v>5</v>
      </c>
      <c r="V1214" s="2">
        <v>4145.7510000000002</v>
      </c>
      <c r="W1214" t="s">
        <v>48</v>
      </c>
      <c r="X1214">
        <f>IF(OR(vp.tbl[[#This Row],[Sulf]]="",vp.tbl[[#This Row],[Dens]]=""),1,0)</f>
        <v>0</v>
      </c>
      <c r="Y1214">
        <f>IF(vp.tbl[[#This Row],[CrudeType]]="C5+",1,0)</f>
        <v>0</v>
      </c>
      <c r="Z1214">
        <f>IF(AND(vp.tbl[[#This Row],[CrudeType]]="Crude",vp.tbl[[#This Row],[Dens]]&lt;=825,vp.tbl[[#This Row],[Sulf]]&gt;0.5,vp.tbl[[#This Row],[Unknown]]=0),1,0)</f>
        <v>1</v>
      </c>
      <c r="AA1214">
        <f>IF(AND(vp.tbl[[#This Row],[CrudeType]]="Crude",vp.tbl[[#This Row],[Dens]]&lt;=825,vp.tbl[[#This Row],[Sulf]]&lt;=0.5,vp.tbl[[#This Row],[Unknown]]=0),1,0)</f>
        <v>0</v>
      </c>
      <c r="AB1214">
        <f>IF(AND(vp.tbl[[#This Row],[CrudeType]]="Crude",vp.tbl[[#This Row],[Dens]]&gt;825,vp.tbl[[#This Row],[Dens]]&lt;=870,vp.tbl[[#This Row],[Sulf]]&gt;0.5,vp.tbl[[#This Row],[Unknown]]=0),1,0)</f>
        <v>0</v>
      </c>
      <c r="AC1214">
        <f>IF(AND(vp.tbl[[#This Row],[CrudeType]]="Crude",vp.tbl[[#This Row],[Dens]]&gt;825,vp.tbl[[#This Row],[Dens]]&lt;=900,vp.tbl[[#This Row],[Sulf]]&lt;=0.5,vp.tbl[[#This Row],[Unknown]]=0),1,0)</f>
        <v>0</v>
      </c>
      <c r="AD1214">
        <f>IF(AND(vp.tbl[[#This Row],[CrudeType]]="Crude",vp.tbl[[#This Row],[Dens]]&gt;870,vp.tbl[[#This Row],[Dens]]&lt;=900,vp.tbl[[#This Row],[Sulf]]&gt;0.5,vp.tbl[[#This Row],[Unknown]]=0),1,0)</f>
        <v>0</v>
      </c>
      <c r="AE1214">
        <f>IF(AND(vp.tbl[[#This Row],[CrudeType]]="Crude",vp.tbl[[#This Row],[Dens]]&gt;900,vp.tbl[[#This Row],[Sulf]]&lt;=0.5,vp.tbl[[#This Row],[Unknown]]=0),1,0)</f>
        <v>0</v>
      </c>
      <c r="AF1214">
        <f>IF(AND(vp.tbl[[#This Row],[CrudeType]]="Crude",vp.tbl[[#This Row],[Dens]]&gt;900,vp.tbl[[#This Row],[Sulf]]&lt;=0.5,vp.tbl[[#This Row],[Unknown]]=0),1,0)</f>
        <v>0</v>
      </c>
      <c r="AG1214" t="str">
        <f>INDEX(vp.tbl[[#Headers],[Unknown]:[Heavy_SW]],MATCH(1,vp.tbl[[#This Row],[Unknown]:[Heavy_SW]],0))</f>
        <v>Light_LSB</v>
      </c>
      <c r="AH1214" t="e">
        <f>INDEX([1]!crudeBD.lkup[Number],MATCH(vp.tbl[[#This Row],[Crude_Breakdown]],[1]!crudeBD.lkup[Crude Breakdown],0))</f>
        <v>#REF!</v>
      </c>
      <c r="AI1214">
        <f>MONTH(vp.tbl[[#This Row],[SDate]])</f>
        <v>4</v>
      </c>
      <c r="AJ1214" s="5">
        <f>IFERROR(vp.tbl[[#This Row],[Sulf]]*vp.tbl[[#This Row],[Net Dens]],"")</f>
        <v>4799434.3618005002</v>
      </c>
      <c r="AK1214" s="5">
        <f>IFERROR(vp.tbl[[#This Row],[Dens]]*vp.tbl[[#This Row],[VolumeM3]],"")</f>
        <v>3335256.6795000001</v>
      </c>
      <c r="AL1214" s="5">
        <f>IFERROR(vp.tbl[[#This Row],[VP]]*vp.tbl[[#This Row],[VolumeM3]],"")</f>
        <v>382652.8173</v>
      </c>
      <c r="AM1214" s="4">
        <f>IFERROR((vp.tbl[[#This Row],[VP]]-INDEX(crudeBD.lkup.complete[Mean_VP],MATCH(vp.tbl[[#This Row],[Crude_Breakdown]],crudeBD.lkup.complete[Crude Breakdown],0)))^2,"")</f>
        <v>0.56823619938351777</v>
      </c>
      <c r="AN1214" s="4">
        <f>IFERROR((vp.tbl[[#This Row],[Dens]]-INDEX(crudeBD.lkup.complete[Mean_Dens],MATCH(vp.tbl[[#This Row],[Crude_Breakdown]],crudeBD.lkup.complete[Crude Breakdown],0)))^2,"")</f>
        <v>196.46983448942802</v>
      </c>
      <c r="AO1214" s="4">
        <f>IFERROR((vp.tbl[[#This Row],[Sulf]]-INDEX(crudeBD.lkup.complete[Mean_Sulf],MATCH(vp.tbl[[#This Row],[Crude_Breakdown]],crudeBD.lkup.complete[Crude Breakdown],0)))^2,"")</f>
        <v>0.26628575505806645</v>
      </c>
      <c r="AP1214">
        <f>IF(AND(vp.tbl[[#This Row],[SDate]]&gt;=DATE(YEAR(vp.tbl[[#This Row],[SDate]]),5,1),vp.tbl[[#This Row],[SDate]]&lt;=DATE(YEAR(vp.tbl[[#This Row],[SDate]]),9,15)),1,0)</f>
        <v>0</v>
      </c>
      <c r="AQ1214" s="15">
        <f>IF(vp.tbl[[#This Row],[SDate]]&lt;DATE(2016,12,1),0,1)</f>
        <v>1</v>
      </c>
    </row>
    <row r="1215" spans="1:43" x14ac:dyDescent="0.25">
      <c r="A1215">
        <v>1214</v>
      </c>
      <c r="B1215" t="s">
        <v>96</v>
      </c>
      <c r="C1215" t="s">
        <v>96</v>
      </c>
      <c r="D1215" t="s">
        <v>97</v>
      </c>
      <c r="F1215" s="1">
        <v>42836</v>
      </c>
      <c r="G1215" s="2">
        <v>74.5</v>
      </c>
      <c r="H1215" s="2"/>
      <c r="I1215" s="2">
        <v>0.51</v>
      </c>
      <c r="J1215" s="2">
        <v>35.4</v>
      </c>
      <c r="K1215" s="2">
        <v>8</v>
      </c>
      <c r="L1215" s="2">
        <v>822.4</v>
      </c>
      <c r="M1215" s="2">
        <v>822.4</v>
      </c>
      <c r="N1215" s="2">
        <f ca="1">INDEX(INDIRECT(_xlfn.CONCAT("weather.tbl[",N$1,"]")),MATCH(vp.tbl[[#This Row],[SDate]],weather.tbl[Date],0))</f>
        <v>5.2833333333333341</v>
      </c>
      <c r="O1215" s="2">
        <f ca="1">INDEX(INDIRECT(_xlfn.CONCAT("weather.tbl[",O$1,"]")),MATCH(vp.tbl[[#This Row],[SDate]],weather.tbl[Date],0))</f>
        <v>5.9023809523809518</v>
      </c>
      <c r="P1215" s="2">
        <f ca="1">INDEX(INDIRECT(_xlfn.CONCAT("weather.tbl[",P$1,"]")),MATCH(vp.tbl[[#This Row],[SDate]],weather.tbl[Date],0))</f>
        <v>6.1</v>
      </c>
      <c r="Q1215" s="2">
        <f ca="1">INDEX(INDIRECT(_xlfn.CONCAT("weather.tbl[",Q$1,"]")),MATCH(vp.tbl[[#This Row],[SDate]],weather.tbl[Date],0))</f>
        <v>5.5</v>
      </c>
      <c r="R1215" s="2">
        <f ca="1">INDEX(INDIRECT(_xlfn.CONCAT("weather.tbl[",R$1,"]")),MATCH(vp.tbl[[#This Row],[SDate]],weather.tbl[Date],0))</f>
        <v>4.5</v>
      </c>
      <c r="S1215" s="2">
        <f ca="1">INDEX(INDIRECT(_xlfn.CONCAT("weather.tbl[",S$1,"]")),MATCH(vp.tbl[[#This Row],[SDate]],weather.tbl[Date],0))</f>
        <v>5.5</v>
      </c>
      <c r="T1215" s="2">
        <f ca="1">INDEX(INDIRECT(_xlfn.CONCAT("weather.tbl[",T$1,"]")),MATCH(vp.tbl[[#This Row],[SDate]],weather.tbl[Date],0))</f>
        <v>5.0999999999999996</v>
      </c>
      <c r="U1215" s="2">
        <f ca="1">INDEX(INDIRECT(_xlfn.CONCAT("weather.tbl[",U$1,"]")),MATCH(vp.tbl[[#This Row],[SDate]],weather.tbl[Date],0))</f>
        <v>5</v>
      </c>
      <c r="V1215" s="2">
        <v>6210.3829999999998</v>
      </c>
      <c r="W1215" t="s">
        <v>48</v>
      </c>
      <c r="X1215">
        <f>IF(OR(vp.tbl[[#This Row],[Sulf]]="",vp.tbl[[#This Row],[Dens]]=""),1,0)</f>
        <v>0</v>
      </c>
      <c r="Y1215">
        <f>IF(vp.tbl[[#This Row],[CrudeType]]="C5+",1,0)</f>
        <v>0</v>
      </c>
      <c r="Z1215">
        <f>IF(AND(vp.tbl[[#This Row],[CrudeType]]="Crude",vp.tbl[[#This Row],[Dens]]&lt;=825,vp.tbl[[#This Row],[Sulf]]&gt;0.5,vp.tbl[[#This Row],[Unknown]]=0),1,0)</f>
        <v>1</v>
      </c>
      <c r="AA1215">
        <f>IF(AND(vp.tbl[[#This Row],[CrudeType]]="Crude",vp.tbl[[#This Row],[Dens]]&lt;=825,vp.tbl[[#This Row],[Sulf]]&lt;=0.5,vp.tbl[[#This Row],[Unknown]]=0),1,0)</f>
        <v>0</v>
      </c>
      <c r="AB1215">
        <f>IF(AND(vp.tbl[[#This Row],[CrudeType]]="Crude",vp.tbl[[#This Row],[Dens]]&gt;825,vp.tbl[[#This Row],[Dens]]&lt;=870,vp.tbl[[#This Row],[Sulf]]&gt;0.5,vp.tbl[[#This Row],[Unknown]]=0),1,0)</f>
        <v>0</v>
      </c>
      <c r="AC1215">
        <f>IF(AND(vp.tbl[[#This Row],[CrudeType]]="Crude",vp.tbl[[#This Row],[Dens]]&gt;825,vp.tbl[[#This Row],[Dens]]&lt;=900,vp.tbl[[#This Row],[Sulf]]&lt;=0.5,vp.tbl[[#This Row],[Unknown]]=0),1,0)</f>
        <v>0</v>
      </c>
      <c r="AD1215">
        <f>IF(AND(vp.tbl[[#This Row],[CrudeType]]="Crude",vp.tbl[[#This Row],[Dens]]&gt;870,vp.tbl[[#This Row],[Dens]]&lt;=900,vp.tbl[[#This Row],[Sulf]]&gt;0.5,vp.tbl[[#This Row],[Unknown]]=0),1,0)</f>
        <v>0</v>
      </c>
      <c r="AE1215">
        <f>IF(AND(vp.tbl[[#This Row],[CrudeType]]="Crude",vp.tbl[[#This Row],[Dens]]&gt;900,vp.tbl[[#This Row],[Sulf]]&lt;=0.5,vp.tbl[[#This Row],[Unknown]]=0),1,0)</f>
        <v>0</v>
      </c>
      <c r="AF1215">
        <f>IF(AND(vp.tbl[[#This Row],[CrudeType]]="Crude",vp.tbl[[#This Row],[Dens]]&gt;900,vp.tbl[[#This Row],[Sulf]]&lt;=0.5,vp.tbl[[#This Row],[Unknown]]=0),1,0)</f>
        <v>0</v>
      </c>
      <c r="AG1215" t="str">
        <f>INDEX(vp.tbl[[#Headers],[Unknown]:[Heavy_SW]],MATCH(1,vp.tbl[[#This Row],[Unknown]:[Heavy_SW]],0))</f>
        <v>Light_LSB</v>
      </c>
      <c r="AH1215" t="e">
        <f>INDEX([1]!crudeBD.lkup[Number],MATCH(vp.tbl[[#This Row],[Crude_Breakdown]],[1]!crudeBD.lkup[Crude Breakdown],0))</f>
        <v>#REF!</v>
      </c>
      <c r="AI1215">
        <f>MONTH(vp.tbl[[#This Row],[SDate]])</f>
        <v>4</v>
      </c>
      <c r="AJ1215" s="5">
        <f>IFERROR(vp.tbl[[#This Row],[Sulf]]*vp.tbl[[#This Row],[Net Dens]],"")</f>
        <v>2604783.6793920002</v>
      </c>
      <c r="AK1215" s="5">
        <f>IFERROR(vp.tbl[[#This Row],[Dens]]*vp.tbl[[#This Row],[VolumeM3]],"")</f>
        <v>5107418.9791999999</v>
      </c>
      <c r="AL1215" s="5">
        <f>IFERROR(vp.tbl[[#This Row],[VP]]*vp.tbl[[#This Row],[VolumeM3]],"")</f>
        <v>462673.53349999996</v>
      </c>
      <c r="AM1215" s="4">
        <f>IFERROR((vp.tbl[[#This Row],[VP]]-INDEX(crudeBD.lkup.complete[Mean_VP],MATCH(vp.tbl[[#This Row],[Crude_Breakdown]],crudeBD.lkup.complete[Crude Breakdown],0)))^2,"")</f>
        <v>290.57244238495161</v>
      </c>
      <c r="AN1215" s="4">
        <f>IFERROR((vp.tbl[[#This Row],[Dens]]-INDEX(crudeBD.lkup.complete[Mean_Dens],MATCH(vp.tbl[[#This Row],[Crude_Breakdown]],crudeBD.lkup.complete[Crude Breakdown],0)))^2,"")</f>
        <v>15.07947710112294</v>
      </c>
      <c r="AO1215" s="4">
        <f>IFERROR((vp.tbl[[#This Row],[Sulf]]-INDEX(crudeBD.lkup.complete[Mean_Sulf],MATCH(vp.tbl[[#This Row],[Crude_Breakdown]],crudeBD.lkup.complete[Crude Breakdown],0)))^2,"")</f>
        <v>0.17054518591717246</v>
      </c>
      <c r="AP1215">
        <f>IF(AND(vp.tbl[[#This Row],[SDate]]&gt;=DATE(YEAR(vp.tbl[[#This Row],[SDate]]),5,1),vp.tbl[[#This Row],[SDate]]&lt;=DATE(YEAR(vp.tbl[[#This Row],[SDate]]),9,15)),1,0)</f>
        <v>0</v>
      </c>
      <c r="AQ1215" s="15">
        <f>IF(vp.tbl[[#This Row],[SDate]]&lt;DATE(2016,12,1),0,1)</f>
        <v>1</v>
      </c>
    </row>
    <row r="1216" spans="1:43" x14ac:dyDescent="0.25">
      <c r="A1216">
        <v>1215</v>
      </c>
      <c r="B1216" t="s">
        <v>51</v>
      </c>
      <c r="C1216" t="s">
        <v>51</v>
      </c>
      <c r="D1216" t="s">
        <v>66</v>
      </c>
      <c r="F1216" s="1">
        <v>42836</v>
      </c>
      <c r="G1216" s="2">
        <v>90.9</v>
      </c>
      <c r="H1216" s="2"/>
      <c r="I1216" s="2">
        <v>1.52</v>
      </c>
      <c r="J1216" s="2">
        <v>7.1</v>
      </c>
      <c r="K1216" s="2">
        <v>8</v>
      </c>
      <c r="L1216" s="2">
        <v>825.6</v>
      </c>
      <c r="M1216" s="2">
        <v>825.6</v>
      </c>
      <c r="N1216" s="2">
        <f ca="1">INDEX(INDIRECT(_xlfn.CONCAT("weather.tbl[",N$1,"]")),MATCH(vp.tbl[[#This Row],[SDate]],weather.tbl[Date],0))</f>
        <v>5.2833333333333341</v>
      </c>
      <c r="O1216" s="2">
        <f ca="1">INDEX(INDIRECT(_xlfn.CONCAT("weather.tbl[",O$1,"]")),MATCH(vp.tbl[[#This Row],[SDate]],weather.tbl[Date],0))</f>
        <v>5.9023809523809518</v>
      </c>
      <c r="P1216" s="2">
        <f ca="1">INDEX(INDIRECT(_xlfn.CONCAT("weather.tbl[",P$1,"]")),MATCH(vp.tbl[[#This Row],[SDate]],weather.tbl[Date],0))</f>
        <v>6.1</v>
      </c>
      <c r="Q1216" s="2">
        <f ca="1">INDEX(INDIRECT(_xlfn.CONCAT("weather.tbl[",Q$1,"]")),MATCH(vp.tbl[[#This Row],[SDate]],weather.tbl[Date],0))</f>
        <v>5.5</v>
      </c>
      <c r="R1216" s="2">
        <f ca="1">INDEX(INDIRECT(_xlfn.CONCAT("weather.tbl[",R$1,"]")),MATCH(vp.tbl[[#This Row],[SDate]],weather.tbl[Date],0))</f>
        <v>4.5</v>
      </c>
      <c r="S1216" s="2">
        <f ca="1">INDEX(INDIRECT(_xlfn.CONCAT("weather.tbl[",S$1,"]")),MATCH(vp.tbl[[#This Row],[SDate]],weather.tbl[Date],0))</f>
        <v>5.5</v>
      </c>
      <c r="T1216" s="2">
        <f ca="1">INDEX(INDIRECT(_xlfn.CONCAT("weather.tbl[",T$1,"]")),MATCH(vp.tbl[[#This Row],[SDate]],weather.tbl[Date],0))</f>
        <v>5.0999999999999996</v>
      </c>
      <c r="U1216" s="2">
        <f ca="1">INDEX(INDIRECT(_xlfn.CONCAT("weather.tbl[",U$1,"]")),MATCH(vp.tbl[[#This Row],[SDate]],weather.tbl[Date],0))</f>
        <v>5</v>
      </c>
      <c r="V1216" s="2">
        <v>3352.8609999999999</v>
      </c>
      <c r="W1216" t="s">
        <v>48</v>
      </c>
      <c r="X1216">
        <f>IF(OR(vp.tbl[[#This Row],[Sulf]]="",vp.tbl[[#This Row],[Dens]]=""),1,0)</f>
        <v>0</v>
      </c>
      <c r="Y1216">
        <f>IF(vp.tbl[[#This Row],[CrudeType]]="C5+",1,0)</f>
        <v>0</v>
      </c>
      <c r="Z1216">
        <f>IF(AND(vp.tbl[[#This Row],[CrudeType]]="Crude",vp.tbl[[#This Row],[Dens]]&lt;=825,vp.tbl[[#This Row],[Sulf]]&gt;0.5,vp.tbl[[#This Row],[Unknown]]=0),1,0)</f>
        <v>0</v>
      </c>
      <c r="AA1216">
        <f>IF(AND(vp.tbl[[#This Row],[CrudeType]]="Crude",vp.tbl[[#This Row],[Dens]]&lt;=825,vp.tbl[[#This Row],[Sulf]]&lt;=0.5,vp.tbl[[#This Row],[Unknown]]=0),1,0)</f>
        <v>0</v>
      </c>
      <c r="AB1216">
        <f>IF(AND(vp.tbl[[#This Row],[CrudeType]]="Crude",vp.tbl[[#This Row],[Dens]]&gt;825,vp.tbl[[#This Row],[Dens]]&lt;=870,vp.tbl[[#This Row],[Sulf]]&gt;0.5,vp.tbl[[#This Row],[Unknown]]=0),1,0)</f>
        <v>1</v>
      </c>
      <c r="AC1216">
        <f>IF(AND(vp.tbl[[#This Row],[CrudeType]]="Crude",vp.tbl[[#This Row],[Dens]]&gt;825,vp.tbl[[#This Row],[Dens]]&lt;=900,vp.tbl[[#This Row],[Sulf]]&lt;=0.5,vp.tbl[[#This Row],[Unknown]]=0),1,0)</f>
        <v>0</v>
      </c>
      <c r="AD1216">
        <f>IF(AND(vp.tbl[[#This Row],[CrudeType]]="Crude",vp.tbl[[#This Row],[Dens]]&gt;870,vp.tbl[[#This Row],[Dens]]&lt;=900,vp.tbl[[#This Row],[Sulf]]&gt;0.5,vp.tbl[[#This Row],[Unknown]]=0),1,0)</f>
        <v>0</v>
      </c>
      <c r="AE1216">
        <f>IF(AND(vp.tbl[[#This Row],[CrudeType]]="Crude",vp.tbl[[#This Row],[Dens]]&gt;900,vp.tbl[[#This Row],[Sulf]]&lt;=0.5,vp.tbl[[#This Row],[Unknown]]=0),1,0)</f>
        <v>0</v>
      </c>
      <c r="AF1216">
        <f>IF(AND(vp.tbl[[#This Row],[CrudeType]]="Crude",vp.tbl[[#This Row],[Dens]]&gt;900,vp.tbl[[#This Row],[Sulf]]&lt;=0.5,vp.tbl[[#This Row],[Unknown]]=0),1,0)</f>
        <v>0</v>
      </c>
      <c r="AG1216" t="str">
        <f>INDEX(vp.tbl[[#Headers],[Unknown]:[Heavy_SW]],MATCH(1,vp.tbl[[#This Row],[Unknown]:[Heavy_SW]],0))</f>
        <v>Medium_LSB</v>
      </c>
      <c r="AH1216" t="e">
        <f>INDEX([1]!crudeBD.lkup[Number],MATCH(vp.tbl[[#This Row],[Crude_Breakdown]],[1]!crudeBD.lkup[Crude Breakdown],0))</f>
        <v>#REF!</v>
      </c>
      <c r="AI1216">
        <f>MONTH(vp.tbl[[#This Row],[SDate]])</f>
        <v>4</v>
      </c>
      <c r="AJ1216" s="5">
        <f>IFERROR(vp.tbl[[#This Row],[Sulf]]*vp.tbl[[#This Row],[Net Dens]],"")</f>
        <v>4207545.5032320004</v>
      </c>
      <c r="AK1216" s="5">
        <f>IFERROR(vp.tbl[[#This Row],[Dens]]*vp.tbl[[#This Row],[VolumeM3]],"")</f>
        <v>2768122.0416000001</v>
      </c>
      <c r="AL1216" s="5">
        <f>IFERROR(vp.tbl[[#This Row],[VP]]*vp.tbl[[#This Row],[VolumeM3]],"")</f>
        <v>304775.0649</v>
      </c>
      <c r="AM1216" s="4">
        <f>IFERROR((vp.tbl[[#This Row],[VP]]-INDEX(crudeBD.lkup.complete[Mean_VP],MATCH(vp.tbl[[#This Row],[Crude_Breakdown]],crudeBD.lkup.complete[Crude Breakdown],0)))^2,"")</f>
        <v>115.0557655817987</v>
      </c>
      <c r="AN1216" s="4">
        <f>IFERROR((vp.tbl[[#This Row],[Dens]]-INDEX(crudeBD.lkup.complete[Mean_Dens],MATCH(vp.tbl[[#This Row],[Crude_Breakdown]],crudeBD.lkup.complete[Crude Breakdown],0)))^2,"")</f>
        <v>387.76788458832755</v>
      </c>
      <c r="AO1216" s="4">
        <f>IFERROR((vp.tbl[[#This Row],[Sulf]]-INDEX(crudeBD.lkup.complete[Mean_Sulf],MATCH(vp.tbl[[#This Row],[Crude_Breakdown]],crudeBD.lkup.complete[Crude Breakdown],0)))^2,"")</f>
        <v>4.2341230207786906E-3</v>
      </c>
      <c r="AP1216">
        <f>IF(AND(vp.tbl[[#This Row],[SDate]]&gt;=DATE(YEAR(vp.tbl[[#This Row],[SDate]]),5,1),vp.tbl[[#This Row],[SDate]]&lt;=DATE(YEAR(vp.tbl[[#This Row],[SDate]]),9,15)),1,0)</f>
        <v>0</v>
      </c>
      <c r="AQ1216" s="15">
        <f>IF(vp.tbl[[#This Row],[SDate]]&lt;DATE(2016,12,1),0,1)</f>
        <v>1</v>
      </c>
    </row>
    <row r="1217" spans="1:43" x14ac:dyDescent="0.25">
      <c r="A1217">
        <v>1216</v>
      </c>
      <c r="B1217" t="s">
        <v>51</v>
      </c>
      <c r="C1217" t="s">
        <v>51</v>
      </c>
      <c r="D1217" t="s">
        <v>72</v>
      </c>
      <c r="F1217" s="1">
        <v>42836</v>
      </c>
      <c r="G1217" s="2">
        <v>89.1</v>
      </c>
      <c r="H1217" s="2"/>
      <c r="I1217" s="2">
        <v>1.04</v>
      </c>
      <c r="J1217" s="2">
        <v>32.9</v>
      </c>
      <c r="K1217" s="2">
        <v>8</v>
      </c>
      <c r="L1217" s="2">
        <v>829.8</v>
      </c>
      <c r="M1217" s="2">
        <v>829.8</v>
      </c>
      <c r="N1217" s="2">
        <f ca="1">INDEX(INDIRECT(_xlfn.CONCAT("weather.tbl[",N$1,"]")),MATCH(vp.tbl[[#This Row],[SDate]],weather.tbl[Date],0))</f>
        <v>5.2833333333333341</v>
      </c>
      <c r="O1217" s="2">
        <f ca="1">INDEX(INDIRECT(_xlfn.CONCAT("weather.tbl[",O$1,"]")),MATCH(vp.tbl[[#This Row],[SDate]],weather.tbl[Date],0))</f>
        <v>5.9023809523809518</v>
      </c>
      <c r="P1217" s="2">
        <f ca="1">INDEX(INDIRECT(_xlfn.CONCAT("weather.tbl[",P$1,"]")),MATCH(vp.tbl[[#This Row],[SDate]],weather.tbl[Date],0))</f>
        <v>6.1</v>
      </c>
      <c r="Q1217" s="2">
        <f ca="1">INDEX(INDIRECT(_xlfn.CONCAT("weather.tbl[",Q$1,"]")),MATCH(vp.tbl[[#This Row],[SDate]],weather.tbl[Date],0))</f>
        <v>5.5</v>
      </c>
      <c r="R1217" s="2">
        <f ca="1">INDEX(INDIRECT(_xlfn.CONCAT("weather.tbl[",R$1,"]")),MATCH(vp.tbl[[#This Row],[SDate]],weather.tbl[Date],0))</f>
        <v>4.5</v>
      </c>
      <c r="S1217" s="2">
        <f ca="1">INDEX(INDIRECT(_xlfn.CONCAT("weather.tbl[",S$1,"]")),MATCH(vp.tbl[[#This Row],[SDate]],weather.tbl[Date],0))</f>
        <v>5.5</v>
      </c>
      <c r="T1217" s="2">
        <f ca="1">INDEX(INDIRECT(_xlfn.CONCAT("weather.tbl[",T$1,"]")),MATCH(vp.tbl[[#This Row],[SDate]],weather.tbl[Date],0))</f>
        <v>5.0999999999999996</v>
      </c>
      <c r="U1217" s="2">
        <f ca="1">INDEX(INDIRECT(_xlfn.CONCAT("weather.tbl[",U$1,"]")),MATCH(vp.tbl[[#This Row],[SDate]],weather.tbl[Date],0))</f>
        <v>5</v>
      </c>
      <c r="V1217" s="2">
        <v>12874.832</v>
      </c>
      <c r="W1217" t="s">
        <v>48</v>
      </c>
      <c r="X1217">
        <f>IF(OR(vp.tbl[[#This Row],[Sulf]]="",vp.tbl[[#This Row],[Dens]]=""),1,0)</f>
        <v>0</v>
      </c>
      <c r="Y1217">
        <f>IF(vp.tbl[[#This Row],[CrudeType]]="C5+",1,0)</f>
        <v>0</v>
      </c>
      <c r="Z1217">
        <f>IF(AND(vp.tbl[[#This Row],[CrudeType]]="Crude",vp.tbl[[#This Row],[Dens]]&lt;=825,vp.tbl[[#This Row],[Sulf]]&gt;0.5,vp.tbl[[#This Row],[Unknown]]=0),1,0)</f>
        <v>0</v>
      </c>
      <c r="AA1217">
        <f>IF(AND(vp.tbl[[#This Row],[CrudeType]]="Crude",vp.tbl[[#This Row],[Dens]]&lt;=825,vp.tbl[[#This Row],[Sulf]]&lt;=0.5,vp.tbl[[#This Row],[Unknown]]=0),1,0)</f>
        <v>0</v>
      </c>
      <c r="AB1217">
        <f>IF(AND(vp.tbl[[#This Row],[CrudeType]]="Crude",vp.tbl[[#This Row],[Dens]]&gt;825,vp.tbl[[#This Row],[Dens]]&lt;=870,vp.tbl[[#This Row],[Sulf]]&gt;0.5,vp.tbl[[#This Row],[Unknown]]=0),1,0)</f>
        <v>1</v>
      </c>
      <c r="AC1217">
        <f>IF(AND(vp.tbl[[#This Row],[CrudeType]]="Crude",vp.tbl[[#This Row],[Dens]]&gt;825,vp.tbl[[#This Row],[Dens]]&lt;=900,vp.tbl[[#This Row],[Sulf]]&lt;=0.5,vp.tbl[[#This Row],[Unknown]]=0),1,0)</f>
        <v>0</v>
      </c>
      <c r="AD1217">
        <f>IF(AND(vp.tbl[[#This Row],[CrudeType]]="Crude",vp.tbl[[#This Row],[Dens]]&gt;870,vp.tbl[[#This Row],[Dens]]&lt;=900,vp.tbl[[#This Row],[Sulf]]&gt;0.5,vp.tbl[[#This Row],[Unknown]]=0),1,0)</f>
        <v>0</v>
      </c>
      <c r="AE1217">
        <f>IF(AND(vp.tbl[[#This Row],[CrudeType]]="Crude",vp.tbl[[#This Row],[Dens]]&gt;900,vp.tbl[[#This Row],[Sulf]]&lt;=0.5,vp.tbl[[#This Row],[Unknown]]=0),1,0)</f>
        <v>0</v>
      </c>
      <c r="AF1217">
        <f>IF(AND(vp.tbl[[#This Row],[CrudeType]]="Crude",vp.tbl[[#This Row],[Dens]]&gt;900,vp.tbl[[#This Row],[Sulf]]&lt;=0.5,vp.tbl[[#This Row],[Unknown]]=0),1,0)</f>
        <v>0</v>
      </c>
      <c r="AG1217" t="str">
        <f>INDEX(vp.tbl[[#Headers],[Unknown]:[Heavy_SW]],MATCH(1,vp.tbl[[#This Row],[Unknown]:[Heavy_SW]],0))</f>
        <v>Medium_LSB</v>
      </c>
      <c r="AH1217" t="e">
        <f>INDEX([1]!crudeBD.lkup[Number],MATCH(vp.tbl[[#This Row],[Crude_Breakdown]],[1]!crudeBD.lkup[Crude Breakdown],0))</f>
        <v>#REF!</v>
      </c>
      <c r="AI1217">
        <f>MONTH(vp.tbl[[#This Row],[SDate]])</f>
        <v>4</v>
      </c>
      <c r="AJ1217" s="5">
        <f>IFERROR(vp.tbl[[#This Row],[Sulf]]*vp.tbl[[#This Row],[Net Dens]],"")</f>
        <v>11110877.017344</v>
      </c>
      <c r="AK1217" s="5">
        <f>IFERROR(vp.tbl[[#This Row],[Dens]]*vp.tbl[[#This Row],[VolumeM3]],"")</f>
        <v>10683535.593599999</v>
      </c>
      <c r="AL1217" s="5">
        <f>IFERROR(vp.tbl[[#This Row],[VP]]*vp.tbl[[#This Row],[VolumeM3]],"")</f>
        <v>1147147.5311999999</v>
      </c>
      <c r="AM1217" s="4">
        <f>IFERROR((vp.tbl[[#This Row],[VP]]-INDEX(crudeBD.lkup.complete[Mean_VP],MATCH(vp.tbl[[#This Row],[Crude_Breakdown]],crudeBD.lkup.complete[Crude Breakdown],0)))^2,"")</f>
        <v>79.68070735395024</v>
      </c>
      <c r="AN1217" s="4">
        <f>IFERROR((vp.tbl[[#This Row],[Dens]]-INDEX(crudeBD.lkup.complete[Mean_Dens],MATCH(vp.tbl[[#This Row],[Crude_Breakdown]],crudeBD.lkup.complete[Crude Breakdown],0)))^2,"")</f>
        <v>239.99657319593308</v>
      </c>
      <c r="AO1217" s="4">
        <f>IFERROR((vp.tbl[[#This Row],[Sulf]]-INDEX(crudeBD.lkup.complete[Mean_Sulf],MATCH(vp.tbl[[#This Row],[Crude_Breakdown]],crudeBD.lkup.complete[Crude Breakdown],0)))^2,"")</f>
        <v>0.17216678934989402</v>
      </c>
      <c r="AP1217">
        <f>IF(AND(vp.tbl[[#This Row],[SDate]]&gt;=DATE(YEAR(vp.tbl[[#This Row],[SDate]]),5,1),vp.tbl[[#This Row],[SDate]]&lt;=DATE(YEAR(vp.tbl[[#This Row],[SDate]]),9,15)),1,0)</f>
        <v>0</v>
      </c>
      <c r="AQ1217" s="15">
        <f>IF(vp.tbl[[#This Row],[SDate]]&lt;DATE(2016,12,1),0,1)</f>
        <v>1</v>
      </c>
    </row>
    <row r="1218" spans="1:43" x14ac:dyDescent="0.25">
      <c r="A1218">
        <v>1217</v>
      </c>
      <c r="B1218" t="s">
        <v>108</v>
      </c>
      <c r="C1218" t="s">
        <v>108</v>
      </c>
      <c r="D1218" t="s">
        <v>109</v>
      </c>
      <c r="F1218" s="1">
        <v>42836</v>
      </c>
      <c r="G1218" s="2">
        <v>87.2</v>
      </c>
      <c r="H1218" s="2"/>
      <c r="I1218" s="2">
        <v>0.76</v>
      </c>
      <c r="J1218" s="2">
        <v>26.5</v>
      </c>
      <c r="K1218" s="2">
        <v>8</v>
      </c>
      <c r="L1218" s="2">
        <v>833.7</v>
      </c>
      <c r="M1218" s="2">
        <v>833.7</v>
      </c>
      <c r="N1218" s="2">
        <f ca="1">INDEX(INDIRECT(_xlfn.CONCAT("weather.tbl[",N$1,"]")),MATCH(vp.tbl[[#This Row],[SDate]],weather.tbl[Date],0))</f>
        <v>5.2833333333333341</v>
      </c>
      <c r="O1218" s="2">
        <f ca="1">INDEX(INDIRECT(_xlfn.CONCAT("weather.tbl[",O$1,"]")),MATCH(vp.tbl[[#This Row],[SDate]],weather.tbl[Date],0))</f>
        <v>5.9023809523809518</v>
      </c>
      <c r="P1218" s="2">
        <f ca="1">INDEX(INDIRECT(_xlfn.CONCAT("weather.tbl[",P$1,"]")),MATCH(vp.tbl[[#This Row],[SDate]],weather.tbl[Date],0))</f>
        <v>6.1</v>
      </c>
      <c r="Q1218" s="2">
        <f ca="1">INDEX(INDIRECT(_xlfn.CONCAT("weather.tbl[",Q$1,"]")),MATCH(vp.tbl[[#This Row],[SDate]],weather.tbl[Date],0))</f>
        <v>5.5</v>
      </c>
      <c r="R1218" s="2">
        <f ca="1">INDEX(INDIRECT(_xlfn.CONCAT("weather.tbl[",R$1,"]")),MATCH(vp.tbl[[#This Row],[SDate]],weather.tbl[Date],0))</f>
        <v>4.5</v>
      </c>
      <c r="S1218" s="2">
        <f ca="1">INDEX(INDIRECT(_xlfn.CONCAT("weather.tbl[",S$1,"]")),MATCH(vp.tbl[[#This Row],[SDate]],weather.tbl[Date],0))</f>
        <v>5.5</v>
      </c>
      <c r="T1218" s="2">
        <f ca="1">INDEX(INDIRECT(_xlfn.CONCAT("weather.tbl[",T$1,"]")),MATCH(vp.tbl[[#This Row],[SDate]],weather.tbl[Date],0))</f>
        <v>5.0999999999999996</v>
      </c>
      <c r="U1218" s="2">
        <f ca="1">INDEX(INDIRECT(_xlfn.CONCAT("weather.tbl[",U$1,"]")),MATCH(vp.tbl[[#This Row],[SDate]],weather.tbl[Date],0))</f>
        <v>5</v>
      </c>
      <c r="V1218" s="2">
        <v>12560.075999999999</v>
      </c>
      <c r="W1218" t="s">
        <v>48</v>
      </c>
      <c r="X1218">
        <f>IF(OR(vp.tbl[[#This Row],[Sulf]]="",vp.tbl[[#This Row],[Dens]]=""),1,0)</f>
        <v>0</v>
      </c>
      <c r="Y1218">
        <f>IF(vp.tbl[[#This Row],[CrudeType]]="C5+",1,0)</f>
        <v>0</v>
      </c>
      <c r="Z1218">
        <f>IF(AND(vp.tbl[[#This Row],[CrudeType]]="Crude",vp.tbl[[#This Row],[Dens]]&lt;=825,vp.tbl[[#This Row],[Sulf]]&gt;0.5,vp.tbl[[#This Row],[Unknown]]=0),1,0)</f>
        <v>0</v>
      </c>
      <c r="AA1218">
        <f>IF(AND(vp.tbl[[#This Row],[CrudeType]]="Crude",vp.tbl[[#This Row],[Dens]]&lt;=825,vp.tbl[[#This Row],[Sulf]]&lt;=0.5,vp.tbl[[#This Row],[Unknown]]=0),1,0)</f>
        <v>0</v>
      </c>
      <c r="AB1218">
        <f>IF(AND(vp.tbl[[#This Row],[CrudeType]]="Crude",vp.tbl[[#This Row],[Dens]]&gt;825,vp.tbl[[#This Row],[Dens]]&lt;=870,vp.tbl[[#This Row],[Sulf]]&gt;0.5,vp.tbl[[#This Row],[Unknown]]=0),1,0)</f>
        <v>1</v>
      </c>
      <c r="AC1218">
        <f>IF(AND(vp.tbl[[#This Row],[CrudeType]]="Crude",vp.tbl[[#This Row],[Dens]]&gt;825,vp.tbl[[#This Row],[Dens]]&lt;=900,vp.tbl[[#This Row],[Sulf]]&lt;=0.5,vp.tbl[[#This Row],[Unknown]]=0),1,0)</f>
        <v>0</v>
      </c>
      <c r="AD1218">
        <f>IF(AND(vp.tbl[[#This Row],[CrudeType]]="Crude",vp.tbl[[#This Row],[Dens]]&gt;870,vp.tbl[[#This Row],[Dens]]&lt;=900,vp.tbl[[#This Row],[Sulf]]&gt;0.5,vp.tbl[[#This Row],[Unknown]]=0),1,0)</f>
        <v>0</v>
      </c>
      <c r="AE1218">
        <f>IF(AND(vp.tbl[[#This Row],[CrudeType]]="Crude",vp.tbl[[#This Row],[Dens]]&gt;900,vp.tbl[[#This Row],[Sulf]]&lt;=0.5,vp.tbl[[#This Row],[Unknown]]=0),1,0)</f>
        <v>0</v>
      </c>
      <c r="AF1218">
        <f>IF(AND(vp.tbl[[#This Row],[CrudeType]]="Crude",vp.tbl[[#This Row],[Dens]]&gt;900,vp.tbl[[#This Row],[Sulf]]&lt;=0.5,vp.tbl[[#This Row],[Unknown]]=0),1,0)</f>
        <v>0</v>
      </c>
      <c r="AG1218" t="str">
        <f>INDEX(vp.tbl[[#Headers],[Unknown]:[Heavy_SW]],MATCH(1,vp.tbl[[#This Row],[Unknown]:[Heavy_SW]],0))</f>
        <v>Medium_LSB</v>
      </c>
      <c r="AH1218" t="e">
        <f>INDEX([1]!crudeBD.lkup[Number],MATCH(vp.tbl[[#This Row],[Crude_Breakdown]],[1]!crudeBD.lkup[Crude Breakdown],0))</f>
        <v>#REF!</v>
      </c>
      <c r="AI1218">
        <f>MONTH(vp.tbl[[#This Row],[SDate]])</f>
        <v>4</v>
      </c>
      <c r="AJ1218" s="5">
        <f>IFERROR(vp.tbl[[#This Row],[Sulf]]*vp.tbl[[#This Row],[Net Dens]],"")</f>
        <v>7958214.8745119991</v>
      </c>
      <c r="AK1218" s="5">
        <f>IFERROR(vp.tbl[[#This Row],[Dens]]*vp.tbl[[#This Row],[VolumeM3]],"")</f>
        <v>10471335.361199999</v>
      </c>
      <c r="AL1218" s="5">
        <f>IFERROR(vp.tbl[[#This Row],[VP]]*vp.tbl[[#This Row],[VolumeM3]],"")</f>
        <v>1095238.6272</v>
      </c>
      <c r="AM1218" s="4">
        <f>IFERROR((vp.tbl[[#This Row],[VP]]-INDEX(crudeBD.lkup.complete[Mean_VP],MATCH(vp.tbl[[#This Row],[Crude_Breakdown]],crudeBD.lkup.complete[Crude Breakdown],0)))^2,"")</f>
        <v>49.370368113443917</v>
      </c>
      <c r="AN1218" s="4">
        <f>IFERROR((vp.tbl[[#This Row],[Dens]]-INDEX(crudeBD.lkup.complete[Mean_Dens],MATCH(vp.tbl[[#This Row],[Crude_Breakdown]],crudeBD.lkup.complete[Crude Breakdown],0)))^2,"")</f>
        <v>134.37035547441931</v>
      </c>
      <c r="AO1218" s="4">
        <f>IFERROR((vp.tbl[[#This Row],[Sulf]]-INDEX(crudeBD.lkup.complete[Mean_Sulf],MATCH(vp.tbl[[#This Row],[Crude_Breakdown]],crudeBD.lkup.complete[Crude Breakdown],0)))^2,"")</f>
        <v>0.48292751137521128</v>
      </c>
      <c r="AP1218">
        <f>IF(AND(vp.tbl[[#This Row],[SDate]]&gt;=DATE(YEAR(vp.tbl[[#This Row],[SDate]]),5,1),vp.tbl[[#This Row],[SDate]]&lt;=DATE(YEAR(vp.tbl[[#This Row],[SDate]]),9,15)),1,0)</f>
        <v>0</v>
      </c>
      <c r="AQ1218" s="15">
        <f>IF(vp.tbl[[#This Row],[SDate]]&lt;DATE(2016,12,1),0,1)</f>
        <v>1</v>
      </c>
    </row>
    <row r="1219" spans="1:43" x14ac:dyDescent="0.25">
      <c r="A1219">
        <v>1218</v>
      </c>
      <c r="B1219" t="s">
        <v>51</v>
      </c>
      <c r="C1219" t="s">
        <v>51</v>
      </c>
      <c r="D1219" t="s">
        <v>254</v>
      </c>
      <c r="F1219" s="1">
        <v>42836</v>
      </c>
      <c r="G1219" s="2">
        <v>56</v>
      </c>
      <c r="H1219" s="2"/>
      <c r="I1219" s="2">
        <v>1.08</v>
      </c>
      <c r="J1219" s="2">
        <v>33.4</v>
      </c>
      <c r="K1219" s="2">
        <v>8</v>
      </c>
      <c r="L1219" s="2">
        <v>843.3</v>
      </c>
      <c r="M1219" s="2">
        <v>843.3</v>
      </c>
      <c r="N1219" s="2">
        <f ca="1">INDEX(INDIRECT(_xlfn.CONCAT("weather.tbl[",N$1,"]")),MATCH(vp.tbl[[#This Row],[SDate]],weather.tbl[Date],0))</f>
        <v>5.2833333333333341</v>
      </c>
      <c r="O1219" s="2">
        <f ca="1">INDEX(INDIRECT(_xlfn.CONCAT("weather.tbl[",O$1,"]")),MATCH(vp.tbl[[#This Row],[SDate]],weather.tbl[Date],0))</f>
        <v>5.9023809523809518</v>
      </c>
      <c r="P1219" s="2">
        <f ca="1">INDEX(INDIRECT(_xlfn.CONCAT("weather.tbl[",P$1,"]")),MATCH(vp.tbl[[#This Row],[SDate]],weather.tbl[Date],0))</f>
        <v>6.1</v>
      </c>
      <c r="Q1219" s="2">
        <f ca="1">INDEX(INDIRECT(_xlfn.CONCAT("weather.tbl[",Q$1,"]")),MATCH(vp.tbl[[#This Row],[SDate]],weather.tbl[Date],0))</f>
        <v>5.5</v>
      </c>
      <c r="R1219" s="2">
        <f ca="1">INDEX(INDIRECT(_xlfn.CONCAT("weather.tbl[",R$1,"]")),MATCH(vp.tbl[[#This Row],[SDate]],weather.tbl[Date],0))</f>
        <v>4.5</v>
      </c>
      <c r="S1219" s="2">
        <f ca="1">INDEX(INDIRECT(_xlfn.CONCAT("weather.tbl[",S$1,"]")),MATCH(vp.tbl[[#This Row],[SDate]],weather.tbl[Date],0))</f>
        <v>5.5</v>
      </c>
      <c r="T1219" s="2">
        <f ca="1">INDEX(INDIRECT(_xlfn.CONCAT("weather.tbl[",T$1,"]")),MATCH(vp.tbl[[#This Row],[SDate]],weather.tbl[Date],0))</f>
        <v>5.0999999999999996</v>
      </c>
      <c r="U1219" s="2">
        <f ca="1">INDEX(INDIRECT(_xlfn.CONCAT("weather.tbl[",U$1,"]")),MATCH(vp.tbl[[#This Row],[SDate]],weather.tbl[Date],0))</f>
        <v>5</v>
      </c>
      <c r="V1219" s="2">
        <v>632.351</v>
      </c>
      <c r="W1219" t="s">
        <v>48</v>
      </c>
      <c r="X1219">
        <f>IF(OR(vp.tbl[[#This Row],[Sulf]]="",vp.tbl[[#This Row],[Dens]]=""),1,0)</f>
        <v>0</v>
      </c>
      <c r="Y1219">
        <f>IF(vp.tbl[[#This Row],[CrudeType]]="C5+",1,0)</f>
        <v>0</v>
      </c>
      <c r="Z1219">
        <f>IF(AND(vp.tbl[[#This Row],[CrudeType]]="Crude",vp.tbl[[#This Row],[Dens]]&lt;=825,vp.tbl[[#This Row],[Sulf]]&gt;0.5,vp.tbl[[#This Row],[Unknown]]=0),1,0)</f>
        <v>0</v>
      </c>
      <c r="AA1219">
        <f>IF(AND(vp.tbl[[#This Row],[CrudeType]]="Crude",vp.tbl[[#This Row],[Dens]]&lt;=825,vp.tbl[[#This Row],[Sulf]]&lt;=0.5,vp.tbl[[#This Row],[Unknown]]=0),1,0)</f>
        <v>0</v>
      </c>
      <c r="AB1219">
        <f>IF(AND(vp.tbl[[#This Row],[CrudeType]]="Crude",vp.tbl[[#This Row],[Dens]]&gt;825,vp.tbl[[#This Row],[Dens]]&lt;=870,vp.tbl[[#This Row],[Sulf]]&gt;0.5,vp.tbl[[#This Row],[Unknown]]=0),1,0)</f>
        <v>1</v>
      </c>
      <c r="AC1219">
        <f>IF(AND(vp.tbl[[#This Row],[CrudeType]]="Crude",vp.tbl[[#This Row],[Dens]]&gt;825,vp.tbl[[#This Row],[Dens]]&lt;=900,vp.tbl[[#This Row],[Sulf]]&lt;=0.5,vp.tbl[[#This Row],[Unknown]]=0),1,0)</f>
        <v>0</v>
      </c>
      <c r="AD1219">
        <f>IF(AND(vp.tbl[[#This Row],[CrudeType]]="Crude",vp.tbl[[#This Row],[Dens]]&gt;870,vp.tbl[[#This Row],[Dens]]&lt;=900,vp.tbl[[#This Row],[Sulf]]&gt;0.5,vp.tbl[[#This Row],[Unknown]]=0),1,0)</f>
        <v>0</v>
      </c>
      <c r="AE1219">
        <f>IF(AND(vp.tbl[[#This Row],[CrudeType]]="Crude",vp.tbl[[#This Row],[Dens]]&gt;900,vp.tbl[[#This Row],[Sulf]]&lt;=0.5,vp.tbl[[#This Row],[Unknown]]=0),1,0)</f>
        <v>0</v>
      </c>
      <c r="AF1219">
        <f>IF(AND(vp.tbl[[#This Row],[CrudeType]]="Crude",vp.tbl[[#This Row],[Dens]]&gt;900,vp.tbl[[#This Row],[Sulf]]&lt;=0.5,vp.tbl[[#This Row],[Unknown]]=0),1,0)</f>
        <v>0</v>
      </c>
      <c r="AG1219" t="str">
        <f>INDEX(vp.tbl[[#Headers],[Unknown]:[Heavy_SW]],MATCH(1,vp.tbl[[#This Row],[Unknown]:[Heavy_SW]],0))</f>
        <v>Medium_LSB</v>
      </c>
      <c r="AH1219" t="e">
        <f>INDEX([1]!crudeBD.lkup[Number],MATCH(vp.tbl[[#This Row],[Crude_Breakdown]],[1]!crudeBD.lkup[Crude Breakdown],0))</f>
        <v>#REF!</v>
      </c>
      <c r="AI1219">
        <f>MONTH(vp.tbl[[#This Row],[SDate]])</f>
        <v>4</v>
      </c>
      <c r="AJ1219" s="5">
        <f>IFERROR(vp.tbl[[#This Row],[Sulf]]*vp.tbl[[#This Row],[Net Dens]],"")</f>
        <v>575922.52616400004</v>
      </c>
      <c r="AK1219" s="5">
        <f>IFERROR(vp.tbl[[#This Row],[Dens]]*vp.tbl[[#This Row],[VolumeM3]],"")</f>
        <v>533261.59829999995</v>
      </c>
      <c r="AL1219" s="5">
        <f>IFERROR(vp.tbl[[#This Row],[VP]]*vp.tbl[[#This Row],[VolumeM3]],"")</f>
        <v>35411.656000000003</v>
      </c>
      <c r="AM1219" s="4">
        <f>IFERROR((vp.tbl[[#This Row],[VP]]-INDEX(crudeBD.lkup.complete[Mean_VP],MATCH(vp.tbl[[#This Row],[Crude_Breakdown]],crudeBD.lkup.complete[Crude Breakdown],0)))^2,"")</f>
        <v>584.36269216407447</v>
      </c>
      <c r="AN1219" s="4">
        <f>IFERROR((vp.tbl[[#This Row],[Dens]]-INDEX(crudeBD.lkup.complete[Mean_Dens],MATCH(vp.tbl[[#This Row],[Crude_Breakdown]],crudeBD.lkup.complete[Crude Breakdown],0)))^2,"")</f>
        <v>3.9673580060850266</v>
      </c>
      <c r="AO1219" s="4">
        <f>IFERROR((vp.tbl[[#This Row],[Sulf]]-INDEX(crudeBD.lkup.complete[Mean_Sulf],MATCH(vp.tbl[[#This Row],[Crude_Breakdown]],crudeBD.lkup.complete[Crude Breakdown],0)))^2,"")</f>
        <v>0.14057240048913436</v>
      </c>
      <c r="AP1219">
        <f>IF(AND(vp.tbl[[#This Row],[SDate]]&gt;=DATE(YEAR(vp.tbl[[#This Row],[SDate]]),5,1),vp.tbl[[#This Row],[SDate]]&lt;=DATE(YEAR(vp.tbl[[#This Row],[SDate]]),9,15)),1,0)</f>
        <v>0</v>
      </c>
      <c r="AQ1219" s="15">
        <f>IF(vp.tbl[[#This Row],[SDate]]&lt;DATE(2016,12,1),0,1)</f>
        <v>1</v>
      </c>
    </row>
    <row r="1220" spans="1:43" x14ac:dyDescent="0.25">
      <c r="A1220">
        <v>1219</v>
      </c>
      <c r="B1220" t="s">
        <v>68</v>
      </c>
      <c r="C1220" t="s">
        <v>68</v>
      </c>
      <c r="D1220" t="s">
        <v>69</v>
      </c>
      <c r="F1220" s="1">
        <v>42836</v>
      </c>
      <c r="G1220" s="2">
        <v>73.5</v>
      </c>
      <c r="H1220" s="2"/>
      <c r="I1220" s="2">
        <v>1.52</v>
      </c>
      <c r="J1220" s="2">
        <v>18</v>
      </c>
      <c r="K1220" s="2">
        <v>8</v>
      </c>
      <c r="L1220" s="2">
        <v>850.2</v>
      </c>
      <c r="M1220" s="2">
        <v>850.2</v>
      </c>
      <c r="N1220" s="2">
        <f ca="1">INDEX(INDIRECT(_xlfn.CONCAT("weather.tbl[",N$1,"]")),MATCH(vp.tbl[[#This Row],[SDate]],weather.tbl[Date],0))</f>
        <v>5.2833333333333341</v>
      </c>
      <c r="O1220" s="2">
        <f ca="1">INDEX(INDIRECT(_xlfn.CONCAT("weather.tbl[",O$1,"]")),MATCH(vp.tbl[[#This Row],[SDate]],weather.tbl[Date],0))</f>
        <v>5.9023809523809518</v>
      </c>
      <c r="P1220" s="2">
        <f ca="1">INDEX(INDIRECT(_xlfn.CONCAT("weather.tbl[",P$1,"]")),MATCH(vp.tbl[[#This Row],[SDate]],weather.tbl[Date],0))</f>
        <v>6.1</v>
      </c>
      <c r="Q1220" s="2">
        <f ca="1">INDEX(INDIRECT(_xlfn.CONCAT("weather.tbl[",Q$1,"]")),MATCH(vp.tbl[[#This Row],[SDate]],weather.tbl[Date],0))</f>
        <v>5.5</v>
      </c>
      <c r="R1220" s="2">
        <f ca="1">INDEX(INDIRECT(_xlfn.CONCAT("weather.tbl[",R$1,"]")),MATCH(vp.tbl[[#This Row],[SDate]],weather.tbl[Date],0))</f>
        <v>4.5</v>
      </c>
      <c r="S1220" s="2">
        <f ca="1">INDEX(INDIRECT(_xlfn.CONCAT("weather.tbl[",S$1,"]")),MATCH(vp.tbl[[#This Row],[SDate]],weather.tbl[Date],0))</f>
        <v>5.5</v>
      </c>
      <c r="T1220" s="2">
        <f ca="1">INDEX(INDIRECT(_xlfn.CONCAT("weather.tbl[",T$1,"]")),MATCH(vp.tbl[[#This Row],[SDate]],weather.tbl[Date],0))</f>
        <v>5.0999999999999996</v>
      </c>
      <c r="U1220" s="2">
        <f ca="1">INDEX(INDIRECT(_xlfn.CONCAT("weather.tbl[",U$1,"]")),MATCH(vp.tbl[[#This Row],[SDate]],weather.tbl[Date],0))</f>
        <v>5</v>
      </c>
      <c r="V1220" s="2">
        <v>1529.07</v>
      </c>
      <c r="W1220" t="s">
        <v>48</v>
      </c>
      <c r="X1220">
        <f>IF(OR(vp.tbl[[#This Row],[Sulf]]="",vp.tbl[[#This Row],[Dens]]=""),1,0)</f>
        <v>0</v>
      </c>
      <c r="Y1220">
        <f>IF(vp.tbl[[#This Row],[CrudeType]]="C5+",1,0)</f>
        <v>0</v>
      </c>
      <c r="Z1220">
        <f>IF(AND(vp.tbl[[#This Row],[CrudeType]]="Crude",vp.tbl[[#This Row],[Dens]]&lt;=825,vp.tbl[[#This Row],[Sulf]]&gt;0.5,vp.tbl[[#This Row],[Unknown]]=0),1,0)</f>
        <v>0</v>
      </c>
      <c r="AA1220">
        <f>IF(AND(vp.tbl[[#This Row],[CrudeType]]="Crude",vp.tbl[[#This Row],[Dens]]&lt;=825,vp.tbl[[#This Row],[Sulf]]&lt;=0.5,vp.tbl[[#This Row],[Unknown]]=0),1,0)</f>
        <v>0</v>
      </c>
      <c r="AB1220">
        <f>IF(AND(vp.tbl[[#This Row],[CrudeType]]="Crude",vp.tbl[[#This Row],[Dens]]&gt;825,vp.tbl[[#This Row],[Dens]]&lt;=870,vp.tbl[[#This Row],[Sulf]]&gt;0.5,vp.tbl[[#This Row],[Unknown]]=0),1,0)</f>
        <v>1</v>
      </c>
      <c r="AC1220">
        <f>IF(AND(vp.tbl[[#This Row],[CrudeType]]="Crude",vp.tbl[[#This Row],[Dens]]&gt;825,vp.tbl[[#This Row],[Dens]]&lt;=900,vp.tbl[[#This Row],[Sulf]]&lt;=0.5,vp.tbl[[#This Row],[Unknown]]=0),1,0)</f>
        <v>0</v>
      </c>
      <c r="AD1220">
        <f>IF(AND(vp.tbl[[#This Row],[CrudeType]]="Crude",vp.tbl[[#This Row],[Dens]]&gt;870,vp.tbl[[#This Row],[Dens]]&lt;=900,vp.tbl[[#This Row],[Sulf]]&gt;0.5,vp.tbl[[#This Row],[Unknown]]=0),1,0)</f>
        <v>0</v>
      </c>
      <c r="AE1220">
        <f>IF(AND(vp.tbl[[#This Row],[CrudeType]]="Crude",vp.tbl[[#This Row],[Dens]]&gt;900,vp.tbl[[#This Row],[Sulf]]&lt;=0.5,vp.tbl[[#This Row],[Unknown]]=0),1,0)</f>
        <v>0</v>
      </c>
      <c r="AF1220">
        <f>IF(AND(vp.tbl[[#This Row],[CrudeType]]="Crude",vp.tbl[[#This Row],[Dens]]&gt;900,vp.tbl[[#This Row],[Sulf]]&lt;=0.5,vp.tbl[[#This Row],[Unknown]]=0),1,0)</f>
        <v>0</v>
      </c>
      <c r="AG1220" t="str">
        <f>INDEX(vp.tbl[[#Headers],[Unknown]:[Heavy_SW]],MATCH(1,vp.tbl[[#This Row],[Unknown]:[Heavy_SW]],0))</f>
        <v>Medium_LSB</v>
      </c>
      <c r="AH1220" t="e">
        <f>INDEX([1]!crudeBD.lkup[Number],MATCH(vp.tbl[[#This Row],[Crude_Breakdown]],[1]!crudeBD.lkup[Crude Breakdown],0))</f>
        <v>#REF!</v>
      </c>
      <c r="AI1220">
        <f>MONTH(vp.tbl[[#This Row],[SDate]])</f>
        <v>4</v>
      </c>
      <c r="AJ1220" s="5">
        <f>IFERROR(vp.tbl[[#This Row],[Sulf]]*vp.tbl[[#This Row],[Net Dens]],"")</f>
        <v>1976023.27728</v>
      </c>
      <c r="AK1220" s="5">
        <f>IFERROR(vp.tbl[[#This Row],[Dens]]*vp.tbl[[#This Row],[VolumeM3]],"")</f>
        <v>1300015.314</v>
      </c>
      <c r="AL1220" s="5">
        <f>IFERROR(vp.tbl[[#This Row],[VP]]*vp.tbl[[#This Row],[VolumeM3]],"")</f>
        <v>112386.64499999999</v>
      </c>
      <c r="AM1220" s="4">
        <f>IFERROR((vp.tbl[[#This Row],[VP]]-INDEX(crudeBD.lkup.complete[Mean_VP],MATCH(vp.tbl[[#This Row],[Crude_Breakdown]],crudeBD.lkup.complete[Crude Breakdown],0)))^2,"")</f>
        <v>44.536869379265653</v>
      </c>
      <c r="AN1220" s="4">
        <f>IFERROR((vp.tbl[[#This Row],[Dens]]-INDEX(crudeBD.lkup.complete[Mean_Dens],MATCH(vp.tbl[[#This Row],[Crude_Breakdown]],crudeBD.lkup.complete[Crude Breakdown],0)))^2,"")</f>
        <v>24.090203575719134</v>
      </c>
      <c r="AO1220" s="4">
        <f>IFERROR((vp.tbl[[#This Row],[Sulf]]-INDEX(crudeBD.lkup.complete[Mean_Sulf],MATCH(vp.tbl[[#This Row],[Crude_Breakdown]],crudeBD.lkup.complete[Crude Breakdown],0)))^2,"")</f>
        <v>4.2341230207786906E-3</v>
      </c>
      <c r="AP1220">
        <f>IF(AND(vp.tbl[[#This Row],[SDate]]&gt;=DATE(YEAR(vp.tbl[[#This Row],[SDate]]),5,1),vp.tbl[[#This Row],[SDate]]&lt;=DATE(YEAR(vp.tbl[[#This Row],[SDate]]),9,15)),1,0)</f>
        <v>0</v>
      </c>
      <c r="AQ1220" s="15">
        <f>IF(vp.tbl[[#This Row],[SDate]]&lt;DATE(2016,12,1),0,1)</f>
        <v>1</v>
      </c>
    </row>
    <row r="1221" spans="1:43" x14ac:dyDescent="0.25">
      <c r="A1221">
        <v>1220</v>
      </c>
      <c r="B1221" t="s">
        <v>68</v>
      </c>
      <c r="C1221" t="s">
        <v>68</v>
      </c>
      <c r="D1221" t="s">
        <v>98</v>
      </c>
      <c r="F1221" s="1">
        <v>42836</v>
      </c>
      <c r="G1221" s="2">
        <v>57.3</v>
      </c>
      <c r="H1221" s="2"/>
      <c r="I1221" s="2">
        <v>1.35</v>
      </c>
      <c r="J1221" s="2">
        <v>36.799999999999997</v>
      </c>
      <c r="K1221" s="2">
        <v>8</v>
      </c>
      <c r="L1221" s="2">
        <v>852.1</v>
      </c>
      <c r="M1221" s="2">
        <v>852.1</v>
      </c>
      <c r="N1221" s="2">
        <f ca="1">INDEX(INDIRECT(_xlfn.CONCAT("weather.tbl[",N$1,"]")),MATCH(vp.tbl[[#This Row],[SDate]],weather.tbl[Date],0))</f>
        <v>5.2833333333333341</v>
      </c>
      <c r="O1221" s="2">
        <f ca="1">INDEX(INDIRECT(_xlfn.CONCAT("weather.tbl[",O$1,"]")),MATCH(vp.tbl[[#This Row],[SDate]],weather.tbl[Date],0))</f>
        <v>5.9023809523809518</v>
      </c>
      <c r="P1221" s="2">
        <f ca="1">INDEX(INDIRECT(_xlfn.CONCAT("weather.tbl[",P$1,"]")),MATCH(vp.tbl[[#This Row],[SDate]],weather.tbl[Date],0))</f>
        <v>6.1</v>
      </c>
      <c r="Q1221" s="2">
        <f ca="1">INDEX(INDIRECT(_xlfn.CONCAT("weather.tbl[",Q$1,"]")),MATCH(vp.tbl[[#This Row],[SDate]],weather.tbl[Date],0))</f>
        <v>5.5</v>
      </c>
      <c r="R1221" s="2">
        <f ca="1">INDEX(INDIRECT(_xlfn.CONCAT("weather.tbl[",R$1,"]")),MATCH(vp.tbl[[#This Row],[SDate]],weather.tbl[Date],0))</f>
        <v>4.5</v>
      </c>
      <c r="S1221" s="2">
        <f ca="1">INDEX(INDIRECT(_xlfn.CONCAT("weather.tbl[",S$1,"]")),MATCH(vp.tbl[[#This Row],[SDate]],weather.tbl[Date],0))</f>
        <v>5.5</v>
      </c>
      <c r="T1221" s="2">
        <f ca="1">INDEX(INDIRECT(_xlfn.CONCAT("weather.tbl[",T$1,"]")),MATCH(vp.tbl[[#This Row],[SDate]],weather.tbl[Date],0))</f>
        <v>5.0999999999999996</v>
      </c>
      <c r="U1221" s="2">
        <f ca="1">INDEX(INDIRECT(_xlfn.CONCAT("weather.tbl[",U$1,"]")),MATCH(vp.tbl[[#This Row],[SDate]],weather.tbl[Date],0))</f>
        <v>5</v>
      </c>
      <c r="V1221" s="2">
        <v>4664.6729999999998</v>
      </c>
      <c r="W1221" t="s">
        <v>48</v>
      </c>
      <c r="X1221">
        <f>IF(OR(vp.tbl[[#This Row],[Sulf]]="",vp.tbl[[#This Row],[Dens]]=""),1,0)</f>
        <v>0</v>
      </c>
      <c r="Y1221">
        <f>IF(vp.tbl[[#This Row],[CrudeType]]="C5+",1,0)</f>
        <v>0</v>
      </c>
      <c r="Z1221">
        <f>IF(AND(vp.tbl[[#This Row],[CrudeType]]="Crude",vp.tbl[[#This Row],[Dens]]&lt;=825,vp.tbl[[#This Row],[Sulf]]&gt;0.5,vp.tbl[[#This Row],[Unknown]]=0),1,0)</f>
        <v>0</v>
      </c>
      <c r="AA1221">
        <f>IF(AND(vp.tbl[[#This Row],[CrudeType]]="Crude",vp.tbl[[#This Row],[Dens]]&lt;=825,vp.tbl[[#This Row],[Sulf]]&lt;=0.5,vp.tbl[[#This Row],[Unknown]]=0),1,0)</f>
        <v>0</v>
      </c>
      <c r="AB1221">
        <f>IF(AND(vp.tbl[[#This Row],[CrudeType]]="Crude",vp.tbl[[#This Row],[Dens]]&gt;825,vp.tbl[[#This Row],[Dens]]&lt;=870,vp.tbl[[#This Row],[Sulf]]&gt;0.5,vp.tbl[[#This Row],[Unknown]]=0),1,0)</f>
        <v>1</v>
      </c>
      <c r="AC1221">
        <f>IF(AND(vp.tbl[[#This Row],[CrudeType]]="Crude",vp.tbl[[#This Row],[Dens]]&gt;825,vp.tbl[[#This Row],[Dens]]&lt;=900,vp.tbl[[#This Row],[Sulf]]&lt;=0.5,vp.tbl[[#This Row],[Unknown]]=0),1,0)</f>
        <v>0</v>
      </c>
      <c r="AD1221">
        <f>IF(AND(vp.tbl[[#This Row],[CrudeType]]="Crude",vp.tbl[[#This Row],[Dens]]&gt;870,vp.tbl[[#This Row],[Dens]]&lt;=900,vp.tbl[[#This Row],[Sulf]]&gt;0.5,vp.tbl[[#This Row],[Unknown]]=0),1,0)</f>
        <v>0</v>
      </c>
      <c r="AE1221">
        <f>IF(AND(vp.tbl[[#This Row],[CrudeType]]="Crude",vp.tbl[[#This Row],[Dens]]&gt;900,vp.tbl[[#This Row],[Sulf]]&lt;=0.5,vp.tbl[[#This Row],[Unknown]]=0),1,0)</f>
        <v>0</v>
      </c>
      <c r="AF1221">
        <f>IF(AND(vp.tbl[[#This Row],[CrudeType]]="Crude",vp.tbl[[#This Row],[Dens]]&gt;900,vp.tbl[[#This Row],[Sulf]]&lt;=0.5,vp.tbl[[#This Row],[Unknown]]=0),1,0)</f>
        <v>0</v>
      </c>
      <c r="AG1221" t="str">
        <f>INDEX(vp.tbl[[#Headers],[Unknown]:[Heavy_SW]],MATCH(1,vp.tbl[[#This Row],[Unknown]:[Heavy_SW]],0))</f>
        <v>Medium_LSB</v>
      </c>
      <c r="AH1221" t="e">
        <f>INDEX([1]!crudeBD.lkup[Number],MATCH(vp.tbl[[#This Row],[Crude_Breakdown]],[1]!crudeBD.lkup[Crude Breakdown],0))</f>
        <v>#REF!</v>
      </c>
      <c r="AI1221">
        <f>MONTH(vp.tbl[[#This Row],[SDate]])</f>
        <v>4</v>
      </c>
      <c r="AJ1221" s="5">
        <f>IFERROR(vp.tbl[[#This Row],[Sulf]]*vp.tbl[[#This Row],[Net Dens]],"")</f>
        <v>5365936.6154549997</v>
      </c>
      <c r="AK1221" s="5">
        <f>IFERROR(vp.tbl[[#This Row],[Dens]]*vp.tbl[[#This Row],[VolumeM3]],"")</f>
        <v>3974767.8632999999</v>
      </c>
      <c r="AL1221" s="5">
        <f>IFERROR(vp.tbl[[#This Row],[VP]]*vp.tbl[[#This Row],[VolumeM3]],"")</f>
        <v>267285.76289999997</v>
      </c>
      <c r="AM1221" s="4">
        <f>IFERROR((vp.tbl[[#This Row],[VP]]-INDEX(crudeBD.lkup.complete[Mean_VP],MATCH(vp.tbl[[#This Row],[Crude_Breakdown]],crudeBD.lkup.complete[Crude Breakdown],0)))^2,"")</f>
        <v>523.20134532863165</v>
      </c>
      <c r="AN1221" s="4">
        <f>IFERROR((vp.tbl[[#This Row],[Dens]]-INDEX(crudeBD.lkup.complete[Mean_Dens],MATCH(vp.tbl[[#This Row],[Crude_Breakdown]],crudeBD.lkup.complete[Crude Breakdown],0)))^2,"")</f>
        <v>46.351276993444259</v>
      </c>
      <c r="AO1221" s="4">
        <f>IFERROR((vp.tbl[[#This Row],[Sulf]]-INDEX(crudeBD.lkup.complete[Mean_Sulf],MATCH(vp.tbl[[#This Row],[Crude_Breakdown]],crudeBD.lkup.complete[Crude Breakdown],0)))^2,"")</f>
        <v>1.1010275679007022E-2</v>
      </c>
      <c r="AP1221">
        <f>IF(AND(vp.tbl[[#This Row],[SDate]]&gt;=DATE(YEAR(vp.tbl[[#This Row],[SDate]]),5,1),vp.tbl[[#This Row],[SDate]]&lt;=DATE(YEAR(vp.tbl[[#This Row],[SDate]]),9,15)),1,0)</f>
        <v>0</v>
      </c>
      <c r="AQ1221" s="15">
        <f>IF(vp.tbl[[#This Row],[SDate]]&lt;DATE(2016,12,1),0,1)</f>
        <v>1</v>
      </c>
    </row>
    <row r="1222" spans="1:43" x14ac:dyDescent="0.25">
      <c r="A1222">
        <v>1221</v>
      </c>
      <c r="B1222" t="s">
        <v>68</v>
      </c>
      <c r="C1222" t="s">
        <v>68</v>
      </c>
      <c r="D1222" t="s">
        <v>110</v>
      </c>
      <c r="F1222" s="1">
        <v>42836</v>
      </c>
      <c r="G1222" s="2">
        <v>60.9</v>
      </c>
      <c r="H1222" s="2"/>
      <c r="I1222" s="2">
        <v>1.45</v>
      </c>
      <c r="J1222" s="2">
        <v>37.200000000000003</v>
      </c>
      <c r="K1222" s="2">
        <v>8</v>
      </c>
      <c r="L1222" s="2">
        <v>853.3</v>
      </c>
      <c r="M1222" s="2">
        <v>853.3</v>
      </c>
      <c r="N1222" s="2">
        <f ca="1">INDEX(INDIRECT(_xlfn.CONCAT("weather.tbl[",N$1,"]")),MATCH(vp.tbl[[#This Row],[SDate]],weather.tbl[Date],0))</f>
        <v>5.2833333333333341</v>
      </c>
      <c r="O1222" s="2">
        <f ca="1">INDEX(INDIRECT(_xlfn.CONCAT("weather.tbl[",O$1,"]")),MATCH(vp.tbl[[#This Row],[SDate]],weather.tbl[Date],0))</f>
        <v>5.9023809523809518</v>
      </c>
      <c r="P1222" s="2">
        <f ca="1">INDEX(INDIRECT(_xlfn.CONCAT("weather.tbl[",P$1,"]")),MATCH(vp.tbl[[#This Row],[SDate]],weather.tbl[Date],0))</f>
        <v>6.1</v>
      </c>
      <c r="Q1222" s="2">
        <f ca="1">INDEX(INDIRECT(_xlfn.CONCAT("weather.tbl[",Q$1,"]")),MATCH(vp.tbl[[#This Row],[SDate]],weather.tbl[Date],0))</f>
        <v>5.5</v>
      </c>
      <c r="R1222" s="2">
        <f ca="1">INDEX(INDIRECT(_xlfn.CONCAT("weather.tbl[",R$1,"]")),MATCH(vp.tbl[[#This Row],[SDate]],weather.tbl[Date],0))</f>
        <v>4.5</v>
      </c>
      <c r="S1222" s="2">
        <f ca="1">INDEX(INDIRECT(_xlfn.CONCAT("weather.tbl[",S$1,"]")),MATCH(vp.tbl[[#This Row],[SDate]],weather.tbl[Date],0))</f>
        <v>5.5</v>
      </c>
      <c r="T1222" s="2">
        <f ca="1">INDEX(INDIRECT(_xlfn.CONCAT("weather.tbl[",T$1,"]")),MATCH(vp.tbl[[#This Row],[SDate]],weather.tbl[Date],0))</f>
        <v>5.0999999999999996</v>
      </c>
      <c r="U1222" s="2">
        <f ca="1">INDEX(INDIRECT(_xlfn.CONCAT("weather.tbl[",U$1,"]")),MATCH(vp.tbl[[#This Row],[SDate]],weather.tbl[Date],0))</f>
        <v>5</v>
      </c>
      <c r="V1222" s="2">
        <v>4378.3119999999999</v>
      </c>
      <c r="W1222" t="s">
        <v>48</v>
      </c>
      <c r="X1222">
        <f>IF(OR(vp.tbl[[#This Row],[Sulf]]="",vp.tbl[[#This Row],[Dens]]=""),1,0)</f>
        <v>0</v>
      </c>
      <c r="Y1222">
        <f>IF(vp.tbl[[#This Row],[CrudeType]]="C5+",1,0)</f>
        <v>0</v>
      </c>
      <c r="Z1222">
        <f>IF(AND(vp.tbl[[#This Row],[CrudeType]]="Crude",vp.tbl[[#This Row],[Dens]]&lt;=825,vp.tbl[[#This Row],[Sulf]]&gt;0.5,vp.tbl[[#This Row],[Unknown]]=0),1,0)</f>
        <v>0</v>
      </c>
      <c r="AA1222">
        <f>IF(AND(vp.tbl[[#This Row],[CrudeType]]="Crude",vp.tbl[[#This Row],[Dens]]&lt;=825,vp.tbl[[#This Row],[Sulf]]&lt;=0.5,vp.tbl[[#This Row],[Unknown]]=0),1,0)</f>
        <v>0</v>
      </c>
      <c r="AB1222">
        <f>IF(AND(vp.tbl[[#This Row],[CrudeType]]="Crude",vp.tbl[[#This Row],[Dens]]&gt;825,vp.tbl[[#This Row],[Dens]]&lt;=870,vp.tbl[[#This Row],[Sulf]]&gt;0.5,vp.tbl[[#This Row],[Unknown]]=0),1,0)</f>
        <v>1</v>
      </c>
      <c r="AC1222">
        <f>IF(AND(vp.tbl[[#This Row],[CrudeType]]="Crude",vp.tbl[[#This Row],[Dens]]&gt;825,vp.tbl[[#This Row],[Dens]]&lt;=900,vp.tbl[[#This Row],[Sulf]]&lt;=0.5,vp.tbl[[#This Row],[Unknown]]=0),1,0)</f>
        <v>0</v>
      </c>
      <c r="AD1222">
        <f>IF(AND(vp.tbl[[#This Row],[CrudeType]]="Crude",vp.tbl[[#This Row],[Dens]]&gt;870,vp.tbl[[#This Row],[Dens]]&lt;=900,vp.tbl[[#This Row],[Sulf]]&gt;0.5,vp.tbl[[#This Row],[Unknown]]=0),1,0)</f>
        <v>0</v>
      </c>
      <c r="AE1222">
        <f>IF(AND(vp.tbl[[#This Row],[CrudeType]]="Crude",vp.tbl[[#This Row],[Dens]]&gt;900,vp.tbl[[#This Row],[Sulf]]&lt;=0.5,vp.tbl[[#This Row],[Unknown]]=0),1,0)</f>
        <v>0</v>
      </c>
      <c r="AF1222">
        <f>IF(AND(vp.tbl[[#This Row],[CrudeType]]="Crude",vp.tbl[[#This Row],[Dens]]&gt;900,vp.tbl[[#This Row],[Sulf]]&lt;=0.5,vp.tbl[[#This Row],[Unknown]]=0),1,0)</f>
        <v>0</v>
      </c>
      <c r="AG1222" t="str">
        <f>INDEX(vp.tbl[[#Headers],[Unknown]:[Heavy_SW]],MATCH(1,vp.tbl[[#This Row],[Unknown]:[Heavy_SW]],0))</f>
        <v>Medium_LSB</v>
      </c>
      <c r="AH1222" t="e">
        <f>INDEX([1]!crudeBD.lkup[Number],MATCH(vp.tbl[[#This Row],[Crude_Breakdown]],[1]!crudeBD.lkup[Crude Breakdown],0))</f>
        <v>#REF!</v>
      </c>
      <c r="AI1222">
        <f>MONTH(vp.tbl[[#This Row],[SDate]])</f>
        <v>4</v>
      </c>
      <c r="AJ1222" s="5">
        <f>IFERROR(vp.tbl[[#This Row],[Sulf]]*vp.tbl[[#This Row],[Net Dens]],"")</f>
        <v>5417219.7629199997</v>
      </c>
      <c r="AK1222" s="5">
        <f>IFERROR(vp.tbl[[#This Row],[Dens]]*vp.tbl[[#This Row],[VolumeM3]],"")</f>
        <v>3736013.6295999996</v>
      </c>
      <c r="AL1222" s="5">
        <f>IFERROR(vp.tbl[[#This Row],[VP]]*vp.tbl[[#This Row],[VolumeM3]],"")</f>
        <v>266639.20079999999</v>
      </c>
      <c r="AM1222" s="4">
        <f>IFERROR((vp.tbl[[#This Row],[VP]]-INDEX(crudeBD.lkup.complete[Mean_VP],MATCH(vp.tbl[[#This Row],[Crude_Breakdown]],crudeBD.lkup.complete[Crude Breakdown],0)))^2,"")</f>
        <v>371.47146178432808</v>
      </c>
      <c r="AN1222" s="4">
        <f>IFERROR((vp.tbl[[#This Row],[Dens]]-INDEX(crudeBD.lkup.complete[Mean_Dens],MATCH(vp.tbl[[#This Row],[Crude_Breakdown]],crudeBD.lkup.complete[Crude Breakdown],0)))^2,"")</f>
        <v>64.130902309901273</v>
      </c>
      <c r="AO1222" s="4">
        <f>IFERROR((vp.tbl[[#This Row],[Sulf]]-INDEX(crudeBD.lkup.complete[Mean_Sulf],MATCH(vp.tbl[[#This Row],[Crude_Breakdown]],crudeBD.lkup.complete[Crude Breakdown],0)))^2,"")</f>
        <v>2.4303527108010561E-5</v>
      </c>
      <c r="AP1222">
        <f>IF(AND(vp.tbl[[#This Row],[SDate]]&gt;=DATE(YEAR(vp.tbl[[#This Row],[SDate]]),5,1),vp.tbl[[#This Row],[SDate]]&lt;=DATE(YEAR(vp.tbl[[#This Row],[SDate]]),9,15)),1,0)</f>
        <v>0</v>
      </c>
      <c r="AQ1222" s="15">
        <f>IF(vp.tbl[[#This Row],[SDate]]&lt;DATE(2016,12,1),0,1)</f>
        <v>1</v>
      </c>
    </row>
    <row r="1223" spans="1:43" x14ac:dyDescent="0.25">
      <c r="A1223">
        <v>1222</v>
      </c>
      <c r="B1223" t="s">
        <v>49</v>
      </c>
      <c r="C1223" t="s">
        <v>49</v>
      </c>
      <c r="D1223" t="s">
        <v>78</v>
      </c>
      <c r="F1223" s="1">
        <v>42837</v>
      </c>
      <c r="G1223" s="2">
        <v>80.900000000000006</v>
      </c>
      <c r="H1223" s="2">
        <v>0.17100000000000001</v>
      </c>
      <c r="I1223" s="2">
        <v>0.17100000000000001</v>
      </c>
      <c r="J1223" s="2">
        <v>9.3000000000000007</v>
      </c>
      <c r="K1223" s="2">
        <v>15</v>
      </c>
      <c r="L1223" s="2">
        <v>808.2</v>
      </c>
      <c r="M1223" s="2">
        <v>808.2</v>
      </c>
      <c r="N1223" s="2">
        <f ca="1">INDEX(INDIRECT(_xlfn.CONCAT("weather.tbl[",N$1,"]")),MATCH(vp.tbl[[#This Row],[SDate]],weather.tbl[Date],0))</f>
        <v>6.0166666666666666</v>
      </c>
      <c r="O1223" s="2">
        <f ca="1">INDEX(INDIRECT(_xlfn.CONCAT("weather.tbl[",O$1,"]")),MATCH(vp.tbl[[#This Row],[SDate]],weather.tbl[Date],0))</f>
        <v>6.2952380952380951</v>
      </c>
      <c r="P1223" s="2">
        <f ca="1">INDEX(INDIRECT(_xlfn.CONCAT("weather.tbl[",P$1,"]")),MATCH(vp.tbl[[#This Row],[SDate]],weather.tbl[Date],0))</f>
        <v>6.2</v>
      </c>
      <c r="Q1223" s="2">
        <f ca="1">INDEX(INDIRECT(_xlfn.CONCAT("weather.tbl[",Q$1,"]")),MATCH(vp.tbl[[#This Row],[SDate]],weather.tbl[Date],0))</f>
        <v>5.4</v>
      </c>
      <c r="R1223" s="2">
        <f ca="1">INDEX(INDIRECT(_xlfn.CONCAT("weather.tbl[",R$1,"]")),MATCH(vp.tbl[[#This Row],[SDate]],weather.tbl[Date],0))</f>
        <v>6</v>
      </c>
      <c r="S1223" s="2">
        <f ca="1">INDEX(INDIRECT(_xlfn.CONCAT("weather.tbl[",S$1,"]")),MATCH(vp.tbl[[#This Row],[SDate]],weather.tbl[Date],0))</f>
        <v>5.7</v>
      </c>
      <c r="T1223" s="2">
        <f ca="1">INDEX(INDIRECT(_xlfn.CONCAT("weather.tbl[",T$1,"]")),MATCH(vp.tbl[[#This Row],[SDate]],weather.tbl[Date],0))</f>
        <v>6.8</v>
      </c>
      <c r="U1223" s="2">
        <f ca="1">INDEX(INDIRECT(_xlfn.CONCAT("weather.tbl[",U$1,"]")),MATCH(vp.tbl[[#This Row],[SDate]],weather.tbl[Date],0))</f>
        <v>6</v>
      </c>
      <c r="V1223" s="2">
        <v>19811.154999999999</v>
      </c>
      <c r="W1223" t="s">
        <v>48</v>
      </c>
      <c r="X1223">
        <f>IF(OR(vp.tbl[[#This Row],[Sulf]]="",vp.tbl[[#This Row],[Dens]]=""),1,0)</f>
        <v>0</v>
      </c>
      <c r="Y1223">
        <f>IF(vp.tbl[[#This Row],[CrudeType]]="C5+",1,0)</f>
        <v>0</v>
      </c>
      <c r="Z1223">
        <f>IF(AND(vp.tbl[[#This Row],[CrudeType]]="Crude",vp.tbl[[#This Row],[Dens]]&lt;=825,vp.tbl[[#This Row],[Sulf]]&gt;0.5,vp.tbl[[#This Row],[Unknown]]=0),1,0)</f>
        <v>0</v>
      </c>
      <c r="AA1223">
        <f>IF(AND(vp.tbl[[#This Row],[CrudeType]]="Crude",vp.tbl[[#This Row],[Dens]]&lt;=825,vp.tbl[[#This Row],[Sulf]]&lt;=0.5,vp.tbl[[#This Row],[Unknown]]=0),1,0)</f>
        <v>1</v>
      </c>
      <c r="AB1223">
        <f>IF(AND(vp.tbl[[#This Row],[CrudeType]]="Crude",vp.tbl[[#This Row],[Dens]]&gt;825,vp.tbl[[#This Row],[Dens]]&lt;=870,vp.tbl[[#This Row],[Sulf]]&gt;0.5,vp.tbl[[#This Row],[Unknown]]=0),1,0)</f>
        <v>0</v>
      </c>
      <c r="AC1223">
        <f>IF(AND(vp.tbl[[#This Row],[CrudeType]]="Crude",vp.tbl[[#This Row],[Dens]]&gt;825,vp.tbl[[#This Row],[Dens]]&lt;=900,vp.tbl[[#This Row],[Sulf]]&lt;=0.5,vp.tbl[[#This Row],[Unknown]]=0),1,0)</f>
        <v>0</v>
      </c>
      <c r="AD1223">
        <f>IF(AND(vp.tbl[[#This Row],[CrudeType]]="Crude",vp.tbl[[#This Row],[Dens]]&gt;870,vp.tbl[[#This Row],[Dens]]&lt;=900,vp.tbl[[#This Row],[Sulf]]&gt;0.5,vp.tbl[[#This Row],[Unknown]]=0),1,0)</f>
        <v>0</v>
      </c>
      <c r="AE1223">
        <f>IF(AND(vp.tbl[[#This Row],[CrudeType]]="Crude",vp.tbl[[#This Row],[Dens]]&gt;900,vp.tbl[[#This Row],[Sulf]]&lt;=0.5,vp.tbl[[#This Row],[Unknown]]=0),1,0)</f>
        <v>0</v>
      </c>
      <c r="AF1223">
        <f>IF(AND(vp.tbl[[#This Row],[CrudeType]]="Crude",vp.tbl[[#This Row],[Dens]]&gt;900,vp.tbl[[#This Row],[Sulf]]&lt;=0.5,vp.tbl[[#This Row],[Unknown]]=0),1,0)</f>
        <v>0</v>
      </c>
      <c r="AG1223" t="str">
        <f>INDEX(vp.tbl[[#Headers],[Unknown]:[Heavy_SW]],MATCH(1,vp.tbl[[#This Row],[Unknown]:[Heavy_SW]],0))</f>
        <v>Light_SW</v>
      </c>
      <c r="AH1223" t="e">
        <f>INDEX([1]!crudeBD.lkup[Number],MATCH(vp.tbl[[#This Row],[Crude_Breakdown]],[1]!crudeBD.lkup[Crude Breakdown],0))</f>
        <v>#REF!</v>
      </c>
      <c r="AI1223">
        <f>MONTH(vp.tbl[[#This Row],[SDate]])</f>
        <v>4</v>
      </c>
      <c r="AJ1223" s="5">
        <f>IFERROR(vp.tbl[[#This Row],[Sulf]]*vp.tbl[[#This Row],[Net Dens]],"")</f>
        <v>2737945.2055410002</v>
      </c>
      <c r="AK1223" s="5">
        <f>IFERROR(vp.tbl[[#This Row],[Dens]]*vp.tbl[[#This Row],[VolumeM3]],"")</f>
        <v>16011375.471000001</v>
      </c>
      <c r="AL1223" s="5">
        <f>IFERROR(vp.tbl[[#This Row],[VP]]*vp.tbl[[#This Row],[VolumeM3]],"")</f>
        <v>1602722.4395000001</v>
      </c>
      <c r="AM1223" s="4">
        <f>IFERROR((vp.tbl[[#This Row],[VP]]-INDEX(crudeBD.lkup.complete[Mean_VP],MATCH(vp.tbl[[#This Row],[Crude_Breakdown]],crudeBD.lkup.complete[Crude Breakdown],0)))^2,"")</f>
        <v>135.7298067185462</v>
      </c>
      <c r="AN1223" s="4">
        <f>IFERROR((vp.tbl[[#This Row],[Dens]]-INDEX(crudeBD.lkup.complete[Mean_Dens],MATCH(vp.tbl[[#This Row],[Crude_Breakdown]],crudeBD.lkup.complete[Crude Breakdown],0)))^2,"")</f>
        <v>1.2431861501234131E-2</v>
      </c>
      <c r="AO1223" s="4">
        <f>IFERROR((vp.tbl[[#This Row],[Sulf]]-INDEX(crudeBD.lkup.complete[Mean_Sulf],MATCH(vp.tbl[[#This Row],[Crude_Breakdown]],crudeBD.lkup.complete[Crude Breakdown],0)))^2,"")</f>
        <v>4.2564940130388647E-3</v>
      </c>
      <c r="AP1223">
        <f>IF(AND(vp.tbl[[#This Row],[SDate]]&gt;=DATE(YEAR(vp.tbl[[#This Row],[SDate]]),5,1),vp.tbl[[#This Row],[SDate]]&lt;=DATE(YEAR(vp.tbl[[#This Row],[SDate]]),9,15)),1,0)</f>
        <v>0</v>
      </c>
      <c r="AQ1223" s="15">
        <f>IF(vp.tbl[[#This Row],[SDate]]&lt;DATE(2016,12,1),0,1)</f>
        <v>1</v>
      </c>
    </row>
    <row r="1224" spans="1:43" x14ac:dyDescent="0.25">
      <c r="A1224">
        <v>1223</v>
      </c>
      <c r="B1224" t="s">
        <v>49</v>
      </c>
      <c r="C1224" t="s">
        <v>49</v>
      </c>
      <c r="D1224" t="s">
        <v>92</v>
      </c>
      <c r="F1224" s="1">
        <v>42837</v>
      </c>
      <c r="G1224" s="2">
        <v>75</v>
      </c>
      <c r="H1224" s="2">
        <v>0.54500000000000004</v>
      </c>
      <c r="I1224" s="2">
        <v>0.54500000000000004</v>
      </c>
      <c r="J1224" s="2">
        <v>20.100000000000001</v>
      </c>
      <c r="K1224" s="2">
        <v>15</v>
      </c>
      <c r="L1224" s="2">
        <v>824.1</v>
      </c>
      <c r="M1224" s="2">
        <v>824.1</v>
      </c>
      <c r="N1224" s="2">
        <f ca="1">INDEX(INDIRECT(_xlfn.CONCAT("weather.tbl[",N$1,"]")),MATCH(vp.tbl[[#This Row],[SDate]],weather.tbl[Date],0))</f>
        <v>6.0166666666666666</v>
      </c>
      <c r="O1224" s="2">
        <f ca="1">INDEX(INDIRECT(_xlfn.CONCAT("weather.tbl[",O$1,"]")),MATCH(vp.tbl[[#This Row],[SDate]],weather.tbl[Date],0))</f>
        <v>6.2952380952380951</v>
      </c>
      <c r="P1224" s="2">
        <f ca="1">INDEX(INDIRECT(_xlfn.CONCAT("weather.tbl[",P$1,"]")),MATCH(vp.tbl[[#This Row],[SDate]],weather.tbl[Date],0))</f>
        <v>6.2</v>
      </c>
      <c r="Q1224" s="2">
        <f ca="1">INDEX(INDIRECT(_xlfn.CONCAT("weather.tbl[",Q$1,"]")),MATCH(vp.tbl[[#This Row],[SDate]],weather.tbl[Date],0))</f>
        <v>5.4</v>
      </c>
      <c r="R1224" s="2">
        <f ca="1">INDEX(INDIRECT(_xlfn.CONCAT("weather.tbl[",R$1,"]")),MATCH(vp.tbl[[#This Row],[SDate]],weather.tbl[Date],0))</f>
        <v>6</v>
      </c>
      <c r="S1224" s="2">
        <f ca="1">INDEX(INDIRECT(_xlfn.CONCAT("weather.tbl[",S$1,"]")),MATCH(vp.tbl[[#This Row],[SDate]],weather.tbl[Date],0))</f>
        <v>5.7</v>
      </c>
      <c r="T1224" s="2">
        <f ca="1">INDEX(INDIRECT(_xlfn.CONCAT("weather.tbl[",T$1,"]")),MATCH(vp.tbl[[#This Row],[SDate]],weather.tbl[Date],0))</f>
        <v>6.8</v>
      </c>
      <c r="U1224" s="2">
        <f ca="1">INDEX(INDIRECT(_xlfn.CONCAT("weather.tbl[",U$1,"]")),MATCH(vp.tbl[[#This Row],[SDate]],weather.tbl[Date],0))</f>
        <v>6</v>
      </c>
      <c r="V1224" s="2">
        <v>23117.685000000001</v>
      </c>
      <c r="W1224" t="s">
        <v>48</v>
      </c>
      <c r="X1224">
        <f>IF(OR(vp.tbl[[#This Row],[Sulf]]="",vp.tbl[[#This Row],[Dens]]=""),1,0)</f>
        <v>0</v>
      </c>
      <c r="Y1224">
        <f>IF(vp.tbl[[#This Row],[CrudeType]]="C5+",1,0)</f>
        <v>0</v>
      </c>
      <c r="Z1224">
        <f>IF(AND(vp.tbl[[#This Row],[CrudeType]]="Crude",vp.tbl[[#This Row],[Dens]]&lt;=825,vp.tbl[[#This Row],[Sulf]]&gt;0.5,vp.tbl[[#This Row],[Unknown]]=0),1,0)</f>
        <v>1</v>
      </c>
      <c r="AA1224">
        <f>IF(AND(vp.tbl[[#This Row],[CrudeType]]="Crude",vp.tbl[[#This Row],[Dens]]&lt;=825,vp.tbl[[#This Row],[Sulf]]&lt;=0.5,vp.tbl[[#This Row],[Unknown]]=0),1,0)</f>
        <v>0</v>
      </c>
      <c r="AB1224">
        <f>IF(AND(vp.tbl[[#This Row],[CrudeType]]="Crude",vp.tbl[[#This Row],[Dens]]&gt;825,vp.tbl[[#This Row],[Dens]]&lt;=870,vp.tbl[[#This Row],[Sulf]]&gt;0.5,vp.tbl[[#This Row],[Unknown]]=0),1,0)</f>
        <v>0</v>
      </c>
      <c r="AC1224">
        <f>IF(AND(vp.tbl[[#This Row],[CrudeType]]="Crude",vp.tbl[[#This Row],[Dens]]&gt;825,vp.tbl[[#This Row],[Dens]]&lt;=900,vp.tbl[[#This Row],[Sulf]]&lt;=0.5,vp.tbl[[#This Row],[Unknown]]=0),1,0)</f>
        <v>0</v>
      </c>
      <c r="AD1224">
        <f>IF(AND(vp.tbl[[#This Row],[CrudeType]]="Crude",vp.tbl[[#This Row],[Dens]]&gt;870,vp.tbl[[#This Row],[Dens]]&lt;=900,vp.tbl[[#This Row],[Sulf]]&gt;0.5,vp.tbl[[#This Row],[Unknown]]=0),1,0)</f>
        <v>0</v>
      </c>
      <c r="AE1224">
        <f>IF(AND(vp.tbl[[#This Row],[CrudeType]]="Crude",vp.tbl[[#This Row],[Dens]]&gt;900,vp.tbl[[#This Row],[Sulf]]&lt;=0.5,vp.tbl[[#This Row],[Unknown]]=0),1,0)</f>
        <v>0</v>
      </c>
      <c r="AF1224">
        <f>IF(AND(vp.tbl[[#This Row],[CrudeType]]="Crude",vp.tbl[[#This Row],[Dens]]&gt;900,vp.tbl[[#This Row],[Sulf]]&lt;=0.5,vp.tbl[[#This Row],[Unknown]]=0),1,0)</f>
        <v>0</v>
      </c>
      <c r="AG1224" t="str">
        <f>INDEX(vp.tbl[[#Headers],[Unknown]:[Heavy_SW]],MATCH(1,vp.tbl[[#This Row],[Unknown]:[Heavy_SW]],0))</f>
        <v>Light_LSB</v>
      </c>
      <c r="AH1224" t="e">
        <f>INDEX([1]!crudeBD.lkup[Number],MATCH(vp.tbl[[#This Row],[Crude_Breakdown]],[1]!crudeBD.lkup[Crude Breakdown],0))</f>
        <v>#REF!</v>
      </c>
      <c r="AI1224">
        <f>MONTH(vp.tbl[[#This Row],[SDate]])</f>
        <v>4</v>
      </c>
      <c r="AJ1224" s="5">
        <f>IFERROR(vp.tbl[[#This Row],[Sulf]]*vp.tbl[[#This Row],[Net Dens]],"")</f>
        <v>10382949.893632501</v>
      </c>
      <c r="AK1224" s="5">
        <f>IFERROR(vp.tbl[[#This Row],[Dens]]*vp.tbl[[#This Row],[VolumeM3]],"")</f>
        <v>19051284.208500002</v>
      </c>
      <c r="AL1224" s="5">
        <f>IFERROR(vp.tbl[[#This Row],[VP]]*vp.tbl[[#This Row],[VolumeM3]],"")</f>
        <v>1733826.375</v>
      </c>
      <c r="AM1224" s="4">
        <f>IFERROR((vp.tbl[[#This Row],[VP]]-INDEX(crudeBD.lkup.complete[Mean_VP],MATCH(vp.tbl[[#This Row],[Crude_Breakdown]],crudeBD.lkup.complete[Crude Breakdown],0)))^2,"")</f>
        <v>273.77625681794132</v>
      </c>
      <c r="AN1224" s="4">
        <f>IFERROR((vp.tbl[[#This Row],[Dens]]-INDEX(crudeBD.lkup.complete[Mean_Dens],MATCH(vp.tbl[[#This Row],[Crude_Breakdown]],crudeBD.lkup.complete[Crude Breakdown],0)))^2,"")</f>
        <v>31.172459918993855</v>
      </c>
      <c r="AO1224" s="4">
        <f>IFERROR((vp.tbl[[#This Row],[Sulf]]-INDEX(crudeBD.lkup.complete[Mean_Sulf],MATCH(vp.tbl[[#This Row],[Crude_Breakdown]],crudeBD.lkup.complete[Crude Breakdown],0)))^2,"")</f>
        <v>0.14286220413023087</v>
      </c>
      <c r="AP1224">
        <f>IF(AND(vp.tbl[[#This Row],[SDate]]&gt;=DATE(YEAR(vp.tbl[[#This Row],[SDate]]),5,1),vp.tbl[[#This Row],[SDate]]&lt;=DATE(YEAR(vp.tbl[[#This Row],[SDate]]),9,15)),1,0)</f>
        <v>0</v>
      </c>
      <c r="AQ1224" s="15">
        <f>IF(vp.tbl[[#This Row],[SDate]]&lt;DATE(2016,12,1),0,1)</f>
        <v>1</v>
      </c>
    </row>
    <row r="1225" spans="1:43" x14ac:dyDescent="0.25">
      <c r="A1225">
        <v>1224</v>
      </c>
      <c r="B1225" t="s">
        <v>49</v>
      </c>
      <c r="C1225" t="s">
        <v>49</v>
      </c>
      <c r="D1225" t="s">
        <v>50</v>
      </c>
      <c r="F1225" s="1">
        <v>42837</v>
      </c>
      <c r="G1225" s="2">
        <v>73.3</v>
      </c>
      <c r="H1225" s="2">
        <v>2.661</v>
      </c>
      <c r="I1225" s="2">
        <v>2.661</v>
      </c>
      <c r="J1225" s="2">
        <v>18.2</v>
      </c>
      <c r="K1225" s="2">
        <v>15</v>
      </c>
      <c r="L1225" s="2">
        <v>868.2</v>
      </c>
      <c r="M1225" s="2">
        <v>868.2</v>
      </c>
      <c r="N1225" s="2">
        <f ca="1">INDEX(INDIRECT(_xlfn.CONCAT("weather.tbl[",N$1,"]")),MATCH(vp.tbl[[#This Row],[SDate]],weather.tbl[Date],0))</f>
        <v>6.0166666666666666</v>
      </c>
      <c r="O1225" s="2">
        <f ca="1">INDEX(INDIRECT(_xlfn.CONCAT("weather.tbl[",O$1,"]")),MATCH(vp.tbl[[#This Row],[SDate]],weather.tbl[Date],0))</f>
        <v>6.2952380952380951</v>
      </c>
      <c r="P1225" s="2">
        <f ca="1">INDEX(INDIRECT(_xlfn.CONCAT("weather.tbl[",P$1,"]")),MATCH(vp.tbl[[#This Row],[SDate]],weather.tbl[Date],0))</f>
        <v>6.2</v>
      </c>
      <c r="Q1225" s="2">
        <f ca="1">INDEX(INDIRECT(_xlfn.CONCAT("weather.tbl[",Q$1,"]")),MATCH(vp.tbl[[#This Row],[SDate]],weather.tbl[Date],0))</f>
        <v>5.4</v>
      </c>
      <c r="R1225" s="2">
        <f ca="1">INDEX(INDIRECT(_xlfn.CONCAT("weather.tbl[",R$1,"]")),MATCH(vp.tbl[[#This Row],[SDate]],weather.tbl[Date],0))</f>
        <v>6</v>
      </c>
      <c r="S1225" s="2">
        <f ca="1">INDEX(INDIRECT(_xlfn.CONCAT("weather.tbl[",S$1,"]")),MATCH(vp.tbl[[#This Row],[SDate]],weather.tbl[Date],0))</f>
        <v>5.7</v>
      </c>
      <c r="T1225" s="2">
        <f ca="1">INDEX(INDIRECT(_xlfn.CONCAT("weather.tbl[",T$1,"]")),MATCH(vp.tbl[[#This Row],[SDate]],weather.tbl[Date],0))</f>
        <v>6.8</v>
      </c>
      <c r="U1225" s="2">
        <f ca="1">INDEX(INDIRECT(_xlfn.CONCAT("weather.tbl[",U$1,"]")),MATCH(vp.tbl[[#This Row],[SDate]],weather.tbl[Date],0))</f>
        <v>6</v>
      </c>
      <c r="V1225" s="2">
        <v>6716.366</v>
      </c>
      <c r="W1225" t="s">
        <v>48</v>
      </c>
      <c r="X1225">
        <f>IF(OR(vp.tbl[[#This Row],[Sulf]]="",vp.tbl[[#This Row],[Dens]]=""),1,0)</f>
        <v>0</v>
      </c>
      <c r="Y1225">
        <f>IF(vp.tbl[[#This Row],[CrudeType]]="C5+",1,0)</f>
        <v>0</v>
      </c>
      <c r="Z1225">
        <f>IF(AND(vp.tbl[[#This Row],[CrudeType]]="Crude",vp.tbl[[#This Row],[Dens]]&lt;=825,vp.tbl[[#This Row],[Sulf]]&gt;0.5,vp.tbl[[#This Row],[Unknown]]=0),1,0)</f>
        <v>0</v>
      </c>
      <c r="AA1225">
        <f>IF(AND(vp.tbl[[#This Row],[CrudeType]]="Crude",vp.tbl[[#This Row],[Dens]]&lt;=825,vp.tbl[[#This Row],[Sulf]]&lt;=0.5,vp.tbl[[#This Row],[Unknown]]=0),1,0)</f>
        <v>0</v>
      </c>
      <c r="AB1225">
        <f>IF(AND(vp.tbl[[#This Row],[CrudeType]]="Crude",vp.tbl[[#This Row],[Dens]]&gt;825,vp.tbl[[#This Row],[Dens]]&lt;=870,vp.tbl[[#This Row],[Sulf]]&gt;0.5,vp.tbl[[#This Row],[Unknown]]=0),1,0)</f>
        <v>1</v>
      </c>
      <c r="AC1225">
        <f>IF(AND(vp.tbl[[#This Row],[CrudeType]]="Crude",vp.tbl[[#This Row],[Dens]]&gt;825,vp.tbl[[#This Row],[Dens]]&lt;=900,vp.tbl[[#This Row],[Sulf]]&lt;=0.5,vp.tbl[[#This Row],[Unknown]]=0),1,0)</f>
        <v>0</v>
      </c>
      <c r="AD1225">
        <f>IF(AND(vp.tbl[[#This Row],[CrudeType]]="Crude",vp.tbl[[#This Row],[Dens]]&gt;870,vp.tbl[[#This Row],[Dens]]&lt;=900,vp.tbl[[#This Row],[Sulf]]&gt;0.5,vp.tbl[[#This Row],[Unknown]]=0),1,0)</f>
        <v>0</v>
      </c>
      <c r="AE1225">
        <f>IF(AND(vp.tbl[[#This Row],[CrudeType]]="Crude",vp.tbl[[#This Row],[Dens]]&gt;900,vp.tbl[[#This Row],[Sulf]]&lt;=0.5,vp.tbl[[#This Row],[Unknown]]=0),1,0)</f>
        <v>0</v>
      </c>
      <c r="AF1225">
        <f>IF(AND(vp.tbl[[#This Row],[CrudeType]]="Crude",vp.tbl[[#This Row],[Dens]]&gt;900,vp.tbl[[#This Row],[Sulf]]&lt;=0.5,vp.tbl[[#This Row],[Unknown]]=0),1,0)</f>
        <v>0</v>
      </c>
      <c r="AG1225" t="str">
        <f>INDEX(vp.tbl[[#Headers],[Unknown]:[Heavy_SW]],MATCH(1,vp.tbl[[#This Row],[Unknown]:[Heavy_SW]],0))</f>
        <v>Medium_LSB</v>
      </c>
      <c r="AH1225" t="e">
        <f>INDEX([1]!crudeBD.lkup[Number],MATCH(vp.tbl[[#This Row],[Crude_Breakdown]],[1]!crudeBD.lkup[Crude Breakdown],0))</f>
        <v>#REF!</v>
      </c>
      <c r="AI1225">
        <f>MONTH(vp.tbl[[#This Row],[SDate]])</f>
        <v>4</v>
      </c>
      <c r="AJ1225" s="5">
        <f>IFERROR(vp.tbl[[#This Row],[Sulf]]*vp.tbl[[#This Row],[Net Dens]],"")</f>
        <v>15516687.385753201</v>
      </c>
      <c r="AK1225" s="5">
        <f>IFERROR(vp.tbl[[#This Row],[Dens]]*vp.tbl[[#This Row],[VolumeM3]],"")</f>
        <v>5831148.9612000007</v>
      </c>
      <c r="AL1225" s="5">
        <f>IFERROR(vp.tbl[[#This Row],[VP]]*vp.tbl[[#This Row],[VolumeM3]],"")</f>
        <v>492309.62779999996</v>
      </c>
      <c r="AM1225" s="4">
        <f>IFERROR((vp.tbl[[#This Row],[VP]]-INDEX(crudeBD.lkup.complete[Mean_VP],MATCH(vp.tbl[[#This Row],[Crude_Breakdown]],crudeBD.lkup.complete[Crude Breakdown],0)))^2,"")</f>
        <v>47.24630735394922</v>
      </c>
      <c r="AN1225" s="4">
        <f>IFERROR((vp.tbl[[#This Row],[Dens]]-INDEX(crudeBD.lkup.complete[Mean_Dens],MATCH(vp.tbl[[#This Row],[Crude_Breakdown]],crudeBD.lkup.complete[Crude Breakdown],0)))^2,"")</f>
        <v>524.78458332259163</v>
      </c>
      <c r="AO1225" s="4">
        <f>IFERROR((vp.tbl[[#This Row],[Sulf]]-INDEX(crudeBD.lkup.complete[Mean_Sulf],MATCH(vp.tbl[[#This Row],[Crude_Breakdown]],crudeBD.lkup.complete[Crude Breakdown],0)))^2,"")</f>
        <v>1.4546051807676108</v>
      </c>
      <c r="AP1225">
        <f>IF(AND(vp.tbl[[#This Row],[SDate]]&gt;=DATE(YEAR(vp.tbl[[#This Row],[SDate]]),5,1),vp.tbl[[#This Row],[SDate]]&lt;=DATE(YEAR(vp.tbl[[#This Row],[SDate]]),9,15)),1,0)</f>
        <v>0</v>
      </c>
      <c r="AQ1225" s="15">
        <f>IF(vp.tbl[[#This Row],[SDate]]&lt;DATE(2016,12,1),0,1)</f>
        <v>1</v>
      </c>
    </row>
    <row r="1226" spans="1:43" x14ac:dyDescent="0.25">
      <c r="A1226">
        <v>1225</v>
      </c>
      <c r="B1226" t="s">
        <v>51</v>
      </c>
      <c r="C1226" t="s">
        <v>51</v>
      </c>
      <c r="D1226" t="s">
        <v>58</v>
      </c>
      <c r="F1226" s="1">
        <v>42837</v>
      </c>
      <c r="G1226" s="2">
        <v>97.4</v>
      </c>
      <c r="H1226" s="2"/>
      <c r="I1226" s="2">
        <v>1.33</v>
      </c>
      <c r="J1226" s="2">
        <v>28.4</v>
      </c>
      <c r="K1226" s="2">
        <v>15</v>
      </c>
      <c r="L1226" s="2">
        <v>814.2</v>
      </c>
      <c r="M1226" s="2">
        <v>814.2</v>
      </c>
      <c r="N1226" s="2">
        <f ca="1">INDEX(INDIRECT(_xlfn.CONCAT("weather.tbl[",N$1,"]")),MATCH(vp.tbl[[#This Row],[SDate]],weather.tbl[Date],0))</f>
        <v>6.0166666666666666</v>
      </c>
      <c r="O1226" s="2">
        <f ca="1">INDEX(INDIRECT(_xlfn.CONCAT("weather.tbl[",O$1,"]")),MATCH(vp.tbl[[#This Row],[SDate]],weather.tbl[Date],0))</f>
        <v>6.2952380952380951</v>
      </c>
      <c r="P1226" s="2">
        <f ca="1">INDEX(INDIRECT(_xlfn.CONCAT("weather.tbl[",P$1,"]")),MATCH(vp.tbl[[#This Row],[SDate]],weather.tbl[Date],0))</f>
        <v>6.2</v>
      </c>
      <c r="Q1226" s="2">
        <f ca="1">INDEX(INDIRECT(_xlfn.CONCAT("weather.tbl[",Q$1,"]")),MATCH(vp.tbl[[#This Row],[SDate]],weather.tbl[Date],0))</f>
        <v>5.4</v>
      </c>
      <c r="R1226" s="2">
        <f ca="1">INDEX(INDIRECT(_xlfn.CONCAT("weather.tbl[",R$1,"]")),MATCH(vp.tbl[[#This Row],[SDate]],weather.tbl[Date],0))</f>
        <v>6</v>
      </c>
      <c r="S1226" s="2">
        <f ca="1">INDEX(INDIRECT(_xlfn.CONCAT("weather.tbl[",S$1,"]")),MATCH(vp.tbl[[#This Row],[SDate]],weather.tbl[Date],0))</f>
        <v>5.7</v>
      </c>
      <c r="T1226" s="2">
        <f ca="1">INDEX(INDIRECT(_xlfn.CONCAT("weather.tbl[",T$1,"]")),MATCH(vp.tbl[[#This Row],[SDate]],weather.tbl[Date],0))</f>
        <v>6.8</v>
      </c>
      <c r="U1226" s="2">
        <f ca="1">INDEX(INDIRECT(_xlfn.CONCAT("weather.tbl[",U$1,"]")),MATCH(vp.tbl[[#This Row],[SDate]],weather.tbl[Date],0))</f>
        <v>6</v>
      </c>
      <c r="V1226" s="2">
        <v>5505.9059999999999</v>
      </c>
      <c r="W1226" t="s">
        <v>48</v>
      </c>
      <c r="X1226">
        <f>IF(OR(vp.tbl[[#This Row],[Sulf]]="",vp.tbl[[#This Row],[Dens]]=""),1,0)</f>
        <v>0</v>
      </c>
      <c r="Y1226">
        <f>IF(vp.tbl[[#This Row],[CrudeType]]="C5+",1,0)</f>
        <v>0</v>
      </c>
      <c r="Z1226">
        <f>IF(AND(vp.tbl[[#This Row],[CrudeType]]="Crude",vp.tbl[[#This Row],[Dens]]&lt;=825,vp.tbl[[#This Row],[Sulf]]&gt;0.5,vp.tbl[[#This Row],[Unknown]]=0),1,0)</f>
        <v>1</v>
      </c>
      <c r="AA1226">
        <f>IF(AND(vp.tbl[[#This Row],[CrudeType]]="Crude",vp.tbl[[#This Row],[Dens]]&lt;=825,vp.tbl[[#This Row],[Sulf]]&lt;=0.5,vp.tbl[[#This Row],[Unknown]]=0),1,0)</f>
        <v>0</v>
      </c>
      <c r="AB1226">
        <f>IF(AND(vp.tbl[[#This Row],[CrudeType]]="Crude",vp.tbl[[#This Row],[Dens]]&gt;825,vp.tbl[[#This Row],[Dens]]&lt;=870,vp.tbl[[#This Row],[Sulf]]&gt;0.5,vp.tbl[[#This Row],[Unknown]]=0),1,0)</f>
        <v>0</v>
      </c>
      <c r="AC1226">
        <f>IF(AND(vp.tbl[[#This Row],[CrudeType]]="Crude",vp.tbl[[#This Row],[Dens]]&gt;825,vp.tbl[[#This Row],[Dens]]&lt;=900,vp.tbl[[#This Row],[Sulf]]&lt;=0.5,vp.tbl[[#This Row],[Unknown]]=0),1,0)</f>
        <v>0</v>
      </c>
      <c r="AD1226">
        <f>IF(AND(vp.tbl[[#This Row],[CrudeType]]="Crude",vp.tbl[[#This Row],[Dens]]&gt;870,vp.tbl[[#This Row],[Dens]]&lt;=900,vp.tbl[[#This Row],[Sulf]]&gt;0.5,vp.tbl[[#This Row],[Unknown]]=0),1,0)</f>
        <v>0</v>
      </c>
      <c r="AE1226">
        <f>IF(AND(vp.tbl[[#This Row],[CrudeType]]="Crude",vp.tbl[[#This Row],[Dens]]&gt;900,vp.tbl[[#This Row],[Sulf]]&lt;=0.5,vp.tbl[[#This Row],[Unknown]]=0),1,0)</f>
        <v>0</v>
      </c>
      <c r="AF1226">
        <f>IF(AND(vp.tbl[[#This Row],[CrudeType]]="Crude",vp.tbl[[#This Row],[Dens]]&gt;900,vp.tbl[[#This Row],[Sulf]]&lt;=0.5,vp.tbl[[#This Row],[Unknown]]=0),1,0)</f>
        <v>0</v>
      </c>
      <c r="AG1226" t="str">
        <f>INDEX(vp.tbl[[#Headers],[Unknown]:[Heavy_SW]],MATCH(1,vp.tbl[[#This Row],[Unknown]:[Heavy_SW]],0))</f>
        <v>Light_LSB</v>
      </c>
      <c r="AH1226" t="e">
        <f>INDEX([1]!crudeBD.lkup[Number],MATCH(vp.tbl[[#This Row],[Crude_Breakdown]],[1]!crudeBD.lkup[Crude Breakdown],0))</f>
        <v>#REF!</v>
      </c>
      <c r="AI1226">
        <f>MONTH(vp.tbl[[#This Row],[SDate]])</f>
        <v>4</v>
      </c>
      <c r="AJ1226" s="5">
        <f>IFERROR(vp.tbl[[#This Row],[Sulf]]*vp.tbl[[#This Row],[Net Dens]],"")</f>
        <v>5962268.524716001</v>
      </c>
      <c r="AK1226" s="5">
        <f>IFERROR(vp.tbl[[#This Row],[Dens]]*vp.tbl[[#This Row],[VolumeM3]],"")</f>
        <v>4482908.6652000006</v>
      </c>
      <c r="AL1226" s="5">
        <f>IFERROR(vp.tbl[[#This Row],[VP]]*vp.tbl[[#This Row],[VolumeM3]],"")</f>
        <v>536275.24440000008</v>
      </c>
      <c r="AM1226" s="4">
        <f>IFERROR((vp.tbl[[#This Row],[VP]]-INDEX(crudeBD.lkup.complete[Mean_VP],MATCH(vp.tbl[[#This Row],[Crude_Breakdown]],crudeBD.lkup.complete[Crude Breakdown],0)))^2,"")</f>
        <v>34.267143415878117</v>
      </c>
      <c r="AN1226" s="4">
        <f>IFERROR((vp.tbl[[#This Row],[Dens]]-INDEX(crudeBD.lkup.complete[Mean_Dens],MATCH(vp.tbl[[#This Row],[Crude_Breakdown]],crudeBD.lkup.complete[Crude Breakdown],0)))^2,"")</f>
        <v>18.634501156100391</v>
      </c>
      <c r="AO1226" s="4">
        <f>IFERROR((vp.tbl[[#This Row],[Sulf]]-INDEX(crudeBD.lkup.complete[Mean_Sulf],MATCH(vp.tbl[[#This Row],[Crude_Breakdown]],crudeBD.lkup.complete[Crude Breakdown],0)))^2,"")</f>
        <v>0.16567246976597019</v>
      </c>
      <c r="AP1226">
        <f>IF(AND(vp.tbl[[#This Row],[SDate]]&gt;=DATE(YEAR(vp.tbl[[#This Row],[SDate]]),5,1),vp.tbl[[#This Row],[SDate]]&lt;=DATE(YEAR(vp.tbl[[#This Row],[SDate]]),9,15)),1,0)</f>
        <v>0</v>
      </c>
      <c r="AQ1226" s="15">
        <f>IF(vp.tbl[[#This Row],[SDate]]&lt;DATE(2016,12,1),0,1)</f>
        <v>1</v>
      </c>
    </row>
    <row r="1227" spans="1:43" x14ac:dyDescent="0.25">
      <c r="A1227">
        <v>1226</v>
      </c>
      <c r="B1227" t="s">
        <v>51</v>
      </c>
      <c r="C1227" t="s">
        <v>51</v>
      </c>
      <c r="D1227" t="s">
        <v>71</v>
      </c>
      <c r="F1227" s="1">
        <v>42837</v>
      </c>
      <c r="G1227" s="2">
        <v>84.9</v>
      </c>
      <c r="H1227" s="2"/>
      <c r="I1227" s="2">
        <v>1.57</v>
      </c>
      <c r="J1227" s="2">
        <v>28</v>
      </c>
      <c r="K1227" s="2">
        <v>15</v>
      </c>
      <c r="L1227" s="2">
        <v>824.6</v>
      </c>
      <c r="M1227" s="2">
        <v>824.6</v>
      </c>
      <c r="N1227" s="2">
        <f ca="1">INDEX(INDIRECT(_xlfn.CONCAT("weather.tbl[",N$1,"]")),MATCH(vp.tbl[[#This Row],[SDate]],weather.tbl[Date],0))</f>
        <v>6.0166666666666666</v>
      </c>
      <c r="O1227" s="2">
        <f ca="1">INDEX(INDIRECT(_xlfn.CONCAT("weather.tbl[",O$1,"]")),MATCH(vp.tbl[[#This Row],[SDate]],weather.tbl[Date],0))</f>
        <v>6.2952380952380951</v>
      </c>
      <c r="P1227" s="2">
        <f ca="1">INDEX(INDIRECT(_xlfn.CONCAT("weather.tbl[",P$1,"]")),MATCH(vp.tbl[[#This Row],[SDate]],weather.tbl[Date],0))</f>
        <v>6.2</v>
      </c>
      <c r="Q1227" s="2">
        <f ca="1">INDEX(INDIRECT(_xlfn.CONCAT("weather.tbl[",Q$1,"]")),MATCH(vp.tbl[[#This Row],[SDate]],weather.tbl[Date],0))</f>
        <v>5.4</v>
      </c>
      <c r="R1227" s="2">
        <f ca="1">INDEX(INDIRECT(_xlfn.CONCAT("weather.tbl[",R$1,"]")),MATCH(vp.tbl[[#This Row],[SDate]],weather.tbl[Date],0))</f>
        <v>6</v>
      </c>
      <c r="S1227" s="2">
        <f ca="1">INDEX(INDIRECT(_xlfn.CONCAT("weather.tbl[",S$1,"]")),MATCH(vp.tbl[[#This Row],[SDate]],weather.tbl[Date],0))</f>
        <v>5.7</v>
      </c>
      <c r="T1227" s="2">
        <f ca="1">INDEX(INDIRECT(_xlfn.CONCAT("weather.tbl[",T$1,"]")),MATCH(vp.tbl[[#This Row],[SDate]],weather.tbl[Date],0))</f>
        <v>6.8</v>
      </c>
      <c r="U1227" s="2">
        <f ca="1">INDEX(INDIRECT(_xlfn.CONCAT("weather.tbl[",U$1,"]")),MATCH(vp.tbl[[#This Row],[SDate]],weather.tbl[Date],0))</f>
        <v>6</v>
      </c>
      <c r="V1227" s="2">
        <v>8466.4830000000002</v>
      </c>
      <c r="W1227" t="s">
        <v>48</v>
      </c>
      <c r="X1227">
        <f>IF(OR(vp.tbl[[#This Row],[Sulf]]="",vp.tbl[[#This Row],[Dens]]=""),1,0)</f>
        <v>0</v>
      </c>
      <c r="Y1227">
        <f>IF(vp.tbl[[#This Row],[CrudeType]]="C5+",1,0)</f>
        <v>0</v>
      </c>
      <c r="Z1227">
        <f>IF(AND(vp.tbl[[#This Row],[CrudeType]]="Crude",vp.tbl[[#This Row],[Dens]]&lt;=825,vp.tbl[[#This Row],[Sulf]]&gt;0.5,vp.tbl[[#This Row],[Unknown]]=0),1,0)</f>
        <v>1</v>
      </c>
      <c r="AA1227">
        <f>IF(AND(vp.tbl[[#This Row],[CrudeType]]="Crude",vp.tbl[[#This Row],[Dens]]&lt;=825,vp.tbl[[#This Row],[Sulf]]&lt;=0.5,vp.tbl[[#This Row],[Unknown]]=0),1,0)</f>
        <v>0</v>
      </c>
      <c r="AB1227">
        <f>IF(AND(vp.tbl[[#This Row],[CrudeType]]="Crude",vp.tbl[[#This Row],[Dens]]&gt;825,vp.tbl[[#This Row],[Dens]]&lt;=870,vp.tbl[[#This Row],[Sulf]]&gt;0.5,vp.tbl[[#This Row],[Unknown]]=0),1,0)</f>
        <v>0</v>
      </c>
      <c r="AC1227">
        <f>IF(AND(vp.tbl[[#This Row],[CrudeType]]="Crude",vp.tbl[[#This Row],[Dens]]&gt;825,vp.tbl[[#This Row],[Dens]]&lt;=900,vp.tbl[[#This Row],[Sulf]]&lt;=0.5,vp.tbl[[#This Row],[Unknown]]=0),1,0)</f>
        <v>0</v>
      </c>
      <c r="AD1227">
        <f>IF(AND(vp.tbl[[#This Row],[CrudeType]]="Crude",vp.tbl[[#This Row],[Dens]]&gt;870,vp.tbl[[#This Row],[Dens]]&lt;=900,vp.tbl[[#This Row],[Sulf]]&gt;0.5,vp.tbl[[#This Row],[Unknown]]=0),1,0)</f>
        <v>0</v>
      </c>
      <c r="AE1227">
        <f>IF(AND(vp.tbl[[#This Row],[CrudeType]]="Crude",vp.tbl[[#This Row],[Dens]]&gt;900,vp.tbl[[#This Row],[Sulf]]&lt;=0.5,vp.tbl[[#This Row],[Unknown]]=0),1,0)</f>
        <v>0</v>
      </c>
      <c r="AF1227">
        <f>IF(AND(vp.tbl[[#This Row],[CrudeType]]="Crude",vp.tbl[[#This Row],[Dens]]&gt;900,vp.tbl[[#This Row],[Sulf]]&lt;=0.5,vp.tbl[[#This Row],[Unknown]]=0),1,0)</f>
        <v>0</v>
      </c>
      <c r="AG1227" t="str">
        <f>INDEX(vp.tbl[[#Headers],[Unknown]:[Heavy_SW]],MATCH(1,vp.tbl[[#This Row],[Unknown]:[Heavy_SW]],0))</f>
        <v>Light_LSB</v>
      </c>
      <c r="AH1227" t="e">
        <f>INDEX([1]!crudeBD.lkup[Number],MATCH(vp.tbl[[#This Row],[Crude_Breakdown]],[1]!crudeBD.lkup[Crude Breakdown],0))</f>
        <v>#REF!</v>
      </c>
      <c r="AI1227">
        <f>MONTH(vp.tbl[[#This Row],[SDate]])</f>
        <v>4</v>
      </c>
      <c r="AJ1227" s="5">
        <f>IFERROR(vp.tbl[[#This Row],[Sulf]]*vp.tbl[[#This Row],[Net Dens]],"")</f>
        <v>10960895.154426001</v>
      </c>
      <c r="AK1227" s="5">
        <f>IFERROR(vp.tbl[[#This Row],[Dens]]*vp.tbl[[#This Row],[VolumeM3]],"")</f>
        <v>6981461.8818000006</v>
      </c>
      <c r="AL1227" s="5">
        <f>IFERROR(vp.tbl[[#This Row],[VP]]*vp.tbl[[#This Row],[VolumeM3]],"")</f>
        <v>718804.40670000005</v>
      </c>
      <c r="AM1227" s="4">
        <f>IFERROR((vp.tbl[[#This Row],[VP]]-INDEX(crudeBD.lkup.complete[Mean_VP],MATCH(vp.tbl[[#This Row],[Crude_Breakdown]],crudeBD.lkup.complete[Crude Breakdown],0)))^2,"")</f>
        <v>44.171782591136484</v>
      </c>
      <c r="AN1227" s="4">
        <f>IFERROR((vp.tbl[[#This Row],[Dens]]-INDEX(crudeBD.lkup.complete[Mean_Dens],MATCH(vp.tbl[[#This Row],[Crude_Breakdown]],crudeBD.lkup.complete[Crude Breakdown],0)))^2,"")</f>
        <v>37.005690159544017</v>
      </c>
      <c r="AO1227" s="4">
        <f>IFERROR((vp.tbl[[#This Row],[Sulf]]-INDEX(crudeBD.lkup.complete[Mean_Sulf],MATCH(vp.tbl[[#This Row],[Crude_Breakdown]],crudeBD.lkup.complete[Crude Breakdown],0)))^2,"")</f>
        <v>0.41864630894122806</v>
      </c>
      <c r="AP1227">
        <f>IF(AND(vp.tbl[[#This Row],[SDate]]&gt;=DATE(YEAR(vp.tbl[[#This Row],[SDate]]),5,1),vp.tbl[[#This Row],[SDate]]&lt;=DATE(YEAR(vp.tbl[[#This Row],[SDate]]),9,15)),1,0)</f>
        <v>0</v>
      </c>
      <c r="AQ1227" s="15">
        <f>IF(vp.tbl[[#This Row],[SDate]]&lt;DATE(2016,12,1),0,1)</f>
        <v>1</v>
      </c>
    </row>
    <row r="1228" spans="1:43" x14ac:dyDescent="0.25">
      <c r="A1228">
        <v>1227</v>
      </c>
      <c r="B1228" t="s">
        <v>56</v>
      </c>
      <c r="C1228" t="s">
        <v>56</v>
      </c>
      <c r="D1228" t="s">
        <v>57</v>
      </c>
      <c r="F1228" s="1">
        <v>42837</v>
      </c>
      <c r="G1228" s="2">
        <v>78.900000000000006</v>
      </c>
      <c r="H1228" s="2"/>
      <c r="I1228" s="2">
        <v>1.68</v>
      </c>
      <c r="J1228" s="2">
        <v>23.6</v>
      </c>
      <c r="K1228" s="2">
        <v>15</v>
      </c>
      <c r="L1228" s="2">
        <v>850.7</v>
      </c>
      <c r="M1228" s="2">
        <v>850.7</v>
      </c>
      <c r="N1228" s="2">
        <f ca="1">INDEX(INDIRECT(_xlfn.CONCAT("weather.tbl[",N$1,"]")),MATCH(vp.tbl[[#This Row],[SDate]],weather.tbl[Date],0))</f>
        <v>6.0166666666666666</v>
      </c>
      <c r="O1228" s="2">
        <f ca="1">INDEX(INDIRECT(_xlfn.CONCAT("weather.tbl[",O$1,"]")),MATCH(vp.tbl[[#This Row],[SDate]],weather.tbl[Date],0))</f>
        <v>6.2952380952380951</v>
      </c>
      <c r="P1228" s="2">
        <f ca="1">INDEX(INDIRECT(_xlfn.CONCAT("weather.tbl[",P$1,"]")),MATCH(vp.tbl[[#This Row],[SDate]],weather.tbl[Date],0))</f>
        <v>6.2</v>
      </c>
      <c r="Q1228" s="2">
        <f ca="1">INDEX(INDIRECT(_xlfn.CONCAT("weather.tbl[",Q$1,"]")),MATCH(vp.tbl[[#This Row],[SDate]],weather.tbl[Date],0))</f>
        <v>5.4</v>
      </c>
      <c r="R1228" s="2">
        <f ca="1">INDEX(INDIRECT(_xlfn.CONCAT("weather.tbl[",R$1,"]")),MATCH(vp.tbl[[#This Row],[SDate]],weather.tbl[Date],0))</f>
        <v>6</v>
      </c>
      <c r="S1228" s="2">
        <f ca="1">INDEX(INDIRECT(_xlfn.CONCAT("weather.tbl[",S$1,"]")),MATCH(vp.tbl[[#This Row],[SDate]],weather.tbl[Date],0))</f>
        <v>5.7</v>
      </c>
      <c r="T1228" s="2">
        <f ca="1">INDEX(INDIRECT(_xlfn.CONCAT("weather.tbl[",T$1,"]")),MATCH(vp.tbl[[#This Row],[SDate]],weather.tbl[Date],0))</f>
        <v>6.8</v>
      </c>
      <c r="U1228" s="2">
        <f ca="1">INDEX(INDIRECT(_xlfn.CONCAT("weather.tbl[",U$1,"]")),MATCH(vp.tbl[[#This Row],[SDate]],weather.tbl[Date],0))</f>
        <v>6</v>
      </c>
      <c r="V1228" s="2">
        <v>2980.6370000000002</v>
      </c>
      <c r="W1228" t="s">
        <v>48</v>
      </c>
      <c r="X1228">
        <f>IF(OR(vp.tbl[[#This Row],[Sulf]]="",vp.tbl[[#This Row],[Dens]]=""),1,0)</f>
        <v>0</v>
      </c>
      <c r="Y1228">
        <f>IF(vp.tbl[[#This Row],[CrudeType]]="C5+",1,0)</f>
        <v>0</v>
      </c>
      <c r="Z1228">
        <f>IF(AND(vp.tbl[[#This Row],[CrudeType]]="Crude",vp.tbl[[#This Row],[Dens]]&lt;=825,vp.tbl[[#This Row],[Sulf]]&gt;0.5,vp.tbl[[#This Row],[Unknown]]=0),1,0)</f>
        <v>0</v>
      </c>
      <c r="AA1228">
        <f>IF(AND(vp.tbl[[#This Row],[CrudeType]]="Crude",vp.tbl[[#This Row],[Dens]]&lt;=825,vp.tbl[[#This Row],[Sulf]]&lt;=0.5,vp.tbl[[#This Row],[Unknown]]=0),1,0)</f>
        <v>0</v>
      </c>
      <c r="AB1228">
        <f>IF(AND(vp.tbl[[#This Row],[CrudeType]]="Crude",vp.tbl[[#This Row],[Dens]]&gt;825,vp.tbl[[#This Row],[Dens]]&lt;=870,vp.tbl[[#This Row],[Sulf]]&gt;0.5,vp.tbl[[#This Row],[Unknown]]=0),1,0)</f>
        <v>1</v>
      </c>
      <c r="AC1228">
        <f>IF(AND(vp.tbl[[#This Row],[CrudeType]]="Crude",vp.tbl[[#This Row],[Dens]]&gt;825,vp.tbl[[#This Row],[Dens]]&lt;=900,vp.tbl[[#This Row],[Sulf]]&lt;=0.5,vp.tbl[[#This Row],[Unknown]]=0),1,0)</f>
        <v>0</v>
      </c>
      <c r="AD1228">
        <f>IF(AND(vp.tbl[[#This Row],[CrudeType]]="Crude",vp.tbl[[#This Row],[Dens]]&gt;870,vp.tbl[[#This Row],[Dens]]&lt;=900,vp.tbl[[#This Row],[Sulf]]&gt;0.5,vp.tbl[[#This Row],[Unknown]]=0),1,0)</f>
        <v>0</v>
      </c>
      <c r="AE1228">
        <f>IF(AND(vp.tbl[[#This Row],[CrudeType]]="Crude",vp.tbl[[#This Row],[Dens]]&gt;900,vp.tbl[[#This Row],[Sulf]]&lt;=0.5,vp.tbl[[#This Row],[Unknown]]=0),1,0)</f>
        <v>0</v>
      </c>
      <c r="AF1228">
        <f>IF(AND(vp.tbl[[#This Row],[CrudeType]]="Crude",vp.tbl[[#This Row],[Dens]]&gt;900,vp.tbl[[#This Row],[Sulf]]&lt;=0.5,vp.tbl[[#This Row],[Unknown]]=0),1,0)</f>
        <v>0</v>
      </c>
      <c r="AG1228" t="str">
        <f>INDEX(vp.tbl[[#Headers],[Unknown]:[Heavy_SW]],MATCH(1,vp.tbl[[#This Row],[Unknown]:[Heavy_SW]],0))</f>
        <v>Medium_LSB</v>
      </c>
      <c r="AH1228" t="e">
        <f>INDEX([1]!crudeBD.lkup[Number],MATCH(vp.tbl[[#This Row],[Crude_Breakdown]],[1]!crudeBD.lkup[Crude Breakdown],0))</f>
        <v>#REF!</v>
      </c>
      <c r="AI1228">
        <f>MONTH(vp.tbl[[#This Row],[SDate]])</f>
        <v>4</v>
      </c>
      <c r="AJ1228" s="5">
        <f>IFERROR(vp.tbl[[#This Row],[Sulf]]*vp.tbl[[#This Row],[Net Dens]],"")</f>
        <v>4259854.8651120001</v>
      </c>
      <c r="AK1228" s="5">
        <f>IFERROR(vp.tbl[[#This Row],[Dens]]*vp.tbl[[#This Row],[VolumeM3]],"")</f>
        <v>2535627.8959000004</v>
      </c>
      <c r="AL1228" s="5">
        <f>IFERROR(vp.tbl[[#This Row],[VP]]*vp.tbl[[#This Row],[VolumeM3]],"")</f>
        <v>235172.25930000003</v>
      </c>
      <c r="AM1228" s="4">
        <f>IFERROR((vp.tbl[[#This Row],[VP]]-INDEX(crudeBD.lkup.complete[Mean_VP],MATCH(vp.tbl[[#This Row],[Crude_Breakdown]],crudeBD.lkup.complete[Crude Breakdown],0)))^2,"")</f>
        <v>1.6220440628103385</v>
      </c>
      <c r="AN1228" s="4">
        <f>IFERROR((vp.tbl[[#This Row],[Dens]]-INDEX(crudeBD.lkup.complete[Mean_Dens],MATCH(vp.tbl[[#This Row],[Crude_Breakdown]],crudeBD.lkup.complete[Crude Breakdown],0)))^2,"")</f>
        <v>29.248380790910037</v>
      </c>
      <c r="AO1228" s="4">
        <f>IFERROR((vp.tbl[[#This Row],[Sulf]]-INDEX(crudeBD.lkup.complete[Mean_Sulf],MATCH(vp.tbl[[#This Row],[Crude_Breakdown]],crudeBD.lkup.complete[Crude Breakdown],0)))^2,"")</f>
        <v>5.0656567577740209E-2</v>
      </c>
      <c r="AP1228">
        <f>IF(AND(vp.tbl[[#This Row],[SDate]]&gt;=DATE(YEAR(vp.tbl[[#This Row],[SDate]]),5,1),vp.tbl[[#This Row],[SDate]]&lt;=DATE(YEAR(vp.tbl[[#This Row],[SDate]]),9,15)),1,0)</f>
        <v>0</v>
      </c>
      <c r="AQ1228" s="15">
        <f>IF(vp.tbl[[#This Row],[SDate]]&lt;DATE(2016,12,1),0,1)</f>
        <v>1</v>
      </c>
    </row>
    <row r="1229" spans="1:43" x14ac:dyDescent="0.25">
      <c r="A1229">
        <v>1228</v>
      </c>
      <c r="B1229" t="s">
        <v>56</v>
      </c>
      <c r="C1229" t="s">
        <v>56</v>
      </c>
      <c r="D1229" t="s">
        <v>94</v>
      </c>
      <c r="F1229" s="1">
        <v>42837</v>
      </c>
      <c r="G1229" s="2">
        <v>75.599999999999994</v>
      </c>
      <c r="H1229" s="2"/>
      <c r="I1229" s="2">
        <v>1.97</v>
      </c>
      <c r="J1229" s="2">
        <v>25.8</v>
      </c>
      <c r="K1229" s="2">
        <v>15</v>
      </c>
      <c r="L1229" s="2">
        <v>857.8</v>
      </c>
      <c r="M1229" s="2">
        <v>857.8</v>
      </c>
      <c r="N1229" s="2">
        <f ca="1">INDEX(INDIRECT(_xlfn.CONCAT("weather.tbl[",N$1,"]")),MATCH(vp.tbl[[#This Row],[SDate]],weather.tbl[Date],0))</f>
        <v>6.0166666666666666</v>
      </c>
      <c r="O1229" s="2">
        <f ca="1">INDEX(INDIRECT(_xlfn.CONCAT("weather.tbl[",O$1,"]")),MATCH(vp.tbl[[#This Row],[SDate]],weather.tbl[Date],0))</f>
        <v>6.2952380952380951</v>
      </c>
      <c r="P1229" s="2">
        <f ca="1">INDEX(INDIRECT(_xlfn.CONCAT("weather.tbl[",P$1,"]")),MATCH(vp.tbl[[#This Row],[SDate]],weather.tbl[Date],0))</f>
        <v>6.2</v>
      </c>
      <c r="Q1229" s="2">
        <f ca="1">INDEX(INDIRECT(_xlfn.CONCAT("weather.tbl[",Q$1,"]")),MATCH(vp.tbl[[#This Row],[SDate]],weather.tbl[Date],0))</f>
        <v>5.4</v>
      </c>
      <c r="R1229" s="2">
        <f ca="1">INDEX(INDIRECT(_xlfn.CONCAT("weather.tbl[",R$1,"]")),MATCH(vp.tbl[[#This Row],[SDate]],weather.tbl[Date],0))</f>
        <v>6</v>
      </c>
      <c r="S1229" s="2">
        <f ca="1">INDEX(INDIRECT(_xlfn.CONCAT("weather.tbl[",S$1,"]")),MATCH(vp.tbl[[#This Row],[SDate]],weather.tbl[Date],0))</f>
        <v>5.7</v>
      </c>
      <c r="T1229" s="2">
        <f ca="1">INDEX(INDIRECT(_xlfn.CONCAT("weather.tbl[",T$1,"]")),MATCH(vp.tbl[[#This Row],[SDate]],weather.tbl[Date],0))</f>
        <v>6.8</v>
      </c>
      <c r="U1229" s="2">
        <f ca="1">INDEX(INDIRECT(_xlfn.CONCAT("weather.tbl[",U$1,"]")),MATCH(vp.tbl[[#This Row],[SDate]],weather.tbl[Date],0))</f>
        <v>6</v>
      </c>
      <c r="V1229" s="2">
        <v>3705.826</v>
      </c>
      <c r="W1229" t="s">
        <v>48</v>
      </c>
      <c r="X1229">
        <f>IF(OR(vp.tbl[[#This Row],[Sulf]]="",vp.tbl[[#This Row],[Dens]]=""),1,0)</f>
        <v>0</v>
      </c>
      <c r="Y1229">
        <f>IF(vp.tbl[[#This Row],[CrudeType]]="C5+",1,0)</f>
        <v>0</v>
      </c>
      <c r="Z1229">
        <f>IF(AND(vp.tbl[[#This Row],[CrudeType]]="Crude",vp.tbl[[#This Row],[Dens]]&lt;=825,vp.tbl[[#This Row],[Sulf]]&gt;0.5,vp.tbl[[#This Row],[Unknown]]=0),1,0)</f>
        <v>0</v>
      </c>
      <c r="AA1229">
        <f>IF(AND(vp.tbl[[#This Row],[CrudeType]]="Crude",vp.tbl[[#This Row],[Dens]]&lt;=825,vp.tbl[[#This Row],[Sulf]]&lt;=0.5,vp.tbl[[#This Row],[Unknown]]=0),1,0)</f>
        <v>0</v>
      </c>
      <c r="AB1229">
        <f>IF(AND(vp.tbl[[#This Row],[CrudeType]]="Crude",vp.tbl[[#This Row],[Dens]]&gt;825,vp.tbl[[#This Row],[Dens]]&lt;=870,vp.tbl[[#This Row],[Sulf]]&gt;0.5,vp.tbl[[#This Row],[Unknown]]=0),1,0)</f>
        <v>1</v>
      </c>
      <c r="AC1229">
        <f>IF(AND(vp.tbl[[#This Row],[CrudeType]]="Crude",vp.tbl[[#This Row],[Dens]]&gt;825,vp.tbl[[#This Row],[Dens]]&lt;=900,vp.tbl[[#This Row],[Sulf]]&lt;=0.5,vp.tbl[[#This Row],[Unknown]]=0),1,0)</f>
        <v>0</v>
      </c>
      <c r="AD1229">
        <f>IF(AND(vp.tbl[[#This Row],[CrudeType]]="Crude",vp.tbl[[#This Row],[Dens]]&gt;870,vp.tbl[[#This Row],[Dens]]&lt;=900,vp.tbl[[#This Row],[Sulf]]&gt;0.5,vp.tbl[[#This Row],[Unknown]]=0),1,0)</f>
        <v>0</v>
      </c>
      <c r="AE1229">
        <f>IF(AND(vp.tbl[[#This Row],[CrudeType]]="Crude",vp.tbl[[#This Row],[Dens]]&gt;900,vp.tbl[[#This Row],[Sulf]]&lt;=0.5,vp.tbl[[#This Row],[Unknown]]=0),1,0)</f>
        <v>0</v>
      </c>
      <c r="AF1229">
        <f>IF(AND(vp.tbl[[#This Row],[CrudeType]]="Crude",vp.tbl[[#This Row],[Dens]]&gt;900,vp.tbl[[#This Row],[Sulf]]&lt;=0.5,vp.tbl[[#This Row],[Unknown]]=0),1,0)</f>
        <v>0</v>
      </c>
      <c r="AG1229" t="str">
        <f>INDEX(vp.tbl[[#Headers],[Unknown]:[Heavy_SW]],MATCH(1,vp.tbl[[#This Row],[Unknown]:[Heavy_SW]],0))</f>
        <v>Medium_LSB</v>
      </c>
      <c r="AH1229" t="e">
        <f>INDEX([1]!crudeBD.lkup[Number],MATCH(vp.tbl[[#This Row],[Crude_Breakdown]],[1]!crudeBD.lkup[Crude Breakdown],0))</f>
        <v>#REF!</v>
      </c>
      <c r="AI1229">
        <f>MONTH(vp.tbl[[#This Row],[SDate]])</f>
        <v>4</v>
      </c>
      <c r="AJ1229" s="5">
        <f>IFERROR(vp.tbl[[#This Row],[Sulf]]*vp.tbl[[#This Row],[Net Dens]],"")</f>
        <v>6262349.3593159998</v>
      </c>
      <c r="AK1229" s="5">
        <f>IFERROR(vp.tbl[[#This Row],[Dens]]*vp.tbl[[#This Row],[VolumeM3]],"")</f>
        <v>3178857.5427999999</v>
      </c>
      <c r="AL1229" s="5">
        <f>IFERROR(vp.tbl[[#This Row],[VP]]*vp.tbl[[#This Row],[VolumeM3]],"")</f>
        <v>280160.44559999998</v>
      </c>
      <c r="AM1229" s="4">
        <f>IFERROR((vp.tbl[[#This Row],[VP]]-INDEX(crudeBD.lkup.complete[Mean_VP],MATCH(vp.tbl[[#This Row],[Crude_Breakdown]],crudeBD.lkup.complete[Crude Breakdown],0)))^2,"")</f>
        <v>20.917770645088641</v>
      </c>
      <c r="AN1229" s="4">
        <f>IFERROR((vp.tbl[[#This Row],[Dens]]-INDEX(crudeBD.lkup.complete[Mean_Dens],MATCH(vp.tbl[[#This Row],[Crude_Breakdown]],crudeBD.lkup.complete[Crude Breakdown],0)))^2,"")</f>
        <v>156.45449724661859</v>
      </c>
      <c r="AO1229" s="4">
        <f>IFERROR((vp.tbl[[#This Row],[Sulf]]-INDEX(crudeBD.lkup.complete[Mean_Sulf],MATCH(vp.tbl[[#This Row],[Crude_Breakdown]],crudeBD.lkup.complete[Crude Breakdown],0)))^2,"")</f>
        <v>0.265297248337233</v>
      </c>
      <c r="AP1229">
        <f>IF(AND(vp.tbl[[#This Row],[SDate]]&gt;=DATE(YEAR(vp.tbl[[#This Row],[SDate]]),5,1),vp.tbl[[#This Row],[SDate]]&lt;=DATE(YEAR(vp.tbl[[#This Row],[SDate]]),9,15)),1,0)</f>
        <v>0</v>
      </c>
      <c r="AQ1229" s="15">
        <f>IF(vp.tbl[[#This Row],[SDate]]&lt;DATE(2016,12,1),0,1)</f>
        <v>1</v>
      </c>
    </row>
    <row r="1230" spans="1:43" x14ac:dyDescent="0.25">
      <c r="A1230">
        <v>1229</v>
      </c>
      <c r="B1230" t="s">
        <v>111</v>
      </c>
      <c r="C1230" t="s">
        <v>111</v>
      </c>
      <c r="D1230" t="s">
        <v>112</v>
      </c>
      <c r="F1230" s="1">
        <v>42837</v>
      </c>
      <c r="G1230" s="2">
        <v>66.2</v>
      </c>
      <c r="H1230" s="2"/>
      <c r="I1230" s="2">
        <v>1.87</v>
      </c>
      <c r="J1230" s="2">
        <v>38.700000000000003</v>
      </c>
      <c r="K1230" s="2">
        <v>15</v>
      </c>
      <c r="L1230" s="2">
        <v>858.8</v>
      </c>
      <c r="M1230" s="2">
        <v>858.8</v>
      </c>
      <c r="N1230" s="2">
        <f ca="1">INDEX(INDIRECT(_xlfn.CONCAT("weather.tbl[",N$1,"]")),MATCH(vp.tbl[[#This Row],[SDate]],weather.tbl[Date],0))</f>
        <v>6.0166666666666666</v>
      </c>
      <c r="O1230" s="2">
        <f ca="1">INDEX(INDIRECT(_xlfn.CONCAT("weather.tbl[",O$1,"]")),MATCH(vp.tbl[[#This Row],[SDate]],weather.tbl[Date],0))</f>
        <v>6.2952380952380951</v>
      </c>
      <c r="P1230" s="2">
        <f ca="1">INDEX(INDIRECT(_xlfn.CONCAT("weather.tbl[",P$1,"]")),MATCH(vp.tbl[[#This Row],[SDate]],weather.tbl[Date],0))</f>
        <v>6.2</v>
      </c>
      <c r="Q1230" s="2">
        <f ca="1">INDEX(INDIRECT(_xlfn.CONCAT("weather.tbl[",Q$1,"]")),MATCH(vp.tbl[[#This Row],[SDate]],weather.tbl[Date],0))</f>
        <v>5.4</v>
      </c>
      <c r="R1230" s="2">
        <f ca="1">INDEX(INDIRECT(_xlfn.CONCAT("weather.tbl[",R$1,"]")),MATCH(vp.tbl[[#This Row],[SDate]],weather.tbl[Date],0))</f>
        <v>6</v>
      </c>
      <c r="S1230" s="2">
        <f ca="1">INDEX(INDIRECT(_xlfn.CONCAT("weather.tbl[",S$1,"]")),MATCH(vp.tbl[[#This Row],[SDate]],weather.tbl[Date],0))</f>
        <v>5.7</v>
      </c>
      <c r="T1230" s="2">
        <f ca="1">INDEX(INDIRECT(_xlfn.CONCAT("weather.tbl[",T$1,"]")),MATCH(vp.tbl[[#This Row],[SDate]],weather.tbl[Date],0))</f>
        <v>6.8</v>
      </c>
      <c r="U1230" s="2">
        <f ca="1">INDEX(INDIRECT(_xlfn.CONCAT("weather.tbl[",U$1,"]")),MATCH(vp.tbl[[#This Row],[SDate]],weather.tbl[Date],0))</f>
        <v>6</v>
      </c>
      <c r="V1230" s="2">
        <v>7693.7780000000002</v>
      </c>
      <c r="W1230" t="s">
        <v>48</v>
      </c>
      <c r="X1230">
        <f>IF(OR(vp.tbl[[#This Row],[Sulf]]="",vp.tbl[[#This Row],[Dens]]=""),1,0)</f>
        <v>0</v>
      </c>
      <c r="Y1230">
        <f>IF(vp.tbl[[#This Row],[CrudeType]]="C5+",1,0)</f>
        <v>0</v>
      </c>
      <c r="Z1230">
        <f>IF(AND(vp.tbl[[#This Row],[CrudeType]]="Crude",vp.tbl[[#This Row],[Dens]]&lt;=825,vp.tbl[[#This Row],[Sulf]]&gt;0.5,vp.tbl[[#This Row],[Unknown]]=0),1,0)</f>
        <v>0</v>
      </c>
      <c r="AA1230">
        <f>IF(AND(vp.tbl[[#This Row],[CrudeType]]="Crude",vp.tbl[[#This Row],[Dens]]&lt;=825,vp.tbl[[#This Row],[Sulf]]&lt;=0.5,vp.tbl[[#This Row],[Unknown]]=0),1,0)</f>
        <v>0</v>
      </c>
      <c r="AB1230">
        <f>IF(AND(vp.tbl[[#This Row],[CrudeType]]="Crude",vp.tbl[[#This Row],[Dens]]&gt;825,vp.tbl[[#This Row],[Dens]]&lt;=870,vp.tbl[[#This Row],[Sulf]]&gt;0.5,vp.tbl[[#This Row],[Unknown]]=0),1,0)</f>
        <v>1</v>
      </c>
      <c r="AC1230">
        <f>IF(AND(vp.tbl[[#This Row],[CrudeType]]="Crude",vp.tbl[[#This Row],[Dens]]&gt;825,vp.tbl[[#This Row],[Dens]]&lt;=900,vp.tbl[[#This Row],[Sulf]]&lt;=0.5,vp.tbl[[#This Row],[Unknown]]=0),1,0)</f>
        <v>0</v>
      </c>
      <c r="AD1230">
        <f>IF(AND(vp.tbl[[#This Row],[CrudeType]]="Crude",vp.tbl[[#This Row],[Dens]]&gt;870,vp.tbl[[#This Row],[Dens]]&lt;=900,vp.tbl[[#This Row],[Sulf]]&gt;0.5,vp.tbl[[#This Row],[Unknown]]=0),1,0)</f>
        <v>0</v>
      </c>
      <c r="AE1230">
        <f>IF(AND(vp.tbl[[#This Row],[CrudeType]]="Crude",vp.tbl[[#This Row],[Dens]]&gt;900,vp.tbl[[#This Row],[Sulf]]&lt;=0.5,vp.tbl[[#This Row],[Unknown]]=0),1,0)</f>
        <v>0</v>
      </c>
      <c r="AF1230">
        <f>IF(AND(vp.tbl[[#This Row],[CrudeType]]="Crude",vp.tbl[[#This Row],[Dens]]&gt;900,vp.tbl[[#This Row],[Sulf]]&lt;=0.5,vp.tbl[[#This Row],[Unknown]]=0),1,0)</f>
        <v>0</v>
      </c>
      <c r="AG1230" t="str">
        <f>INDEX(vp.tbl[[#Headers],[Unknown]:[Heavy_SW]],MATCH(1,vp.tbl[[#This Row],[Unknown]:[Heavy_SW]],0))</f>
        <v>Medium_LSB</v>
      </c>
      <c r="AH1230" t="e">
        <f>INDEX([1]!crudeBD.lkup[Number],MATCH(vp.tbl[[#This Row],[Crude_Breakdown]],[1]!crudeBD.lkup[Crude Breakdown],0))</f>
        <v>#REF!</v>
      </c>
      <c r="AI1230">
        <f>MONTH(vp.tbl[[#This Row],[SDate]])</f>
        <v>4</v>
      </c>
      <c r="AJ1230" s="5">
        <f>IFERROR(vp.tbl[[#This Row],[Sulf]]*vp.tbl[[#This Row],[Net Dens]],"")</f>
        <v>12355868.941768</v>
      </c>
      <c r="AK1230" s="5">
        <f>IFERROR(vp.tbl[[#This Row],[Dens]]*vp.tbl[[#This Row],[VolumeM3]],"")</f>
        <v>6607416.5463999994</v>
      </c>
      <c r="AL1230" s="5">
        <f>IFERROR(vp.tbl[[#This Row],[VP]]*vp.tbl[[#This Row],[VolumeM3]],"")</f>
        <v>509328.10360000003</v>
      </c>
      <c r="AM1230" s="4">
        <f>IFERROR((vp.tbl[[#This Row],[VP]]-INDEX(crudeBD.lkup.complete[Mean_VP],MATCH(vp.tbl[[#This Row],[Crude_Breakdown]],crudeBD.lkup.complete[Crude Breakdown],0)))^2,"")</f>
        <v>195.26135545521441</v>
      </c>
      <c r="AN1230" s="4">
        <f>IFERROR((vp.tbl[[#This Row],[Dens]]-INDEX(crudeBD.lkup.complete[Mean_Dens],MATCH(vp.tbl[[#This Row],[Crude_Breakdown]],crudeBD.lkup.complete[Crude Breakdown],0)))^2,"")</f>
        <v>182.47085167700021</v>
      </c>
      <c r="AO1230" s="4">
        <f>IFERROR((vp.tbl[[#This Row],[Sulf]]-INDEX(crudeBD.lkup.complete[Mean_Sulf],MATCH(vp.tbl[[#This Row],[Crude_Breakdown]],crudeBD.lkup.complete[Crude Breakdown],0)))^2,"")</f>
        <v>0.17228322048913217</v>
      </c>
      <c r="AP1230">
        <f>IF(AND(vp.tbl[[#This Row],[SDate]]&gt;=DATE(YEAR(vp.tbl[[#This Row],[SDate]]),5,1),vp.tbl[[#This Row],[SDate]]&lt;=DATE(YEAR(vp.tbl[[#This Row],[SDate]]),9,15)),1,0)</f>
        <v>0</v>
      </c>
      <c r="AQ1230" s="15">
        <f>IF(vp.tbl[[#This Row],[SDate]]&lt;DATE(2016,12,1),0,1)</f>
        <v>1</v>
      </c>
    </row>
    <row r="1231" spans="1:43" x14ac:dyDescent="0.25">
      <c r="A1231">
        <v>1230</v>
      </c>
      <c r="B1231" t="s">
        <v>46</v>
      </c>
      <c r="C1231" t="s">
        <v>46</v>
      </c>
      <c r="D1231" t="s">
        <v>47</v>
      </c>
      <c r="F1231" s="1">
        <v>42837</v>
      </c>
      <c r="G1231" s="2">
        <v>57.3</v>
      </c>
      <c r="H1231" s="2"/>
      <c r="I1231" s="2">
        <v>2.4</v>
      </c>
      <c r="J1231" s="2">
        <v>31.8</v>
      </c>
      <c r="K1231" s="2">
        <v>15</v>
      </c>
      <c r="L1231" s="2">
        <v>868.7</v>
      </c>
      <c r="M1231" s="2">
        <v>868.7</v>
      </c>
      <c r="N1231" s="2">
        <f ca="1">INDEX(INDIRECT(_xlfn.CONCAT("weather.tbl[",N$1,"]")),MATCH(vp.tbl[[#This Row],[SDate]],weather.tbl[Date],0))</f>
        <v>6.0166666666666666</v>
      </c>
      <c r="O1231" s="2">
        <f ca="1">INDEX(INDIRECT(_xlfn.CONCAT("weather.tbl[",O$1,"]")),MATCH(vp.tbl[[#This Row],[SDate]],weather.tbl[Date],0))</f>
        <v>6.2952380952380951</v>
      </c>
      <c r="P1231" s="2">
        <f ca="1">INDEX(INDIRECT(_xlfn.CONCAT("weather.tbl[",P$1,"]")),MATCH(vp.tbl[[#This Row],[SDate]],weather.tbl[Date],0))</f>
        <v>6.2</v>
      </c>
      <c r="Q1231" s="2">
        <f ca="1">INDEX(INDIRECT(_xlfn.CONCAT("weather.tbl[",Q$1,"]")),MATCH(vp.tbl[[#This Row],[SDate]],weather.tbl[Date],0))</f>
        <v>5.4</v>
      </c>
      <c r="R1231" s="2">
        <f ca="1">INDEX(INDIRECT(_xlfn.CONCAT("weather.tbl[",R$1,"]")),MATCH(vp.tbl[[#This Row],[SDate]],weather.tbl[Date],0))</f>
        <v>6</v>
      </c>
      <c r="S1231" s="2">
        <f ca="1">INDEX(INDIRECT(_xlfn.CONCAT("weather.tbl[",S$1,"]")),MATCH(vp.tbl[[#This Row],[SDate]],weather.tbl[Date],0))</f>
        <v>5.7</v>
      </c>
      <c r="T1231" s="2">
        <f ca="1">INDEX(INDIRECT(_xlfn.CONCAT("weather.tbl[",T$1,"]")),MATCH(vp.tbl[[#This Row],[SDate]],weather.tbl[Date],0))</f>
        <v>6.8</v>
      </c>
      <c r="U1231" s="2">
        <f ca="1">INDEX(INDIRECT(_xlfn.CONCAT("weather.tbl[",U$1,"]")),MATCH(vp.tbl[[#This Row],[SDate]],weather.tbl[Date],0))</f>
        <v>6</v>
      </c>
      <c r="V1231" s="2">
        <v>115537.139</v>
      </c>
      <c r="W1231" t="s">
        <v>48</v>
      </c>
      <c r="X1231">
        <f>IF(OR(vp.tbl[[#This Row],[Sulf]]="",vp.tbl[[#This Row],[Dens]]=""),1,0)</f>
        <v>0</v>
      </c>
      <c r="Y1231">
        <f>IF(vp.tbl[[#This Row],[CrudeType]]="C5+",1,0)</f>
        <v>0</v>
      </c>
      <c r="Z1231">
        <f>IF(AND(vp.tbl[[#This Row],[CrudeType]]="Crude",vp.tbl[[#This Row],[Dens]]&lt;=825,vp.tbl[[#This Row],[Sulf]]&gt;0.5,vp.tbl[[#This Row],[Unknown]]=0),1,0)</f>
        <v>0</v>
      </c>
      <c r="AA1231">
        <f>IF(AND(vp.tbl[[#This Row],[CrudeType]]="Crude",vp.tbl[[#This Row],[Dens]]&lt;=825,vp.tbl[[#This Row],[Sulf]]&lt;=0.5,vp.tbl[[#This Row],[Unknown]]=0),1,0)</f>
        <v>0</v>
      </c>
      <c r="AB1231">
        <f>IF(AND(vp.tbl[[#This Row],[CrudeType]]="Crude",vp.tbl[[#This Row],[Dens]]&gt;825,vp.tbl[[#This Row],[Dens]]&lt;=870,vp.tbl[[#This Row],[Sulf]]&gt;0.5,vp.tbl[[#This Row],[Unknown]]=0),1,0)</f>
        <v>1</v>
      </c>
      <c r="AC1231">
        <f>IF(AND(vp.tbl[[#This Row],[CrudeType]]="Crude",vp.tbl[[#This Row],[Dens]]&gt;825,vp.tbl[[#This Row],[Dens]]&lt;=900,vp.tbl[[#This Row],[Sulf]]&lt;=0.5,vp.tbl[[#This Row],[Unknown]]=0),1,0)</f>
        <v>0</v>
      </c>
      <c r="AD1231">
        <f>IF(AND(vp.tbl[[#This Row],[CrudeType]]="Crude",vp.tbl[[#This Row],[Dens]]&gt;870,vp.tbl[[#This Row],[Dens]]&lt;=900,vp.tbl[[#This Row],[Sulf]]&gt;0.5,vp.tbl[[#This Row],[Unknown]]=0),1,0)</f>
        <v>0</v>
      </c>
      <c r="AE1231">
        <f>IF(AND(vp.tbl[[#This Row],[CrudeType]]="Crude",vp.tbl[[#This Row],[Dens]]&gt;900,vp.tbl[[#This Row],[Sulf]]&lt;=0.5,vp.tbl[[#This Row],[Unknown]]=0),1,0)</f>
        <v>0</v>
      </c>
      <c r="AF1231">
        <f>IF(AND(vp.tbl[[#This Row],[CrudeType]]="Crude",vp.tbl[[#This Row],[Dens]]&gt;900,vp.tbl[[#This Row],[Sulf]]&lt;=0.5,vp.tbl[[#This Row],[Unknown]]=0),1,0)</f>
        <v>0</v>
      </c>
      <c r="AG1231" t="str">
        <f>INDEX(vp.tbl[[#Headers],[Unknown]:[Heavy_SW]],MATCH(1,vp.tbl[[#This Row],[Unknown]:[Heavy_SW]],0))</f>
        <v>Medium_LSB</v>
      </c>
      <c r="AH1231" t="e">
        <f>INDEX([1]!crudeBD.lkup[Number],MATCH(vp.tbl[[#This Row],[Crude_Breakdown]],[1]!crudeBD.lkup[Crude Breakdown],0))</f>
        <v>#REF!</v>
      </c>
      <c r="AI1231">
        <f>MONTH(vp.tbl[[#This Row],[SDate]])</f>
        <v>4</v>
      </c>
      <c r="AJ1231" s="5">
        <f>IFERROR(vp.tbl[[#This Row],[Sulf]]*vp.tbl[[#This Row],[Net Dens]],"")</f>
        <v>240881070.35831997</v>
      </c>
      <c r="AK1231" s="5">
        <f>IFERROR(vp.tbl[[#This Row],[Dens]]*vp.tbl[[#This Row],[VolumeM3]],"")</f>
        <v>100367112.64929999</v>
      </c>
      <c r="AL1231" s="5">
        <f>IFERROR(vp.tbl[[#This Row],[VP]]*vp.tbl[[#This Row],[VolumeM3]],"")</f>
        <v>6620278.0646999991</v>
      </c>
      <c r="AM1231" s="4">
        <f>IFERROR((vp.tbl[[#This Row],[VP]]-INDEX(crudeBD.lkup.complete[Mean_VP],MATCH(vp.tbl[[#This Row],[Crude_Breakdown]],crudeBD.lkup.complete[Crude Breakdown],0)))^2,"")</f>
        <v>523.20134532863165</v>
      </c>
      <c r="AN1231" s="4">
        <f>IFERROR((vp.tbl[[#This Row],[Dens]]-INDEX(crudeBD.lkup.complete[Mean_Dens],MATCH(vp.tbl[[#This Row],[Crude_Breakdown]],crudeBD.lkup.complete[Crude Breakdown],0)))^2,"")</f>
        <v>547.94276053778253</v>
      </c>
      <c r="AO1231" s="4">
        <f>IFERROR((vp.tbl[[#This Row],[Sulf]]-INDEX(crudeBD.lkup.complete[Mean_Sulf],MATCH(vp.tbl[[#This Row],[Crude_Breakdown]],crudeBD.lkup.complete[Crude Breakdown],0)))^2,"")</f>
        <v>0.8931575680840671</v>
      </c>
      <c r="AP1231">
        <f>IF(AND(vp.tbl[[#This Row],[SDate]]&gt;=DATE(YEAR(vp.tbl[[#This Row],[SDate]]),5,1),vp.tbl[[#This Row],[SDate]]&lt;=DATE(YEAR(vp.tbl[[#This Row],[SDate]]),9,15)),1,0)</f>
        <v>0</v>
      </c>
      <c r="AQ1231" s="15">
        <f>IF(vp.tbl[[#This Row],[SDate]]&lt;DATE(2016,12,1),0,1)</f>
        <v>1</v>
      </c>
    </row>
    <row r="1232" spans="1:43" x14ac:dyDescent="0.25">
      <c r="A1232">
        <v>1231</v>
      </c>
      <c r="B1232" t="s">
        <v>51</v>
      </c>
      <c r="C1232" t="s">
        <v>51</v>
      </c>
      <c r="D1232" t="s">
        <v>52</v>
      </c>
      <c r="F1232" s="1">
        <v>42837</v>
      </c>
      <c r="G1232" s="2">
        <v>71.099999999999994</v>
      </c>
      <c r="H1232" s="2"/>
      <c r="I1232" s="2">
        <v>2.4</v>
      </c>
      <c r="J1232" s="2">
        <v>34.1</v>
      </c>
      <c r="K1232" s="2">
        <v>15</v>
      </c>
      <c r="L1232" s="2">
        <v>871.9</v>
      </c>
      <c r="M1232" s="2">
        <v>871.9</v>
      </c>
      <c r="N1232" s="2">
        <f ca="1">INDEX(INDIRECT(_xlfn.CONCAT("weather.tbl[",N$1,"]")),MATCH(vp.tbl[[#This Row],[SDate]],weather.tbl[Date],0))</f>
        <v>6.0166666666666666</v>
      </c>
      <c r="O1232" s="2">
        <f ca="1">INDEX(INDIRECT(_xlfn.CONCAT("weather.tbl[",O$1,"]")),MATCH(vp.tbl[[#This Row],[SDate]],weather.tbl[Date],0))</f>
        <v>6.2952380952380951</v>
      </c>
      <c r="P1232" s="2">
        <f ca="1">INDEX(INDIRECT(_xlfn.CONCAT("weather.tbl[",P$1,"]")),MATCH(vp.tbl[[#This Row],[SDate]],weather.tbl[Date],0))</f>
        <v>6.2</v>
      </c>
      <c r="Q1232" s="2">
        <f ca="1">INDEX(INDIRECT(_xlfn.CONCAT("weather.tbl[",Q$1,"]")),MATCH(vp.tbl[[#This Row],[SDate]],weather.tbl[Date],0))</f>
        <v>5.4</v>
      </c>
      <c r="R1232" s="2">
        <f ca="1">INDEX(INDIRECT(_xlfn.CONCAT("weather.tbl[",R$1,"]")),MATCH(vp.tbl[[#This Row],[SDate]],weather.tbl[Date],0))</f>
        <v>6</v>
      </c>
      <c r="S1232" s="2">
        <f ca="1">INDEX(INDIRECT(_xlfn.CONCAT("weather.tbl[",S$1,"]")),MATCH(vp.tbl[[#This Row],[SDate]],weather.tbl[Date],0))</f>
        <v>5.7</v>
      </c>
      <c r="T1232" s="2">
        <f ca="1">INDEX(INDIRECT(_xlfn.CONCAT("weather.tbl[",T$1,"]")),MATCH(vp.tbl[[#This Row],[SDate]],weather.tbl[Date],0))</f>
        <v>6.8</v>
      </c>
      <c r="U1232" s="2">
        <f ca="1">INDEX(INDIRECT(_xlfn.CONCAT("weather.tbl[",U$1,"]")),MATCH(vp.tbl[[#This Row],[SDate]],weather.tbl[Date],0))</f>
        <v>6</v>
      </c>
      <c r="V1232" s="2">
        <v>7160.7740000000003</v>
      </c>
      <c r="W1232" t="s">
        <v>48</v>
      </c>
      <c r="X1232">
        <f>IF(OR(vp.tbl[[#This Row],[Sulf]]="",vp.tbl[[#This Row],[Dens]]=""),1,0)</f>
        <v>0</v>
      </c>
      <c r="Y1232">
        <f>IF(vp.tbl[[#This Row],[CrudeType]]="C5+",1,0)</f>
        <v>0</v>
      </c>
      <c r="Z1232">
        <f>IF(AND(vp.tbl[[#This Row],[CrudeType]]="Crude",vp.tbl[[#This Row],[Dens]]&lt;=825,vp.tbl[[#This Row],[Sulf]]&gt;0.5,vp.tbl[[#This Row],[Unknown]]=0),1,0)</f>
        <v>0</v>
      </c>
      <c r="AA1232">
        <f>IF(AND(vp.tbl[[#This Row],[CrudeType]]="Crude",vp.tbl[[#This Row],[Dens]]&lt;=825,vp.tbl[[#This Row],[Sulf]]&lt;=0.5,vp.tbl[[#This Row],[Unknown]]=0),1,0)</f>
        <v>0</v>
      </c>
      <c r="AB1232">
        <f>IF(AND(vp.tbl[[#This Row],[CrudeType]]="Crude",vp.tbl[[#This Row],[Dens]]&gt;825,vp.tbl[[#This Row],[Dens]]&lt;=870,vp.tbl[[#This Row],[Sulf]]&gt;0.5,vp.tbl[[#This Row],[Unknown]]=0),1,0)</f>
        <v>0</v>
      </c>
      <c r="AC1232">
        <f>IF(AND(vp.tbl[[#This Row],[CrudeType]]="Crude",vp.tbl[[#This Row],[Dens]]&gt;825,vp.tbl[[#This Row],[Dens]]&lt;=900,vp.tbl[[#This Row],[Sulf]]&lt;=0.5,vp.tbl[[#This Row],[Unknown]]=0),1,0)</f>
        <v>0</v>
      </c>
      <c r="AD1232">
        <f>IF(AND(vp.tbl[[#This Row],[CrudeType]]="Crude",vp.tbl[[#This Row],[Dens]]&gt;870,vp.tbl[[#This Row],[Dens]]&lt;=900,vp.tbl[[#This Row],[Sulf]]&gt;0.5,vp.tbl[[#This Row],[Unknown]]=0),1,0)</f>
        <v>1</v>
      </c>
      <c r="AE1232">
        <f>IF(AND(vp.tbl[[#This Row],[CrudeType]]="Crude",vp.tbl[[#This Row],[Dens]]&gt;900,vp.tbl[[#This Row],[Sulf]]&lt;=0.5,vp.tbl[[#This Row],[Unknown]]=0),1,0)</f>
        <v>0</v>
      </c>
      <c r="AF1232">
        <f>IF(AND(vp.tbl[[#This Row],[CrudeType]]="Crude",vp.tbl[[#This Row],[Dens]]&gt;900,vp.tbl[[#This Row],[Sulf]]&lt;=0.5,vp.tbl[[#This Row],[Unknown]]=0),1,0)</f>
        <v>0</v>
      </c>
      <c r="AG1232" t="str">
        <f>INDEX(vp.tbl[[#Headers],[Unknown]:[Heavy_SW]],MATCH(1,vp.tbl[[#This Row],[Unknown]:[Heavy_SW]],0))</f>
        <v>Midale</v>
      </c>
      <c r="AH1232" t="e">
        <f>INDEX([1]!crudeBD.lkup[Number],MATCH(vp.tbl[[#This Row],[Crude_Breakdown]],[1]!crudeBD.lkup[Crude Breakdown],0))</f>
        <v>#REF!</v>
      </c>
      <c r="AI1232">
        <f>MONTH(vp.tbl[[#This Row],[SDate]])</f>
        <v>4</v>
      </c>
      <c r="AJ1232" s="5">
        <f>IFERROR(vp.tbl[[#This Row],[Sulf]]*vp.tbl[[#This Row],[Net Dens]],"")</f>
        <v>14984349.24144</v>
      </c>
      <c r="AK1232" s="5">
        <f>IFERROR(vp.tbl[[#This Row],[Dens]]*vp.tbl[[#This Row],[VolumeM3]],"")</f>
        <v>6243478.8506000005</v>
      </c>
      <c r="AL1232" s="5">
        <f>IFERROR(vp.tbl[[#This Row],[VP]]*vp.tbl[[#This Row],[VolumeM3]],"")</f>
        <v>509131.03139999998</v>
      </c>
      <c r="AM1232" s="4">
        <f>IFERROR((vp.tbl[[#This Row],[VP]]-INDEX(crudeBD.lkup.complete[Mean_VP],MATCH(vp.tbl[[#This Row],[Crude_Breakdown]],crudeBD.lkup.complete[Crude Breakdown],0)))^2,"")</f>
        <v>8.189005441921454</v>
      </c>
      <c r="AN1232" s="4">
        <f>IFERROR((vp.tbl[[#This Row],[Dens]]-INDEX(crudeBD.lkup.complete[Mean_Dens],MATCH(vp.tbl[[#This Row],[Crude_Breakdown]],crudeBD.lkup.complete[Crude Breakdown],0)))^2,"")</f>
        <v>31.945723400259549</v>
      </c>
      <c r="AO1232" s="4">
        <f>IFERROR((vp.tbl[[#This Row],[Sulf]]-INDEX(crudeBD.lkup.complete[Mean_Sulf],MATCH(vp.tbl[[#This Row],[Crude_Breakdown]],crudeBD.lkup.complete[Crude Breakdown],0)))^2,"")</f>
        <v>2.3531980275845577E-4</v>
      </c>
      <c r="AP1232">
        <f>IF(AND(vp.tbl[[#This Row],[SDate]]&gt;=DATE(YEAR(vp.tbl[[#This Row],[SDate]]),5,1),vp.tbl[[#This Row],[SDate]]&lt;=DATE(YEAR(vp.tbl[[#This Row],[SDate]]),9,15)),1,0)</f>
        <v>0</v>
      </c>
      <c r="AQ1232" s="15">
        <f>IF(vp.tbl[[#This Row],[SDate]]&lt;DATE(2016,12,1),0,1)</f>
        <v>1</v>
      </c>
    </row>
    <row r="1233" spans="1:43" x14ac:dyDescent="0.25">
      <c r="A1233">
        <v>1232</v>
      </c>
      <c r="B1233" t="s">
        <v>64</v>
      </c>
      <c r="C1233" t="s">
        <v>64</v>
      </c>
      <c r="D1233" t="s">
        <v>65</v>
      </c>
      <c r="F1233" s="1">
        <v>42837</v>
      </c>
      <c r="G1233" s="2">
        <v>48.2</v>
      </c>
      <c r="H1233" s="2"/>
      <c r="I1233" s="2">
        <v>2.11</v>
      </c>
      <c r="J1233" s="2">
        <v>32.1</v>
      </c>
      <c r="K1233" s="2">
        <v>15</v>
      </c>
      <c r="L1233" s="2">
        <v>875.6</v>
      </c>
      <c r="M1233" s="2">
        <v>875.6</v>
      </c>
      <c r="N1233" s="2">
        <f ca="1">INDEX(INDIRECT(_xlfn.CONCAT("weather.tbl[",N$1,"]")),MATCH(vp.tbl[[#This Row],[SDate]],weather.tbl[Date],0))</f>
        <v>6.0166666666666666</v>
      </c>
      <c r="O1233" s="2">
        <f ca="1">INDEX(INDIRECT(_xlfn.CONCAT("weather.tbl[",O$1,"]")),MATCH(vp.tbl[[#This Row],[SDate]],weather.tbl[Date],0))</f>
        <v>6.2952380952380951</v>
      </c>
      <c r="P1233" s="2">
        <f ca="1">INDEX(INDIRECT(_xlfn.CONCAT("weather.tbl[",P$1,"]")),MATCH(vp.tbl[[#This Row],[SDate]],weather.tbl[Date],0))</f>
        <v>6.2</v>
      </c>
      <c r="Q1233" s="2">
        <f ca="1">INDEX(INDIRECT(_xlfn.CONCAT("weather.tbl[",Q$1,"]")),MATCH(vp.tbl[[#This Row],[SDate]],weather.tbl[Date],0))</f>
        <v>5.4</v>
      </c>
      <c r="R1233" s="2">
        <f ca="1">INDEX(INDIRECT(_xlfn.CONCAT("weather.tbl[",R$1,"]")),MATCH(vp.tbl[[#This Row],[SDate]],weather.tbl[Date],0))</f>
        <v>6</v>
      </c>
      <c r="S1233" s="2">
        <f ca="1">INDEX(INDIRECT(_xlfn.CONCAT("weather.tbl[",S$1,"]")),MATCH(vp.tbl[[#This Row],[SDate]],weather.tbl[Date],0))</f>
        <v>5.7</v>
      </c>
      <c r="T1233" s="2">
        <f ca="1">INDEX(INDIRECT(_xlfn.CONCAT("weather.tbl[",T$1,"]")),MATCH(vp.tbl[[#This Row],[SDate]],weather.tbl[Date],0))</f>
        <v>6.8</v>
      </c>
      <c r="U1233" s="2">
        <f ca="1">INDEX(INDIRECT(_xlfn.CONCAT("weather.tbl[",U$1,"]")),MATCH(vp.tbl[[#This Row],[SDate]],weather.tbl[Date],0))</f>
        <v>6</v>
      </c>
      <c r="V1233" s="2">
        <v>21877.668000000001</v>
      </c>
      <c r="W1233" t="s">
        <v>48</v>
      </c>
      <c r="X1233">
        <f>IF(OR(vp.tbl[[#This Row],[Sulf]]="",vp.tbl[[#This Row],[Dens]]=""),1,0)</f>
        <v>0</v>
      </c>
      <c r="Y1233">
        <f>IF(vp.tbl[[#This Row],[CrudeType]]="C5+",1,0)</f>
        <v>0</v>
      </c>
      <c r="Z1233">
        <f>IF(AND(vp.tbl[[#This Row],[CrudeType]]="Crude",vp.tbl[[#This Row],[Dens]]&lt;=825,vp.tbl[[#This Row],[Sulf]]&gt;0.5,vp.tbl[[#This Row],[Unknown]]=0),1,0)</f>
        <v>0</v>
      </c>
      <c r="AA1233">
        <f>IF(AND(vp.tbl[[#This Row],[CrudeType]]="Crude",vp.tbl[[#This Row],[Dens]]&lt;=825,vp.tbl[[#This Row],[Sulf]]&lt;=0.5,vp.tbl[[#This Row],[Unknown]]=0),1,0)</f>
        <v>0</v>
      </c>
      <c r="AB1233">
        <f>IF(AND(vp.tbl[[#This Row],[CrudeType]]="Crude",vp.tbl[[#This Row],[Dens]]&gt;825,vp.tbl[[#This Row],[Dens]]&lt;=870,vp.tbl[[#This Row],[Sulf]]&gt;0.5,vp.tbl[[#This Row],[Unknown]]=0),1,0)</f>
        <v>0</v>
      </c>
      <c r="AC1233">
        <f>IF(AND(vp.tbl[[#This Row],[CrudeType]]="Crude",vp.tbl[[#This Row],[Dens]]&gt;825,vp.tbl[[#This Row],[Dens]]&lt;=900,vp.tbl[[#This Row],[Sulf]]&lt;=0.5,vp.tbl[[#This Row],[Unknown]]=0),1,0)</f>
        <v>0</v>
      </c>
      <c r="AD1233">
        <f>IF(AND(vp.tbl[[#This Row],[CrudeType]]="Crude",vp.tbl[[#This Row],[Dens]]&gt;870,vp.tbl[[#This Row],[Dens]]&lt;=900,vp.tbl[[#This Row],[Sulf]]&gt;0.5,vp.tbl[[#This Row],[Unknown]]=0),1,0)</f>
        <v>1</v>
      </c>
      <c r="AE1233">
        <f>IF(AND(vp.tbl[[#This Row],[CrudeType]]="Crude",vp.tbl[[#This Row],[Dens]]&gt;900,vp.tbl[[#This Row],[Sulf]]&lt;=0.5,vp.tbl[[#This Row],[Unknown]]=0),1,0)</f>
        <v>0</v>
      </c>
      <c r="AF1233">
        <f>IF(AND(vp.tbl[[#This Row],[CrudeType]]="Crude",vp.tbl[[#This Row],[Dens]]&gt;900,vp.tbl[[#This Row],[Sulf]]&lt;=0.5,vp.tbl[[#This Row],[Unknown]]=0),1,0)</f>
        <v>0</v>
      </c>
      <c r="AG1233" t="str">
        <f>INDEX(vp.tbl[[#Headers],[Unknown]:[Heavy_SW]],MATCH(1,vp.tbl[[#This Row],[Unknown]:[Heavy_SW]],0))</f>
        <v>Midale</v>
      </c>
      <c r="AH1233" t="e">
        <f>INDEX([1]!crudeBD.lkup[Number],MATCH(vp.tbl[[#This Row],[Crude_Breakdown]],[1]!crudeBD.lkup[Crude Breakdown],0))</f>
        <v>#REF!</v>
      </c>
      <c r="AI1233">
        <f>MONTH(vp.tbl[[#This Row],[SDate]])</f>
        <v>4</v>
      </c>
      <c r="AJ1233" s="5">
        <f>IFERROR(vp.tbl[[#This Row],[Sulf]]*vp.tbl[[#This Row],[Net Dens]],"")</f>
        <v>40419341.672688</v>
      </c>
      <c r="AK1233" s="5">
        <f>IFERROR(vp.tbl[[#This Row],[Dens]]*vp.tbl[[#This Row],[VolumeM3]],"")</f>
        <v>19156086.1008</v>
      </c>
      <c r="AL1233" s="5">
        <f>IFERROR(vp.tbl[[#This Row],[VP]]*vp.tbl[[#This Row],[VolumeM3]],"")</f>
        <v>1054503.5976000002</v>
      </c>
      <c r="AM1233" s="4">
        <f>IFERROR((vp.tbl[[#This Row],[VP]]-INDEX(crudeBD.lkup.complete[Mean_VP],MATCH(vp.tbl[[#This Row],[Crude_Breakdown]],crudeBD.lkup.complete[Crude Breakdown],0)))^2,"")</f>
        <v>401.53571777068908</v>
      </c>
      <c r="AN1233" s="4">
        <f>IFERROR((vp.tbl[[#This Row],[Dens]]-INDEX(crudeBD.lkup.complete[Mean_Dens],MATCH(vp.tbl[[#This Row],[Crude_Breakdown]],crudeBD.lkup.complete[Crude Breakdown],0)))^2,"")</f>
        <v>3.8105179208093878</v>
      </c>
      <c r="AO1233" s="4">
        <f>IFERROR((vp.tbl[[#This Row],[Sulf]]-INDEX(crudeBD.lkup.complete[Mean_Sulf],MATCH(vp.tbl[[#This Row],[Crude_Breakdown]],crudeBD.lkup.complete[Crude Breakdown],0)))^2,"")</f>
        <v>9.3232599254812601E-2</v>
      </c>
      <c r="AP1233">
        <f>IF(AND(vp.tbl[[#This Row],[SDate]]&gt;=DATE(YEAR(vp.tbl[[#This Row],[SDate]]),5,1),vp.tbl[[#This Row],[SDate]]&lt;=DATE(YEAR(vp.tbl[[#This Row],[SDate]]),9,15)),1,0)</f>
        <v>0</v>
      </c>
      <c r="AQ1233" s="15">
        <f>IF(vp.tbl[[#This Row],[SDate]]&lt;DATE(2016,12,1),0,1)</f>
        <v>1</v>
      </c>
    </row>
    <row r="1234" spans="1:43" x14ac:dyDescent="0.25">
      <c r="A1234">
        <v>1233</v>
      </c>
      <c r="B1234" t="s">
        <v>111</v>
      </c>
      <c r="C1234" t="s">
        <v>111</v>
      </c>
      <c r="D1234" t="s">
        <v>234</v>
      </c>
      <c r="F1234" s="1">
        <v>42837</v>
      </c>
      <c r="G1234" s="2">
        <v>65.599999999999994</v>
      </c>
      <c r="H1234" s="2"/>
      <c r="I1234" s="2">
        <v>2.92</v>
      </c>
      <c r="J1234" s="2">
        <v>36</v>
      </c>
      <c r="K1234" s="2">
        <v>15</v>
      </c>
      <c r="L1234" s="2">
        <v>886.6</v>
      </c>
      <c r="M1234" s="2">
        <v>886.6</v>
      </c>
      <c r="N1234" s="2">
        <f ca="1">INDEX(INDIRECT(_xlfn.CONCAT("weather.tbl[",N$1,"]")),MATCH(vp.tbl[[#This Row],[SDate]],weather.tbl[Date],0))</f>
        <v>6.0166666666666666</v>
      </c>
      <c r="O1234" s="2">
        <f ca="1">INDEX(INDIRECT(_xlfn.CONCAT("weather.tbl[",O$1,"]")),MATCH(vp.tbl[[#This Row],[SDate]],weather.tbl[Date],0))</f>
        <v>6.2952380952380951</v>
      </c>
      <c r="P1234" s="2">
        <f ca="1">INDEX(INDIRECT(_xlfn.CONCAT("weather.tbl[",P$1,"]")),MATCH(vp.tbl[[#This Row],[SDate]],weather.tbl[Date],0))</f>
        <v>6.2</v>
      </c>
      <c r="Q1234" s="2">
        <f ca="1">INDEX(INDIRECT(_xlfn.CONCAT("weather.tbl[",Q$1,"]")),MATCH(vp.tbl[[#This Row],[SDate]],weather.tbl[Date],0))</f>
        <v>5.4</v>
      </c>
      <c r="R1234" s="2">
        <f ca="1">INDEX(INDIRECT(_xlfn.CONCAT("weather.tbl[",R$1,"]")),MATCH(vp.tbl[[#This Row],[SDate]],weather.tbl[Date],0))</f>
        <v>6</v>
      </c>
      <c r="S1234" s="2">
        <f ca="1">INDEX(INDIRECT(_xlfn.CONCAT("weather.tbl[",S$1,"]")),MATCH(vp.tbl[[#This Row],[SDate]],weather.tbl[Date],0))</f>
        <v>5.7</v>
      </c>
      <c r="T1234" s="2">
        <f ca="1">INDEX(INDIRECT(_xlfn.CONCAT("weather.tbl[",T$1,"]")),MATCH(vp.tbl[[#This Row],[SDate]],weather.tbl[Date],0))</f>
        <v>6.8</v>
      </c>
      <c r="U1234" s="2">
        <f ca="1">INDEX(INDIRECT(_xlfn.CONCAT("weather.tbl[",U$1,"]")),MATCH(vp.tbl[[#This Row],[SDate]],weather.tbl[Date],0))</f>
        <v>6</v>
      </c>
      <c r="V1234" s="2">
        <v>6110.1149999999998</v>
      </c>
      <c r="W1234" t="s">
        <v>48</v>
      </c>
      <c r="X1234">
        <f>IF(OR(vp.tbl[[#This Row],[Sulf]]="",vp.tbl[[#This Row],[Dens]]=""),1,0)</f>
        <v>0</v>
      </c>
      <c r="Y1234">
        <f>IF(vp.tbl[[#This Row],[CrudeType]]="C5+",1,0)</f>
        <v>0</v>
      </c>
      <c r="Z1234">
        <f>IF(AND(vp.tbl[[#This Row],[CrudeType]]="Crude",vp.tbl[[#This Row],[Dens]]&lt;=825,vp.tbl[[#This Row],[Sulf]]&gt;0.5,vp.tbl[[#This Row],[Unknown]]=0),1,0)</f>
        <v>0</v>
      </c>
      <c r="AA1234">
        <f>IF(AND(vp.tbl[[#This Row],[CrudeType]]="Crude",vp.tbl[[#This Row],[Dens]]&lt;=825,vp.tbl[[#This Row],[Sulf]]&lt;=0.5,vp.tbl[[#This Row],[Unknown]]=0),1,0)</f>
        <v>0</v>
      </c>
      <c r="AB1234">
        <f>IF(AND(vp.tbl[[#This Row],[CrudeType]]="Crude",vp.tbl[[#This Row],[Dens]]&gt;825,vp.tbl[[#This Row],[Dens]]&lt;=870,vp.tbl[[#This Row],[Sulf]]&gt;0.5,vp.tbl[[#This Row],[Unknown]]=0),1,0)</f>
        <v>0</v>
      </c>
      <c r="AC1234">
        <f>IF(AND(vp.tbl[[#This Row],[CrudeType]]="Crude",vp.tbl[[#This Row],[Dens]]&gt;825,vp.tbl[[#This Row],[Dens]]&lt;=900,vp.tbl[[#This Row],[Sulf]]&lt;=0.5,vp.tbl[[#This Row],[Unknown]]=0),1,0)</f>
        <v>0</v>
      </c>
      <c r="AD1234">
        <f>IF(AND(vp.tbl[[#This Row],[CrudeType]]="Crude",vp.tbl[[#This Row],[Dens]]&gt;870,vp.tbl[[#This Row],[Dens]]&lt;=900,vp.tbl[[#This Row],[Sulf]]&gt;0.5,vp.tbl[[#This Row],[Unknown]]=0),1,0)</f>
        <v>1</v>
      </c>
      <c r="AE1234">
        <f>IF(AND(vp.tbl[[#This Row],[CrudeType]]="Crude",vp.tbl[[#This Row],[Dens]]&gt;900,vp.tbl[[#This Row],[Sulf]]&lt;=0.5,vp.tbl[[#This Row],[Unknown]]=0),1,0)</f>
        <v>0</v>
      </c>
      <c r="AF1234">
        <f>IF(AND(vp.tbl[[#This Row],[CrudeType]]="Crude",vp.tbl[[#This Row],[Dens]]&gt;900,vp.tbl[[#This Row],[Sulf]]&lt;=0.5,vp.tbl[[#This Row],[Unknown]]=0),1,0)</f>
        <v>0</v>
      </c>
      <c r="AG1234" t="str">
        <f>INDEX(vp.tbl[[#Headers],[Unknown]:[Heavy_SW]],MATCH(1,vp.tbl[[#This Row],[Unknown]:[Heavy_SW]],0))</f>
        <v>Midale</v>
      </c>
      <c r="AH1234" t="e">
        <f>INDEX([1]!crudeBD.lkup[Number],MATCH(vp.tbl[[#This Row],[Crude_Breakdown]],[1]!crudeBD.lkup[Crude Breakdown],0))</f>
        <v>#REF!</v>
      </c>
      <c r="AI1234">
        <f>MONTH(vp.tbl[[#This Row],[SDate]])</f>
        <v>4</v>
      </c>
      <c r="AJ1234" s="5">
        <f>IFERROR(vp.tbl[[#This Row],[Sulf]]*vp.tbl[[#This Row],[Net Dens]],"")</f>
        <v>15818305.640279999</v>
      </c>
      <c r="AK1234" s="5">
        <f>IFERROR(vp.tbl[[#This Row],[Dens]]*vp.tbl[[#This Row],[VolumeM3]],"")</f>
        <v>5417227.9589999998</v>
      </c>
      <c r="AL1234" s="5">
        <f>IFERROR(vp.tbl[[#This Row],[VP]]*vp.tbl[[#This Row],[VolumeM3]],"")</f>
        <v>400823.54399999994</v>
      </c>
      <c r="AM1234" s="4">
        <f>IFERROR((vp.tbl[[#This Row],[VP]]-INDEX(crudeBD.lkup.complete[Mean_VP],MATCH(vp.tbl[[#This Row],[Crude_Breakdown]],crudeBD.lkup.complete[Crude Breakdown],0)))^2,"")</f>
        <v>6.9609232501408389</v>
      </c>
      <c r="AN1234" s="4">
        <f>IFERROR((vp.tbl[[#This Row],[Dens]]-INDEX(crudeBD.lkup.complete[Mean_Dens],MATCH(vp.tbl[[#This Row],[Crude_Breakdown]],crudeBD.lkup.complete[Crude Breakdown],0)))^2,"")</f>
        <v>81.865312441364495</v>
      </c>
      <c r="AO1234" s="4">
        <f>IFERROR((vp.tbl[[#This Row],[Sulf]]-INDEX(crudeBD.lkup.complete[Mean_Sulf],MATCH(vp.tbl[[#This Row],[Crude_Breakdown]],crudeBD.lkup.complete[Crude Breakdown],0)))^2,"")</f>
        <v>0.25468157733700625</v>
      </c>
      <c r="AP1234">
        <f>IF(AND(vp.tbl[[#This Row],[SDate]]&gt;=DATE(YEAR(vp.tbl[[#This Row],[SDate]]),5,1),vp.tbl[[#This Row],[SDate]]&lt;=DATE(YEAR(vp.tbl[[#This Row],[SDate]]),9,15)),1,0)</f>
        <v>0</v>
      </c>
      <c r="AQ1234" s="15">
        <f>IF(vp.tbl[[#This Row],[SDate]]&lt;DATE(2016,12,1),0,1)</f>
        <v>1</v>
      </c>
    </row>
    <row r="1235" spans="1:43" x14ac:dyDescent="0.25">
      <c r="A1235">
        <v>1234</v>
      </c>
      <c r="B1235" t="s">
        <v>49</v>
      </c>
      <c r="C1235" t="s">
        <v>49</v>
      </c>
      <c r="D1235" t="s">
        <v>151</v>
      </c>
      <c r="F1235" s="1">
        <v>42839</v>
      </c>
      <c r="G1235" s="2">
        <v>85.7</v>
      </c>
      <c r="H1235" s="2">
        <v>0.63400000000000001</v>
      </c>
      <c r="I1235" s="2">
        <v>0.63400000000000001</v>
      </c>
      <c r="J1235" s="2">
        <v>13.5</v>
      </c>
      <c r="K1235" s="2">
        <v>12</v>
      </c>
      <c r="L1235" s="2">
        <v>822.3</v>
      </c>
      <c r="M1235" s="2">
        <v>822.3</v>
      </c>
      <c r="N1235" s="2">
        <f ca="1">INDEX(INDIRECT(_xlfn.CONCAT("weather.tbl[",N$1,"]")),MATCH(vp.tbl[[#This Row],[SDate]],weather.tbl[Date],0))</f>
        <v>11.866666666666667</v>
      </c>
      <c r="O1235" s="2">
        <f ca="1">INDEX(INDIRECT(_xlfn.CONCAT("weather.tbl[",O$1,"]")),MATCH(vp.tbl[[#This Row],[SDate]],weather.tbl[Date],0))</f>
        <v>6.6404761904761909</v>
      </c>
      <c r="P1235" s="2">
        <f ca="1">INDEX(INDIRECT(_xlfn.CONCAT("weather.tbl[",P$1,"]")),MATCH(vp.tbl[[#This Row],[SDate]],weather.tbl[Date],0))</f>
        <v>12.5</v>
      </c>
      <c r="Q1235" s="2">
        <f ca="1">INDEX(INDIRECT(_xlfn.CONCAT("weather.tbl[",Q$1,"]")),MATCH(vp.tbl[[#This Row],[SDate]],weather.tbl[Date],0))</f>
        <v>9</v>
      </c>
      <c r="R1235" s="2">
        <f ca="1">INDEX(INDIRECT(_xlfn.CONCAT("weather.tbl[",R$1,"]")),MATCH(vp.tbl[[#This Row],[SDate]],weather.tbl[Date],0))</f>
        <v>14.3</v>
      </c>
      <c r="S1235" s="2">
        <f ca="1">INDEX(INDIRECT(_xlfn.CONCAT("weather.tbl[",S$1,"]")),MATCH(vp.tbl[[#This Row],[SDate]],weather.tbl[Date],0))</f>
        <v>7.6</v>
      </c>
      <c r="T1235" s="2">
        <f ca="1">INDEX(INDIRECT(_xlfn.CONCAT("weather.tbl[",T$1,"]")),MATCH(vp.tbl[[#This Row],[SDate]],weather.tbl[Date],0))</f>
        <v>15</v>
      </c>
      <c r="U1235" s="2">
        <f ca="1">INDEX(INDIRECT(_xlfn.CONCAT("weather.tbl[",U$1,"]")),MATCH(vp.tbl[[#This Row],[SDate]],weather.tbl[Date],0))</f>
        <v>12.8</v>
      </c>
      <c r="V1235" s="2">
        <v>158.81800000000001</v>
      </c>
      <c r="W1235" t="s">
        <v>48</v>
      </c>
      <c r="X1235">
        <f>IF(OR(vp.tbl[[#This Row],[Sulf]]="",vp.tbl[[#This Row],[Dens]]=""),1,0)</f>
        <v>0</v>
      </c>
      <c r="Y1235">
        <f>IF(vp.tbl[[#This Row],[CrudeType]]="C5+",1,0)</f>
        <v>0</v>
      </c>
      <c r="Z1235">
        <f>IF(AND(vp.tbl[[#This Row],[CrudeType]]="Crude",vp.tbl[[#This Row],[Dens]]&lt;=825,vp.tbl[[#This Row],[Sulf]]&gt;0.5,vp.tbl[[#This Row],[Unknown]]=0),1,0)</f>
        <v>1</v>
      </c>
      <c r="AA1235">
        <f>IF(AND(vp.tbl[[#This Row],[CrudeType]]="Crude",vp.tbl[[#This Row],[Dens]]&lt;=825,vp.tbl[[#This Row],[Sulf]]&lt;=0.5,vp.tbl[[#This Row],[Unknown]]=0),1,0)</f>
        <v>0</v>
      </c>
      <c r="AB1235">
        <f>IF(AND(vp.tbl[[#This Row],[CrudeType]]="Crude",vp.tbl[[#This Row],[Dens]]&gt;825,vp.tbl[[#This Row],[Dens]]&lt;=870,vp.tbl[[#This Row],[Sulf]]&gt;0.5,vp.tbl[[#This Row],[Unknown]]=0),1,0)</f>
        <v>0</v>
      </c>
      <c r="AC1235">
        <f>IF(AND(vp.tbl[[#This Row],[CrudeType]]="Crude",vp.tbl[[#This Row],[Dens]]&gt;825,vp.tbl[[#This Row],[Dens]]&lt;=900,vp.tbl[[#This Row],[Sulf]]&lt;=0.5,vp.tbl[[#This Row],[Unknown]]=0),1,0)</f>
        <v>0</v>
      </c>
      <c r="AD1235">
        <f>IF(AND(vp.tbl[[#This Row],[CrudeType]]="Crude",vp.tbl[[#This Row],[Dens]]&gt;870,vp.tbl[[#This Row],[Dens]]&lt;=900,vp.tbl[[#This Row],[Sulf]]&gt;0.5,vp.tbl[[#This Row],[Unknown]]=0),1,0)</f>
        <v>0</v>
      </c>
      <c r="AE1235">
        <f>IF(AND(vp.tbl[[#This Row],[CrudeType]]="Crude",vp.tbl[[#This Row],[Dens]]&gt;900,vp.tbl[[#This Row],[Sulf]]&lt;=0.5,vp.tbl[[#This Row],[Unknown]]=0),1,0)</f>
        <v>0</v>
      </c>
      <c r="AF1235">
        <f>IF(AND(vp.tbl[[#This Row],[CrudeType]]="Crude",vp.tbl[[#This Row],[Dens]]&gt;900,vp.tbl[[#This Row],[Sulf]]&lt;=0.5,vp.tbl[[#This Row],[Unknown]]=0),1,0)</f>
        <v>0</v>
      </c>
      <c r="AG1235" t="str">
        <f>INDEX(vp.tbl[[#Headers],[Unknown]:[Heavy_SW]],MATCH(1,vp.tbl[[#This Row],[Unknown]:[Heavy_SW]],0))</f>
        <v>Light_LSB</v>
      </c>
      <c r="AH1235" t="e">
        <f>INDEX([1]!crudeBD.lkup[Number],MATCH(vp.tbl[[#This Row],[Crude_Breakdown]],[1]!crudeBD.lkup[Crude Breakdown],0))</f>
        <v>#REF!</v>
      </c>
      <c r="AI1235">
        <f>MONTH(vp.tbl[[#This Row],[SDate]])</f>
        <v>4</v>
      </c>
      <c r="AJ1235" s="5">
        <f>IFERROR(vp.tbl[[#This Row],[Sulf]]*vp.tbl[[#This Row],[Net Dens]],"")</f>
        <v>82797.890247600008</v>
      </c>
      <c r="AK1235" s="5">
        <f>IFERROR(vp.tbl[[#This Row],[Dens]]*vp.tbl[[#This Row],[VolumeM3]],"")</f>
        <v>130596.0414</v>
      </c>
      <c r="AL1235" s="5">
        <f>IFERROR(vp.tbl[[#This Row],[VP]]*vp.tbl[[#This Row],[VolumeM3]],"")</f>
        <v>13610.702600000002</v>
      </c>
      <c r="AM1235" s="4">
        <f>IFERROR((vp.tbl[[#This Row],[VP]]-INDEX(crudeBD.lkup.complete[Mean_VP],MATCH(vp.tbl[[#This Row],[Crude_Breakdown]],crudeBD.lkup.complete[Crude Breakdown],0)))^2,"")</f>
        <v>34.177885683919982</v>
      </c>
      <c r="AN1235" s="4">
        <f>IFERROR((vp.tbl[[#This Row],[Dens]]-INDEX(crudeBD.lkup.complete[Mean_Dens],MATCH(vp.tbl[[#This Row],[Crude_Breakdown]],crudeBD.lkup.complete[Crude Breakdown],0)))^2,"")</f>
        <v>14.312831053012744</v>
      </c>
      <c r="AO1235" s="4">
        <f>IFERROR((vp.tbl[[#This Row],[Sulf]]-INDEX(crudeBD.lkup.complete[Mean_Sulf],MATCH(vp.tbl[[#This Row],[Crude_Breakdown]],crudeBD.lkup.complete[Crude Breakdown],0)))^2,"")</f>
        <v>8.3504336157722361E-2</v>
      </c>
      <c r="AP1235">
        <f>IF(AND(vp.tbl[[#This Row],[SDate]]&gt;=DATE(YEAR(vp.tbl[[#This Row],[SDate]]),5,1),vp.tbl[[#This Row],[SDate]]&lt;=DATE(YEAR(vp.tbl[[#This Row],[SDate]]),9,15)),1,0)</f>
        <v>0</v>
      </c>
      <c r="AQ1235" s="15">
        <f>IF(vp.tbl[[#This Row],[SDate]]&lt;DATE(2016,12,1),0,1)</f>
        <v>1</v>
      </c>
    </row>
    <row r="1236" spans="1:43" x14ac:dyDescent="0.25">
      <c r="A1236">
        <v>1235</v>
      </c>
      <c r="B1236" t="s">
        <v>49</v>
      </c>
      <c r="C1236" t="s">
        <v>49</v>
      </c>
      <c r="D1236" t="s">
        <v>100</v>
      </c>
      <c r="F1236" s="1">
        <v>42839</v>
      </c>
      <c r="G1236" s="2">
        <v>82</v>
      </c>
      <c r="H1236" s="2">
        <v>0.76600000000000001</v>
      </c>
      <c r="I1236" s="2">
        <v>0.76600000000000001</v>
      </c>
      <c r="J1236" s="2">
        <v>19.5</v>
      </c>
      <c r="K1236" s="2">
        <v>12</v>
      </c>
      <c r="L1236" s="2">
        <v>824.1</v>
      </c>
      <c r="M1236" s="2">
        <v>824.1</v>
      </c>
      <c r="N1236" s="2">
        <f ca="1">INDEX(INDIRECT(_xlfn.CONCAT("weather.tbl[",N$1,"]")),MATCH(vp.tbl[[#This Row],[SDate]],weather.tbl[Date],0))</f>
        <v>11.866666666666667</v>
      </c>
      <c r="O1236" s="2">
        <f ca="1">INDEX(INDIRECT(_xlfn.CONCAT("weather.tbl[",O$1,"]")),MATCH(vp.tbl[[#This Row],[SDate]],weather.tbl[Date],0))</f>
        <v>6.6404761904761909</v>
      </c>
      <c r="P1236" s="2">
        <f ca="1">INDEX(INDIRECT(_xlfn.CONCAT("weather.tbl[",P$1,"]")),MATCH(vp.tbl[[#This Row],[SDate]],weather.tbl[Date],0))</f>
        <v>12.5</v>
      </c>
      <c r="Q1236" s="2">
        <f ca="1">INDEX(INDIRECT(_xlfn.CONCAT("weather.tbl[",Q$1,"]")),MATCH(vp.tbl[[#This Row],[SDate]],weather.tbl[Date],0))</f>
        <v>9</v>
      </c>
      <c r="R1236" s="2">
        <f ca="1">INDEX(INDIRECT(_xlfn.CONCAT("weather.tbl[",R$1,"]")),MATCH(vp.tbl[[#This Row],[SDate]],weather.tbl[Date],0))</f>
        <v>14.3</v>
      </c>
      <c r="S1236" s="2">
        <f ca="1">INDEX(INDIRECT(_xlfn.CONCAT("weather.tbl[",S$1,"]")),MATCH(vp.tbl[[#This Row],[SDate]],weather.tbl[Date],0))</f>
        <v>7.6</v>
      </c>
      <c r="T1236" s="2">
        <f ca="1">INDEX(INDIRECT(_xlfn.CONCAT("weather.tbl[",T$1,"]")),MATCH(vp.tbl[[#This Row],[SDate]],weather.tbl[Date],0))</f>
        <v>15</v>
      </c>
      <c r="U1236" s="2">
        <f ca="1">INDEX(INDIRECT(_xlfn.CONCAT("weather.tbl[",U$1,"]")),MATCH(vp.tbl[[#This Row],[SDate]],weather.tbl[Date],0))</f>
        <v>12.8</v>
      </c>
      <c r="V1236" s="2">
        <v>13068.535</v>
      </c>
      <c r="W1236" t="s">
        <v>48</v>
      </c>
      <c r="X1236">
        <f>IF(OR(vp.tbl[[#This Row],[Sulf]]="",vp.tbl[[#This Row],[Dens]]=""),1,0)</f>
        <v>0</v>
      </c>
      <c r="Y1236">
        <f>IF(vp.tbl[[#This Row],[CrudeType]]="C5+",1,0)</f>
        <v>0</v>
      </c>
      <c r="Z1236">
        <f>IF(AND(vp.tbl[[#This Row],[CrudeType]]="Crude",vp.tbl[[#This Row],[Dens]]&lt;=825,vp.tbl[[#This Row],[Sulf]]&gt;0.5,vp.tbl[[#This Row],[Unknown]]=0),1,0)</f>
        <v>1</v>
      </c>
      <c r="AA1236">
        <f>IF(AND(vp.tbl[[#This Row],[CrudeType]]="Crude",vp.tbl[[#This Row],[Dens]]&lt;=825,vp.tbl[[#This Row],[Sulf]]&lt;=0.5,vp.tbl[[#This Row],[Unknown]]=0),1,0)</f>
        <v>0</v>
      </c>
      <c r="AB1236">
        <f>IF(AND(vp.tbl[[#This Row],[CrudeType]]="Crude",vp.tbl[[#This Row],[Dens]]&gt;825,vp.tbl[[#This Row],[Dens]]&lt;=870,vp.tbl[[#This Row],[Sulf]]&gt;0.5,vp.tbl[[#This Row],[Unknown]]=0),1,0)</f>
        <v>0</v>
      </c>
      <c r="AC1236">
        <f>IF(AND(vp.tbl[[#This Row],[CrudeType]]="Crude",vp.tbl[[#This Row],[Dens]]&gt;825,vp.tbl[[#This Row],[Dens]]&lt;=900,vp.tbl[[#This Row],[Sulf]]&lt;=0.5,vp.tbl[[#This Row],[Unknown]]=0),1,0)</f>
        <v>0</v>
      </c>
      <c r="AD1236">
        <f>IF(AND(vp.tbl[[#This Row],[CrudeType]]="Crude",vp.tbl[[#This Row],[Dens]]&gt;870,vp.tbl[[#This Row],[Dens]]&lt;=900,vp.tbl[[#This Row],[Sulf]]&gt;0.5,vp.tbl[[#This Row],[Unknown]]=0),1,0)</f>
        <v>0</v>
      </c>
      <c r="AE1236">
        <f>IF(AND(vp.tbl[[#This Row],[CrudeType]]="Crude",vp.tbl[[#This Row],[Dens]]&gt;900,vp.tbl[[#This Row],[Sulf]]&lt;=0.5,vp.tbl[[#This Row],[Unknown]]=0),1,0)</f>
        <v>0</v>
      </c>
      <c r="AF1236">
        <f>IF(AND(vp.tbl[[#This Row],[CrudeType]]="Crude",vp.tbl[[#This Row],[Dens]]&gt;900,vp.tbl[[#This Row],[Sulf]]&lt;=0.5,vp.tbl[[#This Row],[Unknown]]=0),1,0)</f>
        <v>0</v>
      </c>
      <c r="AG1236" t="str">
        <f>INDEX(vp.tbl[[#Headers],[Unknown]:[Heavy_SW]],MATCH(1,vp.tbl[[#This Row],[Unknown]:[Heavy_SW]],0))</f>
        <v>Light_LSB</v>
      </c>
      <c r="AH1236" t="e">
        <f>INDEX([1]!crudeBD.lkup[Number],MATCH(vp.tbl[[#This Row],[Crude_Breakdown]],[1]!crudeBD.lkup[Crude Breakdown],0))</f>
        <v>#REF!</v>
      </c>
      <c r="AI1236">
        <f>MONTH(vp.tbl[[#This Row],[SDate]])</f>
        <v>4</v>
      </c>
      <c r="AJ1236" s="5">
        <f>IFERROR(vp.tbl[[#This Row],[Sulf]]*vp.tbl[[#This Row],[Net Dens]],"")</f>
        <v>8249651.2452210011</v>
      </c>
      <c r="AK1236" s="5">
        <f>IFERROR(vp.tbl[[#This Row],[Dens]]*vp.tbl[[#This Row],[VolumeM3]],"")</f>
        <v>10769779.693500001</v>
      </c>
      <c r="AL1236" s="5">
        <f>IFERROR(vp.tbl[[#This Row],[VP]]*vp.tbl[[#This Row],[VolumeM3]],"")</f>
        <v>1071619.8699999999</v>
      </c>
      <c r="AM1236" s="4">
        <f>IFERROR((vp.tbl[[#This Row],[VP]]-INDEX(crudeBD.lkup.complete[Mean_VP],MATCH(vp.tbl[[#This Row],[Crude_Breakdown]],crudeBD.lkup.complete[Crude Breakdown],0)))^2,"")</f>
        <v>91.129658879796537</v>
      </c>
      <c r="AN1236" s="4">
        <f>IFERROR((vp.tbl[[#This Row],[Dens]]-INDEX(crudeBD.lkup.complete[Mean_Dens],MATCH(vp.tbl[[#This Row],[Crude_Breakdown]],crudeBD.lkup.complete[Crude Breakdown],0)))^2,"")</f>
        <v>31.172459918993855</v>
      </c>
      <c r="AO1236" s="4">
        <f>IFERROR((vp.tbl[[#This Row],[Sulf]]-INDEX(crudeBD.lkup.complete[Mean_Sulf],MATCH(vp.tbl[[#This Row],[Crude_Breakdown]],crudeBD.lkup.complete[Crude Breakdown],0)))^2,"")</f>
        <v>2.4639947704114179E-2</v>
      </c>
      <c r="AP1236">
        <f>IF(AND(vp.tbl[[#This Row],[SDate]]&gt;=DATE(YEAR(vp.tbl[[#This Row],[SDate]]),5,1),vp.tbl[[#This Row],[SDate]]&lt;=DATE(YEAR(vp.tbl[[#This Row],[SDate]]),9,15)),1,0)</f>
        <v>0</v>
      </c>
      <c r="AQ1236" s="15">
        <f>IF(vp.tbl[[#This Row],[SDate]]&lt;DATE(2016,12,1),0,1)</f>
        <v>1</v>
      </c>
    </row>
    <row r="1237" spans="1:43" x14ac:dyDescent="0.25">
      <c r="A1237">
        <v>1236</v>
      </c>
      <c r="B1237" t="s">
        <v>49</v>
      </c>
      <c r="C1237" t="s">
        <v>49</v>
      </c>
      <c r="D1237" t="s">
        <v>255</v>
      </c>
      <c r="F1237" s="1">
        <v>42839</v>
      </c>
      <c r="G1237" s="2">
        <v>61.2</v>
      </c>
      <c r="H1237" s="2">
        <v>1.3520000000000001</v>
      </c>
      <c r="I1237" s="2">
        <v>1.3520000000000001</v>
      </c>
      <c r="J1237" s="2">
        <v>29.9</v>
      </c>
      <c r="K1237" s="2">
        <v>12</v>
      </c>
      <c r="L1237" s="2">
        <v>850.6</v>
      </c>
      <c r="M1237" s="2">
        <v>850.6</v>
      </c>
      <c r="N1237" s="2">
        <f ca="1">INDEX(INDIRECT(_xlfn.CONCAT("weather.tbl[",N$1,"]")),MATCH(vp.tbl[[#This Row],[SDate]],weather.tbl[Date],0))</f>
        <v>11.866666666666667</v>
      </c>
      <c r="O1237" s="2">
        <f ca="1">INDEX(INDIRECT(_xlfn.CONCAT("weather.tbl[",O$1,"]")),MATCH(vp.tbl[[#This Row],[SDate]],weather.tbl[Date],0))</f>
        <v>6.6404761904761909</v>
      </c>
      <c r="P1237" s="2">
        <f ca="1">INDEX(INDIRECT(_xlfn.CONCAT("weather.tbl[",P$1,"]")),MATCH(vp.tbl[[#This Row],[SDate]],weather.tbl[Date],0))</f>
        <v>12.5</v>
      </c>
      <c r="Q1237" s="2">
        <f ca="1">INDEX(INDIRECT(_xlfn.CONCAT("weather.tbl[",Q$1,"]")),MATCH(vp.tbl[[#This Row],[SDate]],weather.tbl[Date],0))</f>
        <v>9</v>
      </c>
      <c r="R1237" s="2">
        <f ca="1">INDEX(INDIRECT(_xlfn.CONCAT("weather.tbl[",R$1,"]")),MATCH(vp.tbl[[#This Row],[SDate]],weather.tbl[Date],0))</f>
        <v>14.3</v>
      </c>
      <c r="S1237" s="2">
        <f ca="1">INDEX(INDIRECT(_xlfn.CONCAT("weather.tbl[",S$1,"]")),MATCH(vp.tbl[[#This Row],[SDate]],weather.tbl[Date],0))</f>
        <v>7.6</v>
      </c>
      <c r="T1237" s="2">
        <f ca="1">INDEX(INDIRECT(_xlfn.CONCAT("weather.tbl[",T$1,"]")),MATCH(vp.tbl[[#This Row],[SDate]],weather.tbl[Date],0))</f>
        <v>15</v>
      </c>
      <c r="U1237" s="2">
        <f ca="1">INDEX(INDIRECT(_xlfn.CONCAT("weather.tbl[",U$1,"]")),MATCH(vp.tbl[[#This Row],[SDate]],weather.tbl[Date],0))</f>
        <v>12.8</v>
      </c>
      <c r="V1237" s="2">
        <v>3019.7249999999999</v>
      </c>
      <c r="W1237" t="s">
        <v>48</v>
      </c>
      <c r="X1237">
        <f>IF(OR(vp.tbl[[#This Row],[Sulf]]="",vp.tbl[[#This Row],[Dens]]=""),1,0)</f>
        <v>0</v>
      </c>
      <c r="Y1237">
        <f>IF(vp.tbl[[#This Row],[CrudeType]]="C5+",1,0)</f>
        <v>0</v>
      </c>
      <c r="Z1237">
        <f>IF(AND(vp.tbl[[#This Row],[CrudeType]]="Crude",vp.tbl[[#This Row],[Dens]]&lt;=825,vp.tbl[[#This Row],[Sulf]]&gt;0.5,vp.tbl[[#This Row],[Unknown]]=0),1,0)</f>
        <v>0</v>
      </c>
      <c r="AA1237">
        <f>IF(AND(vp.tbl[[#This Row],[CrudeType]]="Crude",vp.tbl[[#This Row],[Dens]]&lt;=825,vp.tbl[[#This Row],[Sulf]]&lt;=0.5,vp.tbl[[#This Row],[Unknown]]=0),1,0)</f>
        <v>0</v>
      </c>
      <c r="AB1237">
        <f>IF(AND(vp.tbl[[#This Row],[CrudeType]]="Crude",vp.tbl[[#This Row],[Dens]]&gt;825,vp.tbl[[#This Row],[Dens]]&lt;=870,vp.tbl[[#This Row],[Sulf]]&gt;0.5,vp.tbl[[#This Row],[Unknown]]=0),1,0)</f>
        <v>1</v>
      </c>
      <c r="AC1237">
        <f>IF(AND(vp.tbl[[#This Row],[CrudeType]]="Crude",vp.tbl[[#This Row],[Dens]]&gt;825,vp.tbl[[#This Row],[Dens]]&lt;=900,vp.tbl[[#This Row],[Sulf]]&lt;=0.5,vp.tbl[[#This Row],[Unknown]]=0),1,0)</f>
        <v>0</v>
      </c>
      <c r="AD1237">
        <f>IF(AND(vp.tbl[[#This Row],[CrudeType]]="Crude",vp.tbl[[#This Row],[Dens]]&gt;870,vp.tbl[[#This Row],[Dens]]&lt;=900,vp.tbl[[#This Row],[Sulf]]&gt;0.5,vp.tbl[[#This Row],[Unknown]]=0),1,0)</f>
        <v>0</v>
      </c>
      <c r="AE1237">
        <f>IF(AND(vp.tbl[[#This Row],[CrudeType]]="Crude",vp.tbl[[#This Row],[Dens]]&gt;900,vp.tbl[[#This Row],[Sulf]]&lt;=0.5,vp.tbl[[#This Row],[Unknown]]=0),1,0)</f>
        <v>0</v>
      </c>
      <c r="AF1237">
        <f>IF(AND(vp.tbl[[#This Row],[CrudeType]]="Crude",vp.tbl[[#This Row],[Dens]]&gt;900,vp.tbl[[#This Row],[Sulf]]&lt;=0.5,vp.tbl[[#This Row],[Unknown]]=0),1,0)</f>
        <v>0</v>
      </c>
      <c r="AG1237" t="str">
        <f>INDEX(vp.tbl[[#Headers],[Unknown]:[Heavy_SW]],MATCH(1,vp.tbl[[#This Row],[Unknown]:[Heavy_SW]],0))</f>
        <v>Medium_LSB</v>
      </c>
      <c r="AH1237" t="e">
        <f>INDEX([1]!crudeBD.lkup[Number],MATCH(vp.tbl[[#This Row],[Crude_Breakdown]],[1]!crudeBD.lkup[Crude Breakdown],0))</f>
        <v>#REF!</v>
      </c>
      <c r="AI1237">
        <f>MONTH(vp.tbl[[#This Row],[SDate]])</f>
        <v>4</v>
      </c>
      <c r="AJ1237" s="5">
        <f>IFERROR(vp.tbl[[#This Row],[Sulf]]*vp.tbl[[#This Row],[Net Dens]],"")</f>
        <v>3472717.5709200003</v>
      </c>
      <c r="AK1237" s="5">
        <f>IFERROR(vp.tbl[[#This Row],[Dens]]*vp.tbl[[#This Row],[VolumeM3]],"")</f>
        <v>2568578.085</v>
      </c>
      <c r="AL1237" s="5">
        <f>IFERROR(vp.tbl[[#This Row],[VP]]*vp.tbl[[#This Row],[VolumeM3]],"")</f>
        <v>184807.17</v>
      </c>
      <c r="AM1237" s="4">
        <f>IFERROR((vp.tbl[[#This Row],[VP]]-INDEX(crudeBD.lkup.complete[Mean_VP],MATCH(vp.tbl[[#This Row],[Crude_Breakdown]],crudeBD.lkup.complete[Crude Breakdown],0)))^2,"")</f>
        <v>359.99730482230262</v>
      </c>
      <c r="AN1237" s="4">
        <f>IFERROR((vp.tbl[[#This Row],[Dens]]-INDEX(crudeBD.lkup.complete[Mean_Dens],MATCH(vp.tbl[[#This Row],[Crude_Breakdown]],crudeBD.lkup.complete[Crude Breakdown],0)))^2,"")</f>
        <v>28.176745347871616</v>
      </c>
      <c r="AO1237" s="4">
        <f>IFERROR((vp.tbl[[#This Row],[Sulf]]-INDEX(crudeBD.lkup.complete[Mean_Sulf],MATCH(vp.tbl[[#This Row],[Crude_Breakdown]],crudeBD.lkup.complete[Crude Breakdown],0)))^2,"")</f>
        <v>1.0594556235969041E-2</v>
      </c>
      <c r="AP1237">
        <f>IF(AND(vp.tbl[[#This Row],[SDate]]&gt;=DATE(YEAR(vp.tbl[[#This Row],[SDate]]),5,1),vp.tbl[[#This Row],[SDate]]&lt;=DATE(YEAR(vp.tbl[[#This Row],[SDate]]),9,15)),1,0)</f>
        <v>0</v>
      </c>
      <c r="AQ1237" s="15">
        <f>IF(vp.tbl[[#This Row],[SDate]]&lt;DATE(2016,12,1),0,1)</f>
        <v>1</v>
      </c>
    </row>
    <row r="1238" spans="1:43" x14ac:dyDescent="0.25">
      <c r="A1238">
        <v>1237</v>
      </c>
      <c r="B1238" t="s">
        <v>49</v>
      </c>
      <c r="C1238" t="s">
        <v>49</v>
      </c>
      <c r="D1238" t="s">
        <v>256</v>
      </c>
      <c r="F1238" s="1">
        <v>42839</v>
      </c>
      <c r="G1238" s="2">
        <v>53.4</v>
      </c>
      <c r="H1238" s="2">
        <v>1.522</v>
      </c>
      <c r="I1238" s="2">
        <v>1.522</v>
      </c>
      <c r="J1238" s="2">
        <v>34.6</v>
      </c>
      <c r="K1238" s="2">
        <v>12</v>
      </c>
      <c r="L1238" s="2">
        <v>866.4</v>
      </c>
      <c r="M1238" s="2">
        <v>866.4</v>
      </c>
      <c r="N1238" s="2">
        <f ca="1">INDEX(INDIRECT(_xlfn.CONCAT("weather.tbl[",N$1,"]")),MATCH(vp.tbl[[#This Row],[SDate]],weather.tbl[Date],0))</f>
        <v>11.866666666666667</v>
      </c>
      <c r="O1238" s="2">
        <f ca="1">INDEX(INDIRECT(_xlfn.CONCAT("weather.tbl[",O$1,"]")),MATCH(vp.tbl[[#This Row],[SDate]],weather.tbl[Date],0))</f>
        <v>6.6404761904761909</v>
      </c>
      <c r="P1238" s="2">
        <f ca="1">INDEX(INDIRECT(_xlfn.CONCAT("weather.tbl[",P$1,"]")),MATCH(vp.tbl[[#This Row],[SDate]],weather.tbl[Date],0))</f>
        <v>12.5</v>
      </c>
      <c r="Q1238" s="2">
        <f ca="1">INDEX(INDIRECT(_xlfn.CONCAT("weather.tbl[",Q$1,"]")),MATCH(vp.tbl[[#This Row],[SDate]],weather.tbl[Date],0))</f>
        <v>9</v>
      </c>
      <c r="R1238" s="2">
        <f ca="1">INDEX(INDIRECT(_xlfn.CONCAT("weather.tbl[",R$1,"]")),MATCH(vp.tbl[[#This Row],[SDate]],weather.tbl[Date],0))</f>
        <v>14.3</v>
      </c>
      <c r="S1238" s="2">
        <f ca="1">INDEX(INDIRECT(_xlfn.CONCAT("weather.tbl[",S$1,"]")),MATCH(vp.tbl[[#This Row],[SDate]],weather.tbl[Date],0))</f>
        <v>7.6</v>
      </c>
      <c r="T1238" s="2">
        <f ca="1">INDEX(INDIRECT(_xlfn.CONCAT("weather.tbl[",T$1,"]")),MATCH(vp.tbl[[#This Row],[SDate]],weather.tbl[Date],0))</f>
        <v>15</v>
      </c>
      <c r="U1238" s="2">
        <f ca="1">INDEX(INDIRECT(_xlfn.CONCAT("weather.tbl[",U$1,"]")),MATCH(vp.tbl[[#This Row],[SDate]],weather.tbl[Date],0))</f>
        <v>12.8</v>
      </c>
      <c r="V1238" s="2">
        <v>909.47799999999995</v>
      </c>
      <c r="W1238" t="s">
        <v>48</v>
      </c>
      <c r="X1238">
        <f>IF(OR(vp.tbl[[#This Row],[Sulf]]="",vp.tbl[[#This Row],[Dens]]=""),1,0)</f>
        <v>0</v>
      </c>
      <c r="Y1238">
        <f>IF(vp.tbl[[#This Row],[CrudeType]]="C5+",1,0)</f>
        <v>0</v>
      </c>
      <c r="Z1238">
        <f>IF(AND(vp.tbl[[#This Row],[CrudeType]]="Crude",vp.tbl[[#This Row],[Dens]]&lt;=825,vp.tbl[[#This Row],[Sulf]]&gt;0.5,vp.tbl[[#This Row],[Unknown]]=0),1,0)</f>
        <v>0</v>
      </c>
      <c r="AA1238">
        <f>IF(AND(vp.tbl[[#This Row],[CrudeType]]="Crude",vp.tbl[[#This Row],[Dens]]&lt;=825,vp.tbl[[#This Row],[Sulf]]&lt;=0.5,vp.tbl[[#This Row],[Unknown]]=0),1,0)</f>
        <v>0</v>
      </c>
      <c r="AB1238">
        <f>IF(AND(vp.tbl[[#This Row],[CrudeType]]="Crude",vp.tbl[[#This Row],[Dens]]&gt;825,vp.tbl[[#This Row],[Dens]]&lt;=870,vp.tbl[[#This Row],[Sulf]]&gt;0.5,vp.tbl[[#This Row],[Unknown]]=0),1,0)</f>
        <v>1</v>
      </c>
      <c r="AC1238">
        <f>IF(AND(vp.tbl[[#This Row],[CrudeType]]="Crude",vp.tbl[[#This Row],[Dens]]&gt;825,vp.tbl[[#This Row],[Dens]]&lt;=900,vp.tbl[[#This Row],[Sulf]]&lt;=0.5,vp.tbl[[#This Row],[Unknown]]=0),1,0)</f>
        <v>0</v>
      </c>
      <c r="AD1238">
        <f>IF(AND(vp.tbl[[#This Row],[CrudeType]]="Crude",vp.tbl[[#This Row],[Dens]]&gt;870,vp.tbl[[#This Row],[Dens]]&lt;=900,vp.tbl[[#This Row],[Sulf]]&gt;0.5,vp.tbl[[#This Row],[Unknown]]=0),1,0)</f>
        <v>0</v>
      </c>
      <c r="AE1238">
        <f>IF(AND(vp.tbl[[#This Row],[CrudeType]]="Crude",vp.tbl[[#This Row],[Dens]]&gt;900,vp.tbl[[#This Row],[Sulf]]&lt;=0.5,vp.tbl[[#This Row],[Unknown]]=0),1,0)</f>
        <v>0</v>
      </c>
      <c r="AF1238">
        <f>IF(AND(vp.tbl[[#This Row],[CrudeType]]="Crude",vp.tbl[[#This Row],[Dens]]&gt;900,vp.tbl[[#This Row],[Sulf]]&lt;=0.5,vp.tbl[[#This Row],[Unknown]]=0),1,0)</f>
        <v>0</v>
      </c>
      <c r="AG1238" t="str">
        <f>INDEX(vp.tbl[[#Headers],[Unknown]:[Heavy_SW]],MATCH(1,vp.tbl[[#This Row],[Unknown]:[Heavy_SW]],0))</f>
        <v>Medium_LSB</v>
      </c>
      <c r="AH1238" t="e">
        <f>INDEX([1]!crudeBD.lkup[Number],MATCH(vp.tbl[[#This Row],[Crude_Breakdown]],[1]!crudeBD.lkup[Crude Breakdown],0))</f>
        <v>#REF!</v>
      </c>
      <c r="AI1238">
        <f>MONTH(vp.tbl[[#This Row],[SDate]])</f>
        <v>4</v>
      </c>
      <c r="AJ1238" s="5">
        <f>IFERROR(vp.tbl[[#This Row],[Sulf]]*vp.tbl[[#This Row],[Net Dens]],"")</f>
        <v>1199292.9870624</v>
      </c>
      <c r="AK1238" s="5">
        <f>IFERROR(vp.tbl[[#This Row],[Dens]]*vp.tbl[[#This Row],[VolumeM3]],"")</f>
        <v>787971.73919999995</v>
      </c>
      <c r="AL1238" s="5">
        <f>IFERROR(vp.tbl[[#This Row],[VP]]*vp.tbl[[#This Row],[VolumeM3]],"")</f>
        <v>48566.125199999995</v>
      </c>
      <c r="AM1238" s="4">
        <f>IFERROR((vp.tbl[[#This Row],[VP]]-INDEX(crudeBD.lkup.complete[Mean_VP],MATCH(vp.tbl[[#This Row],[Crude_Breakdown]],crudeBD.lkup.complete[Crude Breakdown],0)))^2,"")</f>
        <v>716.82538583496046</v>
      </c>
      <c r="AN1238" s="4">
        <f>IFERROR((vp.tbl[[#This Row],[Dens]]-INDEX(crudeBD.lkup.complete[Mean_Dens],MATCH(vp.tbl[[#This Row],[Crude_Breakdown]],crudeBD.lkup.complete[Crude Breakdown],0)))^2,"")</f>
        <v>445.55514534790154</v>
      </c>
      <c r="AO1238" s="4">
        <f>IFERROR((vp.tbl[[#This Row],[Sulf]]-INDEX(crudeBD.lkup.complete[Mean_Sulf],MATCH(vp.tbl[[#This Row],[Crude_Breakdown]],crudeBD.lkup.complete[Crude Breakdown],0)))^2,"")</f>
        <v>4.498403577740711E-3</v>
      </c>
      <c r="AP1238">
        <f>IF(AND(vp.tbl[[#This Row],[SDate]]&gt;=DATE(YEAR(vp.tbl[[#This Row],[SDate]]),5,1),vp.tbl[[#This Row],[SDate]]&lt;=DATE(YEAR(vp.tbl[[#This Row],[SDate]]),9,15)),1,0)</f>
        <v>0</v>
      </c>
      <c r="AQ1238" s="15">
        <f>IF(vp.tbl[[#This Row],[SDate]]&lt;DATE(2016,12,1),0,1)</f>
        <v>1</v>
      </c>
    </row>
    <row r="1239" spans="1:43" x14ac:dyDescent="0.25">
      <c r="A1239">
        <v>1238</v>
      </c>
      <c r="B1239" t="s">
        <v>51</v>
      </c>
      <c r="C1239" t="s">
        <v>51</v>
      </c>
      <c r="D1239" t="s">
        <v>173</v>
      </c>
      <c r="F1239" s="1">
        <v>42839</v>
      </c>
      <c r="G1239" s="2">
        <v>81.7</v>
      </c>
      <c r="H1239" s="2"/>
      <c r="I1239" s="2">
        <v>0.71</v>
      </c>
      <c r="J1239" s="2">
        <v>23.2</v>
      </c>
      <c r="K1239" s="2">
        <v>12</v>
      </c>
      <c r="L1239" s="2">
        <v>825.8</v>
      </c>
      <c r="M1239" s="2">
        <v>825.8</v>
      </c>
      <c r="N1239" s="2">
        <f ca="1">INDEX(INDIRECT(_xlfn.CONCAT("weather.tbl[",N$1,"]")),MATCH(vp.tbl[[#This Row],[SDate]],weather.tbl[Date],0))</f>
        <v>11.866666666666667</v>
      </c>
      <c r="O1239" s="2">
        <f ca="1">INDEX(INDIRECT(_xlfn.CONCAT("weather.tbl[",O$1,"]")),MATCH(vp.tbl[[#This Row],[SDate]],weather.tbl[Date],0))</f>
        <v>6.6404761904761909</v>
      </c>
      <c r="P1239" s="2">
        <f ca="1">INDEX(INDIRECT(_xlfn.CONCAT("weather.tbl[",P$1,"]")),MATCH(vp.tbl[[#This Row],[SDate]],weather.tbl[Date],0))</f>
        <v>12.5</v>
      </c>
      <c r="Q1239" s="2">
        <f ca="1">INDEX(INDIRECT(_xlfn.CONCAT("weather.tbl[",Q$1,"]")),MATCH(vp.tbl[[#This Row],[SDate]],weather.tbl[Date],0))</f>
        <v>9</v>
      </c>
      <c r="R1239" s="2">
        <f ca="1">INDEX(INDIRECT(_xlfn.CONCAT("weather.tbl[",R$1,"]")),MATCH(vp.tbl[[#This Row],[SDate]],weather.tbl[Date],0))</f>
        <v>14.3</v>
      </c>
      <c r="S1239" s="2">
        <f ca="1">INDEX(INDIRECT(_xlfn.CONCAT("weather.tbl[",S$1,"]")),MATCH(vp.tbl[[#This Row],[SDate]],weather.tbl[Date],0))</f>
        <v>7.6</v>
      </c>
      <c r="T1239" s="2">
        <f ca="1">INDEX(INDIRECT(_xlfn.CONCAT("weather.tbl[",T$1,"]")),MATCH(vp.tbl[[#This Row],[SDate]],weather.tbl[Date],0))</f>
        <v>15</v>
      </c>
      <c r="U1239" s="2">
        <f ca="1">INDEX(INDIRECT(_xlfn.CONCAT("weather.tbl[",U$1,"]")),MATCH(vp.tbl[[#This Row],[SDate]],weather.tbl[Date],0))</f>
        <v>12.8</v>
      </c>
      <c r="V1239" s="2">
        <v>1165.7460000000001</v>
      </c>
      <c r="W1239" t="s">
        <v>48</v>
      </c>
      <c r="X1239">
        <f>IF(OR(vp.tbl[[#This Row],[Sulf]]="",vp.tbl[[#This Row],[Dens]]=""),1,0)</f>
        <v>0</v>
      </c>
      <c r="Y1239">
        <f>IF(vp.tbl[[#This Row],[CrudeType]]="C5+",1,0)</f>
        <v>0</v>
      </c>
      <c r="Z1239">
        <f>IF(AND(vp.tbl[[#This Row],[CrudeType]]="Crude",vp.tbl[[#This Row],[Dens]]&lt;=825,vp.tbl[[#This Row],[Sulf]]&gt;0.5,vp.tbl[[#This Row],[Unknown]]=0),1,0)</f>
        <v>0</v>
      </c>
      <c r="AA1239">
        <f>IF(AND(vp.tbl[[#This Row],[CrudeType]]="Crude",vp.tbl[[#This Row],[Dens]]&lt;=825,vp.tbl[[#This Row],[Sulf]]&lt;=0.5,vp.tbl[[#This Row],[Unknown]]=0),1,0)</f>
        <v>0</v>
      </c>
      <c r="AB1239">
        <f>IF(AND(vp.tbl[[#This Row],[CrudeType]]="Crude",vp.tbl[[#This Row],[Dens]]&gt;825,vp.tbl[[#This Row],[Dens]]&lt;=870,vp.tbl[[#This Row],[Sulf]]&gt;0.5,vp.tbl[[#This Row],[Unknown]]=0),1,0)</f>
        <v>1</v>
      </c>
      <c r="AC1239">
        <f>IF(AND(vp.tbl[[#This Row],[CrudeType]]="Crude",vp.tbl[[#This Row],[Dens]]&gt;825,vp.tbl[[#This Row],[Dens]]&lt;=900,vp.tbl[[#This Row],[Sulf]]&lt;=0.5,vp.tbl[[#This Row],[Unknown]]=0),1,0)</f>
        <v>0</v>
      </c>
      <c r="AD1239">
        <f>IF(AND(vp.tbl[[#This Row],[CrudeType]]="Crude",vp.tbl[[#This Row],[Dens]]&gt;870,vp.tbl[[#This Row],[Dens]]&lt;=900,vp.tbl[[#This Row],[Sulf]]&gt;0.5,vp.tbl[[#This Row],[Unknown]]=0),1,0)</f>
        <v>0</v>
      </c>
      <c r="AE1239">
        <f>IF(AND(vp.tbl[[#This Row],[CrudeType]]="Crude",vp.tbl[[#This Row],[Dens]]&gt;900,vp.tbl[[#This Row],[Sulf]]&lt;=0.5,vp.tbl[[#This Row],[Unknown]]=0),1,0)</f>
        <v>0</v>
      </c>
      <c r="AF1239">
        <f>IF(AND(vp.tbl[[#This Row],[CrudeType]]="Crude",vp.tbl[[#This Row],[Dens]]&gt;900,vp.tbl[[#This Row],[Sulf]]&lt;=0.5,vp.tbl[[#This Row],[Unknown]]=0),1,0)</f>
        <v>0</v>
      </c>
      <c r="AG1239" t="str">
        <f>INDEX(vp.tbl[[#Headers],[Unknown]:[Heavy_SW]],MATCH(1,vp.tbl[[#This Row],[Unknown]:[Heavy_SW]],0))</f>
        <v>Medium_LSB</v>
      </c>
      <c r="AH1239" t="e">
        <f>INDEX([1]!crudeBD.lkup[Number],MATCH(vp.tbl[[#This Row],[Crude_Breakdown]],[1]!crudeBD.lkup[Crude Breakdown],0))</f>
        <v>#REF!</v>
      </c>
      <c r="AI1239">
        <f>MONTH(vp.tbl[[#This Row],[SDate]])</f>
        <v>4</v>
      </c>
      <c r="AJ1239" s="5">
        <f>IFERROR(vp.tbl[[#This Row],[Sulf]]*vp.tbl[[#This Row],[Net Dens]],"")</f>
        <v>683497.863228</v>
      </c>
      <c r="AK1239" s="5">
        <f>IFERROR(vp.tbl[[#This Row],[Dens]]*vp.tbl[[#This Row],[VolumeM3]],"")</f>
        <v>962673.04680000001</v>
      </c>
      <c r="AL1239" s="5">
        <f>IFERROR(vp.tbl[[#This Row],[VP]]*vp.tbl[[#This Row],[VolumeM3]],"")</f>
        <v>95241.448200000013</v>
      </c>
      <c r="AM1239" s="4">
        <f>IFERROR((vp.tbl[[#This Row],[VP]]-INDEX(crudeBD.lkup.complete[Mean_VP],MATCH(vp.tbl[[#This Row],[Crude_Breakdown]],crudeBD.lkup.complete[Crude Breakdown],0)))^2,"")</f>
        <v>2.3299124172409482</v>
      </c>
      <c r="AN1239" s="4">
        <f>IFERROR((vp.tbl[[#This Row],[Dens]]-INDEX(crudeBD.lkup.complete[Mean_Dens],MATCH(vp.tbl[[#This Row],[Crude_Breakdown]],crudeBD.lkup.complete[Crude Breakdown],0)))^2,"")</f>
        <v>379.93115547440658</v>
      </c>
      <c r="AO1239" s="4">
        <f>IFERROR((vp.tbl[[#This Row],[Sulf]]-INDEX(crudeBD.lkup.complete[Mean_Sulf],MATCH(vp.tbl[[#This Row],[Crude_Breakdown]],crudeBD.lkup.complete[Crude Breakdown],0)))^2,"")</f>
        <v>0.5549204974511609</v>
      </c>
      <c r="AP1239">
        <f>IF(AND(vp.tbl[[#This Row],[SDate]]&gt;=DATE(YEAR(vp.tbl[[#This Row],[SDate]]),5,1),vp.tbl[[#This Row],[SDate]]&lt;=DATE(YEAR(vp.tbl[[#This Row],[SDate]]),9,15)),1,0)</f>
        <v>0</v>
      </c>
      <c r="AQ1239" s="15">
        <f>IF(vp.tbl[[#This Row],[SDate]]&lt;DATE(2016,12,1),0,1)</f>
        <v>1</v>
      </c>
    </row>
    <row r="1240" spans="1:43" x14ac:dyDescent="0.25">
      <c r="A1240">
        <v>1239</v>
      </c>
      <c r="B1240" t="s">
        <v>108</v>
      </c>
      <c r="C1240" t="s">
        <v>108</v>
      </c>
      <c r="D1240" t="s">
        <v>257</v>
      </c>
      <c r="F1240" s="1">
        <v>42839</v>
      </c>
      <c r="G1240" s="2">
        <v>69.099999999999994</v>
      </c>
      <c r="H1240" s="2"/>
      <c r="I1240" s="2">
        <v>0.89</v>
      </c>
      <c r="J1240" s="2">
        <v>30.4</v>
      </c>
      <c r="K1240" s="2">
        <v>12</v>
      </c>
      <c r="L1240" s="2">
        <v>838.2</v>
      </c>
      <c r="M1240" s="2">
        <v>838.2</v>
      </c>
      <c r="N1240" s="2">
        <f ca="1">INDEX(INDIRECT(_xlfn.CONCAT("weather.tbl[",N$1,"]")),MATCH(vp.tbl[[#This Row],[SDate]],weather.tbl[Date],0))</f>
        <v>11.866666666666667</v>
      </c>
      <c r="O1240" s="2">
        <f ca="1">INDEX(INDIRECT(_xlfn.CONCAT("weather.tbl[",O$1,"]")),MATCH(vp.tbl[[#This Row],[SDate]],weather.tbl[Date],0))</f>
        <v>6.6404761904761909</v>
      </c>
      <c r="P1240" s="2">
        <f ca="1">INDEX(INDIRECT(_xlfn.CONCAT("weather.tbl[",P$1,"]")),MATCH(vp.tbl[[#This Row],[SDate]],weather.tbl[Date],0))</f>
        <v>12.5</v>
      </c>
      <c r="Q1240" s="2">
        <f ca="1">INDEX(INDIRECT(_xlfn.CONCAT("weather.tbl[",Q$1,"]")),MATCH(vp.tbl[[#This Row],[SDate]],weather.tbl[Date],0))</f>
        <v>9</v>
      </c>
      <c r="R1240" s="2">
        <f ca="1">INDEX(INDIRECT(_xlfn.CONCAT("weather.tbl[",R$1,"]")),MATCH(vp.tbl[[#This Row],[SDate]],weather.tbl[Date],0))</f>
        <v>14.3</v>
      </c>
      <c r="S1240" s="2">
        <f ca="1">INDEX(INDIRECT(_xlfn.CONCAT("weather.tbl[",S$1,"]")),MATCH(vp.tbl[[#This Row],[SDate]],weather.tbl[Date],0))</f>
        <v>7.6</v>
      </c>
      <c r="T1240" s="2">
        <f ca="1">INDEX(INDIRECT(_xlfn.CONCAT("weather.tbl[",T$1,"]")),MATCH(vp.tbl[[#This Row],[SDate]],weather.tbl[Date],0))</f>
        <v>15</v>
      </c>
      <c r="U1240" s="2">
        <f ca="1">INDEX(INDIRECT(_xlfn.CONCAT("weather.tbl[",U$1,"]")),MATCH(vp.tbl[[#This Row],[SDate]],weather.tbl[Date],0))</f>
        <v>12.8</v>
      </c>
      <c r="V1240" s="2">
        <v>1939.77</v>
      </c>
      <c r="W1240" t="s">
        <v>48</v>
      </c>
      <c r="X1240">
        <f>IF(OR(vp.tbl[[#This Row],[Sulf]]="",vp.tbl[[#This Row],[Dens]]=""),1,0)</f>
        <v>0</v>
      </c>
      <c r="Y1240">
        <f>IF(vp.tbl[[#This Row],[CrudeType]]="C5+",1,0)</f>
        <v>0</v>
      </c>
      <c r="Z1240">
        <f>IF(AND(vp.tbl[[#This Row],[CrudeType]]="Crude",vp.tbl[[#This Row],[Dens]]&lt;=825,vp.tbl[[#This Row],[Sulf]]&gt;0.5,vp.tbl[[#This Row],[Unknown]]=0),1,0)</f>
        <v>0</v>
      </c>
      <c r="AA1240">
        <f>IF(AND(vp.tbl[[#This Row],[CrudeType]]="Crude",vp.tbl[[#This Row],[Dens]]&lt;=825,vp.tbl[[#This Row],[Sulf]]&lt;=0.5,vp.tbl[[#This Row],[Unknown]]=0),1,0)</f>
        <v>0</v>
      </c>
      <c r="AB1240">
        <f>IF(AND(vp.tbl[[#This Row],[CrudeType]]="Crude",vp.tbl[[#This Row],[Dens]]&gt;825,vp.tbl[[#This Row],[Dens]]&lt;=870,vp.tbl[[#This Row],[Sulf]]&gt;0.5,vp.tbl[[#This Row],[Unknown]]=0),1,0)</f>
        <v>1</v>
      </c>
      <c r="AC1240">
        <f>IF(AND(vp.tbl[[#This Row],[CrudeType]]="Crude",vp.tbl[[#This Row],[Dens]]&gt;825,vp.tbl[[#This Row],[Dens]]&lt;=900,vp.tbl[[#This Row],[Sulf]]&lt;=0.5,vp.tbl[[#This Row],[Unknown]]=0),1,0)</f>
        <v>0</v>
      </c>
      <c r="AD1240">
        <f>IF(AND(vp.tbl[[#This Row],[CrudeType]]="Crude",vp.tbl[[#This Row],[Dens]]&gt;870,vp.tbl[[#This Row],[Dens]]&lt;=900,vp.tbl[[#This Row],[Sulf]]&gt;0.5,vp.tbl[[#This Row],[Unknown]]=0),1,0)</f>
        <v>0</v>
      </c>
      <c r="AE1240">
        <f>IF(AND(vp.tbl[[#This Row],[CrudeType]]="Crude",vp.tbl[[#This Row],[Dens]]&gt;900,vp.tbl[[#This Row],[Sulf]]&lt;=0.5,vp.tbl[[#This Row],[Unknown]]=0),1,0)</f>
        <v>0</v>
      </c>
      <c r="AF1240">
        <f>IF(AND(vp.tbl[[#This Row],[CrudeType]]="Crude",vp.tbl[[#This Row],[Dens]]&gt;900,vp.tbl[[#This Row],[Sulf]]&lt;=0.5,vp.tbl[[#This Row],[Unknown]]=0),1,0)</f>
        <v>0</v>
      </c>
      <c r="AG1240" t="str">
        <f>INDEX(vp.tbl[[#Headers],[Unknown]:[Heavy_SW]],MATCH(1,vp.tbl[[#This Row],[Unknown]:[Heavy_SW]],0))</f>
        <v>Medium_LSB</v>
      </c>
      <c r="AH1240" t="e">
        <f>INDEX([1]!crudeBD.lkup[Number],MATCH(vp.tbl[[#This Row],[Crude_Breakdown]],[1]!crudeBD.lkup[Crude Breakdown],0))</f>
        <v>#REF!</v>
      </c>
      <c r="AI1240">
        <f>MONTH(vp.tbl[[#This Row],[SDate]])</f>
        <v>4</v>
      </c>
      <c r="AJ1240" s="5">
        <f>IFERROR(vp.tbl[[#This Row],[Sulf]]*vp.tbl[[#This Row],[Net Dens]],"")</f>
        <v>1447064.54046</v>
      </c>
      <c r="AK1240" s="5">
        <f>IFERROR(vp.tbl[[#This Row],[Dens]]*vp.tbl[[#This Row],[VolumeM3]],"")</f>
        <v>1625915.2140000002</v>
      </c>
      <c r="AL1240" s="5">
        <f>IFERROR(vp.tbl[[#This Row],[VP]]*vp.tbl[[#This Row],[VolumeM3]],"")</f>
        <v>134038.10699999999</v>
      </c>
      <c r="AM1240" s="4">
        <f>IFERROR((vp.tbl[[#This Row],[VP]]-INDEX(crudeBD.lkup.complete[Mean_VP],MATCH(vp.tbl[[#This Row],[Crude_Breakdown]],crudeBD.lkup.complete[Crude Breakdown],0)))^2,"")</f>
        <v>122.62450482230342</v>
      </c>
      <c r="AN1240" s="4">
        <f>IFERROR((vp.tbl[[#This Row],[Dens]]-INDEX(crudeBD.lkup.complete[Mean_Dens],MATCH(vp.tbl[[#This Row],[Crude_Breakdown]],crudeBD.lkup.complete[Crude Breakdown],0)))^2,"")</f>
        <v>50.293950411137445</v>
      </c>
      <c r="AO1240" s="4">
        <f>IFERROR((vp.tbl[[#This Row],[Sulf]]-INDEX(crudeBD.lkup.complete[Mean_Sulf],MATCH(vp.tbl[[#This Row],[Crude_Breakdown]],crudeBD.lkup.complete[Crude Breakdown],0)))^2,"")</f>
        <v>0.31914574757774256</v>
      </c>
      <c r="AP1240">
        <f>IF(AND(vp.tbl[[#This Row],[SDate]]&gt;=DATE(YEAR(vp.tbl[[#This Row],[SDate]]),5,1),vp.tbl[[#This Row],[SDate]]&lt;=DATE(YEAR(vp.tbl[[#This Row],[SDate]]),9,15)),1,0)</f>
        <v>0</v>
      </c>
      <c r="AQ1240" s="15">
        <f>IF(vp.tbl[[#This Row],[SDate]]&lt;DATE(2016,12,1),0,1)</f>
        <v>1</v>
      </c>
    </row>
    <row r="1241" spans="1:43" x14ac:dyDescent="0.25">
      <c r="A1241">
        <v>1240</v>
      </c>
      <c r="B1241" t="s">
        <v>68</v>
      </c>
      <c r="C1241" t="s">
        <v>68</v>
      </c>
      <c r="D1241" t="s">
        <v>258</v>
      </c>
      <c r="F1241" s="1">
        <v>42839</v>
      </c>
      <c r="G1241" s="2">
        <v>59.8</v>
      </c>
      <c r="H1241" s="2"/>
      <c r="I1241" s="2">
        <v>1.53</v>
      </c>
      <c r="J1241" s="2">
        <v>22.5</v>
      </c>
      <c r="K1241" s="2">
        <v>12</v>
      </c>
      <c r="L1241" s="2">
        <v>845.6</v>
      </c>
      <c r="M1241" s="2">
        <v>845.6</v>
      </c>
      <c r="N1241" s="2">
        <f ca="1">INDEX(INDIRECT(_xlfn.CONCAT("weather.tbl[",N$1,"]")),MATCH(vp.tbl[[#This Row],[SDate]],weather.tbl[Date],0))</f>
        <v>11.866666666666667</v>
      </c>
      <c r="O1241" s="2">
        <f ca="1">INDEX(INDIRECT(_xlfn.CONCAT("weather.tbl[",O$1,"]")),MATCH(vp.tbl[[#This Row],[SDate]],weather.tbl[Date],0))</f>
        <v>6.6404761904761909</v>
      </c>
      <c r="P1241" s="2">
        <f ca="1">INDEX(INDIRECT(_xlfn.CONCAT("weather.tbl[",P$1,"]")),MATCH(vp.tbl[[#This Row],[SDate]],weather.tbl[Date],0))</f>
        <v>12.5</v>
      </c>
      <c r="Q1241" s="2">
        <f ca="1">INDEX(INDIRECT(_xlfn.CONCAT("weather.tbl[",Q$1,"]")),MATCH(vp.tbl[[#This Row],[SDate]],weather.tbl[Date],0))</f>
        <v>9</v>
      </c>
      <c r="R1241" s="2">
        <f ca="1">INDEX(INDIRECT(_xlfn.CONCAT("weather.tbl[",R$1,"]")),MATCH(vp.tbl[[#This Row],[SDate]],weather.tbl[Date],0))</f>
        <v>14.3</v>
      </c>
      <c r="S1241" s="2">
        <f ca="1">INDEX(INDIRECT(_xlfn.CONCAT("weather.tbl[",S$1,"]")),MATCH(vp.tbl[[#This Row],[SDate]],weather.tbl[Date],0))</f>
        <v>7.6</v>
      </c>
      <c r="T1241" s="2">
        <f ca="1">INDEX(INDIRECT(_xlfn.CONCAT("weather.tbl[",T$1,"]")),MATCH(vp.tbl[[#This Row],[SDate]],weather.tbl[Date],0))</f>
        <v>15</v>
      </c>
      <c r="U1241" s="2">
        <f ca="1">INDEX(INDIRECT(_xlfn.CONCAT("weather.tbl[",U$1,"]")),MATCH(vp.tbl[[#This Row],[SDate]],weather.tbl[Date],0))</f>
        <v>12.8</v>
      </c>
      <c r="V1241" s="2">
        <v>470.54399999999998</v>
      </c>
      <c r="W1241" t="s">
        <v>48</v>
      </c>
      <c r="X1241">
        <f>IF(OR(vp.tbl[[#This Row],[Sulf]]="",vp.tbl[[#This Row],[Dens]]=""),1,0)</f>
        <v>0</v>
      </c>
      <c r="Y1241">
        <f>IF(vp.tbl[[#This Row],[CrudeType]]="C5+",1,0)</f>
        <v>0</v>
      </c>
      <c r="Z1241">
        <f>IF(AND(vp.tbl[[#This Row],[CrudeType]]="Crude",vp.tbl[[#This Row],[Dens]]&lt;=825,vp.tbl[[#This Row],[Sulf]]&gt;0.5,vp.tbl[[#This Row],[Unknown]]=0),1,0)</f>
        <v>0</v>
      </c>
      <c r="AA1241">
        <f>IF(AND(vp.tbl[[#This Row],[CrudeType]]="Crude",vp.tbl[[#This Row],[Dens]]&lt;=825,vp.tbl[[#This Row],[Sulf]]&lt;=0.5,vp.tbl[[#This Row],[Unknown]]=0),1,0)</f>
        <v>0</v>
      </c>
      <c r="AB1241">
        <f>IF(AND(vp.tbl[[#This Row],[CrudeType]]="Crude",vp.tbl[[#This Row],[Dens]]&gt;825,vp.tbl[[#This Row],[Dens]]&lt;=870,vp.tbl[[#This Row],[Sulf]]&gt;0.5,vp.tbl[[#This Row],[Unknown]]=0),1,0)</f>
        <v>1</v>
      </c>
      <c r="AC1241">
        <f>IF(AND(vp.tbl[[#This Row],[CrudeType]]="Crude",vp.tbl[[#This Row],[Dens]]&gt;825,vp.tbl[[#This Row],[Dens]]&lt;=900,vp.tbl[[#This Row],[Sulf]]&lt;=0.5,vp.tbl[[#This Row],[Unknown]]=0),1,0)</f>
        <v>0</v>
      </c>
      <c r="AD1241">
        <f>IF(AND(vp.tbl[[#This Row],[CrudeType]]="Crude",vp.tbl[[#This Row],[Dens]]&gt;870,vp.tbl[[#This Row],[Dens]]&lt;=900,vp.tbl[[#This Row],[Sulf]]&gt;0.5,vp.tbl[[#This Row],[Unknown]]=0),1,0)</f>
        <v>0</v>
      </c>
      <c r="AE1241">
        <f>IF(AND(vp.tbl[[#This Row],[CrudeType]]="Crude",vp.tbl[[#This Row],[Dens]]&gt;900,vp.tbl[[#This Row],[Sulf]]&lt;=0.5,vp.tbl[[#This Row],[Unknown]]=0),1,0)</f>
        <v>0</v>
      </c>
      <c r="AF1241">
        <f>IF(AND(vp.tbl[[#This Row],[CrudeType]]="Crude",vp.tbl[[#This Row],[Dens]]&gt;900,vp.tbl[[#This Row],[Sulf]]&lt;=0.5,vp.tbl[[#This Row],[Unknown]]=0),1,0)</f>
        <v>0</v>
      </c>
      <c r="AG1241" t="str">
        <f>INDEX(vp.tbl[[#Headers],[Unknown]:[Heavy_SW]],MATCH(1,vp.tbl[[#This Row],[Unknown]:[Heavy_SW]],0))</f>
        <v>Medium_LSB</v>
      </c>
      <c r="AH1241" t="e">
        <f>INDEX([1]!crudeBD.lkup[Number],MATCH(vp.tbl[[#This Row],[Crude_Breakdown]],[1]!crudeBD.lkup[Crude Breakdown],0))</f>
        <v>#REF!</v>
      </c>
      <c r="AI1241">
        <f>MONTH(vp.tbl[[#This Row],[SDate]])</f>
        <v>4</v>
      </c>
      <c r="AJ1241" s="5">
        <f>IFERROR(vp.tbl[[#This Row],[Sulf]]*vp.tbl[[#This Row],[Net Dens]],"")</f>
        <v>608774.76979200006</v>
      </c>
      <c r="AK1241" s="5">
        <f>IFERROR(vp.tbl[[#This Row],[Dens]]*vp.tbl[[#This Row],[VolumeM3]],"")</f>
        <v>397892.00640000001</v>
      </c>
      <c r="AL1241" s="5">
        <f>IFERROR(vp.tbl[[#This Row],[VP]]*vp.tbl[[#This Row],[VolumeM3]],"")</f>
        <v>28138.531199999998</v>
      </c>
      <c r="AM1241" s="4">
        <f>IFERROR((vp.tbl[[#This Row],[VP]]-INDEX(crudeBD.lkup.complete[Mean_VP],MATCH(vp.tbl[[#This Row],[Crude_Breakdown]],crudeBD.lkup.complete[Crude Breakdown],0)))^2,"")</f>
        <v>415.08337064508754</v>
      </c>
      <c r="AN1241" s="4">
        <f>IFERROR((vp.tbl[[#This Row],[Dens]]-INDEX(crudeBD.lkup.complete[Mean_Dens],MATCH(vp.tbl[[#This Row],[Crude_Breakdown]],crudeBD.lkup.complete[Crude Breakdown],0)))^2,"")</f>
        <v>9.4973195962806456E-2</v>
      </c>
      <c r="AO1241" s="4">
        <f>IFERROR((vp.tbl[[#This Row],[Sulf]]-INDEX(crudeBD.lkup.complete[Mean_Sulf],MATCH(vp.tbl[[#This Row],[Crude_Breakdown]],crudeBD.lkup.complete[Crude Breakdown],0)))^2,"")</f>
        <v>5.6355258055887899E-3</v>
      </c>
      <c r="AP1241">
        <f>IF(AND(vp.tbl[[#This Row],[SDate]]&gt;=DATE(YEAR(vp.tbl[[#This Row],[SDate]]),5,1),vp.tbl[[#This Row],[SDate]]&lt;=DATE(YEAR(vp.tbl[[#This Row],[SDate]]),9,15)),1,0)</f>
        <v>0</v>
      </c>
      <c r="AQ1241" s="15">
        <f>IF(vp.tbl[[#This Row],[SDate]]&lt;DATE(2016,12,1),0,1)</f>
        <v>1</v>
      </c>
    </row>
    <row r="1242" spans="1:43" x14ac:dyDescent="0.25">
      <c r="A1242">
        <v>1241</v>
      </c>
      <c r="B1242" t="s">
        <v>259</v>
      </c>
      <c r="C1242" t="s">
        <v>259</v>
      </c>
      <c r="D1242" t="s">
        <v>260</v>
      </c>
      <c r="F1242" s="1">
        <v>42839</v>
      </c>
      <c r="G1242" s="2">
        <v>52.2</v>
      </c>
      <c r="H1242" s="2"/>
      <c r="I1242" s="2">
        <v>2.1</v>
      </c>
      <c r="J1242" s="2">
        <v>27.6</v>
      </c>
      <c r="K1242" s="2">
        <v>12</v>
      </c>
      <c r="L1242" s="2">
        <v>882.5</v>
      </c>
      <c r="M1242" s="2">
        <v>882.5</v>
      </c>
      <c r="N1242" s="2">
        <f ca="1">INDEX(INDIRECT(_xlfn.CONCAT("weather.tbl[",N$1,"]")),MATCH(vp.tbl[[#This Row],[SDate]],weather.tbl[Date],0))</f>
        <v>11.866666666666667</v>
      </c>
      <c r="O1242" s="2">
        <f ca="1">INDEX(INDIRECT(_xlfn.CONCAT("weather.tbl[",O$1,"]")),MATCH(vp.tbl[[#This Row],[SDate]],weather.tbl[Date],0))</f>
        <v>6.6404761904761909</v>
      </c>
      <c r="P1242" s="2">
        <f ca="1">INDEX(INDIRECT(_xlfn.CONCAT("weather.tbl[",P$1,"]")),MATCH(vp.tbl[[#This Row],[SDate]],weather.tbl[Date],0))</f>
        <v>12.5</v>
      </c>
      <c r="Q1242" s="2">
        <f ca="1">INDEX(INDIRECT(_xlfn.CONCAT("weather.tbl[",Q$1,"]")),MATCH(vp.tbl[[#This Row],[SDate]],weather.tbl[Date],0))</f>
        <v>9</v>
      </c>
      <c r="R1242" s="2">
        <f ca="1">INDEX(INDIRECT(_xlfn.CONCAT("weather.tbl[",R$1,"]")),MATCH(vp.tbl[[#This Row],[SDate]],weather.tbl[Date],0))</f>
        <v>14.3</v>
      </c>
      <c r="S1242" s="2">
        <f ca="1">INDEX(INDIRECT(_xlfn.CONCAT("weather.tbl[",S$1,"]")),MATCH(vp.tbl[[#This Row],[SDate]],weather.tbl[Date],0))</f>
        <v>7.6</v>
      </c>
      <c r="T1242" s="2">
        <f ca="1">INDEX(INDIRECT(_xlfn.CONCAT("weather.tbl[",T$1,"]")),MATCH(vp.tbl[[#This Row],[SDate]],weather.tbl[Date],0))</f>
        <v>15</v>
      </c>
      <c r="U1242" s="2">
        <f ca="1">INDEX(INDIRECT(_xlfn.CONCAT("weather.tbl[",U$1,"]")),MATCH(vp.tbl[[#This Row],[SDate]],weather.tbl[Date],0))</f>
        <v>12.8</v>
      </c>
      <c r="V1242" s="2">
        <v>1251.0029999999999</v>
      </c>
      <c r="W1242" t="s">
        <v>48</v>
      </c>
      <c r="X1242">
        <f>IF(OR(vp.tbl[[#This Row],[Sulf]]="",vp.tbl[[#This Row],[Dens]]=""),1,0)</f>
        <v>0</v>
      </c>
      <c r="Y1242">
        <f>IF(vp.tbl[[#This Row],[CrudeType]]="C5+",1,0)</f>
        <v>0</v>
      </c>
      <c r="Z1242">
        <f>IF(AND(vp.tbl[[#This Row],[CrudeType]]="Crude",vp.tbl[[#This Row],[Dens]]&lt;=825,vp.tbl[[#This Row],[Sulf]]&gt;0.5,vp.tbl[[#This Row],[Unknown]]=0),1,0)</f>
        <v>0</v>
      </c>
      <c r="AA1242">
        <f>IF(AND(vp.tbl[[#This Row],[CrudeType]]="Crude",vp.tbl[[#This Row],[Dens]]&lt;=825,vp.tbl[[#This Row],[Sulf]]&lt;=0.5,vp.tbl[[#This Row],[Unknown]]=0),1,0)</f>
        <v>0</v>
      </c>
      <c r="AB1242">
        <f>IF(AND(vp.tbl[[#This Row],[CrudeType]]="Crude",vp.tbl[[#This Row],[Dens]]&gt;825,vp.tbl[[#This Row],[Dens]]&lt;=870,vp.tbl[[#This Row],[Sulf]]&gt;0.5,vp.tbl[[#This Row],[Unknown]]=0),1,0)</f>
        <v>0</v>
      </c>
      <c r="AC1242">
        <f>IF(AND(vp.tbl[[#This Row],[CrudeType]]="Crude",vp.tbl[[#This Row],[Dens]]&gt;825,vp.tbl[[#This Row],[Dens]]&lt;=900,vp.tbl[[#This Row],[Sulf]]&lt;=0.5,vp.tbl[[#This Row],[Unknown]]=0),1,0)</f>
        <v>0</v>
      </c>
      <c r="AD1242">
        <f>IF(AND(vp.tbl[[#This Row],[CrudeType]]="Crude",vp.tbl[[#This Row],[Dens]]&gt;870,vp.tbl[[#This Row],[Dens]]&lt;=900,vp.tbl[[#This Row],[Sulf]]&gt;0.5,vp.tbl[[#This Row],[Unknown]]=0),1,0)</f>
        <v>1</v>
      </c>
      <c r="AE1242">
        <f>IF(AND(vp.tbl[[#This Row],[CrudeType]]="Crude",vp.tbl[[#This Row],[Dens]]&gt;900,vp.tbl[[#This Row],[Sulf]]&lt;=0.5,vp.tbl[[#This Row],[Unknown]]=0),1,0)</f>
        <v>0</v>
      </c>
      <c r="AF1242">
        <f>IF(AND(vp.tbl[[#This Row],[CrudeType]]="Crude",vp.tbl[[#This Row],[Dens]]&gt;900,vp.tbl[[#This Row],[Sulf]]&lt;=0.5,vp.tbl[[#This Row],[Unknown]]=0),1,0)</f>
        <v>0</v>
      </c>
      <c r="AG1242" t="str">
        <f>INDEX(vp.tbl[[#Headers],[Unknown]:[Heavy_SW]],MATCH(1,vp.tbl[[#This Row],[Unknown]:[Heavy_SW]],0))</f>
        <v>Midale</v>
      </c>
      <c r="AH1242" t="e">
        <f>INDEX([1]!crudeBD.lkup[Number],MATCH(vp.tbl[[#This Row],[Crude_Breakdown]],[1]!crudeBD.lkup[Crude Breakdown],0))</f>
        <v>#REF!</v>
      </c>
      <c r="AI1242">
        <f>MONTH(vp.tbl[[#This Row],[SDate]])</f>
        <v>4</v>
      </c>
      <c r="AJ1242" s="5">
        <f>IFERROR(vp.tbl[[#This Row],[Sulf]]*vp.tbl[[#This Row],[Net Dens]],"")</f>
        <v>2318421.30975</v>
      </c>
      <c r="AK1242" s="5">
        <f>IFERROR(vp.tbl[[#This Row],[Dens]]*vp.tbl[[#This Row],[VolumeM3]],"")</f>
        <v>1104010.1475</v>
      </c>
      <c r="AL1242" s="5">
        <f>IFERROR(vp.tbl[[#This Row],[VP]]*vp.tbl[[#This Row],[VolumeM3]],"")</f>
        <v>65302.356599999999</v>
      </c>
      <c r="AM1242" s="4">
        <f>IFERROR((vp.tbl[[#This Row],[VP]]-INDEX(crudeBD.lkup.complete[Mean_VP],MATCH(vp.tbl[[#This Row],[Crude_Breakdown]],crudeBD.lkup.complete[Crude Breakdown],0)))^2,"")</f>
        <v>257.2288684556205</v>
      </c>
      <c r="AN1242" s="4">
        <f>IFERROR((vp.tbl[[#This Row],[Dens]]-INDEX(crudeBD.lkup.complete[Mean_Dens],MATCH(vp.tbl[[#This Row],[Crude_Breakdown]],crudeBD.lkup.complete[Crude Breakdown],0)))^2,"")</f>
        <v>24.482161756430092</v>
      </c>
      <c r="AO1242" s="4">
        <f>IFERROR((vp.tbl[[#This Row],[Sulf]]-INDEX(crudeBD.lkup.complete[Mean_Sulf],MATCH(vp.tbl[[#This Row],[Crude_Breakdown]],crudeBD.lkup.complete[Crude Breakdown],0)))^2,"")</f>
        <v>9.9439401994538476E-2</v>
      </c>
      <c r="AP1242">
        <f>IF(AND(vp.tbl[[#This Row],[SDate]]&gt;=DATE(YEAR(vp.tbl[[#This Row],[SDate]]),5,1),vp.tbl[[#This Row],[SDate]]&lt;=DATE(YEAR(vp.tbl[[#This Row],[SDate]]),9,15)),1,0)</f>
        <v>0</v>
      </c>
      <c r="AQ1242" s="15">
        <f>IF(vp.tbl[[#This Row],[SDate]]&lt;DATE(2016,12,1),0,1)</f>
        <v>1</v>
      </c>
    </row>
    <row r="1243" spans="1:43" x14ac:dyDescent="0.25">
      <c r="A1243">
        <v>1242</v>
      </c>
      <c r="B1243" t="s">
        <v>119</v>
      </c>
      <c r="C1243" t="s">
        <v>119</v>
      </c>
      <c r="D1243" t="s">
        <v>261</v>
      </c>
      <c r="F1243" s="1">
        <v>42840</v>
      </c>
      <c r="G1243" s="2">
        <v>92.8</v>
      </c>
      <c r="H1243" s="2"/>
      <c r="I1243" s="2">
        <v>1.59</v>
      </c>
      <c r="J1243" s="2">
        <v>10</v>
      </c>
      <c r="K1243" s="2">
        <v>-30</v>
      </c>
      <c r="L1243" s="2">
        <v>845.1</v>
      </c>
      <c r="M1243" s="2">
        <v>845.1</v>
      </c>
      <c r="N1243" s="2">
        <f ca="1">INDEX(INDIRECT(_xlfn.CONCAT("weather.tbl[",N$1,"]")),MATCH(vp.tbl[[#This Row],[SDate]],weather.tbl[Date],0))</f>
        <v>6.4499999999999993</v>
      </c>
      <c r="O1243" s="2">
        <f ca="1">INDEX(INDIRECT(_xlfn.CONCAT("weather.tbl[",O$1,"]")),MATCH(vp.tbl[[#This Row],[SDate]],weather.tbl[Date],0))</f>
        <v>5.9380952380952374</v>
      </c>
      <c r="P1243" s="2">
        <f ca="1">INDEX(INDIRECT(_xlfn.CONCAT("weather.tbl[",P$1,"]")),MATCH(vp.tbl[[#This Row],[SDate]],weather.tbl[Date],0))</f>
        <v>6.7</v>
      </c>
      <c r="Q1243" s="2">
        <f ca="1">INDEX(INDIRECT(_xlfn.CONCAT("weather.tbl[",Q$1,"]")),MATCH(vp.tbl[[#This Row],[SDate]],weather.tbl[Date],0))</f>
        <v>4.8</v>
      </c>
      <c r="R1243" s="2">
        <f ca="1">INDEX(INDIRECT(_xlfn.CONCAT("weather.tbl[",R$1,"]")),MATCH(vp.tbl[[#This Row],[SDate]],weather.tbl[Date],0))</f>
        <v>6</v>
      </c>
      <c r="S1243" s="2">
        <f ca="1">INDEX(INDIRECT(_xlfn.CONCAT("weather.tbl[",S$1,"]")),MATCH(vp.tbl[[#This Row],[SDate]],weather.tbl[Date],0))</f>
        <v>6.4</v>
      </c>
      <c r="T1243" s="2">
        <f ca="1">INDEX(INDIRECT(_xlfn.CONCAT("weather.tbl[",T$1,"]")),MATCH(vp.tbl[[#This Row],[SDate]],weather.tbl[Date],0))</f>
        <v>8.5</v>
      </c>
      <c r="U1243" s="2">
        <f ca="1">INDEX(INDIRECT(_xlfn.CONCAT("weather.tbl[",U$1,"]")),MATCH(vp.tbl[[#This Row],[SDate]],weather.tbl[Date],0))</f>
        <v>6.3</v>
      </c>
      <c r="V1243" s="2">
        <v>1568.2629999999999</v>
      </c>
      <c r="W1243" t="s">
        <v>48</v>
      </c>
      <c r="X1243">
        <f>IF(OR(vp.tbl[[#This Row],[Sulf]]="",vp.tbl[[#This Row],[Dens]]=""),1,0)</f>
        <v>0</v>
      </c>
      <c r="Y1243">
        <f>IF(vp.tbl[[#This Row],[CrudeType]]="C5+",1,0)</f>
        <v>0</v>
      </c>
      <c r="Z1243">
        <f>IF(AND(vp.tbl[[#This Row],[CrudeType]]="Crude",vp.tbl[[#This Row],[Dens]]&lt;=825,vp.tbl[[#This Row],[Sulf]]&gt;0.5,vp.tbl[[#This Row],[Unknown]]=0),1,0)</f>
        <v>0</v>
      </c>
      <c r="AA1243">
        <f>IF(AND(vp.tbl[[#This Row],[CrudeType]]="Crude",vp.tbl[[#This Row],[Dens]]&lt;=825,vp.tbl[[#This Row],[Sulf]]&lt;=0.5,vp.tbl[[#This Row],[Unknown]]=0),1,0)</f>
        <v>0</v>
      </c>
      <c r="AB1243">
        <f>IF(AND(vp.tbl[[#This Row],[CrudeType]]="Crude",vp.tbl[[#This Row],[Dens]]&gt;825,vp.tbl[[#This Row],[Dens]]&lt;=870,vp.tbl[[#This Row],[Sulf]]&gt;0.5,vp.tbl[[#This Row],[Unknown]]=0),1,0)</f>
        <v>1</v>
      </c>
      <c r="AC1243">
        <f>IF(AND(vp.tbl[[#This Row],[CrudeType]]="Crude",vp.tbl[[#This Row],[Dens]]&gt;825,vp.tbl[[#This Row],[Dens]]&lt;=900,vp.tbl[[#This Row],[Sulf]]&lt;=0.5,vp.tbl[[#This Row],[Unknown]]=0),1,0)</f>
        <v>0</v>
      </c>
      <c r="AD1243">
        <f>IF(AND(vp.tbl[[#This Row],[CrudeType]]="Crude",vp.tbl[[#This Row],[Dens]]&gt;870,vp.tbl[[#This Row],[Dens]]&lt;=900,vp.tbl[[#This Row],[Sulf]]&gt;0.5,vp.tbl[[#This Row],[Unknown]]=0),1,0)</f>
        <v>0</v>
      </c>
      <c r="AE1243">
        <f>IF(AND(vp.tbl[[#This Row],[CrudeType]]="Crude",vp.tbl[[#This Row],[Dens]]&gt;900,vp.tbl[[#This Row],[Sulf]]&lt;=0.5,vp.tbl[[#This Row],[Unknown]]=0),1,0)</f>
        <v>0</v>
      </c>
      <c r="AF1243">
        <f>IF(AND(vp.tbl[[#This Row],[CrudeType]]="Crude",vp.tbl[[#This Row],[Dens]]&gt;900,vp.tbl[[#This Row],[Sulf]]&lt;=0.5,vp.tbl[[#This Row],[Unknown]]=0),1,0)</f>
        <v>0</v>
      </c>
      <c r="AG1243" t="str">
        <f>INDEX(vp.tbl[[#Headers],[Unknown]:[Heavy_SW]],MATCH(1,vp.tbl[[#This Row],[Unknown]:[Heavy_SW]],0))</f>
        <v>Medium_LSB</v>
      </c>
      <c r="AH1243" t="e">
        <f>INDEX([1]!crudeBD.lkup[Number],MATCH(vp.tbl[[#This Row],[Crude_Breakdown]],[1]!crudeBD.lkup[Crude Breakdown],0))</f>
        <v>#REF!</v>
      </c>
      <c r="AI1243">
        <f>MONTH(vp.tbl[[#This Row],[SDate]])</f>
        <v>4</v>
      </c>
      <c r="AJ1243" s="5">
        <f>IFERROR(vp.tbl[[#This Row],[Sulf]]*vp.tbl[[#This Row],[Net Dens]],"")</f>
        <v>2107289.1074669999</v>
      </c>
      <c r="AK1243" s="5">
        <f>IFERROR(vp.tbl[[#This Row],[Dens]]*vp.tbl[[#This Row],[VolumeM3]],"")</f>
        <v>1325339.0612999999</v>
      </c>
      <c r="AL1243" s="5">
        <f>IFERROR(vp.tbl[[#This Row],[VP]]*vp.tbl[[#This Row],[VolumeM3]],"")</f>
        <v>145534.8064</v>
      </c>
      <c r="AM1243" s="4">
        <f>IFERROR((vp.tbl[[#This Row],[VP]]-INDEX(crudeBD.lkup.complete[Mean_VP],MATCH(vp.tbl[[#This Row],[Crude_Breakdown]],crudeBD.lkup.complete[Crude Breakdown],0)))^2,"")</f>
        <v>159.42610482230498</v>
      </c>
      <c r="AN1243" s="4">
        <f>IFERROR((vp.tbl[[#This Row],[Dens]]-INDEX(crudeBD.lkup.complete[Mean_Dens],MATCH(vp.tbl[[#This Row],[Crude_Breakdown]],crudeBD.lkup.complete[Crude Breakdown],0)))^2,"")</f>
        <v>3.6795980771925647E-2</v>
      </c>
      <c r="AO1243" s="4">
        <f>IFERROR((vp.tbl[[#This Row],[Sulf]]-INDEX(crudeBD.lkup.complete[Mean_Sulf],MATCH(vp.tbl[[#This Row],[Crude_Breakdown]],crudeBD.lkup.complete[Crude Breakdown],0)))^2,"")</f>
        <v>1.8243942514449388E-2</v>
      </c>
      <c r="AP1243">
        <f>IF(AND(vp.tbl[[#This Row],[SDate]]&gt;=DATE(YEAR(vp.tbl[[#This Row],[SDate]]),5,1),vp.tbl[[#This Row],[SDate]]&lt;=DATE(YEAR(vp.tbl[[#This Row],[SDate]]),9,15)),1,0)</f>
        <v>0</v>
      </c>
      <c r="AQ1243" s="15">
        <f>IF(vp.tbl[[#This Row],[SDate]]&lt;DATE(2016,12,1),0,1)</f>
        <v>1</v>
      </c>
    </row>
    <row r="1244" spans="1:43" x14ac:dyDescent="0.25">
      <c r="A1244">
        <v>1243</v>
      </c>
      <c r="B1244" t="s">
        <v>108</v>
      </c>
      <c r="C1244" t="s">
        <v>108</v>
      </c>
      <c r="D1244" t="s">
        <v>109</v>
      </c>
      <c r="F1244" s="1">
        <v>42841</v>
      </c>
      <c r="G1244" s="2">
        <v>93.9</v>
      </c>
      <c r="H1244" s="2"/>
      <c r="I1244" s="2">
        <v>0.76</v>
      </c>
      <c r="J1244" s="2">
        <v>22</v>
      </c>
      <c r="K1244" s="2">
        <v>-30</v>
      </c>
      <c r="L1244" s="2">
        <v>832.7</v>
      </c>
      <c r="M1244" s="2">
        <v>832.7</v>
      </c>
      <c r="N1244" s="2">
        <f ca="1">INDEX(INDIRECT(_xlfn.CONCAT("weather.tbl[",N$1,"]")),MATCH(vp.tbl[[#This Row],[SDate]],weather.tbl[Date],0))</f>
        <v>-2.0500000000000003</v>
      </c>
      <c r="O1244" s="2">
        <f ca="1">INDEX(INDIRECT(_xlfn.CONCAT("weather.tbl[",O$1,"]")),MATCH(vp.tbl[[#This Row],[SDate]],weather.tbl[Date],0))</f>
        <v>5.2642857142857151</v>
      </c>
      <c r="P1244" s="2">
        <f ca="1">INDEX(INDIRECT(_xlfn.CONCAT("weather.tbl[",P$1,"]")),MATCH(vp.tbl[[#This Row],[SDate]],weather.tbl[Date],0))</f>
        <v>-1.4</v>
      </c>
      <c r="Q1244" s="2">
        <f ca="1">INDEX(INDIRECT(_xlfn.CONCAT("weather.tbl[",Q$1,"]")),MATCH(vp.tbl[[#This Row],[SDate]],weather.tbl[Date],0))</f>
        <v>-2.9</v>
      </c>
      <c r="R1244" s="2">
        <f ca="1">INDEX(INDIRECT(_xlfn.CONCAT("weather.tbl[",R$1,"]")),MATCH(vp.tbl[[#This Row],[SDate]],weather.tbl[Date],0))</f>
        <v>-0.8</v>
      </c>
      <c r="S1244" s="2">
        <f ca="1">INDEX(INDIRECT(_xlfn.CONCAT("weather.tbl[",S$1,"]")),MATCH(vp.tbl[[#This Row],[SDate]],weather.tbl[Date],0))</f>
        <v>-4.5</v>
      </c>
      <c r="T1244" s="2">
        <f ca="1">INDEX(INDIRECT(_xlfn.CONCAT("weather.tbl[",T$1,"]")),MATCH(vp.tbl[[#This Row],[SDate]],weather.tbl[Date],0))</f>
        <v>1.1000000000000001</v>
      </c>
      <c r="U1244" s="2">
        <f ca="1">INDEX(INDIRECT(_xlfn.CONCAT("weather.tbl[",U$1,"]")),MATCH(vp.tbl[[#This Row],[SDate]],weather.tbl[Date],0))</f>
        <v>-3.8</v>
      </c>
      <c r="V1244" s="2">
        <v>12560.075999999999</v>
      </c>
      <c r="W1244" t="s">
        <v>48</v>
      </c>
      <c r="X1244">
        <f>IF(OR(vp.tbl[[#This Row],[Sulf]]="",vp.tbl[[#This Row],[Dens]]=""),1,0)</f>
        <v>0</v>
      </c>
      <c r="Y1244">
        <f>IF(vp.tbl[[#This Row],[CrudeType]]="C5+",1,0)</f>
        <v>0</v>
      </c>
      <c r="Z1244">
        <f>IF(AND(vp.tbl[[#This Row],[CrudeType]]="Crude",vp.tbl[[#This Row],[Dens]]&lt;=825,vp.tbl[[#This Row],[Sulf]]&gt;0.5,vp.tbl[[#This Row],[Unknown]]=0),1,0)</f>
        <v>0</v>
      </c>
      <c r="AA1244">
        <f>IF(AND(vp.tbl[[#This Row],[CrudeType]]="Crude",vp.tbl[[#This Row],[Dens]]&lt;=825,vp.tbl[[#This Row],[Sulf]]&lt;=0.5,vp.tbl[[#This Row],[Unknown]]=0),1,0)</f>
        <v>0</v>
      </c>
      <c r="AB1244">
        <f>IF(AND(vp.tbl[[#This Row],[CrudeType]]="Crude",vp.tbl[[#This Row],[Dens]]&gt;825,vp.tbl[[#This Row],[Dens]]&lt;=870,vp.tbl[[#This Row],[Sulf]]&gt;0.5,vp.tbl[[#This Row],[Unknown]]=0),1,0)</f>
        <v>1</v>
      </c>
      <c r="AC1244">
        <f>IF(AND(vp.tbl[[#This Row],[CrudeType]]="Crude",vp.tbl[[#This Row],[Dens]]&gt;825,vp.tbl[[#This Row],[Dens]]&lt;=900,vp.tbl[[#This Row],[Sulf]]&lt;=0.5,vp.tbl[[#This Row],[Unknown]]=0),1,0)</f>
        <v>0</v>
      </c>
      <c r="AD1244">
        <f>IF(AND(vp.tbl[[#This Row],[CrudeType]]="Crude",vp.tbl[[#This Row],[Dens]]&gt;870,vp.tbl[[#This Row],[Dens]]&lt;=900,vp.tbl[[#This Row],[Sulf]]&gt;0.5,vp.tbl[[#This Row],[Unknown]]=0),1,0)</f>
        <v>0</v>
      </c>
      <c r="AE1244">
        <f>IF(AND(vp.tbl[[#This Row],[CrudeType]]="Crude",vp.tbl[[#This Row],[Dens]]&gt;900,vp.tbl[[#This Row],[Sulf]]&lt;=0.5,vp.tbl[[#This Row],[Unknown]]=0),1,0)</f>
        <v>0</v>
      </c>
      <c r="AF1244">
        <f>IF(AND(vp.tbl[[#This Row],[CrudeType]]="Crude",vp.tbl[[#This Row],[Dens]]&gt;900,vp.tbl[[#This Row],[Sulf]]&lt;=0.5,vp.tbl[[#This Row],[Unknown]]=0),1,0)</f>
        <v>0</v>
      </c>
      <c r="AG1244" t="str">
        <f>INDEX(vp.tbl[[#Headers],[Unknown]:[Heavy_SW]],MATCH(1,vp.tbl[[#This Row],[Unknown]:[Heavy_SW]],0))</f>
        <v>Medium_LSB</v>
      </c>
      <c r="AH1244" t="e">
        <f>INDEX([1]!crudeBD.lkup[Number],MATCH(vp.tbl[[#This Row],[Crude_Breakdown]],[1]!crudeBD.lkup[Crude Breakdown],0))</f>
        <v>#REF!</v>
      </c>
      <c r="AI1244">
        <f>MONTH(vp.tbl[[#This Row],[SDate]])</f>
        <v>4</v>
      </c>
      <c r="AJ1244" s="5">
        <f>IFERROR(vp.tbl[[#This Row],[Sulf]]*vp.tbl[[#This Row],[Net Dens]],"")</f>
        <v>7948669.2167520002</v>
      </c>
      <c r="AK1244" s="5">
        <f>IFERROR(vp.tbl[[#This Row],[Dens]]*vp.tbl[[#This Row],[VolumeM3]],"")</f>
        <v>10458775.2852</v>
      </c>
      <c r="AL1244" s="5">
        <f>IFERROR(vp.tbl[[#This Row],[VP]]*vp.tbl[[#This Row],[VolumeM3]],"")</f>
        <v>1179391.1364</v>
      </c>
      <c r="AM1244" s="4">
        <f>IFERROR((vp.tbl[[#This Row],[VP]]-INDEX(crudeBD.lkup.complete[Mean_VP],MATCH(vp.tbl[[#This Row],[Crude_Breakdown]],crudeBD.lkup.complete[Crude Breakdown],0)))^2,"")</f>
        <v>188.4141959615458</v>
      </c>
      <c r="AN1244" s="4">
        <f>IFERROR((vp.tbl[[#This Row],[Dens]]-INDEX(crudeBD.lkup.complete[Mean_Dens],MATCH(vp.tbl[[#This Row],[Crude_Breakdown]],crudeBD.lkup.complete[Crude Breakdown],0)))^2,"")</f>
        <v>158.55400104403751</v>
      </c>
      <c r="AO1244" s="4">
        <f>IFERROR((vp.tbl[[#This Row],[Sulf]]-INDEX(crudeBD.lkup.complete[Mean_Sulf],MATCH(vp.tbl[[#This Row],[Crude_Breakdown]],crudeBD.lkup.complete[Crude Breakdown],0)))^2,"")</f>
        <v>0.48292751137521128</v>
      </c>
      <c r="AP1244">
        <f>IF(AND(vp.tbl[[#This Row],[SDate]]&gt;=DATE(YEAR(vp.tbl[[#This Row],[SDate]]),5,1),vp.tbl[[#This Row],[SDate]]&lt;=DATE(YEAR(vp.tbl[[#This Row],[SDate]]),9,15)),1,0)</f>
        <v>0</v>
      </c>
      <c r="AQ1244" s="15">
        <f>IF(vp.tbl[[#This Row],[SDate]]&lt;DATE(2016,12,1),0,1)</f>
        <v>1</v>
      </c>
    </row>
    <row r="1245" spans="1:43" x14ac:dyDescent="0.25">
      <c r="A1245">
        <v>1244</v>
      </c>
      <c r="B1245" t="s">
        <v>60</v>
      </c>
      <c r="C1245" t="s">
        <v>60</v>
      </c>
      <c r="D1245" t="s">
        <v>61</v>
      </c>
      <c r="E1245" t="s">
        <v>73</v>
      </c>
      <c r="F1245" s="1">
        <v>42843</v>
      </c>
      <c r="G1245" s="2">
        <v>74.7</v>
      </c>
      <c r="H1245" s="2">
        <v>1.218</v>
      </c>
      <c r="I1245" s="2">
        <v>1.218</v>
      </c>
      <c r="J1245" s="2">
        <v>8.9</v>
      </c>
      <c r="K1245" s="2">
        <v>7</v>
      </c>
      <c r="L1245" s="2">
        <v>842.6</v>
      </c>
      <c r="M1245" s="2">
        <v>842.6</v>
      </c>
      <c r="N1245" s="2">
        <f ca="1">INDEX(INDIRECT(_xlfn.CONCAT("weather.tbl[",N$1,"]")),MATCH(vp.tbl[[#This Row],[SDate]],weather.tbl[Date],0))</f>
        <v>5.3500000000000005</v>
      </c>
      <c r="O1245" s="2">
        <f ca="1">INDEX(INDIRECT(_xlfn.CONCAT("weather.tbl[",O$1,"]")),MATCH(vp.tbl[[#This Row],[SDate]],weather.tbl[Date],0))</f>
        <v>5.1357142857142861</v>
      </c>
      <c r="P1245" s="2">
        <f ca="1">INDEX(INDIRECT(_xlfn.CONCAT("weather.tbl[",P$1,"]")),MATCH(vp.tbl[[#This Row],[SDate]],weather.tbl[Date],0))</f>
        <v>5.7</v>
      </c>
      <c r="Q1245" s="2">
        <f ca="1">INDEX(INDIRECT(_xlfn.CONCAT("weather.tbl[",Q$1,"]")),MATCH(vp.tbl[[#This Row],[SDate]],weather.tbl[Date],0))</f>
        <v>5.8</v>
      </c>
      <c r="R1245" s="2">
        <f ca="1">INDEX(INDIRECT(_xlfn.CONCAT("weather.tbl[",R$1,"]")),MATCH(vp.tbl[[#This Row],[SDate]],weather.tbl[Date],0))</f>
        <v>4.3</v>
      </c>
      <c r="S1245" s="2">
        <f ca="1">INDEX(INDIRECT(_xlfn.CONCAT("weather.tbl[",S$1,"]")),MATCH(vp.tbl[[#This Row],[SDate]],weather.tbl[Date],0))</f>
        <v>5.5</v>
      </c>
      <c r="T1245" s="2">
        <f ca="1">INDEX(INDIRECT(_xlfn.CONCAT("weather.tbl[",T$1,"]")),MATCH(vp.tbl[[#This Row],[SDate]],weather.tbl[Date],0))</f>
        <v>5</v>
      </c>
      <c r="U1245" s="2">
        <f ca="1">INDEX(INDIRECT(_xlfn.CONCAT("weather.tbl[",U$1,"]")),MATCH(vp.tbl[[#This Row],[SDate]],weather.tbl[Date],0))</f>
        <v>5.8</v>
      </c>
      <c r="V1245" s="2">
        <v>111869.038</v>
      </c>
      <c r="W1245" t="s">
        <v>48</v>
      </c>
      <c r="X1245">
        <f>IF(OR(vp.tbl[[#This Row],[Sulf]]="",vp.tbl[[#This Row],[Dens]]=""),1,0)</f>
        <v>0</v>
      </c>
      <c r="Y1245">
        <f>IF(vp.tbl[[#This Row],[CrudeType]]="C5+",1,0)</f>
        <v>0</v>
      </c>
      <c r="Z1245">
        <f>IF(AND(vp.tbl[[#This Row],[CrudeType]]="Crude",vp.tbl[[#This Row],[Dens]]&lt;=825,vp.tbl[[#This Row],[Sulf]]&gt;0.5,vp.tbl[[#This Row],[Unknown]]=0),1,0)</f>
        <v>0</v>
      </c>
      <c r="AA1245">
        <f>IF(AND(vp.tbl[[#This Row],[CrudeType]]="Crude",vp.tbl[[#This Row],[Dens]]&lt;=825,vp.tbl[[#This Row],[Sulf]]&lt;=0.5,vp.tbl[[#This Row],[Unknown]]=0),1,0)</f>
        <v>0</v>
      </c>
      <c r="AB1245">
        <f>IF(AND(vp.tbl[[#This Row],[CrudeType]]="Crude",vp.tbl[[#This Row],[Dens]]&gt;825,vp.tbl[[#This Row],[Dens]]&lt;=870,vp.tbl[[#This Row],[Sulf]]&gt;0.5,vp.tbl[[#This Row],[Unknown]]=0),1,0)</f>
        <v>1</v>
      </c>
      <c r="AC1245">
        <f>IF(AND(vp.tbl[[#This Row],[CrudeType]]="Crude",vp.tbl[[#This Row],[Dens]]&gt;825,vp.tbl[[#This Row],[Dens]]&lt;=900,vp.tbl[[#This Row],[Sulf]]&lt;=0.5,vp.tbl[[#This Row],[Unknown]]=0),1,0)</f>
        <v>0</v>
      </c>
      <c r="AD1245">
        <f>IF(AND(vp.tbl[[#This Row],[CrudeType]]="Crude",vp.tbl[[#This Row],[Dens]]&gt;870,vp.tbl[[#This Row],[Dens]]&lt;=900,vp.tbl[[#This Row],[Sulf]]&gt;0.5,vp.tbl[[#This Row],[Unknown]]=0),1,0)</f>
        <v>0</v>
      </c>
      <c r="AE1245">
        <f>IF(AND(vp.tbl[[#This Row],[CrudeType]]="Crude",vp.tbl[[#This Row],[Dens]]&gt;900,vp.tbl[[#This Row],[Sulf]]&lt;=0.5,vp.tbl[[#This Row],[Unknown]]=0),1,0)</f>
        <v>0</v>
      </c>
      <c r="AF1245">
        <f>IF(AND(vp.tbl[[#This Row],[CrudeType]]="Crude",vp.tbl[[#This Row],[Dens]]&gt;900,vp.tbl[[#This Row],[Sulf]]&lt;=0.5,vp.tbl[[#This Row],[Unknown]]=0),1,0)</f>
        <v>0</v>
      </c>
      <c r="AG1245" t="str">
        <f>INDEX(vp.tbl[[#Headers],[Unknown]:[Heavy_SW]],MATCH(1,vp.tbl[[#This Row],[Unknown]:[Heavy_SW]],0))</f>
        <v>Medium_LSB</v>
      </c>
      <c r="AH1245" t="e">
        <f>INDEX([1]!crudeBD.lkup[Number],MATCH(vp.tbl[[#This Row],[Crude_Breakdown]],[1]!crudeBD.lkup[Crude Breakdown],0))</f>
        <v>#REF!</v>
      </c>
      <c r="AI1245">
        <f>MONTH(vp.tbl[[#This Row],[SDate]])</f>
        <v>4</v>
      </c>
      <c r="AJ1245" s="5">
        <f>IFERROR(vp.tbl[[#This Row],[Sulf]]*vp.tbl[[#This Row],[Net Dens]],"")</f>
        <v>114809717.02809839</v>
      </c>
      <c r="AK1245" s="5">
        <f>IFERROR(vp.tbl[[#This Row],[Dens]]*vp.tbl[[#This Row],[VolumeM3]],"")</f>
        <v>94260851.418799996</v>
      </c>
      <c r="AL1245" s="5">
        <f>IFERROR(vp.tbl[[#This Row],[VP]]*vp.tbl[[#This Row],[VolumeM3]],"")</f>
        <v>8356617.1386000002</v>
      </c>
      <c r="AM1245" s="4">
        <f>IFERROR((vp.tbl[[#This Row],[VP]]-INDEX(crudeBD.lkup.complete[Mean_VP],MATCH(vp.tbl[[#This Row],[Crude_Breakdown]],crudeBD.lkup.complete[Crude Breakdown],0)))^2,"")</f>
        <v>29.960241531164442</v>
      </c>
      <c r="AN1245" s="4">
        <f>IFERROR((vp.tbl[[#This Row],[Dens]]-INDEX(crudeBD.lkup.complete[Mean_Dens],MATCH(vp.tbl[[#This Row],[Crude_Breakdown]],crudeBD.lkup.complete[Crude Breakdown],0)))^2,"")</f>
        <v>7.2459099048175215</v>
      </c>
      <c r="AO1245" s="4">
        <f>IFERROR((vp.tbl[[#This Row],[Sulf]]-INDEX(crudeBD.lkup.complete[Mean_Sulf],MATCH(vp.tbl[[#This Row],[Crude_Breakdown]],crudeBD.lkup.complete[Crude Breakdown],0)))^2,"")</f>
        <v>5.6135758919513772E-2</v>
      </c>
      <c r="AP1245">
        <f>IF(AND(vp.tbl[[#This Row],[SDate]]&gt;=DATE(YEAR(vp.tbl[[#This Row],[SDate]]),5,1),vp.tbl[[#This Row],[SDate]]&lt;=DATE(YEAR(vp.tbl[[#This Row],[SDate]]),9,15)),1,0)</f>
        <v>0</v>
      </c>
      <c r="AQ1245" s="15">
        <f>IF(vp.tbl[[#This Row],[SDate]]&lt;DATE(2016,12,1),0,1)</f>
        <v>1</v>
      </c>
    </row>
    <row r="1246" spans="1:43" x14ac:dyDescent="0.25">
      <c r="A1246">
        <v>1245</v>
      </c>
      <c r="B1246" t="s">
        <v>60</v>
      </c>
      <c r="C1246" t="s">
        <v>60</v>
      </c>
      <c r="D1246" t="s">
        <v>61</v>
      </c>
      <c r="E1246" t="s">
        <v>55</v>
      </c>
      <c r="F1246" s="1">
        <v>42843</v>
      </c>
      <c r="G1246" s="2">
        <v>99.6</v>
      </c>
      <c r="H1246" s="2">
        <v>0.95799999999999996</v>
      </c>
      <c r="I1246" s="2">
        <v>0.95799999999999996</v>
      </c>
      <c r="J1246" s="2">
        <v>11.8</v>
      </c>
      <c r="K1246" s="2">
        <v>7</v>
      </c>
      <c r="L1246" s="2">
        <v>823.4</v>
      </c>
      <c r="M1246" s="2">
        <v>823.4</v>
      </c>
      <c r="N1246" s="2">
        <f ca="1">INDEX(INDIRECT(_xlfn.CONCAT("weather.tbl[",N$1,"]")),MATCH(vp.tbl[[#This Row],[SDate]],weather.tbl[Date],0))</f>
        <v>5.3500000000000005</v>
      </c>
      <c r="O1246" s="2">
        <f ca="1">INDEX(INDIRECT(_xlfn.CONCAT("weather.tbl[",O$1,"]")),MATCH(vp.tbl[[#This Row],[SDate]],weather.tbl[Date],0))</f>
        <v>5.1357142857142861</v>
      </c>
      <c r="P1246" s="2">
        <f ca="1">INDEX(INDIRECT(_xlfn.CONCAT("weather.tbl[",P$1,"]")),MATCH(vp.tbl[[#This Row],[SDate]],weather.tbl[Date],0))</f>
        <v>5.7</v>
      </c>
      <c r="Q1246" s="2">
        <f ca="1">INDEX(INDIRECT(_xlfn.CONCAT("weather.tbl[",Q$1,"]")),MATCH(vp.tbl[[#This Row],[SDate]],weather.tbl[Date],0))</f>
        <v>5.8</v>
      </c>
      <c r="R1246" s="2">
        <f ca="1">INDEX(INDIRECT(_xlfn.CONCAT("weather.tbl[",R$1,"]")),MATCH(vp.tbl[[#This Row],[SDate]],weather.tbl[Date],0))</f>
        <v>4.3</v>
      </c>
      <c r="S1246" s="2">
        <f ca="1">INDEX(INDIRECT(_xlfn.CONCAT("weather.tbl[",S$1,"]")),MATCH(vp.tbl[[#This Row],[SDate]],weather.tbl[Date],0))</f>
        <v>5.5</v>
      </c>
      <c r="T1246" s="2">
        <f ca="1">INDEX(INDIRECT(_xlfn.CONCAT("weather.tbl[",T$1,"]")),MATCH(vp.tbl[[#This Row],[SDate]],weather.tbl[Date],0))</f>
        <v>5</v>
      </c>
      <c r="U1246" s="2">
        <f ca="1">INDEX(INDIRECT(_xlfn.CONCAT("weather.tbl[",U$1,"]")),MATCH(vp.tbl[[#This Row],[SDate]],weather.tbl[Date],0))</f>
        <v>5.8</v>
      </c>
      <c r="V1246" s="2">
        <v>111869.038</v>
      </c>
      <c r="W1246" t="s">
        <v>48</v>
      </c>
      <c r="X1246">
        <f>IF(OR(vp.tbl[[#This Row],[Sulf]]="",vp.tbl[[#This Row],[Dens]]=""),1,0)</f>
        <v>0</v>
      </c>
      <c r="Y1246">
        <f>IF(vp.tbl[[#This Row],[CrudeType]]="C5+",1,0)</f>
        <v>0</v>
      </c>
      <c r="Z1246">
        <f>IF(AND(vp.tbl[[#This Row],[CrudeType]]="Crude",vp.tbl[[#This Row],[Dens]]&lt;=825,vp.tbl[[#This Row],[Sulf]]&gt;0.5,vp.tbl[[#This Row],[Unknown]]=0),1,0)</f>
        <v>1</v>
      </c>
      <c r="AA1246">
        <f>IF(AND(vp.tbl[[#This Row],[CrudeType]]="Crude",vp.tbl[[#This Row],[Dens]]&lt;=825,vp.tbl[[#This Row],[Sulf]]&lt;=0.5,vp.tbl[[#This Row],[Unknown]]=0),1,0)</f>
        <v>0</v>
      </c>
      <c r="AB1246">
        <f>IF(AND(vp.tbl[[#This Row],[CrudeType]]="Crude",vp.tbl[[#This Row],[Dens]]&gt;825,vp.tbl[[#This Row],[Dens]]&lt;=870,vp.tbl[[#This Row],[Sulf]]&gt;0.5,vp.tbl[[#This Row],[Unknown]]=0),1,0)</f>
        <v>0</v>
      </c>
      <c r="AC1246">
        <f>IF(AND(vp.tbl[[#This Row],[CrudeType]]="Crude",vp.tbl[[#This Row],[Dens]]&gt;825,vp.tbl[[#This Row],[Dens]]&lt;=900,vp.tbl[[#This Row],[Sulf]]&lt;=0.5,vp.tbl[[#This Row],[Unknown]]=0),1,0)</f>
        <v>0</v>
      </c>
      <c r="AD1246">
        <f>IF(AND(vp.tbl[[#This Row],[CrudeType]]="Crude",vp.tbl[[#This Row],[Dens]]&gt;870,vp.tbl[[#This Row],[Dens]]&lt;=900,vp.tbl[[#This Row],[Sulf]]&gt;0.5,vp.tbl[[#This Row],[Unknown]]=0),1,0)</f>
        <v>0</v>
      </c>
      <c r="AE1246">
        <f>IF(AND(vp.tbl[[#This Row],[CrudeType]]="Crude",vp.tbl[[#This Row],[Dens]]&gt;900,vp.tbl[[#This Row],[Sulf]]&lt;=0.5,vp.tbl[[#This Row],[Unknown]]=0),1,0)</f>
        <v>0</v>
      </c>
      <c r="AF1246">
        <f>IF(AND(vp.tbl[[#This Row],[CrudeType]]="Crude",vp.tbl[[#This Row],[Dens]]&gt;900,vp.tbl[[#This Row],[Sulf]]&lt;=0.5,vp.tbl[[#This Row],[Unknown]]=0),1,0)</f>
        <v>0</v>
      </c>
      <c r="AG1246" t="str">
        <f>INDEX(vp.tbl[[#Headers],[Unknown]:[Heavy_SW]],MATCH(1,vp.tbl[[#This Row],[Unknown]:[Heavy_SW]],0))</f>
        <v>Light_LSB</v>
      </c>
      <c r="AH1246" t="e">
        <f>INDEX([1]!crudeBD.lkup[Number],MATCH(vp.tbl[[#This Row],[Crude_Breakdown]],[1]!crudeBD.lkup[Crude Breakdown],0))</f>
        <v>#REF!</v>
      </c>
      <c r="AI1246">
        <f>MONTH(vp.tbl[[#This Row],[SDate]])</f>
        <v>4</v>
      </c>
      <c r="AJ1246" s="5">
        <f>IFERROR(vp.tbl[[#This Row],[Sulf]]*vp.tbl[[#This Row],[Net Dens]],"")</f>
        <v>88244221.321853593</v>
      </c>
      <c r="AK1246" s="5">
        <f>IFERROR(vp.tbl[[#This Row],[Dens]]*vp.tbl[[#This Row],[VolumeM3]],"")</f>
        <v>92112965.889200002</v>
      </c>
      <c r="AL1246" s="5">
        <f>IFERROR(vp.tbl[[#This Row],[VP]]*vp.tbl[[#This Row],[VolumeM3]],"")</f>
        <v>11142156.184799999</v>
      </c>
      <c r="AM1246" s="4">
        <f>IFERROR((vp.tbl[[#This Row],[VP]]-INDEX(crudeBD.lkup.complete[Mean_VP],MATCH(vp.tbl[[#This Row],[Crude_Breakdown]],crudeBD.lkup.complete[Crude Breakdown],0)))^2,"")</f>
        <v>64.863926921032458</v>
      </c>
      <c r="AN1246" s="4">
        <f>IFERROR((vp.tbl[[#This Row],[Dens]]-INDEX(crudeBD.lkup.complete[Mean_Dens],MATCH(vp.tbl[[#This Row],[Crude_Breakdown]],crudeBD.lkup.complete[Crude Breakdown],0)))^2,"")</f>
        <v>23.845937582223179</v>
      </c>
      <c r="AO1246" s="4">
        <f>IFERROR((vp.tbl[[#This Row],[Sulf]]-INDEX(crudeBD.lkup.complete[Mean_Sulf],MATCH(vp.tbl[[#This Row],[Crude_Breakdown]],crudeBD.lkup.complete[Crude Breakdown],0)))^2,"")</f>
        <v>1.227019044320465E-3</v>
      </c>
      <c r="AP1246">
        <f>IF(AND(vp.tbl[[#This Row],[SDate]]&gt;=DATE(YEAR(vp.tbl[[#This Row],[SDate]]),5,1),vp.tbl[[#This Row],[SDate]]&lt;=DATE(YEAR(vp.tbl[[#This Row],[SDate]]),9,15)),1,0)</f>
        <v>0</v>
      </c>
      <c r="AQ1246" s="15">
        <f>IF(vp.tbl[[#This Row],[SDate]]&lt;DATE(2016,12,1),0,1)</f>
        <v>1</v>
      </c>
    </row>
    <row r="1247" spans="1:43" x14ac:dyDescent="0.25">
      <c r="A1247">
        <v>1246</v>
      </c>
      <c r="B1247" t="s">
        <v>49</v>
      </c>
      <c r="C1247" t="s">
        <v>49</v>
      </c>
      <c r="D1247" t="s">
        <v>78</v>
      </c>
      <c r="F1247" s="1">
        <v>42844</v>
      </c>
      <c r="G1247" s="2">
        <v>85.3</v>
      </c>
      <c r="H1247" s="2">
        <v>0.35799999999999998</v>
      </c>
      <c r="I1247" s="2">
        <v>0.35799999999999998</v>
      </c>
      <c r="J1247" s="2">
        <v>15.3</v>
      </c>
      <c r="K1247" s="2">
        <v>8</v>
      </c>
      <c r="L1247" s="2">
        <v>808.8</v>
      </c>
      <c r="M1247" s="2">
        <v>808.8</v>
      </c>
      <c r="N1247" s="2">
        <f ca="1">INDEX(INDIRECT(_xlfn.CONCAT("weather.tbl[",N$1,"]")),MATCH(vp.tbl[[#This Row],[SDate]],weather.tbl[Date],0))</f>
        <v>6.75</v>
      </c>
      <c r="O1247" s="2">
        <f ca="1">INDEX(INDIRECT(_xlfn.CONCAT("weather.tbl[",O$1,"]")),MATCH(vp.tbl[[#This Row],[SDate]],weather.tbl[Date],0))</f>
        <v>5.2404761904761914</v>
      </c>
      <c r="P1247" s="2">
        <f ca="1">INDEX(INDIRECT(_xlfn.CONCAT("weather.tbl[",P$1,"]")),MATCH(vp.tbl[[#This Row],[SDate]],weather.tbl[Date],0))</f>
        <v>6.7</v>
      </c>
      <c r="Q1247" s="2">
        <f ca="1">INDEX(INDIRECT(_xlfn.CONCAT("weather.tbl[",Q$1,"]")),MATCH(vp.tbl[[#This Row],[SDate]],weather.tbl[Date],0))</f>
        <v>8.1999999999999993</v>
      </c>
      <c r="R1247" s="2">
        <f ca="1">INDEX(INDIRECT(_xlfn.CONCAT("weather.tbl[",R$1,"]")),MATCH(vp.tbl[[#This Row],[SDate]],weather.tbl[Date],0))</f>
        <v>6</v>
      </c>
      <c r="S1247" s="2">
        <f ca="1">INDEX(INDIRECT(_xlfn.CONCAT("weather.tbl[",S$1,"]")),MATCH(vp.tbl[[#This Row],[SDate]],weather.tbl[Date],0))</f>
        <v>7.2</v>
      </c>
      <c r="T1247" s="2">
        <f ca="1">INDEX(INDIRECT(_xlfn.CONCAT("weather.tbl[",T$1,"]")),MATCH(vp.tbl[[#This Row],[SDate]],weather.tbl[Date],0))</f>
        <v>5.4</v>
      </c>
      <c r="U1247" s="2">
        <f ca="1">INDEX(INDIRECT(_xlfn.CONCAT("weather.tbl[",U$1,"]")),MATCH(vp.tbl[[#This Row],[SDate]],weather.tbl[Date],0))</f>
        <v>7</v>
      </c>
      <c r="V1247" s="2">
        <v>19811.154999999999</v>
      </c>
      <c r="W1247" t="s">
        <v>48</v>
      </c>
      <c r="X1247">
        <f>IF(OR(vp.tbl[[#This Row],[Sulf]]="",vp.tbl[[#This Row],[Dens]]=""),1,0)</f>
        <v>0</v>
      </c>
      <c r="Y1247">
        <f>IF(vp.tbl[[#This Row],[CrudeType]]="C5+",1,0)</f>
        <v>0</v>
      </c>
      <c r="Z1247">
        <f>IF(AND(vp.tbl[[#This Row],[CrudeType]]="Crude",vp.tbl[[#This Row],[Dens]]&lt;=825,vp.tbl[[#This Row],[Sulf]]&gt;0.5,vp.tbl[[#This Row],[Unknown]]=0),1,0)</f>
        <v>0</v>
      </c>
      <c r="AA1247">
        <f>IF(AND(vp.tbl[[#This Row],[CrudeType]]="Crude",vp.tbl[[#This Row],[Dens]]&lt;=825,vp.tbl[[#This Row],[Sulf]]&lt;=0.5,vp.tbl[[#This Row],[Unknown]]=0),1,0)</f>
        <v>1</v>
      </c>
      <c r="AB1247">
        <f>IF(AND(vp.tbl[[#This Row],[CrudeType]]="Crude",vp.tbl[[#This Row],[Dens]]&gt;825,vp.tbl[[#This Row],[Dens]]&lt;=870,vp.tbl[[#This Row],[Sulf]]&gt;0.5,vp.tbl[[#This Row],[Unknown]]=0),1,0)</f>
        <v>0</v>
      </c>
      <c r="AC1247">
        <f>IF(AND(vp.tbl[[#This Row],[CrudeType]]="Crude",vp.tbl[[#This Row],[Dens]]&gt;825,vp.tbl[[#This Row],[Dens]]&lt;=900,vp.tbl[[#This Row],[Sulf]]&lt;=0.5,vp.tbl[[#This Row],[Unknown]]=0),1,0)</f>
        <v>0</v>
      </c>
      <c r="AD1247">
        <f>IF(AND(vp.tbl[[#This Row],[CrudeType]]="Crude",vp.tbl[[#This Row],[Dens]]&gt;870,vp.tbl[[#This Row],[Dens]]&lt;=900,vp.tbl[[#This Row],[Sulf]]&gt;0.5,vp.tbl[[#This Row],[Unknown]]=0),1,0)</f>
        <v>0</v>
      </c>
      <c r="AE1247">
        <f>IF(AND(vp.tbl[[#This Row],[CrudeType]]="Crude",vp.tbl[[#This Row],[Dens]]&gt;900,vp.tbl[[#This Row],[Sulf]]&lt;=0.5,vp.tbl[[#This Row],[Unknown]]=0),1,0)</f>
        <v>0</v>
      </c>
      <c r="AF1247">
        <f>IF(AND(vp.tbl[[#This Row],[CrudeType]]="Crude",vp.tbl[[#This Row],[Dens]]&gt;900,vp.tbl[[#This Row],[Sulf]]&lt;=0.5,vp.tbl[[#This Row],[Unknown]]=0),1,0)</f>
        <v>0</v>
      </c>
      <c r="AG1247" t="str">
        <f>INDEX(vp.tbl[[#Headers],[Unknown]:[Heavy_SW]],MATCH(1,vp.tbl[[#This Row],[Unknown]:[Heavy_SW]],0))</f>
        <v>Light_SW</v>
      </c>
      <c r="AH1247" t="e">
        <f>INDEX([1]!crudeBD.lkup[Number],MATCH(vp.tbl[[#This Row],[Crude_Breakdown]],[1]!crudeBD.lkup[Crude Breakdown],0))</f>
        <v>#REF!</v>
      </c>
      <c r="AI1247">
        <f>MONTH(vp.tbl[[#This Row],[SDate]])</f>
        <v>4</v>
      </c>
      <c r="AJ1247" s="5">
        <f>IFERROR(vp.tbl[[#This Row],[Sulf]]*vp.tbl[[#This Row],[Net Dens]],"")</f>
        <v>5736327.8547119992</v>
      </c>
      <c r="AK1247" s="5">
        <f>IFERROR(vp.tbl[[#This Row],[Dens]]*vp.tbl[[#This Row],[VolumeM3]],"")</f>
        <v>16023262.163999999</v>
      </c>
      <c r="AL1247" s="5">
        <f>IFERROR(vp.tbl[[#This Row],[VP]]*vp.tbl[[#This Row],[VolumeM3]],"")</f>
        <v>1689891.5214999998</v>
      </c>
      <c r="AM1247" s="4">
        <f>IFERROR((vp.tbl[[#This Row],[VP]]-INDEX(crudeBD.lkup.complete[Mean_VP],MATCH(vp.tbl[[#This Row],[Crude_Breakdown]],crudeBD.lkup.complete[Crude Breakdown],0)))^2,"")</f>
        <v>52.567047136665103</v>
      </c>
      <c r="AN1247" s="4">
        <f>IFERROR((vp.tbl[[#This Row],[Dens]]-INDEX(crudeBD.lkup.complete[Mean_Dens],MATCH(vp.tbl[[#This Row],[Crude_Breakdown]],crudeBD.lkup.complete[Crude Breakdown],0)))^2,"")</f>
        <v>0.23863395209379634</v>
      </c>
      <c r="AO1247" s="4">
        <f>IFERROR((vp.tbl[[#This Row],[Sulf]]-INDEX(crudeBD.lkup.complete[Mean_Sulf],MATCH(vp.tbl[[#This Row],[Crude_Breakdown]],crudeBD.lkup.complete[Crude Breakdown],0)))^2,"")</f>
        <v>1.4825056382376899E-2</v>
      </c>
      <c r="AP1247">
        <f>IF(AND(vp.tbl[[#This Row],[SDate]]&gt;=DATE(YEAR(vp.tbl[[#This Row],[SDate]]),5,1),vp.tbl[[#This Row],[SDate]]&lt;=DATE(YEAR(vp.tbl[[#This Row],[SDate]]),9,15)),1,0)</f>
        <v>0</v>
      </c>
      <c r="AQ1247" s="15">
        <f>IF(vp.tbl[[#This Row],[SDate]]&lt;DATE(2016,12,1),0,1)</f>
        <v>1</v>
      </c>
    </row>
    <row r="1248" spans="1:43" x14ac:dyDescent="0.25">
      <c r="A1248">
        <v>1247</v>
      </c>
      <c r="B1248" t="s">
        <v>49</v>
      </c>
      <c r="C1248" t="s">
        <v>49</v>
      </c>
      <c r="D1248" t="s">
        <v>67</v>
      </c>
      <c r="F1248" s="1">
        <v>42844</v>
      </c>
      <c r="G1248" s="2">
        <v>89.9</v>
      </c>
      <c r="H1248" s="2">
        <v>0.38700000000000001</v>
      </c>
      <c r="I1248" s="2">
        <v>0.38700000000000001</v>
      </c>
      <c r="J1248" s="2">
        <v>10</v>
      </c>
      <c r="K1248" s="2">
        <v>8</v>
      </c>
      <c r="L1248" s="2">
        <v>814.1</v>
      </c>
      <c r="M1248" s="2">
        <v>814.1</v>
      </c>
      <c r="N1248" s="2">
        <f ca="1">INDEX(INDIRECT(_xlfn.CONCAT("weather.tbl[",N$1,"]")),MATCH(vp.tbl[[#This Row],[SDate]],weather.tbl[Date],0))</f>
        <v>6.75</v>
      </c>
      <c r="O1248" s="2">
        <f ca="1">INDEX(INDIRECT(_xlfn.CONCAT("weather.tbl[",O$1,"]")),MATCH(vp.tbl[[#This Row],[SDate]],weather.tbl[Date],0))</f>
        <v>5.2404761904761914</v>
      </c>
      <c r="P1248" s="2">
        <f ca="1">INDEX(INDIRECT(_xlfn.CONCAT("weather.tbl[",P$1,"]")),MATCH(vp.tbl[[#This Row],[SDate]],weather.tbl[Date],0))</f>
        <v>6.7</v>
      </c>
      <c r="Q1248" s="2">
        <f ca="1">INDEX(INDIRECT(_xlfn.CONCAT("weather.tbl[",Q$1,"]")),MATCH(vp.tbl[[#This Row],[SDate]],weather.tbl[Date],0))</f>
        <v>8.1999999999999993</v>
      </c>
      <c r="R1248" s="2">
        <f ca="1">INDEX(INDIRECT(_xlfn.CONCAT("weather.tbl[",R$1,"]")),MATCH(vp.tbl[[#This Row],[SDate]],weather.tbl[Date],0))</f>
        <v>6</v>
      </c>
      <c r="S1248" s="2">
        <f ca="1">INDEX(INDIRECT(_xlfn.CONCAT("weather.tbl[",S$1,"]")),MATCH(vp.tbl[[#This Row],[SDate]],weather.tbl[Date],0))</f>
        <v>7.2</v>
      </c>
      <c r="T1248" s="2">
        <f ca="1">INDEX(INDIRECT(_xlfn.CONCAT("weather.tbl[",T$1,"]")),MATCH(vp.tbl[[#This Row],[SDate]],weather.tbl[Date],0))</f>
        <v>5.4</v>
      </c>
      <c r="U1248" s="2">
        <f ca="1">INDEX(INDIRECT(_xlfn.CONCAT("weather.tbl[",U$1,"]")),MATCH(vp.tbl[[#This Row],[SDate]],weather.tbl[Date],0))</f>
        <v>7</v>
      </c>
      <c r="V1248" s="2">
        <v>140792.67800000001</v>
      </c>
      <c r="W1248" t="s">
        <v>48</v>
      </c>
      <c r="X1248">
        <f>IF(OR(vp.tbl[[#This Row],[Sulf]]="",vp.tbl[[#This Row],[Dens]]=""),1,0)</f>
        <v>0</v>
      </c>
      <c r="Y1248">
        <f>IF(vp.tbl[[#This Row],[CrudeType]]="C5+",1,0)</f>
        <v>0</v>
      </c>
      <c r="Z1248">
        <f>IF(AND(vp.tbl[[#This Row],[CrudeType]]="Crude",vp.tbl[[#This Row],[Dens]]&lt;=825,vp.tbl[[#This Row],[Sulf]]&gt;0.5,vp.tbl[[#This Row],[Unknown]]=0),1,0)</f>
        <v>0</v>
      </c>
      <c r="AA1248">
        <f>IF(AND(vp.tbl[[#This Row],[CrudeType]]="Crude",vp.tbl[[#This Row],[Dens]]&lt;=825,vp.tbl[[#This Row],[Sulf]]&lt;=0.5,vp.tbl[[#This Row],[Unknown]]=0),1,0)</f>
        <v>1</v>
      </c>
      <c r="AB1248">
        <f>IF(AND(vp.tbl[[#This Row],[CrudeType]]="Crude",vp.tbl[[#This Row],[Dens]]&gt;825,vp.tbl[[#This Row],[Dens]]&lt;=870,vp.tbl[[#This Row],[Sulf]]&gt;0.5,vp.tbl[[#This Row],[Unknown]]=0),1,0)</f>
        <v>0</v>
      </c>
      <c r="AC1248">
        <f>IF(AND(vp.tbl[[#This Row],[CrudeType]]="Crude",vp.tbl[[#This Row],[Dens]]&gt;825,vp.tbl[[#This Row],[Dens]]&lt;=900,vp.tbl[[#This Row],[Sulf]]&lt;=0.5,vp.tbl[[#This Row],[Unknown]]=0),1,0)</f>
        <v>0</v>
      </c>
      <c r="AD1248">
        <f>IF(AND(vp.tbl[[#This Row],[CrudeType]]="Crude",vp.tbl[[#This Row],[Dens]]&gt;870,vp.tbl[[#This Row],[Dens]]&lt;=900,vp.tbl[[#This Row],[Sulf]]&gt;0.5,vp.tbl[[#This Row],[Unknown]]=0),1,0)</f>
        <v>0</v>
      </c>
      <c r="AE1248">
        <f>IF(AND(vp.tbl[[#This Row],[CrudeType]]="Crude",vp.tbl[[#This Row],[Dens]]&gt;900,vp.tbl[[#This Row],[Sulf]]&lt;=0.5,vp.tbl[[#This Row],[Unknown]]=0),1,0)</f>
        <v>0</v>
      </c>
      <c r="AF1248">
        <f>IF(AND(vp.tbl[[#This Row],[CrudeType]]="Crude",vp.tbl[[#This Row],[Dens]]&gt;900,vp.tbl[[#This Row],[Sulf]]&lt;=0.5,vp.tbl[[#This Row],[Unknown]]=0),1,0)</f>
        <v>0</v>
      </c>
      <c r="AG1248" t="str">
        <f>INDEX(vp.tbl[[#Headers],[Unknown]:[Heavy_SW]],MATCH(1,vp.tbl[[#This Row],[Unknown]:[Heavy_SW]],0))</f>
        <v>Light_SW</v>
      </c>
      <c r="AH1248" t="e">
        <f>INDEX([1]!crudeBD.lkup[Number],MATCH(vp.tbl[[#This Row],[Crude_Breakdown]],[1]!crudeBD.lkup[Crude Breakdown],0))</f>
        <v>#REF!</v>
      </c>
      <c r="AI1248">
        <f>MONTH(vp.tbl[[#This Row],[SDate]])</f>
        <v>4</v>
      </c>
      <c r="AJ1248" s="5">
        <f>IFERROR(vp.tbl[[#This Row],[Sulf]]*vp.tbl[[#This Row],[Net Dens]],"")</f>
        <v>44357676.514842607</v>
      </c>
      <c r="AK1248" s="5">
        <f>IFERROR(vp.tbl[[#This Row],[Dens]]*vp.tbl[[#This Row],[VolumeM3]],"")</f>
        <v>114619319.15980001</v>
      </c>
      <c r="AL1248" s="5">
        <f>IFERROR(vp.tbl[[#This Row],[VP]]*vp.tbl[[#This Row],[VolumeM3]],"")</f>
        <v>12657261.752200002</v>
      </c>
      <c r="AM1248" s="4">
        <f>IFERROR((vp.tbl[[#This Row],[VP]]-INDEX(crudeBD.lkup.complete[Mean_VP],MATCH(vp.tbl[[#This Row],[Crude_Breakdown]],crudeBD.lkup.complete[Crude Breakdown],0)))^2,"")</f>
        <v>7.0241621192437034</v>
      </c>
      <c r="AN1248" s="4">
        <f>IFERROR((vp.tbl[[#This Row],[Dens]]-INDEX(crudeBD.lkup.complete[Mean_Dens],MATCH(vp.tbl[[#This Row],[Crude_Breakdown]],crudeBD.lkup.complete[Crude Breakdown],0)))^2,"")</f>
        <v>33.506752418995376</v>
      </c>
      <c r="AO1248" s="4">
        <f>IFERROR((vp.tbl[[#This Row],[Sulf]]-INDEX(crudeBD.lkup.complete[Mean_Sulf],MATCH(vp.tbl[[#This Row],[Crude_Breakdown]],crudeBD.lkup.complete[Crude Breakdown],0)))^2,"")</f>
        <v>2.2728031295268902E-2</v>
      </c>
      <c r="AP1248">
        <f>IF(AND(vp.tbl[[#This Row],[SDate]]&gt;=DATE(YEAR(vp.tbl[[#This Row],[SDate]]),5,1),vp.tbl[[#This Row],[SDate]]&lt;=DATE(YEAR(vp.tbl[[#This Row],[SDate]]),9,15)),1,0)</f>
        <v>0</v>
      </c>
      <c r="AQ1248" s="15">
        <f>IF(vp.tbl[[#This Row],[SDate]]&lt;DATE(2016,12,1),0,1)</f>
        <v>1</v>
      </c>
    </row>
    <row r="1249" spans="1:43" x14ac:dyDescent="0.25">
      <c r="A1249">
        <v>1248</v>
      </c>
      <c r="B1249" t="s">
        <v>49</v>
      </c>
      <c r="C1249" t="s">
        <v>49</v>
      </c>
      <c r="D1249" t="s">
        <v>80</v>
      </c>
      <c r="F1249" s="1">
        <v>42844</v>
      </c>
      <c r="G1249" s="2">
        <v>88.7</v>
      </c>
      <c r="H1249" s="2">
        <v>0.495</v>
      </c>
      <c r="I1249" s="2">
        <v>0.495</v>
      </c>
      <c r="J1249" s="2">
        <v>19.2</v>
      </c>
      <c r="K1249" s="2">
        <v>8</v>
      </c>
      <c r="L1249" s="2">
        <v>814.5</v>
      </c>
      <c r="M1249" s="2">
        <v>814.5</v>
      </c>
      <c r="N1249" s="2">
        <f ca="1">INDEX(INDIRECT(_xlfn.CONCAT("weather.tbl[",N$1,"]")),MATCH(vp.tbl[[#This Row],[SDate]],weather.tbl[Date],0))</f>
        <v>6.75</v>
      </c>
      <c r="O1249" s="2">
        <f ca="1">INDEX(INDIRECT(_xlfn.CONCAT("weather.tbl[",O$1,"]")),MATCH(vp.tbl[[#This Row],[SDate]],weather.tbl[Date],0))</f>
        <v>5.2404761904761914</v>
      </c>
      <c r="P1249" s="2">
        <f ca="1">INDEX(INDIRECT(_xlfn.CONCAT("weather.tbl[",P$1,"]")),MATCH(vp.tbl[[#This Row],[SDate]],weather.tbl[Date],0))</f>
        <v>6.7</v>
      </c>
      <c r="Q1249" s="2">
        <f ca="1">INDEX(INDIRECT(_xlfn.CONCAT("weather.tbl[",Q$1,"]")),MATCH(vp.tbl[[#This Row],[SDate]],weather.tbl[Date],0))</f>
        <v>8.1999999999999993</v>
      </c>
      <c r="R1249" s="2">
        <f ca="1">INDEX(INDIRECT(_xlfn.CONCAT("weather.tbl[",R$1,"]")),MATCH(vp.tbl[[#This Row],[SDate]],weather.tbl[Date],0))</f>
        <v>6</v>
      </c>
      <c r="S1249" s="2">
        <f ca="1">INDEX(INDIRECT(_xlfn.CONCAT("weather.tbl[",S$1,"]")),MATCH(vp.tbl[[#This Row],[SDate]],weather.tbl[Date],0))</f>
        <v>7.2</v>
      </c>
      <c r="T1249" s="2">
        <f ca="1">INDEX(INDIRECT(_xlfn.CONCAT("weather.tbl[",T$1,"]")),MATCH(vp.tbl[[#This Row],[SDate]],weather.tbl[Date],0))</f>
        <v>5.4</v>
      </c>
      <c r="U1249" s="2">
        <f ca="1">INDEX(INDIRECT(_xlfn.CONCAT("weather.tbl[",U$1,"]")),MATCH(vp.tbl[[#This Row],[SDate]],weather.tbl[Date],0))</f>
        <v>7</v>
      </c>
      <c r="V1249" s="2">
        <v>21198.933000000001</v>
      </c>
      <c r="W1249" t="s">
        <v>48</v>
      </c>
      <c r="X1249">
        <f>IF(OR(vp.tbl[[#This Row],[Sulf]]="",vp.tbl[[#This Row],[Dens]]=""),1,0)</f>
        <v>0</v>
      </c>
      <c r="Y1249">
        <f>IF(vp.tbl[[#This Row],[CrudeType]]="C5+",1,0)</f>
        <v>0</v>
      </c>
      <c r="Z1249">
        <f>IF(AND(vp.tbl[[#This Row],[CrudeType]]="Crude",vp.tbl[[#This Row],[Dens]]&lt;=825,vp.tbl[[#This Row],[Sulf]]&gt;0.5,vp.tbl[[#This Row],[Unknown]]=0),1,0)</f>
        <v>0</v>
      </c>
      <c r="AA1249">
        <f>IF(AND(vp.tbl[[#This Row],[CrudeType]]="Crude",vp.tbl[[#This Row],[Dens]]&lt;=825,vp.tbl[[#This Row],[Sulf]]&lt;=0.5,vp.tbl[[#This Row],[Unknown]]=0),1,0)</f>
        <v>1</v>
      </c>
      <c r="AB1249">
        <f>IF(AND(vp.tbl[[#This Row],[CrudeType]]="Crude",vp.tbl[[#This Row],[Dens]]&gt;825,vp.tbl[[#This Row],[Dens]]&lt;=870,vp.tbl[[#This Row],[Sulf]]&gt;0.5,vp.tbl[[#This Row],[Unknown]]=0),1,0)</f>
        <v>0</v>
      </c>
      <c r="AC1249">
        <f>IF(AND(vp.tbl[[#This Row],[CrudeType]]="Crude",vp.tbl[[#This Row],[Dens]]&gt;825,vp.tbl[[#This Row],[Dens]]&lt;=900,vp.tbl[[#This Row],[Sulf]]&lt;=0.5,vp.tbl[[#This Row],[Unknown]]=0),1,0)</f>
        <v>0</v>
      </c>
      <c r="AD1249">
        <f>IF(AND(vp.tbl[[#This Row],[CrudeType]]="Crude",vp.tbl[[#This Row],[Dens]]&gt;870,vp.tbl[[#This Row],[Dens]]&lt;=900,vp.tbl[[#This Row],[Sulf]]&gt;0.5,vp.tbl[[#This Row],[Unknown]]=0),1,0)</f>
        <v>0</v>
      </c>
      <c r="AE1249">
        <f>IF(AND(vp.tbl[[#This Row],[CrudeType]]="Crude",vp.tbl[[#This Row],[Dens]]&gt;900,vp.tbl[[#This Row],[Sulf]]&lt;=0.5,vp.tbl[[#This Row],[Unknown]]=0),1,0)</f>
        <v>0</v>
      </c>
      <c r="AF1249">
        <f>IF(AND(vp.tbl[[#This Row],[CrudeType]]="Crude",vp.tbl[[#This Row],[Dens]]&gt;900,vp.tbl[[#This Row],[Sulf]]&lt;=0.5,vp.tbl[[#This Row],[Unknown]]=0),1,0)</f>
        <v>0</v>
      </c>
      <c r="AG1249" t="str">
        <f>INDEX(vp.tbl[[#Headers],[Unknown]:[Heavy_SW]],MATCH(1,vp.tbl[[#This Row],[Unknown]:[Heavy_SW]],0))</f>
        <v>Light_SW</v>
      </c>
      <c r="AH1249" t="e">
        <f>INDEX([1]!crudeBD.lkup[Number],MATCH(vp.tbl[[#This Row],[Crude_Breakdown]],[1]!crudeBD.lkup[Crude Breakdown],0))</f>
        <v>#REF!</v>
      </c>
      <c r="AI1249">
        <f>MONTH(vp.tbl[[#This Row],[SDate]])</f>
        <v>4</v>
      </c>
      <c r="AJ1249" s="5">
        <f>IFERROR(vp.tbl[[#This Row],[Sulf]]*vp.tbl[[#This Row],[Net Dens]],"")</f>
        <v>8546932.8096075002</v>
      </c>
      <c r="AK1249" s="5">
        <f>IFERROR(vp.tbl[[#This Row],[Dens]]*vp.tbl[[#This Row],[VolumeM3]],"")</f>
        <v>17266530.9285</v>
      </c>
      <c r="AL1249" s="5">
        <f>IFERROR(vp.tbl[[#This Row],[VP]]*vp.tbl[[#This Row],[VolumeM3]],"")</f>
        <v>1880345.3571000001</v>
      </c>
      <c r="AM1249" s="4">
        <f>IFERROR((vp.tbl[[#This Row],[VP]]-INDEX(crudeBD.lkup.complete[Mean_VP],MATCH(vp.tbl[[#This Row],[Crude_Breakdown]],crudeBD.lkup.complete[Crude Breakdown],0)))^2,"")</f>
        <v>14.824914732484059</v>
      </c>
      <c r="AN1249" s="4">
        <f>IFERROR((vp.tbl[[#This Row],[Dens]]-INDEX(crudeBD.lkup.complete[Mean_Dens],MATCH(vp.tbl[[#This Row],[Crude_Breakdown]],crudeBD.lkup.complete[Crude Breakdown],0)))^2,"")</f>
        <v>38.297553812723507</v>
      </c>
      <c r="AO1249" s="4">
        <f>IFERROR((vp.tbl[[#This Row],[Sulf]]-INDEX(crudeBD.lkup.complete[Mean_Sulf],MATCH(vp.tbl[[#This Row],[Crude_Breakdown]],crudeBD.lkup.complete[Crude Breakdown],0)))^2,"")</f>
        <v>6.6955799936383911E-2</v>
      </c>
      <c r="AP1249">
        <f>IF(AND(vp.tbl[[#This Row],[SDate]]&gt;=DATE(YEAR(vp.tbl[[#This Row],[SDate]]),5,1),vp.tbl[[#This Row],[SDate]]&lt;=DATE(YEAR(vp.tbl[[#This Row],[SDate]]),9,15)),1,0)</f>
        <v>0</v>
      </c>
      <c r="AQ1249" s="15">
        <f>IF(vp.tbl[[#This Row],[SDate]]&lt;DATE(2016,12,1),0,1)</f>
        <v>1</v>
      </c>
    </row>
    <row r="1250" spans="1:43" x14ac:dyDescent="0.25">
      <c r="A1250">
        <v>1249</v>
      </c>
      <c r="B1250" t="s">
        <v>49</v>
      </c>
      <c r="C1250" t="s">
        <v>49</v>
      </c>
      <c r="D1250" t="s">
        <v>89</v>
      </c>
      <c r="F1250" s="1">
        <v>42844</v>
      </c>
      <c r="G1250" s="2">
        <v>92.1</v>
      </c>
      <c r="H1250" s="2">
        <v>0.59699999999999998</v>
      </c>
      <c r="I1250" s="2">
        <v>0.59699999999999998</v>
      </c>
      <c r="J1250" s="2">
        <v>10.199999999999999</v>
      </c>
      <c r="K1250" s="2">
        <v>8</v>
      </c>
      <c r="L1250" s="2">
        <v>813.4</v>
      </c>
      <c r="M1250" s="2">
        <v>813.4</v>
      </c>
      <c r="N1250" s="2">
        <f ca="1">INDEX(INDIRECT(_xlfn.CONCAT("weather.tbl[",N$1,"]")),MATCH(vp.tbl[[#This Row],[SDate]],weather.tbl[Date],0))</f>
        <v>6.75</v>
      </c>
      <c r="O1250" s="2">
        <f ca="1">INDEX(INDIRECT(_xlfn.CONCAT("weather.tbl[",O$1,"]")),MATCH(vp.tbl[[#This Row],[SDate]],weather.tbl[Date],0))</f>
        <v>5.2404761904761914</v>
      </c>
      <c r="P1250" s="2">
        <f ca="1">INDEX(INDIRECT(_xlfn.CONCAT("weather.tbl[",P$1,"]")),MATCH(vp.tbl[[#This Row],[SDate]],weather.tbl[Date],0))</f>
        <v>6.7</v>
      </c>
      <c r="Q1250" s="2">
        <f ca="1">INDEX(INDIRECT(_xlfn.CONCAT("weather.tbl[",Q$1,"]")),MATCH(vp.tbl[[#This Row],[SDate]],weather.tbl[Date],0))</f>
        <v>8.1999999999999993</v>
      </c>
      <c r="R1250" s="2">
        <f ca="1">INDEX(INDIRECT(_xlfn.CONCAT("weather.tbl[",R$1,"]")),MATCH(vp.tbl[[#This Row],[SDate]],weather.tbl[Date],0))</f>
        <v>6</v>
      </c>
      <c r="S1250" s="2">
        <f ca="1">INDEX(INDIRECT(_xlfn.CONCAT("weather.tbl[",S$1,"]")),MATCH(vp.tbl[[#This Row],[SDate]],weather.tbl[Date],0))</f>
        <v>7.2</v>
      </c>
      <c r="T1250" s="2">
        <f ca="1">INDEX(INDIRECT(_xlfn.CONCAT("weather.tbl[",T$1,"]")),MATCH(vp.tbl[[#This Row],[SDate]],weather.tbl[Date],0))</f>
        <v>5.4</v>
      </c>
      <c r="U1250" s="2">
        <f ca="1">INDEX(INDIRECT(_xlfn.CONCAT("weather.tbl[",U$1,"]")),MATCH(vp.tbl[[#This Row],[SDate]],weather.tbl[Date],0))</f>
        <v>7</v>
      </c>
      <c r="V1250" s="2">
        <v>6439.6459999999997</v>
      </c>
      <c r="W1250" t="s">
        <v>48</v>
      </c>
      <c r="X1250">
        <f>IF(OR(vp.tbl[[#This Row],[Sulf]]="",vp.tbl[[#This Row],[Dens]]=""),1,0)</f>
        <v>0</v>
      </c>
      <c r="Y1250">
        <f>IF(vp.tbl[[#This Row],[CrudeType]]="C5+",1,0)</f>
        <v>0</v>
      </c>
      <c r="Z1250">
        <f>IF(AND(vp.tbl[[#This Row],[CrudeType]]="Crude",vp.tbl[[#This Row],[Dens]]&lt;=825,vp.tbl[[#This Row],[Sulf]]&gt;0.5,vp.tbl[[#This Row],[Unknown]]=0),1,0)</f>
        <v>1</v>
      </c>
      <c r="AA1250">
        <f>IF(AND(vp.tbl[[#This Row],[CrudeType]]="Crude",vp.tbl[[#This Row],[Dens]]&lt;=825,vp.tbl[[#This Row],[Sulf]]&lt;=0.5,vp.tbl[[#This Row],[Unknown]]=0),1,0)</f>
        <v>0</v>
      </c>
      <c r="AB1250">
        <f>IF(AND(vp.tbl[[#This Row],[CrudeType]]="Crude",vp.tbl[[#This Row],[Dens]]&gt;825,vp.tbl[[#This Row],[Dens]]&lt;=870,vp.tbl[[#This Row],[Sulf]]&gt;0.5,vp.tbl[[#This Row],[Unknown]]=0),1,0)</f>
        <v>0</v>
      </c>
      <c r="AC1250">
        <f>IF(AND(vp.tbl[[#This Row],[CrudeType]]="Crude",vp.tbl[[#This Row],[Dens]]&gt;825,vp.tbl[[#This Row],[Dens]]&lt;=900,vp.tbl[[#This Row],[Sulf]]&lt;=0.5,vp.tbl[[#This Row],[Unknown]]=0),1,0)</f>
        <v>0</v>
      </c>
      <c r="AD1250">
        <f>IF(AND(vp.tbl[[#This Row],[CrudeType]]="Crude",vp.tbl[[#This Row],[Dens]]&gt;870,vp.tbl[[#This Row],[Dens]]&lt;=900,vp.tbl[[#This Row],[Sulf]]&gt;0.5,vp.tbl[[#This Row],[Unknown]]=0),1,0)</f>
        <v>0</v>
      </c>
      <c r="AE1250">
        <f>IF(AND(vp.tbl[[#This Row],[CrudeType]]="Crude",vp.tbl[[#This Row],[Dens]]&gt;900,vp.tbl[[#This Row],[Sulf]]&lt;=0.5,vp.tbl[[#This Row],[Unknown]]=0),1,0)</f>
        <v>0</v>
      </c>
      <c r="AF1250">
        <f>IF(AND(vp.tbl[[#This Row],[CrudeType]]="Crude",vp.tbl[[#This Row],[Dens]]&gt;900,vp.tbl[[#This Row],[Sulf]]&lt;=0.5,vp.tbl[[#This Row],[Unknown]]=0),1,0)</f>
        <v>0</v>
      </c>
      <c r="AG1250" t="str">
        <f>INDEX(vp.tbl[[#Headers],[Unknown]:[Heavy_SW]],MATCH(1,vp.tbl[[#This Row],[Unknown]:[Heavy_SW]],0))</f>
        <v>Light_LSB</v>
      </c>
      <c r="AH1250" t="e">
        <f>INDEX([1]!crudeBD.lkup[Number],MATCH(vp.tbl[[#This Row],[Crude_Breakdown]],[1]!crudeBD.lkup[Crude Breakdown],0))</f>
        <v>#REF!</v>
      </c>
      <c r="AI1250">
        <f>MONTH(vp.tbl[[#This Row],[SDate]])</f>
        <v>4</v>
      </c>
      <c r="AJ1250" s="5">
        <f>IFERROR(vp.tbl[[#This Row],[Sulf]]*vp.tbl[[#This Row],[Net Dens]],"")</f>
        <v>3127090.8096707994</v>
      </c>
      <c r="AK1250" s="5">
        <f>IFERROR(vp.tbl[[#This Row],[Dens]]*vp.tbl[[#This Row],[VolumeM3]],"")</f>
        <v>5238008.0563999992</v>
      </c>
      <c r="AL1250" s="5">
        <f>IFERROR(vp.tbl[[#This Row],[VP]]*vp.tbl[[#This Row],[VolumeM3]],"")</f>
        <v>593091.39659999998</v>
      </c>
      <c r="AM1250" s="4">
        <f>IFERROR((vp.tbl[[#This Row],[VP]]-INDEX(crudeBD.lkup.complete[Mean_VP],MATCH(vp.tbl[[#This Row],[Crude_Breakdown]],crudeBD.lkup.complete[Crude Breakdown],0)))^2,"")</f>
        <v>0.30671042618765187</v>
      </c>
      <c r="AN1250" s="4">
        <f>IFERROR((vp.tbl[[#This Row],[Dens]]-INDEX(crudeBD.lkup.complete[Mean_Dens],MATCH(vp.tbl[[#This Row],[Crude_Breakdown]],crudeBD.lkup.complete[Crude Breakdown],0)))^2,"")</f>
        <v>26.181332771220788</v>
      </c>
      <c r="AO1250" s="4">
        <f>IFERROR((vp.tbl[[#This Row],[Sulf]]-INDEX(crudeBD.lkup.complete[Mean_Sulf],MATCH(vp.tbl[[#This Row],[Crude_Breakdown]],crudeBD.lkup.complete[Crude Breakdown],0)))^2,"")</f>
        <v>0.10625720261820346</v>
      </c>
      <c r="AP1250">
        <f>IF(AND(vp.tbl[[#This Row],[SDate]]&gt;=DATE(YEAR(vp.tbl[[#This Row],[SDate]]),5,1),vp.tbl[[#This Row],[SDate]]&lt;=DATE(YEAR(vp.tbl[[#This Row],[SDate]]),9,15)),1,0)</f>
        <v>0</v>
      </c>
      <c r="AQ1250" s="15">
        <f>IF(vp.tbl[[#This Row],[SDate]]&lt;DATE(2016,12,1),0,1)</f>
        <v>1</v>
      </c>
    </row>
    <row r="1251" spans="1:43" x14ac:dyDescent="0.25">
      <c r="A1251">
        <v>1250</v>
      </c>
      <c r="B1251" t="s">
        <v>49</v>
      </c>
      <c r="C1251" t="s">
        <v>49</v>
      </c>
      <c r="D1251" t="s">
        <v>100</v>
      </c>
      <c r="F1251" s="1">
        <v>42844</v>
      </c>
      <c r="G1251" s="2">
        <v>85</v>
      </c>
      <c r="H1251" s="2">
        <v>0.74399999999999999</v>
      </c>
      <c r="I1251" s="2">
        <v>0.74399999999999999</v>
      </c>
      <c r="J1251" s="2">
        <v>19.899999999999999</v>
      </c>
      <c r="K1251" s="2">
        <v>8</v>
      </c>
      <c r="L1251" s="2">
        <v>824</v>
      </c>
      <c r="M1251" s="2">
        <v>824</v>
      </c>
      <c r="N1251" s="2">
        <f ca="1">INDEX(INDIRECT(_xlfn.CONCAT("weather.tbl[",N$1,"]")),MATCH(vp.tbl[[#This Row],[SDate]],weather.tbl[Date],0))</f>
        <v>6.75</v>
      </c>
      <c r="O1251" s="2">
        <f ca="1">INDEX(INDIRECT(_xlfn.CONCAT("weather.tbl[",O$1,"]")),MATCH(vp.tbl[[#This Row],[SDate]],weather.tbl[Date],0))</f>
        <v>5.2404761904761914</v>
      </c>
      <c r="P1251" s="2">
        <f ca="1">INDEX(INDIRECT(_xlfn.CONCAT("weather.tbl[",P$1,"]")),MATCH(vp.tbl[[#This Row],[SDate]],weather.tbl[Date],0))</f>
        <v>6.7</v>
      </c>
      <c r="Q1251" s="2">
        <f ca="1">INDEX(INDIRECT(_xlfn.CONCAT("weather.tbl[",Q$1,"]")),MATCH(vp.tbl[[#This Row],[SDate]],weather.tbl[Date],0))</f>
        <v>8.1999999999999993</v>
      </c>
      <c r="R1251" s="2">
        <f ca="1">INDEX(INDIRECT(_xlfn.CONCAT("weather.tbl[",R$1,"]")),MATCH(vp.tbl[[#This Row],[SDate]],weather.tbl[Date],0))</f>
        <v>6</v>
      </c>
      <c r="S1251" s="2">
        <f ca="1">INDEX(INDIRECT(_xlfn.CONCAT("weather.tbl[",S$1,"]")),MATCH(vp.tbl[[#This Row],[SDate]],weather.tbl[Date],0))</f>
        <v>7.2</v>
      </c>
      <c r="T1251" s="2">
        <f ca="1">INDEX(INDIRECT(_xlfn.CONCAT("weather.tbl[",T$1,"]")),MATCH(vp.tbl[[#This Row],[SDate]],weather.tbl[Date],0))</f>
        <v>5.4</v>
      </c>
      <c r="U1251" s="2">
        <f ca="1">INDEX(INDIRECT(_xlfn.CONCAT("weather.tbl[",U$1,"]")),MATCH(vp.tbl[[#This Row],[SDate]],weather.tbl[Date],0))</f>
        <v>7</v>
      </c>
      <c r="V1251" s="2">
        <v>13068.535</v>
      </c>
      <c r="W1251" t="s">
        <v>48</v>
      </c>
      <c r="X1251">
        <f>IF(OR(vp.tbl[[#This Row],[Sulf]]="",vp.tbl[[#This Row],[Dens]]=""),1,0)</f>
        <v>0</v>
      </c>
      <c r="Y1251">
        <f>IF(vp.tbl[[#This Row],[CrudeType]]="C5+",1,0)</f>
        <v>0</v>
      </c>
      <c r="Z1251">
        <f>IF(AND(vp.tbl[[#This Row],[CrudeType]]="Crude",vp.tbl[[#This Row],[Dens]]&lt;=825,vp.tbl[[#This Row],[Sulf]]&gt;0.5,vp.tbl[[#This Row],[Unknown]]=0),1,0)</f>
        <v>1</v>
      </c>
      <c r="AA1251">
        <f>IF(AND(vp.tbl[[#This Row],[CrudeType]]="Crude",vp.tbl[[#This Row],[Dens]]&lt;=825,vp.tbl[[#This Row],[Sulf]]&lt;=0.5,vp.tbl[[#This Row],[Unknown]]=0),1,0)</f>
        <v>0</v>
      </c>
      <c r="AB1251">
        <f>IF(AND(vp.tbl[[#This Row],[CrudeType]]="Crude",vp.tbl[[#This Row],[Dens]]&gt;825,vp.tbl[[#This Row],[Dens]]&lt;=870,vp.tbl[[#This Row],[Sulf]]&gt;0.5,vp.tbl[[#This Row],[Unknown]]=0),1,0)</f>
        <v>0</v>
      </c>
      <c r="AC1251">
        <f>IF(AND(vp.tbl[[#This Row],[CrudeType]]="Crude",vp.tbl[[#This Row],[Dens]]&gt;825,vp.tbl[[#This Row],[Dens]]&lt;=900,vp.tbl[[#This Row],[Sulf]]&lt;=0.5,vp.tbl[[#This Row],[Unknown]]=0),1,0)</f>
        <v>0</v>
      </c>
      <c r="AD1251">
        <f>IF(AND(vp.tbl[[#This Row],[CrudeType]]="Crude",vp.tbl[[#This Row],[Dens]]&gt;870,vp.tbl[[#This Row],[Dens]]&lt;=900,vp.tbl[[#This Row],[Sulf]]&gt;0.5,vp.tbl[[#This Row],[Unknown]]=0),1,0)</f>
        <v>0</v>
      </c>
      <c r="AE1251">
        <f>IF(AND(vp.tbl[[#This Row],[CrudeType]]="Crude",vp.tbl[[#This Row],[Dens]]&gt;900,vp.tbl[[#This Row],[Sulf]]&lt;=0.5,vp.tbl[[#This Row],[Unknown]]=0),1,0)</f>
        <v>0</v>
      </c>
      <c r="AF1251">
        <f>IF(AND(vp.tbl[[#This Row],[CrudeType]]="Crude",vp.tbl[[#This Row],[Dens]]&gt;900,vp.tbl[[#This Row],[Sulf]]&lt;=0.5,vp.tbl[[#This Row],[Unknown]]=0),1,0)</f>
        <v>0</v>
      </c>
      <c r="AG1251" t="str">
        <f>INDEX(vp.tbl[[#Headers],[Unknown]:[Heavy_SW]],MATCH(1,vp.tbl[[#This Row],[Unknown]:[Heavy_SW]],0))</f>
        <v>Light_LSB</v>
      </c>
      <c r="AH1251" t="e">
        <f>INDEX([1]!crudeBD.lkup[Number],MATCH(vp.tbl[[#This Row],[Crude_Breakdown]],[1]!crudeBD.lkup[Crude Breakdown],0))</f>
        <v>#REF!</v>
      </c>
      <c r="AI1251">
        <f>MONTH(vp.tbl[[#This Row],[SDate]])</f>
        <v>4</v>
      </c>
      <c r="AJ1251" s="5">
        <f>IFERROR(vp.tbl[[#This Row],[Sulf]]*vp.tbl[[#This Row],[Net Dens]],"")</f>
        <v>8011743.7929600002</v>
      </c>
      <c r="AK1251" s="5">
        <f>IFERROR(vp.tbl[[#This Row],[Dens]]*vp.tbl[[#This Row],[VolumeM3]],"")</f>
        <v>10768472.84</v>
      </c>
      <c r="AL1251" s="5">
        <f>IFERROR(vp.tbl[[#This Row],[VP]]*vp.tbl[[#This Row],[VolumeM3]],"")</f>
        <v>1110825.4750000001</v>
      </c>
      <c r="AM1251" s="4">
        <f>IFERROR((vp.tbl[[#This Row],[VP]]-INDEX(crudeBD.lkup.complete[Mean_VP],MATCH(vp.tbl[[#This Row],[Crude_Breakdown]],crudeBD.lkup.complete[Crude Breakdown],0)))^2,"")</f>
        <v>42.852545477734495</v>
      </c>
      <c r="AN1251" s="4">
        <f>IFERROR((vp.tbl[[#This Row],[Dens]]-INDEX(crudeBD.lkup.complete[Mean_Dens],MATCH(vp.tbl[[#This Row],[Crude_Breakdown]],crudeBD.lkup.complete[Crude Breakdown],0)))^2,"")</f>
        <v>30.06581387088357</v>
      </c>
      <c r="AO1251" s="4">
        <f>IFERROR((vp.tbl[[#This Row],[Sulf]]-INDEX(crudeBD.lkup.complete[Mean_Sulf],MATCH(vp.tbl[[#This Row],[Crude_Breakdown]],crudeBD.lkup.complete[Crude Breakdown],0)))^2,"")</f>
        <v>3.2030679113048882E-2</v>
      </c>
      <c r="AP1251">
        <f>IF(AND(vp.tbl[[#This Row],[SDate]]&gt;=DATE(YEAR(vp.tbl[[#This Row],[SDate]]),5,1),vp.tbl[[#This Row],[SDate]]&lt;=DATE(YEAR(vp.tbl[[#This Row],[SDate]]),9,15)),1,0)</f>
        <v>0</v>
      </c>
      <c r="AQ1251" s="15">
        <f>IF(vp.tbl[[#This Row],[SDate]]&lt;DATE(2016,12,1),0,1)</f>
        <v>1</v>
      </c>
    </row>
    <row r="1252" spans="1:43" x14ac:dyDescent="0.25">
      <c r="A1252">
        <v>1251</v>
      </c>
      <c r="B1252" t="s">
        <v>49</v>
      </c>
      <c r="C1252" t="s">
        <v>49</v>
      </c>
      <c r="D1252" t="s">
        <v>90</v>
      </c>
      <c r="F1252" s="1">
        <v>42844</v>
      </c>
      <c r="G1252" s="2">
        <v>67.3</v>
      </c>
      <c r="H1252" s="2">
        <v>1.1919999999999999</v>
      </c>
      <c r="I1252" s="2">
        <v>1.1919999999999999</v>
      </c>
      <c r="J1252" s="2">
        <v>34</v>
      </c>
      <c r="K1252" s="2">
        <v>8</v>
      </c>
      <c r="L1252" s="2">
        <v>843.5</v>
      </c>
      <c r="M1252" s="2">
        <v>843.5</v>
      </c>
      <c r="N1252" s="2">
        <f ca="1">INDEX(INDIRECT(_xlfn.CONCAT("weather.tbl[",N$1,"]")),MATCH(vp.tbl[[#This Row],[SDate]],weather.tbl[Date],0))</f>
        <v>6.75</v>
      </c>
      <c r="O1252" s="2">
        <f ca="1">INDEX(INDIRECT(_xlfn.CONCAT("weather.tbl[",O$1,"]")),MATCH(vp.tbl[[#This Row],[SDate]],weather.tbl[Date],0))</f>
        <v>5.2404761904761914</v>
      </c>
      <c r="P1252" s="2">
        <f ca="1">INDEX(INDIRECT(_xlfn.CONCAT("weather.tbl[",P$1,"]")),MATCH(vp.tbl[[#This Row],[SDate]],weather.tbl[Date],0))</f>
        <v>6.7</v>
      </c>
      <c r="Q1252" s="2">
        <f ca="1">INDEX(INDIRECT(_xlfn.CONCAT("weather.tbl[",Q$1,"]")),MATCH(vp.tbl[[#This Row],[SDate]],weather.tbl[Date],0))</f>
        <v>8.1999999999999993</v>
      </c>
      <c r="R1252" s="2">
        <f ca="1">INDEX(INDIRECT(_xlfn.CONCAT("weather.tbl[",R$1,"]")),MATCH(vp.tbl[[#This Row],[SDate]],weather.tbl[Date],0))</f>
        <v>6</v>
      </c>
      <c r="S1252" s="2">
        <f ca="1">INDEX(INDIRECT(_xlfn.CONCAT("weather.tbl[",S$1,"]")),MATCH(vp.tbl[[#This Row],[SDate]],weather.tbl[Date],0))</f>
        <v>7.2</v>
      </c>
      <c r="T1252" s="2">
        <f ca="1">INDEX(INDIRECT(_xlfn.CONCAT("weather.tbl[",T$1,"]")),MATCH(vp.tbl[[#This Row],[SDate]],weather.tbl[Date],0))</f>
        <v>5.4</v>
      </c>
      <c r="U1252" s="2">
        <f ca="1">INDEX(INDIRECT(_xlfn.CONCAT("weather.tbl[",U$1,"]")),MATCH(vp.tbl[[#This Row],[SDate]],weather.tbl[Date],0))</f>
        <v>7</v>
      </c>
      <c r="V1252" s="2">
        <v>4080.2460000000001</v>
      </c>
      <c r="W1252" t="s">
        <v>48</v>
      </c>
      <c r="X1252">
        <f>IF(OR(vp.tbl[[#This Row],[Sulf]]="",vp.tbl[[#This Row],[Dens]]=""),1,0)</f>
        <v>0</v>
      </c>
      <c r="Y1252">
        <f>IF(vp.tbl[[#This Row],[CrudeType]]="C5+",1,0)</f>
        <v>0</v>
      </c>
      <c r="Z1252">
        <f>IF(AND(vp.tbl[[#This Row],[CrudeType]]="Crude",vp.tbl[[#This Row],[Dens]]&lt;=825,vp.tbl[[#This Row],[Sulf]]&gt;0.5,vp.tbl[[#This Row],[Unknown]]=0),1,0)</f>
        <v>0</v>
      </c>
      <c r="AA1252">
        <f>IF(AND(vp.tbl[[#This Row],[CrudeType]]="Crude",vp.tbl[[#This Row],[Dens]]&lt;=825,vp.tbl[[#This Row],[Sulf]]&lt;=0.5,vp.tbl[[#This Row],[Unknown]]=0),1,0)</f>
        <v>0</v>
      </c>
      <c r="AB1252">
        <f>IF(AND(vp.tbl[[#This Row],[CrudeType]]="Crude",vp.tbl[[#This Row],[Dens]]&gt;825,vp.tbl[[#This Row],[Dens]]&lt;=870,vp.tbl[[#This Row],[Sulf]]&gt;0.5,vp.tbl[[#This Row],[Unknown]]=0),1,0)</f>
        <v>1</v>
      </c>
      <c r="AC1252">
        <f>IF(AND(vp.tbl[[#This Row],[CrudeType]]="Crude",vp.tbl[[#This Row],[Dens]]&gt;825,vp.tbl[[#This Row],[Dens]]&lt;=900,vp.tbl[[#This Row],[Sulf]]&lt;=0.5,vp.tbl[[#This Row],[Unknown]]=0),1,0)</f>
        <v>0</v>
      </c>
      <c r="AD1252">
        <f>IF(AND(vp.tbl[[#This Row],[CrudeType]]="Crude",vp.tbl[[#This Row],[Dens]]&gt;870,vp.tbl[[#This Row],[Dens]]&lt;=900,vp.tbl[[#This Row],[Sulf]]&gt;0.5,vp.tbl[[#This Row],[Unknown]]=0),1,0)</f>
        <v>0</v>
      </c>
      <c r="AE1252">
        <f>IF(AND(vp.tbl[[#This Row],[CrudeType]]="Crude",vp.tbl[[#This Row],[Dens]]&gt;900,vp.tbl[[#This Row],[Sulf]]&lt;=0.5,vp.tbl[[#This Row],[Unknown]]=0),1,0)</f>
        <v>0</v>
      </c>
      <c r="AF1252">
        <f>IF(AND(vp.tbl[[#This Row],[CrudeType]]="Crude",vp.tbl[[#This Row],[Dens]]&gt;900,vp.tbl[[#This Row],[Sulf]]&lt;=0.5,vp.tbl[[#This Row],[Unknown]]=0),1,0)</f>
        <v>0</v>
      </c>
      <c r="AG1252" t="str">
        <f>INDEX(vp.tbl[[#Headers],[Unknown]:[Heavy_SW]],MATCH(1,vp.tbl[[#This Row],[Unknown]:[Heavy_SW]],0))</f>
        <v>Medium_LSB</v>
      </c>
      <c r="AH1252" t="e">
        <f>INDEX([1]!crudeBD.lkup[Number],MATCH(vp.tbl[[#This Row],[Crude_Breakdown]],[1]!crudeBD.lkup[Crude Breakdown],0))</f>
        <v>#REF!</v>
      </c>
      <c r="AI1252">
        <f>MONTH(vp.tbl[[#This Row],[SDate]])</f>
        <v>4</v>
      </c>
      <c r="AJ1252" s="5">
        <f>IFERROR(vp.tbl[[#This Row],[Sulf]]*vp.tbl[[#This Row],[Net Dens]],"")</f>
        <v>4102491.5011920002</v>
      </c>
      <c r="AK1252" s="5">
        <f>IFERROR(vp.tbl[[#This Row],[Dens]]*vp.tbl[[#This Row],[VolumeM3]],"")</f>
        <v>3441687.5010000002</v>
      </c>
      <c r="AL1252" s="5">
        <f>IFERROR(vp.tbl[[#This Row],[VP]]*vp.tbl[[#This Row],[VolumeM3]],"")</f>
        <v>274600.55579999997</v>
      </c>
      <c r="AM1252" s="4">
        <f>IFERROR((vp.tbl[[#This Row],[VP]]-INDEX(crudeBD.lkup.complete[Mean_VP],MATCH(vp.tbl[[#This Row],[Crude_Breakdown]],crudeBD.lkup.complete[Crude Breakdown],0)))^2,"")</f>
        <v>165.72944659445514</v>
      </c>
      <c r="AN1252" s="4">
        <f>IFERROR((vp.tbl[[#This Row],[Dens]]-INDEX(crudeBD.lkup.complete[Mean_Dens],MATCH(vp.tbl[[#This Row],[Crude_Breakdown]],crudeBD.lkup.complete[Crude Breakdown],0)))^2,"")</f>
        <v>3.2106288921611883</v>
      </c>
      <c r="AO1252" s="4">
        <f>IFERROR((vp.tbl[[#This Row],[Sulf]]-INDEX(crudeBD.lkup.complete[Mean_Sulf],MATCH(vp.tbl[[#This Row],[Crude_Breakdown]],crudeBD.lkup.complete[Crude Breakdown],0)))^2,"")</f>
        <v>6.9132111679007541E-2</v>
      </c>
      <c r="AP1252">
        <f>IF(AND(vp.tbl[[#This Row],[SDate]]&gt;=DATE(YEAR(vp.tbl[[#This Row],[SDate]]),5,1),vp.tbl[[#This Row],[SDate]]&lt;=DATE(YEAR(vp.tbl[[#This Row],[SDate]]),9,15)),1,0)</f>
        <v>0</v>
      </c>
      <c r="AQ1252" s="15">
        <f>IF(vp.tbl[[#This Row],[SDate]]&lt;DATE(2016,12,1),0,1)</f>
        <v>1</v>
      </c>
    </row>
    <row r="1253" spans="1:43" x14ac:dyDescent="0.25">
      <c r="A1253">
        <v>1252</v>
      </c>
      <c r="B1253" t="s">
        <v>51</v>
      </c>
      <c r="C1253" t="s">
        <v>51</v>
      </c>
      <c r="D1253" t="s">
        <v>52</v>
      </c>
      <c r="F1253" s="1">
        <v>42844</v>
      </c>
      <c r="G1253" s="2">
        <v>73.099999999999994</v>
      </c>
      <c r="H1253" s="2">
        <v>2.3559999999999999</v>
      </c>
      <c r="I1253" s="2">
        <v>2.3559999999999999</v>
      </c>
      <c r="J1253" s="2">
        <v>33.700000000000003</v>
      </c>
      <c r="K1253" s="2">
        <v>8</v>
      </c>
      <c r="L1253" s="2">
        <v>871.5</v>
      </c>
      <c r="M1253" s="2">
        <v>871.5</v>
      </c>
      <c r="N1253" s="2">
        <f ca="1">INDEX(INDIRECT(_xlfn.CONCAT("weather.tbl[",N$1,"]")),MATCH(vp.tbl[[#This Row],[SDate]],weather.tbl[Date],0))</f>
        <v>6.75</v>
      </c>
      <c r="O1253" s="2">
        <f ca="1">INDEX(INDIRECT(_xlfn.CONCAT("weather.tbl[",O$1,"]")),MATCH(vp.tbl[[#This Row],[SDate]],weather.tbl[Date],0))</f>
        <v>5.2404761904761914</v>
      </c>
      <c r="P1253" s="2">
        <f ca="1">INDEX(INDIRECT(_xlfn.CONCAT("weather.tbl[",P$1,"]")),MATCH(vp.tbl[[#This Row],[SDate]],weather.tbl[Date],0))</f>
        <v>6.7</v>
      </c>
      <c r="Q1253" s="2">
        <f ca="1">INDEX(INDIRECT(_xlfn.CONCAT("weather.tbl[",Q$1,"]")),MATCH(vp.tbl[[#This Row],[SDate]],weather.tbl[Date],0))</f>
        <v>8.1999999999999993</v>
      </c>
      <c r="R1253" s="2">
        <f ca="1">INDEX(INDIRECT(_xlfn.CONCAT("weather.tbl[",R$1,"]")),MATCH(vp.tbl[[#This Row],[SDate]],weather.tbl[Date],0))</f>
        <v>6</v>
      </c>
      <c r="S1253" s="2">
        <f ca="1">INDEX(INDIRECT(_xlfn.CONCAT("weather.tbl[",S$1,"]")),MATCH(vp.tbl[[#This Row],[SDate]],weather.tbl[Date],0))</f>
        <v>7.2</v>
      </c>
      <c r="T1253" s="2">
        <f ca="1">INDEX(INDIRECT(_xlfn.CONCAT("weather.tbl[",T$1,"]")),MATCH(vp.tbl[[#This Row],[SDate]],weather.tbl[Date],0))</f>
        <v>5.4</v>
      </c>
      <c r="U1253" s="2">
        <f ca="1">INDEX(INDIRECT(_xlfn.CONCAT("weather.tbl[",U$1,"]")),MATCH(vp.tbl[[#This Row],[SDate]],weather.tbl[Date],0))</f>
        <v>7</v>
      </c>
      <c r="V1253" s="2">
        <v>7160.7740000000003</v>
      </c>
      <c r="W1253" t="s">
        <v>48</v>
      </c>
      <c r="X1253">
        <f>IF(OR(vp.tbl[[#This Row],[Sulf]]="",vp.tbl[[#This Row],[Dens]]=""),1,0)</f>
        <v>0</v>
      </c>
      <c r="Y1253">
        <f>IF(vp.tbl[[#This Row],[CrudeType]]="C5+",1,0)</f>
        <v>0</v>
      </c>
      <c r="Z1253">
        <f>IF(AND(vp.tbl[[#This Row],[CrudeType]]="Crude",vp.tbl[[#This Row],[Dens]]&lt;=825,vp.tbl[[#This Row],[Sulf]]&gt;0.5,vp.tbl[[#This Row],[Unknown]]=0),1,0)</f>
        <v>0</v>
      </c>
      <c r="AA1253">
        <f>IF(AND(vp.tbl[[#This Row],[CrudeType]]="Crude",vp.tbl[[#This Row],[Dens]]&lt;=825,vp.tbl[[#This Row],[Sulf]]&lt;=0.5,vp.tbl[[#This Row],[Unknown]]=0),1,0)</f>
        <v>0</v>
      </c>
      <c r="AB1253">
        <f>IF(AND(vp.tbl[[#This Row],[CrudeType]]="Crude",vp.tbl[[#This Row],[Dens]]&gt;825,vp.tbl[[#This Row],[Dens]]&lt;=870,vp.tbl[[#This Row],[Sulf]]&gt;0.5,vp.tbl[[#This Row],[Unknown]]=0),1,0)</f>
        <v>0</v>
      </c>
      <c r="AC1253">
        <f>IF(AND(vp.tbl[[#This Row],[CrudeType]]="Crude",vp.tbl[[#This Row],[Dens]]&gt;825,vp.tbl[[#This Row],[Dens]]&lt;=900,vp.tbl[[#This Row],[Sulf]]&lt;=0.5,vp.tbl[[#This Row],[Unknown]]=0),1,0)</f>
        <v>0</v>
      </c>
      <c r="AD1253">
        <f>IF(AND(vp.tbl[[#This Row],[CrudeType]]="Crude",vp.tbl[[#This Row],[Dens]]&gt;870,vp.tbl[[#This Row],[Dens]]&lt;=900,vp.tbl[[#This Row],[Sulf]]&gt;0.5,vp.tbl[[#This Row],[Unknown]]=0),1,0)</f>
        <v>1</v>
      </c>
      <c r="AE1253">
        <f>IF(AND(vp.tbl[[#This Row],[CrudeType]]="Crude",vp.tbl[[#This Row],[Dens]]&gt;900,vp.tbl[[#This Row],[Sulf]]&lt;=0.5,vp.tbl[[#This Row],[Unknown]]=0),1,0)</f>
        <v>0</v>
      </c>
      <c r="AF1253">
        <f>IF(AND(vp.tbl[[#This Row],[CrudeType]]="Crude",vp.tbl[[#This Row],[Dens]]&gt;900,vp.tbl[[#This Row],[Sulf]]&lt;=0.5,vp.tbl[[#This Row],[Unknown]]=0),1,0)</f>
        <v>0</v>
      </c>
      <c r="AG1253" t="str">
        <f>INDEX(vp.tbl[[#Headers],[Unknown]:[Heavy_SW]],MATCH(1,vp.tbl[[#This Row],[Unknown]:[Heavy_SW]],0))</f>
        <v>Midale</v>
      </c>
      <c r="AH1253" t="e">
        <f>INDEX([1]!crudeBD.lkup[Number],MATCH(vp.tbl[[#This Row],[Crude_Breakdown]],[1]!crudeBD.lkup[Crude Breakdown],0))</f>
        <v>#REF!</v>
      </c>
      <c r="AI1253">
        <f>MONTH(vp.tbl[[#This Row],[SDate]])</f>
        <v>4</v>
      </c>
      <c r="AJ1253" s="5">
        <f>IFERROR(vp.tbl[[#This Row],[Sulf]]*vp.tbl[[#This Row],[Net Dens]],"")</f>
        <v>14702887.858595999</v>
      </c>
      <c r="AK1253" s="5">
        <f>IFERROR(vp.tbl[[#This Row],[Dens]]*vp.tbl[[#This Row],[VolumeM3]],"")</f>
        <v>6240614.5410000002</v>
      </c>
      <c r="AL1253" s="5">
        <f>IFERROR(vp.tbl[[#This Row],[VP]]*vp.tbl[[#This Row],[VolumeM3]],"")</f>
        <v>523452.57939999999</v>
      </c>
      <c r="AM1253" s="4">
        <f>IFERROR((vp.tbl[[#This Row],[VP]]-INDEX(crudeBD.lkup.complete[Mean_VP],MATCH(vp.tbl[[#This Row],[Crude_Breakdown]],crudeBD.lkup.complete[Crude Breakdown],0)))^2,"")</f>
        <v>23.63558078438713</v>
      </c>
      <c r="AN1253" s="4">
        <f>IFERROR((vp.tbl[[#This Row],[Dens]]-INDEX(crudeBD.lkup.complete[Mean_Dens],MATCH(vp.tbl[[#This Row],[Crude_Breakdown]],crudeBD.lkup.complete[Crude Breakdown],0)))^2,"")</f>
        <v>36.627367235875489</v>
      </c>
      <c r="AO1253" s="4">
        <f>IFERROR((vp.tbl[[#This Row],[Sulf]]-INDEX(crudeBD.lkup.complete[Mean_Sulf],MATCH(vp.tbl[[#This Row],[Crude_Breakdown]],crudeBD.lkup.complete[Crude Breakdown],0)))^2,"")</f>
        <v>3.5212518575528789E-3</v>
      </c>
      <c r="AP1253">
        <f>IF(AND(vp.tbl[[#This Row],[SDate]]&gt;=DATE(YEAR(vp.tbl[[#This Row],[SDate]]),5,1),vp.tbl[[#This Row],[SDate]]&lt;=DATE(YEAR(vp.tbl[[#This Row],[SDate]]),9,15)),1,0)</f>
        <v>0</v>
      </c>
      <c r="AQ1253" s="15">
        <f>IF(vp.tbl[[#This Row],[SDate]]&lt;DATE(2016,12,1),0,1)</f>
        <v>1</v>
      </c>
    </row>
    <row r="1254" spans="1:43" x14ac:dyDescent="0.25">
      <c r="A1254">
        <v>1253</v>
      </c>
      <c r="B1254" t="s">
        <v>49</v>
      </c>
      <c r="C1254" t="s">
        <v>49</v>
      </c>
      <c r="D1254" t="s">
        <v>50</v>
      </c>
      <c r="F1254" s="1">
        <v>42844</v>
      </c>
      <c r="G1254" s="2">
        <v>68.599999999999994</v>
      </c>
      <c r="H1254" s="2">
        <v>2.5070000000000001</v>
      </c>
      <c r="I1254" s="2">
        <v>2.5070000000000001</v>
      </c>
      <c r="J1254" s="2">
        <v>20.2</v>
      </c>
      <c r="K1254" s="2">
        <v>8</v>
      </c>
      <c r="L1254" s="2">
        <v>869</v>
      </c>
      <c r="M1254" s="2">
        <v>869</v>
      </c>
      <c r="N1254" s="2">
        <f ca="1">INDEX(INDIRECT(_xlfn.CONCAT("weather.tbl[",N$1,"]")),MATCH(vp.tbl[[#This Row],[SDate]],weather.tbl[Date],0))</f>
        <v>6.75</v>
      </c>
      <c r="O1254" s="2">
        <f ca="1">INDEX(INDIRECT(_xlfn.CONCAT("weather.tbl[",O$1,"]")),MATCH(vp.tbl[[#This Row],[SDate]],weather.tbl[Date],0))</f>
        <v>5.2404761904761914</v>
      </c>
      <c r="P1254" s="2">
        <f ca="1">INDEX(INDIRECT(_xlfn.CONCAT("weather.tbl[",P$1,"]")),MATCH(vp.tbl[[#This Row],[SDate]],weather.tbl[Date],0))</f>
        <v>6.7</v>
      </c>
      <c r="Q1254" s="2">
        <f ca="1">INDEX(INDIRECT(_xlfn.CONCAT("weather.tbl[",Q$1,"]")),MATCH(vp.tbl[[#This Row],[SDate]],weather.tbl[Date],0))</f>
        <v>8.1999999999999993</v>
      </c>
      <c r="R1254" s="2">
        <f ca="1">INDEX(INDIRECT(_xlfn.CONCAT("weather.tbl[",R$1,"]")),MATCH(vp.tbl[[#This Row],[SDate]],weather.tbl[Date],0))</f>
        <v>6</v>
      </c>
      <c r="S1254" s="2">
        <f ca="1">INDEX(INDIRECT(_xlfn.CONCAT("weather.tbl[",S$1,"]")),MATCH(vp.tbl[[#This Row],[SDate]],weather.tbl[Date],0))</f>
        <v>7.2</v>
      </c>
      <c r="T1254" s="2">
        <f ca="1">INDEX(INDIRECT(_xlfn.CONCAT("weather.tbl[",T$1,"]")),MATCH(vp.tbl[[#This Row],[SDate]],weather.tbl[Date],0))</f>
        <v>5.4</v>
      </c>
      <c r="U1254" s="2">
        <f ca="1">INDEX(INDIRECT(_xlfn.CONCAT("weather.tbl[",U$1,"]")),MATCH(vp.tbl[[#This Row],[SDate]],weather.tbl[Date],0))</f>
        <v>7</v>
      </c>
      <c r="V1254" s="2">
        <v>6716.366</v>
      </c>
      <c r="W1254" t="s">
        <v>48</v>
      </c>
      <c r="X1254">
        <f>IF(OR(vp.tbl[[#This Row],[Sulf]]="",vp.tbl[[#This Row],[Dens]]=""),1,0)</f>
        <v>0</v>
      </c>
      <c r="Y1254">
        <f>IF(vp.tbl[[#This Row],[CrudeType]]="C5+",1,0)</f>
        <v>0</v>
      </c>
      <c r="Z1254">
        <f>IF(AND(vp.tbl[[#This Row],[CrudeType]]="Crude",vp.tbl[[#This Row],[Dens]]&lt;=825,vp.tbl[[#This Row],[Sulf]]&gt;0.5,vp.tbl[[#This Row],[Unknown]]=0),1,0)</f>
        <v>0</v>
      </c>
      <c r="AA1254">
        <f>IF(AND(vp.tbl[[#This Row],[CrudeType]]="Crude",vp.tbl[[#This Row],[Dens]]&lt;=825,vp.tbl[[#This Row],[Sulf]]&lt;=0.5,vp.tbl[[#This Row],[Unknown]]=0),1,0)</f>
        <v>0</v>
      </c>
      <c r="AB1254">
        <f>IF(AND(vp.tbl[[#This Row],[CrudeType]]="Crude",vp.tbl[[#This Row],[Dens]]&gt;825,vp.tbl[[#This Row],[Dens]]&lt;=870,vp.tbl[[#This Row],[Sulf]]&gt;0.5,vp.tbl[[#This Row],[Unknown]]=0),1,0)</f>
        <v>1</v>
      </c>
      <c r="AC1254">
        <f>IF(AND(vp.tbl[[#This Row],[CrudeType]]="Crude",vp.tbl[[#This Row],[Dens]]&gt;825,vp.tbl[[#This Row],[Dens]]&lt;=900,vp.tbl[[#This Row],[Sulf]]&lt;=0.5,vp.tbl[[#This Row],[Unknown]]=0),1,0)</f>
        <v>0</v>
      </c>
      <c r="AD1254">
        <f>IF(AND(vp.tbl[[#This Row],[CrudeType]]="Crude",vp.tbl[[#This Row],[Dens]]&gt;870,vp.tbl[[#This Row],[Dens]]&lt;=900,vp.tbl[[#This Row],[Sulf]]&gt;0.5,vp.tbl[[#This Row],[Unknown]]=0),1,0)</f>
        <v>0</v>
      </c>
      <c r="AE1254">
        <f>IF(AND(vp.tbl[[#This Row],[CrudeType]]="Crude",vp.tbl[[#This Row],[Dens]]&gt;900,vp.tbl[[#This Row],[Sulf]]&lt;=0.5,vp.tbl[[#This Row],[Unknown]]=0),1,0)</f>
        <v>0</v>
      </c>
      <c r="AF1254">
        <f>IF(AND(vp.tbl[[#This Row],[CrudeType]]="Crude",vp.tbl[[#This Row],[Dens]]&gt;900,vp.tbl[[#This Row],[Sulf]]&lt;=0.5,vp.tbl[[#This Row],[Unknown]]=0),1,0)</f>
        <v>0</v>
      </c>
      <c r="AG1254" t="str">
        <f>INDEX(vp.tbl[[#Headers],[Unknown]:[Heavy_SW]],MATCH(1,vp.tbl[[#This Row],[Unknown]:[Heavy_SW]],0))</f>
        <v>Medium_LSB</v>
      </c>
      <c r="AH1254" t="e">
        <f>INDEX([1]!crudeBD.lkup[Number],MATCH(vp.tbl[[#This Row],[Crude_Breakdown]],[1]!crudeBD.lkup[Crude Breakdown],0))</f>
        <v>#REF!</v>
      </c>
      <c r="AI1254">
        <f>MONTH(vp.tbl[[#This Row],[SDate]])</f>
        <v>4</v>
      </c>
      <c r="AJ1254" s="5">
        <f>IFERROR(vp.tbl[[#This Row],[Sulf]]*vp.tbl[[#This Row],[Net Dens]],"")</f>
        <v>14632160.789378</v>
      </c>
      <c r="AK1254" s="5">
        <f>IFERROR(vp.tbl[[#This Row],[Dens]]*vp.tbl[[#This Row],[VolumeM3]],"")</f>
        <v>5836522.0539999995</v>
      </c>
      <c r="AL1254" s="5">
        <f>IFERROR(vp.tbl[[#This Row],[VP]]*vp.tbl[[#This Row],[VolumeM3]],"")</f>
        <v>460742.70759999997</v>
      </c>
      <c r="AM1254" s="4">
        <f>IFERROR((vp.tbl[[#This Row],[VP]]-INDEX(crudeBD.lkup.complete[Mean_VP],MATCH(vp.tbl[[#This Row],[Crude_Breakdown]],crudeBD.lkup.complete[Crude Breakdown],0)))^2,"")</f>
        <v>133.94809975901225</v>
      </c>
      <c r="AN1254" s="4">
        <f>IFERROR((vp.tbl[[#This Row],[Dens]]-INDEX(crudeBD.lkup.complete[Mean_Dens],MATCH(vp.tbl[[#This Row],[Crude_Breakdown]],crudeBD.lkup.complete[Crude Breakdown],0)))^2,"")</f>
        <v>562.0776668668949</v>
      </c>
      <c r="AO1254" s="4">
        <f>IFERROR((vp.tbl[[#This Row],[Sulf]]-INDEX(crudeBD.lkup.complete[Mean_Sulf],MATCH(vp.tbl[[#This Row],[Crude_Breakdown]],crudeBD.lkup.complete[Crude Breakdown],0)))^2,"")</f>
        <v>1.1068515778815355</v>
      </c>
      <c r="AP1254">
        <f>IF(AND(vp.tbl[[#This Row],[SDate]]&gt;=DATE(YEAR(vp.tbl[[#This Row],[SDate]]),5,1),vp.tbl[[#This Row],[SDate]]&lt;=DATE(YEAR(vp.tbl[[#This Row],[SDate]]),9,15)),1,0)</f>
        <v>0</v>
      </c>
      <c r="AQ1254" s="15">
        <f>IF(vp.tbl[[#This Row],[SDate]]&lt;DATE(2016,12,1),0,1)</f>
        <v>1</v>
      </c>
    </row>
    <row r="1255" spans="1:43" x14ac:dyDescent="0.25">
      <c r="A1255">
        <v>1254</v>
      </c>
      <c r="B1255" t="s">
        <v>111</v>
      </c>
      <c r="C1255" t="s">
        <v>111</v>
      </c>
      <c r="D1255" t="s">
        <v>262</v>
      </c>
      <c r="F1255" s="1">
        <v>42844</v>
      </c>
      <c r="G1255" s="2">
        <v>62</v>
      </c>
      <c r="H1255" s="2">
        <v>2.7679999999999998</v>
      </c>
      <c r="I1255" s="2">
        <v>2.7679999999999998</v>
      </c>
      <c r="J1255" s="2">
        <v>25.9</v>
      </c>
      <c r="K1255" s="2">
        <v>8</v>
      </c>
      <c r="L1255" s="2">
        <v>893.9</v>
      </c>
      <c r="M1255" s="2">
        <v>893.9</v>
      </c>
      <c r="N1255" s="2">
        <f ca="1">INDEX(INDIRECT(_xlfn.CONCAT("weather.tbl[",N$1,"]")),MATCH(vp.tbl[[#This Row],[SDate]],weather.tbl[Date],0))</f>
        <v>6.75</v>
      </c>
      <c r="O1255" s="2">
        <f ca="1">INDEX(INDIRECT(_xlfn.CONCAT("weather.tbl[",O$1,"]")),MATCH(vp.tbl[[#This Row],[SDate]],weather.tbl[Date],0))</f>
        <v>5.2404761904761914</v>
      </c>
      <c r="P1255" s="2">
        <f ca="1">INDEX(INDIRECT(_xlfn.CONCAT("weather.tbl[",P$1,"]")),MATCH(vp.tbl[[#This Row],[SDate]],weather.tbl[Date],0))</f>
        <v>6.7</v>
      </c>
      <c r="Q1255" s="2">
        <f ca="1">INDEX(INDIRECT(_xlfn.CONCAT("weather.tbl[",Q$1,"]")),MATCH(vp.tbl[[#This Row],[SDate]],weather.tbl[Date],0))</f>
        <v>8.1999999999999993</v>
      </c>
      <c r="R1255" s="2">
        <f ca="1">INDEX(INDIRECT(_xlfn.CONCAT("weather.tbl[",R$1,"]")),MATCH(vp.tbl[[#This Row],[SDate]],weather.tbl[Date],0))</f>
        <v>6</v>
      </c>
      <c r="S1255" s="2">
        <f ca="1">INDEX(INDIRECT(_xlfn.CONCAT("weather.tbl[",S$1,"]")),MATCH(vp.tbl[[#This Row],[SDate]],weather.tbl[Date],0))</f>
        <v>7.2</v>
      </c>
      <c r="T1255" s="2">
        <f ca="1">INDEX(INDIRECT(_xlfn.CONCAT("weather.tbl[",T$1,"]")),MATCH(vp.tbl[[#This Row],[SDate]],weather.tbl[Date],0))</f>
        <v>5.4</v>
      </c>
      <c r="U1255" s="2">
        <f ca="1">INDEX(INDIRECT(_xlfn.CONCAT("weather.tbl[",U$1,"]")),MATCH(vp.tbl[[#This Row],[SDate]],weather.tbl[Date],0))</f>
        <v>7</v>
      </c>
      <c r="V1255" s="2">
        <v>1179.1980000000001</v>
      </c>
      <c r="W1255" t="s">
        <v>48</v>
      </c>
      <c r="X1255">
        <f>IF(OR(vp.tbl[[#This Row],[Sulf]]="",vp.tbl[[#This Row],[Dens]]=""),1,0)</f>
        <v>0</v>
      </c>
      <c r="Y1255">
        <f>IF(vp.tbl[[#This Row],[CrudeType]]="C5+",1,0)</f>
        <v>0</v>
      </c>
      <c r="Z1255">
        <f>IF(AND(vp.tbl[[#This Row],[CrudeType]]="Crude",vp.tbl[[#This Row],[Dens]]&lt;=825,vp.tbl[[#This Row],[Sulf]]&gt;0.5,vp.tbl[[#This Row],[Unknown]]=0),1,0)</f>
        <v>0</v>
      </c>
      <c r="AA1255">
        <f>IF(AND(vp.tbl[[#This Row],[CrudeType]]="Crude",vp.tbl[[#This Row],[Dens]]&lt;=825,vp.tbl[[#This Row],[Sulf]]&lt;=0.5,vp.tbl[[#This Row],[Unknown]]=0),1,0)</f>
        <v>0</v>
      </c>
      <c r="AB1255">
        <f>IF(AND(vp.tbl[[#This Row],[CrudeType]]="Crude",vp.tbl[[#This Row],[Dens]]&gt;825,vp.tbl[[#This Row],[Dens]]&lt;=870,vp.tbl[[#This Row],[Sulf]]&gt;0.5,vp.tbl[[#This Row],[Unknown]]=0),1,0)</f>
        <v>0</v>
      </c>
      <c r="AC1255">
        <f>IF(AND(vp.tbl[[#This Row],[CrudeType]]="Crude",vp.tbl[[#This Row],[Dens]]&gt;825,vp.tbl[[#This Row],[Dens]]&lt;=900,vp.tbl[[#This Row],[Sulf]]&lt;=0.5,vp.tbl[[#This Row],[Unknown]]=0),1,0)</f>
        <v>0</v>
      </c>
      <c r="AD1255">
        <f>IF(AND(vp.tbl[[#This Row],[CrudeType]]="Crude",vp.tbl[[#This Row],[Dens]]&gt;870,vp.tbl[[#This Row],[Dens]]&lt;=900,vp.tbl[[#This Row],[Sulf]]&gt;0.5,vp.tbl[[#This Row],[Unknown]]=0),1,0)</f>
        <v>1</v>
      </c>
      <c r="AE1255">
        <f>IF(AND(vp.tbl[[#This Row],[CrudeType]]="Crude",vp.tbl[[#This Row],[Dens]]&gt;900,vp.tbl[[#This Row],[Sulf]]&lt;=0.5,vp.tbl[[#This Row],[Unknown]]=0),1,0)</f>
        <v>0</v>
      </c>
      <c r="AF1255">
        <f>IF(AND(vp.tbl[[#This Row],[CrudeType]]="Crude",vp.tbl[[#This Row],[Dens]]&gt;900,vp.tbl[[#This Row],[Sulf]]&lt;=0.5,vp.tbl[[#This Row],[Unknown]]=0),1,0)</f>
        <v>0</v>
      </c>
      <c r="AG1255" t="str">
        <f>INDEX(vp.tbl[[#Headers],[Unknown]:[Heavy_SW]],MATCH(1,vp.tbl[[#This Row],[Unknown]:[Heavy_SW]],0))</f>
        <v>Midale</v>
      </c>
      <c r="AH1255" t="e">
        <f>INDEX([1]!crudeBD.lkup[Number],MATCH(vp.tbl[[#This Row],[Crude_Breakdown]],[1]!crudeBD.lkup[Crude Breakdown],0))</f>
        <v>#REF!</v>
      </c>
      <c r="AI1255">
        <f>MONTH(vp.tbl[[#This Row],[SDate]])</f>
        <v>4</v>
      </c>
      <c r="AJ1255" s="5">
        <f>IFERROR(vp.tbl[[#This Row],[Sulf]]*vp.tbl[[#This Row],[Net Dens]],"")</f>
        <v>2917707.5352095999</v>
      </c>
      <c r="AK1255" s="5">
        <f>IFERROR(vp.tbl[[#This Row],[Dens]]*vp.tbl[[#This Row],[VolumeM3]],"")</f>
        <v>1054085.0922000001</v>
      </c>
      <c r="AL1255" s="5">
        <f>IFERROR(vp.tbl[[#This Row],[VP]]*vp.tbl[[#This Row],[VolumeM3]],"")</f>
        <v>73110.276000000013</v>
      </c>
      <c r="AM1255" s="4">
        <f>IFERROR((vp.tbl[[#This Row],[VP]]-INDEX(crudeBD.lkup.complete[Mean_VP],MATCH(vp.tbl[[#This Row],[Crude_Breakdown]],crudeBD.lkup.complete[Crude Breakdown],0)))^2,"")</f>
        <v>38.91708763370255</v>
      </c>
      <c r="AN1255" s="4">
        <f>IFERROR((vp.tbl[[#This Row],[Dens]]-INDEX(crudeBD.lkup.complete[Mean_Dens],MATCH(vp.tbl[[#This Row],[Crude_Breakdown]],crudeBD.lkup.complete[Crude Breakdown],0)))^2,"")</f>
        <v>267.25531244136778</v>
      </c>
      <c r="AO1255" s="4">
        <f>IFERROR((vp.tbl[[#This Row],[Sulf]]-INDEX(crudeBD.lkup.complete[Mean_Sulf],MATCH(vp.tbl[[#This Row],[Crude_Breakdown]],crudeBD.lkup.complete[Crude Breakdown],0)))^2,"")</f>
        <v>0.12436897898084141</v>
      </c>
      <c r="AP1255">
        <f>IF(AND(vp.tbl[[#This Row],[SDate]]&gt;=DATE(YEAR(vp.tbl[[#This Row],[SDate]]),5,1),vp.tbl[[#This Row],[SDate]]&lt;=DATE(YEAR(vp.tbl[[#This Row],[SDate]]),9,15)),1,0)</f>
        <v>0</v>
      </c>
      <c r="AQ1255" s="15">
        <f>IF(vp.tbl[[#This Row],[SDate]]&lt;DATE(2016,12,1),0,1)</f>
        <v>1</v>
      </c>
    </row>
    <row r="1256" spans="1:43" x14ac:dyDescent="0.25">
      <c r="A1256">
        <v>1255</v>
      </c>
      <c r="B1256" t="s">
        <v>62</v>
      </c>
      <c r="C1256" t="s">
        <v>62</v>
      </c>
      <c r="D1256" t="s">
        <v>79</v>
      </c>
      <c r="F1256" s="1">
        <v>42844</v>
      </c>
      <c r="G1256" s="2">
        <v>83.9</v>
      </c>
      <c r="H1256" s="2"/>
      <c r="I1256" s="2">
        <v>0.25</v>
      </c>
      <c r="J1256" s="2">
        <v>23.3</v>
      </c>
      <c r="K1256" s="2">
        <v>8</v>
      </c>
      <c r="L1256" s="2">
        <v>810.6</v>
      </c>
      <c r="M1256" s="2">
        <v>810.6</v>
      </c>
      <c r="N1256" s="2">
        <f ca="1">INDEX(INDIRECT(_xlfn.CONCAT("weather.tbl[",N$1,"]")),MATCH(vp.tbl[[#This Row],[SDate]],weather.tbl[Date],0))</f>
        <v>6.75</v>
      </c>
      <c r="O1256" s="2">
        <f ca="1">INDEX(INDIRECT(_xlfn.CONCAT("weather.tbl[",O$1,"]")),MATCH(vp.tbl[[#This Row],[SDate]],weather.tbl[Date],0))</f>
        <v>5.2404761904761914</v>
      </c>
      <c r="P1256" s="2">
        <f ca="1">INDEX(INDIRECT(_xlfn.CONCAT("weather.tbl[",P$1,"]")),MATCH(vp.tbl[[#This Row],[SDate]],weather.tbl[Date],0))</f>
        <v>6.7</v>
      </c>
      <c r="Q1256" s="2">
        <f ca="1">INDEX(INDIRECT(_xlfn.CONCAT("weather.tbl[",Q$1,"]")),MATCH(vp.tbl[[#This Row],[SDate]],weather.tbl[Date],0))</f>
        <v>8.1999999999999993</v>
      </c>
      <c r="R1256" s="2">
        <f ca="1">INDEX(INDIRECT(_xlfn.CONCAT("weather.tbl[",R$1,"]")),MATCH(vp.tbl[[#This Row],[SDate]],weather.tbl[Date],0))</f>
        <v>6</v>
      </c>
      <c r="S1256" s="2">
        <f ca="1">INDEX(INDIRECT(_xlfn.CONCAT("weather.tbl[",S$1,"]")),MATCH(vp.tbl[[#This Row],[SDate]],weather.tbl[Date],0))</f>
        <v>7.2</v>
      </c>
      <c r="T1256" s="2">
        <f ca="1">INDEX(INDIRECT(_xlfn.CONCAT("weather.tbl[",T$1,"]")),MATCH(vp.tbl[[#This Row],[SDate]],weather.tbl[Date],0))</f>
        <v>5.4</v>
      </c>
      <c r="U1256" s="2">
        <f ca="1">INDEX(INDIRECT(_xlfn.CONCAT("weather.tbl[",U$1,"]")),MATCH(vp.tbl[[#This Row],[SDate]],weather.tbl[Date],0))</f>
        <v>7</v>
      </c>
      <c r="V1256" s="2">
        <v>13021.991</v>
      </c>
      <c r="W1256" t="s">
        <v>48</v>
      </c>
      <c r="X1256">
        <f>IF(OR(vp.tbl[[#This Row],[Sulf]]="",vp.tbl[[#This Row],[Dens]]=""),1,0)</f>
        <v>0</v>
      </c>
      <c r="Y1256">
        <f>IF(vp.tbl[[#This Row],[CrudeType]]="C5+",1,0)</f>
        <v>0</v>
      </c>
      <c r="Z1256">
        <f>IF(AND(vp.tbl[[#This Row],[CrudeType]]="Crude",vp.tbl[[#This Row],[Dens]]&lt;=825,vp.tbl[[#This Row],[Sulf]]&gt;0.5,vp.tbl[[#This Row],[Unknown]]=0),1,0)</f>
        <v>0</v>
      </c>
      <c r="AA1256">
        <f>IF(AND(vp.tbl[[#This Row],[CrudeType]]="Crude",vp.tbl[[#This Row],[Dens]]&lt;=825,vp.tbl[[#This Row],[Sulf]]&lt;=0.5,vp.tbl[[#This Row],[Unknown]]=0),1,0)</f>
        <v>1</v>
      </c>
      <c r="AB1256">
        <f>IF(AND(vp.tbl[[#This Row],[CrudeType]]="Crude",vp.tbl[[#This Row],[Dens]]&gt;825,vp.tbl[[#This Row],[Dens]]&lt;=870,vp.tbl[[#This Row],[Sulf]]&gt;0.5,vp.tbl[[#This Row],[Unknown]]=0),1,0)</f>
        <v>0</v>
      </c>
      <c r="AC1256">
        <f>IF(AND(vp.tbl[[#This Row],[CrudeType]]="Crude",vp.tbl[[#This Row],[Dens]]&gt;825,vp.tbl[[#This Row],[Dens]]&lt;=900,vp.tbl[[#This Row],[Sulf]]&lt;=0.5,vp.tbl[[#This Row],[Unknown]]=0),1,0)</f>
        <v>0</v>
      </c>
      <c r="AD1256">
        <f>IF(AND(vp.tbl[[#This Row],[CrudeType]]="Crude",vp.tbl[[#This Row],[Dens]]&gt;870,vp.tbl[[#This Row],[Dens]]&lt;=900,vp.tbl[[#This Row],[Sulf]]&gt;0.5,vp.tbl[[#This Row],[Unknown]]=0),1,0)</f>
        <v>0</v>
      </c>
      <c r="AE1256">
        <f>IF(AND(vp.tbl[[#This Row],[CrudeType]]="Crude",vp.tbl[[#This Row],[Dens]]&gt;900,vp.tbl[[#This Row],[Sulf]]&lt;=0.5,vp.tbl[[#This Row],[Unknown]]=0),1,0)</f>
        <v>0</v>
      </c>
      <c r="AF1256">
        <f>IF(AND(vp.tbl[[#This Row],[CrudeType]]="Crude",vp.tbl[[#This Row],[Dens]]&gt;900,vp.tbl[[#This Row],[Sulf]]&lt;=0.5,vp.tbl[[#This Row],[Unknown]]=0),1,0)</f>
        <v>0</v>
      </c>
      <c r="AG1256" t="str">
        <f>INDEX(vp.tbl[[#Headers],[Unknown]:[Heavy_SW]],MATCH(1,vp.tbl[[#This Row],[Unknown]:[Heavy_SW]],0))</f>
        <v>Light_SW</v>
      </c>
      <c r="AH1256" t="e">
        <f>INDEX([1]!crudeBD.lkup[Number],MATCH(vp.tbl[[#This Row],[Crude_Breakdown]],[1]!crudeBD.lkup[Crude Breakdown],0))</f>
        <v>#REF!</v>
      </c>
      <c r="AI1256">
        <f>MONTH(vp.tbl[[#This Row],[SDate]])</f>
        <v>4</v>
      </c>
      <c r="AJ1256" s="5">
        <f>IFERROR(vp.tbl[[#This Row],[Sulf]]*vp.tbl[[#This Row],[Net Dens]],"")</f>
        <v>2638906.47615</v>
      </c>
      <c r="AK1256" s="5">
        <f>IFERROR(vp.tbl[[#This Row],[Dens]]*vp.tbl[[#This Row],[VolumeM3]],"")</f>
        <v>10555625.9046</v>
      </c>
      <c r="AL1256" s="5">
        <f>IFERROR(vp.tbl[[#This Row],[VP]]*vp.tbl[[#This Row],[VolumeM3]],"")</f>
        <v>1092545.0449000001</v>
      </c>
      <c r="AM1256" s="4">
        <f>IFERROR((vp.tbl[[#This Row],[VP]]-INDEX(crudeBD.lkup.complete[Mean_VP],MATCH(vp.tbl[[#This Row],[Crude_Breakdown]],crudeBD.lkup.complete[Crude Breakdown],0)))^2,"")</f>
        <v>74.827925185445366</v>
      </c>
      <c r="AN1256" s="4">
        <f>IFERROR((vp.tbl[[#This Row],[Dens]]-INDEX(crudeBD.lkup.complete[Mean_Dens],MATCH(vp.tbl[[#This Row],[Crude_Breakdown]],crudeBD.lkup.complete[Crude Breakdown],0)))^2,"")</f>
        <v>5.2372402238717344</v>
      </c>
      <c r="AO1256" s="4">
        <f>IFERROR((vp.tbl[[#This Row],[Sulf]]-INDEX(crudeBD.lkup.complete[Mean_Sulf],MATCH(vp.tbl[[#This Row],[Crude_Breakdown]],crudeBD.lkup.complete[Crude Breakdown],0)))^2,"")</f>
        <v>1.8928774126188673E-4</v>
      </c>
      <c r="AP1256">
        <f>IF(AND(vp.tbl[[#This Row],[SDate]]&gt;=DATE(YEAR(vp.tbl[[#This Row],[SDate]]),5,1),vp.tbl[[#This Row],[SDate]]&lt;=DATE(YEAR(vp.tbl[[#This Row],[SDate]]),9,15)),1,0)</f>
        <v>0</v>
      </c>
      <c r="AQ1256" s="15">
        <f>IF(vp.tbl[[#This Row],[SDate]]&lt;DATE(2016,12,1),0,1)</f>
        <v>1</v>
      </c>
    </row>
    <row r="1257" spans="1:43" x14ac:dyDescent="0.25">
      <c r="A1257">
        <v>1256</v>
      </c>
      <c r="B1257" t="s">
        <v>51</v>
      </c>
      <c r="C1257" t="s">
        <v>51</v>
      </c>
      <c r="D1257" t="s">
        <v>58</v>
      </c>
      <c r="F1257" s="1">
        <v>42844</v>
      </c>
      <c r="G1257" s="2">
        <v>84.3</v>
      </c>
      <c r="H1257" s="2"/>
      <c r="I1257" s="2">
        <v>1.33</v>
      </c>
      <c r="J1257" s="2">
        <v>32.4</v>
      </c>
      <c r="K1257" s="2">
        <v>8</v>
      </c>
      <c r="L1257" s="2">
        <v>832.4</v>
      </c>
      <c r="M1257" s="2">
        <v>832.4</v>
      </c>
      <c r="N1257" s="2">
        <f ca="1">INDEX(INDIRECT(_xlfn.CONCAT("weather.tbl[",N$1,"]")),MATCH(vp.tbl[[#This Row],[SDate]],weather.tbl[Date],0))</f>
        <v>6.75</v>
      </c>
      <c r="O1257" s="2">
        <f ca="1">INDEX(INDIRECT(_xlfn.CONCAT("weather.tbl[",O$1,"]")),MATCH(vp.tbl[[#This Row],[SDate]],weather.tbl[Date],0))</f>
        <v>5.2404761904761914</v>
      </c>
      <c r="P1257" s="2">
        <f ca="1">INDEX(INDIRECT(_xlfn.CONCAT("weather.tbl[",P$1,"]")),MATCH(vp.tbl[[#This Row],[SDate]],weather.tbl[Date],0))</f>
        <v>6.7</v>
      </c>
      <c r="Q1257" s="2">
        <f ca="1">INDEX(INDIRECT(_xlfn.CONCAT("weather.tbl[",Q$1,"]")),MATCH(vp.tbl[[#This Row],[SDate]],weather.tbl[Date],0))</f>
        <v>8.1999999999999993</v>
      </c>
      <c r="R1257" s="2">
        <f ca="1">INDEX(INDIRECT(_xlfn.CONCAT("weather.tbl[",R$1,"]")),MATCH(vp.tbl[[#This Row],[SDate]],weather.tbl[Date],0))</f>
        <v>6</v>
      </c>
      <c r="S1257" s="2">
        <f ca="1">INDEX(INDIRECT(_xlfn.CONCAT("weather.tbl[",S$1,"]")),MATCH(vp.tbl[[#This Row],[SDate]],weather.tbl[Date],0))</f>
        <v>7.2</v>
      </c>
      <c r="T1257" s="2">
        <f ca="1">INDEX(INDIRECT(_xlfn.CONCAT("weather.tbl[",T$1,"]")),MATCH(vp.tbl[[#This Row],[SDate]],weather.tbl[Date],0))</f>
        <v>5.4</v>
      </c>
      <c r="U1257" s="2">
        <f ca="1">INDEX(INDIRECT(_xlfn.CONCAT("weather.tbl[",U$1,"]")),MATCH(vp.tbl[[#This Row],[SDate]],weather.tbl[Date],0))</f>
        <v>7</v>
      </c>
      <c r="V1257" s="2">
        <v>5505.9059999999999</v>
      </c>
      <c r="W1257" t="s">
        <v>48</v>
      </c>
      <c r="X1257">
        <f>IF(OR(vp.tbl[[#This Row],[Sulf]]="",vp.tbl[[#This Row],[Dens]]=""),1,0)</f>
        <v>0</v>
      </c>
      <c r="Y1257">
        <f>IF(vp.tbl[[#This Row],[CrudeType]]="C5+",1,0)</f>
        <v>0</v>
      </c>
      <c r="Z1257">
        <f>IF(AND(vp.tbl[[#This Row],[CrudeType]]="Crude",vp.tbl[[#This Row],[Dens]]&lt;=825,vp.tbl[[#This Row],[Sulf]]&gt;0.5,vp.tbl[[#This Row],[Unknown]]=0),1,0)</f>
        <v>0</v>
      </c>
      <c r="AA1257">
        <f>IF(AND(vp.tbl[[#This Row],[CrudeType]]="Crude",vp.tbl[[#This Row],[Dens]]&lt;=825,vp.tbl[[#This Row],[Sulf]]&lt;=0.5,vp.tbl[[#This Row],[Unknown]]=0),1,0)</f>
        <v>0</v>
      </c>
      <c r="AB1257">
        <f>IF(AND(vp.tbl[[#This Row],[CrudeType]]="Crude",vp.tbl[[#This Row],[Dens]]&gt;825,vp.tbl[[#This Row],[Dens]]&lt;=870,vp.tbl[[#This Row],[Sulf]]&gt;0.5,vp.tbl[[#This Row],[Unknown]]=0),1,0)</f>
        <v>1</v>
      </c>
      <c r="AC1257">
        <f>IF(AND(vp.tbl[[#This Row],[CrudeType]]="Crude",vp.tbl[[#This Row],[Dens]]&gt;825,vp.tbl[[#This Row],[Dens]]&lt;=900,vp.tbl[[#This Row],[Sulf]]&lt;=0.5,vp.tbl[[#This Row],[Unknown]]=0),1,0)</f>
        <v>0</v>
      </c>
      <c r="AD1257">
        <f>IF(AND(vp.tbl[[#This Row],[CrudeType]]="Crude",vp.tbl[[#This Row],[Dens]]&gt;870,vp.tbl[[#This Row],[Dens]]&lt;=900,vp.tbl[[#This Row],[Sulf]]&gt;0.5,vp.tbl[[#This Row],[Unknown]]=0),1,0)</f>
        <v>0</v>
      </c>
      <c r="AE1257">
        <f>IF(AND(vp.tbl[[#This Row],[CrudeType]]="Crude",vp.tbl[[#This Row],[Dens]]&gt;900,vp.tbl[[#This Row],[Sulf]]&lt;=0.5,vp.tbl[[#This Row],[Unknown]]=0),1,0)</f>
        <v>0</v>
      </c>
      <c r="AF1257">
        <f>IF(AND(vp.tbl[[#This Row],[CrudeType]]="Crude",vp.tbl[[#This Row],[Dens]]&gt;900,vp.tbl[[#This Row],[Sulf]]&lt;=0.5,vp.tbl[[#This Row],[Unknown]]=0),1,0)</f>
        <v>0</v>
      </c>
      <c r="AG1257" t="str">
        <f>INDEX(vp.tbl[[#Headers],[Unknown]:[Heavy_SW]],MATCH(1,vp.tbl[[#This Row],[Unknown]:[Heavy_SW]],0))</f>
        <v>Medium_LSB</v>
      </c>
      <c r="AH1257" t="e">
        <f>INDEX([1]!crudeBD.lkup[Number],MATCH(vp.tbl[[#This Row],[Crude_Breakdown]],[1]!crudeBD.lkup[Crude Breakdown],0))</f>
        <v>#REF!</v>
      </c>
      <c r="AI1257">
        <f>MONTH(vp.tbl[[#This Row],[SDate]])</f>
        <v>4</v>
      </c>
      <c r="AJ1257" s="5">
        <f>IFERROR(vp.tbl[[#This Row],[Sulf]]*vp.tbl[[#This Row],[Net Dens]],"")</f>
        <v>6095544.4853519993</v>
      </c>
      <c r="AK1257" s="5">
        <f>IFERROR(vp.tbl[[#This Row],[Dens]]*vp.tbl[[#This Row],[VolumeM3]],"")</f>
        <v>4583116.1543999994</v>
      </c>
      <c r="AL1257" s="5">
        <f>IFERROR(vp.tbl[[#This Row],[VP]]*vp.tbl[[#This Row],[VolumeM3]],"")</f>
        <v>464147.87579999998</v>
      </c>
      <c r="AM1257" s="4">
        <f>IFERROR((vp.tbl[[#This Row],[VP]]-INDEX(crudeBD.lkup.complete[Mean_VP],MATCH(vp.tbl[[#This Row],[Crude_Breakdown]],crudeBD.lkup.complete[Crude Breakdown],0)))^2,"")</f>
        <v>17.027218746355032</v>
      </c>
      <c r="AN1257" s="4">
        <f>IFERROR((vp.tbl[[#This Row],[Dens]]-INDEX(crudeBD.lkup.complete[Mean_Dens],MATCH(vp.tbl[[#This Row],[Crude_Breakdown]],crudeBD.lkup.complete[Crude Breakdown],0)))^2,"")</f>
        <v>166.19909471492471</v>
      </c>
      <c r="AO1257" s="4">
        <f>IFERROR((vp.tbl[[#This Row],[Sulf]]-INDEX(crudeBD.lkup.complete[Mean_Sulf],MATCH(vp.tbl[[#This Row],[Crude_Breakdown]],crudeBD.lkup.complete[Crude Breakdown],0)))^2,"")</f>
        <v>1.5607470109386829E-2</v>
      </c>
      <c r="AP1257">
        <f>IF(AND(vp.tbl[[#This Row],[SDate]]&gt;=DATE(YEAR(vp.tbl[[#This Row],[SDate]]),5,1),vp.tbl[[#This Row],[SDate]]&lt;=DATE(YEAR(vp.tbl[[#This Row],[SDate]]),9,15)),1,0)</f>
        <v>0</v>
      </c>
      <c r="AQ1257" s="15">
        <f>IF(vp.tbl[[#This Row],[SDate]]&lt;DATE(2016,12,1),0,1)</f>
        <v>1</v>
      </c>
    </row>
    <row r="1258" spans="1:43" x14ac:dyDescent="0.25">
      <c r="A1258">
        <v>1257</v>
      </c>
      <c r="B1258" t="s">
        <v>56</v>
      </c>
      <c r="C1258" t="s">
        <v>56</v>
      </c>
      <c r="D1258" t="s">
        <v>94</v>
      </c>
      <c r="F1258" s="1">
        <v>42844</v>
      </c>
      <c r="G1258" s="2">
        <v>83</v>
      </c>
      <c r="H1258" s="2"/>
      <c r="I1258" s="2">
        <v>1.97</v>
      </c>
      <c r="J1258" s="2">
        <v>24.9</v>
      </c>
      <c r="K1258" s="2">
        <v>8</v>
      </c>
      <c r="L1258" s="2">
        <v>848.2</v>
      </c>
      <c r="M1258" s="2">
        <v>848.2</v>
      </c>
      <c r="N1258" s="2">
        <f ca="1">INDEX(INDIRECT(_xlfn.CONCAT("weather.tbl[",N$1,"]")),MATCH(vp.tbl[[#This Row],[SDate]],weather.tbl[Date],0))</f>
        <v>6.75</v>
      </c>
      <c r="O1258" s="2">
        <f ca="1">INDEX(INDIRECT(_xlfn.CONCAT("weather.tbl[",O$1,"]")),MATCH(vp.tbl[[#This Row],[SDate]],weather.tbl[Date],0))</f>
        <v>5.2404761904761914</v>
      </c>
      <c r="P1258" s="2">
        <f ca="1">INDEX(INDIRECT(_xlfn.CONCAT("weather.tbl[",P$1,"]")),MATCH(vp.tbl[[#This Row],[SDate]],weather.tbl[Date],0))</f>
        <v>6.7</v>
      </c>
      <c r="Q1258" s="2">
        <f ca="1">INDEX(INDIRECT(_xlfn.CONCAT("weather.tbl[",Q$1,"]")),MATCH(vp.tbl[[#This Row],[SDate]],weather.tbl[Date],0))</f>
        <v>8.1999999999999993</v>
      </c>
      <c r="R1258" s="2">
        <f ca="1">INDEX(INDIRECT(_xlfn.CONCAT("weather.tbl[",R$1,"]")),MATCH(vp.tbl[[#This Row],[SDate]],weather.tbl[Date],0))</f>
        <v>6</v>
      </c>
      <c r="S1258" s="2">
        <f ca="1">INDEX(INDIRECT(_xlfn.CONCAT("weather.tbl[",S$1,"]")),MATCH(vp.tbl[[#This Row],[SDate]],weather.tbl[Date],0))</f>
        <v>7.2</v>
      </c>
      <c r="T1258" s="2">
        <f ca="1">INDEX(INDIRECT(_xlfn.CONCAT("weather.tbl[",T$1,"]")),MATCH(vp.tbl[[#This Row],[SDate]],weather.tbl[Date],0))</f>
        <v>5.4</v>
      </c>
      <c r="U1258" s="2">
        <f ca="1">INDEX(INDIRECT(_xlfn.CONCAT("weather.tbl[",U$1,"]")),MATCH(vp.tbl[[#This Row],[SDate]],weather.tbl[Date],0))</f>
        <v>7</v>
      </c>
      <c r="V1258" s="2">
        <v>3705.826</v>
      </c>
      <c r="W1258" t="s">
        <v>48</v>
      </c>
      <c r="X1258">
        <f>IF(OR(vp.tbl[[#This Row],[Sulf]]="",vp.tbl[[#This Row],[Dens]]=""),1,0)</f>
        <v>0</v>
      </c>
      <c r="Y1258">
        <f>IF(vp.tbl[[#This Row],[CrudeType]]="C5+",1,0)</f>
        <v>0</v>
      </c>
      <c r="Z1258">
        <f>IF(AND(vp.tbl[[#This Row],[CrudeType]]="Crude",vp.tbl[[#This Row],[Dens]]&lt;=825,vp.tbl[[#This Row],[Sulf]]&gt;0.5,vp.tbl[[#This Row],[Unknown]]=0),1,0)</f>
        <v>0</v>
      </c>
      <c r="AA1258">
        <f>IF(AND(vp.tbl[[#This Row],[CrudeType]]="Crude",vp.tbl[[#This Row],[Dens]]&lt;=825,vp.tbl[[#This Row],[Sulf]]&lt;=0.5,vp.tbl[[#This Row],[Unknown]]=0),1,0)</f>
        <v>0</v>
      </c>
      <c r="AB1258">
        <f>IF(AND(vp.tbl[[#This Row],[CrudeType]]="Crude",vp.tbl[[#This Row],[Dens]]&gt;825,vp.tbl[[#This Row],[Dens]]&lt;=870,vp.tbl[[#This Row],[Sulf]]&gt;0.5,vp.tbl[[#This Row],[Unknown]]=0),1,0)</f>
        <v>1</v>
      </c>
      <c r="AC1258">
        <f>IF(AND(vp.tbl[[#This Row],[CrudeType]]="Crude",vp.tbl[[#This Row],[Dens]]&gt;825,vp.tbl[[#This Row],[Dens]]&lt;=900,vp.tbl[[#This Row],[Sulf]]&lt;=0.5,vp.tbl[[#This Row],[Unknown]]=0),1,0)</f>
        <v>0</v>
      </c>
      <c r="AD1258">
        <f>IF(AND(vp.tbl[[#This Row],[CrudeType]]="Crude",vp.tbl[[#This Row],[Dens]]&gt;870,vp.tbl[[#This Row],[Dens]]&lt;=900,vp.tbl[[#This Row],[Sulf]]&gt;0.5,vp.tbl[[#This Row],[Unknown]]=0),1,0)</f>
        <v>0</v>
      </c>
      <c r="AE1258">
        <f>IF(AND(vp.tbl[[#This Row],[CrudeType]]="Crude",vp.tbl[[#This Row],[Dens]]&gt;900,vp.tbl[[#This Row],[Sulf]]&lt;=0.5,vp.tbl[[#This Row],[Unknown]]=0),1,0)</f>
        <v>0</v>
      </c>
      <c r="AF1258">
        <f>IF(AND(vp.tbl[[#This Row],[CrudeType]]="Crude",vp.tbl[[#This Row],[Dens]]&gt;900,vp.tbl[[#This Row],[Sulf]]&lt;=0.5,vp.tbl[[#This Row],[Unknown]]=0),1,0)</f>
        <v>0</v>
      </c>
      <c r="AG1258" t="str">
        <f>INDEX(vp.tbl[[#Headers],[Unknown]:[Heavy_SW]],MATCH(1,vp.tbl[[#This Row],[Unknown]:[Heavy_SW]],0))</f>
        <v>Medium_LSB</v>
      </c>
      <c r="AH1258" t="e">
        <f>INDEX([1]!crudeBD.lkup[Number],MATCH(vp.tbl[[#This Row],[Crude_Breakdown]],[1]!crudeBD.lkup[Crude Breakdown],0))</f>
        <v>#REF!</v>
      </c>
      <c r="AI1258">
        <f>MONTH(vp.tbl[[#This Row],[SDate]])</f>
        <v>4</v>
      </c>
      <c r="AJ1258" s="5">
        <f>IFERROR(vp.tbl[[#This Row],[Sulf]]*vp.tbl[[#This Row],[Net Dens]],"")</f>
        <v>6192264.778004</v>
      </c>
      <c r="AK1258" s="5">
        <f>IFERROR(vp.tbl[[#This Row],[Dens]]*vp.tbl[[#This Row],[VolumeM3]],"")</f>
        <v>3143281.6132</v>
      </c>
      <c r="AL1258" s="5">
        <f>IFERROR(vp.tbl[[#This Row],[VP]]*vp.tbl[[#This Row],[VolumeM3]],"")</f>
        <v>307583.55800000002</v>
      </c>
      <c r="AM1258" s="4">
        <f>IFERROR((vp.tbl[[#This Row],[VP]]-INDEX(crudeBD.lkup.complete[Mean_VP],MATCH(vp.tbl[[#This Row],[Crude_Breakdown]],crudeBD.lkup.complete[Crude Breakdown],0)))^2,"")</f>
        <v>7.9885655817979977</v>
      </c>
      <c r="AN1258" s="4">
        <f>IFERROR((vp.tbl[[#This Row],[Dens]]-INDEX(crudeBD.lkup.complete[Mean_Dens],MATCH(vp.tbl[[#This Row],[Crude_Breakdown]],crudeBD.lkup.complete[Crude Breakdown],0)))^2,"")</f>
        <v>8.4574947149555193</v>
      </c>
      <c r="AO1258" s="4">
        <f>IFERROR((vp.tbl[[#This Row],[Sulf]]-INDEX(crudeBD.lkup.complete[Mean_Sulf],MATCH(vp.tbl[[#This Row],[Crude_Breakdown]],crudeBD.lkup.complete[Crude Breakdown],0)))^2,"")</f>
        <v>0.265297248337233</v>
      </c>
      <c r="AP1258">
        <f>IF(AND(vp.tbl[[#This Row],[SDate]]&gt;=DATE(YEAR(vp.tbl[[#This Row],[SDate]]),5,1),vp.tbl[[#This Row],[SDate]]&lt;=DATE(YEAR(vp.tbl[[#This Row],[SDate]]),9,15)),1,0)</f>
        <v>0</v>
      </c>
      <c r="AQ1258" s="15">
        <f>IF(vp.tbl[[#This Row],[SDate]]&lt;DATE(2016,12,1),0,1)</f>
        <v>1</v>
      </c>
    </row>
    <row r="1259" spans="1:43" x14ac:dyDescent="0.25">
      <c r="A1259">
        <v>1258</v>
      </c>
      <c r="B1259" t="s">
        <v>56</v>
      </c>
      <c r="C1259" t="s">
        <v>56</v>
      </c>
      <c r="D1259" t="s">
        <v>57</v>
      </c>
      <c r="F1259" s="1">
        <v>42844</v>
      </c>
      <c r="G1259" s="2">
        <v>82.2</v>
      </c>
      <c r="H1259" s="2"/>
      <c r="I1259" s="2">
        <v>1.68</v>
      </c>
      <c r="J1259" s="2">
        <v>23.8</v>
      </c>
      <c r="K1259" s="2">
        <v>8</v>
      </c>
      <c r="L1259" s="2">
        <v>848.7</v>
      </c>
      <c r="M1259" s="2">
        <v>848.7</v>
      </c>
      <c r="N1259" s="2">
        <f ca="1">INDEX(INDIRECT(_xlfn.CONCAT("weather.tbl[",N$1,"]")),MATCH(vp.tbl[[#This Row],[SDate]],weather.tbl[Date],0))</f>
        <v>6.75</v>
      </c>
      <c r="O1259" s="2">
        <f ca="1">INDEX(INDIRECT(_xlfn.CONCAT("weather.tbl[",O$1,"]")),MATCH(vp.tbl[[#This Row],[SDate]],weather.tbl[Date],0))</f>
        <v>5.2404761904761914</v>
      </c>
      <c r="P1259" s="2">
        <f ca="1">INDEX(INDIRECT(_xlfn.CONCAT("weather.tbl[",P$1,"]")),MATCH(vp.tbl[[#This Row],[SDate]],weather.tbl[Date],0))</f>
        <v>6.7</v>
      </c>
      <c r="Q1259" s="2">
        <f ca="1">INDEX(INDIRECT(_xlfn.CONCAT("weather.tbl[",Q$1,"]")),MATCH(vp.tbl[[#This Row],[SDate]],weather.tbl[Date],0))</f>
        <v>8.1999999999999993</v>
      </c>
      <c r="R1259" s="2">
        <f ca="1">INDEX(INDIRECT(_xlfn.CONCAT("weather.tbl[",R$1,"]")),MATCH(vp.tbl[[#This Row],[SDate]],weather.tbl[Date],0))</f>
        <v>6</v>
      </c>
      <c r="S1259" s="2">
        <f ca="1">INDEX(INDIRECT(_xlfn.CONCAT("weather.tbl[",S$1,"]")),MATCH(vp.tbl[[#This Row],[SDate]],weather.tbl[Date],0))</f>
        <v>7.2</v>
      </c>
      <c r="T1259" s="2">
        <f ca="1">INDEX(INDIRECT(_xlfn.CONCAT("weather.tbl[",T$1,"]")),MATCH(vp.tbl[[#This Row],[SDate]],weather.tbl[Date],0))</f>
        <v>5.4</v>
      </c>
      <c r="U1259" s="2">
        <f ca="1">INDEX(INDIRECT(_xlfn.CONCAT("weather.tbl[",U$1,"]")),MATCH(vp.tbl[[#This Row],[SDate]],weather.tbl[Date],0))</f>
        <v>7</v>
      </c>
      <c r="V1259" s="2">
        <v>2980.6370000000002</v>
      </c>
      <c r="W1259" t="s">
        <v>48</v>
      </c>
      <c r="X1259">
        <f>IF(OR(vp.tbl[[#This Row],[Sulf]]="",vp.tbl[[#This Row],[Dens]]=""),1,0)</f>
        <v>0</v>
      </c>
      <c r="Y1259">
        <f>IF(vp.tbl[[#This Row],[CrudeType]]="C5+",1,0)</f>
        <v>0</v>
      </c>
      <c r="Z1259">
        <f>IF(AND(vp.tbl[[#This Row],[CrudeType]]="Crude",vp.tbl[[#This Row],[Dens]]&lt;=825,vp.tbl[[#This Row],[Sulf]]&gt;0.5,vp.tbl[[#This Row],[Unknown]]=0),1,0)</f>
        <v>0</v>
      </c>
      <c r="AA1259">
        <f>IF(AND(vp.tbl[[#This Row],[CrudeType]]="Crude",vp.tbl[[#This Row],[Dens]]&lt;=825,vp.tbl[[#This Row],[Sulf]]&lt;=0.5,vp.tbl[[#This Row],[Unknown]]=0),1,0)</f>
        <v>0</v>
      </c>
      <c r="AB1259">
        <f>IF(AND(vp.tbl[[#This Row],[CrudeType]]="Crude",vp.tbl[[#This Row],[Dens]]&gt;825,vp.tbl[[#This Row],[Dens]]&lt;=870,vp.tbl[[#This Row],[Sulf]]&gt;0.5,vp.tbl[[#This Row],[Unknown]]=0),1,0)</f>
        <v>1</v>
      </c>
      <c r="AC1259">
        <f>IF(AND(vp.tbl[[#This Row],[CrudeType]]="Crude",vp.tbl[[#This Row],[Dens]]&gt;825,vp.tbl[[#This Row],[Dens]]&lt;=900,vp.tbl[[#This Row],[Sulf]]&lt;=0.5,vp.tbl[[#This Row],[Unknown]]=0),1,0)</f>
        <v>0</v>
      </c>
      <c r="AD1259">
        <f>IF(AND(vp.tbl[[#This Row],[CrudeType]]="Crude",vp.tbl[[#This Row],[Dens]]&gt;870,vp.tbl[[#This Row],[Dens]]&lt;=900,vp.tbl[[#This Row],[Sulf]]&gt;0.5,vp.tbl[[#This Row],[Unknown]]=0),1,0)</f>
        <v>0</v>
      </c>
      <c r="AE1259">
        <f>IF(AND(vp.tbl[[#This Row],[CrudeType]]="Crude",vp.tbl[[#This Row],[Dens]]&gt;900,vp.tbl[[#This Row],[Sulf]]&lt;=0.5,vp.tbl[[#This Row],[Unknown]]=0),1,0)</f>
        <v>0</v>
      </c>
      <c r="AF1259">
        <f>IF(AND(vp.tbl[[#This Row],[CrudeType]]="Crude",vp.tbl[[#This Row],[Dens]]&gt;900,vp.tbl[[#This Row],[Sulf]]&lt;=0.5,vp.tbl[[#This Row],[Unknown]]=0),1,0)</f>
        <v>0</v>
      </c>
      <c r="AG1259" t="str">
        <f>INDEX(vp.tbl[[#Headers],[Unknown]:[Heavy_SW]],MATCH(1,vp.tbl[[#This Row],[Unknown]:[Heavy_SW]],0))</f>
        <v>Medium_LSB</v>
      </c>
      <c r="AH1259" t="e">
        <f>INDEX([1]!crudeBD.lkup[Number],MATCH(vp.tbl[[#This Row],[Crude_Breakdown]],[1]!crudeBD.lkup[Crude Breakdown],0))</f>
        <v>#REF!</v>
      </c>
      <c r="AI1259">
        <f>MONTH(vp.tbl[[#This Row],[SDate]])</f>
        <v>4</v>
      </c>
      <c r="AJ1259" s="5">
        <f>IFERROR(vp.tbl[[#This Row],[Sulf]]*vp.tbl[[#This Row],[Net Dens]],"")</f>
        <v>4249839.9247920001</v>
      </c>
      <c r="AK1259" s="5">
        <f>IFERROR(vp.tbl[[#This Row],[Dens]]*vp.tbl[[#This Row],[VolumeM3]],"")</f>
        <v>2529666.6219000001</v>
      </c>
      <c r="AL1259" s="5">
        <f>IFERROR(vp.tbl[[#This Row],[VP]]*vp.tbl[[#This Row],[VolumeM3]],"")</f>
        <v>245008.36140000002</v>
      </c>
      <c r="AM1259" s="4">
        <f>IFERROR((vp.tbl[[#This Row],[VP]]-INDEX(crudeBD.lkup.complete[Mean_VP],MATCH(vp.tbl[[#This Row],[Crude_Breakdown]],crudeBD.lkup.complete[Crude Breakdown],0)))^2,"")</f>
        <v>4.1063174805321268</v>
      </c>
      <c r="AN1259" s="4">
        <f>IFERROR((vp.tbl[[#This Row],[Dens]]-INDEX(crudeBD.lkup.complete[Mean_Dens],MATCH(vp.tbl[[#This Row],[Crude_Breakdown]],crudeBD.lkup.complete[Crude Breakdown],0)))^2,"")</f>
        <v>11.615671930146423</v>
      </c>
      <c r="AO1259" s="4">
        <f>IFERROR((vp.tbl[[#This Row],[Sulf]]-INDEX(crudeBD.lkup.complete[Mean_Sulf],MATCH(vp.tbl[[#This Row],[Crude_Breakdown]],crudeBD.lkup.complete[Crude Breakdown],0)))^2,"")</f>
        <v>5.0656567577740209E-2</v>
      </c>
      <c r="AP1259">
        <f>IF(AND(vp.tbl[[#This Row],[SDate]]&gt;=DATE(YEAR(vp.tbl[[#This Row],[SDate]]),5,1),vp.tbl[[#This Row],[SDate]]&lt;=DATE(YEAR(vp.tbl[[#This Row],[SDate]]),9,15)),1,0)</f>
        <v>0</v>
      </c>
      <c r="AQ1259" s="15">
        <f>IF(vp.tbl[[#This Row],[SDate]]&lt;DATE(2016,12,1),0,1)</f>
        <v>1</v>
      </c>
    </row>
    <row r="1260" spans="1:43" x14ac:dyDescent="0.25">
      <c r="A1260">
        <v>1259</v>
      </c>
      <c r="B1260" t="s">
        <v>111</v>
      </c>
      <c r="C1260" t="s">
        <v>111</v>
      </c>
      <c r="D1260" t="s">
        <v>112</v>
      </c>
      <c r="F1260" s="1">
        <v>42844</v>
      </c>
      <c r="G1260" s="2">
        <v>74.5</v>
      </c>
      <c r="H1260" s="2"/>
      <c r="I1260" s="2">
        <v>1.87</v>
      </c>
      <c r="J1260" s="2">
        <v>25.8</v>
      </c>
      <c r="K1260" s="2">
        <v>8</v>
      </c>
      <c r="L1260" s="2">
        <v>856.5</v>
      </c>
      <c r="M1260" s="2">
        <v>856.5</v>
      </c>
      <c r="N1260" s="2">
        <f ca="1">INDEX(INDIRECT(_xlfn.CONCAT("weather.tbl[",N$1,"]")),MATCH(vp.tbl[[#This Row],[SDate]],weather.tbl[Date],0))</f>
        <v>6.75</v>
      </c>
      <c r="O1260" s="2">
        <f ca="1">INDEX(INDIRECT(_xlfn.CONCAT("weather.tbl[",O$1,"]")),MATCH(vp.tbl[[#This Row],[SDate]],weather.tbl[Date],0))</f>
        <v>5.2404761904761914</v>
      </c>
      <c r="P1260" s="2">
        <f ca="1">INDEX(INDIRECT(_xlfn.CONCAT("weather.tbl[",P$1,"]")),MATCH(vp.tbl[[#This Row],[SDate]],weather.tbl[Date],0))</f>
        <v>6.7</v>
      </c>
      <c r="Q1260" s="2">
        <f ca="1">INDEX(INDIRECT(_xlfn.CONCAT("weather.tbl[",Q$1,"]")),MATCH(vp.tbl[[#This Row],[SDate]],weather.tbl[Date],0))</f>
        <v>8.1999999999999993</v>
      </c>
      <c r="R1260" s="2">
        <f ca="1">INDEX(INDIRECT(_xlfn.CONCAT("weather.tbl[",R$1,"]")),MATCH(vp.tbl[[#This Row],[SDate]],weather.tbl[Date],0))</f>
        <v>6</v>
      </c>
      <c r="S1260" s="2">
        <f ca="1">INDEX(INDIRECT(_xlfn.CONCAT("weather.tbl[",S$1,"]")),MATCH(vp.tbl[[#This Row],[SDate]],weather.tbl[Date],0))</f>
        <v>7.2</v>
      </c>
      <c r="T1260" s="2">
        <f ca="1">INDEX(INDIRECT(_xlfn.CONCAT("weather.tbl[",T$1,"]")),MATCH(vp.tbl[[#This Row],[SDate]],weather.tbl[Date],0))</f>
        <v>5.4</v>
      </c>
      <c r="U1260" s="2">
        <f ca="1">INDEX(INDIRECT(_xlfn.CONCAT("weather.tbl[",U$1,"]")),MATCH(vp.tbl[[#This Row],[SDate]],weather.tbl[Date],0))</f>
        <v>7</v>
      </c>
      <c r="V1260" s="2">
        <v>7693.7780000000002</v>
      </c>
      <c r="W1260" t="s">
        <v>48</v>
      </c>
      <c r="X1260">
        <f>IF(OR(vp.tbl[[#This Row],[Sulf]]="",vp.tbl[[#This Row],[Dens]]=""),1,0)</f>
        <v>0</v>
      </c>
      <c r="Y1260">
        <f>IF(vp.tbl[[#This Row],[CrudeType]]="C5+",1,0)</f>
        <v>0</v>
      </c>
      <c r="Z1260">
        <f>IF(AND(vp.tbl[[#This Row],[CrudeType]]="Crude",vp.tbl[[#This Row],[Dens]]&lt;=825,vp.tbl[[#This Row],[Sulf]]&gt;0.5,vp.tbl[[#This Row],[Unknown]]=0),1,0)</f>
        <v>0</v>
      </c>
      <c r="AA1260">
        <f>IF(AND(vp.tbl[[#This Row],[CrudeType]]="Crude",vp.tbl[[#This Row],[Dens]]&lt;=825,vp.tbl[[#This Row],[Sulf]]&lt;=0.5,vp.tbl[[#This Row],[Unknown]]=0),1,0)</f>
        <v>0</v>
      </c>
      <c r="AB1260">
        <f>IF(AND(vp.tbl[[#This Row],[CrudeType]]="Crude",vp.tbl[[#This Row],[Dens]]&gt;825,vp.tbl[[#This Row],[Dens]]&lt;=870,vp.tbl[[#This Row],[Sulf]]&gt;0.5,vp.tbl[[#This Row],[Unknown]]=0),1,0)</f>
        <v>1</v>
      </c>
      <c r="AC1260">
        <f>IF(AND(vp.tbl[[#This Row],[CrudeType]]="Crude",vp.tbl[[#This Row],[Dens]]&gt;825,vp.tbl[[#This Row],[Dens]]&lt;=900,vp.tbl[[#This Row],[Sulf]]&lt;=0.5,vp.tbl[[#This Row],[Unknown]]=0),1,0)</f>
        <v>0</v>
      </c>
      <c r="AD1260">
        <f>IF(AND(vp.tbl[[#This Row],[CrudeType]]="Crude",vp.tbl[[#This Row],[Dens]]&gt;870,vp.tbl[[#This Row],[Dens]]&lt;=900,vp.tbl[[#This Row],[Sulf]]&gt;0.5,vp.tbl[[#This Row],[Unknown]]=0),1,0)</f>
        <v>0</v>
      </c>
      <c r="AE1260">
        <f>IF(AND(vp.tbl[[#This Row],[CrudeType]]="Crude",vp.tbl[[#This Row],[Dens]]&gt;900,vp.tbl[[#This Row],[Sulf]]&lt;=0.5,vp.tbl[[#This Row],[Unknown]]=0),1,0)</f>
        <v>0</v>
      </c>
      <c r="AF1260">
        <f>IF(AND(vp.tbl[[#This Row],[CrudeType]]="Crude",vp.tbl[[#This Row],[Dens]]&gt;900,vp.tbl[[#This Row],[Sulf]]&lt;=0.5,vp.tbl[[#This Row],[Unknown]]=0),1,0)</f>
        <v>0</v>
      </c>
      <c r="AG1260" t="str">
        <f>INDEX(vp.tbl[[#Headers],[Unknown]:[Heavy_SW]],MATCH(1,vp.tbl[[#This Row],[Unknown]:[Heavy_SW]],0))</f>
        <v>Medium_LSB</v>
      </c>
      <c r="AH1260" t="e">
        <f>INDEX([1]!crudeBD.lkup[Number],MATCH(vp.tbl[[#This Row],[Crude_Breakdown]],[1]!crudeBD.lkup[Crude Breakdown],0))</f>
        <v>#REF!</v>
      </c>
      <c r="AI1260">
        <f>MONTH(vp.tbl[[#This Row],[SDate]])</f>
        <v>4</v>
      </c>
      <c r="AJ1260" s="5">
        <f>IFERROR(vp.tbl[[#This Row],[Sulf]]*vp.tbl[[#This Row],[Net Dens]],"")</f>
        <v>12322778.002590001</v>
      </c>
      <c r="AK1260" s="5">
        <f>IFERROR(vp.tbl[[#This Row],[Dens]]*vp.tbl[[#This Row],[VolumeM3]],"")</f>
        <v>6589720.8569999998</v>
      </c>
      <c r="AL1260" s="5">
        <f>IFERROR(vp.tbl[[#This Row],[VP]]*vp.tbl[[#This Row],[VolumeM3]],"")</f>
        <v>573186.46100000001</v>
      </c>
      <c r="AM1260" s="4">
        <f>IFERROR((vp.tbl[[#This Row],[VP]]-INDEX(crudeBD.lkup.complete[Mean_VP],MATCH(vp.tbl[[#This Row],[Crude_Breakdown]],crudeBD.lkup.complete[Crude Breakdown],0)))^2,"")</f>
        <v>32.189679505848005</v>
      </c>
      <c r="AN1260" s="4">
        <f>IFERROR((vp.tbl[[#This Row],[Dens]]-INDEX(crudeBD.lkup.complete[Mean_Dens],MATCH(vp.tbl[[#This Row],[Crude_Breakdown]],crudeBD.lkup.complete[Crude Breakdown],0)))^2,"")</f>
        <v>125.62323648712349</v>
      </c>
      <c r="AO1260" s="4">
        <f>IFERROR((vp.tbl[[#This Row],[Sulf]]-INDEX(crudeBD.lkup.complete[Mean_Sulf],MATCH(vp.tbl[[#This Row],[Crude_Breakdown]],crudeBD.lkup.complete[Crude Breakdown],0)))^2,"")</f>
        <v>0.17228322048913217</v>
      </c>
      <c r="AP1260">
        <f>IF(AND(vp.tbl[[#This Row],[SDate]]&gt;=DATE(YEAR(vp.tbl[[#This Row],[SDate]]),5,1),vp.tbl[[#This Row],[SDate]]&lt;=DATE(YEAR(vp.tbl[[#This Row],[SDate]]),9,15)),1,0)</f>
        <v>0</v>
      </c>
      <c r="AQ1260" s="15">
        <f>IF(vp.tbl[[#This Row],[SDate]]&lt;DATE(2016,12,1),0,1)</f>
        <v>1</v>
      </c>
    </row>
    <row r="1261" spans="1:43" x14ac:dyDescent="0.25">
      <c r="A1261">
        <v>1260</v>
      </c>
      <c r="B1261" t="s">
        <v>46</v>
      </c>
      <c r="C1261" t="s">
        <v>46</v>
      </c>
      <c r="D1261" t="s">
        <v>47</v>
      </c>
      <c r="F1261" s="1">
        <v>42844</v>
      </c>
      <c r="G1261" s="2">
        <v>57.9</v>
      </c>
      <c r="H1261" s="2"/>
      <c r="I1261" s="2">
        <v>2.4</v>
      </c>
      <c r="J1261" s="2">
        <v>31</v>
      </c>
      <c r="K1261" s="2">
        <v>8</v>
      </c>
      <c r="L1261" s="2">
        <v>869.2</v>
      </c>
      <c r="M1261" s="2">
        <v>869.2</v>
      </c>
      <c r="N1261" s="2">
        <f ca="1">INDEX(INDIRECT(_xlfn.CONCAT("weather.tbl[",N$1,"]")),MATCH(vp.tbl[[#This Row],[SDate]],weather.tbl[Date],0))</f>
        <v>6.75</v>
      </c>
      <c r="O1261" s="2">
        <f ca="1">INDEX(INDIRECT(_xlfn.CONCAT("weather.tbl[",O$1,"]")),MATCH(vp.tbl[[#This Row],[SDate]],weather.tbl[Date],0))</f>
        <v>5.2404761904761914</v>
      </c>
      <c r="P1261" s="2">
        <f ca="1">INDEX(INDIRECT(_xlfn.CONCAT("weather.tbl[",P$1,"]")),MATCH(vp.tbl[[#This Row],[SDate]],weather.tbl[Date],0))</f>
        <v>6.7</v>
      </c>
      <c r="Q1261" s="2">
        <f ca="1">INDEX(INDIRECT(_xlfn.CONCAT("weather.tbl[",Q$1,"]")),MATCH(vp.tbl[[#This Row],[SDate]],weather.tbl[Date],0))</f>
        <v>8.1999999999999993</v>
      </c>
      <c r="R1261" s="2">
        <f ca="1">INDEX(INDIRECT(_xlfn.CONCAT("weather.tbl[",R$1,"]")),MATCH(vp.tbl[[#This Row],[SDate]],weather.tbl[Date],0))</f>
        <v>6</v>
      </c>
      <c r="S1261" s="2">
        <f ca="1">INDEX(INDIRECT(_xlfn.CONCAT("weather.tbl[",S$1,"]")),MATCH(vp.tbl[[#This Row],[SDate]],weather.tbl[Date],0))</f>
        <v>7.2</v>
      </c>
      <c r="T1261" s="2">
        <f ca="1">INDEX(INDIRECT(_xlfn.CONCAT("weather.tbl[",T$1,"]")),MATCH(vp.tbl[[#This Row],[SDate]],weather.tbl[Date],0))</f>
        <v>5.4</v>
      </c>
      <c r="U1261" s="2">
        <f ca="1">INDEX(INDIRECT(_xlfn.CONCAT("weather.tbl[",U$1,"]")),MATCH(vp.tbl[[#This Row],[SDate]],weather.tbl[Date],0))</f>
        <v>7</v>
      </c>
      <c r="V1261" s="2">
        <v>115537.139</v>
      </c>
      <c r="W1261" t="s">
        <v>48</v>
      </c>
      <c r="X1261">
        <f>IF(OR(vp.tbl[[#This Row],[Sulf]]="",vp.tbl[[#This Row],[Dens]]=""),1,0)</f>
        <v>0</v>
      </c>
      <c r="Y1261">
        <f>IF(vp.tbl[[#This Row],[CrudeType]]="C5+",1,0)</f>
        <v>0</v>
      </c>
      <c r="Z1261">
        <f>IF(AND(vp.tbl[[#This Row],[CrudeType]]="Crude",vp.tbl[[#This Row],[Dens]]&lt;=825,vp.tbl[[#This Row],[Sulf]]&gt;0.5,vp.tbl[[#This Row],[Unknown]]=0),1,0)</f>
        <v>0</v>
      </c>
      <c r="AA1261">
        <f>IF(AND(vp.tbl[[#This Row],[CrudeType]]="Crude",vp.tbl[[#This Row],[Dens]]&lt;=825,vp.tbl[[#This Row],[Sulf]]&lt;=0.5,vp.tbl[[#This Row],[Unknown]]=0),1,0)</f>
        <v>0</v>
      </c>
      <c r="AB1261">
        <f>IF(AND(vp.tbl[[#This Row],[CrudeType]]="Crude",vp.tbl[[#This Row],[Dens]]&gt;825,vp.tbl[[#This Row],[Dens]]&lt;=870,vp.tbl[[#This Row],[Sulf]]&gt;0.5,vp.tbl[[#This Row],[Unknown]]=0),1,0)</f>
        <v>1</v>
      </c>
      <c r="AC1261">
        <f>IF(AND(vp.tbl[[#This Row],[CrudeType]]="Crude",vp.tbl[[#This Row],[Dens]]&gt;825,vp.tbl[[#This Row],[Dens]]&lt;=900,vp.tbl[[#This Row],[Sulf]]&lt;=0.5,vp.tbl[[#This Row],[Unknown]]=0),1,0)</f>
        <v>0</v>
      </c>
      <c r="AD1261">
        <f>IF(AND(vp.tbl[[#This Row],[CrudeType]]="Crude",vp.tbl[[#This Row],[Dens]]&gt;870,vp.tbl[[#This Row],[Dens]]&lt;=900,vp.tbl[[#This Row],[Sulf]]&gt;0.5,vp.tbl[[#This Row],[Unknown]]=0),1,0)</f>
        <v>0</v>
      </c>
      <c r="AE1261">
        <f>IF(AND(vp.tbl[[#This Row],[CrudeType]]="Crude",vp.tbl[[#This Row],[Dens]]&gt;900,vp.tbl[[#This Row],[Sulf]]&lt;=0.5,vp.tbl[[#This Row],[Unknown]]=0),1,0)</f>
        <v>0</v>
      </c>
      <c r="AF1261">
        <f>IF(AND(vp.tbl[[#This Row],[CrudeType]]="Crude",vp.tbl[[#This Row],[Dens]]&gt;900,vp.tbl[[#This Row],[Sulf]]&lt;=0.5,vp.tbl[[#This Row],[Unknown]]=0),1,0)</f>
        <v>0</v>
      </c>
      <c r="AG1261" t="str">
        <f>INDEX(vp.tbl[[#Headers],[Unknown]:[Heavy_SW]],MATCH(1,vp.tbl[[#This Row],[Unknown]:[Heavy_SW]],0))</f>
        <v>Medium_LSB</v>
      </c>
      <c r="AH1261" t="e">
        <f>INDEX([1]!crudeBD.lkup[Number],MATCH(vp.tbl[[#This Row],[Crude_Breakdown]],[1]!crudeBD.lkup[Crude Breakdown],0))</f>
        <v>#REF!</v>
      </c>
      <c r="AI1261">
        <f>MONTH(vp.tbl[[#This Row],[SDate]])</f>
        <v>4</v>
      </c>
      <c r="AJ1261" s="5">
        <f>IFERROR(vp.tbl[[#This Row],[Sulf]]*vp.tbl[[#This Row],[Net Dens]],"")</f>
        <v>241019714.92512003</v>
      </c>
      <c r="AK1261" s="5">
        <f>IFERROR(vp.tbl[[#This Row],[Dens]]*vp.tbl[[#This Row],[VolumeM3]],"")</f>
        <v>100424881.21880001</v>
      </c>
      <c r="AL1261" s="5">
        <f>IFERROR(vp.tbl[[#This Row],[VP]]*vp.tbl[[#This Row],[VolumeM3]],"")</f>
        <v>6689600.3480999991</v>
      </c>
      <c r="AM1261" s="4">
        <f>IFERROR((vp.tbl[[#This Row],[VP]]-INDEX(crudeBD.lkup.complete[Mean_VP],MATCH(vp.tbl[[#This Row],[Crude_Breakdown]],crudeBD.lkup.complete[Crude Breakdown],0)))^2,"")</f>
        <v>496.11303140458102</v>
      </c>
      <c r="AN1261" s="4">
        <f>IFERROR((vp.tbl[[#This Row],[Dens]]-INDEX(crudeBD.lkup.complete[Mean_Dens],MATCH(vp.tbl[[#This Row],[Crude_Breakdown]],crudeBD.lkup.complete[Crude Breakdown],0)))^2,"")</f>
        <v>571.60093775297344</v>
      </c>
      <c r="AO1261" s="4">
        <f>IFERROR((vp.tbl[[#This Row],[Sulf]]-INDEX(crudeBD.lkup.complete[Mean_Sulf],MATCH(vp.tbl[[#This Row],[Crude_Breakdown]],crudeBD.lkup.complete[Crude Breakdown],0)))^2,"")</f>
        <v>0.8931575680840671</v>
      </c>
      <c r="AP1261">
        <f>IF(AND(vp.tbl[[#This Row],[SDate]]&gt;=DATE(YEAR(vp.tbl[[#This Row],[SDate]]),5,1),vp.tbl[[#This Row],[SDate]]&lt;=DATE(YEAR(vp.tbl[[#This Row],[SDate]]),9,15)),1,0)</f>
        <v>0</v>
      </c>
      <c r="AQ1261" s="15">
        <f>IF(vp.tbl[[#This Row],[SDate]]&lt;DATE(2016,12,1),0,1)</f>
        <v>1</v>
      </c>
    </row>
    <row r="1262" spans="1:43" x14ac:dyDescent="0.25">
      <c r="A1262">
        <v>1261</v>
      </c>
      <c r="B1262" t="s">
        <v>64</v>
      </c>
      <c r="C1262" t="s">
        <v>64</v>
      </c>
      <c r="D1262" t="s">
        <v>65</v>
      </c>
      <c r="F1262" s="1">
        <v>42844</v>
      </c>
      <c r="G1262" s="2">
        <v>47.7</v>
      </c>
      <c r="H1262" s="2"/>
      <c r="I1262" s="2">
        <v>2.11</v>
      </c>
      <c r="J1262" s="2">
        <v>33.1</v>
      </c>
      <c r="K1262" s="2">
        <v>8</v>
      </c>
      <c r="L1262" s="2">
        <v>876.1</v>
      </c>
      <c r="M1262" s="2">
        <v>876.1</v>
      </c>
      <c r="N1262" s="2">
        <f ca="1">INDEX(INDIRECT(_xlfn.CONCAT("weather.tbl[",N$1,"]")),MATCH(vp.tbl[[#This Row],[SDate]],weather.tbl[Date],0))</f>
        <v>6.75</v>
      </c>
      <c r="O1262" s="2">
        <f ca="1">INDEX(INDIRECT(_xlfn.CONCAT("weather.tbl[",O$1,"]")),MATCH(vp.tbl[[#This Row],[SDate]],weather.tbl[Date],0))</f>
        <v>5.2404761904761914</v>
      </c>
      <c r="P1262" s="2">
        <f ca="1">INDEX(INDIRECT(_xlfn.CONCAT("weather.tbl[",P$1,"]")),MATCH(vp.tbl[[#This Row],[SDate]],weather.tbl[Date],0))</f>
        <v>6.7</v>
      </c>
      <c r="Q1262" s="2">
        <f ca="1">INDEX(INDIRECT(_xlfn.CONCAT("weather.tbl[",Q$1,"]")),MATCH(vp.tbl[[#This Row],[SDate]],weather.tbl[Date],0))</f>
        <v>8.1999999999999993</v>
      </c>
      <c r="R1262" s="2">
        <f ca="1">INDEX(INDIRECT(_xlfn.CONCAT("weather.tbl[",R$1,"]")),MATCH(vp.tbl[[#This Row],[SDate]],weather.tbl[Date],0))</f>
        <v>6</v>
      </c>
      <c r="S1262" s="2">
        <f ca="1">INDEX(INDIRECT(_xlfn.CONCAT("weather.tbl[",S$1,"]")),MATCH(vp.tbl[[#This Row],[SDate]],weather.tbl[Date],0))</f>
        <v>7.2</v>
      </c>
      <c r="T1262" s="2">
        <f ca="1">INDEX(INDIRECT(_xlfn.CONCAT("weather.tbl[",T$1,"]")),MATCH(vp.tbl[[#This Row],[SDate]],weather.tbl[Date],0))</f>
        <v>5.4</v>
      </c>
      <c r="U1262" s="2">
        <f ca="1">INDEX(INDIRECT(_xlfn.CONCAT("weather.tbl[",U$1,"]")),MATCH(vp.tbl[[#This Row],[SDate]],weather.tbl[Date],0))</f>
        <v>7</v>
      </c>
      <c r="V1262" s="2">
        <v>21877.668000000001</v>
      </c>
      <c r="W1262" t="s">
        <v>48</v>
      </c>
      <c r="X1262">
        <f>IF(OR(vp.tbl[[#This Row],[Sulf]]="",vp.tbl[[#This Row],[Dens]]=""),1,0)</f>
        <v>0</v>
      </c>
      <c r="Y1262">
        <f>IF(vp.tbl[[#This Row],[CrudeType]]="C5+",1,0)</f>
        <v>0</v>
      </c>
      <c r="Z1262">
        <f>IF(AND(vp.tbl[[#This Row],[CrudeType]]="Crude",vp.tbl[[#This Row],[Dens]]&lt;=825,vp.tbl[[#This Row],[Sulf]]&gt;0.5,vp.tbl[[#This Row],[Unknown]]=0),1,0)</f>
        <v>0</v>
      </c>
      <c r="AA1262">
        <f>IF(AND(vp.tbl[[#This Row],[CrudeType]]="Crude",vp.tbl[[#This Row],[Dens]]&lt;=825,vp.tbl[[#This Row],[Sulf]]&lt;=0.5,vp.tbl[[#This Row],[Unknown]]=0),1,0)</f>
        <v>0</v>
      </c>
      <c r="AB1262">
        <f>IF(AND(vp.tbl[[#This Row],[CrudeType]]="Crude",vp.tbl[[#This Row],[Dens]]&gt;825,vp.tbl[[#This Row],[Dens]]&lt;=870,vp.tbl[[#This Row],[Sulf]]&gt;0.5,vp.tbl[[#This Row],[Unknown]]=0),1,0)</f>
        <v>0</v>
      </c>
      <c r="AC1262">
        <f>IF(AND(vp.tbl[[#This Row],[CrudeType]]="Crude",vp.tbl[[#This Row],[Dens]]&gt;825,vp.tbl[[#This Row],[Dens]]&lt;=900,vp.tbl[[#This Row],[Sulf]]&lt;=0.5,vp.tbl[[#This Row],[Unknown]]=0),1,0)</f>
        <v>0</v>
      </c>
      <c r="AD1262">
        <f>IF(AND(vp.tbl[[#This Row],[CrudeType]]="Crude",vp.tbl[[#This Row],[Dens]]&gt;870,vp.tbl[[#This Row],[Dens]]&lt;=900,vp.tbl[[#This Row],[Sulf]]&gt;0.5,vp.tbl[[#This Row],[Unknown]]=0),1,0)</f>
        <v>1</v>
      </c>
      <c r="AE1262">
        <f>IF(AND(vp.tbl[[#This Row],[CrudeType]]="Crude",vp.tbl[[#This Row],[Dens]]&gt;900,vp.tbl[[#This Row],[Sulf]]&lt;=0.5,vp.tbl[[#This Row],[Unknown]]=0),1,0)</f>
        <v>0</v>
      </c>
      <c r="AF1262">
        <f>IF(AND(vp.tbl[[#This Row],[CrudeType]]="Crude",vp.tbl[[#This Row],[Dens]]&gt;900,vp.tbl[[#This Row],[Sulf]]&lt;=0.5,vp.tbl[[#This Row],[Unknown]]=0),1,0)</f>
        <v>0</v>
      </c>
      <c r="AG1262" t="str">
        <f>INDEX(vp.tbl[[#Headers],[Unknown]:[Heavy_SW]],MATCH(1,vp.tbl[[#This Row],[Unknown]:[Heavy_SW]],0))</f>
        <v>Midale</v>
      </c>
      <c r="AH1262" t="e">
        <f>INDEX([1]!crudeBD.lkup[Number],MATCH(vp.tbl[[#This Row],[Crude_Breakdown]],[1]!crudeBD.lkup[Crude Breakdown],0))</f>
        <v>#REF!</v>
      </c>
      <c r="AI1262">
        <f>MONTH(vp.tbl[[#This Row],[SDate]])</f>
        <v>4</v>
      </c>
      <c r="AJ1262" s="5">
        <f>IFERROR(vp.tbl[[#This Row],[Sulf]]*vp.tbl[[#This Row],[Net Dens]],"")</f>
        <v>40442422.612428002</v>
      </c>
      <c r="AK1262" s="5">
        <f>IFERROR(vp.tbl[[#This Row],[Dens]]*vp.tbl[[#This Row],[VolumeM3]],"")</f>
        <v>19167024.934800003</v>
      </c>
      <c r="AL1262" s="5">
        <f>IFERROR(vp.tbl[[#This Row],[VP]]*vp.tbl[[#This Row],[VolumeM3]],"")</f>
        <v>1043564.7636000002</v>
      </c>
      <c r="AM1262" s="4">
        <f>IFERROR((vp.tbl[[#This Row],[VP]]-INDEX(crudeBD.lkup.complete[Mean_VP],MATCH(vp.tbl[[#This Row],[Crude_Breakdown]],crudeBD.lkup.complete[Crude Breakdown],0)))^2,"")</f>
        <v>421.82407393507265</v>
      </c>
      <c r="AN1262" s="4">
        <f>IFERROR((vp.tbl[[#This Row],[Dens]]-INDEX(crudeBD.lkup.complete[Mean_Dens],MATCH(vp.tbl[[#This Row],[Crude_Breakdown]],crudeBD.lkup.complete[Crude Breakdown],0)))^2,"")</f>
        <v>2.1084631262891653</v>
      </c>
      <c r="AO1262" s="4">
        <f>IFERROR((vp.tbl[[#This Row],[Sulf]]-INDEX(crudeBD.lkup.complete[Mean_Sulf],MATCH(vp.tbl[[#This Row],[Crude_Breakdown]],crudeBD.lkup.complete[Crude Breakdown],0)))^2,"")</f>
        <v>9.3232599254812601E-2</v>
      </c>
      <c r="AP1262">
        <f>IF(AND(vp.tbl[[#This Row],[SDate]]&gt;=DATE(YEAR(vp.tbl[[#This Row],[SDate]]),5,1),vp.tbl[[#This Row],[SDate]]&lt;=DATE(YEAR(vp.tbl[[#This Row],[SDate]]),9,15)),1,0)</f>
        <v>0</v>
      </c>
      <c r="AQ1262" s="15">
        <f>IF(vp.tbl[[#This Row],[SDate]]&lt;DATE(2016,12,1),0,1)</f>
        <v>1</v>
      </c>
    </row>
    <row r="1263" spans="1:43" x14ac:dyDescent="0.25">
      <c r="A1263">
        <v>1262</v>
      </c>
      <c r="B1263" t="s">
        <v>111</v>
      </c>
      <c r="C1263" t="s">
        <v>111</v>
      </c>
      <c r="D1263" t="s">
        <v>234</v>
      </c>
      <c r="F1263" s="1">
        <v>42844</v>
      </c>
      <c r="G1263" s="2">
        <v>66.400000000000006</v>
      </c>
      <c r="H1263" s="2"/>
      <c r="I1263" s="2">
        <v>2.92</v>
      </c>
      <c r="J1263" s="2">
        <v>34.700000000000003</v>
      </c>
      <c r="K1263" s="2">
        <v>8</v>
      </c>
      <c r="L1263" s="2">
        <v>886.7</v>
      </c>
      <c r="M1263" s="2">
        <v>886.7</v>
      </c>
      <c r="N1263" s="2">
        <f ca="1">INDEX(INDIRECT(_xlfn.CONCAT("weather.tbl[",N$1,"]")),MATCH(vp.tbl[[#This Row],[SDate]],weather.tbl[Date],0))</f>
        <v>6.75</v>
      </c>
      <c r="O1263" s="2">
        <f ca="1">INDEX(INDIRECT(_xlfn.CONCAT("weather.tbl[",O$1,"]")),MATCH(vp.tbl[[#This Row],[SDate]],weather.tbl[Date],0))</f>
        <v>5.2404761904761914</v>
      </c>
      <c r="P1263" s="2">
        <f ca="1">INDEX(INDIRECT(_xlfn.CONCAT("weather.tbl[",P$1,"]")),MATCH(vp.tbl[[#This Row],[SDate]],weather.tbl[Date],0))</f>
        <v>6.7</v>
      </c>
      <c r="Q1263" s="2">
        <f ca="1">INDEX(INDIRECT(_xlfn.CONCAT("weather.tbl[",Q$1,"]")),MATCH(vp.tbl[[#This Row],[SDate]],weather.tbl[Date],0))</f>
        <v>8.1999999999999993</v>
      </c>
      <c r="R1263" s="2">
        <f ca="1">INDEX(INDIRECT(_xlfn.CONCAT("weather.tbl[",R$1,"]")),MATCH(vp.tbl[[#This Row],[SDate]],weather.tbl[Date],0))</f>
        <v>6</v>
      </c>
      <c r="S1263" s="2">
        <f ca="1">INDEX(INDIRECT(_xlfn.CONCAT("weather.tbl[",S$1,"]")),MATCH(vp.tbl[[#This Row],[SDate]],weather.tbl[Date],0))</f>
        <v>7.2</v>
      </c>
      <c r="T1263" s="2">
        <f ca="1">INDEX(INDIRECT(_xlfn.CONCAT("weather.tbl[",T$1,"]")),MATCH(vp.tbl[[#This Row],[SDate]],weather.tbl[Date],0))</f>
        <v>5.4</v>
      </c>
      <c r="U1263" s="2">
        <f ca="1">INDEX(INDIRECT(_xlfn.CONCAT("weather.tbl[",U$1,"]")),MATCH(vp.tbl[[#This Row],[SDate]],weather.tbl[Date],0))</f>
        <v>7</v>
      </c>
      <c r="V1263" s="2">
        <v>6110.1149999999998</v>
      </c>
      <c r="W1263" t="s">
        <v>48</v>
      </c>
      <c r="X1263">
        <f>IF(OR(vp.tbl[[#This Row],[Sulf]]="",vp.tbl[[#This Row],[Dens]]=""),1,0)</f>
        <v>0</v>
      </c>
      <c r="Y1263">
        <f>IF(vp.tbl[[#This Row],[CrudeType]]="C5+",1,0)</f>
        <v>0</v>
      </c>
      <c r="Z1263">
        <f>IF(AND(vp.tbl[[#This Row],[CrudeType]]="Crude",vp.tbl[[#This Row],[Dens]]&lt;=825,vp.tbl[[#This Row],[Sulf]]&gt;0.5,vp.tbl[[#This Row],[Unknown]]=0),1,0)</f>
        <v>0</v>
      </c>
      <c r="AA1263">
        <f>IF(AND(vp.tbl[[#This Row],[CrudeType]]="Crude",vp.tbl[[#This Row],[Dens]]&lt;=825,vp.tbl[[#This Row],[Sulf]]&lt;=0.5,vp.tbl[[#This Row],[Unknown]]=0),1,0)</f>
        <v>0</v>
      </c>
      <c r="AB1263">
        <f>IF(AND(vp.tbl[[#This Row],[CrudeType]]="Crude",vp.tbl[[#This Row],[Dens]]&gt;825,vp.tbl[[#This Row],[Dens]]&lt;=870,vp.tbl[[#This Row],[Sulf]]&gt;0.5,vp.tbl[[#This Row],[Unknown]]=0),1,0)</f>
        <v>0</v>
      </c>
      <c r="AC1263">
        <f>IF(AND(vp.tbl[[#This Row],[CrudeType]]="Crude",vp.tbl[[#This Row],[Dens]]&gt;825,vp.tbl[[#This Row],[Dens]]&lt;=900,vp.tbl[[#This Row],[Sulf]]&lt;=0.5,vp.tbl[[#This Row],[Unknown]]=0),1,0)</f>
        <v>0</v>
      </c>
      <c r="AD1263">
        <f>IF(AND(vp.tbl[[#This Row],[CrudeType]]="Crude",vp.tbl[[#This Row],[Dens]]&gt;870,vp.tbl[[#This Row],[Dens]]&lt;=900,vp.tbl[[#This Row],[Sulf]]&gt;0.5,vp.tbl[[#This Row],[Unknown]]=0),1,0)</f>
        <v>1</v>
      </c>
      <c r="AE1263">
        <f>IF(AND(vp.tbl[[#This Row],[CrudeType]]="Crude",vp.tbl[[#This Row],[Dens]]&gt;900,vp.tbl[[#This Row],[Sulf]]&lt;=0.5,vp.tbl[[#This Row],[Unknown]]=0),1,0)</f>
        <v>0</v>
      </c>
      <c r="AF1263">
        <f>IF(AND(vp.tbl[[#This Row],[CrudeType]]="Crude",vp.tbl[[#This Row],[Dens]]&gt;900,vp.tbl[[#This Row],[Sulf]]&lt;=0.5,vp.tbl[[#This Row],[Unknown]]=0),1,0)</f>
        <v>0</v>
      </c>
      <c r="AG1263" t="str">
        <f>INDEX(vp.tbl[[#Headers],[Unknown]:[Heavy_SW]],MATCH(1,vp.tbl[[#This Row],[Unknown]:[Heavy_SW]],0))</f>
        <v>Midale</v>
      </c>
      <c r="AH1263" t="e">
        <f>INDEX([1]!crudeBD.lkup[Number],MATCH(vp.tbl[[#This Row],[Crude_Breakdown]],[1]!crudeBD.lkup[Crude Breakdown],0))</f>
        <v>#REF!</v>
      </c>
      <c r="AI1263">
        <f>MONTH(vp.tbl[[#This Row],[SDate]])</f>
        <v>4</v>
      </c>
      <c r="AJ1263" s="5">
        <f>IFERROR(vp.tbl[[#This Row],[Sulf]]*vp.tbl[[#This Row],[Net Dens]],"")</f>
        <v>15820089.79386</v>
      </c>
      <c r="AK1263" s="5">
        <f>IFERROR(vp.tbl[[#This Row],[Dens]]*vp.tbl[[#This Row],[VolumeM3]],"")</f>
        <v>5417838.9704999998</v>
      </c>
      <c r="AL1263" s="5">
        <f>IFERROR(vp.tbl[[#This Row],[VP]]*vp.tbl[[#This Row],[VolumeM3]],"")</f>
        <v>405711.636</v>
      </c>
      <c r="AM1263" s="4">
        <f>IFERROR((vp.tbl[[#This Row],[VP]]-INDEX(crudeBD.lkup.complete[Mean_VP],MATCH(vp.tbl[[#This Row],[Crude_Breakdown]],crudeBD.lkup.complete[Crude Breakdown],0)))^2,"")</f>
        <v>3.3795533871270682</v>
      </c>
      <c r="AN1263" s="4">
        <f>IFERROR((vp.tbl[[#This Row],[Dens]]-INDEX(crudeBD.lkup.complete[Mean_Dens],MATCH(vp.tbl[[#This Row],[Crude_Breakdown]],crudeBD.lkup.complete[Crude Breakdown],0)))^2,"")</f>
        <v>83.684901482460859</v>
      </c>
      <c r="AO1263" s="4">
        <f>IFERROR((vp.tbl[[#This Row],[Sulf]]-INDEX(crudeBD.lkup.complete[Mean_Sulf],MATCH(vp.tbl[[#This Row],[Crude_Breakdown]],crudeBD.lkup.complete[Crude Breakdown],0)))^2,"")</f>
        <v>0.25468157733700625</v>
      </c>
      <c r="AP1263">
        <f>IF(AND(vp.tbl[[#This Row],[SDate]]&gt;=DATE(YEAR(vp.tbl[[#This Row],[SDate]]),5,1),vp.tbl[[#This Row],[SDate]]&lt;=DATE(YEAR(vp.tbl[[#This Row],[SDate]]),9,15)),1,0)</f>
        <v>0</v>
      </c>
      <c r="AQ1263" s="15">
        <f>IF(vp.tbl[[#This Row],[SDate]]&lt;DATE(2016,12,1),0,1)</f>
        <v>1</v>
      </c>
    </row>
    <row r="1264" spans="1:43" x14ac:dyDescent="0.25">
      <c r="A1264">
        <v>1263</v>
      </c>
      <c r="B1264" t="s">
        <v>49</v>
      </c>
      <c r="C1264" t="s">
        <v>49</v>
      </c>
      <c r="D1264" t="s">
        <v>81</v>
      </c>
      <c r="F1264" s="1">
        <v>42845</v>
      </c>
      <c r="G1264" s="2">
        <v>82</v>
      </c>
      <c r="H1264" s="2">
        <v>0.52500000000000002</v>
      </c>
      <c r="I1264" s="2">
        <v>0.52500000000000002</v>
      </c>
      <c r="J1264" s="2">
        <v>7.3</v>
      </c>
      <c r="K1264" s="2">
        <v>16</v>
      </c>
      <c r="L1264" s="2">
        <v>822.4</v>
      </c>
      <c r="M1264" s="2">
        <v>822.4</v>
      </c>
      <c r="N1264" s="2">
        <f ca="1">INDEX(INDIRECT(_xlfn.CONCAT("weather.tbl[",N$1,"]")),MATCH(vp.tbl[[#This Row],[SDate]],weather.tbl[Date],0))</f>
        <v>8.9500000000000011</v>
      </c>
      <c r="O1264" s="2">
        <f ca="1">INDEX(INDIRECT(_xlfn.CONCAT("weather.tbl[",O$1,"]")),MATCH(vp.tbl[[#This Row],[SDate]],weather.tbl[Date],0))</f>
        <v>5.15</v>
      </c>
      <c r="P1264" s="2">
        <f ca="1">INDEX(INDIRECT(_xlfn.CONCAT("weather.tbl[",P$1,"]")),MATCH(vp.tbl[[#This Row],[SDate]],weather.tbl[Date],0))</f>
        <v>9.6</v>
      </c>
      <c r="Q1264" s="2">
        <f ca="1">INDEX(INDIRECT(_xlfn.CONCAT("weather.tbl[",Q$1,"]")),MATCH(vp.tbl[[#This Row],[SDate]],weather.tbl[Date],0))</f>
        <v>9.1</v>
      </c>
      <c r="R1264" s="2">
        <f ca="1">INDEX(INDIRECT(_xlfn.CONCAT("weather.tbl[",R$1,"]")),MATCH(vp.tbl[[#This Row],[SDate]],weather.tbl[Date],0))</f>
        <v>9.3000000000000007</v>
      </c>
      <c r="S1264" s="2">
        <f ca="1">INDEX(INDIRECT(_xlfn.CONCAT("weather.tbl[",S$1,"]")),MATCH(vp.tbl[[#This Row],[SDate]],weather.tbl[Date],0))</f>
        <v>8.8000000000000007</v>
      </c>
      <c r="T1264" s="2">
        <f ca="1">INDEX(INDIRECT(_xlfn.CONCAT("weather.tbl[",T$1,"]")),MATCH(vp.tbl[[#This Row],[SDate]],weather.tbl[Date],0))</f>
        <v>8.1</v>
      </c>
      <c r="U1264" s="2">
        <f ca="1">INDEX(INDIRECT(_xlfn.CONCAT("weather.tbl[",U$1,"]")),MATCH(vp.tbl[[#This Row],[SDate]],weather.tbl[Date],0))</f>
        <v>8.8000000000000007</v>
      </c>
      <c r="V1264" s="2">
        <v>19345.195</v>
      </c>
      <c r="W1264" t="s">
        <v>48</v>
      </c>
      <c r="X1264">
        <f>IF(OR(vp.tbl[[#This Row],[Sulf]]="",vp.tbl[[#This Row],[Dens]]=""),1,0)</f>
        <v>0</v>
      </c>
      <c r="Y1264">
        <f>IF(vp.tbl[[#This Row],[CrudeType]]="C5+",1,0)</f>
        <v>0</v>
      </c>
      <c r="Z1264">
        <f>IF(AND(vp.tbl[[#This Row],[CrudeType]]="Crude",vp.tbl[[#This Row],[Dens]]&lt;=825,vp.tbl[[#This Row],[Sulf]]&gt;0.5,vp.tbl[[#This Row],[Unknown]]=0),1,0)</f>
        <v>1</v>
      </c>
      <c r="AA1264">
        <f>IF(AND(vp.tbl[[#This Row],[CrudeType]]="Crude",vp.tbl[[#This Row],[Dens]]&lt;=825,vp.tbl[[#This Row],[Sulf]]&lt;=0.5,vp.tbl[[#This Row],[Unknown]]=0),1,0)</f>
        <v>0</v>
      </c>
      <c r="AB1264">
        <f>IF(AND(vp.tbl[[#This Row],[CrudeType]]="Crude",vp.tbl[[#This Row],[Dens]]&gt;825,vp.tbl[[#This Row],[Dens]]&lt;=870,vp.tbl[[#This Row],[Sulf]]&gt;0.5,vp.tbl[[#This Row],[Unknown]]=0),1,0)</f>
        <v>0</v>
      </c>
      <c r="AC1264">
        <f>IF(AND(vp.tbl[[#This Row],[CrudeType]]="Crude",vp.tbl[[#This Row],[Dens]]&gt;825,vp.tbl[[#This Row],[Dens]]&lt;=900,vp.tbl[[#This Row],[Sulf]]&lt;=0.5,vp.tbl[[#This Row],[Unknown]]=0),1,0)</f>
        <v>0</v>
      </c>
      <c r="AD1264">
        <f>IF(AND(vp.tbl[[#This Row],[CrudeType]]="Crude",vp.tbl[[#This Row],[Dens]]&gt;870,vp.tbl[[#This Row],[Dens]]&lt;=900,vp.tbl[[#This Row],[Sulf]]&gt;0.5,vp.tbl[[#This Row],[Unknown]]=0),1,0)</f>
        <v>0</v>
      </c>
      <c r="AE1264">
        <f>IF(AND(vp.tbl[[#This Row],[CrudeType]]="Crude",vp.tbl[[#This Row],[Dens]]&gt;900,vp.tbl[[#This Row],[Sulf]]&lt;=0.5,vp.tbl[[#This Row],[Unknown]]=0),1,0)</f>
        <v>0</v>
      </c>
      <c r="AF1264">
        <f>IF(AND(vp.tbl[[#This Row],[CrudeType]]="Crude",vp.tbl[[#This Row],[Dens]]&gt;900,vp.tbl[[#This Row],[Sulf]]&lt;=0.5,vp.tbl[[#This Row],[Unknown]]=0),1,0)</f>
        <v>0</v>
      </c>
      <c r="AG1264" t="str">
        <f>INDEX(vp.tbl[[#Headers],[Unknown]:[Heavy_SW]],MATCH(1,vp.tbl[[#This Row],[Unknown]:[Heavy_SW]],0))</f>
        <v>Light_LSB</v>
      </c>
      <c r="AH1264" t="e">
        <f>INDEX([1]!crudeBD.lkup[Number],MATCH(vp.tbl[[#This Row],[Crude_Breakdown]],[1]!crudeBD.lkup[Crude Breakdown],0))</f>
        <v>#REF!</v>
      </c>
      <c r="AI1264">
        <f>MONTH(vp.tbl[[#This Row],[SDate]])</f>
        <v>4</v>
      </c>
      <c r="AJ1264" s="5">
        <f>IFERROR(vp.tbl[[#This Row],[Sulf]]*vp.tbl[[#This Row],[Net Dens]],"")</f>
        <v>8352481.3931999998</v>
      </c>
      <c r="AK1264" s="5">
        <f>IFERROR(vp.tbl[[#This Row],[Dens]]*vp.tbl[[#This Row],[VolumeM3]],"")</f>
        <v>15909488.367999999</v>
      </c>
      <c r="AL1264" s="5">
        <f>IFERROR(vp.tbl[[#This Row],[VP]]*vp.tbl[[#This Row],[VolumeM3]],"")</f>
        <v>1586305.99</v>
      </c>
      <c r="AM1264" s="4">
        <f>IFERROR((vp.tbl[[#This Row],[VP]]-INDEX(crudeBD.lkup.complete[Mean_VP],MATCH(vp.tbl[[#This Row],[Crude_Breakdown]],crudeBD.lkup.complete[Crude Breakdown],0)))^2,"")</f>
        <v>91.129658879796537</v>
      </c>
      <c r="AN1264" s="4">
        <f>IFERROR((vp.tbl[[#This Row],[Dens]]-INDEX(crudeBD.lkup.complete[Mean_Dens],MATCH(vp.tbl[[#This Row],[Crude_Breakdown]],crudeBD.lkup.complete[Crude Breakdown],0)))^2,"")</f>
        <v>15.07947710112294</v>
      </c>
      <c r="AO1264" s="4">
        <f>IFERROR((vp.tbl[[#This Row],[Sulf]]-INDEX(crudeBD.lkup.complete[Mean_Sulf],MATCH(vp.tbl[[#This Row],[Crude_Breakdown]],crudeBD.lkup.complete[Crude Breakdown],0)))^2,"")</f>
        <v>0.15838105086562607</v>
      </c>
      <c r="AP1264">
        <f>IF(AND(vp.tbl[[#This Row],[SDate]]&gt;=DATE(YEAR(vp.tbl[[#This Row],[SDate]]),5,1),vp.tbl[[#This Row],[SDate]]&lt;=DATE(YEAR(vp.tbl[[#This Row],[SDate]]),9,15)),1,0)</f>
        <v>0</v>
      </c>
      <c r="AQ1264" s="15">
        <f>IF(vp.tbl[[#This Row],[SDate]]&lt;DATE(2016,12,1),0,1)</f>
        <v>1</v>
      </c>
    </row>
    <row r="1265" spans="1:43" x14ac:dyDescent="0.25">
      <c r="A1265">
        <v>1264</v>
      </c>
      <c r="B1265" t="s">
        <v>49</v>
      </c>
      <c r="C1265" t="s">
        <v>49</v>
      </c>
      <c r="D1265" t="s">
        <v>70</v>
      </c>
      <c r="F1265" s="1">
        <v>42845</v>
      </c>
      <c r="G1265" s="2">
        <v>89.4</v>
      </c>
      <c r="H1265" s="2">
        <v>0.85399999999999998</v>
      </c>
      <c r="I1265" s="2">
        <v>0.85399999999999998</v>
      </c>
      <c r="J1265" s="2">
        <v>19.5</v>
      </c>
      <c r="K1265" s="2">
        <v>16</v>
      </c>
      <c r="L1265" s="2">
        <v>813.5</v>
      </c>
      <c r="M1265" s="2">
        <v>813.5</v>
      </c>
      <c r="N1265" s="2">
        <f ca="1">INDEX(INDIRECT(_xlfn.CONCAT("weather.tbl[",N$1,"]")),MATCH(vp.tbl[[#This Row],[SDate]],weather.tbl[Date],0))</f>
        <v>8.9500000000000011</v>
      </c>
      <c r="O1265" s="2">
        <f ca="1">INDEX(INDIRECT(_xlfn.CONCAT("weather.tbl[",O$1,"]")),MATCH(vp.tbl[[#This Row],[SDate]],weather.tbl[Date],0))</f>
        <v>5.15</v>
      </c>
      <c r="P1265" s="2">
        <f ca="1">INDEX(INDIRECT(_xlfn.CONCAT("weather.tbl[",P$1,"]")),MATCH(vp.tbl[[#This Row],[SDate]],weather.tbl[Date],0))</f>
        <v>9.6</v>
      </c>
      <c r="Q1265" s="2">
        <f ca="1">INDEX(INDIRECT(_xlfn.CONCAT("weather.tbl[",Q$1,"]")),MATCH(vp.tbl[[#This Row],[SDate]],weather.tbl[Date],0))</f>
        <v>9.1</v>
      </c>
      <c r="R1265" s="2">
        <f ca="1">INDEX(INDIRECT(_xlfn.CONCAT("weather.tbl[",R$1,"]")),MATCH(vp.tbl[[#This Row],[SDate]],weather.tbl[Date],0))</f>
        <v>9.3000000000000007</v>
      </c>
      <c r="S1265" s="2">
        <f ca="1">INDEX(INDIRECT(_xlfn.CONCAT("weather.tbl[",S$1,"]")),MATCH(vp.tbl[[#This Row],[SDate]],weather.tbl[Date],0))</f>
        <v>8.8000000000000007</v>
      </c>
      <c r="T1265" s="2">
        <f ca="1">INDEX(INDIRECT(_xlfn.CONCAT("weather.tbl[",T$1,"]")),MATCH(vp.tbl[[#This Row],[SDate]],weather.tbl[Date],0))</f>
        <v>8.1</v>
      </c>
      <c r="U1265" s="2">
        <f ca="1">INDEX(INDIRECT(_xlfn.CONCAT("weather.tbl[",U$1,"]")),MATCH(vp.tbl[[#This Row],[SDate]],weather.tbl[Date],0))</f>
        <v>8.8000000000000007</v>
      </c>
      <c r="V1265" s="2">
        <v>3029.3780000000002</v>
      </c>
      <c r="W1265" t="s">
        <v>48</v>
      </c>
      <c r="X1265">
        <f>IF(OR(vp.tbl[[#This Row],[Sulf]]="",vp.tbl[[#This Row],[Dens]]=""),1,0)</f>
        <v>0</v>
      </c>
      <c r="Y1265">
        <f>IF(vp.tbl[[#This Row],[CrudeType]]="C5+",1,0)</f>
        <v>0</v>
      </c>
      <c r="Z1265">
        <f>IF(AND(vp.tbl[[#This Row],[CrudeType]]="Crude",vp.tbl[[#This Row],[Dens]]&lt;=825,vp.tbl[[#This Row],[Sulf]]&gt;0.5,vp.tbl[[#This Row],[Unknown]]=0),1,0)</f>
        <v>1</v>
      </c>
      <c r="AA1265">
        <f>IF(AND(vp.tbl[[#This Row],[CrudeType]]="Crude",vp.tbl[[#This Row],[Dens]]&lt;=825,vp.tbl[[#This Row],[Sulf]]&lt;=0.5,vp.tbl[[#This Row],[Unknown]]=0),1,0)</f>
        <v>0</v>
      </c>
      <c r="AB1265">
        <f>IF(AND(vp.tbl[[#This Row],[CrudeType]]="Crude",vp.tbl[[#This Row],[Dens]]&gt;825,vp.tbl[[#This Row],[Dens]]&lt;=870,vp.tbl[[#This Row],[Sulf]]&gt;0.5,vp.tbl[[#This Row],[Unknown]]=0),1,0)</f>
        <v>0</v>
      </c>
      <c r="AC1265">
        <f>IF(AND(vp.tbl[[#This Row],[CrudeType]]="Crude",vp.tbl[[#This Row],[Dens]]&gt;825,vp.tbl[[#This Row],[Dens]]&lt;=900,vp.tbl[[#This Row],[Sulf]]&lt;=0.5,vp.tbl[[#This Row],[Unknown]]=0),1,0)</f>
        <v>0</v>
      </c>
      <c r="AD1265">
        <f>IF(AND(vp.tbl[[#This Row],[CrudeType]]="Crude",vp.tbl[[#This Row],[Dens]]&gt;870,vp.tbl[[#This Row],[Dens]]&lt;=900,vp.tbl[[#This Row],[Sulf]]&gt;0.5,vp.tbl[[#This Row],[Unknown]]=0),1,0)</f>
        <v>0</v>
      </c>
      <c r="AE1265">
        <f>IF(AND(vp.tbl[[#This Row],[CrudeType]]="Crude",vp.tbl[[#This Row],[Dens]]&gt;900,vp.tbl[[#This Row],[Sulf]]&lt;=0.5,vp.tbl[[#This Row],[Unknown]]=0),1,0)</f>
        <v>0</v>
      </c>
      <c r="AF1265">
        <f>IF(AND(vp.tbl[[#This Row],[CrudeType]]="Crude",vp.tbl[[#This Row],[Dens]]&gt;900,vp.tbl[[#This Row],[Sulf]]&lt;=0.5,vp.tbl[[#This Row],[Unknown]]=0),1,0)</f>
        <v>0</v>
      </c>
      <c r="AG1265" t="str">
        <f>INDEX(vp.tbl[[#Headers],[Unknown]:[Heavy_SW]],MATCH(1,vp.tbl[[#This Row],[Unknown]:[Heavy_SW]],0))</f>
        <v>Light_LSB</v>
      </c>
      <c r="AH1265" t="e">
        <f>INDEX([1]!crudeBD.lkup[Number],MATCH(vp.tbl[[#This Row],[Crude_Breakdown]],[1]!crudeBD.lkup[Crude Breakdown],0))</f>
        <v>#REF!</v>
      </c>
      <c r="AI1265">
        <f>MONTH(vp.tbl[[#This Row],[SDate]])</f>
        <v>4</v>
      </c>
      <c r="AJ1265" s="5">
        <f>IFERROR(vp.tbl[[#This Row],[Sulf]]*vp.tbl[[#This Row],[Net Dens]],"")</f>
        <v>2104596.7485619998</v>
      </c>
      <c r="AK1265" s="5">
        <f>IFERROR(vp.tbl[[#This Row],[Dens]]*vp.tbl[[#This Row],[VolumeM3]],"")</f>
        <v>2464399.003</v>
      </c>
      <c r="AL1265" s="5">
        <f>IFERROR(vp.tbl[[#This Row],[VP]]*vp.tbl[[#This Row],[VolumeM3]],"")</f>
        <v>270826.39320000005</v>
      </c>
      <c r="AM1265" s="4">
        <f>IFERROR((vp.tbl[[#This Row],[VP]]-INDEX(crudeBD.lkup.complete[Mean_VP],MATCH(vp.tbl[[#This Row],[Crude_Breakdown]],crudeBD.lkup.complete[Crude Breakdown],0)))^2,"")</f>
        <v>4.6061124880434718</v>
      </c>
      <c r="AN1265" s="4">
        <f>IFERROR((vp.tbl[[#This Row],[Dens]]-INDEX(crudeBD.lkup.complete[Mean_Dens],MATCH(vp.tbl[[#This Row],[Crude_Breakdown]],crudeBD.lkup.complete[Crude Breakdown],0)))^2,"")</f>
        <v>25.167978819330582</v>
      </c>
      <c r="AO1265" s="4">
        <f>IFERROR((vp.tbl[[#This Row],[Sulf]]-INDEX(crudeBD.lkup.complete[Mean_Sulf],MATCH(vp.tbl[[#This Row],[Crude_Breakdown]],crudeBD.lkup.complete[Crude Breakdown],0)))^2,"")</f>
        <v>4.7570220683753996E-3</v>
      </c>
      <c r="AP1265">
        <f>IF(AND(vp.tbl[[#This Row],[SDate]]&gt;=DATE(YEAR(vp.tbl[[#This Row],[SDate]]),5,1),vp.tbl[[#This Row],[SDate]]&lt;=DATE(YEAR(vp.tbl[[#This Row],[SDate]]),9,15)),1,0)</f>
        <v>0</v>
      </c>
      <c r="AQ1265" s="15">
        <f>IF(vp.tbl[[#This Row],[SDate]]&lt;DATE(2016,12,1),0,1)</f>
        <v>1</v>
      </c>
    </row>
    <row r="1266" spans="1:43" x14ac:dyDescent="0.25">
      <c r="A1266">
        <v>1265</v>
      </c>
      <c r="B1266" t="s">
        <v>49</v>
      </c>
      <c r="C1266" t="s">
        <v>49</v>
      </c>
      <c r="D1266" t="s">
        <v>88</v>
      </c>
      <c r="F1266" s="1">
        <v>42845</v>
      </c>
      <c r="G1266" s="2">
        <v>69.099999999999994</v>
      </c>
      <c r="H1266" s="2">
        <v>1.8169999999999999</v>
      </c>
      <c r="I1266" s="2">
        <v>1.8169999999999999</v>
      </c>
      <c r="J1266" s="2">
        <v>7.9</v>
      </c>
      <c r="K1266" s="2">
        <v>16</v>
      </c>
      <c r="L1266" s="2">
        <v>844.7</v>
      </c>
      <c r="M1266" s="2">
        <v>844.7</v>
      </c>
      <c r="N1266" s="2">
        <f ca="1">INDEX(INDIRECT(_xlfn.CONCAT("weather.tbl[",N$1,"]")),MATCH(vp.tbl[[#This Row],[SDate]],weather.tbl[Date],0))</f>
        <v>8.9500000000000011</v>
      </c>
      <c r="O1266" s="2">
        <f ca="1">INDEX(INDIRECT(_xlfn.CONCAT("weather.tbl[",O$1,"]")),MATCH(vp.tbl[[#This Row],[SDate]],weather.tbl[Date],0))</f>
        <v>5.15</v>
      </c>
      <c r="P1266" s="2">
        <f ca="1">INDEX(INDIRECT(_xlfn.CONCAT("weather.tbl[",P$1,"]")),MATCH(vp.tbl[[#This Row],[SDate]],weather.tbl[Date],0))</f>
        <v>9.6</v>
      </c>
      <c r="Q1266" s="2">
        <f ca="1">INDEX(INDIRECT(_xlfn.CONCAT("weather.tbl[",Q$1,"]")),MATCH(vp.tbl[[#This Row],[SDate]],weather.tbl[Date],0))</f>
        <v>9.1</v>
      </c>
      <c r="R1266" s="2">
        <f ca="1">INDEX(INDIRECT(_xlfn.CONCAT("weather.tbl[",R$1,"]")),MATCH(vp.tbl[[#This Row],[SDate]],weather.tbl[Date],0))</f>
        <v>9.3000000000000007</v>
      </c>
      <c r="S1266" s="2">
        <f ca="1">INDEX(INDIRECT(_xlfn.CONCAT("weather.tbl[",S$1,"]")),MATCH(vp.tbl[[#This Row],[SDate]],weather.tbl[Date],0))</f>
        <v>8.8000000000000007</v>
      </c>
      <c r="T1266" s="2">
        <f ca="1">INDEX(INDIRECT(_xlfn.CONCAT("weather.tbl[",T$1,"]")),MATCH(vp.tbl[[#This Row],[SDate]],weather.tbl[Date],0))</f>
        <v>8.1</v>
      </c>
      <c r="U1266" s="2">
        <f ca="1">INDEX(INDIRECT(_xlfn.CONCAT("weather.tbl[",U$1,"]")),MATCH(vp.tbl[[#This Row],[SDate]],weather.tbl[Date],0))</f>
        <v>8.8000000000000007</v>
      </c>
      <c r="V1266" s="2">
        <v>4145.7510000000002</v>
      </c>
      <c r="W1266" t="s">
        <v>48</v>
      </c>
      <c r="X1266">
        <f>IF(OR(vp.tbl[[#This Row],[Sulf]]="",vp.tbl[[#This Row],[Dens]]=""),1,0)</f>
        <v>0</v>
      </c>
      <c r="Y1266">
        <f>IF(vp.tbl[[#This Row],[CrudeType]]="C5+",1,0)</f>
        <v>0</v>
      </c>
      <c r="Z1266">
        <f>IF(AND(vp.tbl[[#This Row],[CrudeType]]="Crude",vp.tbl[[#This Row],[Dens]]&lt;=825,vp.tbl[[#This Row],[Sulf]]&gt;0.5,vp.tbl[[#This Row],[Unknown]]=0),1,0)</f>
        <v>0</v>
      </c>
      <c r="AA1266">
        <f>IF(AND(vp.tbl[[#This Row],[CrudeType]]="Crude",vp.tbl[[#This Row],[Dens]]&lt;=825,vp.tbl[[#This Row],[Sulf]]&lt;=0.5,vp.tbl[[#This Row],[Unknown]]=0),1,0)</f>
        <v>0</v>
      </c>
      <c r="AB1266">
        <f>IF(AND(vp.tbl[[#This Row],[CrudeType]]="Crude",vp.tbl[[#This Row],[Dens]]&gt;825,vp.tbl[[#This Row],[Dens]]&lt;=870,vp.tbl[[#This Row],[Sulf]]&gt;0.5,vp.tbl[[#This Row],[Unknown]]=0),1,0)</f>
        <v>1</v>
      </c>
      <c r="AC1266">
        <f>IF(AND(vp.tbl[[#This Row],[CrudeType]]="Crude",vp.tbl[[#This Row],[Dens]]&gt;825,vp.tbl[[#This Row],[Dens]]&lt;=900,vp.tbl[[#This Row],[Sulf]]&lt;=0.5,vp.tbl[[#This Row],[Unknown]]=0),1,0)</f>
        <v>0</v>
      </c>
      <c r="AD1266">
        <f>IF(AND(vp.tbl[[#This Row],[CrudeType]]="Crude",vp.tbl[[#This Row],[Dens]]&gt;870,vp.tbl[[#This Row],[Dens]]&lt;=900,vp.tbl[[#This Row],[Sulf]]&gt;0.5,vp.tbl[[#This Row],[Unknown]]=0),1,0)</f>
        <v>0</v>
      </c>
      <c r="AE1266">
        <f>IF(AND(vp.tbl[[#This Row],[CrudeType]]="Crude",vp.tbl[[#This Row],[Dens]]&gt;900,vp.tbl[[#This Row],[Sulf]]&lt;=0.5,vp.tbl[[#This Row],[Unknown]]=0),1,0)</f>
        <v>0</v>
      </c>
      <c r="AF1266">
        <f>IF(AND(vp.tbl[[#This Row],[CrudeType]]="Crude",vp.tbl[[#This Row],[Dens]]&gt;900,vp.tbl[[#This Row],[Sulf]]&lt;=0.5,vp.tbl[[#This Row],[Unknown]]=0),1,0)</f>
        <v>0</v>
      </c>
      <c r="AG1266" t="str">
        <f>INDEX(vp.tbl[[#Headers],[Unknown]:[Heavy_SW]],MATCH(1,vp.tbl[[#This Row],[Unknown]:[Heavy_SW]],0))</f>
        <v>Medium_LSB</v>
      </c>
      <c r="AH1266" t="e">
        <f>INDEX([1]!crudeBD.lkup[Number],MATCH(vp.tbl[[#This Row],[Crude_Breakdown]],[1]!crudeBD.lkup[Crude Breakdown],0))</f>
        <v>#REF!</v>
      </c>
      <c r="AI1266">
        <f>MONTH(vp.tbl[[#This Row],[SDate]])</f>
        <v>4</v>
      </c>
      <c r="AJ1266" s="5">
        <f>IFERROR(vp.tbl[[#This Row],[Sulf]]*vp.tbl[[#This Row],[Net Dens]],"")</f>
        <v>6362981.1352449004</v>
      </c>
      <c r="AK1266" s="5">
        <f>IFERROR(vp.tbl[[#This Row],[Dens]]*vp.tbl[[#This Row],[VolumeM3]],"")</f>
        <v>3501915.8697000002</v>
      </c>
      <c r="AL1266" s="5">
        <f>IFERROR(vp.tbl[[#This Row],[VP]]*vp.tbl[[#This Row],[VolumeM3]],"")</f>
        <v>286471.39409999998</v>
      </c>
      <c r="AM1266" s="4">
        <f>IFERROR((vp.tbl[[#This Row],[VP]]-INDEX(crudeBD.lkup.complete[Mean_VP],MATCH(vp.tbl[[#This Row],[Crude_Breakdown]],crudeBD.lkup.complete[Crude Breakdown],0)))^2,"")</f>
        <v>122.62450482230342</v>
      </c>
      <c r="AN1266" s="4">
        <f>IFERROR((vp.tbl[[#This Row],[Dens]]-INDEX(crudeBD.lkup.complete[Mean_Dens],MATCH(vp.tbl[[#This Row],[Crude_Breakdown]],crudeBD.lkup.complete[Crude Breakdown],0)))^2,"")</f>
        <v>0.3502542086191941</v>
      </c>
      <c r="AO1266" s="4">
        <f>IFERROR((vp.tbl[[#This Row],[Sulf]]-INDEX(crudeBD.lkup.complete[Mean_Sulf],MATCH(vp.tbl[[#This Row],[Crude_Breakdown]],crudeBD.lkup.complete[Crude Breakdown],0)))^2,"")</f>
        <v>0.13109478572963854</v>
      </c>
      <c r="AP1266">
        <f>IF(AND(vp.tbl[[#This Row],[SDate]]&gt;=DATE(YEAR(vp.tbl[[#This Row],[SDate]]),5,1),vp.tbl[[#This Row],[SDate]]&lt;=DATE(YEAR(vp.tbl[[#This Row],[SDate]]),9,15)),1,0)</f>
        <v>0</v>
      </c>
      <c r="AQ1266" s="15">
        <f>IF(vp.tbl[[#This Row],[SDate]]&lt;DATE(2016,12,1),0,1)</f>
        <v>1</v>
      </c>
    </row>
    <row r="1267" spans="1:43" x14ac:dyDescent="0.25">
      <c r="A1267">
        <v>1266</v>
      </c>
      <c r="B1267" t="s">
        <v>96</v>
      </c>
      <c r="C1267" t="s">
        <v>96</v>
      </c>
      <c r="D1267" t="s">
        <v>97</v>
      </c>
      <c r="F1267" s="1">
        <v>42845</v>
      </c>
      <c r="G1267" s="2">
        <v>71.099999999999994</v>
      </c>
      <c r="H1267" s="2"/>
      <c r="I1267" s="2">
        <v>0.51</v>
      </c>
      <c r="J1267" s="2">
        <v>33.1</v>
      </c>
      <c r="K1267" s="2">
        <v>16</v>
      </c>
      <c r="L1267" s="2">
        <v>820.1</v>
      </c>
      <c r="M1267" s="2">
        <v>820.1</v>
      </c>
      <c r="N1267" s="2">
        <f ca="1">INDEX(INDIRECT(_xlfn.CONCAT("weather.tbl[",N$1,"]")),MATCH(vp.tbl[[#This Row],[SDate]],weather.tbl[Date],0))</f>
        <v>8.9500000000000011</v>
      </c>
      <c r="O1267" s="2">
        <f ca="1">INDEX(INDIRECT(_xlfn.CONCAT("weather.tbl[",O$1,"]")),MATCH(vp.tbl[[#This Row],[SDate]],weather.tbl[Date],0))</f>
        <v>5.15</v>
      </c>
      <c r="P1267" s="2">
        <f ca="1">INDEX(INDIRECT(_xlfn.CONCAT("weather.tbl[",P$1,"]")),MATCH(vp.tbl[[#This Row],[SDate]],weather.tbl[Date],0))</f>
        <v>9.6</v>
      </c>
      <c r="Q1267" s="2">
        <f ca="1">INDEX(INDIRECT(_xlfn.CONCAT("weather.tbl[",Q$1,"]")),MATCH(vp.tbl[[#This Row],[SDate]],weather.tbl[Date],0))</f>
        <v>9.1</v>
      </c>
      <c r="R1267" s="2">
        <f ca="1">INDEX(INDIRECT(_xlfn.CONCAT("weather.tbl[",R$1,"]")),MATCH(vp.tbl[[#This Row],[SDate]],weather.tbl[Date],0))</f>
        <v>9.3000000000000007</v>
      </c>
      <c r="S1267" s="2">
        <f ca="1">INDEX(INDIRECT(_xlfn.CONCAT("weather.tbl[",S$1,"]")),MATCH(vp.tbl[[#This Row],[SDate]],weather.tbl[Date],0))</f>
        <v>8.8000000000000007</v>
      </c>
      <c r="T1267" s="2">
        <f ca="1">INDEX(INDIRECT(_xlfn.CONCAT("weather.tbl[",T$1,"]")),MATCH(vp.tbl[[#This Row],[SDate]],weather.tbl[Date],0))</f>
        <v>8.1</v>
      </c>
      <c r="U1267" s="2">
        <f ca="1">INDEX(INDIRECT(_xlfn.CONCAT("weather.tbl[",U$1,"]")),MATCH(vp.tbl[[#This Row],[SDate]],weather.tbl[Date],0))</f>
        <v>8.8000000000000007</v>
      </c>
      <c r="V1267" s="2">
        <v>6210.3829999999998</v>
      </c>
      <c r="W1267" t="s">
        <v>48</v>
      </c>
      <c r="X1267">
        <f>IF(OR(vp.tbl[[#This Row],[Sulf]]="",vp.tbl[[#This Row],[Dens]]=""),1,0)</f>
        <v>0</v>
      </c>
      <c r="Y1267">
        <f>IF(vp.tbl[[#This Row],[CrudeType]]="C5+",1,0)</f>
        <v>0</v>
      </c>
      <c r="Z1267">
        <f>IF(AND(vp.tbl[[#This Row],[CrudeType]]="Crude",vp.tbl[[#This Row],[Dens]]&lt;=825,vp.tbl[[#This Row],[Sulf]]&gt;0.5,vp.tbl[[#This Row],[Unknown]]=0),1,0)</f>
        <v>1</v>
      </c>
      <c r="AA1267">
        <f>IF(AND(vp.tbl[[#This Row],[CrudeType]]="Crude",vp.tbl[[#This Row],[Dens]]&lt;=825,vp.tbl[[#This Row],[Sulf]]&lt;=0.5,vp.tbl[[#This Row],[Unknown]]=0),1,0)</f>
        <v>0</v>
      </c>
      <c r="AB1267">
        <f>IF(AND(vp.tbl[[#This Row],[CrudeType]]="Crude",vp.tbl[[#This Row],[Dens]]&gt;825,vp.tbl[[#This Row],[Dens]]&lt;=870,vp.tbl[[#This Row],[Sulf]]&gt;0.5,vp.tbl[[#This Row],[Unknown]]=0),1,0)</f>
        <v>0</v>
      </c>
      <c r="AC1267">
        <f>IF(AND(vp.tbl[[#This Row],[CrudeType]]="Crude",vp.tbl[[#This Row],[Dens]]&gt;825,vp.tbl[[#This Row],[Dens]]&lt;=900,vp.tbl[[#This Row],[Sulf]]&lt;=0.5,vp.tbl[[#This Row],[Unknown]]=0),1,0)</f>
        <v>0</v>
      </c>
      <c r="AD1267">
        <f>IF(AND(vp.tbl[[#This Row],[CrudeType]]="Crude",vp.tbl[[#This Row],[Dens]]&gt;870,vp.tbl[[#This Row],[Dens]]&lt;=900,vp.tbl[[#This Row],[Sulf]]&gt;0.5,vp.tbl[[#This Row],[Unknown]]=0),1,0)</f>
        <v>0</v>
      </c>
      <c r="AE1267">
        <f>IF(AND(vp.tbl[[#This Row],[CrudeType]]="Crude",vp.tbl[[#This Row],[Dens]]&gt;900,vp.tbl[[#This Row],[Sulf]]&lt;=0.5,vp.tbl[[#This Row],[Unknown]]=0),1,0)</f>
        <v>0</v>
      </c>
      <c r="AF1267">
        <f>IF(AND(vp.tbl[[#This Row],[CrudeType]]="Crude",vp.tbl[[#This Row],[Dens]]&gt;900,vp.tbl[[#This Row],[Sulf]]&lt;=0.5,vp.tbl[[#This Row],[Unknown]]=0),1,0)</f>
        <v>0</v>
      </c>
      <c r="AG1267" t="str">
        <f>INDEX(vp.tbl[[#Headers],[Unknown]:[Heavy_SW]],MATCH(1,vp.tbl[[#This Row],[Unknown]:[Heavy_SW]],0))</f>
        <v>Light_LSB</v>
      </c>
      <c r="AH1267" t="e">
        <f>INDEX([1]!crudeBD.lkup[Number],MATCH(vp.tbl[[#This Row],[Crude_Breakdown]],[1]!crudeBD.lkup[Crude Breakdown],0))</f>
        <v>#REF!</v>
      </c>
      <c r="AI1267">
        <f>MONTH(vp.tbl[[#This Row],[SDate]])</f>
        <v>4</v>
      </c>
      <c r="AJ1267" s="5">
        <f>IFERROR(vp.tbl[[#This Row],[Sulf]]*vp.tbl[[#This Row],[Net Dens]],"")</f>
        <v>2597498.9001329998</v>
      </c>
      <c r="AK1267" s="5">
        <f>IFERROR(vp.tbl[[#This Row],[Dens]]*vp.tbl[[#This Row],[VolumeM3]],"")</f>
        <v>5093135.0982999997</v>
      </c>
      <c r="AL1267" s="5">
        <f>IFERROR(vp.tbl[[#This Row],[VP]]*vp.tbl[[#This Row],[VolumeM3]],"")</f>
        <v>441558.23129999993</v>
      </c>
      <c r="AM1267" s="4">
        <f>IFERROR((vp.tbl[[#This Row],[VP]]-INDEX(crudeBD.lkup.complete[Mean_VP],MATCH(vp.tbl[[#This Row],[Crude_Breakdown]],crudeBD.lkup.complete[Crude Breakdown],0)))^2,"")</f>
        <v>418.0465042406222</v>
      </c>
      <c r="AN1267" s="4">
        <f>IFERROR((vp.tbl[[#This Row],[Dens]]-INDEX(crudeBD.lkup.complete[Mean_Dens],MATCH(vp.tbl[[#This Row],[Crude_Breakdown]],crudeBD.lkup.complete[Crude Breakdown],0)))^2,"")</f>
        <v>2.5066179945925335</v>
      </c>
      <c r="AO1267" s="4">
        <f>IFERROR((vp.tbl[[#This Row],[Sulf]]-INDEX(crudeBD.lkup.complete[Mean_Sulf],MATCH(vp.tbl[[#This Row],[Crude_Breakdown]],crudeBD.lkup.complete[Crude Breakdown],0)))^2,"")</f>
        <v>0.17054518591717246</v>
      </c>
      <c r="AP1267">
        <f>IF(AND(vp.tbl[[#This Row],[SDate]]&gt;=DATE(YEAR(vp.tbl[[#This Row],[SDate]]),5,1),vp.tbl[[#This Row],[SDate]]&lt;=DATE(YEAR(vp.tbl[[#This Row],[SDate]]),9,15)),1,0)</f>
        <v>0</v>
      </c>
      <c r="AQ1267" s="15">
        <f>IF(vp.tbl[[#This Row],[SDate]]&lt;DATE(2016,12,1),0,1)</f>
        <v>1</v>
      </c>
    </row>
    <row r="1268" spans="1:43" x14ac:dyDescent="0.25">
      <c r="A1268">
        <v>1267</v>
      </c>
      <c r="B1268" t="s">
        <v>51</v>
      </c>
      <c r="C1268" t="s">
        <v>51</v>
      </c>
      <c r="D1268" t="s">
        <v>72</v>
      </c>
      <c r="F1268" s="1">
        <v>42845</v>
      </c>
      <c r="G1268" s="2">
        <v>95.5</v>
      </c>
      <c r="H1268" s="2"/>
      <c r="I1268" s="2">
        <v>1.04</v>
      </c>
      <c r="J1268" s="2">
        <v>26.1</v>
      </c>
      <c r="K1268" s="2">
        <v>16</v>
      </c>
      <c r="L1268" s="2">
        <v>823.4</v>
      </c>
      <c r="M1268" s="2">
        <v>823.4</v>
      </c>
      <c r="N1268" s="2">
        <f ca="1">INDEX(INDIRECT(_xlfn.CONCAT("weather.tbl[",N$1,"]")),MATCH(vp.tbl[[#This Row],[SDate]],weather.tbl[Date],0))</f>
        <v>8.9500000000000011</v>
      </c>
      <c r="O1268" s="2">
        <f ca="1">INDEX(INDIRECT(_xlfn.CONCAT("weather.tbl[",O$1,"]")),MATCH(vp.tbl[[#This Row],[SDate]],weather.tbl[Date],0))</f>
        <v>5.15</v>
      </c>
      <c r="P1268" s="2">
        <f ca="1">INDEX(INDIRECT(_xlfn.CONCAT("weather.tbl[",P$1,"]")),MATCH(vp.tbl[[#This Row],[SDate]],weather.tbl[Date],0))</f>
        <v>9.6</v>
      </c>
      <c r="Q1268" s="2">
        <f ca="1">INDEX(INDIRECT(_xlfn.CONCAT("weather.tbl[",Q$1,"]")),MATCH(vp.tbl[[#This Row],[SDate]],weather.tbl[Date],0))</f>
        <v>9.1</v>
      </c>
      <c r="R1268" s="2">
        <f ca="1">INDEX(INDIRECT(_xlfn.CONCAT("weather.tbl[",R$1,"]")),MATCH(vp.tbl[[#This Row],[SDate]],weather.tbl[Date],0))</f>
        <v>9.3000000000000007</v>
      </c>
      <c r="S1268" s="2">
        <f ca="1">INDEX(INDIRECT(_xlfn.CONCAT("weather.tbl[",S$1,"]")),MATCH(vp.tbl[[#This Row],[SDate]],weather.tbl[Date],0))</f>
        <v>8.8000000000000007</v>
      </c>
      <c r="T1268" s="2">
        <f ca="1">INDEX(INDIRECT(_xlfn.CONCAT("weather.tbl[",T$1,"]")),MATCH(vp.tbl[[#This Row],[SDate]],weather.tbl[Date],0))</f>
        <v>8.1</v>
      </c>
      <c r="U1268" s="2">
        <f ca="1">INDEX(INDIRECT(_xlfn.CONCAT("weather.tbl[",U$1,"]")),MATCH(vp.tbl[[#This Row],[SDate]],weather.tbl[Date],0))</f>
        <v>8.8000000000000007</v>
      </c>
      <c r="V1268" s="2">
        <v>12874.832</v>
      </c>
      <c r="W1268" t="s">
        <v>48</v>
      </c>
      <c r="X1268">
        <f>IF(OR(vp.tbl[[#This Row],[Sulf]]="",vp.tbl[[#This Row],[Dens]]=""),1,0)</f>
        <v>0</v>
      </c>
      <c r="Y1268">
        <f>IF(vp.tbl[[#This Row],[CrudeType]]="C5+",1,0)</f>
        <v>0</v>
      </c>
      <c r="Z1268">
        <f>IF(AND(vp.tbl[[#This Row],[CrudeType]]="Crude",vp.tbl[[#This Row],[Dens]]&lt;=825,vp.tbl[[#This Row],[Sulf]]&gt;0.5,vp.tbl[[#This Row],[Unknown]]=0),1,0)</f>
        <v>1</v>
      </c>
      <c r="AA1268">
        <f>IF(AND(vp.tbl[[#This Row],[CrudeType]]="Crude",vp.tbl[[#This Row],[Dens]]&lt;=825,vp.tbl[[#This Row],[Sulf]]&lt;=0.5,vp.tbl[[#This Row],[Unknown]]=0),1,0)</f>
        <v>0</v>
      </c>
      <c r="AB1268">
        <f>IF(AND(vp.tbl[[#This Row],[CrudeType]]="Crude",vp.tbl[[#This Row],[Dens]]&gt;825,vp.tbl[[#This Row],[Dens]]&lt;=870,vp.tbl[[#This Row],[Sulf]]&gt;0.5,vp.tbl[[#This Row],[Unknown]]=0),1,0)</f>
        <v>0</v>
      </c>
      <c r="AC1268">
        <f>IF(AND(vp.tbl[[#This Row],[CrudeType]]="Crude",vp.tbl[[#This Row],[Dens]]&gt;825,vp.tbl[[#This Row],[Dens]]&lt;=900,vp.tbl[[#This Row],[Sulf]]&lt;=0.5,vp.tbl[[#This Row],[Unknown]]=0),1,0)</f>
        <v>0</v>
      </c>
      <c r="AD1268">
        <f>IF(AND(vp.tbl[[#This Row],[CrudeType]]="Crude",vp.tbl[[#This Row],[Dens]]&gt;870,vp.tbl[[#This Row],[Dens]]&lt;=900,vp.tbl[[#This Row],[Sulf]]&gt;0.5,vp.tbl[[#This Row],[Unknown]]=0),1,0)</f>
        <v>0</v>
      </c>
      <c r="AE1268">
        <f>IF(AND(vp.tbl[[#This Row],[CrudeType]]="Crude",vp.tbl[[#This Row],[Dens]]&gt;900,vp.tbl[[#This Row],[Sulf]]&lt;=0.5,vp.tbl[[#This Row],[Unknown]]=0),1,0)</f>
        <v>0</v>
      </c>
      <c r="AF1268">
        <f>IF(AND(vp.tbl[[#This Row],[CrudeType]]="Crude",vp.tbl[[#This Row],[Dens]]&gt;900,vp.tbl[[#This Row],[Sulf]]&lt;=0.5,vp.tbl[[#This Row],[Unknown]]=0),1,0)</f>
        <v>0</v>
      </c>
      <c r="AG1268" t="str">
        <f>INDEX(vp.tbl[[#Headers],[Unknown]:[Heavy_SW]],MATCH(1,vp.tbl[[#This Row],[Unknown]:[Heavy_SW]],0))</f>
        <v>Light_LSB</v>
      </c>
      <c r="AH1268" t="e">
        <f>INDEX([1]!crudeBD.lkup[Number],MATCH(vp.tbl[[#This Row],[Crude_Breakdown]],[1]!crudeBD.lkup[Crude Breakdown],0))</f>
        <v>#REF!</v>
      </c>
      <c r="AI1268">
        <f>MONTH(vp.tbl[[#This Row],[SDate]])</f>
        <v>4</v>
      </c>
      <c r="AJ1268" s="5">
        <f>IFERROR(vp.tbl[[#This Row],[Sulf]]*vp.tbl[[#This Row],[Net Dens]],"")</f>
        <v>11025182.135552</v>
      </c>
      <c r="AK1268" s="5">
        <f>IFERROR(vp.tbl[[#This Row],[Dens]]*vp.tbl[[#This Row],[VolumeM3]],"")</f>
        <v>10601136.6688</v>
      </c>
      <c r="AL1268" s="5">
        <f>IFERROR(vp.tbl[[#This Row],[VP]]*vp.tbl[[#This Row],[VolumeM3]],"")</f>
        <v>1229546.456</v>
      </c>
      <c r="AM1268" s="4">
        <f>IFERROR((vp.tbl[[#This Row],[VP]]-INDEX(crudeBD.lkup.complete[Mean_VP],MATCH(vp.tbl[[#This Row],[Crude_Breakdown]],crudeBD.lkup.complete[Crude Breakdown],0)))^2,"")</f>
        <v>15.632648570517343</v>
      </c>
      <c r="AN1268" s="4">
        <f>IFERROR((vp.tbl[[#This Row],[Dens]]-INDEX(crudeBD.lkup.complete[Mean_Dens],MATCH(vp.tbl[[#This Row],[Crude_Breakdown]],crudeBD.lkup.complete[Crude Breakdown],0)))^2,"")</f>
        <v>23.845937582223179</v>
      </c>
      <c r="AO1268" s="4">
        <f>IFERROR((vp.tbl[[#This Row],[Sulf]]-INDEX(crudeBD.lkup.complete[Mean_Sulf],MATCH(vp.tbl[[#This Row],[Crude_Breakdown]],crudeBD.lkup.complete[Crude Breakdown],0)))^2,"")</f>
        <v>1.3695747429200242E-2</v>
      </c>
      <c r="AP1268">
        <f>IF(AND(vp.tbl[[#This Row],[SDate]]&gt;=DATE(YEAR(vp.tbl[[#This Row],[SDate]]),5,1),vp.tbl[[#This Row],[SDate]]&lt;=DATE(YEAR(vp.tbl[[#This Row],[SDate]]),9,15)),1,0)</f>
        <v>0</v>
      </c>
      <c r="AQ1268" s="15">
        <f>IF(vp.tbl[[#This Row],[SDate]]&lt;DATE(2016,12,1),0,1)</f>
        <v>1</v>
      </c>
    </row>
    <row r="1269" spans="1:43" x14ac:dyDescent="0.25">
      <c r="A1269">
        <v>1268</v>
      </c>
      <c r="B1269" t="s">
        <v>51</v>
      </c>
      <c r="C1269" t="s">
        <v>51</v>
      </c>
      <c r="D1269" t="s">
        <v>66</v>
      </c>
      <c r="F1269" s="1">
        <v>42845</v>
      </c>
      <c r="G1269" s="2">
        <v>84.4</v>
      </c>
      <c r="H1269" s="2"/>
      <c r="I1269" s="2">
        <v>1.52</v>
      </c>
      <c r="J1269" s="2">
        <v>9.1999999999999993</v>
      </c>
      <c r="K1269" s="2">
        <v>16</v>
      </c>
      <c r="L1269" s="2">
        <v>824.4</v>
      </c>
      <c r="M1269" s="2">
        <v>824.4</v>
      </c>
      <c r="N1269" s="2">
        <f ca="1">INDEX(INDIRECT(_xlfn.CONCAT("weather.tbl[",N$1,"]")),MATCH(vp.tbl[[#This Row],[SDate]],weather.tbl[Date],0))</f>
        <v>8.9500000000000011</v>
      </c>
      <c r="O1269" s="2">
        <f ca="1">INDEX(INDIRECT(_xlfn.CONCAT("weather.tbl[",O$1,"]")),MATCH(vp.tbl[[#This Row],[SDate]],weather.tbl[Date],0))</f>
        <v>5.15</v>
      </c>
      <c r="P1269" s="2">
        <f ca="1">INDEX(INDIRECT(_xlfn.CONCAT("weather.tbl[",P$1,"]")),MATCH(vp.tbl[[#This Row],[SDate]],weather.tbl[Date],0))</f>
        <v>9.6</v>
      </c>
      <c r="Q1269" s="2">
        <f ca="1">INDEX(INDIRECT(_xlfn.CONCAT("weather.tbl[",Q$1,"]")),MATCH(vp.tbl[[#This Row],[SDate]],weather.tbl[Date],0))</f>
        <v>9.1</v>
      </c>
      <c r="R1269" s="2">
        <f ca="1">INDEX(INDIRECT(_xlfn.CONCAT("weather.tbl[",R$1,"]")),MATCH(vp.tbl[[#This Row],[SDate]],weather.tbl[Date],0))</f>
        <v>9.3000000000000007</v>
      </c>
      <c r="S1269" s="2">
        <f ca="1">INDEX(INDIRECT(_xlfn.CONCAT("weather.tbl[",S$1,"]")),MATCH(vp.tbl[[#This Row],[SDate]],weather.tbl[Date],0))</f>
        <v>8.8000000000000007</v>
      </c>
      <c r="T1269" s="2">
        <f ca="1">INDEX(INDIRECT(_xlfn.CONCAT("weather.tbl[",T$1,"]")),MATCH(vp.tbl[[#This Row],[SDate]],weather.tbl[Date],0))</f>
        <v>8.1</v>
      </c>
      <c r="U1269" s="2">
        <f ca="1">INDEX(INDIRECT(_xlfn.CONCAT("weather.tbl[",U$1,"]")),MATCH(vp.tbl[[#This Row],[SDate]],weather.tbl[Date],0))</f>
        <v>8.8000000000000007</v>
      </c>
      <c r="V1269" s="2">
        <v>3352.8609999999999</v>
      </c>
      <c r="W1269" t="s">
        <v>48</v>
      </c>
      <c r="X1269">
        <f>IF(OR(vp.tbl[[#This Row],[Sulf]]="",vp.tbl[[#This Row],[Dens]]=""),1,0)</f>
        <v>0</v>
      </c>
      <c r="Y1269">
        <f>IF(vp.tbl[[#This Row],[CrudeType]]="C5+",1,0)</f>
        <v>0</v>
      </c>
      <c r="Z1269">
        <f>IF(AND(vp.tbl[[#This Row],[CrudeType]]="Crude",vp.tbl[[#This Row],[Dens]]&lt;=825,vp.tbl[[#This Row],[Sulf]]&gt;0.5,vp.tbl[[#This Row],[Unknown]]=0),1,0)</f>
        <v>1</v>
      </c>
      <c r="AA1269">
        <f>IF(AND(vp.tbl[[#This Row],[CrudeType]]="Crude",vp.tbl[[#This Row],[Dens]]&lt;=825,vp.tbl[[#This Row],[Sulf]]&lt;=0.5,vp.tbl[[#This Row],[Unknown]]=0),1,0)</f>
        <v>0</v>
      </c>
      <c r="AB1269">
        <f>IF(AND(vp.tbl[[#This Row],[CrudeType]]="Crude",vp.tbl[[#This Row],[Dens]]&gt;825,vp.tbl[[#This Row],[Dens]]&lt;=870,vp.tbl[[#This Row],[Sulf]]&gt;0.5,vp.tbl[[#This Row],[Unknown]]=0),1,0)</f>
        <v>0</v>
      </c>
      <c r="AC1269">
        <f>IF(AND(vp.tbl[[#This Row],[CrudeType]]="Crude",vp.tbl[[#This Row],[Dens]]&gt;825,vp.tbl[[#This Row],[Dens]]&lt;=900,vp.tbl[[#This Row],[Sulf]]&lt;=0.5,vp.tbl[[#This Row],[Unknown]]=0),1,0)</f>
        <v>0</v>
      </c>
      <c r="AD1269">
        <f>IF(AND(vp.tbl[[#This Row],[CrudeType]]="Crude",vp.tbl[[#This Row],[Dens]]&gt;870,vp.tbl[[#This Row],[Dens]]&lt;=900,vp.tbl[[#This Row],[Sulf]]&gt;0.5,vp.tbl[[#This Row],[Unknown]]=0),1,0)</f>
        <v>0</v>
      </c>
      <c r="AE1269">
        <f>IF(AND(vp.tbl[[#This Row],[CrudeType]]="Crude",vp.tbl[[#This Row],[Dens]]&gt;900,vp.tbl[[#This Row],[Sulf]]&lt;=0.5,vp.tbl[[#This Row],[Unknown]]=0),1,0)</f>
        <v>0</v>
      </c>
      <c r="AF1269">
        <f>IF(AND(vp.tbl[[#This Row],[CrudeType]]="Crude",vp.tbl[[#This Row],[Dens]]&gt;900,vp.tbl[[#This Row],[Sulf]]&lt;=0.5,vp.tbl[[#This Row],[Unknown]]=0),1,0)</f>
        <v>0</v>
      </c>
      <c r="AG1269" t="str">
        <f>INDEX(vp.tbl[[#Headers],[Unknown]:[Heavy_SW]],MATCH(1,vp.tbl[[#This Row],[Unknown]:[Heavy_SW]],0))</f>
        <v>Light_LSB</v>
      </c>
      <c r="AH1269" t="e">
        <f>INDEX([1]!crudeBD.lkup[Number],MATCH(vp.tbl[[#This Row],[Crude_Breakdown]],[1]!crudeBD.lkup[Crude Breakdown],0))</f>
        <v>#REF!</v>
      </c>
      <c r="AI1269">
        <f>MONTH(vp.tbl[[#This Row],[SDate]])</f>
        <v>4</v>
      </c>
      <c r="AJ1269" s="5">
        <f>IFERROR(vp.tbl[[#This Row],[Sulf]]*vp.tbl[[#This Row],[Net Dens]],"")</f>
        <v>4201429.8847679999</v>
      </c>
      <c r="AK1269" s="5">
        <f>IFERROR(vp.tbl[[#This Row],[Dens]]*vp.tbl[[#This Row],[VolumeM3]],"")</f>
        <v>2764098.6083999998</v>
      </c>
      <c r="AL1269" s="5">
        <f>IFERROR(vp.tbl[[#This Row],[VP]]*vp.tbl[[#This Row],[VolumeM3]],"")</f>
        <v>282981.46840000001</v>
      </c>
      <c r="AM1269" s="4">
        <f>IFERROR((vp.tbl[[#This Row],[VP]]-INDEX(crudeBD.lkup.complete[Mean_VP],MATCH(vp.tbl[[#This Row],[Crude_Breakdown]],crudeBD.lkup.complete[Crude Breakdown],0)))^2,"")</f>
        <v>51.067968158146819</v>
      </c>
      <c r="AN1269" s="4">
        <f>IFERROR((vp.tbl[[#This Row],[Dens]]-INDEX(crudeBD.lkup.complete[Mean_Dens],MATCH(vp.tbl[[#This Row],[Crude_Breakdown]],crudeBD.lkup.complete[Crude Breakdown],0)))^2,"")</f>
        <v>34.612398063323418</v>
      </c>
      <c r="AO1269" s="4">
        <f>IFERROR((vp.tbl[[#This Row],[Sulf]]-INDEX(crudeBD.lkup.complete[Mean_Sulf],MATCH(vp.tbl[[#This Row],[Crude_Breakdown]],crudeBD.lkup.complete[Crude Breakdown],0)))^2,"")</f>
        <v>0.35644342577971594</v>
      </c>
      <c r="AP1269">
        <f>IF(AND(vp.tbl[[#This Row],[SDate]]&gt;=DATE(YEAR(vp.tbl[[#This Row],[SDate]]),5,1),vp.tbl[[#This Row],[SDate]]&lt;=DATE(YEAR(vp.tbl[[#This Row],[SDate]]),9,15)),1,0)</f>
        <v>0</v>
      </c>
      <c r="AQ1269" s="15">
        <f>IF(vp.tbl[[#This Row],[SDate]]&lt;DATE(2016,12,1),0,1)</f>
        <v>1</v>
      </c>
    </row>
    <row r="1270" spans="1:43" x14ac:dyDescent="0.25">
      <c r="A1270">
        <v>1269</v>
      </c>
      <c r="B1270" t="s">
        <v>51</v>
      </c>
      <c r="C1270" t="s">
        <v>51</v>
      </c>
      <c r="D1270" t="s">
        <v>71</v>
      </c>
      <c r="F1270" s="1">
        <v>42845</v>
      </c>
      <c r="G1270" s="2">
        <v>79.900000000000006</v>
      </c>
      <c r="H1270" s="2"/>
      <c r="I1270" s="2">
        <v>1.57</v>
      </c>
      <c r="J1270" s="2">
        <v>18.100000000000001</v>
      </c>
      <c r="K1270" s="2">
        <v>16</v>
      </c>
      <c r="L1270" s="2">
        <v>829.6</v>
      </c>
      <c r="M1270" s="2">
        <v>829.6</v>
      </c>
      <c r="N1270" s="2">
        <f ca="1">INDEX(INDIRECT(_xlfn.CONCAT("weather.tbl[",N$1,"]")),MATCH(vp.tbl[[#This Row],[SDate]],weather.tbl[Date],0))</f>
        <v>8.9500000000000011</v>
      </c>
      <c r="O1270" s="2">
        <f ca="1">INDEX(INDIRECT(_xlfn.CONCAT("weather.tbl[",O$1,"]")),MATCH(vp.tbl[[#This Row],[SDate]],weather.tbl[Date],0))</f>
        <v>5.15</v>
      </c>
      <c r="P1270" s="2">
        <f ca="1">INDEX(INDIRECT(_xlfn.CONCAT("weather.tbl[",P$1,"]")),MATCH(vp.tbl[[#This Row],[SDate]],weather.tbl[Date],0))</f>
        <v>9.6</v>
      </c>
      <c r="Q1270" s="2">
        <f ca="1">INDEX(INDIRECT(_xlfn.CONCAT("weather.tbl[",Q$1,"]")),MATCH(vp.tbl[[#This Row],[SDate]],weather.tbl[Date],0))</f>
        <v>9.1</v>
      </c>
      <c r="R1270" s="2">
        <f ca="1">INDEX(INDIRECT(_xlfn.CONCAT("weather.tbl[",R$1,"]")),MATCH(vp.tbl[[#This Row],[SDate]],weather.tbl[Date],0))</f>
        <v>9.3000000000000007</v>
      </c>
      <c r="S1270" s="2">
        <f ca="1">INDEX(INDIRECT(_xlfn.CONCAT("weather.tbl[",S$1,"]")),MATCH(vp.tbl[[#This Row],[SDate]],weather.tbl[Date],0))</f>
        <v>8.8000000000000007</v>
      </c>
      <c r="T1270" s="2">
        <f ca="1">INDEX(INDIRECT(_xlfn.CONCAT("weather.tbl[",T$1,"]")),MATCH(vp.tbl[[#This Row],[SDate]],weather.tbl[Date],0))</f>
        <v>8.1</v>
      </c>
      <c r="U1270" s="2">
        <f ca="1">INDEX(INDIRECT(_xlfn.CONCAT("weather.tbl[",U$1,"]")),MATCH(vp.tbl[[#This Row],[SDate]],weather.tbl[Date],0))</f>
        <v>8.8000000000000007</v>
      </c>
      <c r="V1270" s="2">
        <v>8466.4830000000002</v>
      </c>
      <c r="W1270" t="s">
        <v>48</v>
      </c>
      <c r="X1270">
        <f>IF(OR(vp.tbl[[#This Row],[Sulf]]="",vp.tbl[[#This Row],[Dens]]=""),1,0)</f>
        <v>0</v>
      </c>
      <c r="Y1270">
        <f>IF(vp.tbl[[#This Row],[CrudeType]]="C5+",1,0)</f>
        <v>0</v>
      </c>
      <c r="Z1270">
        <f>IF(AND(vp.tbl[[#This Row],[CrudeType]]="Crude",vp.tbl[[#This Row],[Dens]]&lt;=825,vp.tbl[[#This Row],[Sulf]]&gt;0.5,vp.tbl[[#This Row],[Unknown]]=0),1,0)</f>
        <v>0</v>
      </c>
      <c r="AA1270">
        <f>IF(AND(vp.tbl[[#This Row],[CrudeType]]="Crude",vp.tbl[[#This Row],[Dens]]&lt;=825,vp.tbl[[#This Row],[Sulf]]&lt;=0.5,vp.tbl[[#This Row],[Unknown]]=0),1,0)</f>
        <v>0</v>
      </c>
      <c r="AB1270">
        <f>IF(AND(vp.tbl[[#This Row],[CrudeType]]="Crude",vp.tbl[[#This Row],[Dens]]&gt;825,vp.tbl[[#This Row],[Dens]]&lt;=870,vp.tbl[[#This Row],[Sulf]]&gt;0.5,vp.tbl[[#This Row],[Unknown]]=0),1,0)</f>
        <v>1</v>
      </c>
      <c r="AC1270">
        <f>IF(AND(vp.tbl[[#This Row],[CrudeType]]="Crude",vp.tbl[[#This Row],[Dens]]&gt;825,vp.tbl[[#This Row],[Dens]]&lt;=900,vp.tbl[[#This Row],[Sulf]]&lt;=0.5,vp.tbl[[#This Row],[Unknown]]=0),1,0)</f>
        <v>0</v>
      </c>
      <c r="AD1270">
        <f>IF(AND(vp.tbl[[#This Row],[CrudeType]]="Crude",vp.tbl[[#This Row],[Dens]]&gt;870,vp.tbl[[#This Row],[Dens]]&lt;=900,vp.tbl[[#This Row],[Sulf]]&gt;0.5,vp.tbl[[#This Row],[Unknown]]=0),1,0)</f>
        <v>0</v>
      </c>
      <c r="AE1270">
        <f>IF(AND(vp.tbl[[#This Row],[CrudeType]]="Crude",vp.tbl[[#This Row],[Dens]]&gt;900,vp.tbl[[#This Row],[Sulf]]&lt;=0.5,vp.tbl[[#This Row],[Unknown]]=0),1,0)</f>
        <v>0</v>
      </c>
      <c r="AF1270">
        <f>IF(AND(vp.tbl[[#This Row],[CrudeType]]="Crude",vp.tbl[[#This Row],[Dens]]&gt;900,vp.tbl[[#This Row],[Sulf]]&lt;=0.5,vp.tbl[[#This Row],[Unknown]]=0),1,0)</f>
        <v>0</v>
      </c>
      <c r="AG1270" t="str">
        <f>INDEX(vp.tbl[[#Headers],[Unknown]:[Heavy_SW]],MATCH(1,vp.tbl[[#This Row],[Unknown]:[Heavy_SW]],0))</f>
        <v>Medium_LSB</v>
      </c>
      <c r="AH1270" t="e">
        <f>INDEX([1]!crudeBD.lkup[Number],MATCH(vp.tbl[[#This Row],[Crude_Breakdown]],[1]!crudeBD.lkup[Crude Breakdown],0))</f>
        <v>#REF!</v>
      </c>
      <c r="AI1270">
        <f>MONTH(vp.tbl[[#This Row],[SDate]])</f>
        <v>4</v>
      </c>
      <c r="AJ1270" s="5">
        <f>IFERROR(vp.tbl[[#This Row],[Sulf]]*vp.tbl[[#This Row],[Net Dens]],"")</f>
        <v>11027357.045976002</v>
      </c>
      <c r="AK1270" s="5">
        <f>IFERROR(vp.tbl[[#This Row],[Dens]]*vp.tbl[[#This Row],[VolumeM3]],"")</f>
        <v>7023794.2968000006</v>
      </c>
      <c r="AL1270" s="5">
        <f>IFERROR(vp.tbl[[#This Row],[VP]]*vp.tbl[[#This Row],[VolumeM3]],"")</f>
        <v>676471.99170000001</v>
      </c>
      <c r="AM1270" s="4">
        <f>IFERROR((vp.tbl[[#This Row],[VP]]-INDEX(crudeBD.lkup.complete[Mean_VP],MATCH(vp.tbl[[#This Row],[Crude_Breakdown]],crudeBD.lkup.complete[Crude Breakdown],0)))^2,"")</f>
        <v>7.4854189392702233E-2</v>
      </c>
      <c r="AN1270" s="4">
        <f>IFERROR((vp.tbl[[#This Row],[Dens]]-INDEX(crudeBD.lkup.complete[Mean_Dens],MATCH(vp.tbl[[#This Row],[Crude_Breakdown]],crudeBD.lkup.complete[Crude Breakdown],0)))^2,"")</f>
        <v>246.23330230985462</v>
      </c>
      <c r="AO1270" s="4">
        <f>IFERROR((vp.tbl[[#This Row],[Sulf]]-INDEX(crudeBD.lkup.complete[Mean_Sulf],MATCH(vp.tbl[[#This Row],[Crude_Breakdown]],crudeBD.lkup.complete[Crude Breakdown],0)))^2,"")</f>
        <v>1.3241136944829188E-2</v>
      </c>
      <c r="AP1270">
        <f>IF(AND(vp.tbl[[#This Row],[SDate]]&gt;=DATE(YEAR(vp.tbl[[#This Row],[SDate]]),5,1),vp.tbl[[#This Row],[SDate]]&lt;=DATE(YEAR(vp.tbl[[#This Row],[SDate]]),9,15)),1,0)</f>
        <v>0</v>
      </c>
      <c r="AQ1270" s="15">
        <f>IF(vp.tbl[[#This Row],[SDate]]&lt;DATE(2016,12,1),0,1)</f>
        <v>1</v>
      </c>
    </row>
    <row r="1271" spans="1:43" x14ac:dyDescent="0.25">
      <c r="A1271">
        <v>1270</v>
      </c>
      <c r="B1271" t="s">
        <v>108</v>
      </c>
      <c r="C1271" t="s">
        <v>108</v>
      </c>
      <c r="D1271" t="s">
        <v>109</v>
      </c>
      <c r="F1271" s="1">
        <v>42845</v>
      </c>
      <c r="G1271" s="2">
        <v>86.1</v>
      </c>
      <c r="H1271" s="2"/>
      <c r="I1271" s="2">
        <v>0.76</v>
      </c>
      <c r="J1271" s="2">
        <v>26.8</v>
      </c>
      <c r="K1271" s="2">
        <v>16</v>
      </c>
      <c r="L1271" s="2">
        <v>833</v>
      </c>
      <c r="M1271" s="2">
        <v>833</v>
      </c>
      <c r="N1271" s="2">
        <f ca="1">INDEX(INDIRECT(_xlfn.CONCAT("weather.tbl[",N$1,"]")),MATCH(vp.tbl[[#This Row],[SDate]],weather.tbl[Date],0))</f>
        <v>8.9500000000000011</v>
      </c>
      <c r="O1271" s="2">
        <f ca="1">INDEX(INDIRECT(_xlfn.CONCAT("weather.tbl[",O$1,"]")),MATCH(vp.tbl[[#This Row],[SDate]],weather.tbl[Date],0))</f>
        <v>5.15</v>
      </c>
      <c r="P1271" s="2">
        <f ca="1">INDEX(INDIRECT(_xlfn.CONCAT("weather.tbl[",P$1,"]")),MATCH(vp.tbl[[#This Row],[SDate]],weather.tbl[Date],0))</f>
        <v>9.6</v>
      </c>
      <c r="Q1271" s="2">
        <f ca="1">INDEX(INDIRECT(_xlfn.CONCAT("weather.tbl[",Q$1,"]")),MATCH(vp.tbl[[#This Row],[SDate]],weather.tbl[Date],0))</f>
        <v>9.1</v>
      </c>
      <c r="R1271" s="2">
        <f ca="1">INDEX(INDIRECT(_xlfn.CONCAT("weather.tbl[",R$1,"]")),MATCH(vp.tbl[[#This Row],[SDate]],weather.tbl[Date],0))</f>
        <v>9.3000000000000007</v>
      </c>
      <c r="S1271" s="2">
        <f ca="1">INDEX(INDIRECT(_xlfn.CONCAT("weather.tbl[",S$1,"]")),MATCH(vp.tbl[[#This Row],[SDate]],weather.tbl[Date],0))</f>
        <v>8.8000000000000007</v>
      </c>
      <c r="T1271" s="2">
        <f ca="1">INDEX(INDIRECT(_xlfn.CONCAT("weather.tbl[",T$1,"]")),MATCH(vp.tbl[[#This Row],[SDate]],weather.tbl[Date],0))</f>
        <v>8.1</v>
      </c>
      <c r="U1271" s="2">
        <f ca="1">INDEX(INDIRECT(_xlfn.CONCAT("weather.tbl[",U$1,"]")),MATCH(vp.tbl[[#This Row],[SDate]],weather.tbl[Date],0))</f>
        <v>8.8000000000000007</v>
      </c>
      <c r="V1271" s="2">
        <v>12560.075999999999</v>
      </c>
      <c r="W1271" t="s">
        <v>48</v>
      </c>
      <c r="X1271">
        <f>IF(OR(vp.tbl[[#This Row],[Sulf]]="",vp.tbl[[#This Row],[Dens]]=""),1,0)</f>
        <v>0</v>
      </c>
      <c r="Y1271">
        <f>IF(vp.tbl[[#This Row],[CrudeType]]="C5+",1,0)</f>
        <v>0</v>
      </c>
      <c r="Z1271">
        <f>IF(AND(vp.tbl[[#This Row],[CrudeType]]="Crude",vp.tbl[[#This Row],[Dens]]&lt;=825,vp.tbl[[#This Row],[Sulf]]&gt;0.5,vp.tbl[[#This Row],[Unknown]]=0),1,0)</f>
        <v>0</v>
      </c>
      <c r="AA1271">
        <f>IF(AND(vp.tbl[[#This Row],[CrudeType]]="Crude",vp.tbl[[#This Row],[Dens]]&lt;=825,vp.tbl[[#This Row],[Sulf]]&lt;=0.5,vp.tbl[[#This Row],[Unknown]]=0),1,0)</f>
        <v>0</v>
      </c>
      <c r="AB1271">
        <f>IF(AND(vp.tbl[[#This Row],[CrudeType]]="Crude",vp.tbl[[#This Row],[Dens]]&gt;825,vp.tbl[[#This Row],[Dens]]&lt;=870,vp.tbl[[#This Row],[Sulf]]&gt;0.5,vp.tbl[[#This Row],[Unknown]]=0),1,0)</f>
        <v>1</v>
      </c>
      <c r="AC1271">
        <f>IF(AND(vp.tbl[[#This Row],[CrudeType]]="Crude",vp.tbl[[#This Row],[Dens]]&gt;825,vp.tbl[[#This Row],[Dens]]&lt;=900,vp.tbl[[#This Row],[Sulf]]&lt;=0.5,vp.tbl[[#This Row],[Unknown]]=0),1,0)</f>
        <v>0</v>
      </c>
      <c r="AD1271">
        <f>IF(AND(vp.tbl[[#This Row],[CrudeType]]="Crude",vp.tbl[[#This Row],[Dens]]&gt;870,vp.tbl[[#This Row],[Dens]]&lt;=900,vp.tbl[[#This Row],[Sulf]]&gt;0.5,vp.tbl[[#This Row],[Unknown]]=0),1,0)</f>
        <v>0</v>
      </c>
      <c r="AE1271">
        <f>IF(AND(vp.tbl[[#This Row],[CrudeType]]="Crude",vp.tbl[[#This Row],[Dens]]&gt;900,vp.tbl[[#This Row],[Sulf]]&lt;=0.5,vp.tbl[[#This Row],[Unknown]]=0),1,0)</f>
        <v>0</v>
      </c>
      <c r="AF1271">
        <f>IF(AND(vp.tbl[[#This Row],[CrudeType]]="Crude",vp.tbl[[#This Row],[Dens]]&gt;900,vp.tbl[[#This Row],[Sulf]]&lt;=0.5,vp.tbl[[#This Row],[Unknown]]=0),1,0)</f>
        <v>0</v>
      </c>
      <c r="AG1271" t="str">
        <f>INDEX(vp.tbl[[#Headers],[Unknown]:[Heavy_SW]],MATCH(1,vp.tbl[[#This Row],[Unknown]:[Heavy_SW]],0))</f>
        <v>Medium_LSB</v>
      </c>
      <c r="AH1271" t="e">
        <f>INDEX([1]!crudeBD.lkup[Number],MATCH(vp.tbl[[#This Row],[Crude_Breakdown]],[1]!crudeBD.lkup[Crude Breakdown],0))</f>
        <v>#REF!</v>
      </c>
      <c r="AI1271">
        <f>MONTH(vp.tbl[[#This Row],[SDate]])</f>
        <v>4</v>
      </c>
      <c r="AJ1271" s="5">
        <f>IFERROR(vp.tbl[[#This Row],[Sulf]]*vp.tbl[[#This Row],[Net Dens]],"")</f>
        <v>7951532.9140799986</v>
      </c>
      <c r="AK1271" s="5">
        <f>IFERROR(vp.tbl[[#This Row],[Dens]]*vp.tbl[[#This Row],[VolumeM3]],"")</f>
        <v>10462543.307999998</v>
      </c>
      <c r="AL1271" s="5">
        <f>IFERROR(vp.tbl[[#This Row],[VP]]*vp.tbl[[#This Row],[VolumeM3]],"")</f>
        <v>1081422.5435999997</v>
      </c>
      <c r="AM1271" s="4">
        <f>IFERROR((vp.tbl[[#This Row],[VP]]-INDEX(crudeBD.lkup.complete[Mean_VP],MATCH(vp.tbl[[#This Row],[Crude_Breakdown]],crudeBD.lkup.complete[Crude Breakdown],0)))^2,"")</f>
        <v>35.122276974203224</v>
      </c>
      <c r="AN1271" s="4">
        <f>IFERROR((vp.tbl[[#This Row],[Dens]]-INDEX(crudeBD.lkup.complete[Mean_Dens],MATCH(vp.tbl[[#This Row],[Crude_Breakdown]],crudeBD.lkup.complete[Crude Breakdown],0)))^2,"")</f>
        <v>151.08890737315318</v>
      </c>
      <c r="AO1271" s="4">
        <f>IFERROR((vp.tbl[[#This Row],[Sulf]]-INDEX(crudeBD.lkup.complete[Mean_Sulf],MATCH(vp.tbl[[#This Row],[Crude_Breakdown]],crudeBD.lkup.complete[Crude Breakdown],0)))^2,"")</f>
        <v>0.48292751137521128</v>
      </c>
      <c r="AP1271">
        <f>IF(AND(vp.tbl[[#This Row],[SDate]]&gt;=DATE(YEAR(vp.tbl[[#This Row],[SDate]]),5,1),vp.tbl[[#This Row],[SDate]]&lt;=DATE(YEAR(vp.tbl[[#This Row],[SDate]]),9,15)),1,0)</f>
        <v>0</v>
      </c>
      <c r="AQ1271" s="15">
        <f>IF(vp.tbl[[#This Row],[SDate]]&lt;DATE(2016,12,1),0,1)</f>
        <v>1</v>
      </c>
    </row>
    <row r="1272" spans="1:43" x14ac:dyDescent="0.25">
      <c r="A1272">
        <v>1271</v>
      </c>
      <c r="B1272" t="s">
        <v>51</v>
      </c>
      <c r="C1272" t="s">
        <v>51</v>
      </c>
      <c r="D1272" t="s">
        <v>95</v>
      </c>
      <c r="F1272" s="1">
        <v>42845</v>
      </c>
      <c r="G1272" s="2">
        <v>70.400000000000006</v>
      </c>
      <c r="H1272" s="2"/>
      <c r="I1272" s="2">
        <v>1.19</v>
      </c>
      <c r="J1272" s="2">
        <v>28.6</v>
      </c>
      <c r="K1272" s="2">
        <v>16</v>
      </c>
      <c r="L1272" s="2">
        <v>841.2</v>
      </c>
      <c r="M1272" s="2">
        <v>841.2</v>
      </c>
      <c r="N1272" s="2">
        <f ca="1">INDEX(INDIRECT(_xlfn.CONCAT("weather.tbl[",N$1,"]")),MATCH(vp.tbl[[#This Row],[SDate]],weather.tbl[Date],0))</f>
        <v>8.9500000000000011</v>
      </c>
      <c r="O1272" s="2">
        <f ca="1">INDEX(INDIRECT(_xlfn.CONCAT("weather.tbl[",O$1,"]")),MATCH(vp.tbl[[#This Row],[SDate]],weather.tbl[Date],0))</f>
        <v>5.15</v>
      </c>
      <c r="P1272" s="2">
        <f ca="1">INDEX(INDIRECT(_xlfn.CONCAT("weather.tbl[",P$1,"]")),MATCH(vp.tbl[[#This Row],[SDate]],weather.tbl[Date],0))</f>
        <v>9.6</v>
      </c>
      <c r="Q1272" s="2">
        <f ca="1">INDEX(INDIRECT(_xlfn.CONCAT("weather.tbl[",Q$1,"]")),MATCH(vp.tbl[[#This Row],[SDate]],weather.tbl[Date],0))</f>
        <v>9.1</v>
      </c>
      <c r="R1272" s="2">
        <f ca="1">INDEX(INDIRECT(_xlfn.CONCAT("weather.tbl[",R$1,"]")),MATCH(vp.tbl[[#This Row],[SDate]],weather.tbl[Date],0))</f>
        <v>9.3000000000000007</v>
      </c>
      <c r="S1272" s="2">
        <f ca="1">INDEX(INDIRECT(_xlfn.CONCAT("weather.tbl[",S$1,"]")),MATCH(vp.tbl[[#This Row],[SDate]],weather.tbl[Date],0))</f>
        <v>8.8000000000000007</v>
      </c>
      <c r="T1272" s="2">
        <f ca="1">INDEX(INDIRECT(_xlfn.CONCAT("weather.tbl[",T$1,"]")),MATCH(vp.tbl[[#This Row],[SDate]],weather.tbl[Date],0))</f>
        <v>8.1</v>
      </c>
      <c r="U1272" s="2">
        <f ca="1">INDEX(INDIRECT(_xlfn.CONCAT("weather.tbl[",U$1,"]")),MATCH(vp.tbl[[#This Row],[SDate]],weather.tbl[Date],0))</f>
        <v>8.8000000000000007</v>
      </c>
      <c r="V1272" s="2">
        <v>6027.9970000000003</v>
      </c>
      <c r="W1272" t="s">
        <v>48</v>
      </c>
      <c r="X1272">
        <f>IF(OR(vp.tbl[[#This Row],[Sulf]]="",vp.tbl[[#This Row],[Dens]]=""),1,0)</f>
        <v>0</v>
      </c>
      <c r="Y1272">
        <f>IF(vp.tbl[[#This Row],[CrudeType]]="C5+",1,0)</f>
        <v>0</v>
      </c>
      <c r="Z1272">
        <f>IF(AND(vp.tbl[[#This Row],[CrudeType]]="Crude",vp.tbl[[#This Row],[Dens]]&lt;=825,vp.tbl[[#This Row],[Sulf]]&gt;0.5,vp.tbl[[#This Row],[Unknown]]=0),1,0)</f>
        <v>0</v>
      </c>
      <c r="AA1272">
        <f>IF(AND(vp.tbl[[#This Row],[CrudeType]]="Crude",vp.tbl[[#This Row],[Dens]]&lt;=825,vp.tbl[[#This Row],[Sulf]]&lt;=0.5,vp.tbl[[#This Row],[Unknown]]=0),1,0)</f>
        <v>0</v>
      </c>
      <c r="AB1272">
        <f>IF(AND(vp.tbl[[#This Row],[CrudeType]]="Crude",vp.tbl[[#This Row],[Dens]]&gt;825,vp.tbl[[#This Row],[Dens]]&lt;=870,vp.tbl[[#This Row],[Sulf]]&gt;0.5,vp.tbl[[#This Row],[Unknown]]=0),1,0)</f>
        <v>1</v>
      </c>
      <c r="AC1272">
        <f>IF(AND(vp.tbl[[#This Row],[CrudeType]]="Crude",vp.tbl[[#This Row],[Dens]]&gt;825,vp.tbl[[#This Row],[Dens]]&lt;=900,vp.tbl[[#This Row],[Sulf]]&lt;=0.5,vp.tbl[[#This Row],[Unknown]]=0),1,0)</f>
        <v>0</v>
      </c>
      <c r="AD1272">
        <f>IF(AND(vp.tbl[[#This Row],[CrudeType]]="Crude",vp.tbl[[#This Row],[Dens]]&gt;870,vp.tbl[[#This Row],[Dens]]&lt;=900,vp.tbl[[#This Row],[Sulf]]&gt;0.5,vp.tbl[[#This Row],[Unknown]]=0),1,0)</f>
        <v>0</v>
      </c>
      <c r="AE1272">
        <f>IF(AND(vp.tbl[[#This Row],[CrudeType]]="Crude",vp.tbl[[#This Row],[Dens]]&gt;900,vp.tbl[[#This Row],[Sulf]]&lt;=0.5,vp.tbl[[#This Row],[Unknown]]=0),1,0)</f>
        <v>0</v>
      </c>
      <c r="AF1272">
        <f>IF(AND(vp.tbl[[#This Row],[CrudeType]]="Crude",vp.tbl[[#This Row],[Dens]]&gt;900,vp.tbl[[#This Row],[Sulf]]&lt;=0.5,vp.tbl[[#This Row],[Unknown]]=0),1,0)</f>
        <v>0</v>
      </c>
      <c r="AG1272" t="str">
        <f>INDEX(vp.tbl[[#Headers],[Unknown]:[Heavy_SW]],MATCH(1,vp.tbl[[#This Row],[Unknown]:[Heavy_SW]],0))</f>
        <v>Medium_LSB</v>
      </c>
      <c r="AH1272" t="e">
        <f>INDEX([1]!crudeBD.lkup[Number],MATCH(vp.tbl[[#This Row],[Crude_Breakdown]],[1]!crudeBD.lkup[Crude Breakdown],0))</f>
        <v>#REF!</v>
      </c>
      <c r="AI1272">
        <f>MONTH(vp.tbl[[#This Row],[SDate]])</f>
        <v>4</v>
      </c>
      <c r="AJ1272" s="5">
        <f>IFERROR(vp.tbl[[#This Row],[Sulf]]*vp.tbl[[#This Row],[Net Dens]],"")</f>
        <v>6034193.7809160007</v>
      </c>
      <c r="AK1272" s="5">
        <f>IFERROR(vp.tbl[[#This Row],[Dens]]*vp.tbl[[#This Row],[VolumeM3]],"")</f>
        <v>5070751.0764000006</v>
      </c>
      <c r="AL1272" s="5">
        <f>IFERROR(vp.tbl[[#This Row],[VP]]*vp.tbl[[#This Row],[VolumeM3]],"")</f>
        <v>424370.98880000005</v>
      </c>
      <c r="AM1272" s="4">
        <f>IFERROR((vp.tbl[[#This Row],[VP]]-INDEX(crudeBD.lkup.complete[Mean_VP],MATCH(vp.tbl[[#This Row],[Crude_Breakdown]],crudeBD.lkup.complete[Crude Breakdown],0)))^2,"")</f>
        <v>95.523157986860241</v>
      </c>
      <c r="AN1272" s="4">
        <f>IFERROR((vp.tbl[[#This Row],[Dens]]-INDEX(crudeBD.lkup.complete[Mean_Dens],MATCH(vp.tbl[[#This Row],[Crude_Breakdown]],crudeBD.lkup.complete[Crude Breakdown],0)))^2,"")</f>
        <v>16.74301370228287</v>
      </c>
      <c r="AO1272" s="4">
        <f>IFERROR((vp.tbl[[#This Row],[Sulf]]-INDEX(crudeBD.lkup.complete[Mean_Sulf],MATCH(vp.tbl[[#This Row],[Crude_Breakdown]],crudeBD.lkup.complete[Crude Breakdown],0)))^2,"")</f>
        <v>7.0187831122045519E-2</v>
      </c>
      <c r="AP1272">
        <f>IF(AND(vp.tbl[[#This Row],[SDate]]&gt;=DATE(YEAR(vp.tbl[[#This Row],[SDate]]),5,1),vp.tbl[[#This Row],[SDate]]&lt;=DATE(YEAR(vp.tbl[[#This Row],[SDate]]),9,15)),1,0)</f>
        <v>0</v>
      </c>
      <c r="AQ1272" s="15">
        <f>IF(vp.tbl[[#This Row],[SDate]]&lt;DATE(2016,12,1),0,1)</f>
        <v>1</v>
      </c>
    </row>
    <row r="1273" spans="1:43" x14ac:dyDescent="0.25">
      <c r="A1273">
        <v>1272</v>
      </c>
      <c r="B1273" t="s">
        <v>68</v>
      </c>
      <c r="C1273" t="s">
        <v>68</v>
      </c>
      <c r="D1273" t="s">
        <v>98</v>
      </c>
      <c r="F1273" s="1">
        <v>42845</v>
      </c>
      <c r="G1273" s="2">
        <v>57.2</v>
      </c>
      <c r="H1273" s="2"/>
      <c r="I1273" s="2">
        <v>1.35</v>
      </c>
      <c r="J1273" s="2">
        <v>36</v>
      </c>
      <c r="K1273" s="2">
        <v>16</v>
      </c>
      <c r="L1273" s="2">
        <v>852.3</v>
      </c>
      <c r="M1273" s="2">
        <v>852.3</v>
      </c>
      <c r="N1273" s="2">
        <f ca="1">INDEX(INDIRECT(_xlfn.CONCAT("weather.tbl[",N$1,"]")),MATCH(vp.tbl[[#This Row],[SDate]],weather.tbl[Date],0))</f>
        <v>8.9500000000000011</v>
      </c>
      <c r="O1273" s="2">
        <f ca="1">INDEX(INDIRECT(_xlfn.CONCAT("weather.tbl[",O$1,"]")),MATCH(vp.tbl[[#This Row],[SDate]],weather.tbl[Date],0))</f>
        <v>5.15</v>
      </c>
      <c r="P1273" s="2">
        <f ca="1">INDEX(INDIRECT(_xlfn.CONCAT("weather.tbl[",P$1,"]")),MATCH(vp.tbl[[#This Row],[SDate]],weather.tbl[Date],0))</f>
        <v>9.6</v>
      </c>
      <c r="Q1273" s="2">
        <f ca="1">INDEX(INDIRECT(_xlfn.CONCAT("weather.tbl[",Q$1,"]")),MATCH(vp.tbl[[#This Row],[SDate]],weather.tbl[Date],0))</f>
        <v>9.1</v>
      </c>
      <c r="R1273" s="2">
        <f ca="1">INDEX(INDIRECT(_xlfn.CONCAT("weather.tbl[",R$1,"]")),MATCH(vp.tbl[[#This Row],[SDate]],weather.tbl[Date],0))</f>
        <v>9.3000000000000007</v>
      </c>
      <c r="S1273" s="2">
        <f ca="1">INDEX(INDIRECT(_xlfn.CONCAT("weather.tbl[",S$1,"]")),MATCH(vp.tbl[[#This Row],[SDate]],weather.tbl[Date],0))</f>
        <v>8.8000000000000007</v>
      </c>
      <c r="T1273" s="2">
        <f ca="1">INDEX(INDIRECT(_xlfn.CONCAT("weather.tbl[",T$1,"]")),MATCH(vp.tbl[[#This Row],[SDate]],weather.tbl[Date],0))</f>
        <v>8.1</v>
      </c>
      <c r="U1273" s="2">
        <f ca="1">INDEX(INDIRECT(_xlfn.CONCAT("weather.tbl[",U$1,"]")),MATCH(vp.tbl[[#This Row],[SDate]],weather.tbl[Date],0))</f>
        <v>8.8000000000000007</v>
      </c>
      <c r="V1273" s="2">
        <v>4664.6729999999998</v>
      </c>
      <c r="W1273" t="s">
        <v>48</v>
      </c>
      <c r="X1273">
        <f>IF(OR(vp.tbl[[#This Row],[Sulf]]="",vp.tbl[[#This Row],[Dens]]=""),1,0)</f>
        <v>0</v>
      </c>
      <c r="Y1273">
        <f>IF(vp.tbl[[#This Row],[CrudeType]]="C5+",1,0)</f>
        <v>0</v>
      </c>
      <c r="Z1273">
        <f>IF(AND(vp.tbl[[#This Row],[CrudeType]]="Crude",vp.tbl[[#This Row],[Dens]]&lt;=825,vp.tbl[[#This Row],[Sulf]]&gt;0.5,vp.tbl[[#This Row],[Unknown]]=0),1,0)</f>
        <v>0</v>
      </c>
      <c r="AA1273">
        <f>IF(AND(vp.tbl[[#This Row],[CrudeType]]="Crude",vp.tbl[[#This Row],[Dens]]&lt;=825,vp.tbl[[#This Row],[Sulf]]&lt;=0.5,vp.tbl[[#This Row],[Unknown]]=0),1,0)</f>
        <v>0</v>
      </c>
      <c r="AB1273">
        <f>IF(AND(vp.tbl[[#This Row],[CrudeType]]="Crude",vp.tbl[[#This Row],[Dens]]&gt;825,vp.tbl[[#This Row],[Dens]]&lt;=870,vp.tbl[[#This Row],[Sulf]]&gt;0.5,vp.tbl[[#This Row],[Unknown]]=0),1,0)</f>
        <v>1</v>
      </c>
      <c r="AC1273">
        <f>IF(AND(vp.tbl[[#This Row],[CrudeType]]="Crude",vp.tbl[[#This Row],[Dens]]&gt;825,vp.tbl[[#This Row],[Dens]]&lt;=900,vp.tbl[[#This Row],[Sulf]]&lt;=0.5,vp.tbl[[#This Row],[Unknown]]=0),1,0)</f>
        <v>0</v>
      </c>
      <c r="AD1273">
        <f>IF(AND(vp.tbl[[#This Row],[CrudeType]]="Crude",vp.tbl[[#This Row],[Dens]]&gt;870,vp.tbl[[#This Row],[Dens]]&lt;=900,vp.tbl[[#This Row],[Sulf]]&gt;0.5,vp.tbl[[#This Row],[Unknown]]=0),1,0)</f>
        <v>0</v>
      </c>
      <c r="AE1273">
        <f>IF(AND(vp.tbl[[#This Row],[CrudeType]]="Crude",vp.tbl[[#This Row],[Dens]]&gt;900,vp.tbl[[#This Row],[Sulf]]&lt;=0.5,vp.tbl[[#This Row],[Unknown]]=0),1,0)</f>
        <v>0</v>
      </c>
      <c r="AF1273">
        <f>IF(AND(vp.tbl[[#This Row],[CrudeType]]="Crude",vp.tbl[[#This Row],[Dens]]&gt;900,vp.tbl[[#This Row],[Sulf]]&lt;=0.5,vp.tbl[[#This Row],[Unknown]]=0),1,0)</f>
        <v>0</v>
      </c>
      <c r="AG1273" t="str">
        <f>INDEX(vp.tbl[[#Headers],[Unknown]:[Heavy_SW]],MATCH(1,vp.tbl[[#This Row],[Unknown]:[Heavy_SW]],0))</f>
        <v>Medium_LSB</v>
      </c>
      <c r="AH1273" t="e">
        <f>INDEX([1]!crudeBD.lkup[Number],MATCH(vp.tbl[[#This Row],[Crude_Breakdown]],[1]!crudeBD.lkup[Crude Breakdown],0))</f>
        <v>#REF!</v>
      </c>
      <c r="AI1273">
        <f>MONTH(vp.tbl[[#This Row],[SDate]])</f>
        <v>4</v>
      </c>
      <c r="AJ1273" s="5">
        <f>IFERROR(vp.tbl[[#This Row],[Sulf]]*vp.tbl[[#This Row],[Net Dens]],"")</f>
        <v>5367196.0771650001</v>
      </c>
      <c r="AK1273" s="5">
        <f>IFERROR(vp.tbl[[#This Row],[Dens]]*vp.tbl[[#This Row],[VolumeM3]],"")</f>
        <v>3975700.7978999997</v>
      </c>
      <c r="AL1273" s="5">
        <f>IFERROR(vp.tbl[[#This Row],[VP]]*vp.tbl[[#This Row],[VolumeM3]],"")</f>
        <v>266819.29560000001</v>
      </c>
      <c r="AM1273" s="4">
        <f>IFERROR((vp.tbl[[#This Row],[VP]]-INDEX(crudeBD.lkup.complete[Mean_VP],MATCH(vp.tbl[[#This Row],[Crude_Breakdown]],crudeBD.lkup.complete[Crude Breakdown],0)))^2,"")</f>
        <v>527.78606431597314</v>
      </c>
      <c r="AN1273" s="4">
        <f>IFERROR((vp.tbl[[#This Row],[Dens]]-INDEX(crudeBD.lkup.complete[Mean_Dens],MATCH(vp.tbl[[#This Row],[Crude_Breakdown]],crudeBD.lkup.complete[Crude Breakdown],0)))^2,"")</f>
        <v>49.114547879519655</v>
      </c>
      <c r="AO1273" s="4">
        <f>IFERROR((vp.tbl[[#This Row],[Sulf]]-INDEX(crudeBD.lkup.complete[Mean_Sulf],MATCH(vp.tbl[[#This Row],[Crude_Breakdown]],crudeBD.lkup.complete[Crude Breakdown],0)))^2,"")</f>
        <v>1.1010275679007022E-2</v>
      </c>
      <c r="AP1273">
        <f>IF(AND(vp.tbl[[#This Row],[SDate]]&gt;=DATE(YEAR(vp.tbl[[#This Row],[SDate]]),5,1),vp.tbl[[#This Row],[SDate]]&lt;=DATE(YEAR(vp.tbl[[#This Row],[SDate]]),9,15)),1,0)</f>
        <v>0</v>
      </c>
      <c r="AQ1273" s="15">
        <f>IF(vp.tbl[[#This Row],[SDate]]&lt;DATE(2016,12,1),0,1)</f>
        <v>1</v>
      </c>
    </row>
    <row r="1274" spans="1:43" x14ac:dyDescent="0.25">
      <c r="A1274">
        <v>1273</v>
      </c>
      <c r="B1274" t="s">
        <v>68</v>
      </c>
      <c r="C1274" t="s">
        <v>68</v>
      </c>
      <c r="D1274" t="s">
        <v>69</v>
      </c>
      <c r="F1274" s="1">
        <v>42845</v>
      </c>
      <c r="G1274" s="2">
        <v>69.2</v>
      </c>
      <c r="H1274" s="2"/>
      <c r="I1274" s="2">
        <v>1.52</v>
      </c>
      <c r="J1274" s="2">
        <v>23.2</v>
      </c>
      <c r="K1274" s="2">
        <v>16</v>
      </c>
      <c r="L1274" s="2">
        <v>852.7</v>
      </c>
      <c r="M1274" s="2">
        <v>852.7</v>
      </c>
      <c r="N1274" s="2">
        <f ca="1">INDEX(INDIRECT(_xlfn.CONCAT("weather.tbl[",N$1,"]")),MATCH(vp.tbl[[#This Row],[SDate]],weather.tbl[Date],0))</f>
        <v>8.9500000000000011</v>
      </c>
      <c r="O1274" s="2">
        <f ca="1">INDEX(INDIRECT(_xlfn.CONCAT("weather.tbl[",O$1,"]")),MATCH(vp.tbl[[#This Row],[SDate]],weather.tbl[Date],0))</f>
        <v>5.15</v>
      </c>
      <c r="P1274" s="2">
        <f ca="1">INDEX(INDIRECT(_xlfn.CONCAT("weather.tbl[",P$1,"]")),MATCH(vp.tbl[[#This Row],[SDate]],weather.tbl[Date],0))</f>
        <v>9.6</v>
      </c>
      <c r="Q1274" s="2">
        <f ca="1">INDEX(INDIRECT(_xlfn.CONCAT("weather.tbl[",Q$1,"]")),MATCH(vp.tbl[[#This Row],[SDate]],weather.tbl[Date],0))</f>
        <v>9.1</v>
      </c>
      <c r="R1274" s="2">
        <f ca="1">INDEX(INDIRECT(_xlfn.CONCAT("weather.tbl[",R$1,"]")),MATCH(vp.tbl[[#This Row],[SDate]],weather.tbl[Date],0))</f>
        <v>9.3000000000000007</v>
      </c>
      <c r="S1274" s="2">
        <f ca="1">INDEX(INDIRECT(_xlfn.CONCAT("weather.tbl[",S$1,"]")),MATCH(vp.tbl[[#This Row],[SDate]],weather.tbl[Date],0))</f>
        <v>8.8000000000000007</v>
      </c>
      <c r="T1274" s="2">
        <f ca="1">INDEX(INDIRECT(_xlfn.CONCAT("weather.tbl[",T$1,"]")),MATCH(vp.tbl[[#This Row],[SDate]],weather.tbl[Date],0))</f>
        <v>8.1</v>
      </c>
      <c r="U1274" s="2">
        <f ca="1">INDEX(INDIRECT(_xlfn.CONCAT("weather.tbl[",U$1,"]")),MATCH(vp.tbl[[#This Row],[SDate]],weather.tbl[Date],0))</f>
        <v>8.8000000000000007</v>
      </c>
      <c r="V1274" s="2">
        <v>1529.07</v>
      </c>
      <c r="W1274" t="s">
        <v>48</v>
      </c>
      <c r="X1274">
        <f>IF(OR(vp.tbl[[#This Row],[Sulf]]="",vp.tbl[[#This Row],[Dens]]=""),1,0)</f>
        <v>0</v>
      </c>
      <c r="Y1274">
        <f>IF(vp.tbl[[#This Row],[CrudeType]]="C5+",1,0)</f>
        <v>0</v>
      </c>
      <c r="Z1274">
        <f>IF(AND(vp.tbl[[#This Row],[CrudeType]]="Crude",vp.tbl[[#This Row],[Dens]]&lt;=825,vp.tbl[[#This Row],[Sulf]]&gt;0.5,vp.tbl[[#This Row],[Unknown]]=0),1,0)</f>
        <v>0</v>
      </c>
      <c r="AA1274">
        <f>IF(AND(vp.tbl[[#This Row],[CrudeType]]="Crude",vp.tbl[[#This Row],[Dens]]&lt;=825,vp.tbl[[#This Row],[Sulf]]&lt;=0.5,vp.tbl[[#This Row],[Unknown]]=0),1,0)</f>
        <v>0</v>
      </c>
      <c r="AB1274">
        <f>IF(AND(vp.tbl[[#This Row],[CrudeType]]="Crude",vp.tbl[[#This Row],[Dens]]&gt;825,vp.tbl[[#This Row],[Dens]]&lt;=870,vp.tbl[[#This Row],[Sulf]]&gt;0.5,vp.tbl[[#This Row],[Unknown]]=0),1,0)</f>
        <v>1</v>
      </c>
      <c r="AC1274">
        <f>IF(AND(vp.tbl[[#This Row],[CrudeType]]="Crude",vp.tbl[[#This Row],[Dens]]&gt;825,vp.tbl[[#This Row],[Dens]]&lt;=900,vp.tbl[[#This Row],[Sulf]]&lt;=0.5,vp.tbl[[#This Row],[Unknown]]=0),1,0)</f>
        <v>0</v>
      </c>
      <c r="AD1274">
        <f>IF(AND(vp.tbl[[#This Row],[CrudeType]]="Crude",vp.tbl[[#This Row],[Dens]]&gt;870,vp.tbl[[#This Row],[Dens]]&lt;=900,vp.tbl[[#This Row],[Sulf]]&gt;0.5,vp.tbl[[#This Row],[Unknown]]=0),1,0)</f>
        <v>0</v>
      </c>
      <c r="AE1274">
        <f>IF(AND(vp.tbl[[#This Row],[CrudeType]]="Crude",vp.tbl[[#This Row],[Dens]]&gt;900,vp.tbl[[#This Row],[Sulf]]&lt;=0.5,vp.tbl[[#This Row],[Unknown]]=0),1,0)</f>
        <v>0</v>
      </c>
      <c r="AF1274">
        <f>IF(AND(vp.tbl[[#This Row],[CrudeType]]="Crude",vp.tbl[[#This Row],[Dens]]&gt;900,vp.tbl[[#This Row],[Sulf]]&lt;=0.5,vp.tbl[[#This Row],[Unknown]]=0),1,0)</f>
        <v>0</v>
      </c>
      <c r="AG1274" t="str">
        <f>INDEX(vp.tbl[[#Headers],[Unknown]:[Heavy_SW]],MATCH(1,vp.tbl[[#This Row],[Unknown]:[Heavy_SW]],0))</f>
        <v>Medium_LSB</v>
      </c>
      <c r="AH1274" t="e">
        <f>INDEX([1]!crudeBD.lkup[Number],MATCH(vp.tbl[[#This Row],[Crude_Breakdown]],[1]!crudeBD.lkup[Crude Breakdown],0))</f>
        <v>#REF!</v>
      </c>
      <c r="AI1274">
        <f>MONTH(vp.tbl[[#This Row],[SDate]])</f>
        <v>4</v>
      </c>
      <c r="AJ1274" s="5">
        <f>IFERROR(vp.tbl[[#This Row],[Sulf]]*vp.tbl[[#This Row],[Net Dens]],"")</f>
        <v>1981833.7432800001</v>
      </c>
      <c r="AK1274" s="5">
        <f>IFERROR(vp.tbl[[#This Row],[Dens]]*vp.tbl[[#This Row],[VolumeM3]],"")</f>
        <v>1303837.9890000001</v>
      </c>
      <c r="AL1274" s="5">
        <f>IFERROR(vp.tbl[[#This Row],[VP]]*vp.tbl[[#This Row],[VolumeM3]],"")</f>
        <v>105811.644</v>
      </c>
      <c r="AM1274" s="4">
        <f>IFERROR((vp.tbl[[#This Row],[VP]]-INDEX(crudeBD.lkup.complete[Mean_VP],MATCH(vp.tbl[[#This Row],[Crude_Breakdown]],crudeBD.lkup.complete[Crude Breakdown],0)))^2,"")</f>
        <v>120.41978583496147</v>
      </c>
      <c r="AN1274" s="4">
        <f>IFERROR((vp.tbl[[#This Row],[Dens]]-INDEX(crudeBD.lkup.complete[Mean_Dens],MATCH(vp.tbl[[#This Row],[Crude_Breakdown]],crudeBD.lkup.complete[Crude Breakdown],0)))^2,"")</f>
        <v>54.881089651673648</v>
      </c>
      <c r="AO1274" s="4">
        <f>IFERROR((vp.tbl[[#This Row],[Sulf]]-INDEX(crudeBD.lkup.complete[Mean_Sulf],MATCH(vp.tbl[[#This Row],[Crude_Breakdown]],crudeBD.lkup.complete[Crude Breakdown],0)))^2,"")</f>
        <v>4.2341230207786906E-3</v>
      </c>
      <c r="AP1274">
        <f>IF(AND(vp.tbl[[#This Row],[SDate]]&gt;=DATE(YEAR(vp.tbl[[#This Row],[SDate]]),5,1),vp.tbl[[#This Row],[SDate]]&lt;=DATE(YEAR(vp.tbl[[#This Row],[SDate]]),9,15)),1,0)</f>
        <v>0</v>
      </c>
      <c r="AQ1274" s="15">
        <f>IF(vp.tbl[[#This Row],[SDate]]&lt;DATE(2016,12,1),0,1)</f>
        <v>1</v>
      </c>
    </row>
    <row r="1275" spans="1:43" x14ac:dyDescent="0.25">
      <c r="A1275">
        <v>1274</v>
      </c>
      <c r="B1275" t="s">
        <v>68</v>
      </c>
      <c r="C1275" t="s">
        <v>68</v>
      </c>
      <c r="D1275" t="s">
        <v>110</v>
      </c>
      <c r="F1275" s="1">
        <v>42845</v>
      </c>
      <c r="G1275" s="2">
        <v>59.9</v>
      </c>
      <c r="H1275" s="2"/>
      <c r="I1275" s="2">
        <v>1.45</v>
      </c>
      <c r="J1275" s="2">
        <v>37.700000000000003</v>
      </c>
      <c r="K1275" s="2">
        <v>16</v>
      </c>
      <c r="L1275" s="2">
        <v>855</v>
      </c>
      <c r="M1275" s="2">
        <v>855</v>
      </c>
      <c r="N1275" s="2">
        <f ca="1">INDEX(INDIRECT(_xlfn.CONCAT("weather.tbl[",N$1,"]")),MATCH(vp.tbl[[#This Row],[SDate]],weather.tbl[Date],0))</f>
        <v>8.9500000000000011</v>
      </c>
      <c r="O1275" s="2">
        <f ca="1">INDEX(INDIRECT(_xlfn.CONCAT("weather.tbl[",O$1,"]")),MATCH(vp.tbl[[#This Row],[SDate]],weather.tbl[Date],0))</f>
        <v>5.15</v>
      </c>
      <c r="P1275" s="2">
        <f ca="1">INDEX(INDIRECT(_xlfn.CONCAT("weather.tbl[",P$1,"]")),MATCH(vp.tbl[[#This Row],[SDate]],weather.tbl[Date],0))</f>
        <v>9.6</v>
      </c>
      <c r="Q1275" s="2">
        <f ca="1">INDEX(INDIRECT(_xlfn.CONCAT("weather.tbl[",Q$1,"]")),MATCH(vp.tbl[[#This Row],[SDate]],weather.tbl[Date],0))</f>
        <v>9.1</v>
      </c>
      <c r="R1275" s="2">
        <f ca="1">INDEX(INDIRECT(_xlfn.CONCAT("weather.tbl[",R$1,"]")),MATCH(vp.tbl[[#This Row],[SDate]],weather.tbl[Date],0))</f>
        <v>9.3000000000000007</v>
      </c>
      <c r="S1275" s="2">
        <f ca="1">INDEX(INDIRECT(_xlfn.CONCAT("weather.tbl[",S$1,"]")),MATCH(vp.tbl[[#This Row],[SDate]],weather.tbl[Date],0))</f>
        <v>8.8000000000000007</v>
      </c>
      <c r="T1275" s="2">
        <f ca="1">INDEX(INDIRECT(_xlfn.CONCAT("weather.tbl[",T$1,"]")),MATCH(vp.tbl[[#This Row],[SDate]],weather.tbl[Date],0))</f>
        <v>8.1</v>
      </c>
      <c r="U1275" s="2">
        <f ca="1">INDEX(INDIRECT(_xlfn.CONCAT("weather.tbl[",U$1,"]")),MATCH(vp.tbl[[#This Row],[SDate]],weather.tbl[Date],0))</f>
        <v>8.8000000000000007</v>
      </c>
      <c r="V1275" s="2">
        <v>4378.3119999999999</v>
      </c>
      <c r="W1275" t="s">
        <v>48</v>
      </c>
      <c r="X1275">
        <f>IF(OR(vp.tbl[[#This Row],[Sulf]]="",vp.tbl[[#This Row],[Dens]]=""),1,0)</f>
        <v>0</v>
      </c>
      <c r="Y1275">
        <f>IF(vp.tbl[[#This Row],[CrudeType]]="C5+",1,0)</f>
        <v>0</v>
      </c>
      <c r="Z1275">
        <f>IF(AND(vp.tbl[[#This Row],[CrudeType]]="Crude",vp.tbl[[#This Row],[Dens]]&lt;=825,vp.tbl[[#This Row],[Sulf]]&gt;0.5,vp.tbl[[#This Row],[Unknown]]=0),1,0)</f>
        <v>0</v>
      </c>
      <c r="AA1275">
        <f>IF(AND(vp.tbl[[#This Row],[CrudeType]]="Crude",vp.tbl[[#This Row],[Dens]]&lt;=825,vp.tbl[[#This Row],[Sulf]]&lt;=0.5,vp.tbl[[#This Row],[Unknown]]=0),1,0)</f>
        <v>0</v>
      </c>
      <c r="AB1275">
        <f>IF(AND(vp.tbl[[#This Row],[CrudeType]]="Crude",vp.tbl[[#This Row],[Dens]]&gt;825,vp.tbl[[#This Row],[Dens]]&lt;=870,vp.tbl[[#This Row],[Sulf]]&gt;0.5,vp.tbl[[#This Row],[Unknown]]=0),1,0)</f>
        <v>1</v>
      </c>
      <c r="AC1275">
        <f>IF(AND(vp.tbl[[#This Row],[CrudeType]]="Crude",vp.tbl[[#This Row],[Dens]]&gt;825,vp.tbl[[#This Row],[Dens]]&lt;=900,vp.tbl[[#This Row],[Sulf]]&lt;=0.5,vp.tbl[[#This Row],[Unknown]]=0),1,0)</f>
        <v>0</v>
      </c>
      <c r="AD1275">
        <f>IF(AND(vp.tbl[[#This Row],[CrudeType]]="Crude",vp.tbl[[#This Row],[Dens]]&gt;870,vp.tbl[[#This Row],[Dens]]&lt;=900,vp.tbl[[#This Row],[Sulf]]&gt;0.5,vp.tbl[[#This Row],[Unknown]]=0),1,0)</f>
        <v>0</v>
      </c>
      <c r="AE1275">
        <f>IF(AND(vp.tbl[[#This Row],[CrudeType]]="Crude",vp.tbl[[#This Row],[Dens]]&gt;900,vp.tbl[[#This Row],[Sulf]]&lt;=0.5,vp.tbl[[#This Row],[Unknown]]=0),1,0)</f>
        <v>0</v>
      </c>
      <c r="AF1275">
        <f>IF(AND(vp.tbl[[#This Row],[CrudeType]]="Crude",vp.tbl[[#This Row],[Dens]]&gt;900,vp.tbl[[#This Row],[Sulf]]&lt;=0.5,vp.tbl[[#This Row],[Unknown]]=0),1,0)</f>
        <v>0</v>
      </c>
      <c r="AG1275" t="str">
        <f>INDEX(vp.tbl[[#Headers],[Unknown]:[Heavy_SW]],MATCH(1,vp.tbl[[#This Row],[Unknown]:[Heavy_SW]],0))</f>
        <v>Medium_LSB</v>
      </c>
      <c r="AH1275" t="e">
        <f>INDEX([1]!crudeBD.lkup[Number],MATCH(vp.tbl[[#This Row],[Crude_Breakdown]],[1]!crudeBD.lkup[Crude Breakdown],0))</f>
        <v>#REF!</v>
      </c>
      <c r="AI1275">
        <f>MONTH(vp.tbl[[#This Row],[SDate]])</f>
        <v>4</v>
      </c>
      <c r="AJ1275" s="5">
        <f>IFERROR(vp.tbl[[#This Row],[Sulf]]*vp.tbl[[#This Row],[Net Dens]],"")</f>
        <v>5428012.3019999992</v>
      </c>
      <c r="AK1275" s="5">
        <f>IFERROR(vp.tbl[[#This Row],[Dens]]*vp.tbl[[#This Row],[VolumeM3]],"")</f>
        <v>3743456.76</v>
      </c>
      <c r="AL1275" s="5">
        <f>IFERROR(vp.tbl[[#This Row],[VP]]*vp.tbl[[#This Row],[VolumeM3]],"")</f>
        <v>262260.88880000002</v>
      </c>
      <c r="AM1275" s="4">
        <f>IFERROR((vp.tbl[[#This Row],[VP]]-INDEX(crudeBD.lkup.complete[Mean_VP],MATCH(vp.tbl[[#This Row],[Crude_Breakdown]],crudeBD.lkup.complete[Crude Breakdown],0)))^2,"")</f>
        <v>411.01865165774569</v>
      </c>
      <c r="AN1275" s="4">
        <f>IFERROR((vp.tbl[[#This Row],[Dens]]-INDEX(crudeBD.lkup.complete[Mean_Dens],MATCH(vp.tbl[[#This Row],[Crude_Breakdown]],crudeBD.lkup.complete[Crude Breakdown],0)))^2,"")</f>
        <v>94.248704841550918</v>
      </c>
      <c r="AO1275" s="4">
        <f>IFERROR((vp.tbl[[#This Row],[Sulf]]-INDEX(crudeBD.lkup.complete[Mean_Sulf],MATCH(vp.tbl[[#This Row],[Crude_Breakdown]],crudeBD.lkup.complete[Crude Breakdown],0)))^2,"")</f>
        <v>2.4303527108010561E-5</v>
      </c>
      <c r="AP1275">
        <f>IF(AND(vp.tbl[[#This Row],[SDate]]&gt;=DATE(YEAR(vp.tbl[[#This Row],[SDate]]),5,1),vp.tbl[[#This Row],[SDate]]&lt;=DATE(YEAR(vp.tbl[[#This Row],[SDate]]),9,15)),1,0)</f>
        <v>0</v>
      </c>
      <c r="AQ1275" s="15">
        <f>IF(vp.tbl[[#This Row],[SDate]]&lt;DATE(2016,12,1),0,1)</f>
        <v>1</v>
      </c>
    </row>
    <row r="1276" spans="1:43" x14ac:dyDescent="0.25">
      <c r="A1276">
        <v>1275</v>
      </c>
      <c r="B1276" t="s">
        <v>53</v>
      </c>
      <c r="C1276" t="s">
        <v>53</v>
      </c>
      <c r="D1276" t="s">
        <v>54</v>
      </c>
      <c r="E1276" t="s">
        <v>73</v>
      </c>
      <c r="F1276" s="1">
        <v>42846</v>
      </c>
      <c r="G1276" s="2">
        <v>75.599999999999994</v>
      </c>
      <c r="H1276" s="2"/>
      <c r="I1276" s="2">
        <v>1.2</v>
      </c>
      <c r="J1276" s="2">
        <v>7.2</v>
      </c>
      <c r="K1276" s="2">
        <v>15</v>
      </c>
      <c r="L1276" s="2">
        <v>835.6</v>
      </c>
      <c r="M1276" s="2">
        <v>835.6</v>
      </c>
      <c r="N1276" s="2">
        <f ca="1">INDEX(INDIRECT(_xlfn.CONCAT("weather.tbl[",N$1,"]")),MATCH(vp.tbl[[#This Row],[SDate]],weather.tbl[Date],0))</f>
        <v>9.3166666666666664</v>
      </c>
      <c r="O1276" s="2">
        <f ca="1">INDEX(INDIRECT(_xlfn.CONCAT("weather.tbl[",O$1,"]")),MATCH(vp.tbl[[#This Row],[SDate]],weather.tbl[Date],0))</f>
        <v>4.7857142857142856</v>
      </c>
      <c r="P1276" s="2">
        <f ca="1">INDEX(INDIRECT(_xlfn.CONCAT("weather.tbl[",P$1,"]")),MATCH(vp.tbl[[#This Row],[SDate]],weather.tbl[Date],0))</f>
        <v>9.9</v>
      </c>
      <c r="Q1276" s="2">
        <f ca="1">INDEX(INDIRECT(_xlfn.CONCAT("weather.tbl[",Q$1,"]")),MATCH(vp.tbl[[#This Row],[SDate]],weather.tbl[Date],0))</f>
        <v>9</v>
      </c>
      <c r="R1276" s="2">
        <f ca="1">INDEX(INDIRECT(_xlfn.CONCAT("weather.tbl[",R$1,"]")),MATCH(vp.tbl[[#This Row],[SDate]],weather.tbl[Date],0))</f>
        <v>9.3000000000000007</v>
      </c>
      <c r="S1276" s="2">
        <f ca="1">INDEX(INDIRECT(_xlfn.CONCAT("weather.tbl[",S$1,"]")),MATCH(vp.tbl[[#This Row],[SDate]],weather.tbl[Date],0))</f>
        <v>9.1</v>
      </c>
      <c r="T1276" s="2">
        <f ca="1">INDEX(INDIRECT(_xlfn.CONCAT("weather.tbl[",T$1,"]")),MATCH(vp.tbl[[#This Row],[SDate]],weather.tbl[Date],0))</f>
        <v>9.1</v>
      </c>
      <c r="U1276" s="2">
        <f ca="1">INDEX(INDIRECT(_xlfn.CONCAT("weather.tbl[",U$1,"]")),MATCH(vp.tbl[[#This Row],[SDate]],weather.tbl[Date],0))</f>
        <v>9.5</v>
      </c>
      <c r="V1276" s="2">
        <v>6264.8940000000002</v>
      </c>
      <c r="W1276" t="s">
        <v>48</v>
      </c>
      <c r="X1276">
        <f>IF(OR(vp.tbl[[#This Row],[Sulf]]="",vp.tbl[[#This Row],[Dens]]=""),1,0)</f>
        <v>0</v>
      </c>
      <c r="Y1276">
        <f>IF(vp.tbl[[#This Row],[CrudeType]]="C5+",1,0)</f>
        <v>0</v>
      </c>
      <c r="Z1276">
        <f>IF(AND(vp.tbl[[#This Row],[CrudeType]]="Crude",vp.tbl[[#This Row],[Dens]]&lt;=825,vp.tbl[[#This Row],[Sulf]]&gt;0.5,vp.tbl[[#This Row],[Unknown]]=0),1,0)</f>
        <v>0</v>
      </c>
      <c r="AA1276">
        <f>IF(AND(vp.tbl[[#This Row],[CrudeType]]="Crude",vp.tbl[[#This Row],[Dens]]&lt;=825,vp.tbl[[#This Row],[Sulf]]&lt;=0.5,vp.tbl[[#This Row],[Unknown]]=0),1,0)</f>
        <v>0</v>
      </c>
      <c r="AB1276">
        <f>IF(AND(vp.tbl[[#This Row],[CrudeType]]="Crude",vp.tbl[[#This Row],[Dens]]&gt;825,vp.tbl[[#This Row],[Dens]]&lt;=870,vp.tbl[[#This Row],[Sulf]]&gt;0.5,vp.tbl[[#This Row],[Unknown]]=0),1,0)</f>
        <v>1</v>
      </c>
      <c r="AC1276">
        <f>IF(AND(vp.tbl[[#This Row],[CrudeType]]="Crude",vp.tbl[[#This Row],[Dens]]&gt;825,vp.tbl[[#This Row],[Dens]]&lt;=900,vp.tbl[[#This Row],[Sulf]]&lt;=0.5,vp.tbl[[#This Row],[Unknown]]=0),1,0)</f>
        <v>0</v>
      </c>
      <c r="AD1276">
        <f>IF(AND(vp.tbl[[#This Row],[CrudeType]]="Crude",vp.tbl[[#This Row],[Dens]]&gt;870,vp.tbl[[#This Row],[Dens]]&lt;=900,vp.tbl[[#This Row],[Sulf]]&gt;0.5,vp.tbl[[#This Row],[Unknown]]=0),1,0)</f>
        <v>0</v>
      </c>
      <c r="AE1276">
        <f>IF(AND(vp.tbl[[#This Row],[CrudeType]]="Crude",vp.tbl[[#This Row],[Dens]]&gt;900,vp.tbl[[#This Row],[Sulf]]&lt;=0.5,vp.tbl[[#This Row],[Unknown]]=0),1,0)</f>
        <v>0</v>
      </c>
      <c r="AF1276">
        <f>IF(AND(vp.tbl[[#This Row],[CrudeType]]="Crude",vp.tbl[[#This Row],[Dens]]&gt;900,vp.tbl[[#This Row],[Sulf]]&lt;=0.5,vp.tbl[[#This Row],[Unknown]]=0),1,0)</f>
        <v>0</v>
      </c>
      <c r="AG1276" t="str">
        <f>INDEX(vp.tbl[[#Headers],[Unknown]:[Heavy_SW]],MATCH(1,vp.tbl[[#This Row],[Unknown]:[Heavy_SW]],0))</f>
        <v>Medium_LSB</v>
      </c>
      <c r="AH1276" t="e">
        <f>INDEX([1]!crudeBD.lkup[Number],MATCH(vp.tbl[[#This Row],[Crude_Breakdown]],[1]!crudeBD.lkup[Crude Breakdown],0))</f>
        <v>#REF!</v>
      </c>
      <c r="AI1276">
        <f>MONTH(vp.tbl[[#This Row],[SDate]])</f>
        <v>4</v>
      </c>
      <c r="AJ1276" s="5">
        <f>IFERROR(vp.tbl[[#This Row],[Sulf]]*vp.tbl[[#This Row],[Net Dens]],"")</f>
        <v>6281934.5116800005</v>
      </c>
      <c r="AK1276" s="5">
        <f>IFERROR(vp.tbl[[#This Row],[Dens]]*vp.tbl[[#This Row],[VolumeM3]],"")</f>
        <v>5234945.4264000002</v>
      </c>
      <c r="AL1276" s="5">
        <f>IFERROR(vp.tbl[[#This Row],[VP]]*vp.tbl[[#This Row],[VolumeM3]],"")</f>
        <v>473625.98639999999</v>
      </c>
      <c r="AM1276" s="4">
        <f>IFERROR((vp.tbl[[#This Row],[VP]]-INDEX(crudeBD.lkup.complete[Mean_VP],MATCH(vp.tbl[[#This Row],[Crude_Breakdown]],crudeBD.lkup.complete[Crude Breakdown],0)))^2,"")</f>
        <v>20.917770645088641</v>
      </c>
      <c r="AN1276" s="4">
        <f>IFERROR((vp.tbl[[#This Row],[Dens]]-INDEX(crudeBD.lkup.complete[Mean_Dens],MATCH(vp.tbl[[#This Row],[Crude_Breakdown]],crudeBD.lkup.complete[Crude Breakdown],0)))^2,"")</f>
        <v>93.931428892145192</v>
      </c>
      <c r="AO1276" s="4">
        <f>IFERROR((vp.tbl[[#This Row],[Sulf]]-INDEX(crudeBD.lkup.complete[Mean_Sulf],MATCH(vp.tbl[[#This Row],[Crude_Breakdown]],crudeBD.lkup.complete[Crude Breakdown],0)))^2,"")</f>
        <v>6.4989233906855612E-2</v>
      </c>
      <c r="AP1276">
        <f>IF(AND(vp.tbl[[#This Row],[SDate]]&gt;=DATE(YEAR(vp.tbl[[#This Row],[SDate]]),5,1),vp.tbl[[#This Row],[SDate]]&lt;=DATE(YEAR(vp.tbl[[#This Row],[SDate]]),9,15)),1,0)</f>
        <v>0</v>
      </c>
      <c r="AQ1276" s="15">
        <f>IF(vp.tbl[[#This Row],[SDate]]&lt;DATE(2016,12,1),0,1)</f>
        <v>1</v>
      </c>
    </row>
    <row r="1277" spans="1:43" x14ac:dyDescent="0.25">
      <c r="A1277">
        <v>1276</v>
      </c>
      <c r="B1277" t="s">
        <v>49</v>
      </c>
      <c r="C1277" t="s">
        <v>49</v>
      </c>
      <c r="D1277" t="s">
        <v>157</v>
      </c>
      <c r="F1277" s="1">
        <v>42846</v>
      </c>
      <c r="G1277" s="2">
        <v>78.599999999999994</v>
      </c>
      <c r="H1277" s="2">
        <v>2.177</v>
      </c>
      <c r="I1277" s="2">
        <v>2.177</v>
      </c>
      <c r="J1277" s="2">
        <v>29.5</v>
      </c>
      <c r="K1277" s="2">
        <v>15</v>
      </c>
      <c r="L1277" s="2">
        <v>869.9</v>
      </c>
      <c r="M1277" s="2">
        <v>869.9</v>
      </c>
      <c r="N1277" s="2">
        <f ca="1">INDEX(INDIRECT(_xlfn.CONCAT("weather.tbl[",N$1,"]")),MATCH(vp.tbl[[#This Row],[SDate]],weather.tbl[Date],0))</f>
        <v>9.3166666666666664</v>
      </c>
      <c r="O1277" s="2">
        <f ca="1">INDEX(INDIRECT(_xlfn.CONCAT("weather.tbl[",O$1,"]")),MATCH(vp.tbl[[#This Row],[SDate]],weather.tbl[Date],0))</f>
        <v>4.7857142857142856</v>
      </c>
      <c r="P1277" s="2">
        <f ca="1">INDEX(INDIRECT(_xlfn.CONCAT("weather.tbl[",P$1,"]")),MATCH(vp.tbl[[#This Row],[SDate]],weather.tbl[Date],0))</f>
        <v>9.9</v>
      </c>
      <c r="Q1277" s="2">
        <f ca="1">INDEX(INDIRECT(_xlfn.CONCAT("weather.tbl[",Q$1,"]")),MATCH(vp.tbl[[#This Row],[SDate]],weather.tbl[Date],0))</f>
        <v>9</v>
      </c>
      <c r="R1277" s="2">
        <f ca="1">INDEX(INDIRECT(_xlfn.CONCAT("weather.tbl[",R$1,"]")),MATCH(vp.tbl[[#This Row],[SDate]],weather.tbl[Date],0))</f>
        <v>9.3000000000000007</v>
      </c>
      <c r="S1277" s="2">
        <f ca="1">INDEX(INDIRECT(_xlfn.CONCAT("weather.tbl[",S$1,"]")),MATCH(vp.tbl[[#This Row],[SDate]],weather.tbl[Date],0))</f>
        <v>9.1</v>
      </c>
      <c r="T1277" s="2">
        <f ca="1">INDEX(INDIRECT(_xlfn.CONCAT("weather.tbl[",T$1,"]")),MATCH(vp.tbl[[#This Row],[SDate]],weather.tbl[Date],0))</f>
        <v>9.1</v>
      </c>
      <c r="U1277" s="2">
        <f ca="1">INDEX(INDIRECT(_xlfn.CONCAT("weather.tbl[",U$1,"]")),MATCH(vp.tbl[[#This Row],[SDate]],weather.tbl[Date],0))</f>
        <v>9.5</v>
      </c>
      <c r="V1277" s="2">
        <v>1635.163</v>
      </c>
      <c r="W1277" t="s">
        <v>48</v>
      </c>
      <c r="X1277">
        <f>IF(OR(vp.tbl[[#This Row],[Sulf]]="",vp.tbl[[#This Row],[Dens]]=""),1,0)</f>
        <v>0</v>
      </c>
      <c r="Y1277">
        <f>IF(vp.tbl[[#This Row],[CrudeType]]="C5+",1,0)</f>
        <v>0</v>
      </c>
      <c r="Z1277">
        <f>IF(AND(vp.tbl[[#This Row],[CrudeType]]="Crude",vp.tbl[[#This Row],[Dens]]&lt;=825,vp.tbl[[#This Row],[Sulf]]&gt;0.5,vp.tbl[[#This Row],[Unknown]]=0),1,0)</f>
        <v>0</v>
      </c>
      <c r="AA1277">
        <f>IF(AND(vp.tbl[[#This Row],[CrudeType]]="Crude",vp.tbl[[#This Row],[Dens]]&lt;=825,vp.tbl[[#This Row],[Sulf]]&lt;=0.5,vp.tbl[[#This Row],[Unknown]]=0),1,0)</f>
        <v>0</v>
      </c>
      <c r="AB1277">
        <f>IF(AND(vp.tbl[[#This Row],[CrudeType]]="Crude",vp.tbl[[#This Row],[Dens]]&gt;825,vp.tbl[[#This Row],[Dens]]&lt;=870,vp.tbl[[#This Row],[Sulf]]&gt;0.5,vp.tbl[[#This Row],[Unknown]]=0),1,0)</f>
        <v>1</v>
      </c>
      <c r="AC1277">
        <f>IF(AND(vp.tbl[[#This Row],[CrudeType]]="Crude",vp.tbl[[#This Row],[Dens]]&gt;825,vp.tbl[[#This Row],[Dens]]&lt;=900,vp.tbl[[#This Row],[Sulf]]&lt;=0.5,vp.tbl[[#This Row],[Unknown]]=0),1,0)</f>
        <v>0</v>
      </c>
      <c r="AD1277">
        <f>IF(AND(vp.tbl[[#This Row],[CrudeType]]="Crude",vp.tbl[[#This Row],[Dens]]&gt;870,vp.tbl[[#This Row],[Dens]]&lt;=900,vp.tbl[[#This Row],[Sulf]]&gt;0.5,vp.tbl[[#This Row],[Unknown]]=0),1,0)</f>
        <v>0</v>
      </c>
      <c r="AE1277">
        <f>IF(AND(vp.tbl[[#This Row],[CrudeType]]="Crude",vp.tbl[[#This Row],[Dens]]&gt;900,vp.tbl[[#This Row],[Sulf]]&lt;=0.5,vp.tbl[[#This Row],[Unknown]]=0),1,0)</f>
        <v>0</v>
      </c>
      <c r="AF1277">
        <f>IF(AND(vp.tbl[[#This Row],[CrudeType]]="Crude",vp.tbl[[#This Row],[Dens]]&gt;900,vp.tbl[[#This Row],[Sulf]]&lt;=0.5,vp.tbl[[#This Row],[Unknown]]=0),1,0)</f>
        <v>0</v>
      </c>
      <c r="AG1277" t="str">
        <f>INDEX(vp.tbl[[#Headers],[Unknown]:[Heavy_SW]],MATCH(1,vp.tbl[[#This Row],[Unknown]:[Heavy_SW]],0))</f>
        <v>Medium_LSB</v>
      </c>
      <c r="AH1277" t="e">
        <f>INDEX([1]!crudeBD.lkup[Number],MATCH(vp.tbl[[#This Row],[Crude_Breakdown]],[1]!crudeBD.lkup[Crude Breakdown],0))</f>
        <v>#REF!</v>
      </c>
      <c r="AI1277">
        <f>MONTH(vp.tbl[[#This Row],[SDate]])</f>
        <v>4</v>
      </c>
      <c r="AJ1277" s="5">
        <f>IFERROR(vp.tbl[[#This Row],[Sulf]]*vp.tbl[[#This Row],[Net Dens]],"")</f>
        <v>3096626.3953849003</v>
      </c>
      <c r="AK1277" s="5">
        <f>IFERROR(vp.tbl[[#This Row],[Dens]]*vp.tbl[[#This Row],[VolumeM3]],"")</f>
        <v>1422428.2937</v>
      </c>
      <c r="AL1277" s="5">
        <f>IFERROR(vp.tbl[[#This Row],[VP]]*vp.tbl[[#This Row],[VolumeM3]],"")</f>
        <v>128523.8118</v>
      </c>
      <c r="AM1277" s="4">
        <f>IFERROR((vp.tbl[[#This Row],[VP]]-INDEX(crudeBD.lkup.complete[Mean_VP],MATCH(vp.tbl[[#This Row],[Crude_Breakdown]],crudeBD.lkup.complete[Crude Breakdown],0)))^2,"")</f>
        <v>2.4762010248356652</v>
      </c>
      <c r="AN1277" s="4">
        <f>IFERROR((vp.tbl[[#This Row],[Dens]]-INDEX(crudeBD.lkup.complete[Mean_Dens],MATCH(vp.tbl[[#This Row],[Crude_Breakdown]],crudeBD.lkup.complete[Crude Breakdown],0)))^2,"")</f>
        <v>605.56238585423739</v>
      </c>
      <c r="AO1277" s="4">
        <f>IFERROR((vp.tbl[[#This Row],[Sulf]]-INDEX(crudeBD.lkup.complete[Mean_Sulf],MATCH(vp.tbl[[#This Row],[Crude_Breakdown]],crudeBD.lkup.complete[Crude Breakdown],0)))^2,"")</f>
        <v>0.52138528598280209</v>
      </c>
      <c r="AP1277">
        <f>IF(AND(vp.tbl[[#This Row],[SDate]]&gt;=DATE(YEAR(vp.tbl[[#This Row],[SDate]]),5,1),vp.tbl[[#This Row],[SDate]]&lt;=DATE(YEAR(vp.tbl[[#This Row],[SDate]]),9,15)),1,0)</f>
        <v>0</v>
      </c>
      <c r="AQ1277" s="15">
        <f>IF(vp.tbl[[#This Row],[SDate]]&lt;DATE(2016,12,1),0,1)</f>
        <v>1</v>
      </c>
    </row>
    <row r="1278" spans="1:43" x14ac:dyDescent="0.25">
      <c r="A1278">
        <v>1277</v>
      </c>
      <c r="B1278" t="s">
        <v>49</v>
      </c>
      <c r="C1278" t="s">
        <v>49</v>
      </c>
      <c r="D1278" t="s">
        <v>160</v>
      </c>
      <c r="F1278" s="1">
        <v>42846</v>
      </c>
      <c r="G1278" s="2">
        <v>70.8</v>
      </c>
      <c r="H1278" s="2">
        <v>2.2229999999999999</v>
      </c>
      <c r="I1278" s="2">
        <v>2.2229999999999999</v>
      </c>
      <c r="J1278" s="2">
        <v>33.799999999999997</v>
      </c>
      <c r="K1278" s="2">
        <v>15</v>
      </c>
      <c r="L1278" s="2">
        <v>876.9</v>
      </c>
      <c r="M1278" s="2">
        <v>876.9</v>
      </c>
      <c r="N1278" s="2">
        <f ca="1">INDEX(INDIRECT(_xlfn.CONCAT("weather.tbl[",N$1,"]")),MATCH(vp.tbl[[#This Row],[SDate]],weather.tbl[Date],0))</f>
        <v>9.3166666666666664</v>
      </c>
      <c r="O1278" s="2">
        <f ca="1">INDEX(INDIRECT(_xlfn.CONCAT("weather.tbl[",O$1,"]")),MATCH(vp.tbl[[#This Row],[SDate]],weather.tbl[Date],0))</f>
        <v>4.7857142857142856</v>
      </c>
      <c r="P1278" s="2">
        <f ca="1">INDEX(INDIRECT(_xlfn.CONCAT("weather.tbl[",P$1,"]")),MATCH(vp.tbl[[#This Row],[SDate]],weather.tbl[Date],0))</f>
        <v>9.9</v>
      </c>
      <c r="Q1278" s="2">
        <f ca="1">INDEX(INDIRECT(_xlfn.CONCAT("weather.tbl[",Q$1,"]")),MATCH(vp.tbl[[#This Row],[SDate]],weather.tbl[Date],0))</f>
        <v>9</v>
      </c>
      <c r="R1278" s="2">
        <f ca="1">INDEX(INDIRECT(_xlfn.CONCAT("weather.tbl[",R$1,"]")),MATCH(vp.tbl[[#This Row],[SDate]],weather.tbl[Date],0))</f>
        <v>9.3000000000000007</v>
      </c>
      <c r="S1278" s="2">
        <f ca="1">INDEX(INDIRECT(_xlfn.CONCAT("weather.tbl[",S$1,"]")),MATCH(vp.tbl[[#This Row],[SDate]],weather.tbl[Date],0))</f>
        <v>9.1</v>
      </c>
      <c r="T1278" s="2">
        <f ca="1">INDEX(INDIRECT(_xlfn.CONCAT("weather.tbl[",T$1,"]")),MATCH(vp.tbl[[#This Row],[SDate]],weather.tbl[Date],0))</f>
        <v>9.1</v>
      </c>
      <c r="U1278" s="2">
        <f ca="1">INDEX(INDIRECT(_xlfn.CONCAT("weather.tbl[",U$1,"]")),MATCH(vp.tbl[[#This Row],[SDate]],weather.tbl[Date],0))</f>
        <v>9.5</v>
      </c>
      <c r="V1278" s="2">
        <v>1109.4580000000001</v>
      </c>
      <c r="W1278" t="s">
        <v>48</v>
      </c>
      <c r="X1278">
        <f>IF(OR(vp.tbl[[#This Row],[Sulf]]="",vp.tbl[[#This Row],[Dens]]=""),1,0)</f>
        <v>0</v>
      </c>
      <c r="Y1278">
        <f>IF(vp.tbl[[#This Row],[CrudeType]]="C5+",1,0)</f>
        <v>0</v>
      </c>
      <c r="Z1278">
        <f>IF(AND(vp.tbl[[#This Row],[CrudeType]]="Crude",vp.tbl[[#This Row],[Dens]]&lt;=825,vp.tbl[[#This Row],[Sulf]]&gt;0.5,vp.tbl[[#This Row],[Unknown]]=0),1,0)</f>
        <v>0</v>
      </c>
      <c r="AA1278">
        <f>IF(AND(vp.tbl[[#This Row],[CrudeType]]="Crude",vp.tbl[[#This Row],[Dens]]&lt;=825,vp.tbl[[#This Row],[Sulf]]&lt;=0.5,vp.tbl[[#This Row],[Unknown]]=0),1,0)</f>
        <v>0</v>
      </c>
      <c r="AB1278">
        <f>IF(AND(vp.tbl[[#This Row],[CrudeType]]="Crude",vp.tbl[[#This Row],[Dens]]&gt;825,vp.tbl[[#This Row],[Dens]]&lt;=870,vp.tbl[[#This Row],[Sulf]]&gt;0.5,vp.tbl[[#This Row],[Unknown]]=0),1,0)</f>
        <v>0</v>
      </c>
      <c r="AC1278">
        <f>IF(AND(vp.tbl[[#This Row],[CrudeType]]="Crude",vp.tbl[[#This Row],[Dens]]&gt;825,vp.tbl[[#This Row],[Dens]]&lt;=900,vp.tbl[[#This Row],[Sulf]]&lt;=0.5,vp.tbl[[#This Row],[Unknown]]=0),1,0)</f>
        <v>0</v>
      </c>
      <c r="AD1278">
        <f>IF(AND(vp.tbl[[#This Row],[CrudeType]]="Crude",vp.tbl[[#This Row],[Dens]]&gt;870,vp.tbl[[#This Row],[Dens]]&lt;=900,vp.tbl[[#This Row],[Sulf]]&gt;0.5,vp.tbl[[#This Row],[Unknown]]=0),1,0)</f>
        <v>1</v>
      </c>
      <c r="AE1278">
        <f>IF(AND(vp.tbl[[#This Row],[CrudeType]]="Crude",vp.tbl[[#This Row],[Dens]]&gt;900,vp.tbl[[#This Row],[Sulf]]&lt;=0.5,vp.tbl[[#This Row],[Unknown]]=0),1,0)</f>
        <v>0</v>
      </c>
      <c r="AF1278">
        <f>IF(AND(vp.tbl[[#This Row],[CrudeType]]="Crude",vp.tbl[[#This Row],[Dens]]&gt;900,vp.tbl[[#This Row],[Sulf]]&lt;=0.5,vp.tbl[[#This Row],[Unknown]]=0),1,0)</f>
        <v>0</v>
      </c>
      <c r="AG1278" t="str">
        <f>INDEX(vp.tbl[[#Headers],[Unknown]:[Heavy_SW]],MATCH(1,vp.tbl[[#This Row],[Unknown]:[Heavy_SW]],0))</f>
        <v>Midale</v>
      </c>
      <c r="AH1278" t="e">
        <f>INDEX([1]!crudeBD.lkup[Number],MATCH(vp.tbl[[#This Row],[Crude_Breakdown]],[1]!crudeBD.lkup[Crude Breakdown],0))</f>
        <v>#REF!</v>
      </c>
      <c r="AI1278">
        <f>MONTH(vp.tbl[[#This Row],[SDate]])</f>
        <v>4</v>
      </c>
      <c r="AJ1278" s="5">
        <f>IFERROR(vp.tbl[[#This Row],[Sulf]]*vp.tbl[[#This Row],[Net Dens]],"")</f>
        <v>2162720.5100046</v>
      </c>
      <c r="AK1278" s="5">
        <f>IFERROR(vp.tbl[[#This Row],[Dens]]*vp.tbl[[#This Row],[VolumeM3]],"")</f>
        <v>972883.7202000001</v>
      </c>
      <c r="AL1278" s="5">
        <f>IFERROR(vp.tbl[[#This Row],[VP]]*vp.tbl[[#This Row],[VolumeM3]],"")</f>
        <v>78549.626400000008</v>
      </c>
      <c r="AM1278" s="4">
        <f>IFERROR((vp.tbl[[#This Row],[VP]]-INDEX(crudeBD.lkup.complete[Mean_VP],MATCH(vp.tbl[[#This Row],[Crude_Breakdown]],crudeBD.lkup.complete[Crude Breakdown],0)))^2,"")</f>
        <v>6.5620191405516168</v>
      </c>
      <c r="AN1278" s="4">
        <f>IFERROR((vp.tbl[[#This Row],[Dens]]-INDEX(crudeBD.lkup.complete[Mean_Dens],MATCH(vp.tbl[[#This Row],[Crude_Breakdown]],crudeBD.lkup.complete[Crude Breakdown],0)))^2,"")</f>
        <v>0.42517545505686882</v>
      </c>
      <c r="AO1278" s="4">
        <f>IFERROR((vp.tbl[[#This Row],[Sulf]]-INDEX(crudeBD.lkup.complete[Mean_Sulf],MATCH(vp.tbl[[#This Row],[Crude_Breakdown]],crudeBD.lkup.complete[Crude Breakdown],0)))^2,"")</f>
        <v>3.6994728295908746E-2</v>
      </c>
      <c r="AP1278">
        <f>IF(AND(vp.tbl[[#This Row],[SDate]]&gt;=DATE(YEAR(vp.tbl[[#This Row],[SDate]]),5,1),vp.tbl[[#This Row],[SDate]]&lt;=DATE(YEAR(vp.tbl[[#This Row],[SDate]]),9,15)),1,0)</f>
        <v>0</v>
      </c>
      <c r="AQ1278" s="15">
        <f>IF(vp.tbl[[#This Row],[SDate]]&lt;DATE(2016,12,1),0,1)</f>
        <v>1</v>
      </c>
    </row>
    <row r="1279" spans="1:43" x14ac:dyDescent="0.25">
      <c r="A1279">
        <v>1278</v>
      </c>
      <c r="B1279" t="s">
        <v>49</v>
      </c>
      <c r="C1279" t="s">
        <v>49</v>
      </c>
      <c r="D1279" t="s">
        <v>86</v>
      </c>
      <c r="F1279" s="1">
        <v>42846</v>
      </c>
      <c r="G1279" s="2">
        <v>67.400000000000006</v>
      </c>
      <c r="H1279" s="2">
        <v>2.8450000000000002</v>
      </c>
      <c r="I1279" s="2">
        <v>2.8450000000000002</v>
      </c>
      <c r="J1279" s="2">
        <v>34.4</v>
      </c>
      <c r="K1279" s="2">
        <v>15</v>
      </c>
      <c r="L1279" s="2">
        <v>886.2</v>
      </c>
      <c r="M1279" s="2">
        <v>886.2</v>
      </c>
      <c r="N1279" s="2">
        <f ca="1">INDEX(INDIRECT(_xlfn.CONCAT("weather.tbl[",N$1,"]")),MATCH(vp.tbl[[#This Row],[SDate]],weather.tbl[Date],0))</f>
        <v>9.3166666666666664</v>
      </c>
      <c r="O1279" s="2">
        <f ca="1">INDEX(INDIRECT(_xlfn.CONCAT("weather.tbl[",O$1,"]")),MATCH(vp.tbl[[#This Row],[SDate]],weather.tbl[Date],0))</f>
        <v>4.7857142857142856</v>
      </c>
      <c r="P1279" s="2">
        <f ca="1">INDEX(INDIRECT(_xlfn.CONCAT("weather.tbl[",P$1,"]")),MATCH(vp.tbl[[#This Row],[SDate]],weather.tbl[Date],0))</f>
        <v>9.9</v>
      </c>
      <c r="Q1279" s="2">
        <f ca="1">INDEX(INDIRECT(_xlfn.CONCAT("weather.tbl[",Q$1,"]")),MATCH(vp.tbl[[#This Row],[SDate]],weather.tbl[Date],0))</f>
        <v>9</v>
      </c>
      <c r="R1279" s="2">
        <f ca="1">INDEX(INDIRECT(_xlfn.CONCAT("weather.tbl[",R$1,"]")),MATCH(vp.tbl[[#This Row],[SDate]],weather.tbl[Date],0))</f>
        <v>9.3000000000000007</v>
      </c>
      <c r="S1279" s="2">
        <f ca="1">INDEX(INDIRECT(_xlfn.CONCAT("weather.tbl[",S$1,"]")),MATCH(vp.tbl[[#This Row],[SDate]],weather.tbl[Date],0))</f>
        <v>9.1</v>
      </c>
      <c r="T1279" s="2">
        <f ca="1">INDEX(INDIRECT(_xlfn.CONCAT("weather.tbl[",T$1,"]")),MATCH(vp.tbl[[#This Row],[SDate]],weather.tbl[Date],0))</f>
        <v>9.1</v>
      </c>
      <c r="U1279" s="2">
        <f ca="1">INDEX(INDIRECT(_xlfn.CONCAT("weather.tbl[",U$1,"]")),MATCH(vp.tbl[[#This Row],[SDate]],weather.tbl[Date],0))</f>
        <v>9.5</v>
      </c>
      <c r="V1279" s="2">
        <v>4754.5860000000002</v>
      </c>
      <c r="W1279" t="s">
        <v>48</v>
      </c>
      <c r="X1279">
        <f>IF(OR(vp.tbl[[#This Row],[Sulf]]="",vp.tbl[[#This Row],[Dens]]=""),1,0)</f>
        <v>0</v>
      </c>
      <c r="Y1279">
        <f>IF(vp.tbl[[#This Row],[CrudeType]]="C5+",1,0)</f>
        <v>0</v>
      </c>
      <c r="Z1279">
        <f>IF(AND(vp.tbl[[#This Row],[CrudeType]]="Crude",vp.tbl[[#This Row],[Dens]]&lt;=825,vp.tbl[[#This Row],[Sulf]]&gt;0.5,vp.tbl[[#This Row],[Unknown]]=0),1,0)</f>
        <v>0</v>
      </c>
      <c r="AA1279">
        <f>IF(AND(vp.tbl[[#This Row],[CrudeType]]="Crude",vp.tbl[[#This Row],[Dens]]&lt;=825,vp.tbl[[#This Row],[Sulf]]&lt;=0.5,vp.tbl[[#This Row],[Unknown]]=0),1,0)</f>
        <v>0</v>
      </c>
      <c r="AB1279">
        <f>IF(AND(vp.tbl[[#This Row],[CrudeType]]="Crude",vp.tbl[[#This Row],[Dens]]&gt;825,vp.tbl[[#This Row],[Dens]]&lt;=870,vp.tbl[[#This Row],[Sulf]]&gt;0.5,vp.tbl[[#This Row],[Unknown]]=0),1,0)</f>
        <v>0</v>
      </c>
      <c r="AC1279">
        <f>IF(AND(vp.tbl[[#This Row],[CrudeType]]="Crude",vp.tbl[[#This Row],[Dens]]&gt;825,vp.tbl[[#This Row],[Dens]]&lt;=900,vp.tbl[[#This Row],[Sulf]]&lt;=0.5,vp.tbl[[#This Row],[Unknown]]=0),1,0)</f>
        <v>0</v>
      </c>
      <c r="AD1279">
        <f>IF(AND(vp.tbl[[#This Row],[CrudeType]]="Crude",vp.tbl[[#This Row],[Dens]]&gt;870,vp.tbl[[#This Row],[Dens]]&lt;=900,vp.tbl[[#This Row],[Sulf]]&gt;0.5,vp.tbl[[#This Row],[Unknown]]=0),1,0)</f>
        <v>1</v>
      </c>
      <c r="AE1279">
        <f>IF(AND(vp.tbl[[#This Row],[CrudeType]]="Crude",vp.tbl[[#This Row],[Dens]]&gt;900,vp.tbl[[#This Row],[Sulf]]&lt;=0.5,vp.tbl[[#This Row],[Unknown]]=0),1,0)</f>
        <v>0</v>
      </c>
      <c r="AF1279">
        <f>IF(AND(vp.tbl[[#This Row],[CrudeType]]="Crude",vp.tbl[[#This Row],[Dens]]&gt;900,vp.tbl[[#This Row],[Sulf]]&lt;=0.5,vp.tbl[[#This Row],[Unknown]]=0),1,0)</f>
        <v>0</v>
      </c>
      <c r="AG1279" t="str">
        <f>INDEX(vp.tbl[[#Headers],[Unknown]:[Heavy_SW]],MATCH(1,vp.tbl[[#This Row],[Unknown]:[Heavy_SW]],0))</f>
        <v>Midale</v>
      </c>
      <c r="AH1279" t="e">
        <f>INDEX([1]!crudeBD.lkup[Number],MATCH(vp.tbl[[#This Row],[Crude_Breakdown]],[1]!crudeBD.lkup[Crude Breakdown],0))</f>
        <v>#REF!</v>
      </c>
      <c r="AI1279">
        <f>MONTH(vp.tbl[[#This Row],[SDate]])</f>
        <v>4</v>
      </c>
      <c r="AJ1279" s="5">
        <f>IFERROR(vp.tbl[[#This Row],[Sulf]]*vp.tbl[[#This Row],[Net Dens]],"")</f>
        <v>11987447.652054003</v>
      </c>
      <c r="AK1279" s="5">
        <f>IFERROR(vp.tbl[[#This Row],[Dens]]*vp.tbl[[#This Row],[VolumeM3]],"")</f>
        <v>4213514.1132000005</v>
      </c>
      <c r="AL1279" s="5">
        <f>IFERROR(vp.tbl[[#This Row],[VP]]*vp.tbl[[#This Row],[VolumeM3]],"")</f>
        <v>320459.09640000004</v>
      </c>
      <c r="AM1279" s="4">
        <f>IFERROR((vp.tbl[[#This Row],[VP]]-INDEX(crudeBD.lkup.complete[Mean_VP],MATCH(vp.tbl[[#This Row],[Crude_Breakdown]],crudeBD.lkup.complete[Crude Breakdown],0)))^2,"")</f>
        <v>0.70284105835992994</v>
      </c>
      <c r="AN1279" s="4">
        <f>IFERROR((vp.tbl[[#This Row],[Dens]]-INDEX(crudeBD.lkup.complete[Mean_Dens],MATCH(vp.tbl[[#This Row],[Crude_Breakdown]],crudeBD.lkup.complete[Crude Breakdown],0)))^2,"")</f>
        <v>74.786956276981059</v>
      </c>
      <c r="AO1279" s="4">
        <f>IFERROR((vp.tbl[[#This Row],[Sulf]]-INDEX(crudeBD.lkup.complete[Mean_Sulf],MATCH(vp.tbl[[#This Row],[Crude_Breakdown]],crudeBD.lkup.complete[Crude Breakdown],0)))^2,"")</f>
        <v>0.18460759788495151</v>
      </c>
      <c r="AP1279">
        <f>IF(AND(vp.tbl[[#This Row],[SDate]]&gt;=DATE(YEAR(vp.tbl[[#This Row],[SDate]]),5,1),vp.tbl[[#This Row],[SDate]]&lt;=DATE(YEAR(vp.tbl[[#This Row],[SDate]]),9,15)),1,0)</f>
        <v>0</v>
      </c>
      <c r="AQ1279" s="15">
        <f>IF(vp.tbl[[#This Row],[SDate]]&lt;DATE(2016,12,1),0,1)</f>
        <v>1</v>
      </c>
    </row>
    <row r="1280" spans="1:43" x14ac:dyDescent="0.25">
      <c r="A1280">
        <v>1279</v>
      </c>
      <c r="B1280" t="s">
        <v>62</v>
      </c>
      <c r="C1280" t="s">
        <v>62</v>
      </c>
      <c r="D1280" t="s">
        <v>83</v>
      </c>
      <c r="F1280" s="1">
        <v>42846</v>
      </c>
      <c r="G1280" s="2">
        <v>81.3</v>
      </c>
      <c r="H1280" s="2"/>
      <c r="I1280" s="2">
        <v>0.16</v>
      </c>
      <c r="J1280" s="2">
        <v>6.1</v>
      </c>
      <c r="K1280" s="2">
        <v>8</v>
      </c>
      <c r="L1280" s="2">
        <v>809</v>
      </c>
      <c r="M1280" s="2">
        <v>809</v>
      </c>
      <c r="N1280" s="2">
        <f ca="1">INDEX(INDIRECT(_xlfn.CONCAT("weather.tbl[",N$1,"]")),MATCH(vp.tbl[[#This Row],[SDate]],weather.tbl[Date],0))</f>
        <v>9.3166666666666664</v>
      </c>
      <c r="O1280" s="2">
        <f ca="1">INDEX(INDIRECT(_xlfn.CONCAT("weather.tbl[",O$1,"]")),MATCH(vp.tbl[[#This Row],[SDate]],weather.tbl[Date],0))</f>
        <v>4.7857142857142856</v>
      </c>
      <c r="P1280" s="2">
        <f ca="1">INDEX(INDIRECT(_xlfn.CONCAT("weather.tbl[",P$1,"]")),MATCH(vp.tbl[[#This Row],[SDate]],weather.tbl[Date],0))</f>
        <v>9.9</v>
      </c>
      <c r="Q1280" s="2">
        <f ca="1">INDEX(INDIRECT(_xlfn.CONCAT("weather.tbl[",Q$1,"]")),MATCH(vp.tbl[[#This Row],[SDate]],weather.tbl[Date],0))</f>
        <v>9</v>
      </c>
      <c r="R1280" s="2">
        <f ca="1">INDEX(INDIRECT(_xlfn.CONCAT("weather.tbl[",R$1,"]")),MATCH(vp.tbl[[#This Row],[SDate]],weather.tbl[Date],0))</f>
        <v>9.3000000000000007</v>
      </c>
      <c r="S1280" s="2">
        <f ca="1">INDEX(INDIRECT(_xlfn.CONCAT("weather.tbl[",S$1,"]")),MATCH(vp.tbl[[#This Row],[SDate]],weather.tbl[Date],0))</f>
        <v>9.1</v>
      </c>
      <c r="T1280" s="2">
        <f ca="1">INDEX(INDIRECT(_xlfn.CONCAT("weather.tbl[",T$1,"]")),MATCH(vp.tbl[[#This Row],[SDate]],weather.tbl[Date],0))</f>
        <v>9.1</v>
      </c>
      <c r="U1280" s="2">
        <f ca="1">INDEX(INDIRECT(_xlfn.CONCAT("weather.tbl[",U$1,"]")),MATCH(vp.tbl[[#This Row],[SDate]],weather.tbl[Date],0))</f>
        <v>9.5</v>
      </c>
      <c r="V1280" s="2">
        <v>8089.0709999999999</v>
      </c>
      <c r="W1280" t="s">
        <v>48</v>
      </c>
      <c r="X1280">
        <f>IF(OR(vp.tbl[[#This Row],[Sulf]]="",vp.tbl[[#This Row],[Dens]]=""),1,0)</f>
        <v>0</v>
      </c>
      <c r="Y1280">
        <f>IF(vp.tbl[[#This Row],[CrudeType]]="C5+",1,0)</f>
        <v>0</v>
      </c>
      <c r="Z1280">
        <f>IF(AND(vp.tbl[[#This Row],[CrudeType]]="Crude",vp.tbl[[#This Row],[Dens]]&lt;=825,vp.tbl[[#This Row],[Sulf]]&gt;0.5,vp.tbl[[#This Row],[Unknown]]=0),1,0)</f>
        <v>0</v>
      </c>
      <c r="AA1280">
        <f>IF(AND(vp.tbl[[#This Row],[CrudeType]]="Crude",vp.tbl[[#This Row],[Dens]]&lt;=825,vp.tbl[[#This Row],[Sulf]]&lt;=0.5,vp.tbl[[#This Row],[Unknown]]=0),1,0)</f>
        <v>1</v>
      </c>
      <c r="AB1280">
        <f>IF(AND(vp.tbl[[#This Row],[CrudeType]]="Crude",vp.tbl[[#This Row],[Dens]]&gt;825,vp.tbl[[#This Row],[Dens]]&lt;=870,vp.tbl[[#This Row],[Sulf]]&gt;0.5,vp.tbl[[#This Row],[Unknown]]=0),1,0)</f>
        <v>0</v>
      </c>
      <c r="AC1280">
        <f>IF(AND(vp.tbl[[#This Row],[CrudeType]]="Crude",vp.tbl[[#This Row],[Dens]]&gt;825,vp.tbl[[#This Row],[Dens]]&lt;=900,vp.tbl[[#This Row],[Sulf]]&lt;=0.5,vp.tbl[[#This Row],[Unknown]]=0),1,0)</f>
        <v>0</v>
      </c>
      <c r="AD1280">
        <f>IF(AND(vp.tbl[[#This Row],[CrudeType]]="Crude",vp.tbl[[#This Row],[Dens]]&gt;870,vp.tbl[[#This Row],[Dens]]&lt;=900,vp.tbl[[#This Row],[Sulf]]&gt;0.5,vp.tbl[[#This Row],[Unknown]]=0),1,0)</f>
        <v>0</v>
      </c>
      <c r="AE1280">
        <f>IF(AND(vp.tbl[[#This Row],[CrudeType]]="Crude",vp.tbl[[#This Row],[Dens]]&gt;900,vp.tbl[[#This Row],[Sulf]]&lt;=0.5,vp.tbl[[#This Row],[Unknown]]=0),1,0)</f>
        <v>0</v>
      </c>
      <c r="AF1280">
        <f>IF(AND(vp.tbl[[#This Row],[CrudeType]]="Crude",vp.tbl[[#This Row],[Dens]]&gt;900,vp.tbl[[#This Row],[Sulf]]&lt;=0.5,vp.tbl[[#This Row],[Unknown]]=0),1,0)</f>
        <v>0</v>
      </c>
      <c r="AG1280" t="str">
        <f>INDEX(vp.tbl[[#Headers],[Unknown]:[Heavy_SW]],MATCH(1,vp.tbl[[#This Row],[Unknown]:[Heavy_SW]],0))</f>
        <v>Light_SW</v>
      </c>
      <c r="AH1280" t="e">
        <f>INDEX([1]!crudeBD.lkup[Number],MATCH(vp.tbl[[#This Row],[Crude_Breakdown]],[1]!crudeBD.lkup[Crude Breakdown],0))</f>
        <v>#REF!</v>
      </c>
      <c r="AI1280">
        <f>MONTH(vp.tbl[[#This Row],[SDate]])</f>
        <v>4</v>
      </c>
      <c r="AJ1280" s="5">
        <f>IFERROR(vp.tbl[[#This Row],[Sulf]]*vp.tbl[[#This Row],[Net Dens]],"")</f>
        <v>1047049.3502400001</v>
      </c>
      <c r="AK1280" s="5">
        <f>IFERROR(vp.tbl[[#This Row],[Dens]]*vp.tbl[[#This Row],[VolumeM3]],"")</f>
        <v>6544058.4390000002</v>
      </c>
      <c r="AL1280" s="5">
        <f>IFERROR(vp.tbl[[#This Row],[VP]]*vp.tbl[[#This Row],[VolumeM3]],"")</f>
        <v>657641.47230000002</v>
      </c>
      <c r="AM1280" s="4">
        <f>IFERROR((vp.tbl[[#This Row],[VP]]-INDEX(crudeBD.lkup.complete[Mean_VP],MATCH(vp.tbl[[#This Row],[Crude_Breakdown]],crudeBD.lkup.complete[Crude Breakdown],0)))^2,"")</f>
        <v>126.56955584746629</v>
      </c>
      <c r="AN1280" s="4">
        <f>IFERROR((vp.tbl[[#This Row],[Dens]]-INDEX(crudeBD.lkup.complete[Mean_Dens],MATCH(vp.tbl[[#This Row],[Crude_Breakdown]],crudeBD.lkup.complete[Crude Breakdown],0)))^2,"")</f>
        <v>0.4740346489580396</v>
      </c>
      <c r="AO1280" s="4">
        <f>IFERROR((vp.tbl[[#This Row],[Sulf]]-INDEX(crudeBD.lkup.complete[Mean_Sulf],MATCH(vp.tbl[[#This Row],[Crude_Breakdown]],crudeBD.lkup.complete[Crude Breakdown],0)))^2,"")</f>
        <v>5.8128138736660397E-3</v>
      </c>
      <c r="AP1280">
        <f>IF(AND(vp.tbl[[#This Row],[SDate]]&gt;=DATE(YEAR(vp.tbl[[#This Row],[SDate]]),5,1),vp.tbl[[#This Row],[SDate]]&lt;=DATE(YEAR(vp.tbl[[#This Row],[SDate]]),9,15)),1,0)</f>
        <v>0</v>
      </c>
      <c r="AQ1280" s="15">
        <f>IF(vp.tbl[[#This Row],[SDate]]&lt;DATE(2016,12,1),0,1)</f>
        <v>1</v>
      </c>
    </row>
    <row r="1281" spans="1:43" x14ac:dyDescent="0.25">
      <c r="A1281">
        <v>1280</v>
      </c>
      <c r="B1281" t="s">
        <v>134</v>
      </c>
      <c r="C1281" t="s">
        <v>134</v>
      </c>
      <c r="D1281" t="s">
        <v>263</v>
      </c>
      <c r="F1281" s="1">
        <v>42846</v>
      </c>
      <c r="G1281" s="2">
        <v>56.1</v>
      </c>
      <c r="H1281" s="2"/>
      <c r="I1281" s="2">
        <v>2.1800000000000002</v>
      </c>
      <c r="J1281" s="2">
        <v>15.8</v>
      </c>
      <c r="K1281" s="2">
        <v>15</v>
      </c>
      <c r="L1281" s="2">
        <v>867.8</v>
      </c>
      <c r="M1281" s="2">
        <v>867.8</v>
      </c>
      <c r="N1281" s="2">
        <f ca="1">INDEX(INDIRECT(_xlfn.CONCAT("weather.tbl[",N$1,"]")),MATCH(vp.tbl[[#This Row],[SDate]],weather.tbl[Date],0))</f>
        <v>9.3166666666666664</v>
      </c>
      <c r="O1281" s="2">
        <f ca="1">INDEX(INDIRECT(_xlfn.CONCAT("weather.tbl[",O$1,"]")),MATCH(vp.tbl[[#This Row],[SDate]],weather.tbl[Date],0))</f>
        <v>4.7857142857142856</v>
      </c>
      <c r="P1281" s="2">
        <f ca="1">INDEX(INDIRECT(_xlfn.CONCAT("weather.tbl[",P$1,"]")),MATCH(vp.tbl[[#This Row],[SDate]],weather.tbl[Date],0))</f>
        <v>9.9</v>
      </c>
      <c r="Q1281" s="2">
        <f ca="1">INDEX(INDIRECT(_xlfn.CONCAT("weather.tbl[",Q$1,"]")),MATCH(vp.tbl[[#This Row],[SDate]],weather.tbl[Date],0))</f>
        <v>9</v>
      </c>
      <c r="R1281" s="2">
        <f ca="1">INDEX(INDIRECT(_xlfn.CONCAT("weather.tbl[",R$1,"]")),MATCH(vp.tbl[[#This Row],[SDate]],weather.tbl[Date],0))</f>
        <v>9.3000000000000007</v>
      </c>
      <c r="S1281" s="2">
        <f ca="1">INDEX(INDIRECT(_xlfn.CONCAT("weather.tbl[",S$1,"]")),MATCH(vp.tbl[[#This Row],[SDate]],weather.tbl[Date],0))</f>
        <v>9.1</v>
      </c>
      <c r="T1281" s="2">
        <f ca="1">INDEX(INDIRECT(_xlfn.CONCAT("weather.tbl[",T$1,"]")),MATCH(vp.tbl[[#This Row],[SDate]],weather.tbl[Date],0))</f>
        <v>9.1</v>
      </c>
      <c r="U1281" s="2">
        <f ca="1">INDEX(INDIRECT(_xlfn.CONCAT("weather.tbl[",U$1,"]")),MATCH(vp.tbl[[#This Row],[SDate]],weather.tbl[Date],0))</f>
        <v>9.5</v>
      </c>
      <c r="V1281" s="2">
        <v>141.066</v>
      </c>
      <c r="W1281" t="s">
        <v>48</v>
      </c>
      <c r="X1281">
        <f>IF(OR(vp.tbl[[#This Row],[Sulf]]="",vp.tbl[[#This Row],[Dens]]=""),1,0)</f>
        <v>0</v>
      </c>
      <c r="Y1281">
        <f>IF(vp.tbl[[#This Row],[CrudeType]]="C5+",1,0)</f>
        <v>0</v>
      </c>
      <c r="Z1281">
        <f>IF(AND(vp.tbl[[#This Row],[CrudeType]]="Crude",vp.tbl[[#This Row],[Dens]]&lt;=825,vp.tbl[[#This Row],[Sulf]]&gt;0.5,vp.tbl[[#This Row],[Unknown]]=0),1,0)</f>
        <v>0</v>
      </c>
      <c r="AA1281">
        <f>IF(AND(vp.tbl[[#This Row],[CrudeType]]="Crude",vp.tbl[[#This Row],[Dens]]&lt;=825,vp.tbl[[#This Row],[Sulf]]&lt;=0.5,vp.tbl[[#This Row],[Unknown]]=0),1,0)</f>
        <v>0</v>
      </c>
      <c r="AB1281">
        <f>IF(AND(vp.tbl[[#This Row],[CrudeType]]="Crude",vp.tbl[[#This Row],[Dens]]&gt;825,vp.tbl[[#This Row],[Dens]]&lt;=870,vp.tbl[[#This Row],[Sulf]]&gt;0.5,vp.tbl[[#This Row],[Unknown]]=0),1,0)</f>
        <v>1</v>
      </c>
      <c r="AC1281">
        <f>IF(AND(vp.tbl[[#This Row],[CrudeType]]="Crude",vp.tbl[[#This Row],[Dens]]&gt;825,vp.tbl[[#This Row],[Dens]]&lt;=900,vp.tbl[[#This Row],[Sulf]]&lt;=0.5,vp.tbl[[#This Row],[Unknown]]=0),1,0)</f>
        <v>0</v>
      </c>
      <c r="AD1281">
        <f>IF(AND(vp.tbl[[#This Row],[CrudeType]]="Crude",vp.tbl[[#This Row],[Dens]]&gt;870,vp.tbl[[#This Row],[Dens]]&lt;=900,vp.tbl[[#This Row],[Sulf]]&gt;0.5,vp.tbl[[#This Row],[Unknown]]=0),1,0)</f>
        <v>0</v>
      </c>
      <c r="AE1281">
        <f>IF(AND(vp.tbl[[#This Row],[CrudeType]]="Crude",vp.tbl[[#This Row],[Dens]]&gt;900,vp.tbl[[#This Row],[Sulf]]&lt;=0.5,vp.tbl[[#This Row],[Unknown]]=0),1,0)</f>
        <v>0</v>
      </c>
      <c r="AF1281">
        <f>IF(AND(vp.tbl[[#This Row],[CrudeType]]="Crude",vp.tbl[[#This Row],[Dens]]&gt;900,vp.tbl[[#This Row],[Sulf]]&lt;=0.5,vp.tbl[[#This Row],[Unknown]]=0),1,0)</f>
        <v>0</v>
      </c>
      <c r="AG1281" t="str">
        <f>INDEX(vp.tbl[[#Headers],[Unknown]:[Heavy_SW]],MATCH(1,vp.tbl[[#This Row],[Unknown]:[Heavy_SW]],0))</f>
        <v>Medium_LSB</v>
      </c>
      <c r="AH1281" t="e">
        <f>INDEX([1]!crudeBD.lkup[Number],MATCH(vp.tbl[[#This Row],[Crude_Breakdown]],[1]!crudeBD.lkup[Crude Breakdown],0))</f>
        <v>#REF!</v>
      </c>
      <c r="AI1281">
        <f>MONTH(vp.tbl[[#This Row],[SDate]])</f>
        <v>4</v>
      </c>
      <c r="AJ1281" s="5">
        <f>IFERROR(vp.tbl[[#This Row],[Sulf]]*vp.tbl[[#This Row],[Net Dens]],"")</f>
        <v>266869.22306400002</v>
      </c>
      <c r="AK1281" s="5">
        <f>IFERROR(vp.tbl[[#This Row],[Dens]]*vp.tbl[[#This Row],[VolumeM3]],"")</f>
        <v>122417.0748</v>
      </c>
      <c r="AL1281" s="5">
        <f>IFERROR(vp.tbl[[#This Row],[VP]]*vp.tbl[[#This Row],[VolumeM3]],"")</f>
        <v>7913.8026</v>
      </c>
      <c r="AM1281" s="4">
        <f>IFERROR((vp.tbl[[#This Row],[VP]]-INDEX(crudeBD.lkup.complete[Mean_VP],MATCH(vp.tbl[[#This Row],[Crude_Breakdown]],crudeBD.lkup.complete[Crude Breakdown],0)))^2,"")</f>
        <v>579.53797317673263</v>
      </c>
      <c r="AN1281" s="4">
        <f>IFERROR((vp.tbl[[#This Row],[Dens]]-INDEX(crudeBD.lkup.complete[Mean_Dens],MATCH(vp.tbl[[#This Row],[Crude_Breakdown]],crudeBD.lkup.complete[Crude Breakdown],0)))^2,"")</f>
        <v>506.61804155043484</v>
      </c>
      <c r="AO1281" s="4">
        <f>IFERROR((vp.tbl[[#This Row],[Sulf]]-INDEX(crudeBD.lkup.complete[Mean_Sulf],MATCH(vp.tbl[[#This Row],[Crude_Breakdown]],crudeBD.lkup.complete[Crude Breakdown],0)))^2,"")</f>
        <v>0.52572670681824529</v>
      </c>
      <c r="AP1281">
        <f>IF(AND(vp.tbl[[#This Row],[SDate]]&gt;=DATE(YEAR(vp.tbl[[#This Row],[SDate]]),5,1),vp.tbl[[#This Row],[SDate]]&lt;=DATE(YEAR(vp.tbl[[#This Row],[SDate]]),9,15)),1,0)</f>
        <v>0</v>
      </c>
      <c r="AQ1281" s="15">
        <f>IF(vp.tbl[[#This Row],[SDate]]&lt;DATE(2016,12,1),0,1)</f>
        <v>1</v>
      </c>
    </row>
    <row r="1282" spans="1:43" x14ac:dyDescent="0.25">
      <c r="A1282">
        <v>1281</v>
      </c>
      <c r="B1282" t="s">
        <v>111</v>
      </c>
      <c r="C1282" t="s">
        <v>111</v>
      </c>
      <c r="D1282" t="s">
        <v>264</v>
      </c>
      <c r="F1282" s="1">
        <v>42846</v>
      </c>
      <c r="G1282" s="2">
        <v>69.900000000000006</v>
      </c>
      <c r="H1282" s="2"/>
      <c r="I1282" s="2">
        <v>2.85</v>
      </c>
      <c r="J1282" s="2">
        <v>30.7</v>
      </c>
      <c r="K1282" s="2">
        <v>15</v>
      </c>
      <c r="L1282" s="2">
        <v>886.5</v>
      </c>
      <c r="M1282" s="2">
        <v>886.5</v>
      </c>
      <c r="N1282" s="2">
        <f ca="1">INDEX(INDIRECT(_xlfn.CONCAT("weather.tbl[",N$1,"]")),MATCH(vp.tbl[[#This Row],[SDate]],weather.tbl[Date],0))</f>
        <v>9.3166666666666664</v>
      </c>
      <c r="O1282" s="2">
        <f ca="1">INDEX(INDIRECT(_xlfn.CONCAT("weather.tbl[",O$1,"]")),MATCH(vp.tbl[[#This Row],[SDate]],weather.tbl[Date],0))</f>
        <v>4.7857142857142856</v>
      </c>
      <c r="P1282" s="2">
        <f ca="1">INDEX(INDIRECT(_xlfn.CONCAT("weather.tbl[",P$1,"]")),MATCH(vp.tbl[[#This Row],[SDate]],weather.tbl[Date],0))</f>
        <v>9.9</v>
      </c>
      <c r="Q1282" s="2">
        <f ca="1">INDEX(INDIRECT(_xlfn.CONCAT("weather.tbl[",Q$1,"]")),MATCH(vp.tbl[[#This Row],[SDate]],weather.tbl[Date],0))</f>
        <v>9</v>
      </c>
      <c r="R1282" s="2">
        <f ca="1">INDEX(INDIRECT(_xlfn.CONCAT("weather.tbl[",R$1,"]")),MATCH(vp.tbl[[#This Row],[SDate]],weather.tbl[Date],0))</f>
        <v>9.3000000000000007</v>
      </c>
      <c r="S1282" s="2">
        <f ca="1">INDEX(INDIRECT(_xlfn.CONCAT("weather.tbl[",S$1,"]")),MATCH(vp.tbl[[#This Row],[SDate]],weather.tbl[Date],0))</f>
        <v>9.1</v>
      </c>
      <c r="T1282" s="2">
        <f ca="1">INDEX(INDIRECT(_xlfn.CONCAT("weather.tbl[",T$1,"]")),MATCH(vp.tbl[[#This Row],[SDate]],weather.tbl[Date],0))</f>
        <v>9.1</v>
      </c>
      <c r="U1282" s="2">
        <f ca="1">INDEX(INDIRECT(_xlfn.CONCAT("weather.tbl[",U$1,"]")),MATCH(vp.tbl[[#This Row],[SDate]],weather.tbl[Date],0))</f>
        <v>9.5</v>
      </c>
      <c r="V1282" s="2">
        <v>3401.2339999999999</v>
      </c>
      <c r="W1282" t="s">
        <v>48</v>
      </c>
      <c r="X1282">
        <f>IF(OR(vp.tbl[[#This Row],[Sulf]]="",vp.tbl[[#This Row],[Dens]]=""),1,0)</f>
        <v>0</v>
      </c>
      <c r="Y1282">
        <f>IF(vp.tbl[[#This Row],[CrudeType]]="C5+",1,0)</f>
        <v>0</v>
      </c>
      <c r="Z1282">
        <f>IF(AND(vp.tbl[[#This Row],[CrudeType]]="Crude",vp.tbl[[#This Row],[Dens]]&lt;=825,vp.tbl[[#This Row],[Sulf]]&gt;0.5,vp.tbl[[#This Row],[Unknown]]=0),1,0)</f>
        <v>0</v>
      </c>
      <c r="AA1282">
        <f>IF(AND(vp.tbl[[#This Row],[CrudeType]]="Crude",vp.tbl[[#This Row],[Dens]]&lt;=825,vp.tbl[[#This Row],[Sulf]]&lt;=0.5,vp.tbl[[#This Row],[Unknown]]=0),1,0)</f>
        <v>0</v>
      </c>
      <c r="AB1282">
        <f>IF(AND(vp.tbl[[#This Row],[CrudeType]]="Crude",vp.tbl[[#This Row],[Dens]]&gt;825,vp.tbl[[#This Row],[Dens]]&lt;=870,vp.tbl[[#This Row],[Sulf]]&gt;0.5,vp.tbl[[#This Row],[Unknown]]=0),1,0)</f>
        <v>0</v>
      </c>
      <c r="AC1282">
        <f>IF(AND(vp.tbl[[#This Row],[CrudeType]]="Crude",vp.tbl[[#This Row],[Dens]]&gt;825,vp.tbl[[#This Row],[Dens]]&lt;=900,vp.tbl[[#This Row],[Sulf]]&lt;=0.5,vp.tbl[[#This Row],[Unknown]]=0),1,0)</f>
        <v>0</v>
      </c>
      <c r="AD1282">
        <f>IF(AND(vp.tbl[[#This Row],[CrudeType]]="Crude",vp.tbl[[#This Row],[Dens]]&gt;870,vp.tbl[[#This Row],[Dens]]&lt;=900,vp.tbl[[#This Row],[Sulf]]&gt;0.5,vp.tbl[[#This Row],[Unknown]]=0),1,0)</f>
        <v>1</v>
      </c>
      <c r="AE1282">
        <f>IF(AND(vp.tbl[[#This Row],[CrudeType]]="Crude",vp.tbl[[#This Row],[Dens]]&gt;900,vp.tbl[[#This Row],[Sulf]]&lt;=0.5,vp.tbl[[#This Row],[Unknown]]=0),1,0)</f>
        <v>0</v>
      </c>
      <c r="AF1282">
        <f>IF(AND(vp.tbl[[#This Row],[CrudeType]]="Crude",vp.tbl[[#This Row],[Dens]]&gt;900,vp.tbl[[#This Row],[Sulf]]&lt;=0.5,vp.tbl[[#This Row],[Unknown]]=0),1,0)</f>
        <v>0</v>
      </c>
      <c r="AG1282" t="str">
        <f>INDEX(vp.tbl[[#Headers],[Unknown]:[Heavy_SW]],MATCH(1,vp.tbl[[#This Row],[Unknown]:[Heavy_SW]],0))</f>
        <v>Midale</v>
      </c>
      <c r="AH1282" t="e">
        <f>INDEX([1]!crudeBD.lkup[Number],MATCH(vp.tbl[[#This Row],[Crude_Breakdown]],[1]!crudeBD.lkup[Crude Breakdown],0))</f>
        <v>#REF!</v>
      </c>
      <c r="AI1282">
        <f>MONTH(vp.tbl[[#This Row],[SDate]])</f>
        <v>4</v>
      </c>
      <c r="AJ1282" s="5">
        <f>IFERROR(vp.tbl[[#This Row],[Sulf]]*vp.tbl[[#This Row],[Net Dens]],"")</f>
        <v>8593302.7318500001</v>
      </c>
      <c r="AK1282" s="5">
        <f>IFERROR(vp.tbl[[#This Row],[Dens]]*vp.tbl[[#This Row],[VolumeM3]],"")</f>
        <v>3015193.9410000001</v>
      </c>
      <c r="AL1282" s="5">
        <f>IFERROR(vp.tbl[[#This Row],[VP]]*vp.tbl[[#This Row],[VolumeM3]],"")</f>
        <v>237746.25660000002</v>
      </c>
      <c r="AM1282" s="4">
        <f>IFERROR((vp.tbl[[#This Row],[VP]]-INDEX(crudeBD.lkup.complete[Mean_VP],MATCH(vp.tbl[[#This Row],[Crude_Breakdown]],crudeBD.lkup.complete[Crude Breakdown],0)))^2,"")</f>
        <v>2.7610602364420846</v>
      </c>
      <c r="AN1282" s="4">
        <f>IFERROR((vp.tbl[[#This Row],[Dens]]-INDEX(crudeBD.lkup.complete[Mean_Dens],MATCH(vp.tbl[[#This Row],[Crude_Breakdown]],crudeBD.lkup.complete[Crude Breakdown],0)))^2,"")</f>
        <v>80.065723400268126</v>
      </c>
      <c r="AO1282" s="4">
        <f>IFERROR((vp.tbl[[#This Row],[Sulf]]-INDEX(crudeBD.lkup.complete[Mean_Sulf],MATCH(vp.tbl[[#This Row],[Crude_Breakdown]],crudeBD.lkup.complete[Crude Breakdown],0)))^2,"")</f>
        <v>0.18892919651508841</v>
      </c>
      <c r="AP1282">
        <f>IF(AND(vp.tbl[[#This Row],[SDate]]&gt;=DATE(YEAR(vp.tbl[[#This Row],[SDate]]),5,1),vp.tbl[[#This Row],[SDate]]&lt;=DATE(YEAR(vp.tbl[[#This Row],[SDate]]),9,15)),1,0)</f>
        <v>0</v>
      </c>
      <c r="AQ1282" s="15">
        <f>IF(vp.tbl[[#This Row],[SDate]]&lt;DATE(2016,12,1),0,1)</f>
        <v>1</v>
      </c>
    </row>
    <row r="1283" spans="1:43" x14ac:dyDescent="0.25">
      <c r="A1283">
        <v>1282</v>
      </c>
      <c r="B1283" t="s">
        <v>53</v>
      </c>
      <c r="C1283" t="s">
        <v>53</v>
      </c>
      <c r="D1283" t="s">
        <v>54</v>
      </c>
      <c r="E1283" t="s">
        <v>55</v>
      </c>
      <c r="F1283" s="1">
        <v>42846</v>
      </c>
      <c r="G1283" s="2">
        <v>77.2</v>
      </c>
      <c r="H1283" s="2"/>
      <c r="I1283" s="2">
        <v>1.2</v>
      </c>
      <c r="J1283" s="2">
        <v>14.8</v>
      </c>
      <c r="K1283" s="2">
        <v>15</v>
      </c>
      <c r="L1283" s="2">
        <v>840.5</v>
      </c>
      <c r="M1283" s="2">
        <v>840.5</v>
      </c>
      <c r="N1283" s="2">
        <f ca="1">INDEX(INDIRECT(_xlfn.CONCAT("weather.tbl[",N$1,"]")),MATCH(vp.tbl[[#This Row],[SDate]],weather.tbl[Date],0))</f>
        <v>9.3166666666666664</v>
      </c>
      <c r="O1283" s="2">
        <f ca="1">INDEX(INDIRECT(_xlfn.CONCAT("weather.tbl[",O$1,"]")),MATCH(vp.tbl[[#This Row],[SDate]],weather.tbl[Date],0))</f>
        <v>4.7857142857142856</v>
      </c>
      <c r="P1283" s="2">
        <f ca="1">INDEX(INDIRECT(_xlfn.CONCAT("weather.tbl[",P$1,"]")),MATCH(vp.tbl[[#This Row],[SDate]],weather.tbl[Date],0))</f>
        <v>9.9</v>
      </c>
      <c r="Q1283" s="2">
        <f ca="1">INDEX(INDIRECT(_xlfn.CONCAT("weather.tbl[",Q$1,"]")),MATCH(vp.tbl[[#This Row],[SDate]],weather.tbl[Date],0))</f>
        <v>9</v>
      </c>
      <c r="R1283" s="2">
        <f ca="1">INDEX(INDIRECT(_xlfn.CONCAT("weather.tbl[",R$1,"]")),MATCH(vp.tbl[[#This Row],[SDate]],weather.tbl[Date],0))</f>
        <v>9.3000000000000007</v>
      </c>
      <c r="S1283" s="2">
        <f ca="1">INDEX(INDIRECT(_xlfn.CONCAT("weather.tbl[",S$1,"]")),MATCH(vp.tbl[[#This Row],[SDate]],weather.tbl[Date],0))</f>
        <v>9.1</v>
      </c>
      <c r="T1283" s="2">
        <f ca="1">INDEX(INDIRECT(_xlfn.CONCAT("weather.tbl[",T$1,"]")),MATCH(vp.tbl[[#This Row],[SDate]],weather.tbl[Date],0))</f>
        <v>9.1</v>
      </c>
      <c r="U1283" s="2">
        <f ca="1">INDEX(INDIRECT(_xlfn.CONCAT("weather.tbl[",U$1,"]")),MATCH(vp.tbl[[#This Row],[SDate]],weather.tbl[Date],0))</f>
        <v>9.5</v>
      </c>
      <c r="V1283" s="2">
        <v>6264.8940000000002</v>
      </c>
      <c r="W1283" t="s">
        <v>48</v>
      </c>
      <c r="X1283">
        <f>IF(OR(vp.tbl[[#This Row],[Sulf]]="",vp.tbl[[#This Row],[Dens]]=""),1,0)</f>
        <v>0</v>
      </c>
      <c r="Y1283">
        <f>IF(vp.tbl[[#This Row],[CrudeType]]="C5+",1,0)</f>
        <v>0</v>
      </c>
      <c r="Z1283">
        <f>IF(AND(vp.tbl[[#This Row],[CrudeType]]="Crude",vp.tbl[[#This Row],[Dens]]&lt;=825,vp.tbl[[#This Row],[Sulf]]&gt;0.5,vp.tbl[[#This Row],[Unknown]]=0),1,0)</f>
        <v>0</v>
      </c>
      <c r="AA1283">
        <f>IF(AND(vp.tbl[[#This Row],[CrudeType]]="Crude",vp.tbl[[#This Row],[Dens]]&lt;=825,vp.tbl[[#This Row],[Sulf]]&lt;=0.5,vp.tbl[[#This Row],[Unknown]]=0),1,0)</f>
        <v>0</v>
      </c>
      <c r="AB1283">
        <f>IF(AND(vp.tbl[[#This Row],[CrudeType]]="Crude",vp.tbl[[#This Row],[Dens]]&gt;825,vp.tbl[[#This Row],[Dens]]&lt;=870,vp.tbl[[#This Row],[Sulf]]&gt;0.5,vp.tbl[[#This Row],[Unknown]]=0),1,0)</f>
        <v>1</v>
      </c>
      <c r="AC1283">
        <f>IF(AND(vp.tbl[[#This Row],[CrudeType]]="Crude",vp.tbl[[#This Row],[Dens]]&gt;825,vp.tbl[[#This Row],[Dens]]&lt;=900,vp.tbl[[#This Row],[Sulf]]&lt;=0.5,vp.tbl[[#This Row],[Unknown]]=0),1,0)</f>
        <v>0</v>
      </c>
      <c r="AD1283">
        <f>IF(AND(vp.tbl[[#This Row],[CrudeType]]="Crude",vp.tbl[[#This Row],[Dens]]&gt;870,vp.tbl[[#This Row],[Dens]]&lt;=900,vp.tbl[[#This Row],[Sulf]]&gt;0.5,vp.tbl[[#This Row],[Unknown]]=0),1,0)</f>
        <v>0</v>
      </c>
      <c r="AE1283">
        <f>IF(AND(vp.tbl[[#This Row],[CrudeType]]="Crude",vp.tbl[[#This Row],[Dens]]&gt;900,vp.tbl[[#This Row],[Sulf]]&lt;=0.5,vp.tbl[[#This Row],[Unknown]]=0),1,0)</f>
        <v>0</v>
      </c>
      <c r="AF1283">
        <f>IF(AND(vp.tbl[[#This Row],[CrudeType]]="Crude",vp.tbl[[#This Row],[Dens]]&gt;900,vp.tbl[[#This Row],[Sulf]]&lt;=0.5,vp.tbl[[#This Row],[Unknown]]=0),1,0)</f>
        <v>0</v>
      </c>
      <c r="AG1283" t="str">
        <f>INDEX(vp.tbl[[#Headers],[Unknown]:[Heavy_SW]],MATCH(1,vp.tbl[[#This Row],[Unknown]:[Heavy_SW]],0))</f>
        <v>Medium_LSB</v>
      </c>
      <c r="AH1283" t="e">
        <f>INDEX([1]!crudeBD.lkup[Number],MATCH(vp.tbl[[#This Row],[Crude_Breakdown]],[1]!crudeBD.lkup[Crude Breakdown],0))</f>
        <v>#REF!</v>
      </c>
      <c r="AI1283">
        <f>MONTH(vp.tbl[[#This Row],[SDate]])</f>
        <v>4</v>
      </c>
      <c r="AJ1283" s="5">
        <f>IFERROR(vp.tbl[[#This Row],[Sulf]]*vp.tbl[[#This Row],[Net Dens]],"")</f>
        <v>6318772.0884000007</v>
      </c>
      <c r="AK1283" s="5">
        <f>IFERROR(vp.tbl[[#This Row],[Dens]]*vp.tbl[[#This Row],[VolumeM3]],"")</f>
        <v>5265643.4070000006</v>
      </c>
      <c r="AL1283" s="5">
        <f>IFERROR(vp.tbl[[#This Row],[VP]]*vp.tbl[[#This Row],[VolumeM3]],"")</f>
        <v>483649.81680000003</v>
      </c>
      <c r="AM1283" s="4">
        <f>IFERROR((vp.tbl[[#This Row],[VP]]-INDEX(crudeBD.lkup.complete[Mean_VP],MATCH(vp.tbl[[#This Row],[Crude_Breakdown]],crudeBD.lkup.complete[Crude Breakdown],0)))^2,"")</f>
        <v>8.842266847620337</v>
      </c>
      <c r="AN1283" s="4">
        <f>IFERROR((vp.tbl[[#This Row],[Dens]]-INDEX(crudeBD.lkup.complete[Mean_Dens],MATCH(vp.tbl[[#This Row],[Crude_Breakdown]],crudeBD.lkup.complete[Crude Breakdown],0)))^2,"")</f>
        <v>22.961565601016041</v>
      </c>
      <c r="AO1283" s="4">
        <f>IFERROR((vp.tbl[[#This Row],[Sulf]]-INDEX(crudeBD.lkup.complete[Mean_Sulf],MATCH(vp.tbl[[#This Row],[Crude_Breakdown]],crudeBD.lkup.complete[Crude Breakdown],0)))^2,"")</f>
        <v>6.4989233906855612E-2</v>
      </c>
      <c r="AP1283">
        <f>IF(AND(vp.tbl[[#This Row],[SDate]]&gt;=DATE(YEAR(vp.tbl[[#This Row],[SDate]]),5,1),vp.tbl[[#This Row],[SDate]]&lt;=DATE(YEAR(vp.tbl[[#This Row],[SDate]]),9,15)),1,0)</f>
        <v>0</v>
      </c>
      <c r="AQ1283" s="15">
        <f>IF(vp.tbl[[#This Row],[SDate]]&lt;DATE(2016,12,1),0,1)</f>
        <v>1</v>
      </c>
    </row>
    <row r="1284" spans="1:43" x14ac:dyDescent="0.25">
      <c r="A1284">
        <v>1283</v>
      </c>
      <c r="B1284" t="s">
        <v>49</v>
      </c>
      <c r="C1284" t="s">
        <v>49</v>
      </c>
      <c r="D1284" t="s">
        <v>80</v>
      </c>
      <c r="F1284" s="1">
        <v>42849</v>
      </c>
      <c r="G1284" s="2">
        <v>87.9</v>
      </c>
      <c r="H1284" s="2">
        <v>0.54600000000000004</v>
      </c>
      <c r="I1284" s="2">
        <v>0.54600000000000004</v>
      </c>
      <c r="J1284" s="2">
        <v>16</v>
      </c>
      <c r="K1284" s="2">
        <v>-1</v>
      </c>
      <c r="L1284" s="2">
        <v>815.7</v>
      </c>
      <c r="M1284" s="2">
        <v>815.7</v>
      </c>
      <c r="N1284" s="2">
        <f ca="1">INDEX(INDIRECT(_xlfn.CONCAT("weather.tbl[",N$1,"]")),MATCH(vp.tbl[[#This Row],[SDate]],weather.tbl[Date],0))</f>
        <v>-1.6166666666666665</v>
      </c>
      <c r="O1284" s="2">
        <f ca="1">INDEX(INDIRECT(_xlfn.CONCAT("weather.tbl[",O$1,"]")),MATCH(vp.tbl[[#This Row],[SDate]],weather.tbl[Date],0))</f>
        <v>5.2714285714285722</v>
      </c>
      <c r="P1284" s="2">
        <f ca="1">INDEX(INDIRECT(_xlfn.CONCAT("weather.tbl[",P$1,"]")),MATCH(vp.tbl[[#This Row],[SDate]],weather.tbl[Date],0))</f>
        <v>-1.5</v>
      </c>
      <c r="Q1284" s="2">
        <f ca="1">INDEX(INDIRECT(_xlfn.CONCAT("weather.tbl[",Q$1,"]")),MATCH(vp.tbl[[#This Row],[SDate]],weather.tbl[Date],0))</f>
        <v>-1.5</v>
      </c>
      <c r="R1284" s="2">
        <f ca="1">INDEX(INDIRECT(_xlfn.CONCAT("weather.tbl[",R$1,"]")),MATCH(vp.tbl[[#This Row],[SDate]],weather.tbl[Date],0))</f>
        <v>-2.2999999999999998</v>
      </c>
      <c r="S1284" s="2">
        <f ca="1">INDEX(INDIRECT(_xlfn.CONCAT("weather.tbl[",S$1,"]")),MATCH(vp.tbl[[#This Row],[SDate]],weather.tbl[Date],0))</f>
        <v>-1.3</v>
      </c>
      <c r="T1284" s="2">
        <f ca="1">INDEX(INDIRECT(_xlfn.CONCAT("weather.tbl[",T$1,"]")),MATCH(vp.tbl[[#This Row],[SDate]],weather.tbl[Date],0))</f>
        <v>-0.8</v>
      </c>
      <c r="U1284" s="2">
        <f ca="1">INDEX(INDIRECT(_xlfn.CONCAT("weather.tbl[",U$1,"]")),MATCH(vp.tbl[[#This Row],[SDate]],weather.tbl[Date],0))</f>
        <v>-2.2999999999999998</v>
      </c>
      <c r="V1284" s="2">
        <v>21198.933000000001</v>
      </c>
      <c r="W1284" t="s">
        <v>48</v>
      </c>
      <c r="X1284">
        <f>IF(OR(vp.tbl[[#This Row],[Sulf]]="",vp.tbl[[#This Row],[Dens]]=""),1,0)</f>
        <v>0</v>
      </c>
      <c r="Y1284">
        <f>IF(vp.tbl[[#This Row],[CrudeType]]="C5+",1,0)</f>
        <v>0</v>
      </c>
      <c r="Z1284">
        <f>IF(AND(vp.tbl[[#This Row],[CrudeType]]="Crude",vp.tbl[[#This Row],[Dens]]&lt;=825,vp.tbl[[#This Row],[Sulf]]&gt;0.5,vp.tbl[[#This Row],[Unknown]]=0),1,0)</f>
        <v>1</v>
      </c>
      <c r="AA1284">
        <f>IF(AND(vp.tbl[[#This Row],[CrudeType]]="Crude",vp.tbl[[#This Row],[Dens]]&lt;=825,vp.tbl[[#This Row],[Sulf]]&lt;=0.5,vp.tbl[[#This Row],[Unknown]]=0),1,0)</f>
        <v>0</v>
      </c>
      <c r="AB1284">
        <f>IF(AND(vp.tbl[[#This Row],[CrudeType]]="Crude",vp.tbl[[#This Row],[Dens]]&gt;825,vp.tbl[[#This Row],[Dens]]&lt;=870,vp.tbl[[#This Row],[Sulf]]&gt;0.5,vp.tbl[[#This Row],[Unknown]]=0),1,0)</f>
        <v>0</v>
      </c>
      <c r="AC1284">
        <f>IF(AND(vp.tbl[[#This Row],[CrudeType]]="Crude",vp.tbl[[#This Row],[Dens]]&gt;825,vp.tbl[[#This Row],[Dens]]&lt;=900,vp.tbl[[#This Row],[Sulf]]&lt;=0.5,vp.tbl[[#This Row],[Unknown]]=0),1,0)</f>
        <v>0</v>
      </c>
      <c r="AD1284">
        <f>IF(AND(vp.tbl[[#This Row],[CrudeType]]="Crude",vp.tbl[[#This Row],[Dens]]&gt;870,vp.tbl[[#This Row],[Dens]]&lt;=900,vp.tbl[[#This Row],[Sulf]]&gt;0.5,vp.tbl[[#This Row],[Unknown]]=0),1,0)</f>
        <v>0</v>
      </c>
      <c r="AE1284">
        <f>IF(AND(vp.tbl[[#This Row],[CrudeType]]="Crude",vp.tbl[[#This Row],[Dens]]&gt;900,vp.tbl[[#This Row],[Sulf]]&lt;=0.5,vp.tbl[[#This Row],[Unknown]]=0),1,0)</f>
        <v>0</v>
      </c>
      <c r="AF1284">
        <f>IF(AND(vp.tbl[[#This Row],[CrudeType]]="Crude",vp.tbl[[#This Row],[Dens]]&gt;900,vp.tbl[[#This Row],[Sulf]]&lt;=0.5,vp.tbl[[#This Row],[Unknown]]=0),1,0)</f>
        <v>0</v>
      </c>
      <c r="AG1284" t="str">
        <f>INDEX(vp.tbl[[#Headers],[Unknown]:[Heavy_SW]],MATCH(1,vp.tbl[[#This Row],[Unknown]:[Heavy_SW]],0))</f>
        <v>Light_LSB</v>
      </c>
      <c r="AH1284" t="e">
        <f>INDEX([1]!crudeBD.lkup[Number],MATCH(vp.tbl[[#This Row],[Crude_Breakdown]],[1]!crudeBD.lkup[Crude Breakdown],0))</f>
        <v>#REF!</v>
      </c>
      <c r="AI1284">
        <f>MONTH(vp.tbl[[#This Row],[SDate]])</f>
        <v>4</v>
      </c>
      <c r="AJ1284" s="5">
        <f>IFERROR(vp.tbl[[#This Row],[Sulf]]*vp.tbl[[#This Row],[Net Dens]],"")</f>
        <v>9441415.4278626014</v>
      </c>
      <c r="AK1284" s="5">
        <f>IFERROR(vp.tbl[[#This Row],[Dens]]*vp.tbl[[#This Row],[VolumeM3]],"")</f>
        <v>17291969.6481</v>
      </c>
      <c r="AL1284" s="5">
        <f>IFERROR(vp.tbl[[#This Row],[VP]]*vp.tbl[[#This Row],[VolumeM3]],"")</f>
        <v>1863386.2107000002</v>
      </c>
      <c r="AM1284" s="4">
        <f>IFERROR((vp.tbl[[#This Row],[VP]]-INDEX(crudeBD.lkup.complete[Mean_VP],MATCH(vp.tbl[[#This Row],[Crude_Breakdown]],crudeBD.lkup.complete[Crude Breakdown],0)))^2,"")</f>
        <v>13.294669189074476</v>
      </c>
      <c r="AN1284" s="4">
        <f>IFERROR((vp.tbl[[#This Row],[Dens]]-INDEX(crudeBD.lkup.complete[Mean_Dens],MATCH(vp.tbl[[#This Row],[Crude_Breakdown]],crudeBD.lkup.complete[Crude Breakdown],0)))^2,"")</f>
        <v>7.934191877750953</v>
      </c>
      <c r="AO1284" s="4">
        <f>IFERROR((vp.tbl[[#This Row],[Sulf]]-INDEX(crudeBD.lkup.complete[Mean_Sulf],MATCH(vp.tbl[[#This Row],[Crude_Breakdown]],crudeBD.lkup.complete[Crude Breakdown],0)))^2,"")</f>
        <v>0.14210726179346111</v>
      </c>
      <c r="AP1284">
        <f>IF(AND(vp.tbl[[#This Row],[SDate]]&gt;=DATE(YEAR(vp.tbl[[#This Row],[SDate]]),5,1),vp.tbl[[#This Row],[SDate]]&lt;=DATE(YEAR(vp.tbl[[#This Row],[SDate]]),9,15)),1,0)</f>
        <v>0</v>
      </c>
      <c r="AQ1284" s="15">
        <f>IF(vp.tbl[[#This Row],[SDate]]&lt;DATE(2016,12,1),0,1)</f>
        <v>1</v>
      </c>
    </row>
    <row r="1285" spans="1:43" x14ac:dyDescent="0.25">
      <c r="A1285">
        <v>1284</v>
      </c>
      <c r="B1285" t="s">
        <v>49</v>
      </c>
      <c r="C1285" t="s">
        <v>49</v>
      </c>
      <c r="D1285" t="s">
        <v>67</v>
      </c>
      <c r="F1285" s="1">
        <v>42849</v>
      </c>
      <c r="G1285" s="2">
        <v>90.6</v>
      </c>
      <c r="H1285" s="2">
        <v>0.622</v>
      </c>
      <c r="I1285" s="2">
        <v>0.622</v>
      </c>
      <c r="J1285" s="2">
        <v>8</v>
      </c>
      <c r="K1285" s="2">
        <v>-1</v>
      </c>
      <c r="L1285" s="2">
        <v>821.6</v>
      </c>
      <c r="M1285" s="2">
        <v>821.6</v>
      </c>
      <c r="N1285" s="2">
        <f ca="1">INDEX(INDIRECT(_xlfn.CONCAT("weather.tbl[",N$1,"]")),MATCH(vp.tbl[[#This Row],[SDate]],weather.tbl[Date],0))</f>
        <v>-1.6166666666666665</v>
      </c>
      <c r="O1285" s="2">
        <f ca="1">INDEX(INDIRECT(_xlfn.CONCAT("weather.tbl[",O$1,"]")),MATCH(vp.tbl[[#This Row],[SDate]],weather.tbl[Date],0))</f>
        <v>5.2714285714285722</v>
      </c>
      <c r="P1285" s="2">
        <f ca="1">INDEX(INDIRECT(_xlfn.CONCAT("weather.tbl[",P$1,"]")),MATCH(vp.tbl[[#This Row],[SDate]],weather.tbl[Date],0))</f>
        <v>-1.5</v>
      </c>
      <c r="Q1285" s="2">
        <f ca="1">INDEX(INDIRECT(_xlfn.CONCAT("weather.tbl[",Q$1,"]")),MATCH(vp.tbl[[#This Row],[SDate]],weather.tbl[Date],0))</f>
        <v>-1.5</v>
      </c>
      <c r="R1285" s="2">
        <f ca="1">INDEX(INDIRECT(_xlfn.CONCAT("weather.tbl[",R$1,"]")),MATCH(vp.tbl[[#This Row],[SDate]],weather.tbl[Date],0))</f>
        <v>-2.2999999999999998</v>
      </c>
      <c r="S1285" s="2">
        <f ca="1">INDEX(INDIRECT(_xlfn.CONCAT("weather.tbl[",S$1,"]")),MATCH(vp.tbl[[#This Row],[SDate]],weather.tbl[Date],0))</f>
        <v>-1.3</v>
      </c>
      <c r="T1285" s="2">
        <f ca="1">INDEX(INDIRECT(_xlfn.CONCAT("weather.tbl[",T$1,"]")),MATCH(vp.tbl[[#This Row],[SDate]],weather.tbl[Date],0))</f>
        <v>-0.8</v>
      </c>
      <c r="U1285" s="2">
        <f ca="1">INDEX(INDIRECT(_xlfn.CONCAT("weather.tbl[",U$1,"]")),MATCH(vp.tbl[[#This Row],[SDate]],weather.tbl[Date],0))</f>
        <v>-2.2999999999999998</v>
      </c>
      <c r="V1285" s="2">
        <v>140792.67800000001</v>
      </c>
      <c r="W1285" t="s">
        <v>48</v>
      </c>
      <c r="X1285">
        <f>IF(OR(vp.tbl[[#This Row],[Sulf]]="",vp.tbl[[#This Row],[Dens]]=""),1,0)</f>
        <v>0</v>
      </c>
      <c r="Y1285">
        <f>IF(vp.tbl[[#This Row],[CrudeType]]="C5+",1,0)</f>
        <v>0</v>
      </c>
      <c r="Z1285">
        <f>IF(AND(vp.tbl[[#This Row],[CrudeType]]="Crude",vp.tbl[[#This Row],[Dens]]&lt;=825,vp.tbl[[#This Row],[Sulf]]&gt;0.5,vp.tbl[[#This Row],[Unknown]]=0),1,0)</f>
        <v>1</v>
      </c>
      <c r="AA1285">
        <f>IF(AND(vp.tbl[[#This Row],[CrudeType]]="Crude",vp.tbl[[#This Row],[Dens]]&lt;=825,vp.tbl[[#This Row],[Sulf]]&lt;=0.5,vp.tbl[[#This Row],[Unknown]]=0),1,0)</f>
        <v>0</v>
      </c>
      <c r="AB1285">
        <f>IF(AND(vp.tbl[[#This Row],[CrudeType]]="Crude",vp.tbl[[#This Row],[Dens]]&gt;825,vp.tbl[[#This Row],[Dens]]&lt;=870,vp.tbl[[#This Row],[Sulf]]&gt;0.5,vp.tbl[[#This Row],[Unknown]]=0),1,0)</f>
        <v>0</v>
      </c>
      <c r="AC1285">
        <f>IF(AND(vp.tbl[[#This Row],[CrudeType]]="Crude",vp.tbl[[#This Row],[Dens]]&gt;825,vp.tbl[[#This Row],[Dens]]&lt;=900,vp.tbl[[#This Row],[Sulf]]&lt;=0.5,vp.tbl[[#This Row],[Unknown]]=0),1,0)</f>
        <v>0</v>
      </c>
      <c r="AD1285">
        <f>IF(AND(vp.tbl[[#This Row],[CrudeType]]="Crude",vp.tbl[[#This Row],[Dens]]&gt;870,vp.tbl[[#This Row],[Dens]]&lt;=900,vp.tbl[[#This Row],[Sulf]]&gt;0.5,vp.tbl[[#This Row],[Unknown]]=0),1,0)</f>
        <v>0</v>
      </c>
      <c r="AE1285">
        <f>IF(AND(vp.tbl[[#This Row],[CrudeType]]="Crude",vp.tbl[[#This Row],[Dens]]&gt;900,vp.tbl[[#This Row],[Sulf]]&lt;=0.5,vp.tbl[[#This Row],[Unknown]]=0),1,0)</f>
        <v>0</v>
      </c>
      <c r="AF1285">
        <f>IF(AND(vp.tbl[[#This Row],[CrudeType]]="Crude",vp.tbl[[#This Row],[Dens]]&gt;900,vp.tbl[[#This Row],[Sulf]]&lt;=0.5,vp.tbl[[#This Row],[Unknown]]=0),1,0)</f>
        <v>0</v>
      </c>
      <c r="AG1285" t="str">
        <f>INDEX(vp.tbl[[#Headers],[Unknown]:[Heavy_SW]],MATCH(1,vp.tbl[[#This Row],[Unknown]:[Heavy_SW]],0))</f>
        <v>Light_LSB</v>
      </c>
      <c r="AH1285" t="e">
        <f>INDEX([1]!crudeBD.lkup[Number],MATCH(vp.tbl[[#This Row],[Crude_Breakdown]],[1]!crudeBD.lkup[Crude Breakdown],0))</f>
        <v>#REF!</v>
      </c>
      <c r="AI1285">
        <f>MONTH(vp.tbl[[#This Row],[SDate]])</f>
        <v>4</v>
      </c>
      <c r="AJ1285" s="5">
        <f>IFERROR(vp.tbl[[#This Row],[Sulf]]*vp.tbl[[#This Row],[Net Dens]],"")</f>
        <v>71950014.360265613</v>
      </c>
      <c r="AK1285" s="5">
        <f>IFERROR(vp.tbl[[#This Row],[Dens]]*vp.tbl[[#This Row],[VolumeM3]],"")</f>
        <v>115675264.24480002</v>
      </c>
      <c r="AL1285" s="5">
        <f>IFERROR(vp.tbl[[#This Row],[VP]]*vp.tbl[[#This Row],[VolumeM3]],"")</f>
        <v>12755816.626800001</v>
      </c>
      <c r="AM1285" s="4">
        <f>IFERROR((vp.tbl[[#This Row],[VP]]-INDEX(crudeBD.lkup.complete[Mean_VP],MATCH(vp.tbl[[#This Row],[Crude_Breakdown]],crudeBD.lkup.complete[Crude Breakdown],0)))^2,"")</f>
        <v>0.89526712721869006</v>
      </c>
      <c r="AN1285" s="4">
        <f>IFERROR((vp.tbl[[#This Row],[Dens]]-INDEX(crudeBD.lkup.complete[Mean_Dens],MATCH(vp.tbl[[#This Row],[Crude_Breakdown]],crudeBD.lkup.complete[Crude Breakdown],0)))^2,"")</f>
        <v>9.5063087162430282</v>
      </c>
      <c r="AO1285" s="4">
        <f>IFERROR((vp.tbl[[#This Row],[Sulf]]-INDEX(crudeBD.lkup.complete[Mean_Sulf],MATCH(vp.tbl[[#This Row],[Crude_Breakdown]],crudeBD.lkup.complete[Crude Breakdown],0)))^2,"")</f>
        <v>9.0583644198959479E-2</v>
      </c>
      <c r="AP1285">
        <f>IF(AND(vp.tbl[[#This Row],[SDate]]&gt;=DATE(YEAR(vp.tbl[[#This Row],[SDate]]),5,1),vp.tbl[[#This Row],[SDate]]&lt;=DATE(YEAR(vp.tbl[[#This Row],[SDate]]),9,15)),1,0)</f>
        <v>0</v>
      </c>
      <c r="AQ1285" s="15">
        <f>IF(vp.tbl[[#This Row],[SDate]]&lt;DATE(2016,12,1),0,1)</f>
        <v>1</v>
      </c>
    </row>
    <row r="1286" spans="1:43" x14ac:dyDescent="0.25">
      <c r="A1286">
        <v>1285</v>
      </c>
      <c r="B1286" t="s">
        <v>49</v>
      </c>
      <c r="C1286" t="s">
        <v>49</v>
      </c>
      <c r="D1286" t="s">
        <v>89</v>
      </c>
      <c r="F1286" s="1">
        <v>42849</v>
      </c>
      <c r="G1286" s="2">
        <v>93.2</v>
      </c>
      <c r="H1286" s="2">
        <v>0.73399999999999999</v>
      </c>
      <c r="I1286" s="2">
        <v>0.73399999999999999</v>
      </c>
      <c r="J1286" s="2">
        <v>5.6</v>
      </c>
      <c r="K1286" s="2">
        <v>-1</v>
      </c>
      <c r="L1286" s="2">
        <v>820.5</v>
      </c>
      <c r="M1286" s="2">
        <v>820.5</v>
      </c>
      <c r="N1286" s="2">
        <f ca="1">INDEX(INDIRECT(_xlfn.CONCAT("weather.tbl[",N$1,"]")),MATCH(vp.tbl[[#This Row],[SDate]],weather.tbl[Date],0))</f>
        <v>-1.6166666666666665</v>
      </c>
      <c r="O1286" s="2">
        <f ca="1">INDEX(INDIRECT(_xlfn.CONCAT("weather.tbl[",O$1,"]")),MATCH(vp.tbl[[#This Row],[SDate]],weather.tbl[Date],0))</f>
        <v>5.2714285714285722</v>
      </c>
      <c r="P1286" s="2">
        <f ca="1">INDEX(INDIRECT(_xlfn.CONCAT("weather.tbl[",P$1,"]")),MATCH(vp.tbl[[#This Row],[SDate]],weather.tbl[Date],0))</f>
        <v>-1.5</v>
      </c>
      <c r="Q1286" s="2">
        <f ca="1">INDEX(INDIRECT(_xlfn.CONCAT("weather.tbl[",Q$1,"]")),MATCH(vp.tbl[[#This Row],[SDate]],weather.tbl[Date],0))</f>
        <v>-1.5</v>
      </c>
      <c r="R1286" s="2">
        <f ca="1">INDEX(INDIRECT(_xlfn.CONCAT("weather.tbl[",R$1,"]")),MATCH(vp.tbl[[#This Row],[SDate]],weather.tbl[Date],0))</f>
        <v>-2.2999999999999998</v>
      </c>
      <c r="S1286" s="2">
        <f ca="1">INDEX(INDIRECT(_xlfn.CONCAT("weather.tbl[",S$1,"]")),MATCH(vp.tbl[[#This Row],[SDate]],weather.tbl[Date],0))</f>
        <v>-1.3</v>
      </c>
      <c r="T1286" s="2">
        <f ca="1">INDEX(INDIRECT(_xlfn.CONCAT("weather.tbl[",T$1,"]")),MATCH(vp.tbl[[#This Row],[SDate]],weather.tbl[Date],0))</f>
        <v>-0.8</v>
      </c>
      <c r="U1286" s="2">
        <f ca="1">INDEX(INDIRECT(_xlfn.CONCAT("weather.tbl[",U$1,"]")),MATCH(vp.tbl[[#This Row],[SDate]],weather.tbl[Date],0))</f>
        <v>-2.2999999999999998</v>
      </c>
      <c r="V1286" s="2">
        <v>6439.6459999999997</v>
      </c>
      <c r="W1286" t="s">
        <v>48</v>
      </c>
      <c r="X1286">
        <f>IF(OR(vp.tbl[[#This Row],[Sulf]]="",vp.tbl[[#This Row],[Dens]]=""),1,0)</f>
        <v>0</v>
      </c>
      <c r="Y1286">
        <f>IF(vp.tbl[[#This Row],[CrudeType]]="C5+",1,0)</f>
        <v>0</v>
      </c>
      <c r="Z1286">
        <f>IF(AND(vp.tbl[[#This Row],[CrudeType]]="Crude",vp.tbl[[#This Row],[Dens]]&lt;=825,vp.tbl[[#This Row],[Sulf]]&gt;0.5,vp.tbl[[#This Row],[Unknown]]=0),1,0)</f>
        <v>1</v>
      </c>
      <c r="AA1286">
        <f>IF(AND(vp.tbl[[#This Row],[CrudeType]]="Crude",vp.tbl[[#This Row],[Dens]]&lt;=825,vp.tbl[[#This Row],[Sulf]]&lt;=0.5,vp.tbl[[#This Row],[Unknown]]=0),1,0)</f>
        <v>0</v>
      </c>
      <c r="AB1286">
        <f>IF(AND(vp.tbl[[#This Row],[CrudeType]]="Crude",vp.tbl[[#This Row],[Dens]]&gt;825,vp.tbl[[#This Row],[Dens]]&lt;=870,vp.tbl[[#This Row],[Sulf]]&gt;0.5,vp.tbl[[#This Row],[Unknown]]=0),1,0)</f>
        <v>0</v>
      </c>
      <c r="AC1286">
        <f>IF(AND(vp.tbl[[#This Row],[CrudeType]]="Crude",vp.tbl[[#This Row],[Dens]]&gt;825,vp.tbl[[#This Row],[Dens]]&lt;=900,vp.tbl[[#This Row],[Sulf]]&lt;=0.5,vp.tbl[[#This Row],[Unknown]]=0),1,0)</f>
        <v>0</v>
      </c>
      <c r="AD1286">
        <f>IF(AND(vp.tbl[[#This Row],[CrudeType]]="Crude",vp.tbl[[#This Row],[Dens]]&gt;870,vp.tbl[[#This Row],[Dens]]&lt;=900,vp.tbl[[#This Row],[Sulf]]&gt;0.5,vp.tbl[[#This Row],[Unknown]]=0),1,0)</f>
        <v>0</v>
      </c>
      <c r="AE1286">
        <f>IF(AND(vp.tbl[[#This Row],[CrudeType]]="Crude",vp.tbl[[#This Row],[Dens]]&gt;900,vp.tbl[[#This Row],[Sulf]]&lt;=0.5,vp.tbl[[#This Row],[Unknown]]=0),1,0)</f>
        <v>0</v>
      </c>
      <c r="AF1286">
        <f>IF(AND(vp.tbl[[#This Row],[CrudeType]]="Crude",vp.tbl[[#This Row],[Dens]]&gt;900,vp.tbl[[#This Row],[Sulf]]&lt;=0.5,vp.tbl[[#This Row],[Unknown]]=0),1,0)</f>
        <v>0</v>
      </c>
      <c r="AG1286" t="str">
        <f>INDEX(vp.tbl[[#Headers],[Unknown]:[Heavy_SW]],MATCH(1,vp.tbl[[#This Row],[Unknown]:[Heavy_SW]],0))</f>
        <v>Light_LSB</v>
      </c>
      <c r="AH1286" t="e">
        <f>INDEX([1]!crudeBD.lkup[Number],MATCH(vp.tbl[[#This Row],[Crude_Breakdown]],[1]!crudeBD.lkup[Crude Breakdown],0))</f>
        <v>#REF!</v>
      </c>
      <c r="AI1286">
        <f>MONTH(vp.tbl[[#This Row],[SDate]])</f>
        <v>4</v>
      </c>
      <c r="AJ1286" s="5">
        <f>IFERROR(vp.tbl[[#This Row],[Sulf]]*vp.tbl[[#This Row],[Net Dens]],"")</f>
        <v>3878257.4845619998</v>
      </c>
      <c r="AK1286" s="5">
        <f>IFERROR(vp.tbl[[#This Row],[Dens]]*vp.tbl[[#This Row],[VolumeM3]],"")</f>
        <v>5283729.5429999996</v>
      </c>
      <c r="AL1286" s="5">
        <f>IFERROR(vp.tbl[[#This Row],[VP]]*vp.tbl[[#This Row],[VolumeM3]],"")</f>
        <v>600175.00719999999</v>
      </c>
      <c r="AM1286" s="4">
        <f>IFERROR((vp.tbl[[#This Row],[VP]]-INDEX(crudeBD.lkup.complete[Mean_VP],MATCH(vp.tbl[[#This Row],[Crude_Breakdown]],crudeBD.lkup.complete[Crude Breakdown],0)))^2,"")</f>
        <v>2.7351021787649188</v>
      </c>
      <c r="AN1286" s="4">
        <f>IFERROR((vp.tbl[[#This Row],[Dens]]-INDEX(crudeBD.lkup.complete[Mean_Dens],MATCH(vp.tbl[[#This Row],[Crude_Breakdown]],crudeBD.lkup.complete[Crude Breakdown],0)))^2,"")</f>
        <v>3.9332021870325753</v>
      </c>
      <c r="AO1286" s="4">
        <f>IFERROR((vp.tbl[[#This Row],[Sulf]]-INDEX(crudeBD.lkup.complete[Mean_Sulf],MATCH(vp.tbl[[#This Row],[Crude_Breakdown]],crudeBD.lkup.complete[Crude Breakdown],0)))^2,"")</f>
        <v>3.5710102480746478E-2</v>
      </c>
      <c r="AP1286">
        <f>IF(AND(vp.tbl[[#This Row],[SDate]]&gt;=DATE(YEAR(vp.tbl[[#This Row],[SDate]]),5,1),vp.tbl[[#This Row],[SDate]]&lt;=DATE(YEAR(vp.tbl[[#This Row],[SDate]]),9,15)),1,0)</f>
        <v>0</v>
      </c>
      <c r="AQ1286" s="15">
        <f>IF(vp.tbl[[#This Row],[SDate]]&lt;DATE(2016,12,1),0,1)</f>
        <v>1</v>
      </c>
    </row>
    <row r="1287" spans="1:43" x14ac:dyDescent="0.25">
      <c r="A1287">
        <v>1286</v>
      </c>
      <c r="B1287" t="s">
        <v>49</v>
      </c>
      <c r="C1287" t="s">
        <v>49</v>
      </c>
      <c r="D1287" t="s">
        <v>100</v>
      </c>
      <c r="F1287" s="1">
        <v>42849</v>
      </c>
      <c r="G1287" s="2">
        <v>89.5</v>
      </c>
      <c r="H1287" s="2">
        <v>0.752</v>
      </c>
      <c r="I1287" s="2">
        <v>0.752</v>
      </c>
      <c r="J1287" s="2">
        <v>17</v>
      </c>
      <c r="K1287" s="2">
        <v>-1</v>
      </c>
      <c r="L1287" s="2">
        <v>823.4</v>
      </c>
      <c r="M1287" s="2">
        <v>823.4</v>
      </c>
      <c r="N1287" s="2">
        <f ca="1">INDEX(INDIRECT(_xlfn.CONCAT("weather.tbl[",N$1,"]")),MATCH(vp.tbl[[#This Row],[SDate]],weather.tbl[Date],0))</f>
        <v>-1.6166666666666665</v>
      </c>
      <c r="O1287" s="2">
        <f ca="1">INDEX(INDIRECT(_xlfn.CONCAT("weather.tbl[",O$1,"]")),MATCH(vp.tbl[[#This Row],[SDate]],weather.tbl[Date],0))</f>
        <v>5.2714285714285722</v>
      </c>
      <c r="P1287" s="2">
        <f ca="1">INDEX(INDIRECT(_xlfn.CONCAT("weather.tbl[",P$1,"]")),MATCH(vp.tbl[[#This Row],[SDate]],weather.tbl[Date],0))</f>
        <v>-1.5</v>
      </c>
      <c r="Q1287" s="2">
        <f ca="1">INDEX(INDIRECT(_xlfn.CONCAT("weather.tbl[",Q$1,"]")),MATCH(vp.tbl[[#This Row],[SDate]],weather.tbl[Date],0))</f>
        <v>-1.5</v>
      </c>
      <c r="R1287" s="2">
        <f ca="1">INDEX(INDIRECT(_xlfn.CONCAT("weather.tbl[",R$1,"]")),MATCH(vp.tbl[[#This Row],[SDate]],weather.tbl[Date],0))</f>
        <v>-2.2999999999999998</v>
      </c>
      <c r="S1287" s="2">
        <f ca="1">INDEX(INDIRECT(_xlfn.CONCAT("weather.tbl[",S$1,"]")),MATCH(vp.tbl[[#This Row],[SDate]],weather.tbl[Date],0))</f>
        <v>-1.3</v>
      </c>
      <c r="T1287" s="2">
        <f ca="1">INDEX(INDIRECT(_xlfn.CONCAT("weather.tbl[",T$1,"]")),MATCH(vp.tbl[[#This Row],[SDate]],weather.tbl[Date],0))</f>
        <v>-0.8</v>
      </c>
      <c r="U1287" s="2">
        <f ca="1">INDEX(INDIRECT(_xlfn.CONCAT("weather.tbl[",U$1,"]")),MATCH(vp.tbl[[#This Row],[SDate]],weather.tbl[Date],0))</f>
        <v>-2.2999999999999998</v>
      </c>
      <c r="V1287" s="2">
        <v>13068.535</v>
      </c>
      <c r="W1287" t="s">
        <v>48</v>
      </c>
      <c r="X1287">
        <f>IF(OR(vp.tbl[[#This Row],[Sulf]]="",vp.tbl[[#This Row],[Dens]]=""),1,0)</f>
        <v>0</v>
      </c>
      <c r="Y1287">
        <f>IF(vp.tbl[[#This Row],[CrudeType]]="C5+",1,0)</f>
        <v>0</v>
      </c>
      <c r="Z1287">
        <f>IF(AND(vp.tbl[[#This Row],[CrudeType]]="Crude",vp.tbl[[#This Row],[Dens]]&lt;=825,vp.tbl[[#This Row],[Sulf]]&gt;0.5,vp.tbl[[#This Row],[Unknown]]=0),1,0)</f>
        <v>1</v>
      </c>
      <c r="AA1287">
        <f>IF(AND(vp.tbl[[#This Row],[CrudeType]]="Crude",vp.tbl[[#This Row],[Dens]]&lt;=825,vp.tbl[[#This Row],[Sulf]]&lt;=0.5,vp.tbl[[#This Row],[Unknown]]=0),1,0)</f>
        <v>0</v>
      </c>
      <c r="AB1287">
        <f>IF(AND(vp.tbl[[#This Row],[CrudeType]]="Crude",vp.tbl[[#This Row],[Dens]]&gt;825,vp.tbl[[#This Row],[Dens]]&lt;=870,vp.tbl[[#This Row],[Sulf]]&gt;0.5,vp.tbl[[#This Row],[Unknown]]=0),1,0)</f>
        <v>0</v>
      </c>
      <c r="AC1287">
        <f>IF(AND(vp.tbl[[#This Row],[CrudeType]]="Crude",vp.tbl[[#This Row],[Dens]]&gt;825,vp.tbl[[#This Row],[Dens]]&lt;=900,vp.tbl[[#This Row],[Sulf]]&lt;=0.5,vp.tbl[[#This Row],[Unknown]]=0),1,0)</f>
        <v>0</v>
      </c>
      <c r="AD1287">
        <f>IF(AND(vp.tbl[[#This Row],[CrudeType]]="Crude",vp.tbl[[#This Row],[Dens]]&gt;870,vp.tbl[[#This Row],[Dens]]&lt;=900,vp.tbl[[#This Row],[Sulf]]&gt;0.5,vp.tbl[[#This Row],[Unknown]]=0),1,0)</f>
        <v>0</v>
      </c>
      <c r="AE1287">
        <f>IF(AND(vp.tbl[[#This Row],[CrudeType]]="Crude",vp.tbl[[#This Row],[Dens]]&gt;900,vp.tbl[[#This Row],[Sulf]]&lt;=0.5,vp.tbl[[#This Row],[Unknown]]=0),1,0)</f>
        <v>0</v>
      </c>
      <c r="AF1287">
        <f>IF(AND(vp.tbl[[#This Row],[CrudeType]]="Crude",vp.tbl[[#This Row],[Dens]]&gt;900,vp.tbl[[#This Row],[Sulf]]&lt;=0.5,vp.tbl[[#This Row],[Unknown]]=0),1,0)</f>
        <v>0</v>
      </c>
      <c r="AG1287" t="str">
        <f>INDEX(vp.tbl[[#Headers],[Unknown]:[Heavy_SW]],MATCH(1,vp.tbl[[#This Row],[Unknown]:[Heavy_SW]],0))</f>
        <v>Light_LSB</v>
      </c>
      <c r="AH1287" t="e">
        <f>INDEX([1]!crudeBD.lkup[Number],MATCH(vp.tbl[[#This Row],[Crude_Breakdown]],[1]!crudeBD.lkup[Crude Breakdown],0))</f>
        <v>#REF!</v>
      </c>
      <c r="AI1287">
        <f>MONTH(vp.tbl[[#This Row],[SDate]])</f>
        <v>4</v>
      </c>
      <c r="AJ1287" s="5">
        <f>IFERROR(vp.tbl[[#This Row],[Sulf]]*vp.tbl[[#This Row],[Net Dens]],"")</f>
        <v>8091995.0526880007</v>
      </c>
      <c r="AK1287" s="5">
        <f>IFERROR(vp.tbl[[#This Row],[Dens]]*vp.tbl[[#This Row],[VolumeM3]],"")</f>
        <v>10760631.719000001</v>
      </c>
      <c r="AL1287" s="5">
        <f>IFERROR(vp.tbl[[#This Row],[VP]]*vp.tbl[[#This Row],[VolumeM3]],"")</f>
        <v>1169633.8825000001</v>
      </c>
      <c r="AM1287" s="4">
        <f>IFERROR((vp.tbl[[#This Row],[VP]]-INDEX(crudeBD.lkup.complete[Mean_VP],MATCH(vp.tbl[[#This Row],[Crude_Breakdown]],crudeBD.lkup.complete[Crude Breakdown],0)))^2,"")</f>
        <v>4.1868753746414278</v>
      </c>
      <c r="AN1287" s="4">
        <f>IFERROR((vp.tbl[[#This Row],[Dens]]-INDEX(crudeBD.lkup.complete[Mean_Dens],MATCH(vp.tbl[[#This Row],[Crude_Breakdown]],crudeBD.lkup.complete[Crude Breakdown],0)))^2,"")</f>
        <v>23.845937582223179</v>
      </c>
      <c r="AO1287" s="4">
        <f>IFERROR((vp.tbl[[#This Row],[Sulf]]-INDEX(crudeBD.lkup.complete[Mean_Sulf],MATCH(vp.tbl[[#This Row],[Crude_Breakdown]],crudeBD.lkup.complete[Crude Breakdown],0)))^2,"")</f>
        <v>2.923114041889081E-2</v>
      </c>
      <c r="AP1287">
        <f>IF(AND(vp.tbl[[#This Row],[SDate]]&gt;=DATE(YEAR(vp.tbl[[#This Row],[SDate]]),5,1),vp.tbl[[#This Row],[SDate]]&lt;=DATE(YEAR(vp.tbl[[#This Row],[SDate]]),9,15)),1,0)</f>
        <v>0</v>
      </c>
      <c r="AQ1287" s="15">
        <f>IF(vp.tbl[[#This Row],[SDate]]&lt;DATE(2016,12,1),0,1)</f>
        <v>1</v>
      </c>
    </row>
    <row r="1288" spans="1:43" x14ac:dyDescent="0.25">
      <c r="A1288">
        <v>1287</v>
      </c>
      <c r="B1288" t="s">
        <v>62</v>
      </c>
      <c r="C1288" t="s">
        <v>62</v>
      </c>
      <c r="D1288" t="s">
        <v>79</v>
      </c>
      <c r="F1288" s="1">
        <v>42849</v>
      </c>
      <c r="G1288" s="2">
        <v>86.9</v>
      </c>
      <c r="H1288" s="2"/>
      <c r="I1288" s="2">
        <v>0.25</v>
      </c>
      <c r="J1288" s="2">
        <v>18.399999999999999</v>
      </c>
      <c r="K1288" s="2">
        <v>-1</v>
      </c>
      <c r="L1288" s="2">
        <v>806.2</v>
      </c>
      <c r="M1288" s="2">
        <v>806.2</v>
      </c>
      <c r="N1288" s="2">
        <f ca="1">INDEX(INDIRECT(_xlfn.CONCAT("weather.tbl[",N$1,"]")),MATCH(vp.tbl[[#This Row],[SDate]],weather.tbl[Date],0))</f>
        <v>-1.6166666666666665</v>
      </c>
      <c r="O1288" s="2">
        <f ca="1">INDEX(INDIRECT(_xlfn.CONCAT("weather.tbl[",O$1,"]")),MATCH(vp.tbl[[#This Row],[SDate]],weather.tbl[Date],0))</f>
        <v>5.2714285714285722</v>
      </c>
      <c r="P1288" s="2">
        <f ca="1">INDEX(INDIRECT(_xlfn.CONCAT("weather.tbl[",P$1,"]")),MATCH(vp.tbl[[#This Row],[SDate]],weather.tbl[Date],0))</f>
        <v>-1.5</v>
      </c>
      <c r="Q1288" s="2">
        <f ca="1">INDEX(INDIRECT(_xlfn.CONCAT("weather.tbl[",Q$1,"]")),MATCH(vp.tbl[[#This Row],[SDate]],weather.tbl[Date],0))</f>
        <v>-1.5</v>
      </c>
      <c r="R1288" s="2">
        <f ca="1">INDEX(INDIRECT(_xlfn.CONCAT("weather.tbl[",R$1,"]")),MATCH(vp.tbl[[#This Row],[SDate]],weather.tbl[Date],0))</f>
        <v>-2.2999999999999998</v>
      </c>
      <c r="S1288" s="2">
        <f ca="1">INDEX(INDIRECT(_xlfn.CONCAT("weather.tbl[",S$1,"]")),MATCH(vp.tbl[[#This Row],[SDate]],weather.tbl[Date],0))</f>
        <v>-1.3</v>
      </c>
      <c r="T1288" s="2">
        <f ca="1">INDEX(INDIRECT(_xlfn.CONCAT("weather.tbl[",T$1,"]")),MATCH(vp.tbl[[#This Row],[SDate]],weather.tbl[Date],0))</f>
        <v>-0.8</v>
      </c>
      <c r="U1288" s="2">
        <f ca="1">INDEX(INDIRECT(_xlfn.CONCAT("weather.tbl[",U$1,"]")),MATCH(vp.tbl[[#This Row],[SDate]],weather.tbl[Date],0))</f>
        <v>-2.2999999999999998</v>
      </c>
      <c r="V1288" s="2">
        <v>13021.991</v>
      </c>
      <c r="W1288" t="s">
        <v>48</v>
      </c>
      <c r="X1288">
        <f>IF(OR(vp.tbl[[#This Row],[Sulf]]="",vp.tbl[[#This Row],[Dens]]=""),1,0)</f>
        <v>0</v>
      </c>
      <c r="Y1288">
        <f>IF(vp.tbl[[#This Row],[CrudeType]]="C5+",1,0)</f>
        <v>0</v>
      </c>
      <c r="Z1288">
        <f>IF(AND(vp.tbl[[#This Row],[CrudeType]]="Crude",vp.tbl[[#This Row],[Dens]]&lt;=825,vp.tbl[[#This Row],[Sulf]]&gt;0.5,vp.tbl[[#This Row],[Unknown]]=0),1,0)</f>
        <v>0</v>
      </c>
      <c r="AA1288">
        <f>IF(AND(vp.tbl[[#This Row],[CrudeType]]="Crude",vp.tbl[[#This Row],[Dens]]&lt;=825,vp.tbl[[#This Row],[Sulf]]&lt;=0.5,vp.tbl[[#This Row],[Unknown]]=0),1,0)</f>
        <v>1</v>
      </c>
      <c r="AB1288">
        <f>IF(AND(vp.tbl[[#This Row],[CrudeType]]="Crude",vp.tbl[[#This Row],[Dens]]&gt;825,vp.tbl[[#This Row],[Dens]]&lt;=870,vp.tbl[[#This Row],[Sulf]]&gt;0.5,vp.tbl[[#This Row],[Unknown]]=0),1,0)</f>
        <v>0</v>
      </c>
      <c r="AC1288">
        <f>IF(AND(vp.tbl[[#This Row],[CrudeType]]="Crude",vp.tbl[[#This Row],[Dens]]&gt;825,vp.tbl[[#This Row],[Dens]]&lt;=900,vp.tbl[[#This Row],[Sulf]]&lt;=0.5,vp.tbl[[#This Row],[Unknown]]=0),1,0)</f>
        <v>0</v>
      </c>
      <c r="AD1288">
        <f>IF(AND(vp.tbl[[#This Row],[CrudeType]]="Crude",vp.tbl[[#This Row],[Dens]]&gt;870,vp.tbl[[#This Row],[Dens]]&lt;=900,vp.tbl[[#This Row],[Sulf]]&gt;0.5,vp.tbl[[#This Row],[Unknown]]=0),1,0)</f>
        <v>0</v>
      </c>
      <c r="AE1288">
        <f>IF(AND(vp.tbl[[#This Row],[CrudeType]]="Crude",vp.tbl[[#This Row],[Dens]]&gt;900,vp.tbl[[#This Row],[Sulf]]&lt;=0.5,vp.tbl[[#This Row],[Unknown]]=0),1,0)</f>
        <v>0</v>
      </c>
      <c r="AF1288">
        <f>IF(AND(vp.tbl[[#This Row],[CrudeType]]="Crude",vp.tbl[[#This Row],[Dens]]&gt;900,vp.tbl[[#This Row],[Sulf]]&lt;=0.5,vp.tbl[[#This Row],[Unknown]]=0),1,0)</f>
        <v>0</v>
      </c>
      <c r="AG1288" t="str">
        <f>INDEX(vp.tbl[[#Headers],[Unknown]:[Heavy_SW]],MATCH(1,vp.tbl[[#This Row],[Unknown]:[Heavy_SW]],0))</f>
        <v>Light_SW</v>
      </c>
      <c r="AH1288" t="e">
        <f>INDEX([1]!crudeBD.lkup[Number],MATCH(vp.tbl[[#This Row],[Crude_Breakdown]],[1]!crudeBD.lkup[Crude Breakdown],0))</f>
        <v>#REF!</v>
      </c>
      <c r="AI1288">
        <f>MONTH(vp.tbl[[#This Row],[SDate]])</f>
        <v>4</v>
      </c>
      <c r="AJ1288" s="5">
        <f>IFERROR(vp.tbl[[#This Row],[Sulf]]*vp.tbl[[#This Row],[Net Dens]],"")</f>
        <v>2624582.2860500002</v>
      </c>
      <c r="AK1288" s="5">
        <f>IFERROR(vp.tbl[[#This Row],[Dens]]*vp.tbl[[#This Row],[VolumeM3]],"")</f>
        <v>10498329.144200001</v>
      </c>
      <c r="AL1288" s="5">
        <f>IFERROR(vp.tbl[[#This Row],[VP]]*vp.tbl[[#This Row],[VolumeM3]],"")</f>
        <v>1131611.0179000001</v>
      </c>
      <c r="AM1288" s="4">
        <f>IFERROR((vp.tbl[[#This Row],[VP]]-INDEX(crudeBD.lkup.complete[Mean_VP],MATCH(vp.tbl[[#This Row],[Crude_Breakdown]],crudeBD.lkup.complete[Crude Breakdown],0)))^2,"")</f>
        <v>31.926043652344539</v>
      </c>
      <c r="AN1288" s="4">
        <f>IFERROR((vp.tbl[[#This Row],[Dens]]-INDEX(crudeBD.lkup.complete[Mean_Dens],MATCH(vp.tbl[[#This Row],[Crude_Breakdown]],crudeBD.lkup.complete[Crude Breakdown],0)))^2,"")</f>
        <v>4.458424892859064</v>
      </c>
      <c r="AO1288" s="4">
        <f>IFERROR((vp.tbl[[#This Row],[Sulf]]-INDEX(crudeBD.lkup.complete[Mean_Sulf],MATCH(vp.tbl[[#This Row],[Crude_Breakdown]],crudeBD.lkup.complete[Crude Breakdown],0)))^2,"")</f>
        <v>1.8928774126188673E-4</v>
      </c>
      <c r="AP1288">
        <f>IF(AND(vp.tbl[[#This Row],[SDate]]&gt;=DATE(YEAR(vp.tbl[[#This Row],[SDate]]),5,1),vp.tbl[[#This Row],[SDate]]&lt;=DATE(YEAR(vp.tbl[[#This Row],[SDate]]),9,15)),1,0)</f>
        <v>0</v>
      </c>
      <c r="AQ1288" s="15">
        <f>IF(vp.tbl[[#This Row],[SDate]]&lt;DATE(2016,12,1),0,1)</f>
        <v>1</v>
      </c>
    </row>
    <row r="1289" spans="1:43" x14ac:dyDescent="0.25">
      <c r="A1289">
        <v>1288</v>
      </c>
      <c r="B1289" t="s">
        <v>62</v>
      </c>
      <c r="C1289" t="s">
        <v>62</v>
      </c>
      <c r="D1289" t="s">
        <v>83</v>
      </c>
      <c r="F1289" s="1">
        <v>42849</v>
      </c>
      <c r="G1289" s="2">
        <v>84.2</v>
      </c>
      <c r="H1289" s="2"/>
      <c r="I1289" s="2">
        <v>0.16</v>
      </c>
      <c r="J1289" s="2">
        <v>2.7</v>
      </c>
      <c r="K1289" s="2">
        <v>-1</v>
      </c>
      <c r="L1289" s="2">
        <v>808</v>
      </c>
      <c r="M1289" s="2">
        <v>808</v>
      </c>
      <c r="N1289" s="2">
        <f ca="1">INDEX(INDIRECT(_xlfn.CONCAT("weather.tbl[",N$1,"]")),MATCH(vp.tbl[[#This Row],[SDate]],weather.tbl[Date],0))</f>
        <v>-1.6166666666666665</v>
      </c>
      <c r="O1289" s="2">
        <f ca="1">INDEX(INDIRECT(_xlfn.CONCAT("weather.tbl[",O$1,"]")),MATCH(vp.tbl[[#This Row],[SDate]],weather.tbl[Date],0))</f>
        <v>5.2714285714285722</v>
      </c>
      <c r="P1289" s="2">
        <f ca="1">INDEX(INDIRECT(_xlfn.CONCAT("weather.tbl[",P$1,"]")),MATCH(vp.tbl[[#This Row],[SDate]],weather.tbl[Date],0))</f>
        <v>-1.5</v>
      </c>
      <c r="Q1289" s="2">
        <f ca="1">INDEX(INDIRECT(_xlfn.CONCAT("weather.tbl[",Q$1,"]")),MATCH(vp.tbl[[#This Row],[SDate]],weather.tbl[Date],0))</f>
        <v>-1.5</v>
      </c>
      <c r="R1289" s="2">
        <f ca="1">INDEX(INDIRECT(_xlfn.CONCAT("weather.tbl[",R$1,"]")),MATCH(vp.tbl[[#This Row],[SDate]],weather.tbl[Date],0))</f>
        <v>-2.2999999999999998</v>
      </c>
      <c r="S1289" s="2">
        <f ca="1">INDEX(INDIRECT(_xlfn.CONCAT("weather.tbl[",S$1,"]")),MATCH(vp.tbl[[#This Row],[SDate]],weather.tbl[Date],0))</f>
        <v>-1.3</v>
      </c>
      <c r="T1289" s="2">
        <f ca="1">INDEX(INDIRECT(_xlfn.CONCAT("weather.tbl[",T$1,"]")),MATCH(vp.tbl[[#This Row],[SDate]],weather.tbl[Date],0))</f>
        <v>-0.8</v>
      </c>
      <c r="U1289" s="2">
        <f ca="1">INDEX(INDIRECT(_xlfn.CONCAT("weather.tbl[",U$1,"]")),MATCH(vp.tbl[[#This Row],[SDate]],weather.tbl[Date],0))</f>
        <v>-2.2999999999999998</v>
      </c>
      <c r="V1289" s="2">
        <v>8089.0709999999999</v>
      </c>
      <c r="W1289" t="s">
        <v>48</v>
      </c>
      <c r="X1289">
        <f>IF(OR(vp.tbl[[#This Row],[Sulf]]="",vp.tbl[[#This Row],[Dens]]=""),1,0)</f>
        <v>0</v>
      </c>
      <c r="Y1289">
        <f>IF(vp.tbl[[#This Row],[CrudeType]]="C5+",1,0)</f>
        <v>0</v>
      </c>
      <c r="Z1289">
        <f>IF(AND(vp.tbl[[#This Row],[CrudeType]]="Crude",vp.tbl[[#This Row],[Dens]]&lt;=825,vp.tbl[[#This Row],[Sulf]]&gt;0.5,vp.tbl[[#This Row],[Unknown]]=0),1,0)</f>
        <v>0</v>
      </c>
      <c r="AA1289">
        <f>IF(AND(vp.tbl[[#This Row],[CrudeType]]="Crude",vp.tbl[[#This Row],[Dens]]&lt;=825,vp.tbl[[#This Row],[Sulf]]&lt;=0.5,vp.tbl[[#This Row],[Unknown]]=0),1,0)</f>
        <v>1</v>
      </c>
      <c r="AB1289">
        <f>IF(AND(vp.tbl[[#This Row],[CrudeType]]="Crude",vp.tbl[[#This Row],[Dens]]&gt;825,vp.tbl[[#This Row],[Dens]]&lt;=870,vp.tbl[[#This Row],[Sulf]]&gt;0.5,vp.tbl[[#This Row],[Unknown]]=0),1,0)</f>
        <v>0</v>
      </c>
      <c r="AC1289">
        <f>IF(AND(vp.tbl[[#This Row],[CrudeType]]="Crude",vp.tbl[[#This Row],[Dens]]&gt;825,vp.tbl[[#This Row],[Dens]]&lt;=900,vp.tbl[[#This Row],[Sulf]]&lt;=0.5,vp.tbl[[#This Row],[Unknown]]=0),1,0)</f>
        <v>0</v>
      </c>
      <c r="AD1289">
        <f>IF(AND(vp.tbl[[#This Row],[CrudeType]]="Crude",vp.tbl[[#This Row],[Dens]]&gt;870,vp.tbl[[#This Row],[Dens]]&lt;=900,vp.tbl[[#This Row],[Sulf]]&gt;0.5,vp.tbl[[#This Row],[Unknown]]=0),1,0)</f>
        <v>0</v>
      </c>
      <c r="AE1289">
        <f>IF(AND(vp.tbl[[#This Row],[CrudeType]]="Crude",vp.tbl[[#This Row],[Dens]]&gt;900,vp.tbl[[#This Row],[Sulf]]&lt;=0.5,vp.tbl[[#This Row],[Unknown]]=0),1,0)</f>
        <v>0</v>
      </c>
      <c r="AF1289">
        <f>IF(AND(vp.tbl[[#This Row],[CrudeType]]="Crude",vp.tbl[[#This Row],[Dens]]&gt;900,vp.tbl[[#This Row],[Sulf]]&lt;=0.5,vp.tbl[[#This Row],[Unknown]]=0),1,0)</f>
        <v>0</v>
      </c>
      <c r="AG1289" t="str">
        <f>INDEX(vp.tbl[[#Headers],[Unknown]:[Heavy_SW]],MATCH(1,vp.tbl[[#This Row],[Unknown]:[Heavy_SW]],0))</f>
        <v>Light_SW</v>
      </c>
      <c r="AH1289" t="e">
        <f>INDEX([1]!crudeBD.lkup[Number],MATCH(vp.tbl[[#This Row],[Crude_Breakdown]],[1]!crudeBD.lkup[Crude Breakdown],0))</f>
        <v>#REF!</v>
      </c>
      <c r="AI1289">
        <f>MONTH(vp.tbl[[#This Row],[SDate]])</f>
        <v>4</v>
      </c>
      <c r="AJ1289" s="5">
        <f>IFERROR(vp.tbl[[#This Row],[Sulf]]*vp.tbl[[#This Row],[Net Dens]],"")</f>
        <v>1045755.0988799999</v>
      </c>
      <c r="AK1289" s="5">
        <f>IFERROR(vp.tbl[[#This Row],[Dens]]*vp.tbl[[#This Row],[VolumeM3]],"")</f>
        <v>6535969.3679999998</v>
      </c>
      <c r="AL1289" s="5">
        <f>IFERROR(vp.tbl[[#This Row],[VP]]*vp.tbl[[#This Row],[VolumeM3]],"")</f>
        <v>681099.77820000006</v>
      </c>
      <c r="AM1289" s="4">
        <f>IFERROR((vp.tbl[[#This Row],[VP]]-INDEX(crudeBD.lkup.complete[Mean_VP],MATCH(vp.tbl[[#This Row],[Crude_Breakdown]],crudeBD.lkup.complete[Crude Breakdown],0)))^2,"")</f>
        <v>69.727737032135337</v>
      </c>
      <c r="AN1289" s="4">
        <f>IFERROR((vp.tbl[[#This Row],[Dens]]-INDEX(crudeBD.lkup.complete[Mean_Dens],MATCH(vp.tbl[[#This Row],[Crude_Breakdown]],crudeBD.lkup.complete[Crude Breakdown],0)))^2,"")</f>
        <v>9.7031164637045433E-2</v>
      </c>
      <c r="AO1289" s="4">
        <f>IFERROR((vp.tbl[[#This Row],[Sulf]]-INDEX(crudeBD.lkup.complete[Mean_Sulf],MATCH(vp.tbl[[#This Row],[Crude_Breakdown]],crudeBD.lkup.complete[Crude Breakdown],0)))^2,"")</f>
        <v>5.8128138736660397E-3</v>
      </c>
      <c r="AP1289">
        <f>IF(AND(vp.tbl[[#This Row],[SDate]]&gt;=DATE(YEAR(vp.tbl[[#This Row],[SDate]]),5,1),vp.tbl[[#This Row],[SDate]]&lt;=DATE(YEAR(vp.tbl[[#This Row],[SDate]]),9,15)),1,0)</f>
        <v>0</v>
      </c>
      <c r="AQ1289" s="15">
        <f>IF(vp.tbl[[#This Row],[SDate]]&lt;DATE(2016,12,1),0,1)</f>
        <v>1</v>
      </c>
    </row>
    <row r="1290" spans="1:43" x14ac:dyDescent="0.25">
      <c r="A1290">
        <v>1289</v>
      </c>
      <c r="B1290" t="s">
        <v>62</v>
      </c>
      <c r="C1290" t="s">
        <v>62</v>
      </c>
      <c r="D1290" t="s">
        <v>87</v>
      </c>
      <c r="F1290" s="1">
        <v>42849</v>
      </c>
      <c r="G1290" s="2">
        <v>74</v>
      </c>
      <c r="H1290" s="2"/>
      <c r="I1290" s="2">
        <v>0.17</v>
      </c>
      <c r="J1290" s="2">
        <v>17.3</v>
      </c>
      <c r="K1290" s="2">
        <v>-1</v>
      </c>
      <c r="L1290" s="2">
        <v>812.4</v>
      </c>
      <c r="M1290" s="2">
        <v>812.4</v>
      </c>
      <c r="N1290" s="2">
        <f ca="1">INDEX(INDIRECT(_xlfn.CONCAT("weather.tbl[",N$1,"]")),MATCH(vp.tbl[[#This Row],[SDate]],weather.tbl[Date],0))</f>
        <v>-1.6166666666666665</v>
      </c>
      <c r="O1290" s="2">
        <f ca="1">INDEX(INDIRECT(_xlfn.CONCAT("weather.tbl[",O$1,"]")),MATCH(vp.tbl[[#This Row],[SDate]],weather.tbl[Date],0))</f>
        <v>5.2714285714285722</v>
      </c>
      <c r="P1290" s="2">
        <f ca="1">INDEX(INDIRECT(_xlfn.CONCAT("weather.tbl[",P$1,"]")),MATCH(vp.tbl[[#This Row],[SDate]],weather.tbl[Date],0))</f>
        <v>-1.5</v>
      </c>
      <c r="Q1290" s="2">
        <f ca="1">INDEX(INDIRECT(_xlfn.CONCAT("weather.tbl[",Q$1,"]")),MATCH(vp.tbl[[#This Row],[SDate]],weather.tbl[Date],0))</f>
        <v>-1.5</v>
      </c>
      <c r="R1290" s="2">
        <f ca="1">INDEX(INDIRECT(_xlfn.CONCAT("weather.tbl[",R$1,"]")),MATCH(vp.tbl[[#This Row],[SDate]],weather.tbl[Date],0))</f>
        <v>-2.2999999999999998</v>
      </c>
      <c r="S1290" s="2">
        <f ca="1">INDEX(INDIRECT(_xlfn.CONCAT("weather.tbl[",S$1,"]")),MATCH(vp.tbl[[#This Row],[SDate]],weather.tbl[Date],0))</f>
        <v>-1.3</v>
      </c>
      <c r="T1290" s="2">
        <f ca="1">INDEX(INDIRECT(_xlfn.CONCAT("weather.tbl[",T$1,"]")),MATCH(vp.tbl[[#This Row],[SDate]],weather.tbl[Date],0))</f>
        <v>-0.8</v>
      </c>
      <c r="U1290" s="2">
        <f ca="1">INDEX(INDIRECT(_xlfn.CONCAT("weather.tbl[",U$1,"]")),MATCH(vp.tbl[[#This Row],[SDate]],weather.tbl[Date],0))</f>
        <v>-2.2999999999999998</v>
      </c>
      <c r="V1290" s="2">
        <v>5250.2839999999997</v>
      </c>
      <c r="W1290" t="s">
        <v>48</v>
      </c>
      <c r="X1290">
        <f>IF(OR(vp.tbl[[#This Row],[Sulf]]="",vp.tbl[[#This Row],[Dens]]=""),1,0)</f>
        <v>0</v>
      </c>
      <c r="Y1290">
        <f>IF(vp.tbl[[#This Row],[CrudeType]]="C5+",1,0)</f>
        <v>0</v>
      </c>
      <c r="Z1290">
        <f>IF(AND(vp.tbl[[#This Row],[CrudeType]]="Crude",vp.tbl[[#This Row],[Dens]]&lt;=825,vp.tbl[[#This Row],[Sulf]]&gt;0.5,vp.tbl[[#This Row],[Unknown]]=0),1,0)</f>
        <v>0</v>
      </c>
      <c r="AA1290">
        <f>IF(AND(vp.tbl[[#This Row],[CrudeType]]="Crude",vp.tbl[[#This Row],[Dens]]&lt;=825,vp.tbl[[#This Row],[Sulf]]&lt;=0.5,vp.tbl[[#This Row],[Unknown]]=0),1,0)</f>
        <v>1</v>
      </c>
      <c r="AB1290">
        <f>IF(AND(vp.tbl[[#This Row],[CrudeType]]="Crude",vp.tbl[[#This Row],[Dens]]&gt;825,vp.tbl[[#This Row],[Dens]]&lt;=870,vp.tbl[[#This Row],[Sulf]]&gt;0.5,vp.tbl[[#This Row],[Unknown]]=0),1,0)</f>
        <v>0</v>
      </c>
      <c r="AC1290">
        <f>IF(AND(vp.tbl[[#This Row],[CrudeType]]="Crude",vp.tbl[[#This Row],[Dens]]&gt;825,vp.tbl[[#This Row],[Dens]]&lt;=900,vp.tbl[[#This Row],[Sulf]]&lt;=0.5,vp.tbl[[#This Row],[Unknown]]=0),1,0)</f>
        <v>0</v>
      </c>
      <c r="AD1290">
        <f>IF(AND(vp.tbl[[#This Row],[CrudeType]]="Crude",vp.tbl[[#This Row],[Dens]]&gt;870,vp.tbl[[#This Row],[Dens]]&lt;=900,vp.tbl[[#This Row],[Sulf]]&gt;0.5,vp.tbl[[#This Row],[Unknown]]=0),1,0)</f>
        <v>0</v>
      </c>
      <c r="AE1290">
        <f>IF(AND(vp.tbl[[#This Row],[CrudeType]]="Crude",vp.tbl[[#This Row],[Dens]]&gt;900,vp.tbl[[#This Row],[Sulf]]&lt;=0.5,vp.tbl[[#This Row],[Unknown]]=0),1,0)</f>
        <v>0</v>
      </c>
      <c r="AF1290">
        <f>IF(AND(vp.tbl[[#This Row],[CrudeType]]="Crude",vp.tbl[[#This Row],[Dens]]&gt;900,vp.tbl[[#This Row],[Sulf]]&lt;=0.5,vp.tbl[[#This Row],[Unknown]]=0),1,0)</f>
        <v>0</v>
      </c>
      <c r="AG1290" t="str">
        <f>INDEX(vp.tbl[[#Headers],[Unknown]:[Heavy_SW]],MATCH(1,vp.tbl[[#This Row],[Unknown]:[Heavy_SW]],0))</f>
        <v>Light_SW</v>
      </c>
      <c r="AH1290" t="e">
        <f>INDEX([1]!crudeBD.lkup[Number],MATCH(vp.tbl[[#This Row],[Crude_Breakdown]],[1]!crudeBD.lkup[Crude Breakdown],0))</f>
        <v>#REF!</v>
      </c>
      <c r="AI1290">
        <f>MONTH(vp.tbl[[#This Row],[SDate]])</f>
        <v>4</v>
      </c>
      <c r="AJ1290" s="5">
        <f>IFERROR(vp.tbl[[#This Row],[Sulf]]*vp.tbl[[#This Row],[Net Dens]],"")</f>
        <v>725106.22267200006</v>
      </c>
      <c r="AK1290" s="5">
        <f>IFERROR(vp.tbl[[#This Row],[Dens]]*vp.tbl[[#This Row],[VolumeM3]],"")</f>
        <v>4265330.7215999998</v>
      </c>
      <c r="AL1290" s="5">
        <f>IFERROR(vp.tbl[[#This Row],[VP]]*vp.tbl[[#This Row],[VolumeM3]],"")</f>
        <v>388521.01599999995</v>
      </c>
      <c r="AM1290" s="4">
        <f>IFERROR((vp.tbl[[#This Row],[VP]]-INDEX(crudeBD.lkup.complete[Mean_VP],MATCH(vp.tbl[[#This Row],[Crude_Breakdown]],crudeBD.lkup.complete[Crude Breakdown],0)))^2,"")</f>
        <v>344.11413424467833</v>
      </c>
      <c r="AN1290" s="4">
        <f>IFERROR((vp.tbl[[#This Row],[Dens]]-INDEX(crudeBD.lkup.complete[Mean_Dens],MATCH(vp.tbl[[#This Row],[Crude_Breakdown]],crudeBD.lkup.complete[Crude Breakdown],0)))^2,"")</f>
        <v>16.715846495649235</v>
      </c>
      <c r="AO1290" s="4">
        <f>IFERROR((vp.tbl[[#This Row],[Sulf]]-INDEX(crudeBD.lkup.complete[Mean_Sulf],MATCH(vp.tbl[[#This Row],[Crude_Breakdown]],crudeBD.lkup.complete[Crude Breakdown],0)))^2,"")</f>
        <v>4.3879776367322437E-3</v>
      </c>
      <c r="AP1290">
        <f>IF(AND(vp.tbl[[#This Row],[SDate]]&gt;=DATE(YEAR(vp.tbl[[#This Row],[SDate]]),5,1),vp.tbl[[#This Row],[SDate]]&lt;=DATE(YEAR(vp.tbl[[#This Row],[SDate]]),9,15)),1,0)</f>
        <v>0</v>
      </c>
      <c r="AQ1290" s="15">
        <f>IF(vp.tbl[[#This Row],[SDate]]&lt;DATE(2016,12,1),0,1)</f>
        <v>1</v>
      </c>
    </row>
    <row r="1291" spans="1:43" x14ac:dyDescent="0.25">
      <c r="A1291">
        <v>1290</v>
      </c>
      <c r="B1291" t="s">
        <v>62</v>
      </c>
      <c r="C1291" t="s">
        <v>62</v>
      </c>
      <c r="D1291" t="s">
        <v>63</v>
      </c>
      <c r="F1291" s="1">
        <v>42849</v>
      </c>
      <c r="G1291" s="2">
        <v>84.7</v>
      </c>
      <c r="H1291" s="2"/>
      <c r="I1291" s="2">
        <v>0.94</v>
      </c>
      <c r="J1291" s="2">
        <v>22.6</v>
      </c>
      <c r="K1291" s="2">
        <v>-1</v>
      </c>
      <c r="L1291" s="2">
        <v>815.6</v>
      </c>
      <c r="M1291" s="2">
        <v>815.6</v>
      </c>
      <c r="N1291" s="2">
        <f ca="1">INDEX(INDIRECT(_xlfn.CONCAT("weather.tbl[",N$1,"]")),MATCH(vp.tbl[[#This Row],[SDate]],weather.tbl[Date],0))</f>
        <v>-1.6166666666666665</v>
      </c>
      <c r="O1291" s="2">
        <f ca="1">INDEX(INDIRECT(_xlfn.CONCAT("weather.tbl[",O$1,"]")),MATCH(vp.tbl[[#This Row],[SDate]],weather.tbl[Date],0))</f>
        <v>5.2714285714285722</v>
      </c>
      <c r="P1291" s="2">
        <f ca="1">INDEX(INDIRECT(_xlfn.CONCAT("weather.tbl[",P$1,"]")),MATCH(vp.tbl[[#This Row],[SDate]],weather.tbl[Date],0))</f>
        <v>-1.5</v>
      </c>
      <c r="Q1291" s="2">
        <f ca="1">INDEX(INDIRECT(_xlfn.CONCAT("weather.tbl[",Q$1,"]")),MATCH(vp.tbl[[#This Row],[SDate]],weather.tbl[Date],0))</f>
        <v>-1.5</v>
      </c>
      <c r="R1291" s="2">
        <f ca="1">INDEX(INDIRECT(_xlfn.CONCAT("weather.tbl[",R$1,"]")),MATCH(vp.tbl[[#This Row],[SDate]],weather.tbl[Date],0))</f>
        <v>-2.2999999999999998</v>
      </c>
      <c r="S1291" s="2">
        <f ca="1">INDEX(INDIRECT(_xlfn.CONCAT("weather.tbl[",S$1,"]")),MATCH(vp.tbl[[#This Row],[SDate]],weather.tbl[Date],0))</f>
        <v>-1.3</v>
      </c>
      <c r="T1291" s="2">
        <f ca="1">INDEX(INDIRECT(_xlfn.CONCAT("weather.tbl[",T$1,"]")),MATCH(vp.tbl[[#This Row],[SDate]],weather.tbl[Date],0))</f>
        <v>-0.8</v>
      </c>
      <c r="U1291" s="2">
        <f ca="1">INDEX(INDIRECT(_xlfn.CONCAT("weather.tbl[",U$1,"]")),MATCH(vp.tbl[[#This Row],[SDate]],weather.tbl[Date],0))</f>
        <v>-2.2999999999999998</v>
      </c>
      <c r="V1291" s="2">
        <v>8008.9170000000004</v>
      </c>
      <c r="W1291" t="s">
        <v>48</v>
      </c>
      <c r="X1291">
        <f>IF(OR(vp.tbl[[#This Row],[Sulf]]="",vp.tbl[[#This Row],[Dens]]=""),1,0)</f>
        <v>0</v>
      </c>
      <c r="Y1291">
        <f>IF(vp.tbl[[#This Row],[CrudeType]]="C5+",1,0)</f>
        <v>0</v>
      </c>
      <c r="Z1291">
        <f>IF(AND(vp.tbl[[#This Row],[CrudeType]]="Crude",vp.tbl[[#This Row],[Dens]]&lt;=825,vp.tbl[[#This Row],[Sulf]]&gt;0.5,vp.tbl[[#This Row],[Unknown]]=0),1,0)</f>
        <v>1</v>
      </c>
      <c r="AA1291">
        <f>IF(AND(vp.tbl[[#This Row],[CrudeType]]="Crude",vp.tbl[[#This Row],[Dens]]&lt;=825,vp.tbl[[#This Row],[Sulf]]&lt;=0.5,vp.tbl[[#This Row],[Unknown]]=0),1,0)</f>
        <v>0</v>
      </c>
      <c r="AB1291">
        <f>IF(AND(vp.tbl[[#This Row],[CrudeType]]="Crude",vp.tbl[[#This Row],[Dens]]&gt;825,vp.tbl[[#This Row],[Dens]]&lt;=870,vp.tbl[[#This Row],[Sulf]]&gt;0.5,vp.tbl[[#This Row],[Unknown]]=0),1,0)</f>
        <v>0</v>
      </c>
      <c r="AC1291">
        <f>IF(AND(vp.tbl[[#This Row],[CrudeType]]="Crude",vp.tbl[[#This Row],[Dens]]&gt;825,vp.tbl[[#This Row],[Dens]]&lt;=900,vp.tbl[[#This Row],[Sulf]]&lt;=0.5,vp.tbl[[#This Row],[Unknown]]=0),1,0)</f>
        <v>0</v>
      </c>
      <c r="AD1291">
        <f>IF(AND(vp.tbl[[#This Row],[CrudeType]]="Crude",vp.tbl[[#This Row],[Dens]]&gt;870,vp.tbl[[#This Row],[Dens]]&lt;=900,vp.tbl[[#This Row],[Sulf]]&gt;0.5,vp.tbl[[#This Row],[Unknown]]=0),1,0)</f>
        <v>0</v>
      </c>
      <c r="AE1291">
        <f>IF(AND(vp.tbl[[#This Row],[CrudeType]]="Crude",vp.tbl[[#This Row],[Dens]]&gt;900,vp.tbl[[#This Row],[Sulf]]&lt;=0.5,vp.tbl[[#This Row],[Unknown]]=0),1,0)</f>
        <v>0</v>
      </c>
      <c r="AF1291">
        <f>IF(AND(vp.tbl[[#This Row],[CrudeType]]="Crude",vp.tbl[[#This Row],[Dens]]&gt;900,vp.tbl[[#This Row],[Sulf]]&lt;=0.5,vp.tbl[[#This Row],[Unknown]]=0),1,0)</f>
        <v>0</v>
      </c>
      <c r="AG1291" t="str">
        <f>INDEX(vp.tbl[[#Headers],[Unknown]:[Heavy_SW]],MATCH(1,vp.tbl[[#This Row],[Unknown]:[Heavy_SW]],0))</f>
        <v>Light_LSB</v>
      </c>
      <c r="AH1291" t="e">
        <f>INDEX([1]!crudeBD.lkup[Number],MATCH(vp.tbl[[#This Row],[Crude_Breakdown]],[1]!crudeBD.lkup[Crude Breakdown],0))</f>
        <v>#REF!</v>
      </c>
      <c r="AI1291">
        <f>MONTH(vp.tbl[[#This Row],[SDate]])</f>
        <v>4</v>
      </c>
      <c r="AJ1291" s="5">
        <f>IFERROR(vp.tbl[[#This Row],[Sulf]]*vp.tbl[[#This Row],[Net Dens]],"")</f>
        <v>6140148.3428880004</v>
      </c>
      <c r="AK1291" s="5">
        <f>IFERROR(vp.tbl[[#This Row],[Dens]]*vp.tbl[[#This Row],[VolumeM3]],"")</f>
        <v>6532072.7052000007</v>
      </c>
      <c r="AL1291" s="5">
        <f>IFERROR(vp.tbl[[#This Row],[VP]]*vp.tbl[[#This Row],[VolumeM3]],"")</f>
        <v>678355.26990000007</v>
      </c>
      <c r="AM1291" s="4">
        <f>IFERROR((vp.tbl[[#This Row],[VP]]-INDEX(crudeBD.lkup.complete[Mean_VP],MATCH(vp.tbl[[#This Row],[Crude_Breakdown]],crudeBD.lkup.complete[Crude Breakdown],0)))^2,"")</f>
        <v>46.870256817940657</v>
      </c>
      <c r="AN1291" s="4">
        <f>IFERROR((vp.tbl[[#This Row],[Dens]]-INDEX(crudeBD.lkup.complete[Mean_Dens],MATCH(vp.tbl[[#This Row],[Crude_Breakdown]],crudeBD.lkup.complete[Crude Breakdown],0)))^2,"")</f>
        <v>8.5075458296410478</v>
      </c>
      <c r="AO1291" s="4">
        <f>IFERROR((vp.tbl[[#This Row],[Sulf]]-INDEX(crudeBD.lkup.complete[Mean_Sulf],MATCH(vp.tbl[[#This Row],[Crude_Breakdown]],crudeBD.lkup.complete[Crude Breakdown],0)))^2,"")</f>
        <v>2.8998110617612668E-4</v>
      </c>
      <c r="AP1291">
        <f>IF(AND(vp.tbl[[#This Row],[SDate]]&gt;=DATE(YEAR(vp.tbl[[#This Row],[SDate]]),5,1),vp.tbl[[#This Row],[SDate]]&lt;=DATE(YEAR(vp.tbl[[#This Row],[SDate]]),9,15)),1,0)</f>
        <v>0</v>
      </c>
      <c r="AQ1291" s="15">
        <f>IF(vp.tbl[[#This Row],[SDate]]&lt;DATE(2016,12,1),0,1)</f>
        <v>1</v>
      </c>
    </row>
    <row r="1292" spans="1:43" x14ac:dyDescent="0.25">
      <c r="A1292">
        <v>1291</v>
      </c>
      <c r="B1292" t="s">
        <v>62</v>
      </c>
      <c r="C1292" t="s">
        <v>62</v>
      </c>
      <c r="D1292" t="s">
        <v>93</v>
      </c>
      <c r="F1292" s="1">
        <v>42849</v>
      </c>
      <c r="G1292" s="2">
        <v>104.5</v>
      </c>
      <c r="H1292" s="2"/>
      <c r="I1292" s="2">
        <v>1.1000000000000001</v>
      </c>
      <c r="J1292" s="2">
        <v>7.8</v>
      </c>
      <c r="K1292" s="2">
        <v>-1</v>
      </c>
      <c r="L1292" s="2">
        <v>819.6</v>
      </c>
      <c r="M1292" s="2">
        <v>819.6</v>
      </c>
      <c r="N1292" s="2">
        <f ca="1">INDEX(INDIRECT(_xlfn.CONCAT("weather.tbl[",N$1,"]")),MATCH(vp.tbl[[#This Row],[SDate]],weather.tbl[Date],0))</f>
        <v>-1.6166666666666665</v>
      </c>
      <c r="O1292" s="2">
        <f ca="1">INDEX(INDIRECT(_xlfn.CONCAT("weather.tbl[",O$1,"]")),MATCH(vp.tbl[[#This Row],[SDate]],weather.tbl[Date],0))</f>
        <v>5.2714285714285722</v>
      </c>
      <c r="P1292" s="2">
        <f ca="1">INDEX(INDIRECT(_xlfn.CONCAT("weather.tbl[",P$1,"]")),MATCH(vp.tbl[[#This Row],[SDate]],weather.tbl[Date],0))</f>
        <v>-1.5</v>
      </c>
      <c r="Q1292" s="2">
        <f ca="1">INDEX(INDIRECT(_xlfn.CONCAT("weather.tbl[",Q$1,"]")),MATCH(vp.tbl[[#This Row],[SDate]],weather.tbl[Date],0))</f>
        <v>-1.5</v>
      </c>
      <c r="R1292" s="2">
        <f ca="1">INDEX(INDIRECT(_xlfn.CONCAT("weather.tbl[",R$1,"]")),MATCH(vp.tbl[[#This Row],[SDate]],weather.tbl[Date],0))</f>
        <v>-2.2999999999999998</v>
      </c>
      <c r="S1292" s="2">
        <f ca="1">INDEX(INDIRECT(_xlfn.CONCAT("weather.tbl[",S$1,"]")),MATCH(vp.tbl[[#This Row],[SDate]],weather.tbl[Date],0))</f>
        <v>-1.3</v>
      </c>
      <c r="T1292" s="2">
        <f ca="1">INDEX(INDIRECT(_xlfn.CONCAT("weather.tbl[",T$1,"]")),MATCH(vp.tbl[[#This Row],[SDate]],weather.tbl[Date],0))</f>
        <v>-0.8</v>
      </c>
      <c r="U1292" s="2">
        <f ca="1">INDEX(INDIRECT(_xlfn.CONCAT("weather.tbl[",U$1,"]")),MATCH(vp.tbl[[#This Row],[SDate]],weather.tbl[Date],0))</f>
        <v>-2.2999999999999998</v>
      </c>
      <c r="V1292" s="2">
        <v>668.01199999999994</v>
      </c>
      <c r="W1292" t="s">
        <v>48</v>
      </c>
      <c r="X1292">
        <f>IF(OR(vp.tbl[[#This Row],[Sulf]]="",vp.tbl[[#This Row],[Dens]]=""),1,0)</f>
        <v>0</v>
      </c>
      <c r="Y1292">
        <f>IF(vp.tbl[[#This Row],[CrudeType]]="C5+",1,0)</f>
        <v>0</v>
      </c>
      <c r="Z1292">
        <f>IF(AND(vp.tbl[[#This Row],[CrudeType]]="Crude",vp.tbl[[#This Row],[Dens]]&lt;=825,vp.tbl[[#This Row],[Sulf]]&gt;0.5,vp.tbl[[#This Row],[Unknown]]=0),1,0)</f>
        <v>1</v>
      </c>
      <c r="AA1292">
        <f>IF(AND(vp.tbl[[#This Row],[CrudeType]]="Crude",vp.tbl[[#This Row],[Dens]]&lt;=825,vp.tbl[[#This Row],[Sulf]]&lt;=0.5,vp.tbl[[#This Row],[Unknown]]=0),1,0)</f>
        <v>0</v>
      </c>
      <c r="AB1292">
        <f>IF(AND(vp.tbl[[#This Row],[CrudeType]]="Crude",vp.tbl[[#This Row],[Dens]]&gt;825,vp.tbl[[#This Row],[Dens]]&lt;=870,vp.tbl[[#This Row],[Sulf]]&gt;0.5,vp.tbl[[#This Row],[Unknown]]=0),1,0)</f>
        <v>0</v>
      </c>
      <c r="AC1292">
        <f>IF(AND(vp.tbl[[#This Row],[CrudeType]]="Crude",vp.tbl[[#This Row],[Dens]]&gt;825,vp.tbl[[#This Row],[Dens]]&lt;=900,vp.tbl[[#This Row],[Sulf]]&lt;=0.5,vp.tbl[[#This Row],[Unknown]]=0),1,0)</f>
        <v>0</v>
      </c>
      <c r="AD1292">
        <f>IF(AND(vp.tbl[[#This Row],[CrudeType]]="Crude",vp.tbl[[#This Row],[Dens]]&gt;870,vp.tbl[[#This Row],[Dens]]&lt;=900,vp.tbl[[#This Row],[Sulf]]&gt;0.5,vp.tbl[[#This Row],[Unknown]]=0),1,0)</f>
        <v>0</v>
      </c>
      <c r="AE1292">
        <f>IF(AND(vp.tbl[[#This Row],[CrudeType]]="Crude",vp.tbl[[#This Row],[Dens]]&gt;900,vp.tbl[[#This Row],[Sulf]]&lt;=0.5,vp.tbl[[#This Row],[Unknown]]=0),1,0)</f>
        <v>0</v>
      </c>
      <c r="AF1292">
        <f>IF(AND(vp.tbl[[#This Row],[CrudeType]]="Crude",vp.tbl[[#This Row],[Dens]]&gt;900,vp.tbl[[#This Row],[Sulf]]&lt;=0.5,vp.tbl[[#This Row],[Unknown]]=0),1,0)</f>
        <v>0</v>
      </c>
      <c r="AG1292" t="str">
        <f>INDEX(vp.tbl[[#Headers],[Unknown]:[Heavy_SW]],MATCH(1,vp.tbl[[#This Row],[Unknown]:[Heavy_SW]],0))</f>
        <v>Light_LSB</v>
      </c>
      <c r="AH1292" t="e">
        <f>INDEX([1]!crudeBD.lkup[Number],MATCH(vp.tbl[[#This Row],[Crude_Breakdown]],[1]!crudeBD.lkup[Crude Breakdown],0))</f>
        <v>#REF!</v>
      </c>
      <c r="AI1292">
        <f>MONTH(vp.tbl[[#This Row],[SDate]])</f>
        <v>4</v>
      </c>
      <c r="AJ1292" s="5">
        <f>IFERROR(vp.tbl[[#This Row],[Sulf]]*vp.tbl[[#This Row],[Net Dens]],"")</f>
        <v>602252.89872000006</v>
      </c>
      <c r="AK1292" s="5">
        <f>IFERROR(vp.tbl[[#This Row],[Dens]]*vp.tbl[[#This Row],[VolumeM3]],"")</f>
        <v>547502.63520000002</v>
      </c>
      <c r="AL1292" s="5">
        <f>IFERROR(vp.tbl[[#This Row],[VP]]*vp.tbl[[#This Row],[VolumeM3]],"")</f>
        <v>69807.254000000001</v>
      </c>
      <c r="AM1292" s="4">
        <f>IFERROR((vp.tbl[[#This Row],[VP]]-INDEX(crudeBD.lkup.complete[Mean_VP],MATCH(vp.tbl[[#This Row],[Crude_Breakdown]],crudeBD.lkup.complete[Crude Breakdown],0)))^2,"")</f>
        <v>167.80130836433122</v>
      </c>
      <c r="AN1292" s="4">
        <f>IFERROR((vp.tbl[[#This Row],[Dens]]-INDEX(crudeBD.lkup.complete[Mean_Dens],MATCH(vp.tbl[[#This Row],[Crude_Breakdown]],crudeBD.lkup.complete[Crude Breakdown],0)))^2,"")</f>
        <v>1.1733877540423685</v>
      </c>
      <c r="AO1292" s="4">
        <f>IFERROR((vp.tbl[[#This Row],[Sulf]]-INDEX(crudeBD.lkup.complete[Mean_Sulf],MATCH(vp.tbl[[#This Row],[Crude_Breakdown]],crudeBD.lkup.complete[Crude Breakdown],0)))^2,"")</f>
        <v>3.1339207223014733E-2</v>
      </c>
      <c r="AP1292">
        <f>IF(AND(vp.tbl[[#This Row],[SDate]]&gt;=DATE(YEAR(vp.tbl[[#This Row],[SDate]]),5,1),vp.tbl[[#This Row],[SDate]]&lt;=DATE(YEAR(vp.tbl[[#This Row],[SDate]]),9,15)),1,0)</f>
        <v>0</v>
      </c>
      <c r="AQ1292" s="15">
        <f>IF(vp.tbl[[#This Row],[SDate]]&lt;DATE(2016,12,1),0,1)</f>
        <v>1</v>
      </c>
    </row>
    <row r="1293" spans="1:43" x14ac:dyDescent="0.25">
      <c r="A1293">
        <v>1292</v>
      </c>
      <c r="B1293" t="s">
        <v>51</v>
      </c>
      <c r="C1293" t="s">
        <v>51</v>
      </c>
      <c r="D1293" t="s">
        <v>95</v>
      </c>
      <c r="F1293" s="1">
        <v>42849</v>
      </c>
      <c r="G1293" s="2">
        <v>74.900000000000006</v>
      </c>
      <c r="H1293" s="2"/>
      <c r="I1293" s="2">
        <v>1.19</v>
      </c>
      <c r="J1293" s="2">
        <v>23.8</v>
      </c>
      <c r="K1293" s="2">
        <v>-1</v>
      </c>
      <c r="L1293" s="2">
        <v>840.8</v>
      </c>
      <c r="M1293" s="2">
        <v>840.8</v>
      </c>
      <c r="N1293" s="2">
        <f ca="1">INDEX(INDIRECT(_xlfn.CONCAT("weather.tbl[",N$1,"]")),MATCH(vp.tbl[[#This Row],[SDate]],weather.tbl[Date],0))</f>
        <v>-1.6166666666666665</v>
      </c>
      <c r="O1293" s="2">
        <f ca="1">INDEX(INDIRECT(_xlfn.CONCAT("weather.tbl[",O$1,"]")),MATCH(vp.tbl[[#This Row],[SDate]],weather.tbl[Date],0))</f>
        <v>5.2714285714285722</v>
      </c>
      <c r="P1293" s="2">
        <f ca="1">INDEX(INDIRECT(_xlfn.CONCAT("weather.tbl[",P$1,"]")),MATCH(vp.tbl[[#This Row],[SDate]],weather.tbl[Date],0))</f>
        <v>-1.5</v>
      </c>
      <c r="Q1293" s="2">
        <f ca="1">INDEX(INDIRECT(_xlfn.CONCAT("weather.tbl[",Q$1,"]")),MATCH(vp.tbl[[#This Row],[SDate]],weather.tbl[Date],0))</f>
        <v>-1.5</v>
      </c>
      <c r="R1293" s="2">
        <f ca="1">INDEX(INDIRECT(_xlfn.CONCAT("weather.tbl[",R$1,"]")),MATCH(vp.tbl[[#This Row],[SDate]],weather.tbl[Date],0))</f>
        <v>-2.2999999999999998</v>
      </c>
      <c r="S1293" s="2">
        <f ca="1">INDEX(INDIRECT(_xlfn.CONCAT("weather.tbl[",S$1,"]")),MATCH(vp.tbl[[#This Row],[SDate]],weather.tbl[Date],0))</f>
        <v>-1.3</v>
      </c>
      <c r="T1293" s="2">
        <f ca="1">INDEX(INDIRECT(_xlfn.CONCAT("weather.tbl[",T$1,"]")),MATCH(vp.tbl[[#This Row],[SDate]],weather.tbl[Date],0))</f>
        <v>-0.8</v>
      </c>
      <c r="U1293" s="2">
        <f ca="1">INDEX(INDIRECT(_xlfn.CONCAT("weather.tbl[",U$1,"]")),MATCH(vp.tbl[[#This Row],[SDate]],weather.tbl[Date],0))</f>
        <v>-2.2999999999999998</v>
      </c>
      <c r="V1293" s="2">
        <v>6027.9970000000003</v>
      </c>
      <c r="W1293" t="s">
        <v>48</v>
      </c>
      <c r="X1293">
        <f>IF(OR(vp.tbl[[#This Row],[Sulf]]="",vp.tbl[[#This Row],[Dens]]=""),1,0)</f>
        <v>0</v>
      </c>
      <c r="Y1293">
        <f>IF(vp.tbl[[#This Row],[CrudeType]]="C5+",1,0)</f>
        <v>0</v>
      </c>
      <c r="Z1293">
        <f>IF(AND(vp.tbl[[#This Row],[CrudeType]]="Crude",vp.tbl[[#This Row],[Dens]]&lt;=825,vp.tbl[[#This Row],[Sulf]]&gt;0.5,vp.tbl[[#This Row],[Unknown]]=0),1,0)</f>
        <v>0</v>
      </c>
      <c r="AA1293">
        <f>IF(AND(vp.tbl[[#This Row],[CrudeType]]="Crude",vp.tbl[[#This Row],[Dens]]&lt;=825,vp.tbl[[#This Row],[Sulf]]&lt;=0.5,vp.tbl[[#This Row],[Unknown]]=0),1,0)</f>
        <v>0</v>
      </c>
      <c r="AB1293">
        <f>IF(AND(vp.tbl[[#This Row],[CrudeType]]="Crude",vp.tbl[[#This Row],[Dens]]&gt;825,vp.tbl[[#This Row],[Dens]]&lt;=870,vp.tbl[[#This Row],[Sulf]]&gt;0.5,vp.tbl[[#This Row],[Unknown]]=0),1,0)</f>
        <v>1</v>
      </c>
      <c r="AC1293">
        <f>IF(AND(vp.tbl[[#This Row],[CrudeType]]="Crude",vp.tbl[[#This Row],[Dens]]&gt;825,vp.tbl[[#This Row],[Dens]]&lt;=900,vp.tbl[[#This Row],[Sulf]]&lt;=0.5,vp.tbl[[#This Row],[Unknown]]=0),1,0)</f>
        <v>0</v>
      </c>
      <c r="AD1293">
        <f>IF(AND(vp.tbl[[#This Row],[CrudeType]]="Crude",vp.tbl[[#This Row],[Dens]]&gt;870,vp.tbl[[#This Row],[Dens]]&lt;=900,vp.tbl[[#This Row],[Sulf]]&gt;0.5,vp.tbl[[#This Row],[Unknown]]=0),1,0)</f>
        <v>0</v>
      </c>
      <c r="AE1293">
        <f>IF(AND(vp.tbl[[#This Row],[CrudeType]]="Crude",vp.tbl[[#This Row],[Dens]]&gt;900,vp.tbl[[#This Row],[Sulf]]&lt;=0.5,vp.tbl[[#This Row],[Unknown]]=0),1,0)</f>
        <v>0</v>
      </c>
      <c r="AF1293">
        <f>IF(AND(vp.tbl[[#This Row],[CrudeType]]="Crude",vp.tbl[[#This Row],[Dens]]&gt;900,vp.tbl[[#This Row],[Sulf]]&lt;=0.5,vp.tbl[[#This Row],[Unknown]]=0),1,0)</f>
        <v>0</v>
      </c>
      <c r="AG1293" t="str">
        <f>INDEX(vp.tbl[[#Headers],[Unknown]:[Heavy_SW]],MATCH(1,vp.tbl[[#This Row],[Unknown]:[Heavy_SW]],0))</f>
        <v>Medium_LSB</v>
      </c>
      <c r="AH1293" t="e">
        <f>INDEX([1]!crudeBD.lkup[Number],MATCH(vp.tbl[[#This Row],[Crude_Breakdown]],[1]!crudeBD.lkup[Crude Breakdown],0))</f>
        <v>#REF!</v>
      </c>
      <c r="AI1293">
        <f>MONTH(vp.tbl[[#This Row],[SDate]])</f>
        <v>4</v>
      </c>
      <c r="AJ1293" s="5">
        <f>IFERROR(vp.tbl[[#This Row],[Sulf]]*vp.tbl[[#This Row],[Net Dens]],"")</f>
        <v>6031324.4543439997</v>
      </c>
      <c r="AK1293" s="5">
        <f>IFERROR(vp.tbl[[#This Row],[Dens]]*vp.tbl[[#This Row],[VolumeM3]],"")</f>
        <v>5068339.8776000002</v>
      </c>
      <c r="AL1293" s="5">
        <f>IFERROR(vp.tbl[[#This Row],[VP]]*vp.tbl[[#This Row],[VolumeM3]],"")</f>
        <v>451496.97530000005</v>
      </c>
      <c r="AM1293" s="4">
        <f>IFERROR((vp.tbl[[#This Row],[VP]]-INDEX(crudeBD.lkup.complete[Mean_VP],MATCH(vp.tbl[[#This Row],[Crude_Breakdown]],crudeBD.lkup.complete[Crude Breakdown],0)))^2,"")</f>
        <v>27.810803556480884</v>
      </c>
      <c r="AN1293" s="4">
        <f>IFERROR((vp.tbl[[#This Row],[Dens]]-INDEX(crudeBD.lkup.complete[Mean_Dens],MATCH(vp.tbl[[#This Row],[Crude_Breakdown]],crudeBD.lkup.complete[Crude Breakdown],0)))^2,"")</f>
        <v>20.176471930130962</v>
      </c>
      <c r="AO1293" s="4">
        <f>IFERROR((vp.tbl[[#This Row],[Sulf]]-INDEX(crudeBD.lkup.complete[Mean_Sulf],MATCH(vp.tbl[[#This Row],[Crude_Breakdown]],crudeBD.lkup.complete[Crude Breakdown],0)))^2,"")</f>
        <v>7.0187831122045519E-2</v>
      </c>
      <c r="AP1293">
        <f>IF(AND(vp.tbl[[#This Row],[SDate]]&gt;=DATE(YEAR(vp.tbl[[#This Row],[SDate]]),5,1),vp.tbl[[#This Row],[SDate]]&lt;=DATE(YEAR(vp.tbl[[#This Row],[SDate]]),9,15)),1,0)</f>
        <v>0</v>
      </c>
      <c r="AQ1293" s="15">
        <f>IF(vp.tbl[[#This Row],[SDate]]&lt;DATE(2016,12,1),0,1)</f>
        <v>1</v>
      </c>
    </row>
    <row r="1294" spans="1:43" x14ac:dyDescent="0.25">
      <c r="A1294">
        <v>1293</v>
      </c>
      <c r="B1294" t="s">
        <v>53</v>
      </c>
      <c r="C1294" t="s">
        <v>53</v>
      </c>
      <c r="D1294" t="s">
        <v>54</v>
      </c>
      <c r="E1294" t="s">
        <v>73</v>
      </c>
      <c r="F1294" s="1">
        <v>42849</v>
      </c>
      <c r="G1294" s="2">
        <v>79.3</v>
      </c>
      <c r="H1294" s="2"/>
      <c r="I1294" s="2">
        <v>1.2</v>
      </c>
      <c r="J1294" s="2">
        <v>13.5</v>
      </c>
      <c r="K1294" s="2">
        <v>-1</v>
      </c>
      <c r="L1294" s="2">
        <v>863</v>
      </c>
      <c r="M1294" s="2">
        <v>863</v>
      </c>
      <c r="N1294" s="2">
        <f ca="1">INDEX(INDIRECT(_xlfn.CONCAT("weather.tbl[",N$1,"]")),MATCH(vp.tbl[[#This Row],[SDate]],weather.tbl[Date],0))</f>
        <v>-1.6166666666666665</v>
      </c>
      <c r="O1294" s="2">
        <f ca="1">INDEX(INDIRECT(_xlfn.CONCAT("weather.tbl[",O$1,"]")),MATCH(vp.tbl[[#This Row],[SDate]],weather.tbl[Date],0))</f>
        <v>5.2714285714285722</v>
      </c>
      <c r="P1294" s="2">
        <f ca="1">INDEX(INDIRECT(_xlfn.CONCAT("weather.tbl[",P$1,"]")),MATCH(vp.tbl[[#This Row],[SDate]],weather.tbl[Date],0))</f>
        <v>-1.5</v>
      </c>
      <c r="Q1294" s="2">
        <f ca="1">INDEX(INDIRECT(_xlfn.CONCAT("weather.tbl[",Q$1,"]")),MATCH(vp.tbl[[#This Row],[SDate]],weather.tbl[Date],0))</f>
        <v>-1.5</v>
      </c>
      <c r="R1294" s="2">
        <f ca="1">INDEX(INDIRECT(_xlfn.CONCAT("weather.tbl[",R$1,"]")),MATCH(vp.tbl[[#This Row],[SDate]],weather.tbl[Date],0))</f>
        <v>-2.2999999999999998</v>
      </c>
      <c r="S1294" s="2">
        <f ca="1">INDEX(INDIRECT(_xlfn.CONCAT("weather.tbl[",S$1,"]")),MATCH(vp.tbl[[#This Row],[SDate]],weather.tbl[Date],0))</f>
        <v>-1.3</v>
      </c>
      <c r="T1294" s="2">
        <f ca="1">INDEX(INDIRECT(_xlfn.CONCAT("weather.tbl[",T$1,"]")),MATCH(vp.tbl[[#This Row],[SDate]],weather.tbl[Date],0))</f>
        <v>-0.8</v>
      </c>
      <c r="U1294" s="2">
        <f ca="1">INDEX(INDIRECT(_xlfn.CONCAT("weather.tbl[",U$1,"]")),MATCH(vp.tbl[[#This Row],[SDate]],weather.tbl[Date],0))</f>
        <v>-2.2999999999999998</v>
      </c>
      <c r="V1294" s="2">
        <v>6264.8940000000002</v>
      </c>
      <c r="W1294" t="s">
        <v>48</v>
      </c>
      <c r="X1294">
        <f>IF(OR(vp.tbl[[#This Row],[Sulf]]="",vp.tbl[[#This Row],[Dens]]=""),1,0)</f>
        <v>0</v>
      </c>
      <c r="Y1294">
        <f>IF(vp.tbl[[#This Row],[CrudeType]]="C5+",1,0)</f>
        <v>0</v>
      </c>
      <c r="Z1294">
        <f>IF(AND(vp.tbl[[#This Row],[CrudeType]]="Crude",vp.tbl[[#This Row],[Dens]]&lt;=825,vp.tbl[[#This Row],[Sulf]]&gt;0.5,vp.tbl[[#This Row],[Unknown]]=0),1,0)</f>
        <v>0</v>
      </c>
      <c r="AA1294">
        <f>IF(AND(vp.tbl[[#This Row],[CrudeType]]="Crude",vp.tbl[[#This Row],[Dens]]&lt;=825,vp.tbl[[#This Row],[Sulf]]&lt;=0.5,vp.tbl[[#This Row],[Unknown]]=0),1,0)</f>
        <v>0</v>
      </c>
      <c r="AB1294">
        <f>IF(AND(vp.tbl[[#This Row],[CrudeType]]="Crude",vp.tbl[[#This Row],[Dens]]&gt;825,vp.tbl[[#This Row],[Dens]]&lt;=870,vp.tbl[[#This Row],[Sulf]]&gt;0.5,vp.tbl[[#This Row],[Unknown]]=0),1,0)</f>
        <v>1</v>
      </c>
      <c r="AC1294">
        <f>IF(AND(vp.tbl[[#This Row],[CrudeType]]="Crude",vp.tbl[[#This Row],[Dens]]&gt;825,vp.tbl[[#This Row],[Dens]]&lt;=900,vp.tbl[[#This Row],[Sulf]]&lt;=0.5,vp.tbl[[#This Row],[Unknown]]=0),1,0)</f>
        <v>0</v>
      </c>
      <c r="AD1294">
        <f>IF(AND(vp.tbl[[#This Row],[CrudeType]]="Crude",vp.tbl[[#This Row],[Dens]]&gt;870,vp.tbl[[#This Row],[Dens]]&lt;=900,vp.tbl[[#This Row],[Sulf]]&gt;0.5,vp.tbl[[#This Row],[Unknown]]=0),1,0)</f>
        <v>0</v>
      </c>
      <c r="AE1294">
        <f>IF(AND(vp.tbl[[#This Row],[CrudeType]]="Crude",vp.tbl[[#This Row],[Dens]]&gt;900,vp.tbl[[#This Row],[Sulf]]&lt;=0.5,vp.tbl[[#This Row],[Unknown]]=0),1,0)</f>
        <v>0</v>
      </c>
      <c r="AF1294">
        <f>IF(AND(vp.tbl[[#This Row],[CrudeType]]="Crude",vp.tbl[[#This Row],[Dens]]&gt;900,vp.tbl[[#This Row],[Sulf]]&lt;=0.5,vp.tbl[[#This Row],[Unknown]]=0),1,0)</f>
        <v>0</v>
      </c>
      <c r="AG1294" t="str">
        <f>INDEX(vp.tbl[[#Headers],[Unknown]:[Heavy_SW]],MATCH(1,vp.tbl[[#This Row],[Unknown]:[Heavy_SW]],0))</f>
        <v>Medium_LSB</v>
      </c>
      <c r="AH1294" t="e">
        <f>INDEX([1]!crudeBD.lkup[Number],MATCH(vp.tbl[[#This Row],[Crude_Breakdown]],[1]!crudeBD.lkup[Crude Breakdown],0))</f>
        <v>#REF!</v>
      </c>
      <c r="AI1294">
        <f>MONTH(vp.tbl[[#This Row],[SDate]])</f>
        <v>4</v>
      </c>
      <c r="AJ1294" s="5">
        <f>IFERROR(vp.tbl[[#This Row],[Sulf]]*vp.tbl[[#This Row],[Net Dens]],"")</f>
        <v>6487924.2264</v>
      </c>
      <c r="AK1294" s="5">
        <f>IFERROR(vp.tbl[[#This Row],[Dens]]*vp.tbl[[#This Row],[VolumeM3]],"")</f>
        <v>5406603.5219999999</v>
      </c>
      <c r="AL1294" s="5">
        <f>IFERROR(vp.tbl[[#This Row],[VP]]*vp.tbl[[#This Row],[VolumeM3]],"")</f>
        <v>496806.09419999999</v>
      </c>
      <c r="AM1294" s="4">
        <f>IFERROR((vp.tbl[[#This Row],[VP]]-INDEX(crudeBD.lkup.complete[Mean_VP],MATCH(vp.tbl[[#This Row],[Crude_Breakdown]],crudeBD.lkup.complete[Crude Breakdown],0)))^2,"")</f>
        <v>0.76316811344329893</v>
      </c>
      <c r="AN1294" s="4">
        <f>IFERROR((vp.tbl[[#This Row],[Dens]]-INDEX(crudeBD.lkup.complete[Mean_Dens],MATCH(vp.tbl[[#This Row],[Crude_Breakdown]],crudeBD.lkup.complete[Crude Breakdown],0)))^2,"")</f>
        <v>313.57954028460466</v>
      </c>
      <c r="AO1294" s="4">
        <f>IFERROR((vp.tbl[[#This Row],[Sulf]]-INDEX(crudeBD.lkup.complete[Mean_Sulf],MATCH(vp.tbl[[#This Row],[Crude_Breakdown]],crudeBD.lkup.complete[Crude Breakdown],0)))^2,"")</f>
        <v>6.4989233906855612E-2</v>
      </c>
      <c r="AP1294">
        <f>IF(AND(vp.tbl[[#This Row],[SDate]]&gt;=DATE(YEAR(vp.tbl[[#This Row],[SDate]]),5,1),vp.tbl[[#This Row],[SDate]]&lt;=DATE(YEAR(vp.tbl[[#This Row],[SDate]]),9,15)),1,0)</f>
        <v>0</v>
      </c>
      <c r="AQ1294" s="15">
        <f>IF(vp.tbl[[#This Row],[SDate]]&lt;DATE(2016,12,1),0,1)</f>
        <v>1</v>
      </c>
    </row>
    <row r="1295" spans="1:43" x14ac:dyDescent="0.25">
      <c r="A1295">
        <v>1294</v>
      </c>
      <c r="B1295" t="s">
        <v>53</v>
      </c>
      <c r="C1295" t="s">
        <v>53</v>
      </c>
      <c r="D1295" t="s">
        <v>54</v>
      </c>
      <c r="E1295" t="s">
        <v>55</v>
      </c>
      <c r="F1295" s="1">
        <v>42849</v>
      </c>
      <c r="G1295" s="2">
        <v>76.599999999999994</v>
      </c>
      <c r="H1295" s="2"/>
      <c r="I1295" s="2">
        <v>1.2</v>
      </c>
      <c r="J1295" s="2">
        <v>10.199999999999999</v>
      </c>
      <c r="K1295" s="2">
        <v>-1</v>
      </c>
      <c r="L1295" s="2">
        <v>841.1</v>
      </c>
      <c r="M1295" s="2">
        <v>841.1</v>
      </c>
      <c r="N1295" s="2">
        <f ca="1">INDEX(INDIRECT(_xlfn.CONCAT("weather.tbl[",N$1,"]")),MATCH(vp.tbl[[#This Row],[SDate]],weather.tbl[Date],0))</f>
        <v>-1.6166666666666665</v>
      </c>
      <c r="O1295" s="2">
        <f ca="1">INDEX(INDIRECT(_xlfn.CONCAT("weather.tbl[",O$1,"]")),MATCH(vp.tbl[[#This Row],[SDate]],weather.tbl[Date],0))</f>
        <v>5.2714285714285722</v>
      </c>
      <c r="P1295" s="2">
        <f ca="1">INDEX(INDIRECT(_xlfn.CONCAT("weather.tbl[",P$1,"]")),MATCH(vp.tbl[[#This Row],[SDate]],weather.tbl[Date],0))</f>
        <v>-1.5</v>
      </c>
      <c r="Q1295" s="2">
        <f ca="1">INDEX(INDIRECT(_xlfn.CONCAT("weather.tbl[",Q$1,"]")),MATCH(vp.tbl[[#This Row],[SDate]],weather.tbl[Date],0))</f>
        <v>-1.5</v>
      </c>
      <c r="R1295" s="2">
        <f ca="1">INDEX(INDIRECT(_xlfn.CONCAT("weather.tbl[",R$1,"]")),MATCH(vp.tbl[[#This Row],[SDate]],weather.tbl[Date],0))</f>
        <v>-2.2999999999999998</v>
      </c>
      <c r="S1295" s="2">
        <f ca="1">INDEX(INDIRECT(_xlfn.CONCAT("weather.tbl[",S$1,"]")),MATCH(vp.tbl[[#This Row],[SDate]],weather.tbl[Date],0))</f>
        <v>-1.3</v>
      </c>
      <c r="T1295" s="2">
        <f ca="1">INDEX(INDIRECT(_xlfn.CONCAT("weather.tbl[",T$1,"]")),MATCH(vp.tbl[[#This Row],[SDate]],weather.tbl[Date],0))</f>
        <v>-0.8</v>
      </c>
      <c r="U1295" s="2">
        <f ca="1">INDEX(INDIRECT(_xlfn.CONCAT("weather.tbl[",U$1,"]")),MATCH(vp.tbl[[#This Row],[SDate]],weather.tbl[Date],0))</f>
        <v>-2.2999999999999998</v>
      </c>
      <c r="V1295" s="2">
        <v>6264.8940000000002</v>
      </c>
      <c r="W1295" t="s">
        <v>48</v>
      </c>
      <c r="X1295">
        <f>IF(OR(vp.tbl[[#This Row],[Sulf]]="",vp.tbl[[#This Row],[Dens]]=""),1,0)</f>
        <v>0</v>
      </c>
      <c r="Y1295">
        <f>IF(vp.tbl[[#This Row],[CrudeType]]="C5+",1,0)</f>
        <v>0</v>
      </c>
      <c r="Z1295">
        <f>IF(AND(vp.tbl[[#This Row],[CrudeType]]="Crude",vp.tbl[[#This Row],[Dens]]&lt;=825,vp.tbl[[#This Row],[Sulf]]&gt;0.5,vp.tbl[[#This Row],[Unknown]]=0),1,0)</f>
        <v>0</v>
      </c>
      <c r="AA1295">
        <f>IF(AND(vp.tbl[[#This Row],[CrudeType]]="Crude",vp.tbl[[#This Row],[Dens]]&lt;=825,vp.tbl[[#This Row],[Sulf]]&lt;=0.5,vp.tbl[[#This Row],[Unknown]]=0),1,0)</f>
        <v>0</v>
      </c>
      <c r="AB1295">
        <f>IF(AND(vp.tbl[[#This Row],[CrudeType]]="Crude",vp.tbl[[#This Row],[Dens]]&gt;825,vp.tbl[[#This Row],[Dens]]&lt;=870,vp.tbl[[#This Row],[Sulf]]&gt;0.5,vp.tbl[[#This Row],[Unknown]]=0),1,0)</f>
        <v>1</v>
      </c>
      <c r="AC1295">
        <f>IF(AND(vp.tbl[[#This Row],[CrudeType]]="Crude",vp.tbl[[#This Row],[Dens]]&gt;825,vp.tbl[[#This Row],[Dens]]&lt;=900,vp.tbl[[#This Row],[Sulf]]&lt;=0.5,vp.tbl[[#This Row],[Unknown]]=0),1,0)</f>
        <v>0</v>
      </c>
      <c r="AD1295">
        <f>IF(AND(vp.tbl[[#This Row],[CrudeType]]="Crude",vp.tbl[[#This Row],[Dens]]&gt;870,vp.tbl[[#This Row],[Dens]]&lt;=900,vp.tbl[[#This Row],[Sulf]]&gt;0.5,vp.tbl[[#This Row],[Unknown]]=0),1,0)</f>
        <v>0</v>
      </c>
      <c r="AE1295">
        <f>IF(AND(vp.tbl[[#This Row],[CrudeType]]="Crude",vp.tbl[[#This Row],[Dens]]&gt;900,vp.tbl[[#This Row],[Sulf]]&lt;=0.5,vp.tbl[[#This Row],[Unknown]]=0),1,0)</f>
        <v>0</v>
      </c>
      <c r="AF1295">
        <f>IF(AND(vp.tbl[[#This Row],[CrudeType]]="Crude",vp.tbl[[#This Row],[Dens]]&gt;900,vp.tbl[[#This Row],[Sulf]]&lt;=0.5,vp.tbl[[#This Row],[Unknown]]=0),1,0)</f>
        <v>0</v>
      </c>
      <c r="AG1295" t="str">
        <f>INDEX(vp.tbl[[#Headers],[Unknown]:[Heavy_SW]],MATCH(1,vp.tbl[[#This Row],[Unknown]:[Heavy_SW]],0))</f>
        <v>Medium_LSB</v>
      </c>
      <c r="AH1295" t="e">
        <f>INDEX([1]!crudeBD.lkup[Number],MATCH(vp.tbl[[#This Row],[Crude_Breakdown]],[1]!crudeBD.lkup[Crude Breakdown],0))</f>
        <v>#REF!</v>
      </c>
      <c r="AI1295">
        <f>MONTH(vp.tbl[[#This Row],[SDate]])</f>
        <v>4</v>
      </c>
      <c r="AJ1295" s="5">
        <f>IFERROR(vp.tbl[[#This Row],[Sulf]]*vp.tbl[[#This Row],[Net Dens]],"")</f>
        <v>6323282.8120800005</v>
      </c>
      <c r="AK1295" s="5">
        <f>IFERROR(vp.tbl[[#This Row],[Dens]]*vp.tbl[[#This Row],[VolumeM3]],"")</f>
        <v>5269402.3434000006</v>
      </c>
      <c r="AL1295" s="5">
        <f>IFERROR(vp.tbl[[#This Row],[VP]]*vp.tbl[[#This Row],[VolumeM3]],"")</f>
        <v>479890.88039999997</v>
      </c>
      <c r="AM1295" s="4">
        <f>IFERROR((vp.tbl[[#This Row],[VP]]-INDEX(crudeBD.lkup.complete[Mean_VP],MATCH(vp.tbl[[#This Row],[Crude_Breakdown]],crudeBD.lkup.complete[Crude Breakdown],0)))^2,"")</f>
        <v>12.770580771670984</v>
      </c>
      <c r="AN1295" s="4">
        <f>IFERROR((vp.tbl[[#This Row],[Dens]]-INDEX(crudeBD.lkup.complete[Mean_Dens],MATCH(vp.tbl[[#This Row],[Crude_Breakdown]],crudeBD.lkup.complete[Crude Breakdown],0)))^2,"")</f>
        <v>17.571378259244881</v>
      </c>
      <c r="AO1295" s="4">
        <f>IFERROR((vp.tbl[[#This Row],[Sulf]]-INDEX(crudeBD.lkup.complete[Mean_Sulf],MATCH(vp.tbl[[#This Row],[Crude_Breakdown]],crudeBD.lkup.complete[Crude Breakdown],0)))^2,"")</f>
        <v>6.4989233906855612E-2</v>
      </c>
      <c r="AP1295">
        <f>IF(AND(vp.tbl[[#This Row],[SDate]]&gt;=DATE(YEAR(vp.tbl[[#This Row],[SDate]]),5,1),vp.tbl[[#This Row],[SDate]]&lt;=DATE(YEAR(vp.tbl[[#This Row],[SDate]]),9,15)),1,0)</f>
        <v>0</v>
      </c>
      <c r="AQ1295" s="15">
        <f>IF(vp.tbl[[#This Row],[SDate]]&lt;DATE(2016,12,1),0,1)</f>
        <v>1</v>
      </c>
    </row>
    <row r="1296" spans="1:43" x14ac:dyDescent="0.25">
      <c r="A1296">
        <v>1295</v>
      </c>
      <c r="B1296" t="s">
        <v>265</v>
      </c>
      <c r="C1296" t="s">
        <v>266</v>
      </c>
      <c r="D1296" t="s">
        <v>267</v>
      </c>
      <c r="E1296">
        <v>317181</v>
      </c>
      <c r="F1296" s="1">
        <v>42784</v>
      </c>
      <c r="G1296" s="2">
        <v>106.7</v>
      </c>
      <c r="H1296" s="2">
        <v>0</v>
      </c>
      <c r="I1296" s="2">
        <v>0</v>
      </c>
      <c r="J1296" s="2">
        <v>5</v>
      </c>
      <c r="K1296" s="2">
        <v>3</v>
      </c>
      <c r="L1296" s="2">
        <v>657.8</v>
      </c>
      <c r="M1296" s="2">
        <v>657.8</v>
      </c>
      <c r="N1296" s="2">
        <f ca="1">INDEX(INDIRECT(_xlfn.CONCAT("weather.tbl[",N$1,"]")),MATCH(vp.tbl[[#This Row],[SDate]],weather.tbl[Date],0))</f>
        <v>-0.54999999999999993</v>
      </c>
      <c r="O1296" s="2">
        <f ca="1">INDEX(INDIRECT(_xlfn.CONCAT("weather.tbl[",O$1,"]")),MATCH(vp.tbl[[#This Row],[SDate]],weather.tbl[Date],0))</f>
        <v>-1.0261904761904761</v>
      </c>
      <c r="P1296" s="2">
        <f ca="1">INDEX(INDIRECT(_xlfn.CONCAT("weather.tbl[",P$1,"]")),MATCH(vp.tbl[[#This Row],[SDate]],weather.tbl[Date],0))</f>
        <v>-1.9</v>
      </c>
      <c r="Q1296" s="2">
        <f ca="1">INDEX(INDIRECT(_xlfn.CONCAT("weather.tbl[",Q$1,"]")),MATCH(vp.tbl[[#This Row],[SDate]],weather.tbl[Date],0))</f>
        <v>-1.6</v>
      </c>
      <c r="R1296" s="2">
        <f ca="1">INDEX(INDIRECT(_xlfn.CONCAT("weather.tbl[",R$1,"]")),MATCH(vp.tbl[[#This Row],[SDate]],weather.tbl[Date],0))</f>
        <v>-1</v>
      </c>
      <c r="S1296" s="2">
        <f ca="1">INDEX(INDIRECT(_xlfn.CONCAT("weather.tbl[",S$1,"]")),MATCH(vp.tbl[[#This Row],[SDate]],weather.tbl[Date],0))</f>
        <v>-0.6</v>
      </c>
      <c r="T1296" s="2">
        <f ca="1">INDEX(INDIRECT(_xlfn.CONCAT("weather.tbl[",T$1,"]")),MATCH(vp.tbl[[#This Row],[SDate]],weather.tbl[Date],0))</f>
        <v>-0.2</v>
      </c>
      <c r="U1296" s="2">
        <f ca="1">INDEX(INDIRECT(_xlfn.CONCAT("weather.tbl[",U$1,"]")),MATCH(vp.tbl[[#This Row],[SDate]],weather.tbl[Date],0))</f>
        <v>2</v>
      </c>
      <c r="V1296" s="2">
        <v>38.880000000000003</v>
      </c>
      <c r="W1296" t="s">
        <v>268</v>
      </c>
      <c r="X1296">
        <f>IF(OR(vp.tbl[[#This Row],[Sulf]]="",vp.tbl[[#This Row],[Dens]]=""),1,0)</f>
        <v>0</v>
      </c>
      <c r="Y1296">
        <f>IF(vp.tbl[[#This Row],[CrudeType]]="C5+",1,0)</f>
        <v>1</v>
      </c>
      <c r="Z1296">
        <f>IF(AND(vp.tbl[[#This Row],[CrudeType]]="Crude",vp.tbl[[#This Row],[Dens]]&lt;=825,vp.tbl[[#This Row],[Sulf]]&gt;0.5,vp.tbl[[#This Row],[Unknown]]=0),1,0)</f>
        <v>0</v>
      </c>
      <c r="AA1296">
        <f>IF(AND(vp.tbl[[#This Row],[CrudeType]]="Crude",vp.tbl[[#This Row],[Dens]]&lt;=825,vp.tbl[[#This Row],[Sulf]]&lt;=0.5,vp.tbl[[#This Row],[Unknown]]=0),1,0)</f>
        <v>0</v>
      </c>
      <c r="AB1296">
        <f>IF(AND(vp.tbl[[#This Row],[CrudeType]]="Crude",vp.tbl[[#This Row],[Dens]]&gt;825,vp.tbl[[#This Row],[Dens]]&lt;=870,vp.tbl[[#This Row],[Sulf]]&gt;0.5,vp.tbl[[#This Row],[Unknown]]=0),1,0)</f>
        <v>0</v>
      </c>
      <c r="AC1296">
        <f>IF(AND(vp.tbl[[#This Row],[CrudeType]]="Crude",vp.tbl[[#This Row],[Dens]]&gt;825,vp.tbl[[#This Row],[Dens]]&lt;=900,vp.tbl[[#This Row],[Sulf]]&lt;=0.5,vp.tbl[[#This Row],[Unknown]]=0),1,0)</f>
        <v>0</v>
      </c>
      <c r="AD1296">
        <f>IF(AND(vp.tbl[[#This Row],[CrudeType]]="Crude",vp.tbl[[#This Row],[Dens]]&gt;870,vp.tbl[[#This Row],[Dens]]&lt;=900,vp.tbl[[#This Row],[Sulf]]&gt;0.5,vp.tbl[[#This Row],[Unknown]]=0),1,0)</f>
        <v>0</v>
      </c>
      <c r="AE1296">
        <f>IF(AND(vp.tbl[[#This Row],[CrudeType]]="Crude",vp.tbl[[#This Row],[Dens]]&gt;900,vp.tbl[[#This Row],[Sulf]]&lt;=0.5,vp.tbl[[#This Row],[Unknown]]=0),1,0)</f>
        <v>0</v>
      </c>
      <c r="AF1296">
        <f>IF(AND(vp.tbl[[#This Row],[CrudeType]]="Crude",vp.tbl[[#This Row],[Dens]]&gt;900,vp.tbl[[#This Row],[Sulf]]&lt;=0.5,vp.tbl[[#This Row],[Unknown]]=0),1,0)</f>
        <v>0</v>
      </c>
      <c r="AG1296" t="str">
        <f>INDEX(vp.tbl[[#Headers],[Unknown]:[Heavy_SW]],MATCH(1,vp.tbl[[#This Row],[Unknown]:[Heavy_SW]],0))</f>
        <v>C5</v>
      </c>
      <c r="AH1296" t="e">
        <f>INDEX([1]!crudeBD.lkup[Number],MATCH(vp.tbl[[#This Row],[Crude_Breakdown]],[1]!crudeBD.lkup[Crude Breakdown],0))</f>
        <v>#REF!</v>
      </c>
      <c r="AI1296">
        <f>MONTH(vp.tbl[[#This Row],[SDate]])</f>
        <v>2</v>
      </c>
      <c r="AJ1296" s="5">
        <f>IFERROR(vp.tbl[[#This Row],[Sulf]]*vp.tbl[[#This Row],[Net Dens]],"")</f>
        <v>0</v>
      </c>
      <c r="AK1296" s="5">
        <f>IFERROR(vp.tbl[[#This Row],[Dens]]*vp.tbl[[#This Row],[VolumeM3]],"")</f>
        <v>25575.263999999999</v>
      </c>
      <c r="AL1296" s="5">
        <f>IFERROR(vp.tbl[[#This Row],[VP]]*vp.tbl[[#This Row],[VolumeM3]],"")</f>
        <v>4148.4960000000001</v>
      </c>
      <c r="AM1296" s="4">
        <f>IFERROR((vp.tbl[[#This Row],[VP]]-INDEX(crudeBD.lkup.complete[Mean_VP],MATCH(vp.tbl[[#This Row],[Crude_Breakdown]],crudeBD.lkup.complete[Crude Breakdown],0)))^2,"")</f>
        <v>12.395733907254629</v>
      </c>
      <c r="AN1296" s="4">
        <f>IFERROR((vp.tbl[[#This Row],[Dens]]-INDEX(crudeBD.lkup.complete[Mean_Dens],MATCH(vp.tbl[[#This Row],[Crude_Breakdown]],crudeBD.lkup.complete[Crude Breakdown],0)))^2,"")</f>
        <v>7.629313590454917E-2</v>
      </c>
      <c r="AO1296" s="4">
        <f>IFERROR((vp.tbl[[#This Row],[Sulf]]-INDEX(crudeBD.lkup.complete[Mean_Sulf],MATCH(vp.tbl[[#This Row],[Crude_Breakdown]],crudeBD.lkup.complete[Crude Breakdown],0)))^2,"")</f>
        <v>0</v>
      </c>
      <c r="AP1296">
        <f>IF(AND(vp.tbl[[#This Row],[SDate]]&gt;=DATE(YEAR(vp.tbl[[#This Row],[SDate]]),5,1),vp.tbl[[#This Row],[SDate]]&lt;=DATE(YEAR(vp.tbl[[#This Row],[SDate]]),9,15)),1,0)</f>
        <v>0</v>
      </c>
      <c r="AQ1296" s="15">
        <f>IF(vp.tbl[[#This Row],[SDate]]&lt;DATE(2016,12,1),0,1)</f>
        <v>1</v>
      </c>
    </row>
    <row r="1297" spans="1:43" x14ac:dyDescent="0.25">
      <c r="A1297">
        <v>1296</v>
      </c>
      <c r="B1297" t="s">
        <v>269</v>
      </c>
      <c r="C1297" t="s">
        <v>270</v>
      </c>
      <c r="D1297" t="s">
        <v>271</v>
      </c>
      <c r="E1297">
        <v>317190</v>
      </c>
      <c r="F1297" s="1">
        <v>42784</v>
      </c>
      <c r="G1297" s="2">
        <v>107.8</v>
      </c>
      <c r="H1297" s="2">
        <v>0</v>
      </c>
      <c r="I1297" s="2">
        <v>0</v>
      </c>
      <c r="J1297" s="2">
        <v>7</v>
      </c>
      <c r="K1297" s="2">
        <v>3</v>
      </c>
      <c r="L1297" s="2">
        <v>662.7</v>
      </c>
      <c r="M1297" s="2">
        <v>662.7</v>
      </c>
      <c r="N1297" s="2">
        <f ca="1">INDEX(INDIRECT(_xlfn.CONCAT("weather.tbl[",N$1,"]")),MATCH(vp.tbl[[#This Row],[SDate]],weather.tbl[Date],0))</f>
        <v>-0.54999999999999993</v>
      </c>
      <c r="O1297" s="2">
        <f ca="1">INDEX(INDIRECT(_xlfn.CONCAT("weather.tbl[",O$1,"]")),MATCH(vp.tbl[[#This Row],[SDate]],weather.tbl[Date],0))</f>
        <v>-1.0261904761904761</v>
      </c>
      <c r="P1297" s="2">
        <f ca="1">INDEX(INDIRECT(_xlfn.CONCAT("weather.tbl[",P$1,"]")),MATCH(vp.tbl[[#This Row],[SDate]],weather.tbl[Date],0))</f>
        <v>-1.9</v>
      </c>
      <c r="Q1297" s="2">
        <f ca="1">INDEX(INDIRECT(_xlfn.CONCAT("weather.tbl[",Q$1,"]")),MATCH(vp.tbl[[#This Row],[SDate]],weather.tbl[Date],0))</f>
        <v>-1.6</v>
      </c>
      <c r="R1297" s="2">
        <f ca="1">INDEX(INDIRECT(_xlfn.CONCAT("weather.tbl[",R$1,"]")),MATCH(vp.tbl[[#This Row],[SDate]],weather.tbl[Date],0))</f>
        <v>-1</v>
      </c>
      <c r="S1297" s="2">
        <f ca="1">INDEX(INDIRECT(_xlfn.CONCAT("weather.tbl[",S$1,"]")),MATCH(vp.tbl[[#This Row],[SDate]],weather.tbl[Date],0))</f>
        <v>-0.6</v>
      </c>
      <c r="T1297" s="2">
        <f ca="1">INDEX(INDIRECT(_xlfn.CONCAT("weather.tbl[",T$1,"]")),MATCH(vp.tbl[[#This Row],[SDate]],weather.tbl[Date],0))</f>
        <v>-0.2</v>
      </c>
      <c r="U1297" s="2">
        <f ca="1">INDEX(INDIRECT(_xlfn.CONCAT("weather.tbl[",U$1,"]")),MATCH(vp.tbl[[#This Row],[SDate]],weather.tbl[Date],0))</f>
        <v>2</v>
      </c>
      <c r="V1297" s="2">
        <v>37.74</v>
      </c>
      <c r="W1297" t="s">
        <v>268</v>
      </c>
      <c r="X1297">
        <f>IF(OR(vp.tbl[[#This Row],[Sulf]]="",vp.tbl[[#This Row],[Dens]]=""),1,0)</f>
        <v>0</v>
      </c>
      <c r="Y1297">
        <f>IF(vp.tbl[[#This Row],[CrudeType]]="C5+",1,0)</f>
        <v>1</v>
      </c>
      <c r="Z1297">
        <f>IF(AND(vp.tbl[[#This Row],[CrudeType]]="Crude",vp.tbl[[#This Row],[Dens]]&lt;=825,vp.tbl[[#This Row],[Sulf]]&gt;0.5,vp.tbl[[#This Row],[Unknown]]=0),1,0)</f>
        <v>0</v>
      </c>
      <c r="AA1297">
        <f>IF(AND(vp.tbl[[#This Row],[CrudeType]]="Crude",vp.tbl[[#This Row],[Dens]]&lt;=825,vp.tbl[[#This Row],[Sulf]]&lt;=0.5,vp.tbl[[#This Row],[Unknown]]=0),1,0)</f>
        <v>0</v>
      </c>
      <c r="AB1297">
        <f>IF(AND(vp.tbl[[#This Row],[CrudeType]]="Crude",vp.tbl[[#This Row],[Dens]]&gt;825,vp.tbl[[#This Row],[Dens]]&lt;=870,vp.tbl[[#This Row],[Sulf]]&gt;0.5,vp.tbl[[#This Row],[Unknown]]=0),1,0)</f>
        <v>0</v>
      </c>
      <c r="AC1297">
        <f>IF(AND(vp.tbl[[#This Row],[CrudeType]]="Crude",vp.tbl[[#This Row],[Dens]]&gt;825,vp.tbl[[#This Row],[Dens]]&lt;=900,vp.tbl[[#This Row],[Sulf]]&lt;=0.5,vp.tbl[[#This Row],[Unknown]]=0),1,0)</f>
        <v>0</v>
      </c>
      <c r="AD1297">
        <f>IF(AND(vp.tbl[[#This Row],[CrudeType]]="Crude",vp.tbl[[#This Row],[Dens]]&gt;870,vp.tbl[[#This Row],[Dens]]&lt;=900,vp.tbl[[#This Row],[Sulf]]&gt;0.5,vp.tbl[[#This Row],[Unknown]]=0),1,0)</f>
        <v>0</v>
      </c>
      <c r="AE1297">
        <f>IF(AND(vp.tbl[[#This Row],[CrudeType]]="Crude",vp.tbl[[#This Row],[Dens]]&gt;900,vp.tbl[[#This Row],[Sulf]]&lt;=0.5,vp.tbl[[#This Row],[Unknown]]=0),1,0)</f>
        <v>0</v>
      </c>
      <c r="AF1297">
        <f>IF(AND(vp.tbl[[#This Row],[CrudeType]]="Crude",vp.tbl[[#This Row],[Dens]]&gt;900,vp.tbl[[#This Row],[Sulf]]&lt;=0.5,vp.tbl[[#This Row],[Unknown]]=0),1,0)</f>
        <v>0</v>
      </c>
      <c r="AG1297" t="str">
        <f>INDEX(vp.tbl[[#Headers],[Unknown]:[Heavy_SW]],MATCH(1,vp.tbl[[#This Row],[Unknown]:[Heavy_SW]],0))</f>
        <v>C5</v>
      </c>
      <c r="AH1297" t="e">
        <f>INDEX([1]!crudeBD.lkup[Number],MATCH(vp.tbl[[#This Row],[Crude_Breakdown]],[1]!crudeBD.lkup[Crude Breakdown],0))</f>
        <v>#REF!</v>
      </c>
      <c r="AI1297">
        <f>MONTH(vp.tbl[[#This Row],[SDate]])</f>
        <v>2</v>
      </c>
      <c r="AJ1297" s="5">
        <f>IFERROR(vp.tbl[[#This Row],[Sulf]]*vp.tbl[[#This Row],[Net Dens]],"")</f>
        <v>0</v>
      </c>
      <c r="AK1297" s="5">
        <f>IFERROR(vp.tbl[[#This Row],[Dens]]*vp.tbl[[#This Row],[VolumeM3]],"")</f>
        <v>25010.298000000003</v>
      </c>
      <c r="AL1297" s="5">
        <f>IFERROR(vp.tbl[[#This Row],[VP]]*vp.tbl[[#This Row],[VolumeM3]],"")</f>
        <v>4068.3720000000003</v>
      </c>
      <c r="AM1297" s="4">
        <f>IFERROR((vp.tbl[[#This Row],[VP]]-INDEX(crudeBD.lkup.complete[Mean_VP],MATCH(vp.tbl[[#This Row],[Crude_Breakdown]],crudeBD.lkup.complete[Crude Breakdown],0)))^2,"")</f>
        <v>21.351400573921328</v>
      </c>
      <c r="AN1297" s="4">
        <f>IFERROR((vp.tbl[[#This Row],[Dens]]-INDEX(crudeBD.lkup.complete[Mean_Dens],MATCH(vp.tbl[[#This Row],[Crude_Breakdown]],crudeBD.lkup.complete[Crude Breakdown],0)))^2,"")</f>
        <v>21.379414348025723</v>
      </c>
      <c r="AO1297" s="4">
        <f>IFERROR((vp.tbl[[#This Row],[Sulf]]-INDEX(crudeBD.lkup.complete[Mean_Sulf],MATCH(vp.tbl[[#This Row],[Crude_Breakdown]],crudeBD.lkup.complete[Crude Breakdown],0)))^2,"")</f>
        <v>0</v>
      </c>
      <c r="AP1297">
        <f>IF(AND(vp.tbl[[#This Row],[SDate]]&gt;=DATE(YEAR(vp.tbl[[#This Row],[SDate]]),5,1),vp.tbl[[#This Row],[SDate]]&lt;=DATE(YEAR(vp.tbl[[#This Row],[SDate]]),9,15)),1,0)</f>
        <v>0</v>
      </c>
      <c r="AQ1297" s="15">
        <f>IF(vp.tbl[[#This Row],[SDate]]&lt;DATE(2016,12,1),0,1)</f>
        <v>1</v>
      </c>
    </row>
    <row r="1298" spans="1:43" x14ac:dyDescent="0.25">
      <c r="A1298">
        <v>1297</v>
      </c>
      <c r="B1298" t="s">
        <v>272</v>
      </c>
      <c r="C1298" t="s">
        <v>273</v>
      </c>
      <c r="D1298" t="s">
        <v>274</v>
      </c>
      <c r="E1298">
        <v>317176</v>
      </c>
      <c r="F1298" s="1">
        <v>42784</v>
      </c>
      <c r="G1298" s="2">
        <v>107.7</v>
      </c>
      <c r="H1298" s="2">
        <v>0</v>
      </c>
      <c r="I1298" s="2">
        <v>0</v>
      </c>
      <c r="J1298" s="2">
        <v>11</v>
      </c>
      <c r="K1298" s="2">
        <v>3</v>
      </c>
      <c r="L1298" s="2">
        <v>656</v>
      </c>
      <c r="M1298" s="2">
        <v>656</v>
      </c>
      <c r="N1298" s="2">
        <f ca="1">INDEX(INDIRECT(_xlfn.CONCAT("weather.tbl[",N$1,"]")),MATCH(vp.tbl[[#This Row],[SDate]],weather.tbl[Date],0))</f>
        <v>-0.54999999999999993</v>
      </c>
      <c r="O1298" s="2">
        <f ca="1">INDEX(INDIRECT(_xlfn.CONCAT("weather.tbl[",O$1,"]")),MATCH(vp.tbl[[#This Row],[SDate]],weather.tbl[Date],0))</f>
        <v>-1.0261904761904761</v>
      </c>
      <c r="P1298" s="2">
        <f ca="1">INDEX(INDIRECT(_xlfn.CONCAT("weather.tbl[",P$1,"]")),MATCH(vp.tbl[[#This Row],[SDate]],weather.tbl[Date],0))</f>
        <v>-1.9</v>
      </c>
      <c r="Q1298" s="2">
        <f ca="1">INDEX(INDIRECT(_xlfn.CONCAT("weather.tbl[",Q$1,"]")),MATCH(vp.tbl[[#This Row],[SDate]],weather.tbl[Date],0))</f>
        <v>-1.6</v>
      </c>
      <c r="R1298" s="2">
        <f ca="1">INDEX(INDIRECT(_xlfn.CONCAT("weather.tbl[",R$1,"]")),MATCH(vp.tbl[[#This Row],[SDate]],weather.tbl[Date],0))</f>
        <v>-1</v>
      </c>
      <c r="S1298" s="2">
        <f ca="1">INDEX(INDIRECT(_xlfn.CONCAT("weather.tbl[",S$1,"]")),MATCH(vp.tbl[[#This Row],[SDate]],weather.tbl[Date],0))</f>
        <v>-0.6</v>
      </c>
      <c r="T1298" s="2">
        <f ca="1">INDEX(INDIRECT(_xlfn.CONCAT("weather.tbl[",T$1,"]")),MATCH(vp.tbl[[#This Row],[SDate]],weather.tbl[Date],0))</f>
        <v>-0.2</v>
      </c>
      <c r="U1298" s="2">
        <f ca="1">INDEX(INDIRECT(_xlfn.CONCAT("weather.tbl[",U$1,"]")),MATCH(vp.tbl[[#This Row],[SDate]],weather.tbl[Date],0))</f>
        <v>2</v>
      </c>
      <c r="V1298" s="2">
        <v>33</v>
      </c>
      <c r="W1298" t="s">
        <v>268</v>
      </c>
      <c r="X1298">
        <f>IF(OR(vp.tbl[[#This Row],[Sulf]]="",vp.tbl[[#This Row],[Dens]]=""),1,0)</f>
        <v>0</v>
      </c>
      <c r="Y1298">
        <f>IF(vp.tbl[[#This Row],[CrudeType]]="C5+",1,0)</f>
        <v>1</v>
      </c>
      <c r="Z1298">
        <f>IF(AND(vp.tbl[[#This Row],[CrudeType]]="Crude",vp.tbl[[#This Row],[Dens]]&lt;=825,vp.tbl[[#This Row],[Sulf]]&gt;0.5,vp.tbl[[#This Row],[Unknown]]=0),1,0)</f>
        <v>0</v>
      </c>
      <c r="AA1298">
        <f>IF(AND(vp.tbl[[#This Row],[CrudeType]]="Crude",vp.tbl[[#This Row],[Dens]]&lt;=825,vp.tbl[[#This Row],[Sulf]]&lt;=0.5,vp.tbl[[#This Row],[Unknown]]=0),1,0)</f>
        <v>0</v>
      </c>
      <c r="AB1298">
        <f>IF(AND(vp.tbl[[#This Row],[CrudeType]]="Crude",vp.tbl[[#This Row],[Dens]]&gt;825,vp.tbl[[#This Row],[Dens]]&lt;=870,vp.tbl[[#This Row],[Sulf]]&gt;0.5,vp.tbl[[#This Row],[Unknown]]=0),1,0)</f>
        <v>0</v>
      </c>
      <c r="AC1298">
        <f>IF(AND(vp.tbl[[#This Row],[CrudeType]]="Crude",vp.tbl[[#This Row],[Dens]]&gt;825,vp.tbl[[#This Row],[Dens]]&lt;=900,vp.tbl[[#This Row],[Sulf]]&lt;=0.5,vp.tbl[[#This Row],[Unknown]]=0),1,0)</f>
        <v>0</v>
      </c>
      <c r="AD1298">
        <f>IF(AND(vp.tbl[[#This Row],[CrudeType]]="Crude",vp.tbl[[#This Row],[Dens]]&gt;870,vp.tbl[[#This Row],[Dens]]&lt;=900,vp.tbl[[#This Row],[Sulf]]&gt;0.5,vp.tbl[[#This Row],[Unknown]]=0),1,0)</f>
        <v>0</v>
      </c>
      <c r="AE1298">
        <f>IF(AND(vp.tbl[[#This Row],[CrudeType]]="Crude",vp.tbl[[#This Row],[Dens]]&gt;900,vp.tbl[[#This Row],[Sulf]]&lt;=0.5,vp.tbl[[#This Row],[Unknown]]=0),1,0)</f>
        <v>0</v>
      </c>
      <c r="AF1298">
        <f>IF(AND(vp.tbl[[#This Row],[CrudeType]]="Crude",vp.tbl[[#This Row],[Dens]]&gt;900,vp.tbl[[#This Row],[Sulf]]&lt;=0.5,vp.tbl[[#This Row],[Unknown]]=0),1,0)</f>
        <v>0</v>
      </c>
      <c r="AG1298" t="str">
        <f>INDEX(vp.tbl[[#Headers],[Unknown]:[Heavy_SW]],MATCH(1,vp.tbl[[#This Row],[Unknown]:[Heavy_SW]],0))</f>
        <v>C5</v>
      </c>
      <c r="AH1298" t="e">
        <f>INDEX([1]!crudeBD.lkup[Number],MATCH(vp.tbl[[#This Row],[Crude_Breakdown]],[1]!crudeBD.lkup[Crude Breakdown],0))</f>
        <v>#REF!</v>
      </c>
      <c r="AI1298">
        <f>MONTH(vp.tbl[[#This Row],[SDate]])</f>
        <v>2</v>
      </c>
      <c r="AJ1298" s="5">
        <f>IFERROR(vp.tbl[[#This Row],[Sulf]]*vp.tbl[[#This Row],[Net Dens]],"")</f>
        <v>0</v>
      </c>
      <c r="AK1298" s="5">
        <f>IFERROR(vp.tbl[[#This Row],[Dens]]*vp.tbl[[#This Row],[VolumeM3]],"")</f>
        <v>21648</v>
      </c>
      <c r="AL1298" s="5">
        <f>IFERROR(vp.tbl[[#This Row],[VP]]*vp.tbl[[#This Row],[VolumeM3]],"")</f>
        <v>3554.1</v>
      </c>
      <c r="AM1298" s="4">
        <f>IFERROR((vp.tbl[[#This Row],[VP]]-INDEX(crudeBD.lkup.complete[Mean_VP],MATCH(vp.tbl[[#This Row],[Crude_Breakdown]],crudeBD.lkup.complete[Crude Breakdown],0)))^2,"")</f>
        <v>20.437249058769858</v>
      </c>
      <c r="AN1298" s="4">
        <f>IFERROR((vp.tbl[[#This Row],[Dens]]-INDEX(crudeBD.lkup.complete[Mean_Dens],MATCH(vp.tbl[[#This Row],[Crude_Breakdown]],crudeBD.lkup.complete[Crude Breakdown],0)))^2,"")</f>
        <v>4.3106567722683202</v>
      </c>
      <c r="AO1298" s="4">
        <f>IFERROR((vp.tbl[[#This Row],[Sulf]]-INDEX(crudeBD.lkup.complete[Mean_Sulf],MATCH(vp.tbl[[#This Row],[Crude_Breakdown]],crudeBD.lkup.complete[Crude Breakdown],0)))^2,"")</f>
        <v>0</v>
      </c>
      <c r="AP1298">
        <f>IF(AND(vp.tbl[[#This Row],[SDate]]&gt;=DATE(YEAR(vp.tbl[[#This Row],[SDate]]),5,1),vp.tbl[[#This Row],[SDate]]&lt;=DATE(YEAR(vp.tbl[[#This Row],[SDate]]),9,15)),1,0)</f>
        <v>0</v>
      </c>
      <c r="AQ1298" s="15">
        <f>IF(vp.tbl[[#This Row],[SDate]]&lt;DATE(2016,12,1),0,1)</f>
        <v>1</v>
      </c>
    </row>
    <row r="1299" spans="1:43" x14ac:dyDescent="0.25">
      <c r="A1299">
        <v>1298</v>
      </c>
      <c r="B1299" t="s">
        <v>272</v>
      </c>
      <c r="C1299" t="s">
        <v>273</v>
      </c>
      <c r="D1299" t="s">
        <v>274</v>
      </c>
      <c r="E1299">
        <v>317332</v>
      </c>
      <c r="F1299" s="1">
        <v>42785</v>
      </c>
      <c r="G1299" s="2">
        <v>108.7</v>
      </c>
      <c r="H1299" s="2">
        <v>0</v>
      </c>
      <c r="I1299" s="2">
        <v>0</v>
      </c>
      <c r="J1299" s="2">
        <v>8</v>
      </c>
      <c r="K1299" s="2">
        <v>2</v>
      </c>
      <c r="L1299" s="2">
        <v>658</v>
      </c>
      <c r="M1299" s="2">
        <v>658</v>
      </c>
      <c r="N1299" s="2">
        <f ca="1">INDEX(INDIRECT(_xlfn.CONCAT("weather.tbl[",N$1,"]")),MATCH(vp.tbl[[#This Row],[SDate]],weather.tbl[Date],0))</f>
        <v>-0.19999999999999998</v>
      </c>
      <c r="O1299" s="2">
        <f ca="1">INDEX(INDIRECT(_xlfn.CONCAT("weather.tbl[",O$1,"]")),MATCH(vp.tbl[[#This Row],[SDate]],weather.tbl[Date],0))</f>
        <v>-0.29047619047619061</v>
      </c>
      <c r="P1299" s="2">
        <f ca="1">INDEX(INDIRECT(_xlfn.CONCAT("weather.tbl[",P$1,"]")),MATCH(vp.tbl[[#This Row],[SDate]],weather.tbl[Date],0))</f>
        <v>-0.1</v>
      </c>
      <c r="Q1299" s="2">
        <f ca="1">INDEX(INDIRECT(_xlfn.CONCAT("weather.tbl[",Q$1,"]")),MATCH(vp.tbl[[#This Row],[SDate]],weather.tbl[Date],0))</f>
        <v>-0.1</v>
      </c>
      <c r="R1299" s="2">
        <f ca="1">INDEX(INDIRECT(_xlfn.CONCAT("weather.tbl[",R$1,"]")),MATCH(vp.tbl[[#This Row],[SDate]],weather.tbl[Date],0))</f>
        <v>-0.8</v>
      </c>
      <c r="S1299" s="2">
        <f ca="1">INDEX(INDIRECT(_xlfn.CONCAT("weather.tbl[",S$1,"]")),MATCH(vp.tbl[[#This Row],[SDate]],weather.tbl[Date],0))</f>
        <v>-0.4</v>
      </c>
      <c r="T1299" s="2">
        <f ca="1">INDEX(INDIRECT(_xlfn.CONCAT("weather.tbl[",T$1,"]")),MATCH(vp.tbl[[#This Row],[SDate]],weather.tbl[Date],0))</f>
        <v>0.2</v>
      </c>
      <c r="U1299" s="2">
        <f ca="1">INDEX(INDIRECT(_xlfn.CONCAT("weather.tbl[",U$1,"]")),MATCH(vp.tbl[[#This Row],[SDate]],weather.tbl[Date],0))</f>
        <v>0</v>
      </c>
      <c r="V1299" s="2">
        <v>37.96</v>
      </c>
      <c r="W1299" t="s">
        <v>268</v>
      </c>
      <c r="X1299">
        <f>IF(OR(vp.tbl[[#This Row],[Sulf]]="",vp.tbl[[#This Row],[Dens]]=""),1,0)</f>
        <v>0</v>
      </c>
      <c r="Y1299">
        <f>IF(vp.tbl[[#This Row],[CrudeType]]="C5+",1,0)</f>
        <v>1</v>
      </c>
      <c r="Z1299">
        <f>IF(AND(vp.tbl[[#This Row],[CrudeType]]="Crude",vp.tbl[[#This Row],[Dens]]&lt;=825,vp.tbl[[#This Row],[Sulf]]&gt;0.5,vp.tbl[[#This Row],[Unknown]]=0),1,0)</f>
        <v>0</v>
      </c>
      <c r="AA1299">
        <f>IF(AND(vp.tbl[[#This Row],[CrudeType]]="Crude",vp.tbl[[#This Row],[Dens]]&lt;=825,vp.tbl[[#This Row],[Sulf]]&lt;=0.5,vp.tbl[[#This Row],[Unknown]]=0),1,0)</f>
        <v>0</v>
      </c>
      <c r="AB1299">
        <f>IF(AND(vp.tbl[[#This Row],[CrudeType]]="Crude",vp.tbl[[#This Row],[Dens]]&gt;825,vp.tbl[[#This Row],[Dens]]&lt;=870,vp.tbl[[#This Row],[Sulf]]&gt;0.5,vp.tbl[[#This Row],[Unknown]]=0),1,0)</f>
        <v>0</v>
      </c>
      <c r="AC1299">
        <f>IF(AND(vp.tbl[[#This Row],[CrudeType]]="Crude",vp.tbl[[#This Row],[Dens]]&gt;825,vp.tbl[[#This Row],[Dens]]&lt;=900,vp.tbl[[#This Row],[Sulf]]&lt;=0.5,vp.tbl[[#This Row],[Unknown]]=0),1,0)</f>
        <v>0</v>
      </c>
      <c r="AD1299">
        <f>IF(AND(vp.tbl[[#This Row],[CrudeType]]="Crude",vp.tbl[[#This Row],[Dens]]&gt;870,vp.tbl[[#This Row],[Dens]]&lt;=900,vp.tbl[[#This Row],[Sulf]]&gt;0.5,vp.tbl[[#This Row],[Unknown]]=0),1,0)</f>
        <v>0</v>
      </c>
      <c r="AE1299">
        <f>IF(AND(vp.tbl[[#This Row],[CrudeType]]="Crude",vp.tbl[[#This Row],[Dens]]&gt;900,vp.tbl[[#This Row],[Sulf]]&lt;=0.5,vp.tbl[[#This Row],[Unknown]]=0),1,0)</f>
        <v>0</v>
      </c>
      <c r="AF1299">
        <f>IF(AND(vp.tbl[[#This Row],[CrudeType]]="Crude",vp.tbl[[#This Row],[Dens]]&gt;900,vp.tbl[[#This Row],[Sulf]]&lt;=0.5,vp.tbl[[#This Row],[Unknown]]=0),1,0)</f>
        <v>0</v>
      </c>
      <c r="AG1299" t="str">
        <f>INDEX(vp.tbl[[#Headers],[Unknown]:[Heavy_SW]],MATCH(1,vp.tbl[[#This Row],[Unknown]:[Heavy_SW]],0))</f>
        <v>C5</v>
      </c>
      <c r="AH1299" t="e">
        <f>INDEX([1]!crudeBD.lkup[Number],MATCH(vp.tbl[[#This Row],[Crude_Breakdown]],[1]!crudeBD.lkup[Crude Breakdown],0))</f>
        <v>#REF!</v>
      </c>
      <c r="AI1299">
        <f>MONTH(vp.tbl[[#This Row],[SDate]])</f>
        <v>2</v>
      </c>
      <c r="AJ1299" s="5">
        <f>IFERROR(vp.tbl[[#This Row],[Sulf]]*vp.tbl[[#This Row],[Net Dens]],"")</f>
        <v>0</v>
      </c>
      <c r="AK1299" s="5">
        <f>IFERROR(vp.tbl[[#This Row],[Dens]]*vp.tbl[[#This Row],[VolumeM3]],"")</f>
        <v>24977.68</v>
      </c>
      <c r="AL1299" s="5">
        <f>IFERROR(vp.tbl[[#This Row],[VP]]*vp.tbl[[#This Row],[VolumeM3]],"")</f>
        <v>4126.2520000000004</v>
      </c>
      <c r="AM1299" s="4">
        <f>IFERROR((vp.tbl[[#This Row],[VP]]-INDEX(crudeBD.lkup.complete[Mean_VP],MATCH(vp.tbl[[#This Row],[Crude_Breakdown]],crudeBD.lkup.complete[Crude Breakdown],0)))^2,"")</f>
        <v>30.478764210285085</v>
      </c>
      <c r="AN1299" s="4">
        <f>IFERROR((vp.tbl[[#This Row],[Dens]]-INDEX(crudeBD.lkup.complete[Mean_Dens],MATCH(vp.tbl[[#This Row],[Crude_Breakdown]],crudeBD.lkup.complete[Crude Breakdown],0)))^2,"")</f>
        <v>5.8082874196578194E-3</v>
      </c>
      <c r="AO1299" s="4">
        <f>IFERROR((vp.tbl[[#This Row],[Sulf]]-INDEX(crudeBD.lkup.complete[Mean_Sulf],MATCH(vp.tbl[[#This Row],[Crude_Breakdown]],crudeBD.lkup.complete[Crude Breakdown],0)))^2,"")</f>
        <v>0</v>
      </c>
      <c r="AP1299">
        <f>IF(AND(vp.tbl[[#This Row],[SDate]]&gt;=DATE(YEAR(vp.tbl[[#This Row],[SDate]]),5,1),vp.tbl[[#This Row],[SDate]]&lt;=DATE(YEAR(vp.tbl[[#This Row],[SDate]]),9,15)),1,0)</f>
        <v>0</v>
      </c>
      <c r="AQ1299" s="15">
        <f>IF(vp.tbl[[#This Row],[SDate]]&lt;DATE(2016,12,1),0,1)</f>
        <v>1</v>
      </c>
    </row>
    <row r="1300" spans="1:43" x14ac:dyDescent="0.25">
      <c r="A1300">
        <v>1299</v>
      </c>
      <c r="B1300" t="s">
        <v>275</v>
      </c>
      <c r="C1300" t="s">
        <v>276</v>
      </c>
      <c r="D1300" t="s">
        <v>277</v>
      </c>
      <c r="E1300">
        <v>317326</v>
      </c>
      <c r="F1300" s="1">
        <v>42785</v>
      </c>
      <c r="G1300" s="2">
        <v>93</v>
      </c>
      <c r="H1300" s="2">
        <v>0</v>
      </c>
      <c r="I1300" s="2">
        <v>0</v>
      </c>
      <c r="J1300" s="2">
        <v>7</v>
      </c>
      <c r="K1300" s="2">
        <v>3</v>
      </c>
      <c r="L1300" s="2">
        <v>663.5</v>
      </c>
      <c r="M1300" s="2">
        <v>663.5</v>
      </c>
      <c r="N1300" s="2">
        <f ca="1">INDEX(INDIRECT(_xlfn.CONCAT("weather.tbl[",N$1,"]")),MATCH(vp.tbl[[#This Row],[SDate]],weather.tbl[Date],0))</f>
        <v>-0.19999999999999998</v>
      </c>
      <c r="O1300" s="2">
        <f ca="1">INDEX(INDIRECT(_xlfn.CONCAT("weather.tbl[",O$1,"]")),MATCH(vp.tbl[[#This Row],[SDate]],weather.tbl[Date],0))</f>
        <v>-0.29047619047619061</v>
      </c>
      <c r="P1300" s="2">
        <f ca="1">INDEX(INDIRECT(_xlfn.CONCAT("weather.tbl[",P$1,"]")),MATCH(vp.tbl[[#This Row],[SDate]],weather.tbl[Date],0))</f>
        <v>-0.1</v>
      </c>
      <c r="Q1300" s="2">
        <f ca="1">INDEX(INDIRECT(_xlfn.CONCAT("weather.tbl[",Q$1,"]")),MATCH(vp.tbl[[#This Row],[SDate]],weather.tbl[Date],0))</f>
        <v>-0.1</v>
      </c>
      <c r="R1300" s="2">
        <f ca="1">INDEX(INDIRECT(_xlfn.CONCAT("weather.tbl[",R$1,"]")),MATCH(vp.tbl[[#This Row],[SDate]],weather.tbl[Date],0))</f>
        <v>-0.8</v>
      </c>
      <c r="S1300" s="2">
        <f ca="1">INDEX(INDIRECT(_xlfn.CONCAT("weather.tbl[",S$1,"]")),MATCH(vp.tbl[[#This Row],[SDate]],weather.tbl[Date],0))</f>
        <v>-0.4</v>
      </c>
      <c r="T1300" s="2">
        <f ca="1">INDEX(INDIRECT(_xlfn.CONCAT("weather.tbl[",T$1,"]")),MATCH(vp.tbl[[#This Row],[SDate]],weather.tbl[Date],0))</f>
        <v>0.2</v>
      </c>
      <c r="U1300" s="2">
        <f ca="1">INDEX(INDIRECT(_xlfn.CONCAT("weather.tbl[",U$1,"]")),MATCH(vp.tbl[[#This Row],[SDate]],weather.tbl[Date],0))</f>
        <v>0</v>
      </c>
      <c r="V1300" s="2">
        <v>42.05</v>
      </c>
      <c r="W1300" t="s">
        <v>268</v>
      </c>
      <c r="X1300">
        <f>IF(OR(vp.tbl[[#This Row],[Sulf]]="",vp.tbl[[#This Row],[Dens]]=""),1,0)</f>
        <v>0</v>
      </c>
      <c r="Y1300">
        <f>IF(vp.tbl[[#This Row],[CrudeType]]="C5+",1,0)</f>
        <v>1</v>
      </c>
      <c r="Z1300">
        <f>IF(AND(vp.tbl[[#This Row],[CrudeType]]="Crude",vp.tbl[[#This Row],[Dens]]&lt;=825,vp.tbl[[#This Row],[Sulf]]&gt;0.5,vp.tbl[[#This Row],[Unknown]]=0),1,0)</f>
        <v>0</v>
      </c>
      <c r="AA1300">
        <f>IF(AND(vp.tbl[[#This Row],[CrudeType]]="Crude",vp.tbl[[#This Row],[Dens]]&lt;=825,vp.tbl[[#This Row],[Sulf]]&lt;=0.5,vp.tbl[[#This Row],[Unknown]]=0),1,0)</f>
        <v>0</v>
      </c>
      <c r="AB1300">
        <f>IF(AND(vp.tbl[[#This Row],[CrudeType]]="Crude",vp.tbl[[#This Row],[Dens]]&gt;825,vp.tbl[[#This Row],[Dens]]&lt;=870,vp.tbl[[#This Row],[Sulf]]&gt;0.5,vp.tbl[[#This Row],[Unknown]]=0),1,0)</f>
        <v>0</v>
      </c>
      <c r="AC1300">
        <f>IF(AND(vp.tbl[[#This Row],[CrudeType]]="Crude",vp.tbl[[#This Row],[Dens]]&gt;825,vp.tbl[[#This Row],[Dens]]&lt;=900,vp.tbl[[#This Row],[Sulf]]&lt;=0.5,vp.tbl[[#This Row],[Unknown]]=0),1,0)</f>
        <v>0</v>
      </c>
      <c r="AD1300">
        <f>IF(AND(vp.tbl[[#This Row],[CrudeType]]="Crude",vp.tbl[[#This Row],[Dens]]&gt;870,vp.tbl[[#This Row],[Dens]]&lt;=900,vp.tbl[[#This Row],[Sulf]]&gt;0.5,vp.tbl[[#This Row],[Unknown]]=0),1,0)</f>
        <v>0</v>
      </c>
      <c r="AE1300">
        <f>IF(AND(vp.tbl[[#This Row],[CrudeType]]="Crude",vp.tbl[[#This Row],[Dens]]&gt;900,vp.tbl[[#This Row],[Sulf]]&lt;=0.5,vp.tbl[[#This Row],[Unknown]]=0),1,0)</f>
        <v>0</v>
      </c>
      <c r="AF1300">
        <f>IF(AND(vp.tbl[[#This Row],[CrudeType]]="Crude",vp.tbl[[#This Row],[Dens]]&gt;900,vp.tbl[[#This Row],[Sulf]]&lt;=0.5,vp.tbl[[#This Row],[Unknown]]=0),1,0)</f>
        <v>0</v>
      </c>
      <c r="AG1300" t="str">
        <f>INDEX(vp.tbl[[#Headers],[Unknown]:[Heavy_SW]],MATCH(1,vp.tbl[[#This Row],[Unknown]:[Heavy_SW]],0))</f>
        <v>C5</v>
      </c>
      <c r="AH1300" t="e">
        <f>INDEX([1]!crudeBD.lkup[Number],MATCH(vp.tbl[[#This Row],[Crude_Breakdown]],[1]!crudeBD.lkup[Crude Breakdown],0))</f>
        <v>#REF!</v>
      </c>
      <c r="AI1300">
        <f>MONTH(vp.tbl[[#This Row],[SDate]])</f>
        <v>2</v>
      </c>
      <c r="AJ1300" s="5">
        <f>IFERROR(vp.tbl[[#This Row],[Sulf]]*vp.tbl[[#This Row],[Net Dens]],"")</f>
        <v>0</v>
      </c>
      <c r="AK1300" s="5">
        <f>IFERROR(vp.tbl[[#This Row],[Dens]]*vp.tbl[[#This Row],[VolumeM3]],"")</f>
        <v>27900.174999999999</v>
      </c>
      <c r="AL1300" s="5">
        <f>IFERROR(vp.tbl[[#This Row],[VP]]*vp.tbl[[#This Row],[VolumeM3]],"")</f>
        <v>3910.6499999999996</v>
      </c>
      <c r="AM1300" s="4">
        <f>IFERROR((vp.tbl[[#This Row],[VP]]-INDEX(crudeBD.lkup.complete[Mean_VP],MATCH(vp.tbl[[#This Row],[Crude_Breakdown]],crudeBD.lkup.complete[Crude Breakdown],0)))^2,"")</f>
        <v>103.61697633149608</v>
      </c>
      <c r="AN1300" s="4">
        <f>IFERROR((vp.tbl[[#This Row],[Dens]]-INDEX(crudeBD.lkup.complete[Mean_Dens],MATCH(vp.tbl[[#This Row],[Crude_Breakdown]],crudeBD.lkup.complete[Crude Breakdown],0)))^2,"")</f>
        <v>29.417474954085836</v>
      </c>
      <c r="AO1300" s="4">
        <f>IFERROR((vp.tbl[[#This Row],[Sulf]]-INDEX(crudeBD.lkup.complete[Mean_Sulf],MATCH(vp.tbl[[#This Row],[Crude_Breakdown]],crudeBD.lkup.complete[Crude Breakdown],0)))^2,"")</f>
        <v>0</v>
      </c>
      <c r="AP1300">
        <f>IF(AND(vp.tbl[[#This Row],[SDate]]&gt;=DATE(YEAR(vp.tbl[[#This Row],[SDate]]),5,1),vp.tbl[[#This Row],[SDate]]&lt;=DATE(YEAR(vp.tbl[[#This Row],[SDate]]),9,15)),1,0)</f>
        <v>0</v>
      </c>
      <c r="AQ1300" s="15">
        <f>IF(vp.tbl[[#This Row],[SDate]]&lt;DATE(2016,12,1),0,1)</f>
        <v>1</v>
      </c>
    </row>
    <row r="1301" spans="1:43" x14ac:dyDescent="0.25">
      <c r="A1301">
        <v>1300</v>
      </c>
      <c r="B1301" t="s">
        <v>265</v>
      </c>
      <c r="C1301" t="s">
        <v>266</v>
      </c>
      <c r="D1301" t="s">
        <v>267</v>
      </c>
      <c r="E1301">
        <v>317900</v>
      </c>
      <c r="F1301" s="1">
        <v>42789</v>
      </c>
      <c r="G1301" s="2">
        <v>110.5</v>
      </c>
      <c r="H1301" s="2">
        <v>0</v>
      </c>
      <c r="I1301" s="2">
        <v>0</v>
      </c>
      <c r="J1301" s="2">
        <v>1</v>
      </c>
      <c r="K1301" s="2">
        <v>-8</v>
      </c>
      <c r="L1301" s="2">
        <v>657.13</v>
      </c>
      <c r="M1301" s="2">
        <v>657.13</v>
      </c>
      <c r="N1301" s="2">
        <f ca="1">INDEX(INDIRECT(_xlfn.CONCAT("weather.tbl[",N$1,"]")),MATCH(vp.tbl[[#This Row],[SDate]],weather.tbl[Date],0))</f>
        <v>-4.083333333333333</v>
      </c>
      <c r="O1301" s="2">
        <f ca="1">INDEX(INDIRECT(_xlfn.CONCAT("weather.tbl[",O$1,"]")),MATCH(vp.tbl[[#This Row],[SDate]],weather.tbl[Date],0))</f>
        <v>-1.1904761904761862E-2</v>
      </c>
      <c r="P1301" s="2">
        <f ca="1">INDEX(INDIRECT(_xlfn.CONCAT("weather.tbl[",P$1,"]")),MATCH(vp.tbl[[#This Row],[SDate]],weather.tbl[Date],0))</f>
        <v>-3.5</v>
      </c>
      <c r="Q1301" s="2">
        <f ca="1">INDEX(INDIRECT(_xlfn.CONCAT("weather.tbl[",Q$1,"]")),MATCH(vp.tbl[[#This Row],[SDate]],weather.tbl[Date],0))</f>
        <v>-3.5</v>
      </c>
      <c r="R1301" s="2">
        <f ca="1">INDEX(INDIRECT(_xlfn.CONCAT("weather.tbl[",R$1,"]")),MATCH(vp.tbl[[#This Row],[SDate]],weather.tbl[Date],0))</f>
        <v>-4.5</v>
      </c>
      <c r="S1301" s="2">
        <f ca="1">INDEX(INDIRECT(_xlfn.CONCAT("weather.tbl[",S$1,"]")),MATCH(vp.tbl[[#This Row],[SDate]],weather.tbl[Date],0))</f>
        <v>-3.4</v>
      </c>
      <c r="T1301" s="2">
        <f ca="1">INDEX(INDIRECT(_xlfn.CONCAT("weather.tbl[",T$1,"]")),MATCH(vp.tbl[[#This Row],[SDate]],weather.tbl[Date],0))</f>
        <v>-3.6</v>
      </c>
      <c r="U1301" s="2">
        <f ca="1">INDEX(INDIRECT(_xlfn.CONCAT("weather.tbl[",U$1,"]")),MATCH(vp.tbl[[#This Row],[SDate]],weather.tbl[Date],0))</f>
        <v>-6</v>
      </c>
      <c r="V1301" s="2">
        <v>35.22</v>
      </c>
      <c r="W1301" t="s">
        <v>268</v>
      </c>
      <c r="X1301">
        <f>IF(OR(vp.tbl[[#This Row],[Sulf]]="",vp.tbl[[#This Row],[Dens]]=""),1,0)</f>
        <v>0</v>
      </c>
      <c r="Y1301">
        <f>IF(vp.tbl[[#This Row],[CrudeType]]="C5+",1,0)</f>
        <v>1</v>
      </c>
      <c r="Z1301">
        <f>IF(AND(vp.tbl[[#This Row],[CrudeType]]="Crude",vp.tbl[[#This Row],[Dens]]&lt;=825,vp.tbl[[#This Row],[Sulf]]&gt;0.5,vp.tbl[[#This Row],[Unknown]]=0),1,0)</f>
        <v>0</v>
      </c>
      <c r="AA1301">
        <f>IF(AND(vp.tbl[[#This Row],[CrudeType]]="Crude",vp.tbl[[#This Row],[Dens]]&lt;=825,vp.tbl[[#This Row],[Sulf]]&lt;=0.5,vp.tbl[[#This Row],[Unknown]]=0),1,0)</f>
        <v>0</v>
      </c>
      <c r="AB1301">
        <f>IF(AND(vp.tbl[[#This Row],[CrudeType]]="Crude",vp.tbl[[#This Row],[Dens]]&gt;825,vp.tbl[[#This Row],[Dens]]&lt;=870,vp.tbl[[#This Row],[Sulf]]&gt;0.5,vp.tbl[[#This Row],[Unknown]]=0),1,0)</f>
        <v>0</v>
      </c>
      <c r="AC1301">
        <f>IF(AND(vp.tbl[[#This Row],[CrudeType]]="Crude",vp.tbl[[#This Row],[Dens]]&gt;825,vp.tbl[[#This Row],[Dens]]&lt;=900,vp.tbl[[#This Row],[Sulf]]&lt;=0.5,vp.tbl[[#This Row],[Unknown]]=0),1,0)</f>
        <v>0</v>
      </c>
      <c r="AD1301">
        <f>IF(AND(vp.tbl[[#This Row],[CrudeType]]="Crude",vp.tbl[[#This Row],[Dens]]&gt;870,vp.tbl[[#This Row],[Dens]]&lt;=900,vp.tbl[[#This Row],[Sulf]]&gt;0.5,vp.tbl[[#This Row],[Unknown]]=0),1,0)</f>
        <v>0</v>
      </c>
      <c r="AE1301">
        <f>IF(AND(vp.tbl[[#This Row],[CrudeType]]="Crude",vp.tbl[[#This Row],[Dens]]&gt;900,vp.tbl[[#This Row],[Sulf]]&lt;=0.5,vp.tbl[[#This Row],[Unknown]]=0),1,0)</f>
        <v>0</v>
      </c>
      <c r="AF1301">
        <f>IF(AND(vp.tbl[[#This Row],[CrudeType]]="Crude",vp.tbl[[#This Row],[Dens]]&gt;900,vp.tbl[[#This Row],[Sulf]]&lt;=0.5,vp.tbl[[#This Row],[Unknown]]=0),1,0)</f>
        <v>0</v>
      </c>
      <c r="AG1301" t="str">
        <f>INDEX(vp.tbl[[#Headers],[Unknown]:[Heavy_SW]],MATCH(1,vp.tbl[[#This Row],[Unknown]:[Heavy_SW]],0))</f>
        <v>C5</v>
      </c>
      <c r="AH1301" t="e">
        <f>INDEX([1]!crudeBD.lkup[Number],MATCH(vp.tbl[[#This Row],[Crude_Breakdown]],[1]!crudeBD.lkup[Crude Breakdown],0))</f>
        <v>#REF!</v>
      </c>
      <c r="AI1301">
        <f>MONTH(vp.tbl[[#This Row],[SDate]])</f>
        <v>2</v>
      </c>
      <c r="AJ1301" s="5">
        <f>IFERROR(vp.tbl[[#This Row],[Sulf]]*vp.tbl[[#This Row],[Net Dens]],"")</f>
        <v>0</v>
      </c>
      <c r="AK1301" s="5">
        <f>IFERROR(vp.tbl[[#This Row],[Dens]]*vp.tbl[[#This Row],[VolumeM3]],"")</f>
        <v>23144.118599999998</v>
      </c>
      <c r="AL1301" s="5">
        <f>IFERROR(vp.tbl[[#This Row],[VP]]*vp.tbl[[#This Row],[VolumeM3]],"")</f>
        <v>3891.81</v>
      </c>
      <c r="AM1301" s="4">
        <f>IFERROR((vp.tbl[[#This Row],[VP]]-INDEX(crudeBD.lkup.complete[Mean_VP],MATCH(vp.tbl[[#This Row],[Crude_Breakdown]],crudeBD.lkup.complete[Crude Breakdown],0)))^2,"")</f>
        <v>53.59349148301245</v>
      </c>
      <c r="AN1301" s="4">
        <f>IFERROR((vp.tbl[[#This Row],[Dens]]-INDEX(crudeBD.lkup.complete[Mean_Dens],MATCH(vp.tbl[[#This Row],[Crude_Breakdown]],crudeBD.lkup.complete[Crude Breakdown],0)))^2,"")</f>
        <v>0.89531737832883451</v>
      </c>
      <c r="AO1301" s="4">
        <f>IFERROR((vp.tbl[[#This Row],[Sulf]]-INDEX(crudeBD.lkup.complete[Mean_Sulf],MATCH(vp.tbl[[#This Row],[Crude_Breakdown]],crudeBD.lkup.complete[Crude Breakdown],0)))^2,"")</f>
        <v>0</v>
      </c>
      <c r="AP1301">
        <f>IF(AND(vp.tbl[[#This Row],[SDate]]&gt;=DATE(YEAR(vp.tbl[[#This Row],[SDate]]),5,1),vp.tbl[[#This Row],[SDate]]&lt;=DATE(YEAR(vp.tbl[[#This Row],[SDate]]),9,15)),1,0)</f>
        <v>0</v>
      </c>
      <c r="AQ1301" s="15">
        <f>IF(vp.tbl[[#This Row],[SDate]]&lt;DATE(2016,12,1),0,1)</f>
        <v>1</v>
      </c>
    </row>
    <row r="1302" spans="1:43" x14ac:dyDescent="0.25">
      <c r="A1302">
        <v>1301</v>
      </c>
      <c r="B1302" t="s">
        <v>275</v>
      </c>
      <c r="C1302" t="s">
        <v>278</v>
      </c>
      <c r="D1302" t="s">
        <v>279</v>
      </c>
      <c r="E1302">
        <v>317887</v>
      </c>
      <c r="F1302" s="1">
        <v>42789</v>
      </c>
      <c r="G1302" s="2">
        <v>94.6</v>
      </c>
      <c r="H1302" s="2">
        <v>0</v>
      </c>
      <c r="I1302" s="2">
        <v>0</v>
      </c>
      <c r="J1302" s="2">
        <v>1</v>
      </c>
      <c r="K1302" s="2">
        <v>-8</v>
      </c>
      <c r="L1302" s="2">
        <v>672.3</v>
      </c>
      <c r="M1302" s="2">
        <v>672.3</v>
      </c>
      <c r="N1302" s="2">
        <f ca="1">INDEX(INDIRECT(_xlfn.CONCAT("weather.tbl[",N$1,"]")),MATCH(vp.tbl[[#This Row],[SDate]],weather.tbl[Date],0))</f>
        <v>-4.083333333333333</v>
      </c>
      <c r="O1302" s="2">
        <f ca="1">INDEX(INDIRECT(_xlfn.CONCAT("weather.tbl[",O$1,"]")),MATCH(vp.tbl[[#This Row],[SDate]],weather.tbl[Date],0))</f>
        <v>-1.1904761904761862E-2</v>
      </c>
      <c r="P1302" s="2">
        <f ca="1">INDEX(INDIRECT(_xlfn.CONCAT("weather.tbl[",P$1,"]")),MATCH(vp.tbl[[#This Row],[SDate]],weather.tbl[Date],0))</f>
        <v>-3.5</v>
      </c>
      <c r="Q1302" s="2">
        <f ca="1">INDEX(INDIRECT(_xlfn.CONCAT("weather.tbl[",Q$1,"]")),MATCH(vp.tbl[[#This Row],[SDate]],weather.tbl[Date],0))</f>
        <v>-3.5</v>
      </c>
      <c r="R1302" s="2">
        <f ca="1">INDEX(INDIRECT(_xlfn.CONCAT("weather.tbl[",R$1,"]")),MATCH(vp.tbl[[#This Row],[SDate]],weather.tbl[Date],0))</f>
        <v>-4.5</v>
      </c>
      <c r="S1302" s="2">
        <f ca="1">INDEX(INDIRECT(_xlfn.CONCAT("weather.tbl[",S$1,"]")),MATCH(vp.tbl[[#This Row],[SDate]],weather.tbl[Date],0))</f>
        <v>-3.4</v>
      </c>
      <c r="T1302" s="2">
        <f ca="1">INDEX(INDIRECT(_xlfn.CONCAT("weather.tbl[",T$1,"]")),MATCH(vp.tbl[[#This Row],[SDate]],weather.tbl[Date],0))</f>
        <v>-3.6</v>
      </c>
      <c r="U1302" s="2">
        <f ca="1">INDEX(INDIRECT(_xlfn.CONCAT("weather.tbl[",U$1,"]")),MATCH(vp.tbl[[#This Row],[SDate]],weather.tbl[Date],0))</f>
        <v>-6</v>
      </c>
      <c r="V1302" s="2">
        <v>41.76</v>
      </c>
      <c r="W1302" t="s">
        <v>268</v>
      </c>
      <c r="X1302">
        <f>IF(OR(vp.tbl[[#This Row],[Sulf]]="",vp.tbl[[#This Row],[Dens]]=""),1,0)</f>
        <v>0</v>
      </c>
      <c r="Y1302">
        <f>IF(vp.tbl[[#This Row],[CrudeType]]="C5+",1,0)</f>
        <v>1</v>
      </c>
      <c r="Z1302">
        <f>IF(AND(vp.tbl[[#This Row],[CrudeType]]="Crude",vp.tbl[[#This Row],[Dens]]&lt;=825,vp.tbl[[#This Row],[Sulf]]&gt;0.5,vp.tbl[[#This Row],[Unknown]]=0),1,0)</f>
        <v>0</v>
      </c>
      <c r="AA1302">
        <f>IF(AND(vp.tbl[[#This Row],[CrudeType]]="Crude",vp.tbl[[#This Row],[Dens]]&lt;=825,vp.tbl[[#This Row],[Sulf]]&lt;=0.5,vp.tbl[[#This Row],[Unknown]]=0),1,0)</f>
        <v>0</v>
      </c>
      <c r="AB1302">
        <f>IF(AND(vp.tbl[[#This Row],[CrudeType]]="Crude",vp.tbl[[#This Row],[Dens]]&gt;825,vp.tbl[[#This Row],[Dens]]&lt;=870,vp.tbl[[#This Row],[Sulf]]&gt;0.5,vp.tbl[[#This Row],[Unknown]]=0),1,0)</f>
        <v>0</v>
      </c>
      <c r="AC1302">
        <f>IF(AND(vp.tbl[[#This Row],[CrudeType]]="Crude",vp.tbl[[#This Row],[Dens]]&gt;825,vp.tbl[[#This Row],[Dens]]&lt;=900,vp.tbl[[#This Row],[Sulf]]&lt;=0.5,vp.tbl[[#This Row],[Unknown]]=0),1,0)</f>
        <v>0</v>
      </c>
      <c r="AD1302">
        <f>IF(AND(vp.tbl[[#This Row],[CrudeType]]="Crude",vp.tbl[[#This Row],[Dens]]&gt;870,vp.tbl[[#This Row],[Dens]]&lt;=900,vp.tbl[[#This Row],[Sulf]]&gt;0.5,vp.tbl[[#This Row],[Unknown]]=0),1,0)</f>
        <v>0</v>
      </c>
      <c r="AE1302">
        <f>IF(AND(vp.tbl[[#This Row],[CrudeType]]="Crude",vp.tbl[[#This Row],[Dens]]&gt;900,vp.tbl[[#This Row],[Sulf]]&lt;=0.5,vp.tbl[[#This Row],[Unknown]]=0),1,0)</f>
        <v>0</v>
      </c>
      <c r="AF1302">
        <f>IF(AND(vp.tbl[[#This Row],[CrudeType]]="Crude",vp.tbl[[#This Row],[Dens]]&gt;900,vp.tbl[[#This Row],[Sulf]]&lt;=0.5,vp.tbl[[#This Row],[Unknown]]=0),1,0)</f>
        <v>0</v>
      </c>
      <c r="AG1302" t="str">
        <f>INDEX(vp.tbl[[#Headers],[Unknown]:[Heavy_SW]],MATCH(1,vp.tbl[[#This Row],[Unknown]:[Heavy_SW]],0))</f>
        <v>C5</v>
      </c>
      <c r="AH1302" t="e">
        <f>INDEX([1]!crudeBD.lkup[Number],MATCH(vp.tbl[[#This Row],[Crude_Breakdown]],[1]!crudeBD.lkup[Crude Breakdown],0))</f>
        <v>#REF!</v>
      </c>
      <c r="AI1302">
        <f>MONTH(vp.tbl[[#This Row],[SDate]])</f>
        <v>2</v>
      </c>
      <c r="AJ1302" s="5">
        <f>IFERROR(vp.tbl[[#This Row],[Sulf]]*vp.tbl[[#This Row],[Net Dens]],"")</f>
        <v>0</v>
      </c>
      <c r="AK1302" s="5">
        <f>IFERROR(vp.tbl[[#This Row],[Dens]]*vp.tbl[[#This Row],[VolumeM3]],"")</f>
        <v>28075.247999999996</v>
      </c>
      <c r="AL1302" s="5">
        <f>IFERROR(vp.tbl[[#This Row],[VP]]*vp.tbl[[#This Row],[VolumeM3]],"")</f>
        <v>3950.4959999999996</v>
      </c>
      <c r="AM1302" s="4">
        <f>IFERROR((vp.tbl[[#This Row],[VP]]-INDEX(crudeBD.lkup.complete[Mean_VP],MATCH(vp.tbl[[#This Row],[Crude_Breakdown]],crudeBD.lkup.complete[Crude Breakdown],0)))^2,"")</f>
        <v>73.603400573920524</v>
      </c>
      <c r="AN1302" s="4">
        <f>IFERROR((vp.tbl[[#This Row],[Dens]]-INDEX(crudeBD.lkup.complete[Mean_Dens],MATCH(vp.tbl[[#This Row],[Crude_Breakdown]],crudeBD.lkup.complete[Crude Breakdown],0)))^2,"")</f>
        <v>202.31614162075041</v>
      </c>
      <c r="AO1302" s="4">
        <f>IFERROR((vp.tbl[[#This Row],[Sulf]]-INDEX(crudeBD.lkup.complete[Mean_Sulf],MATCH(vp.tbl[[#This Row],[Crude_Breakdown]],crudeBD.lkup.complete[Crude Breakdown],0)))^2,"")</f>
        <v>0</v>
      </c>
      <c r="AP1302">
        <f>IF(AND(vp.tbl[[#This Row],[SDate]]&gt;=DATE(YEAR(vp.tbl[[#This Row],[SDate]]),5,1),vp.tbl[[#This Row],[SDate]]&lt;=DATE(YEAR(vp.tbl[[#This Row],[SDate]]),9,15)),1,0)</f>
        <v>0</v>
      </c>
      <c r="AQ1302" s="15">
        <f>IF(vp.tbl[[#This Row],[SDate]]&lt;DATE(2016,12,1),0,1)</f>
        <v>1</v>
      </c>
    </row>
    <row r="1303" spans="1:43" x14ac:dyDescent="0.25">
      <c r="A1303">
        <v>1302</v>
      </c>
      <c r="B1303" t="s">
        <v>272</v>
      </c>
      <c r="C1303" t="s">
        <v>273</v>
      </c>
      <c r="D1303" t="s">
        <v>274</v>
      </c>
      <c r="E1303">
        <v>317891</v>
      </c>
      <c r="F1303" s="1">
        <v>42789</v>
      </c>
      <c r="G1303" s="2">
        <v>109.2</v>
      </c>
      <c r="H1303" s="2">
        <v>0</v>
      </c>
      <c r="I1303" s="2">
        <v>0</v>
      </c>
      <c r="J1303" s="2">
        <v>5.6</v>
      </c>
      <c r="K1303" s="2">
        <v>-8</v>
      </c>
      <c r="L1303" s="2">
        <v>656.7</v>
      </c>
      <c r="M1303" s="2">
        <v>656.7</v>
      </c>
      <c r="N1303" s="2">
        <f ca="1">INDEX(INDIRECT(_xlfn.CONCAT("weather.tbl[",N$1,"]")),MATCH(vp.tbl[[#This Row],[SDate]],weather.tbl[Date],0))</f>
        <v>-4.083333333333333</v>
      </c>
      <c r="O1303" s="2">
        <f ca="1">INDEX(INDIRECT(_xlfn.CONCAT("weather.tbl[",O$1,"]")),MATCH(vp.tbl[[#This Row],[SDate]],weather.tbl[Date],0))</f>
        <v>-1.1904761904761862E-2</v>
      </c>
      <c r="P1303" s="2">
        <f ca="1">INDEX(INDIRECT(_xlfn.CONCAT("weather.tbl[",P$1,"]")),MATCH(vp.tbl[[#This Row],[SDate]],weather.tbl[Date],0))</f>
        <v>-3.5</v>
      </c>
      <c r="Q1303" s="2">
        <f ca="1">INDEX(INDIRECT(_xlfn.CONCAT("weather.tbl[",Q$1,"]")),MATCH(vp.tbl[[#This Row],[SDate]],weather.tbl[Date],0))</f>
        <v>-3.5</v>
      </c>
      <c r="R1303" s="2">
        <f ca="1">INDEX(INDIRECT(_xlfn.CONCAT("weather.tbl[",R$1,"]")),MATCH(vp.tbl[[#This Row],[SDate]],weather.tbl[Date],0))</f>
        <v>-4.5</v>
      </c>
      <c r="S1303" s="2">
        <f ca="1">INDEX(INDIRECT(_xlfn.CONCAT("weather.tbl[",S$1,"]")),MATCH(vp.tbl[[#This Row],[SDate]],weather.tbl[Date],0))</f>
        <v>-3.4</v>
      </c>
      <c r="T1303" s="2">
        <f ca="1">INDEX(INDIRECT(_xlfn.CONCAT("weather.tbl[",T$1,"]")),MATCH(vp.tbl[[#This Row],[SDate]],weather.tbl[Date],0))</f>
        <v>-3.6</v>
      </c>
      <c r="U1303" s="2">
        <f ca="1">INDEX(INDIRECT(_xlfn.CONCAT("weather.tbl[",U$1,"]")),MATCH(vp.tbl[[#This Row],[SDate]],weather.tbl[Date],0))</f>
        <v>-6</v>
      </c>
      <c r="V1303" s="2">
        <v>33.840000000000003</v>
      </c>
      <c r="W1303" t="s">
        <v>268</v>
      </c>
      <c r="X1303">
        <f>IF(OR(vp.tbl[[#This Row],[Sulf]]="",vp.tbl[[#This Row],[Dens]]=""),1,0)</f>
        <v>0</v>
      </c>
      <c r="Y1303">
        <f>IF(vp.tbl[[#This Row],[CrudeType]]="C5+",1,0)</f>
        <v>1</v>
      </c>
      <c r="Z1303">
        <f>IF(AND(vp.tbl[[#This Row],[CrudeType]]="Crude",vp.tbl[[#This Row],[Dens]]&lt;=825,vp.tbl[[#This Row],[Sulf]]&gt;0.5,vp.tbl[[#This Row],[Unknown]]=0),1,0)</f>
        <v>0</v>
      </c>
      <c r="AA1303">
        <f>IF(AND(vp.tbl[[#This Row],[CrudeType]]="Crude",vp.tbl[[#This Row],[Dens]]&lt;=825,vp.tbl[[#This Row],[Sulf]]&lt;=0.5,vp.tbl[[#This Row],[Unknown]]=0),1,0)</f>
        <v>0</v>
      </c>
      <c r="AB1303">
        <f>IF(AND(vp.tbl[[#This Row],[CrudeType]]="Crude",vp.tbl[[#This Row],[Dens]]&gt;825,vp.tbl[[#This Row],[Dens]]&lt;=870,vp.tbl[[#This Row],[Sulf]]&gt;0.5,vp.tbl[[#This Row],[Unknown]]=0),1,0)</f>
        <v>0</v>
      </c>
      <c r="AC1303">
        <f>IF(AND(vp.tbl[[#This Row],[CrudeType]]="Crude",vp.tbl[[#This Row],[Dens]]&gt;825,vp.tbl[[#This Row],[Dens]]&lt;=900,vp.tbl[[#This Row],[Sulf]]&lt;=0.5,vp.tbl[[#This Row],[Unknown]]=0),1,0)</f>
        <v>0</v>
      </c>
      <c r="AD1303">
        <f>IF(AND(vp.tbl[[#This Row],[CrudeType]]="Crude",vp.tbl[[#This Row],[Dens]]&gt;870,vp.tbl[[#This Row],[Dens]]&lt;=900,vp.tbl[[#This Row],[Sulf]]&gt;0.5,vp.tbl[[#This Row],[Unknown]]=0),1,0)</f>
        <v>0</v>
      </c>
      <c r="AE1303">
        <f>IF(AND(vp.tbl[[#This Row],[CrudeType]]="Crude",vp.tbl[[#This Row],[Dens]]&gt;900,vp.tbl[[#This Row],[Sulf]]&lt;=0.5,vp.tbl[[#This Row],[Unknown]]=0),1,0)</f>
        <v>0</v>
      </c>
      <c r="AF1303">
        <f>IF(AND(vp.tbl[[#This Row],[CrudeType]]="Crude",vp.tbl[[#This Row],[Dens]]&gt;900,vp.tbl[[#This Row],[Sulf]]&lt;=0.5,vp.tbl[[#This Row],[Unknown]]=0),1,0)</f>
        <v>0</v>
      </c>
      <c r="AG1303" t="str">
        <f>INDEX(vp.tbl[[#Headers],[Unknown]:[Heavy_SW]],MATCH(1,vp.tbl[[#This Row],[Unknown]:[Heavy_SW]],0))</f>
        <v>C5</v>
      </c>
      <c r="AH1303" t="e">
        <f>INDEX([1]!crudeBD.lkup[Number],MATCH(vp.tbl[[#This Row],[Crude_Breakdown]],[1]!crudeBD.lkup[Crude Breakdown],0))</f>
        <v>#REF!</v>
      </c>
      <c r="AI1303">
        <f>MONTH(vp.tbl[[#This Row],[SDate]])</f>
        <v>2</v>
      </c>
      <c r="AJ1303" s="5">
        <f>IFERROR(vp.tbl[[#This Row],[Sulf]]*vp.tbl[[#This Row],[Net Dens]],"")</f>
        <v>0</v>
      </c>
      <c r="AK1303" s="5">
        <f>IFERROR(vp.tbl[[#This Row],[Dens]]*vp.tbl[[#This Row],[VolumeM3]],"")</f>
        <v>22222.728000000003</v>
      </c>
      <c r="AL1303" s="5">
        <f>IFERROR(vp.tbl[[#This Row],[VP]]*vp.tbl[[#This Row],[VolumeM3]],"")</f>
        <v>3695.3280000000004</v>
      </c>
      <c r="AM1303" s="4">
        <f>IFERROR((vp.tbl[[#This Row],[VP]]-INDEX(crudeBD.lkup.complete[Mean_VP],MATCH(vp.tbl[[#This Row],[Crude_Breakdown]],crudeBD.lkup.complete[Crude Breakdown],0)))^2,"")</f>
        <v>36.249521786042699</v>
      </c>
      <c r="AN1303" s="4">
        <f>IFERROR((vp.tbl[[#This Row],[Dens]]-INDEX(crudeBD.lkup.complete[Mean_Dens],MATCH(vp.tbl[[#This Row],[Crude_Breakdown]],crudeBD.lkup.complete[Crude Breakdown],0)))^2,"")</f>
        <v>1.8939598025711633</v>
      </c>
      <c r="AO1303" s="4">
        <f>IFERROR((vp.tbl[[#This Row],[Sulf]]-INDEX(crudeBD.lkup.complete[Mean_Sulf],MATCH(vp.tbl[[#This Row],[Crude_Breakdown]],crudeBD.lkup.complete[Crude Breakdown],0)))^2,"")</f>
        <v>0</v>
      </c>
      <c r="AP1303">
        <f>IF(AND(vp.tbl[[#This Row],[SDate]]&gt;=DATE(YEAR(vp.tbl[[#This Row],[SDate]]),5,1),vp.tbl[[#This Row],[SDate]]&lt;=DATE(YEAR(vp.tbl[[#This Row],[SDate]]),9,15)),1,0)</f>
        <v>0</v>
      </c>
      <c r="AQ1303" s="15">
        <f>IF(vp.tbl[[#This Row],[SDate]]&lt;DATE(2016,12,1),0,1)</f>
        <v>1</v>
      </c>
    </row>
    <row r="1304" spans="1:43" x14ac:dyDescent="0.25">
      <c r="A1304">
        <v>1303</v>
      </c>
      <c r="B1304" t="s">
        <v>275</v>
      </c>
      <c r="C1304" t="s">
        <v>276</v>
      </c>
      <c r="D1304" t="s">
        <v>277</v>
      </c>
      <c r="E1304">
        <v>318117</v>
      </c>
      <c r="F1304" s="1">
        <v>42791</v>
      </c>
      <c r="G1304" s="2">
        <v>94.8</v>
      </c>
      <c r="H1304" s="2">
        <v>0</v>
      </c>
      <c r="I1304" s="2">
        <v>0</v>
      </c>
      <c r="J1304" s="2">
        <v>-1.8</v>
      </c>
      <c r="K1304" s="2">
        <v>-13</v>
      </c>
      <c r="L1304" s="2">
        <v>666.84</v>
      </c>
      <c r="M1304" s="2">
        <v>666.84</v>
      </c>
      <c r="N1304" s="2">
        <f ca="1">INDEX(INDIRECT(_xlfn.CONCAT("weather.tbl[",N$1,"]")),MATCH(vp.tbl[[#This Row],[SDate]],weather.tbl[Date],0))</f>
        <v>-11.833333333333334</v>
      </c>
      <c r="O1304" s="2">
        <f ca="1">INDEX(INDIRECT(_xlfn.CONCAT("weather.tbl[",O$1,"]")),MATCH(vp.tbl[[#This Row],[SDate]],weather.tbl[Date],0))</f>
        <v>-3.1214285714285714</v>
      </c>
      <c r="P1304" s="2">
        <f ca="1">INDEX(INDIRECT(_xlfn.CONCAT("weather.tbl[",P$1,"]")),MATCH(vp.tbl[[#This Row],[SDate]],weather.tbl[Date],0))</f>
        <v>-12.3</v>
      </c>
      <c r="Q1304" s="2">
        <f ca="1">INDEX(INDIRECT(_xlfn.CONCAT("weather.tbl[",Q$1,"]")),MATCH(vp.tbl[[#This Row],[SDate]],weather.tbl[Date],0))</f>
        <v>-11.9</v>
      </c>
      <c r="R1304" s="2">
        <f ca="1">INDEX(INDIRECT(_xlfn.CONCAT("weather.tbl[",R$1,"]")),MATCH(vp.tbl[[#This Row],[SDate]],weather.tbl[Date],0))</f>
        <v>-10</v>
      </c>
      <c r="S1304" s="2">
        <f ca="1">INDEX(INDIRECT(_xlfn.CONCAT("weather.tbl[",S$1,"]")),MATCH(vp.tbl[[#This Row],[SDate]],weather.tbl[Date],0))</f>
        <v>-11.3</v>
      </c>
      <c r="T1304" s="2">
        <f ca="1">INDEX(INDIRECT(_xlfn.CONCAT("weather.tbl[",T$1,"]")),MATCH(vp.tbl[[#This Row],[SDate]],weather.tbl[Date],0))</f>
        <v>-13.5</v>
      </c>
      <c r="U1304" s="2">
        <f ca="1">INDEX(INDIRECT(_xlfn.CONCAT("weather.tbl[",U$1,"]")),MATCH(vp.tbl[[#This Row],[SDate]],weather.tbl[Date],0))</f>
        <v>-12</v>
      </c>
      <c r="V1304" s="2">
        <v>41.87</v>
      </c>
      <c r="W1304" t="s">
        <v>268</v>
      </c>
      <c r="X1304">
        <f>IF(OR(vp.tbl[[#This Row],[Sulf]]="",vp.tbl[[#This Row],[Dens]]=""),1,0)</f>
        <v>0</v>
      </c>
      <c r="Y1304">
        <f>IF(vp.tbl[[#This Row],[CrudeType]]="C5+",1,0)</f>
        <v>1</v>
      </c>
      <c r="Z1304">
        <f>IF(AND(vp.tbl[[#This Row],[CrudeType]]="Crude",vp.tbl[[#This Row],[Dens]]&lt;=825,vp.tbl[[#This Row],[Sulf]]&gt;0.5,vp.tbl[[#This Row],[Unknown]]=0),1,0)</f>
        <v>0</v>
      </c>
      <c r="AA1304">
        <f>IF(AND(vp.tbl[[#This Row],[CrudeType]]="Crude",vp.tbl[[#This Row],[Dens]]&lt;=825,vp.tbl[[#This Row],[Sulf]]&lt;=0.5,vp.tbl[[#This Row],[Unknown]]=0),1,0)</f>
        <v>0</v>
      </c>
      <c r="AB1304">
        <f>IF(AND(vp.tbl[[#This Row],[CrudeType]]="Crude",vp.tbl[[#This Row],[Dens]]&gt;825,vp.tbl[[#This Row],[Dens]]&lt;=870,vp.tbl[[#This Row],[Sulf]]&gt;0.5,vp.tbl[[#This Row],[Unknown]]=0),1,0)</f>
        <v>0</v>
      </c>
      <c r="AC1304">
        <f>IF(AND(vp.tbl[[#This Row],[CrudeType]]="Crude",vp.tbl[[#This Row],[Dens]]&gt;825,vp.tbl[[#This Row],[Dens]]&lt;=900,vp.tbl[[#This Row],[Sulf]]&lt;=0.5,vp.tbl[[#This Row],[Unknown]]=0),1,0)</f>
        <v>0</v>
      </c>
      <c r="AD1304">
        <f>IF(AND(vp.tbl[[#This Row],[CrudeType]]="Crude",vp.tbl[[#This Row],[Dens]]&gt;870,vp.tbl[[#This Row],[Dens]]&lt;=900,vp.tbl[[#This Row],[Sulf]]&gt;0.5,vp.tbl[[#This Row],[Unknown]]=0),1,0)</f>
        <v>0</v>
      </c>
      <c r="AE1304">
        <f>IF(AND(vp.tbl[[#This Row],[CrudeType]]="Crude",vp.tbl[[#This Row],[Dens]]&gt;900,vp.tbl[[#This Row],[Sulf]]&lt;=0.5,vp.tbl[[#This Row],[Unknown]]=0),1,0)</f>
        <v>0</v>
      </c>
      <c r="AF1304">
        <f>IF(AND(vp.tbl[[#This Row],[CrudeType]]="Crude",vp.tbl[[#This Row],[Dens]]&gt;900,vp.tbl[[#This Row],[Sulf]]&lt;=0.5,vp.tbl[[#This Row],[Unknown]]=0),1,0)</f>
        <v>0</v>
      </c>
      <c r="AG1304" t="str">
        <f>INDEX(vp.tbl[[#Headers],[Unknown]:[Heavy_SW]],MATCH(1,vp.tbl[[#This Row],[Unknown]:[Heavy_SW]],0))</f>
        <v>C5</v>
      </c>
      <c r="AH1304" t="e">
        <f>INDEX([1]!crudeBD.lkup[Number],MATCH(vp.tbl[[#This Row],[Crude_Breakdown]],[1]!crudeBD.lkup[Crude Breakdown],0))</f>
        <v>#REF!</v>
      </c>
      <c r="AI1304">
        <f>MONTH(vp.tbl[[#This Row],[SDate]])</f>
        <v>2</v>
      </c>
      <c r="AJ1304" s="5">
        <f>IFERROR(vp.tbl[[#This Row],[Sulf]]*vp.tbl[[#This Row],[Net Dens]],"")</f>
        <v>0</v>
      </c>
      <c r="AK1304" s="5">
        <f>IFERROR(vp.tbl[[#This Row],[Dens]]*vp.tbl[[#This Row],[VolumeM3]],"")</f>
        <v>27920.590799999998</v>
      </c>
      <c r="AL1304" s="5">
        <f>IFERROR(vp.tbl[[#This Row],[VP]]*vp.tbl[[#This Row],[VolumeM3]],"")</f>
        <v>3969.2759999999998</v>
      </c>
      <c r="AM1304" s="4">
        <f>IFERROR((vp.tbl[[#This Row],[VP]]-INDEX(crudeBD.lkup.complete[Mean_VP],MATCH(vp.tbl[[#This Row],[Crude_Breakdown]],crudeBD.lkup.complete[Crude Breakdown],0)))^2,"")</f>
        <v>70.211703604223516</v>
      </c>
      <c r="AN1304" s="4">
        <f>IFERROR((vp.tbl[[#This Row],[Dens]]-INDEX(crudeBD.lkup.complete[Mean_Dens],MATCH(vp.tbl[[#This Row],[Crude_Breakdown]],crudeBD.lkup.complete[Crude Breakdown],0)))^2,"")</f>
        <v>76.803977984389135</v>
      </c>
      <c r="AO1304" s="4">
        <f>IFERROR((vp.tbl[[#This Row],[Sulf]]-INDEX(crudeBD.lkup.complete[Mean_Sulf],MATCH(vp.tbl[[#This Row],[Crude_Breakdown]],crudeBD.lkup.complete[Crude Breakdown],0)))^2,"")</f>
        <v>0</v>
      </c>
      <c r="AP1304">
        <f>IF(AND(vp.tbl[[#This Row],[SDate]]&gt;=DATE(YEAR(vp.tbl[[#This Row],[SDate]]),5,1),vp.tbl[[#This Row],[SDate]]&lt;=DATE(YEAR(vp.tbl[[#This Row],[SDate]]),9,15)),1,0)</f>
        <v>0</v>
      </c>
      <c r="AQ1304" s="15">
        <f>IF(vp.tbl[[#This Row],[SDate]]&lt;DATE(2016,12,1),0,1)</f>
        <v>1</v>
      </c>
    </row>
    <row r="1305" spans="1:43" x14ac:dyDescent="0.25">
      <c r="A1305">
        <v>1304</v>
      </c>
      <c r="B1305" t="s">
        <v>275</v>
      </c>
      <c r="C1305" t="s">
        <v>270</v>
      </c>
      <c r="D1305" t="s">
        <v>271</v>
      </c>
      <c r="E1305">
        <v>318309</v>
      </c>
      <c r="F1305" s="1">
        <v>42792</v>
      </c>
      <c r="G1305" s="2">
        <v>104.1</v>
      </c>
      <c r="H1305" s="2">
        <v>0</v>
      </c>
      <c r="I1305" s="2">
        <v>0</v>
      </c>
      <c r="J1305" s="2">
        <v>-2.2999999999999998</v>
      </c>
      <c r="K1305" s="2">
        <v>-15</v>
      </c>
      <c r="L1305" s="2">
        <v>667</v>
      </c>
      <c r="M1305" s="2">
        <v>667</v>
      </c>
      <c r="N1305" s="2">
        <f ca="1">INDEX(INDIRECT(_xlfn.CONCAT("weather.tbl[",N$1,"]")),MATCH(vp.tbl[[#This Row],[SDate]],weather.tbl[Date],0))</f>
        <v>-11.916666666666666</v>
      </c>
      <c r="O1305" s="2">
        <f ca="1">INDEX(INDIRECT(_xlfn.CONCAT("weather.tbl[",O$1,"]")),MATCH(vp.tbl[[#This Row],[SDate]],weather.tbl[Date],0))</f>
        <v>-4.7952380952380951</v>
      </c>
      <c r="P1305" s="2">
        <f ca="1">INDEX(INDIRECT(_xlfn.CONCAT("weather.tbl[",P$1,"]")),MATCH(vp.tbl[[#This Row],[SDate]],weather.tbl[Date],0))</f>
        <v>-12.6</v>
      </c>
      <c r="Q1305" s="2">
        <f ca="1">INDEX(INDIRECT(_xlfn.CONCAT("weather.tbl[",Q$1,"]")),MATCH(vp.tbl[[#This Row],[SDate]],weather.tbl[Date],0))</f>
        <v>-10.4</v>
      </c>
      <c r="R1305" s="2">
        <f ca="1">INDEX(INDIRECT(_xlfn.CONCAT("weather.tbl[",R$1,"]")),MATCH(vp.tbl[[#This Row],[SDate]],weather.tbl[Date],0))</f>
        <v>-12.3</v>
      </c>
      <c r="S1305" s="2">
        <f ca="1">INDEX(INDIRECT(_xlfn.CONCAT("weather.tbl[",S$1,"]")),MATCH(vp.tbl[[#This Row],[SDate]],weather.tbl[Date],0))</f>
        <v>-9.4</v>
      </c>
      <c r="T1305" s="2">
        <f ca="1">INDEX(INDIRECT(_xlfn.CONCAT("weather.tbl[",T$1,"]")),MATCH(vp.tbl[[#This Row],[SDate]],weather.tbl[Date],0))</f>
        <v>-14.5</v>
      </c>
      <c r="U1305" s="2">
        <f ca="1">INDEX(INDIRECT(_xlfn.CONCAT("weather.tbl[",U$1,"]")),MATCH(vp.tbl[[#This Row],[SDate]],weather.tbl[Date],0))</f>
        <v>-12.3</v>
      </c>
      <c r="V1305" s="2">
        <v>37.159999999999997</v>
      </c>
      <c r="W1305" t="s">
        <v>268</v>
      </c>
      <c r="X1305">
        <f>IF(OR(vp.tbl[[#This Row],[Sulf]]="",vp.tbl[[#This Row],[Dens]]=""),1,0)</f>
        <v>0</v>
      </c>
      <c r="Y1305">
        <f>IF(vp.tbl[[#This Row],[CrudeType]]="C5+",1,0)</f>
        <v>1</v>
      </c>
      <c r="Z1305">
        <f>IF(AND(vp.tbl[[#This Row],[CrudeType]]="Crude",vp.tbl[[#This Row],[Dens]]&lt;=825,vp.tbl[[#This Row],[Sulf]]&gt;0.5,vp.tbl[[#This Row],[Unknown]]=0),1,0)</f>
        <v>0</v>
      </c>
      <c r="AA1305">
        <f>IF(AND(vp.tbl[[#This Row],[CrudeType]]="Crude",vp.tbl[[#This Row],[Dens]]&lt;=825,vp.tbl[[#This Row],[Sulf]]&lt;=0.5,vp.tbl[[#This Row],[Unknown]]=0),1,0)</f>
        <v>0</v>
      </c>
      <c r="AB1305">
        <f>IF(AND(vp.tbl[[#This Row],[CrudeType]]="Crude",vp.tbl[[#This Row],[Dens]]&gt;825,vp.tbl[[#This Row],[Dens]]&lt;=870,vp.tbl[[#This Row],[Sulf]]&gt;0.5,vp.tbl[[#This Row],[Unknown]]=0),1,0)</f>
        <v>0</v>
      </c>
      <c r="AC1305">
        <f>IF(AND(vp.tbl[[#This Row],[CrudeType]]="Crude",vp.tbl[[#This Row],[Dens]]&gt;825,vp.tbl[[#This Row],[Dens]]&lt;=900,vp.tbl[[#This Row],[Sulf]]&lt;=0.5,vp.tbl[[#This Row],[Unknown]]=0),1,0)</f>
        <v>0</v>
      </c>
      <c r="AD1305">
        <f>IF(AND(vp.tbl[[#This Row],[CrudeType]]="Crude",vp.tbl[[#This Row],[Dens]]&gt;870,vp.tbl[[#This Row],[Dens]]&lt;=900,vp.tbl[[#This Row],[Sulf]]&gt;0.5,vp.tbl[[#This Row],[Unknown]]=0),1,0)</f>
        <v>0</v>
      </c>
      <c r="AE1305">
        <f>IF(AND(vp.tbl[[#This Row],[CrudeType]]="Crude",vp.tbl[[#This Row],[Dens]]&gt;900,vp.tbl[[#This Row],[Sulf]]&lt;=0.5,vp.tbl[[#This Row],[Unknown]]=0),1,0)</f>
        <v>0</v>
      </c>
      <c r="AF1305">
        <f>IF(AND(vp.tbl[[#This Row],[CrudeType]]="Crude",vp.tbl[[#This Row],[Dens]]&gt;900,vp.tbl[[#This Row],[Sulf]]&lt;=0.5,vp.tbl[[#This Row],[Unknown]]=0),1,0)</f>
        <v>0</v>
      </c>
      <c r="AG1305" t="str">
        <f>INDEX(vp.tbl[[#Headers],[Unknown]:[Heavy_SW]],MATCH(1,vp.tbl[[#This Row],[Unknown]:[Heavy_SW]],0))</f>
        <v>C5</v>
      </c>
      <c r="AH1305" t="e">
        <f>INDEX([1]!crudeBD.lkup[Number],MATCH(vp.tbl[[#This Row],[Crude_Breakdown]],[1]!crudeBD.lkup[Crude Breakdown],0))</f>
        <v>#REF!</v>
      </c>
      <c r="AI1305">
        <f>MONTH(vp.tbl[[#This Row],[SDate]])</f>
        <v>2</v>
      </c>
      <c r="AJ1305" s="5">
        <f>IFERROR(vp.tbl[[#This Row],[Sulf]]*vp.tbl[[#This Row],[Net Dens]],"")</f>
        <v>0</v>
      </c>
      <c r="AK1305" s="5">
        <f>IFERROR(vp.tbl[[#This Row],[Dens]]*vp.tbl[[#This Row],[VolumeM3]],"")</f>
        <v>24785.719999999998</v>
      </c>
      <c r="AL1305" s="5">
        <f>IFERROR(vp.tbl[[#This Row],[VP]]*vp.tbl[[#This Row],[VolumeM3]],"")</f>
        <v>3868.3559999999993</v>
      </c>
      <c r="AM1305" s="4">
        <f>IFERROR((vp.tbl[[#This Row],[VP]]-INDEX(crudeBD.lkup.complete[Mean_VP],MATCH(vp.tbl[[#This Row],[Crude_Breakdown]],crudeBD.lkup.complete[Crude Breakdown],0)))^2,"")</f>
        <v>0.84779451331502209</v>
      </c>
      <c r="AN1305" s="4">
        <f>IFERROR((vp.tbl[[#This Row],[Dens]]-INDEX(crudeBD.lkup.complete[Mean_Dens],MATCH(vp.tbl[[#This Row],[Crude_Breakdown]],crudeBD.lkup.complete[Crude Breakdown],0)))^2,"")</f>
        <v>79.633990105600674</v>
      </c>
      <c r="AO1305" s="4">
        <f>IFERROR((vp.tbl[[#This Row],[Sulf]]-INDEX(crudeBD.lkup.complete[Mean_Sulf],MATCH(vp.tbl[[#This Row],[Crude_Breakdown]],crudeBD.lkup.complete[Crude Breakdown],0)))^2,"")</f>
        <v>0</v>
      </c>
      <c r="AP1305">
        <f>IF(AND(vp.tbl[[#This Row],[SDate]]&gt;=DATE(YEAR(vp.tbl[[#This Row],[SDate]]),5,1),vp.tbl[[#This Row],[SDate]]&lt;=DATE(YEAR(vp.tbl[[#This Row],[SDate]]),9,15)),1,0)</f>
        <v>0</v>
      </c>
      <c r="AQ1305" s="15">
        <f>IF(vp.tbl[[#This Row],[SDate]]&lt;DATE(2016,12,1),0,1)</f>
        <v>1</v>
      </c>
    </row>
    <row r="1306" spans="1:43" x14ac:dyDescent="0.25">
      <c r="A1306">
        <v>1305</v>
      </c>
      <c r="B1306" t="s">
        <v>265</v>
      </c>
      <c r="C1306" t="s">
        <v>266</v>
      </c>
      <c r="D1306" t="s">
        <v>267</v>
      </c>
      <c r="E1306">
        <v>319320</v>
      </c>
      <c r="F1306" s="1">
        <v>42799</v>
      </c>
      <c r="G1306" s="2">
        <v>107.2</v>
      </c>
      <c r="H1306" s="2">
        <v>0</v>
      </c>
      <c r="I1306" s="2">
        <v>0</v>
      </c>
      <c r="J1306" s="2">
        <v>6.9</v>
      </c>
      <c r="K1306" s="2">
        <v>4</v>
      </c>
      <c r="L1306" s="2">
        <v>657.4</v>
      </c>
      <c r="M1306" s="2">
        <v>657.4</v>
      </c>
      <c r="N1306" s="2">
        <f ca="1">INDEX(INDIRECT(_xlfn.CONCAT("weather.tbl[",N$1,"]")),MATCH(vp.tbl[[#This Row],[SDate]],weather.tbl[Date],0))</f>
        <v>-4.9999999999999968E-2</v>
      </c>
      <c r="O1306" s="2">
        <f ca="1">INDEX(INDIRECT(_xlfn.CONCAT("weather.tbl[",O$1,"]")),MATCH(vp.tbl[[#This Row],[SDate]],weather.tbl[Date],0))</f>
        <v>-9.1476190476190471</v>
      </c>
      <c r="P1306" s="2">
        <f ca="1">INDEX(INDIRECT(_xlfn.CONCAT("weather.tbl[",P$1,"]")),MATCH(vp.tbl[[#This Row],[SDate]],weather.tbl[Date],0))</f>
        <v>0.8</v>
      </c>
      <c r="Q1306" s="2">
        <f ca="1">INDEX(INDIRECT(_xlfn.CONCAT("weather.tbl[",Q$1,"]")),MATCH(vp.tbl[[#This Row],[SDate]],weather.tbl[Date],0))</f>
        <v>-0.5</v>
      </c>
      <c r="R1306" s="2">
        <f ca="1">INDEX(INDIRECT(_xlfn.CONCAT("weather.tbl[",R$1,"]")),MATCH(vp.tbl[[#This Row],[SDate]],weather.tbl[Date],0))</f>
        <v>-1.8</v>
      </c>
      <c r="S1306" s="2">
        <f ca="1">INDEX(INDIRECT(_xlfn.CONCAT("weather.tbl[",S$1,"]")),MATCH(vp.tbl[[#This Row],[SDate]],weather.tbl[Date],0))</f>
        <v>1.1000000000000001</v>
      </c>
      <c r="T1306" s="2">
        <f ca="1">INDEX(INDIRECT(_xlfn.CONCAT("weather.tbl[",T$1,"]")),MATCH(vp.tbl[[#This Row],[SDate]],weather.tbl[Date],0))</f>
        <v>-0.7</v>
      </c>
      <c r="U1306" s="2">
        <f ca="1">INDEX(INDIRECT(_xlfn.CONCAT("weather.tbl[",U$1,"]")),MATCH(vp.tbl[[#This Row],[SDate]],weather.tbl[Date],0))</f>
        <v>0.8</v>
      </c>
      <c r="V1306" s="2">
        <v>35.33</v>
      </c>
      <c r="W1306" t="s">
        <v>268</v>
      </c>
      <c r="X1306">
        <f>IF(OR(vp.tbl[[#This Row],[Sulf]]="",vp.tbl[[#This Row],[Dens]]=""),1,0)</f>
        <v>0</v>
      </c>
      <c r="Y1306">
        <f>IF(vp.tbl[[#This Row],[CrudeType]]="C5+",1,0)</f>
        <v>1</v>
      </c>
      <c r="Z1306">
        <f>IF(AND(vp.tbl[[#This Row],[CrudeType]]="Crude",vp.tbl[[#This Row],[Dens]]&lt;=825,vp.tbl[[#This Row],[Sulf]]&gt;0.5,vp.tbl[[#This Row],[Unknown]]=0),1,0)</f>
        <v>0</v>
      </c>
      <c r="AA1306">
        <f>IF(AND(vp.tbl[[#This Row],[CrudeType]]="Crude",vp.tbl[[#This Row],[Dens]]&lt;=825,vp.tbl[[#This Row],[Sulf]]&lt;=0.5,vp.tbl[[#This Row],[Unknown]]=0),1,0)</f>
        <v>0</v>
      </c>
      <c r="AB1306">
        <f>IF(AND(vp.tbl[[#This Row],[CrudeType]]="Crude",vp.tbl[[#This Row],[Dens]]&gt;825,vp.tbl[[#This Row],[Dens]]&lt;=870,vp.tbl[[#This Row],[Sulf]]&gt;0.5,vp.tbl[[#This Row],[Unknown]]=0),1,0)</f>
        <v>0</v>
      </c>
      <c r="AC1306">
        <f>IF(AND(vp.tbl[[#This Row],[CrudeType]]="Crude",vp.tbl[[#This Row],[Dens]]&gt;825,vp.tbl[[#This Row],[Dens]]&lt;=900,vp.tbl[[#This Row],[Sulf]]&lt;=0.5,vp.tbl[[#This Row],[Unknown]]=0),1,0)</f>
        <v>0</v>
      </c>
      <c r="AD1306">
        <f>IF(AND(vp.tbl[[#This Row],[CrudeType]]="Crude",vp.tbl[[#This Row],[Dens]]&gt;870,vp.tbl[[#This Row],[Dens]]&lt;=900,vp.tbl[[#This Row],[Sulf]]&gt;0.5,vp.tbl[[#This Row],[Unknown]]=0),1,0)</f>
        <v>0</v>
      </c>
      <c r="AE1306">
        <f>IF(AND(vp.tbl[[#This Row],[CrudeType]]="Crude",vp.tbl[[#This Row],[Dens]]&gt;900,vp.tbl[[#This Row],[Sulf]]&lt;=0.5,vp.tbl[[#This Row],[Unknown]]=0),1,0)</f>
        <v>0</v>
      </c>
      <c r="AF1306">
        <f>IF(AND(vp.tbl[[#This Row],[CrudeType]]="Crude",vp.tbl[[#This Row],[Dens]]&gt;900,vp.tbl[[#This Row],[Sulf]]&lt;=0.5,vp.tbl[[#This Row],[Unknown]]=0),1,0)</f>
        <v>0</v>
      </c>
      <c r="AG1306" t="str">
        <f>INDEX(vp.tbl[[#Headers],[Unknown]:[Heavy_SW]],MATCH(1,vp.tbl[[#This Row],[Unknown]:[Heavy_SW]],0))</f>
        <v>C5</v>
      </c>
      <c r="AH1306" t="e">
        <f>INDEX([1]!crudeBD.lkup[Number],MATCH(vp.tbl[[#This Row],[Crude_Breakdown]],[1]!crudeBD.lkup[Crude Breakdown],0))</f>
        <v>#REF!</v>
      </c>
      <c r="AI1306">
        <f>MONTH(vp.tbl[[#This Row],[SDate]])</f>
        <v>3</v>
      </c>
      <c r="AJ1306" s="5">
        <f>IFERROR(vp.tbl[[#This Row],[Sulf]]*vp.tbl[[#This Row],[Net Dens]],"")</f>
        <v>0</v>
      </c>
      <c r="AK1306" s="5">
        <f>IFERROR(vp.tbl[[#This Row],[Dens]]*vp.tbl[[#This Row],[VolumeM3]],"")</f>
        <v>23225.941999999999</v>
      </c>
      <c r="AL1306" s="5">
        <f>IFERROR(vp.tbl[[#This Row],[VP]]*vp.tbl[[#This Row],[VolumeM3]],"")</f>
        <v>3787.3759999999997</v>
      </c>
      <c r="AM1306" s="4">
        <f>IFERROR((vp.tbl[[#This Row],[VP]]-INDEX(crudeBD.lkup.complete[Mean_VP],MATCH(vp.tbl[[#This Row],[Crude_Breakdown]],crudeBD.lkup.complete[Crude Breakdown],0)))^2,"")</f>
        <v>16.166491483012244</v>
      </c>
      <c r="AN1306" s="4">
        <f>IFERROR((vp.tbl[[#This Row],[Dens]]-INDEX(crudeBD.lkup.complete[Mean_Dens],MATCH(vp.tbl[[#This Row],[Crude_Breakdown]],crudeBD.lkup.complete[Crude Breakdown],0)))^2,"")</f>
        <v>0.45726283287428726</v>
      </c>
      <c r="AO1306" s="4">
        <f>IFERROR((vp.tbl[[#This Row],[Sulf]]-INDEX(crudeBD.lkup.complete[Mean_Sulf],MATCH(vp.tbl[[#This Row],[Crude_Breakdown]],crudeBD.lkup.complete[Crude Breakdown],0)))^2,"")</f>
        <v>0</v>
      </c>
      <c r="AP1306">
        <f>IF(AND(vp.tbl[[#This Row],[SDate]]&gt;=DATE(YEAR(vp.tbl[[#This Row],[SDate]]),5,1),vp.tbl[[#This Row],[SDate]]&lt;=DATE(YEAR(vp.tbl[[#This Row],[SDate]]),9,15)),1,0)</f>
        <v>0</v>
      </c>
      <c r="AQ1306" s="15">
        <f>IF(vp.tbl[[#This Row],[SDate]]&lt;DATE(2016,12,1),0,1)</f>
        <v>1</v>
      </c>
    </row>
    <row r="1307" spans="1:43" x14ac:dyDescent="0.25">
      <c r="A1307">
        <v>1306</v>
      </c>
      <c r="B1307" t="s">
        <v>272</v>
      </c>
      <c r="C1307" t="s">
        <v>273</v>
      </c>
      <c r="D1307" t="s">
        <v>274</v>
      </c>
      <c r="E1307">
        <v>319340</v>
      </c>
      <c r="F1307" s="1">
        <v>42799</v>
      </c>
      <c r="G1307" s="2">
        <v>106.3</v>
      </c>
      <c r="H1307" s="2">
        <v>0</v>
      </c>
      <c r="I1307" s="2">
        <v>0</v>
      </c>
      <c r="J1307" s="2">
        <v>13.9</v>
      </c>
      <c r="K1307" s="2">
        <v>4</v>
      </c>
      <c r="L1307" s="2">
        <v>654.29999999999995</v>
      </c>
      <c r="M1307" s="2">
        <v>654.29999999999995</v>
      </c>
      <c r="N1307" s="2">
        <f ca="1">INDEX(INDIRECT(_xlfn.CONCAT("weather.tbl[",N$1,"]")),MATCH(vp.tbl[[#This Row],[SDate]],weather.tbl[Date],0))</f>
        <v>-4.9999999999999968E-2</v>
      </c>
      <c r="O1307" s="2">
        <f ca="1">INDEX(INDIRECT(_xlfn.CONCAT("weather.tbl[",O$1,"]")),MATCH(vp.tbl[[#This Row],[SDate]],weather.tbl[Date],0))</f>
        <v>-9.1476190476190471</v>
      </c>
      <c r="P1307" s="2">
        <f ca="1">INDEX(INDIRECT(_xlfn.CONCAT("weather.tbl[",P$1,"]")),MATCH(vp.tbl[[#This Row],[SDate]],weather.tbl[Date],0))</f>
        <v>0.8</v>
      </c>
      <c r="Q1307" s="2">
        <f ca="1">INDEX(INDIRECT(_xlfn.CONCAT("weather.tbl[",Q$1,"]")),MATCH(vp.tbl[[#This Row],[SDate]],weather.tbl[Date],0))</f>
        <v>-0.5</v>
      </c>
      <c r="R1307" s="2">
        <f ca="1">INDEX(INDIRECT(_xlfn.CONCAT("weather.tbl[",R$1,"]")),MATCH(vp.tbl[[#This Row],[SDate]],weather.tbl[Date],0))</f>
        <v>-1.8</v>
      </c>
      <c r="S1307" s="2">
        <f ca="1">INDEX(INDIRECT(_xlfn.CONCAT("weather.tbl[",S$1,"]")),MATCH(vp.tbl[[#This Row],[SDate]],weather.tbl[Date],0))</f>
        <v>1.1000000000000001</v>
      </c>
      <c r="T1307" s="2">
        <f ca="1">INDEX(INDIRECT(_xlfn.CONCAT("weather.tbl[",T$1,"]")),MATCH(vp.tbl[[#This Row],[SDate]],weather.tbl[Date],0))</f>
        <v>-0.7</v>
      </c>
      <c r="U1307" s="2">
        <f ca="1">INDEX(INDIRECT(_xlfn.CONCAT("weather.tbl[",U$1,"]")),MATCH(vp.tbl[[#This Row],[SDate]],weather.tbl[Date],0))</f>
        <v>0.8</v>
      </c>
      <c r="V1307" s="2">
        <v>35.090000000000003</v>
      </c>
      <c r="W1307" t="s">
        <v>268</v>
      </c>
      <c r="X1307">
        <f>IF(OR(vp.tbl[[#This Row],[Sulf]]="",vp.tbl[[#This Row],[Dens]]=""),1,0)</f>
        <v>0</v>
      </c>
      <c r="Y1307">
        <f>IF(vp.tbl[[#This Row],[CrudeType]]="C5+",1,0)</f>
        <v>1</v>
      </c>
      <c r="Z1307">
        <f>IF(AND(vp.tbl[[#This Row],[CrudeType]]="Crude",vp.tbl[[#This Row],[Dens]]&lt;=825,vp.tbl[[#This Row],[Sulf]]&gt;0.5,vp.tbl[[#This Row],[Unknown]]=0),1,0)</f>
        <v>0</v>
      </c>
      <c r="AA1307">
        <f>IF(AND(vp.tbl[[#This Row],[CrudeType]]="Crude",vp.tbl[[#This Row],[Dens]]&lt;=825,vp.tbl[[#This Row],[Sulf]]&lt;=0.5,vp.tbl[[#This Row],[Unknown]]=0),1,0)</f>
        <v>0</v>
      </c>
      <c r="AB1307">
        <f>IF(AND(vp.tbl[[#This Row],[CrudeType]]="Crude",vp.tbl[[#This Row],[Dens]]&gt;825,vp.tbl[[#This Row],[Dens]]&lt;=870,vp.tbl[[#This Row],[Sulf]]&gt;0.5,vp.tbl[[#This Row],[Unknown]]=0),1,0)</f>
        <v>0</v>
      </c>
      <c r="AC1307">
        <f>IF(AND(vp.tbl[[#This Row],[CrudeType]]="Crude",vp.tbl[[#This Row],[Dens]]&gt;825,vp.tbl[[#This Row],[Dens]]&lt;=900,vp.tbl[[#This Row],[Sulf]]&lt;=0.5,vp.tbl[[#This Row],[Unknown]]=0),1,0)</f>
        <v>0</v>
      </c>
      <c r="AD1307">
        <f>IF(AND(vp.tbl[[#This Row],[CrudeType]]="Crude",vp.tbl[[#This Row],[Dens]]&gt;870,vp.tbl[[#This Row],[Dens]]&lt;=900,vp.tbl[[#This Row],[Sulf]]&gt;0.5,vp.tbl[[#This Row],[Unknown]]=0),1,0)</f>
        <v>0</v>
      </c>
      <c r="AE1307">
        <f>IF(AND(vp.tbl[[#This Row],[CrudeType]]="Crude",vp.tbl[[#This Row],[Dens]]&gt;900,vp.tbl[[#This Row],[Sulf]]&lt;=0.5,vp.tbl[[#This Row],[Unknown]]=0),1,0)</f>
        <v>0</v>
      </c>
      <c r="AF1307">
        <f>IF(AND(vp.tbl[[#This Row],[CrudeType]]="Crude",vp.tbl[[#This Row],[Dens]]&gt;900,vp.tbl[[#This Row],[Sulf]]&lt;=0.5,vp.tbl[[#This Row],[Unknown]]=0),1,0)</f>
        <v>0</v>
      </c>
      <c r="AG1307" t="str">
        <f>INDEX(vp.tbl[[#Headers],[Unknown]:[Heavy_SW]],MATCH(1,vp.tbl[[#This Row],[Unknown]:[Heavy_SW]],0))</f>
        <v>C5</v>
      </c>
      <c r="AH1307" t="e">
        <f>INDEX([1]!crudeBD.lkup[Number],MATCH(vp.tbl[[#This Row],[Crude_Breakdown]],[1]!crudeBD.lkup[Crude Breakdown],0))</f>
        <v>#REF!</v>
      </c>
      <c r="AI1307">
        <f>MONTH(vp.tbl[[#This Row],[SDate]])</f>
        <v>3</v>
      </c>
      <c r="AJ1307" s="5">
        <f>IFERROR(vp.tbl[[#This Row],[Sulf]]*vp.tbl[[#This Row],[Net Dens]],"")</f>
        <v>0</v>
      </c>
      <c r="AK1307" s="5">
        <f>IFERROR(vp.tbl[[#This Row],[Dens]]*vp.tbl[[#This Row],[VolumeM3]],"")</f>
        <v>22959.387000000002</v>
      </c>
      <c r="AL1307" s="5">
        <f>IFERROR(vp.tbl[[#This Row],[VP]]*vp.tbl[[#This Row],[VolumeM3]],"")</f>
        <v>3730.0670000000005</v>
      </c>
      <c r="AM1307" s="4">
        <f>IFERROR((vp.tbl[[#This Row],[VP]]-INDEX(crudeBD.lkup.complete[Mean_VP],MATCH(vp.tbl[[#This Row],[Crude_Breakdown]],crudeBD.lkup.complete[Crude Breakdown],0)))^2,"")</f>
        <v>9.7391278466485023</v>
      </c>
      <c r="AN1307" s="4">
        <f>IFERROR((vp.tbl[[#This Row],[Dens]]-INDEX(crudeBD.lkup.complete[Mean_Dens],MATCH(vp.tbl[[#This Row],[Crude_Breakdown]],crudeBD.lkup.complete[Crude Breakdown],0)))^2,"")</f>
        <v>14.259777984390027</v>
      </c>
      <c r="AO1307" s="4">
        <f>IFERROR((vp.tbl[[#This Row],[Sulf]]-INDEX(crudeBD.lkup.complete[Mean_Sulf],MATCH(vp.tbl[[#This Row],[Crude_Breakdown]],crudeBD.lkup.complete[Crude Breakdown],0)))^2,"")</f>
        <v>0</v>
      </c>
      <c r="AP1307">
        <f>IF(AND(vp.tbl[[#This Row],[SDate]]&gt;=DATE(YEAR(vp.tbl[[#This Row],[SDate]]),5,1),vp.tbl[[#This Row],[SDate]]&lt;=DATE(YEAR(vp.tbl[[#This Row],[SDate]]),9,15)),1,0)</f>
        <v>0</v>
      </c>
      <c r="AQ1307" s="15">
        <f>IF(vp.tbl[[#This Row],[SDate]]&lt;DATE(2016,12,1),0,1)</f>
        <v>1</v>
      </c>
    </row>
    <row r="1308" spans="1:43" x14ac:dyDescent="0.25">
      <c r="A1308">
        <v>1307</v>
      </c>
      <c r="B1308" t="s">
        <v>275</v>
      </c>
      <c r="C1308" t="s">
        <v>276</v>
      </c>
      <c r="D1308" t="s">
        <v>277</v>
      </c>
      <c r="E1308">
        <v>319308</v>
      </c>
      <c r="F1308" s="1">
        <v>42799</v>
      </c>
      <c r="G1308" s="2">
        <v>94.3</v>
      </c>
      <c r="H1308" s="2">
        <v>0</v>
      </c>
      <c r="I1308" s="2">
        <v>0</v>
      </c>
      <c r="J1308" s="2">
        <v>12.7</v>
      </c>
      <c r="K1308" s="2">
        <v>4</v>
      </c>
      <c r="L1308" s="2">
        <v>659.1</v>
      </c>
      <c r="M1308" s="2">
        <v>659.1</v>
      </c>
      <c r="N1308" s="2">
        <f ca="1">INDEX(INDIRECT(_xlfn.CONCAT("weather.tbl[",N$1,"]")),MATCH(vp.tbl[[#This Row],[SDate]],weather.tbl[Date],0))</f>
        <v>-4.9999999999999968E-2</v>
      </c>
      <c r="O1308" s="2">
        <f ca="1">INDEX(INDIRECT(_xlfn.CONCAT("weather.tbl[",O$1,"]")),MATCH(vp.tbl[[#This Row],[SDate]],weather.tbl[Date],0))</f>
        <v>-9.1476190476190471</v>
      </c>
      <c r="P1308" s="2">
        <f ca="1">INDEX(INDIRECT(_xlfn.CONCAT("weather.tbl[",P$1,"]")),MATCH(vp.tbl[[#This Row],[SDate]],weather.tbl[Date],0))</f>
        <v>0.8</v>
      </c>
      <c r="Q1308" s="2">
        <f ca="1">INDEX(INDIRECT(_xlfn.CONCAT("weather.tbl[",Q$1,"]")),MATCH(vp.tbl[[#This Row],[SDate]],weather.tbl[Date],0))</f>
        <v>-0.5</v>
      </c>
      <c r="R1308" s="2">
        <f ca="1">INDEX(INDIRECT(_xlfn.CONCAT("weather.tbl[",R$1,"]")),MATCH(vp.tbl[[#This Row],[SDate]],weather.tbl[Date],0))</f>
        <v>-1.8</v>
      </c>
      <c r="S1308" s="2">
        <f ca="1">INDEX(INDIRECT(_xlfn.CONCAT("weather.tbl[",S$1,"]")),MATCH(vp.tbl[[#This Row],[SDate]],weather.tbl[Date],0))</f>
        <v>1.1000000000000001</v>
      </c>
      <c r="T1308" s="2">
        <f ca="1">INDEX(INDIRECT(_xlfn.CONCAT("weather.tbl[",T$1,"]")),MATCH(vp.tbl[[#This Row],[SDate]],weather.tbl[Date],0))</f>
        <v>-0.7</v>
      </c>
      <c r="U1308" s="2">
        <f ca="1">INDEX(INDIRECT(_xlfn.CONCAT("weather.tbl[",U$1,"]")),MATCH(vp.tbl[[#This Row],[SDate]],weather.tbl[Date],0))</f>
        <v>0.8</v>
      </c>
      <c r="V1308" s="2">
        <v>33.130000000000003</v>
      </c>
      <c r="W1308" t="s">
        <v>268</v>
      </c>
      <c r="X1308">
        <f>IF(OR(vp.tbl[[#This Row],[Sulf]]="",vp.tbl[[#This Row],[Dens]]=""),1,0)</f>
        <v>0</v>
      </c>
      <c r="Y1308">
        <f>IF(vp.tbl[[#This Row],[CrudeType]]="C5+",1,0)</f>
        <v>1</v>
      </c>
      <c r="Z1308">
        <f>IF(AND(vp.tbl[[#This Row],[CrudeType]]="Crude",vp.tbl[[#This Row],[Dens]]&lt;=825,vp.tbl[[#This Row],[Sulf]]&gt;0.5,vp.tbl[[#This Row],[Unknown]]=0),1,0)</f>
        <v>0</v>
      </c>
      <c r="AA1308">
        <f>IF(AND(vp.tbl[[#This Row],[CrudeType]]="Crude",vp.tbl[[#This Row],[Dens]]&lt;=825,vp.tbl[[#This Row],[Sulf]]&lt;=0.5,vp.tbl[[#This Row],[Unknown]]=0),1,0)</f>
        <v>0</v>
      </c>
      <c r="AB1308">
        <f>IF(AND(vp.tbl[[#This Row],[CrudeType]]="Crude",vp.tbl[[#This Row],[Dens]]&gt;825,vp.tbl[[#This Row],[Dens]]&lt;=870,vp.tbl[[#This Row],[Sulf]]&gt;0.5,vp.tbl[[#This Row],[Unknown]]=0),1,0)</f>
        <v>0</v>
      </c>
      <c r="AC1308">
        <f>IF(AND(vp.tbl[[#This Row],[CrudeType]]="Crude",vp.tbl[[#This Row],[Dens]]&gt;825,vp.tbl[[#This Row],[Dens]]&lt;=900,vp.tbl[[#This Row],[Sulf]]&lt;=0.5,vp.tbl[[#This Row],[Unknown]]=0),1,0)</f>
        <v>0</v>
      </c>
      <c r="AD1308">
        <f>IF(AND(vp.tbl[[#This Row],[CrudeType]]="Crude",vp.tbl[[#This Row],[Dens]]&gt;870,vp.tbl[[#This Row],[Dens]]&lt;=900,vp.tbl[[#This Row],[Sulf]]&gt;0.5,vp.tbl[[#This Row],[Unknown]]=0),1,0)</f>
        <v>0</v>
      </c>
      <c r="AE1308">
        <f>IF(AND(vp.tbl[[#This Row],[CrudeType]]="Crude",vp.tbl[[#This Row],[Dens]]&gt;900,vp.tbl[[#This Row],[Sulf]]&lt;=0.5,vp.tbl[[#This Row],[Unknown]]=0),1,0)</f>
        <v>0</v>
      </c>
      <c r="AF1308">
        <f>IF(AND(vp.tbl[[#This Row],[CrudeType]]="Crude",vp.tbl[[#This Row],[Dens]]&gt;900,vp.tbl[[#This Row],[Sulf]]&lt;=0.5,vp.tbl[[#This Row],[Unknown]]=0),1,0)</f>
        <v>0</v>
      </c>
      <c r="AG1308" t="str">
        <f>INDEX(vp.tbl[[#Headers],[Unknown]:[Heavy_SW]],MATCH(1,vp.tbl[[#This Row],[Unknown]:[Heavy_SW]],0))</f>
        <v>C5</v>
      </c>
      <c r="AH1308" t="e">
        <f>INDEX([1]!crudeBD.lkup[Number],MATCH(vp.tbl[[#This Row],[Crude_Breakdown]],[1]!crudeBD.lkup[Crude Breakdown],0))</f>
        <v>#REF!</v>
      </c>
      <c r="AI1308">
        <f>MONTH(vp.tbl[[#This Row],[SDate]])</f>
        <v>3</v>
      </c>
      <c r="AJ1308" s="5">
        <f>IFERROR(vp.tbl[[#This Row],[Sulf]]*vp.tbl[[#This Row],[Net Dens]],"")</f>
        <v>0</v>
      </c>
      <c r="AK1308" s="5">
        <f>IFERROR(vp.tbl[[#This Row],[Dens]]*vp.tbl[[#This Row],[VolumeM3]],"")</f>
        <v>21835.983000000004</v>
      </c>
      <c r="AL1308" s="5">
        <f>IFERROR(vp.tbl[[#This Row],[VP]]*vp.tbl[[#This Row],[VolumeM3]],"")</f>
        <v>3124.1590000000001</v>
      </c>
      <c r="AM1308" s="4">
        <f>IFERROR((vp.tbl[[#This Row],[VP]]-INDEX(crudeBD.lkup.complete[Mean_VP],MATCH(vp.tbl[[#This Row],[Crude_Breakdown]],crudeBD.lkup.complete[Crude Breakdown],0)))^2,"")</f>
        <v>78.840946028465908</v>
      </c>
      <c r="AN1308" s="4">
        <f>IFERROR((vp.tbl[[#This Row],[Dens]]-INDEX(crudeBD.lkup.complete[Mean_Dens],MATCH(vp.tbl[[#This Row],[Crude_Breakdown]],crudeBD.lkup.complete[Crude Breakdown],0)))^2,"")</f>
        <v>1.0481416207529402</v>
      </c>
      <c r="AO1308" s="4">
        <f>IFERROR((vp.tbl[[#This Row],[Sulf]]-INDEX(crudeBD.lkup.complete[Mean_Sulf],MATCH(vp.tbl[[#This Row],[Crude_Breakdown]],crudeBD.lkup.complete[Crude Breakdown],0)))^2,"")</f>
        <v>0</v>
      </c>
      <c r="AP1308">
        <f>IF(AND(vp.tbl[[#This Row],[SDate]]&gt;=DATE(YEAR(vp.tbl[[#This Row],[SDate]]),5,1),vp.tbl[[#This Row],[SDate]]&lt;=DATE(YEAR(vp.tbl[[#This Row],[SDate]]),9,15)),1,0)</f>
        <v>0</v>
      </c>
      <c r="AQ1308" s="15">
        <f>IF(vp.tbl[[#This Row],[SDate]]&lt;DATE(2016,12,1),0,1)</f>
        <v>1</v>
      </c>
    </row>
    <row r="1309" spans="1:43" x14ac:dyDescent="0.25">
      <c r="A1309">
        <v>1308</v>
      </c>
      <c r="B1309" t="s">
        <v>265</v>
      </c>
      <c r="C1309" t="s">
        <v>266</v>
      </c>
      <c r="D1309" t="s">
        <v>267</v>
      </c>
      <c r="E1309">
        <v>320008</v>
      </c>
      <c r="F1309" s="1">
        <v>42805</v>
      </c>
      <c r="G1309" s="2">
        <v>104.1</v>
      </c>
      <c r="H1309" s="2">
        <v>0</v>
      </c>
      <c r="I1309" s="2">
        <v>0</v>
      </c>
      <c r="J1309" s="2"/>
      <c r="K1309" s="2">
        <v>-17</v>
      </c>
      <c r="L1309" s="2">
        <v>660.9</v>
      </c>
      <c r="M1309" s="2">
        <v>660.9</v>
      </c>
      <c r="N1309" s="2">
        <f ca="1">INDEX(INDIRECT(_xlfn.CONCAT("weather.tbl[",N$1,"]")),MATCH(vp.tbl[[#This Row],[SDate]],weather.tbl[Date],0))</f>
        <v>-18</v>
      </c>
      <c r="O1309" s="2">
        <f ca="1">INDEX(INDIRECT(_xlfn.CONCAT("weather.tbl[",O$1,"]")),MATCH(vp.tbl[[#This Row],[SDate]],weather.tbl[Date],0))</f>
        <v>-13.185714285714285</v>
      </c>
      <c r="P1309" s="2">
        <f ca="1">INDEX(INDIRECT(_xlfn.CONCAT("weather.tbl[",P$1,"]")),MATCH(vp.tbl[[#This Row],[SDate]],weather.tbl[Date],0))</f>
        <v>-17.7</v>
      </c>
      <c r="Q1309" s="2">
        <f ca="1">INDEX(INDIRECT(_xlfn.CONCAT("weather.tbl[",Q$1,"]")),MATCH(vp.tbl[[#This Row],[SDate]],weather.tbl[Date],0))</f>
        <v>-18.100000000000001</v>
      </c>
      <c r="R1309" s="2">
        <f ca="1">INDEX(INDIRECT(_xlfn.CONCAT("weather.tbl[",R$1,"]")),MATCH(vp.tbl[[#This Row],[SDate]],weather.tbl[Date],0))</f>
        <v>-18.5</v>
      </c>
      <c r="S1309" s="2">
        <f ca="1">INDEX(INDIRECT(_xlfn.CONCAT("weather.tbl[",S$1,"]")),MATCH(vp.tbl[[#This Row],[SDate]],weather.tbl[Date],0))</f>
        <v>-17.600000000000001</v>
      </c>
      <c r="T1309" s="2">
        <f ca="1">INDEX(INDIRECT(_xlfn.CONCAT("weather.tbl[",T$1,"]")),MATCH(vp.tbl[[#This Row],[SDate]],weather.tbl[Date],0))</f>
        <v>-18.100000000000001</v>
      </c>
      <c r="U1309" s="2">
        <f ca="1">INDEX(INDIRECT(_xlfn.CONCAT("weather.tbl[",U$1,"]")),MATCH(vp.tbl[[#This Row],[SDate]],weather.tbl[Date],0))</f>
        <v>-18</v>
      </c>
      <c r="V1309" s="2">
        <v>42.53</v>
      </c>
      <c r="W1309" t="s">
        <v>268</v>
      </c>
      <c r="X1309">
        <f>IF(OR(vp.tbl[[#This Row],[Sulf]]="",vp.tbl[[#This Row],[Dens]]=""),1,0)</f>
        <v>0</v>
      </c>
      <c r="Y1309">
        <f>IF(vp.tbl[[#This Row],[CrudeType]]="C5+",1,0)</f>
        <v>1</v>
      </c>
      <c r="Z1309">
        <f>IF(AND(vp.tbl[[#This Row],[CrudeType]]="Crude",vp.tbl[[#This Row],[Dens]]&lt;=825,vp.tbl[[#This Row],[Sulf]]&gt;0.5,vp.tbl[[#This Row],[Unknown]]=0),1,0)</f>
        <v>0</v>
      </c>
      <c r="AA1309">
        <f>IF(AND(vp.tbl[[#This Row],[CrudeType]]="Crude",vp.tbl[[#This Row],[Dens]]&lt;=825,vp.tbl[[#This Row],[Sulf]]&lt;=0.5,vp.tbl[[#This Row],[Unknown]]=0),1,0)</f>
        <v>0</v>
      </c>
      <c r="AB1309">
        <f>IF(AND(vp.tbl[[#This Row],[CrudeType]]="Crude",vp.tbl[[#This Row],[Dens]]&gt;825,vp.tbl[[#This Row],[Dens]]&lt;=870,vp.tbl[[#This Row],[Sulf]]&gt;0.5,vp.tbl[[#This Row],[Unknown]]=0),1,0)</f>
        <v>0</v>
      </c>
      <c r="AC1309">
        <f>IF(AND(vp.tbl[[#This Row],[CrudeType]]="Crude",vp.tbl[[#This Row],[Dens]]&gt;825,vp.tbl[[#This Row],[Dens]]&lt;=900,vp.tbl[[#This Row],[Sulf]]&lt;=0.5,vp.tbl[[#This Row],[Unknown]]=0),1,0)</f>
        <v>0</v>
      </c>
      <c r="AD1309">
        <f>IF(AND(vp.tbl[[#This Row],[CrudeType]]="Crude",vp.tbl[[#This Row],[Dens]]&gt;870,vp.tbl[[#This Row],[Dens]]&lt;=900,vp.tbl[[#This Row],[Sulf]]&gt;0.5,vp.tbl[[#This Row],[Unknown]]=0),1,0)</f>
        <v>0</v>
      </c>
      <c r="AE1309">
        <f>IF(AND(vp.tbl[[#This Row],[CrudeType]]="Crude",vp.tbl[[#This Row],[Dens]]&gt;900,vp.tbl[[#This Row],[Sulf]]&lt;=0.5,vp.tbl[[#This Row],[Unknown]]=0),1,0)</f>
        <v>0</v>
      </c>
      <c r="AF1309">
        <f>IF(AND(vp.tbl[[#This Row],[CrudeType]]="Crude",vp.tbl[[#This Row],[Dens]]&gt;900,vp.tbl[[#This Row],[Sulf]]&lt;=0.5,vp.tbl[[#This Row],[Unknown]]=0),1,0)</f>
        <v>0</v>
      </c>
      <c r="AG1309" t="str">
        <f>INDEX(vp.tbl[[#Headers],[Unknown]:[Heavy_SW]],MATCH(1,vp.tbl[[#This Row],[Unknown]:[Heavy_SW]],0))</f>
        <v>C5</v>
      </c>
      <c r="AH1309" t="e">
        <f>INDEX([1]!crudeBD.lkup[Number],MATCH(vp.tbl[[#This Row],[Crude_Breakdown]],[1]!crudeBD.lkup[Crude Breakdown],0))</f>
        <v>#REF!</v>
      </c>
      <c r="AI1309">
        <f>MONTH(vp.tbl[[#This Row],[SDate]])</f>
        <v>3</v>
      </c>
      <c r="AJ1309" s="5">
        <f>IFERROR(vp.tbl[[#This Row],[Sulf]]*vp.tbl[[#This Row],[Net Dens]],"")</f>
        <v>0</v>
      </c>
      <c r="AK1309" s="5">
        <f>IFERROR(vp.tbl[[#This Row],[Dens]]*vp.tbl[[#This Row],[VolumeM3]],"")</f>
        <v>28108.077000000001</v>
      </c>
      <c r="AL1309" s="5">
        <f>IFERROR(vp.tbl[[#This Row],[VP]]*vp.tbl[[#This Row],[VolumeM3]],"")</f>
        <v>4427.3729999999996</v>
      </c>
      <c r="AM1309" s="4">
        <f>IFERROR((vp.tbl[[#This Row],[VP]]-INDEX(crudeBD.lkup.complete[Mean_VP],MATCH(vp.tbl[[#This Row],[Crude_Breakdown]],crudeBD.lkup.complete[Crude Breakdown],0)))^2,"")</f>
        <v>0.84779451331502209</v>
      </c>
      <c r="AN1309" s="4">
        <f>IFERROR((vp.tbl[[#This Row],[Dens]]-INDEX(crudeBD.lkup.complete[Mean_Dens],MATCH(vp.tbl[[#This Row],[Crude_Breakdown]],crudeBD.lkup.complete[Crude Breakdown],0)))^2,"")</f>
        <v>7.9737779843889687</v>
      </c>
      <c r="AO1309" s="4">
        <f>IFERROR((vp.tbl[[#This Row],[Sulf]]-INDEX(crudeBD.lkup.complete[Mean_Sulf],MATCH(vp.tbl[[#This Row],[Crude_Breakdown]],crudeBD.lkup.complete[Crude Breakdown],0)))^2,"")</f>
        <v>0</v>
      </c>
      <c r="AP1309">
        <f>IF(AND(vp.tbl[[#This Row],[SDate]]&gt;=DATE(YEAR(vp.tbl[[#This Row],[SDate]]),5,1),vp.tbl[[#This Row],[SDate]]&lt;=DATE(YEAR(vp.tbl[[#This Row],[SDate]]),9,15)),1,0)</f>
        <v>0</v>
      </c>
      <c r="AQ1309" s="15">
        <f>IF(vp.tbl[[#This Row],[SDate]]&lt;DATE(2016,12,1),0,1)</f>
        <v>1</v>
      </c>
    </row>
    <row r="1310" spans="1:43" x14ac:dyDescent="0.25">
      <c r="A1310">
        <v>1309</v>
      </c>
      <c r="B1310" t="s">
        <v>272</v>
      </c>
      <c r="C1310" t="s">
        <v>273</v>
      </c>
      <c r="D1310" t="s">
        <v>274</v>
      </c>
      <c r="E1310">
        <v>320034</v>
      </c>
      <c r="F1310" s="1">
        <v>42805</v>
      </c>
      <c r="G1310" s="2">
        <v>119.5</v>
      </c>
      <c r="H1310" s="2">
        <v>0</v>
      </c>
      <c r="I1310" s="2">
        <v>0</v>
      </c>
      <c r="J1310" s="2">
        <v>6.65</v>
      </c>
      <c r="K1310" s="2">
        <v>-17</v>
      </c>
      <c r="L1310" s="2">
        <v>661.94</v>
      </c>
      <c r="M1310" s="2">
        <v>661.94</v>
      </c>
      <c r="N1310" s="2">
        <f ca="1">INDEX(INDIRECT(_xlfn.CONCAT("weather.tbl[",N$1,"]")),MATCH(vp.tbl[[#This Row],[SDate]],weather.tbl[Date],0))</f>
        <v>-18</v>
      </c>
      <c r="O1310" s="2">
        <f ca="1">INDEX(INDIRECT(_xlfn.CONCAT("weather.tbl[",O$1,"]")),MATCH(vp.tbl[[#This Row],[SDate]],weather.tbl[Date],0))</f>
        <v>-13.185714285714285</v>
      </c>
      <c r="P1310" s="2">
        <f ca="1">INDEX(INDIRECT(_xlfn.CONCAT("weather.tbl[",P$1,"]")),MATCH(vp.tbl[[#This Row],[SDate]],weather.tbl[Date],0))</f>
        <v>-17.7</v>
      </c>
      <c r="Q1310" s="2">
        <f ca="1">INDEX(INDIRECT(_xlfn.CONCAT("weather.tbl[",Q$1,"]")),MATCH(vp.tbl[[#This Row],[SDate]],weather.tbl[Date],0))</f>
        <v>-18.100000000000001</v>
      </c>
      <c r="R1310" s="2">
        <f ca="1">INDEX(INDIRECT(_xlfn.CONCAT("weather.tbl[",R$1,"]")),MATCH(vp.tbl[[#This Row],[SDate]],weather.tbl[Date],0))</f>
        <v>-18.5</v>
      </c>
      <c r="S1310" s="2">
        <f ca="1">INDEX(INDIRECT(_xlfn.CONCAT("weather.tbl[",S$1,"]")),MATCH(vp.tbl[[#This Row],[SDate]],weather.tbl[Date],0))</f>
        <v>-17.600000000000001</v>
      </c>
      <c r="T1310" s="2">
        <f ca="1">INDEX(INDIRECT(_xlfn.CONCAT("weather.tbl[",T$1,"]")),MATCH(vp.tbl[[#This Row],[SDate]],weather.tbl[Date],0))</f>
        <v>-18.100000000000001</v>
      </c>
      <c r="U1310" s="2">
        <f ca="1">INDEX(INDIRECT(_xlfn.CONCAT("weather.tbl[",U$1,"]")),MATCH(vp.tbl[[#This Row],[SDate]],weather.tbl[Date],0))</f>
        <v>-18</v>
      </c>
      <c r="V1310" s="2">
        <v>38.380000000000003</v>
      </c>
      <c r="W1310" t="s">
        <v>268</v>
      </c>
      <c r="X1310">
        <f>IF(OR(vp.tbl[[#This Row],[Sulf]]="",vp.tbl[[#This Row],[Dens]]=""),1,0)</f>
        <v>0</v>
      </c>
      <c r="Y1310">
        <f>IF(vp.tbl[[#This Row],[CrudeType]]="C5+",1,0)</f>
        <v>1</v>
      </c>
      <c r="Z1310">
        <f>IF(AND(vp.tbl[[#This Row],[CrudeType]]="Crude",vp.tbl[[#This Row],[Dens]]&lt;=825,vp.tbl[[#This Row],[Sulf]]&gt;0.5,vp.tbl[[#This Row],[Unknown]]=0),1,0)</f>
        <v>0</v>
      </c>
      <c r="AA1310">
        <f>IF(AND(vp.tbl[[#This Row],[CrudeType]]="Crude",vp.tbl[[#This Row],[Dens]]&lt;=825,vp.tbl[[#This Row],[Sulf]]&lt;=0.5,vp.tbl[[#This Row],[Unknown]]=0),1,0)</f>
        <v>0</v>
      </c>
      <c r="AB1310">
        <f>IF(AND(vp.tbl[[#This Row],[CrudeType]]="Crude",vp.tbl[[#This Row],[Dens]]&gt;825,vp.tbl[[#This Row],[Dens]]&lt;=870,vp.tbl[[#This Row],[Sulf]]&gt;0.5,vp.tbl[[#This Row],[Unknown]]=0),1,0)</f>
        <v>0</v>
      </c>
      <c r="AC1310">
        <f>IF(AND(vp.tbl[[#This Row],[CrudeType]]="Crude",vp.tbl[[#This Row],[Dens]]&gt;825,vp.tbl[[#This Row],[Dens]]&lt;=900,vp.tbl[[#This Row],[Sulf]]&lt;=0.5,vp.tbl[[#This Row],[Unknown]]=0),1,0)</f>
        <v>0</v>
      </c>
      <c r="AD1310">
        <f>IF(AND(vp.tbl[[#This Row],[CrudeType]]="Crude",vp.tbl[[#This Row],[Dens]]&gt;870,vp.tbl[[#This Row],[Dens]]&lt;=900,vp.tbl[[#This Row],[Sulf]]&gt;0.5,vp.tbl[[#This Row],[Unknown]]=0),1,0)</f>
        <v>0</v>
      </c>
      <c r="AE1310">
        <f>IF(AND(vp.tbl[[#This Row],[CrudeType]]="Crude",vp.tbl[[#This Row],[Dens]]&gt;900,vp.tbl[[#This Row],[Sulf]]&lt;=0.5,vp.tbl[[#This Row],[Unknown]]=0),1,0)</f>
        <v>0</v>
      </c>
      <c r="AF1310">
        <f>IF(AND(vp.tbl[[#This Row],[CrudeType]]="Crude",vp.tbl[[#This Row],[Dens]]&gt;900,vp.tbl[[#This Row],[Sulf]]&lt;=0.5,vp.tbl[[#This Row],[Unknown]]=0),1,0)</f>
        <v>0</v>
      </c>
      <c r="AG1310" t="str">
        <f>INDEX(vp.tbl[[#Headers],[Unknown]:[Heavy_SW]],MATCH(1,vp.tbl[[#This Row],[Unknown]:[Heavy_SW]],0))</f>
        <v>C5</v>
      </c>
      <c r="AH1310" t="e">
        <f>INDEX([1]!crudeBD.lkup[Number],MATCH(vp.tbl[[#This Row],[Crude_Breakdown]],[1]!crudeBD.lkup[Crude Breakdown],0))</f>
        <v>#REF!</v>
      </c>
      <c r="AI1310">
        <f>MONTH(vp.tbl[[#This Row],[SDate]])</f>
        <v>3</v>
      </c>
      <c r="AJ1310" s="5">
        <f>IFERROR(vp.tbl[[#This Row],[Sulf]]*vp.tbl[[#This Row],[Net Dens]],"")</f>
        <v>0</v>
      </c>
      <c r="AK1310" s="5">
        <f>IFERROR(vp.tbl[[#This Row],[Dens]]*vp.tbl[[#This Row],[VolumeM3]],"")</f>
        <v>25405.257200000004</v>
      </c>
      <c r="AL1310" s="5">
        <f>IFERROR(vp.tbl[[#This Row],[VP]]*vp.tbl[[#This Row],[VolumeM3]],"")</f>
        <v>4586.41</v>
      </c>
      <c r="AM1310" s="4">
        <f>IFERROR((vp.tbl[[#This Row],[VP]]-INDEX(crudeBD.lkup.complete[Mean_VP],MATCH(vp.tbl[[#This Row],[Crude_Breakdown]],crudeBD.lkup.complete[Crude Breakdown],0)))^2,"")</f>
        <v>266.36712784664945</v>
      </c>
      <c r="AN1310" s="4">
        <f>IFERROR((vp.tbl[[#This Row],[Dens]]-INDEX(crudeBD.lkup.complete[Mean_Dens],MATCH(vp.tbl[[#This Row],[Crude_Breakdown]],crudeBD.lkup.complete[Crude Breakdown],0)))^2,"")</f>
        <v>14.928856772268215</v>
      </c>
      <c r="AO1310" s="4">
        <f>IFERROR((vp.tbl[[#This Row],[Sulf]]-INDEX(crudeBD.lkup.complete[Mean_Sulf],MATCH(vp.tbl[[#This Row],[Crude_Breakdown]],crudeBD.lkup.complete[Crude Breakdown],0)))^2,"")</f>
        <v>0</v>
      </c>
      <c r="AP1310">
        <f>IF(AND(vp.tbl[[#This Row],[SDate]]&gt;=DATE(YEAR(vp.tbl[[#This Row],[SDate]]),5,1),vp.tbl[[#This Row],[SDate]]&lt;=DATE(YEAR(vp.tbl[[#This Row],[SDate]]),9,15)),1,0)</f>
        <v>0</v>
      </c>
      <c r="AQ1310" s="15">
        <f>IF(vp.tbl[[#This Row],[SDate]]&lt;DATE(2016,12,1),0,1)</f>
        <v>1</v>
      </c>
    </row>
    <row r="1311" spans="1:43" x14ac:dyDescent="0.25">
      <c r="A1311">
        <v>1310</v>
      </c>
      <c r="B1311" t="s">
        <v>275</v>
      </c>
      <c r="C1311" t="s">
        <v>276</v>
      </c>
      <c r="D1311" t="s">
        <v>277</v>
      </c>
      <c r="E1311">
        <v>320005</v>
      </c>
      <c r="F1311" s="1">
        <v>42805</v>
      </c>
      <c r="G1311" s="2">
        <v>96.5</v>
      </c>
      <c r="H1311" s="2">
        <v>0</v>
      </c>
      <c r="I1311" s="2">
        <v>0</v>
      </c>
      <c r="J1311" s="2">
        <v>6.2</v>
      </c>
      <c r="K1311" s="2">
        <v>-17</v>
      </c>
      <c r="L1311" s="2">
        <v>666.59</v>
      </c>
      <c r="M1311" s="2">
        <v>666.59</v>
      </c>
      <c r="N1311" s="2">
        <f ca="1">INDEX(INDIRECT(_xlfn.CONCAT("weather.tbl[",N$1,"]")),MATCH(vp.tbl[[#This Row],[SDate]],weather.tbl[Date],0))</f>
        <v>-18</v>
      </c>
      <c r="O1311" s="2">
        <f ca="1">INDEX(INDIRECT(_xlfn.CONCAT("weather.tbl[",O$1,"]")),MATCH(vp.tbl[[#This Row],[SDate]],weather.tbl[Date],0))</f>
        <v>-13.185714285714285</v>
      </c>
      <c r="P1311" s="2">
        <f ca="1">INDEX(INDIRECT(_xlfn.CONCAT("weather.tbl[",P$1,"]")),MATCH(vp.tbl[[#This Row],[SDate]],weather.tbl[Date],0))</f>
        <v>-17.7</v>
      </c>
      <c r="Q1311" s="2">
        <f ca="1">INDEX(INDIRECT(_xlfn.CONCAT("weather.tbl[",Q$1,"]")),MATCH(vp.tbl[[#This Row],[SDate]],weather.tbl[Date],0))</f>
        <v>-18.100000000000001</v>
      </c>
      <c r="R1311" s="2">
        <f ca="1">INDEX(INDIRECT(_xlfn.CONCAT("weather.tbl[",R$1,"]")),MATCH(vp.tbl[[#This Row],[SDate]],weather.tbl[Date],0))</f>
        <v>-18.5</v>
      </c>
      <c r="S1311" s="2">
        <f ca="1">INDEX(INDIRECT(_xlfn.CONCAT("weather.tbl[",S$1,"]")),MATCH(vp.tbl[[#This Row],[SDate]],weather.tbl[Date],0))</f>
        <v>-17.600000000000001</v>
      </c>
      <c r="T1311" s="2">
        <f ca="1">INDEX(INDIRECT(_xlfn.CONCAT("weather.tbl[",T$1,"]")),MATCH(vp.tbl[[#This Row],[SDate]],weather.tbl[Date],0))</f>
        <v>-18.100000000000001</v>
      </c>
      <c r="U1311" s="2">
        <f ca="1">INDEX(INDIRECT(_xlfn.CONCAT("weather.tbl[",U$1,"]")),MATCH(vp.tbl[[#This Row],[SDate]],weather.tbl[Date],0))</f>
        <v>-18</v>
      </c>
      <c r="V1311" s="2">
        <v>36.549999999999997</v>
      </c>
      <c r="W1311" t="s">
        <v>268</v>
      </c>
      <c r="X1311">
        <f>IF(OR(vp.tbl[[#This Row],[Sulf]]="",vp.tbl[[#This Row],[Dens]]=""),1,0)</f>
        <v>0</v>
      </c>
      <c r="Y1311">
        <f>IF(vp.tbl[[#This Row],[CrudeType]]="C5+",1,0)</f>
        <v>1</v>
      </c>
      <c r="Z1311">
        <f>IF(AND(vp.tbl[[#This Row],[CrudeType]]="Crude",vp.tbl[[#This Row],[Dens]]&lt;=825,vp.tbl[[#This Row],[Sulf]]&gt;0.5,vp.tbl[[#This Row],[Unknown]]=0),1,0)</f>
        <v>0</v>
      </c>
      <c r="AA1311">
        <f>IF(AND(vp.tbl[[#This Row],[CrudeType]]="Crude",vp.tbl[[#This Row],[Dens]]&lt;=825,vp.tbl[[#This Row],[Sulf]]&lt;=0.5,vp.tbl[[#This Row],[Unknown]]=0),1,0)</f>
        <v>0</v>
      </c>
      <c r="AB1311">
        <f>IF(AND(vp.tbl[[#This Row],[CrudeType]]="Crude",vp.tbl[[#This Row],[Dens]]&gt;825,vp.tbl[[#This Row],[Dens]]&lt;=870,vp.tbl[[#This Row],[Sulf]]&gt;0.5,vp.tbl[[#This Row],[Unknown]]=0),1,0)</f>
        <v>0</v>
      </c>
      <c r="AC1311">
        <f>IF(AND(vp.tbl[[#This Row],[CrudeType]]="Crude",vp.tbl[[#This Row],[Dens]]&gt;825,vp.tbl[[#This Row],[Dens]]&lt;=900,vp.tbl[[#This Row],[Sulf]]&lt;=0.5,vp.tbl[[#This Row],[Unknown]]=0),1,0)</f>
        <v>0</v>
      </c>
      <c r="AD1311">
        <f>IF(AND(vp.tbl[[#This Row],[CrudeType]]="Crude",vp.tbl[[#This Row],[Dens]]&gt;870,vp.tbl[[#This Row],[Dens]]&lt;=900,vp.tbl[[#This Row],[Sulf]]&gt;0.5,vp.tbl[[#This Row],[Unknown]]=0),1,0)</f>
        <v>0</v>
      </c>
      <c r="AE1311">
        <f>IF(AND(vp.tbl[[#This Row],[CrudeType]]="Crude",vp.tbl[[#This Row],[Dens]]&gt;900,vp.tbl[[#This Row],[Sulf]]&lt;=0.5,vp.tbl[[#This Row],[Unknown]]=0),1,0)</f>
        <v>0</v>
      </c>
      <c r="AF1311">
        <f>IF(AND(vp.tbl[[#This Row],[CrudeType]]="Crude",vp.tbl[[#This Row],[Dens]]&gt;900,vp.tbl[[#This Row],[Sulf]]&lt;=0.5,vp.tbl[[#This Row],[Unknown]]=0),1,0)</f>
        <v>0</v>
      </c>
      <c r="AG1311" t="str">
        <f>INDEX(vp.tbl[[#Headers],[Unknown]:[Heavy_SW]],MATCH(1,vp.tbl[[#This Row],[Unknown]:[Heavy_SW]],0))</f>
        <v>C5</v>
      </c>
      <c r="AH1311" t="e">
        <f>INDEX([1]!crudeBD.lkup[Number],MATCH(vp.tbl[[#This Row],[Crude_Breakdown]],[1]!crudeBD.lkup[Crude Breakdown],0))</f>
        <v>#REF!</v>
      </c>
      <c r="AI1311">
        <f>MONTH(vp.tbl[[#This Row],[SDate]])</f>
        <v>3</v>
      </c>
      <c r="AJ1311" s="5">
        <f>IFERROR(vp.tbl[[#This Row],[Sulf]]*vp.tbl[[#This Row],[Net Dens]],"")</f>
        <v>0</v>
      </c>
      <c r="AK1311" s="5">
        <f>IFERROR(vp.tbl[[#This Row],[Dens]]*vp.tbl[[#This Row],[VolumeM3]],"")</f>
        <v>24363.8645</v>
      </c>
      <c r="AL1311" s="5">
        <f>IFERROR(vp.tbl[[#This Row],[VP]]*vp.tbl[[#This Row],[VolumeM3]],"")</f>
        <v>3527.0749999999998</v>
      </c>
      <c r="AM1311" s="4">
        <f>IFERROR((vp.tbl[[#This Row],[VP]]-INDEX(crudeBD.lkup.complete[Mean_VP],MATCH(vp.tbl[[#This Row],[Crude_Breakdown]],crudeBD.lkup.complete[Crude Breakdown],0)))^2,"")</f>
        <v>44.612279361799345</v>
      </c>
      <c r="AN1311" s="4">
        <f>IFERROR((vp.tbl[[#This Row],[Dens]]-INDEX(crudeBD.lkup.complete[Mean_Dens],MATCH(vp.tbl[[#This Row],[Crude_Breakdown]],crudeBD.lkup.complete[Crude Breakdown],0)))^2,"")</f>
        <v>72.484584044995202</v>
      </c>
      <c r="AO1311" s="4">
        <f>IFERROR((vp.tbl[[#This Row],[Sulf]]-INDEX(crudeBD.lkup.complete[Mean_Sulf],MATCH(vp.tbl[[#This Row],[Crude_Breakdown]],crudeBD.lkup.complete[Crude Breakdown],0)))^2,"")</f>
        <v>0</v>
      </c>
      <c r="AP1311">
        <f>IF(AND(vp.tbl[[#This Row],[SDate]]&gt;=DATE(YEAR(vp.tbl[[#This Row],[SDate]]),5,1),vp.tbl[[#This Row],[SDate]]&lt;=DATE(YEAR(vp.tbl[[#This Row],[SDate]]),9,15)),1,0)</f>
        <v>0</v>
      </c>
      <c r="AQ1311" s="15">
        <f>IF(vp.tbl[[#This Row],[SDate]]&lt;DATE(2016,12,1),0,1)</f>
        <v>1</v>
      </c>
    </row>
    <row r="1312" spans="1:43" x14ac:dyDescent="0.25">
      <c r="A1312">
        <v>1311</v>
      </c>
      <c r="B1312" t="s">
        <v>269</v>
      </c>
      <c r="C1312" t="s">
        <v>278</v>
      </c>
      <c r="D1312" t="s">
        <v>279</v>
      </c>
      <c r="E1312">
        <v>320013</v>
      </c>
      <c r="F1312" s="1">
        <v>42805</v>
      </c>
      <c r="G1312" s="2">
        <v>96.7</v>
      </c>
      <c r="H1312" s="2">
        <v>0</v>
      </c>
      <c r="I1312" s="2">
        <v>0</v>
      </c>
      <c r="J1312" s="2">
        <v>12.17</v>
      </c>
      <c r="K1312" s="2">
        <v>-17</v>
      </c>
      <c r="L1312" s="2">
        <v>673.33</v>
      </c>
      <c r="M1312" s="2">
        <v>673.33</v>
      </c>
      <c r="N1312" s="2">
        <f ca="1">INDEX(INDIRECT(_xlfn.CONCAT("weather.tbl[",N$1,"]")),MATCH(vp.tbl[[#This Row],[SDate]],weather.tbl[Date],0))</f>
        <v>-18</v>
      </c>
      <c r="O1312" s="2">
        <f ca="1">INDEX(INDIRECT(_xlfn.CONCAT("weather.tbl[",O$1,"]")),MATCH(vp.tbl[[#This Row],[SDate]],weather.tbl[Date],0))</f>
        <v>-13.185714285714285</v>
      </c>
      <c r="P1312" s="2">
        <f ca="1">INDEX(INDIRECT(_xlfn.CONCAT("weather.tbl[",P$1,"]")),MATCH(vp.tbl[[#This Row],[SDate]],weather.tbl[Date],0))</f>
        <v>-17.7</v>
      </c>
      <c r="Q1312" s="2">
        <f ca="1">INDEX(INDIRECT(_xlfn.CONCAT("weather.tbl[",Q$1,"]")),MATCH(vp.tbl[[#This Row],[SDate]],weather.tbl[Date],0))</f>
        <v>-18.100000000000001</v>
      </c>
      <c r="R1312" s="2">
        <f ca="1">INDEX(INDIRECT(_xlfn.CONCAT("weather.tbl[",R$1,"]")),MATCH(vp.tbl[[#This Row],[SDate]],weather.tbl[Date],0))</f>
        <v>-18.5</v>
      </c>
      <c r="S1312" s="2">
        <f ca="1">INDEX(INDIRECT(_xlfn.CONCAT("weather.tbl[",S$1,"]")),MATCH(vp.tbl[[#This Row],[SDate]],weather.tbl[Date],0))</f>
        <v>-17.600000000000001</v>
      </c>
      <c r="T1312" s="2">
        <f ca="1">INDEX(INDIRECT(_xlfn.CONCAT("weather.tbl[",T$1,"]")),MATCH(vp.tbl[[#This Row],[SDate]],weather.tbl[Date],0))</f>
        <v>-18.100000000000001</v>
      </c>
      <c r="U1312" s="2">
        <f ca="1">INDEX(INDIRECT(_xlfn.CONCAT("weather.tbl[",U$1,"]")),MATCH(vp.tbl[[#This Row],[SDate]],weather.tbl[Date],0))</f>
        <v>-18</v>
      </c>
      <c r="V1312" s="2">
        <v>41.55</v>
      </c>
      <c r="W1312" t="s">
        <v>268</v>
      </c>
      <c r="X1312">
        <f>IF(OR(vp.tbl[[#This Row],[Sulf]]="",vp.tbl[[#This Row],[Dens]]=""),1,0)</f>
        <v>0</v>
      </c>
      <c r="Y1312">
        <f>IF(vp.tbl[[#This Row],[CrudeType]]="C5+",1,0)</f>
        <v>1</v>
      </c>
      <c r="Z1312">
        <f>IF(AND(vp.tbl[[#This Row],[CrudeType]]="Crude",vp.tbl[[#This Row],[Dens]]&lt;=825,vp.tbl[[#This Row],[Sulf]]&gt;0.5,vp.tbl[[#This Row],[Unknown]]=0),1,0)</f>
        <v>0</v>
      </c>
      <c r="AA1312">
        <f>IF(AND(vp.tbl[[#This Row],[CrudeType]]="Crude",vp.tbl[[#This Row],[Dens]]&lt;=825,vp.tbl[[#This Row],[Sulf]]&lt;=0.5,vp.tbl[[#This Row],[Unknown]]=0),1,0)</f>
        <v>0</v>
      </c>
      <c r="AB1312">
        <f>IF(AND(vp.tbl[[#This Row],[CrudeType]]="Crude",vp.tbl[[#This Row],[Dens]]&gt;825,vp.tbl[[#This Row],[Dens]]&lt;=870,vp.tbl[[#This Row],[Sulf]]&gt;0.5,vp.tbl[[#This Row],[Unknown]]=0),1,0)</f>
        <v>0</v>
      </c>
      <c r="AC1312">
        <f>IF(AND(vp.tbl[[#This Row],[CrudeType]]="Crude",vp.tbl[[#This Row],[Dens]]&gt;825,vp.tbl[[#This Row],[Dens]]&lt;=900,vp.tbl[[#This Row],[Sulf]]&lt;=0.5,vp.tbl[[#This Row],[Unknown]]=0),1,0)</f>
        <v>0</v>
      </c>
      <c r="AD1312">
        <f>IF(AND(vp.tbl[[#This Row],[CrudeType]]="Crude",vp.tbl[[#This Row],[Dens]]&gt;870,vp.tbl[[#This Row],[Dens]]&lt;=900,vp.tbl[[#This Row],[Sulf]]&gt;0.5,vp.tbl[[#This Row],[Unknown]]=0),1,0)</f>
        <v>0</v>
      </c>
      <c r="AE1312">
        <f>IF(AND(vp.tbl[[#This Row],[CrudeType]]="Crude",vp.tbl[[#This Row],[Dens]]&gt;900,vp.tbl[[#This Row],[Sulf]]&lt;=0.5,vp.tbl[[#This Row],[Unknown]]=0),1,0)</f>
        <v>0</v>
      </c>
      <c r="AF1312">
        <f>IF(AND(vp.tbl[[#This Row],[CrudeType]]="Crude",vp.tbl[[#This Row],[Dens]]&gt;900,vp.tbl[[#This Row],[Sulf]]&lt;=0.5,vp.tbl[[#This Row],[Unknown]]=0),1,0)</f>
        <v>0</v>
      </c>
      <c r="AG1312" t="str">
        <f>INDEX(vp.tbl[[#Headers],[Unknown]:[Heavy_SW]],MATCH(1,vp.tbl[[#This Row],[Unknown]:[Heavy_SW]],0))</f>
        <v>C5</v>
      </c>
      <c r="AH1312" t="e">
        <f>INDEX([1]!crudeBD.lkup[Number],MATCH(vp.tbl[[#This Row],[Crude_Breakdown]],[1]!crudeBD.lkup[Crude Breakdown],0))</f>
        <v>#REF!</v>
      </c>
      <c r="AI1312">
        <f>MONTH(vp.tbl[[#This Row],[SDate]])</f>
        <v>3</v>
      </c>
      <c r="AJ1312" s="5">
        <f>IFERROR(vp.tbl[[#This Row],[Sulf]]*vp.tbl[[#This Row],[Net Dens]],"")</f>
        <v>0</v>
      </c>
      <c r="AK1312" s="5">
        <f>IFERROR(vp.tbl[[#This Row],[Dens]]*vp.tbl[[#This Row],[VolumeM3]],"")</f>
        <v>27976.861499999999</v>
      </c>
      <c r="AL1312" s="5">
        <f>IFERROR(vp.tbl[[#This Row],[VP]]*vp.tbl[[#This Row],[VolumeM3]],"")</f>
        <v>4017.8849999999998</v>
      </c>
      <c r="AM1312" s="4">
        <f>IFERROR((vp.tbl[[#This Row],[VP]]-INDEX(crudeBD.lkup.complete[Mean_VP],MATCH(vp.tbl[[#This Row],[Crude_Breakdown]],crudeBD.lkup.complete[Crude Breakdown],0)))^2,"")</f>
        <v>41.980582392102356</v>
      </c>
      <c r="AN1312" s="4">
        <f>IFERROR((vp.tbl[[#This Row],[Dens]]-INDEX(crudeBD.lkup.complete[Mean_Dens],MATCH(vp.tbl[[#This Row],[Crude_Breakdown]],crudeBD.lkup.complete[Crude Breakdown],0)))^2,"")</f>
        <v>232.6780446510559</v>
      </c>
      <c r="AO1312" s="4">
        <f>IFERROR((vp.tbl[[#This Row],[Sulf]]-INDEX(crudeBD.lkup.complete[Mean_Sulf],MATCH(vp.tbl[[#This Row],[Crude_Breakdown]],crudeBD.lkup.complete[Crude Breakdown],0)))^2,"")</f>
        <v>0</v>
      </c>
      <c r="AP1312">
        <f>IF(AND(vp.tbl[[#This Row],[SDate]]&gt;=DATE(YEAR(vp.tbl[[#This Row],[SDate]]),5,1),vp.tbl[[#This Row],[SDate]]&lt;=DATE(YEAR(vp.tbl[[#This Row],[SDate]]),9,15)),1,0)</f>
        <v>0</v>
      </c>
      <c r="AQ1312" s="15">
        <f>IF(vp.tbl[[#This Row],[SDate]]&lt;DATE(2016,12,1),0,1)</f>
        <v>1</v>
      </c>
    </row>
    <row r="1313" spans="1:43" x14ac:dyDescent="0.25">
      <c r="A1313">
        <v>1312</v>
      </c>
      <c r="B1313" t="s">
        <v>265</v>
      </c>
      <c r="C1313" t="s">
        <v>266</v>
      </c>
      <c r="D1313" t="s">
        <v>267</v>
      </c>
      <c r="E1313">
        <v>321043</v>
      </c>
      <c r="F1313" s="1">
        <v>42812</v>
      </c>
      <c r="G1313" s="2">
        <v>105.9</v>
      </c>
      <c r="H1313" s="2">
        <v>0</v>
      </c>
      <c r="I1313" s="2">
        <v>0</v>
      </c>
      <c r="J1313" s="2">
        <v>3.7</v>
      </c>
      <c r="K1313" s="2">
        <v>-4</v>
      </c>
      <c r="L1313" s="2">
        <v>666</v>
      </c>
      <c r="M1313" s="2">
        <v>666</v>
      </c>
      <c r="N1313" s="2">
        <f ca="1">INDEX(INDIRECT(_xlfn.CONCAT("weather.tbl[",N$1,"]")),MATCH(vp.tbl[[#This Row],[SDate]],weather.tbl[Date],0))</f>
        <v>-1.05</v>
      </c>
      <c r="O1313" s="2">
        <f ca="1">INDEX(INDIRECT(_xlfn.CONCAT("weather.tbl[",O$1,"]")),MATCH(vp.tbl[[#This Row],[SDate]],weather.tbl[Date],0))</f>
        <v>-6.9571428571428573</v>
      </c>
      <c r="P1313" s="2">
        <f ca="1">INDEX(INDIRECT(_xlfn.CONCAT("weather.tbl[",P$1,"]")),MATCH(vp.tbl[[#This Row],[SDate]],weather.tbl[Date],0))</f>
        <v>-0.7</v>
      </c>
      <c r="Q1313" s="2">
        <f ca="1">INDEX(INDIRECT(_xlfn.CONCAT("weather.tbl[",Q$1,"]")),MATCH(vp.tbl[[#This Row],[SDate]],weather.tbl[Date],0))</f>
        <v>-0.3</v>
      </c>
      <c r="R1313" s="2">
        <f ca="1">INDEX(INDIRECT(_xlfn.CONCAT("weather.tbl[",R$1,"]")),MATCH(vp.tbl[[#This Row],[SDate]],weather.tbl[Date],0))</f>
        <v>-2.8</v>
      </c>
      <c r="S1313" s="2">
        <f ca="1">INDEX(INDIRECT(_xlfn.CONCAT("weather.tbl[",S$1,"]")),MATCH(vp.tbl[[#This Row],[SDate]],weather.tbl[Date],0))</f>
        <v>2.2000000000000002</v>
      </c>
      <c r="T1313" s="2">
        <f ca="1">INDEX(INDIRECT(_xlfn.CONCAT("weather.tbl[",T$1,"]")),MATCH(vp.tbl[[#This Row],[SDate]],weather.tbl[Date],0))</f>
        <v>-4.7</v>
      </c>
      <c r="U1313" s="2">
        <f ca="1">INDEX(INDIRECT(_xlfn.CONCAT("weather.tbl[",U$1,"]")),MATCH(vp.tbl[[#This Row],[SDate]],weather.tbl[Date],0))</f>
        <v>0</v>
      </c>
      <c r="V1313" s="2">
        <v>33.43</v>
      </c>
      <c r="W1313" t="s">
        <v>268</v>
      </c>
      <c r="X1313">
        <f>IF(OR(vp.tbl[[#This Row],[Sulf]]="",vp.tbl[[#This Row],[Dens]]=""),1,0)</f>
        <v>0</v>
      </c>
      <c r="Y1313">
        <f>IF(vp.tbl[[#This Row],[CrudeType]]="C5+",1,0)</f>
        <v>1</v>
      </c>
      <c r="Z1313">
        <f>IF(AND(vp.tbl[[#This Row],[CrudeType]]="Crude",vp.tbl[[#This Row],[Dens]]&lt;=825,vp.tbl[[#This Row],[Sulf]]&gt;0.5,vp.tbl[[#This Row],[Unknown]]=0),1,0)</f>
        <v>0</v>
      </c>
      <c r="AA1313">
        <f>IF(AND(vp.tbl[[#This Row],[CrudeType]]="Crude",vp.tbl[[#This Row],[Dens]]&lt;=825,vp.tbl[[#This Row],[Sulf]]&lt;=0.5,vp.tbl[[#This Row],[Unknown]]=0),1,0)</f>
        <v>0</v>
      </c>
      <c r="AB1313">
        <f>IF(AND(vp.tbl[[#This Row],[CrudeType]]="Crude",vp.tbl[[#This Row],[Dens]]&gt;825,vp.tbl[[#This Row],[Dens]]&lt;=870,vp.tbl[[#This Row],[Sulf]]&gt;0.5,vp.tbl[[#This Row],[Unknown]]=0),1,0)</f>
        <v>0</v>
      </c>
      <c r="AC1313">
        <f>IF(AND(vp.tbl[[#This Row],[CrudeType]]="Crude",vp.tbl[[#This Row],[Dens]]&gt;825,vp.tbl[[#This Row],[Dens]]&lt;=900,vp.tbl[[#This Row],[Sulf]]&lt;=0.5,vp.tbl[[#This Row],[Unknown]]=0),1,0)</f>
        <v>0</v>
      </c>
      <c r="AD1313">
        <f>IF(AND(vp.tbl[[#This Row],[CrudeType]]="Crude",vp.tbl[[#This Row],[Dens]]&gt;870,vp.tbl[[#This Row],[Dens]]&lt;=900,vp.tbl[[#This Row],[Sulf]]&gt;0.5,vp.tbl[[#This Row],[Unknown]]=0),1,0)</f>
        <v>0</v>
      </c>
      <c r="AE1313">
        <f>IF(AND(vp.tbl[[#This Row],[CrudeType]]="Crude",vp.tbl[[#This Row],[Dens]]&gt;900,vp.tbl[[#This Row],[Sulf]]&lt;=0.5,vp.tbl[[#This Row],[Unknown]]=0),1,0)</f>
        <v>0</v>
      </c>
      <c r="AF1313">
        <f>IF(AND(vp.tbl[[#This Row],[CrudeType]]="Crude",vp.tbl[[#This Row],[Dens]]&gt;900,vp.tbl[[#This Row],[Sulf]]&lt;=0.5,vp.tbl[[#This Row],[Unknown]]=0),1,0)</f>
        <v>0</v>
      </c>
      <c r="AG1313" t="str">
        <f>INDEX(vp.tbl[[#Headers],[Unknown]:[Heavy_SW]],MATCH(1,vp.tbl[[#This Row],[Unknown]:[Heavy_SW]],0))</f>
        <v>C5</v>
      </c>
      <c r="AH1313" t="e">
        <f>INDEX([1]!crudeBD.lkup[Number],MATCH(vp.tbl[[#This Row],[Crude_Breakdown]],[1]!crudeBD.lkup[Crude Breakdown],0))</f>
        <v>#REF!</v>
      </c>
      <c r="AI1313">
        <f>MONTH(vp.tbl[[#This Row],[SDate]])</f>
        <v>3</v>
      </c>
      <c r="AJ1313" s="5">
        <f>IFERROR(vp.tbl[[#This Row],[Sulf]]*vp.tbl[[#This Row],[Net Dens]],"")</f>
        <v>0</v>
      </c>
      <c r="AK1313" s="5">
        <f>IFERROR(vp.tbl[[#This Row],[Dens]]*vp.tbl[[#This Row],[VolumeM3]],"")</f>
        <v>22264.38</v>
      </c>
      <c r="AL1313" s="5">
        <f>IFERROR(vp.tbl[[#This Row],[VP]]*vp.tbl[[#This Row],[VolumeM3]],"")</f>
        <v>3540.2370000000001</v>
      </c>
      <c r="AM1313" s="4">
        <f>IFERROR((vp.tbl[[#This Row],[VP]]-INDEX(crudeBD.lkup.complete[Mean_VP],MATCH(vp.tbl[[#This Row],[Crude_Breakdown]],crudeBD.lkup.complete[Crude Breakdown],0)))^2,"")</f>
        <v>7.4025217860424624</v>
      </c>
      <c r="AN1313" s="4">
        <f>IFERROR((vp.tbl[[#This Row],[Dens]]-INDEX(crudeBD.lkup.complete[Mean_Dens],MATCH(vp.tbl[[#This Row],[Crude_Breakdown]],crudeBD.lkup.complete[Crude Breakdown],0)))^2,"")</f>
        <v>62.786414348025005</v>
      </c>
      <c r="AO1313" s="4">
        <f>IFERROR((vp.tbl[[#This Row],[Sulf]]-INDEX(crudeBD.lkup.complete[Mean_Sulf],MATCH(vp.tbl[[#This Row],[Crude_Breakdown]],crudeBD.lkup.complete[Crude Breakdown],0)))^2,"")</f>
        <v>0</v>
      </c>
      <c r="AP1313">
        <f>IF(AND(vp.tbl[[#This Row],[SDate]]&gt;=DATE(YEAR(vp.tbl[[#This Row],[SDate]]),5,1),vp.tbl[[#This Row],[SDate]]&lt;=DATE(YEAR(vp.tbl[[#This Row],[SDate]]),9,15)),1,0)</f>
        <v>0</v>
      </c>
      <c r="AQ1313" s="15">
        <f>IF(vp.tbl[[#This Row],[SDate]]&lt;DATE(2016,12,1),0,1)</f>
        <v>1</v>
      </c>
    </row>
    <row r="1314" spans="1:43" x14ac:dyDescent="0.25">
      <c r="A1314">
        <v>1313</v>
      </c>
      <c r="B1314" t="s">
        <v>272</v>
      </c>
      <c r="C1314" t="s">
        <v>273</v>
      </c>
      <c r="D1314" t="s">
        <v>274</v>
      </c>
      <c r="E1314">
        <v>321006</v>
      </c>
      <c r="F1314" s="1">
        <v>42812</v>
      </c>
      <c r="G1314" s="2">
        <v>109.3</v>
      </c>
      <c r="H1314" s="2">
        <v>0</v>
      </c>
      <c r="I1314" s="2">
        <v>0</v>
      </c>
      <c r="J1314" s="2">
        <v>7</v>
      </c>
      <c r="K1314" s="2">
        <v>-4</v>
      </c>
      <c r="L1314" s="2">
        <v>657.01</v>
      </c>
      <c r="M1314" s="2">
        <v>657.01</v>
      </c>
      <c r="N1314" s="2">
        <f ca="1">INDEX(INDIRECT(_xlfn.CONCAT("weather.tbl[",N$1,"]")),MATCH(vp.tbl[[#This Row],[SDate]],weather.tbl[Date],0))</f>
        <v>-1.05</v>
      </c>
      <c r="O1314" s="2">
        <f ca="1">INDEX(INDIRECT(_xlfn.CONCAT("weather.tbl[",O$1,"]")),MATCH(vp.tbl[[#This Row],[SDate]],weather.tbl[Date],0))</f>
        <v>-6.9571428571428573</v>
      </c>
      <c r="P1314" s="2">
        <f ca="1">INDEX(INDIRECT(_xlfn.CONCAT("weather.tbl[",P$1,"]")),MATCH(vp.tbl[[#This Row],[SDate]],weather.tbl[Date],0))</f>
        <v>-0.7</v>
      </c>
      <c r="Q1314" s="2">
        <f ca="1">INDEX(INDIRECT(_xlfn.CONCAT("weather.tbl[",Q$1,"]")),MATCH(vp.tbl[[#This Row],[SDate]],weather.tbl[Date],0))</f>
        <v>-0.3</v>
      </c>
      <c r="R1314" s="2">
        <f ca="1">INDEX(INDIRECT(_xlfn.CONCAT("weather.tbl[",R$1,"]")),MATCH(vp.tbl[[#This Row],[SDate]],weather.tbl[Date],0))</f>
        <v>-2.8</v>
      </c>
      <c r="S1314" s="2">
        <f ca="1">INDEX(INDIRECT(_xlfn.CONCAT("weather.tbl[",S$1,"]")),MATCH(vp.tbl[[#This Row],[SDate]],weather.tbl[Date],0))</f>
        <v>2.2000000000000002</v>
      </c>
      <c r="T1314" s="2">
        <f ca="1">INDEX(INDIRECT(_xlfn.CONCAT("weather.tbl[",T$1,"]")),MATCH(vp.tbl[[#This Row],[SDate]],weather.tbl[Date],0))</f>
        <v>-4.7</v>
      </c>
      <c r="U1314" s="2">
        <f ca="1">INDEX(INDIRECT(_xlfn.CONCAT("weather.tbl[",U$1,"]")),MATCH(vp.tbl[[#This Row],[SDate]],weather.tbl[Date],0))</f>
        <v>0</v>
      </c>
      <c r="V1314" s="2">
        <v>34.71</v>
      </c>
      <c r="W1314" t="s">
        <v>268</v>
      </c>
      <c r="X1314">
        <f>IF(OR(vp.tbl[[#This Row],[Sulf]]="",vp.tbl[[#This Row],[Dens]]=""),1,0)</f>
        <v>0</v>
      </c>
      <c r="Y1314">
        <f>IF(vp.tbl[[#This Row],[CrudeType]]="C5+",1,0)</f>
        <v>1</v>
      </c>
      <c r="Z1314">
        <f>IF(AND(vp.tbl[[#This Row],[CrudeType]]="Crude",vp.tbl[[#This Row],[Dens]]&lt;=825,vp.tbl[[#This Row],[Sulf]]&gt;0.5,vp.tbl[[#This Row],[Unknown]]=0),1,0)</f>
        <v>0</v>
      </c>
      <c r="AA1314">
        <f>IF(AND(vp.tbl[[#This Row],[CrudeType]]="Crude",vp.tbl[[#This Row],[Dens]]&lt;=825,vp.tbl[[#This Row],[Sulf]]&lt;=0.5,vp.tbl[[#This Row],[Unknown]]=0),1,0)</f>
        <v>0</v>
      </c>
      <c r="AB1314">
        <f>IF(AND(vp.tbl[[#This Row],[CrudeType]]="Crude",vp.tbl[[#This Row],[Dens]]&gt;825,vp.tbl[[#This Row],[Dens]]&lt;=870,vp.tbl[[#This Row],[Sulf]]&gt;0.5,vp.tbl[[#This Row],[Unknown]]=0),1,0)</f>
        <v>0</v>
      </c>
      <c r="AC1314">
        <f>IF(AND(vp.tbl[[#This Row],[CrudeType]]="Crude",vp.tbl[[#This Row],[Dens]]&gt;825,vp.tbl[[#This Row],[Dens]]&lt;=900,vp.tbl[[#This Row],[Sulf]]&lt;=0.5,vp.tbl[[#This Row],[Unknown]]=0),1,0)</f>
        <v>0</v>
      </c>
      <c r="AD1314">
        <f>IF(AND(vp.tbl[[#This Row],[CrudeType]]="Crude",vp.tbl[[#This Row],[Dens]]&gt;870,vp.tbl[[#This Row],[Dens]]&lt;=900,vp.tbl[[#This Row],[Sulf]]&gt;0.5,vp.tbl[[#This Row],[Unknown]]=0),1,0)</f>
        <v>0</v>
      </c>
      <c r="AE1314">
        <f>IF(AND(vp.tbl[[#This Row],[CrudeType]]="Crude",vp.tbl[[#This Row],[Dens]]&gt;900,vp.tbl[[#This Row],[Sulf]]&lt;=0.5,vp.tbl[[#This Row],[Unknown]]=0),1,0)</f>
        <v>0</v>
      </c>
      <c r="AF1314">
        <f>IF(AND(vp.tbl[[#This Row],[CrudeType]]="Crude",vp.tbl[[#This Row],[Dens]]&gt;900,vp.tbl[[#This Row],[Sulf]]&lt;=0.5,vp.tbl[[#This Row],[Unknown]]=0),1,0)</f>
        <v>0</v>
      </c>
      <c r="AG1314" t="str">
        <f>INDEX(vp.tbl[[#Headers],[Unknown]:[Heavy_SW]],MATCH(1,vp.tbl[[#This Row],[Unknown]:[Heavy_SW]],0))</f>
        <v>C5</v>
      </c>
      <c r="AH1314" t="e">
        <f>INDEX([1]!crudeBD.lkup[Number],MATCH(vp.tbl[[#This Row],[Crude_Breakdown]],[1]!crudeBD.lkup[Crude Breakdown],0))</f>
        <v>#REF!</v>
      </c>
      <c r="AI1314">
        <f>MONTH(vp.tbl[[#This Row],[SDate]])</f>
        <v>3</v>
      </c>
      <c r="AJ1314" s="5">
        <f>IFERROR(vp.tbl[[#This Row],[Sulf]]*vp.tbl[[#This Row],[Net Dens]],"")</f>
        <v>0</v>
      </c>
      <c r="AK1314" s="5">
        <f>IFERROR(vp.tbl[[#This Row],[Dens]]*vp.tbl[[#This Row],[VolumeM3]],"")</f>
        <v>22804.8171</v>
      </c>
      <c r="AL1314" s="5">
        <f>IFERROR(vp.tbl[[#This Row],[VP]]*vp.tbl[[#This Row],[VolumeM3]],"")</f>
        <v>3793.8029999999999</v>
      </c>
      <c r="AM1314" s="4">
        <f>IFERROR((vp.tbl[[#This Row],[VP]]-INDEX(crudeBD.lkup.complete[Mean_VP],MATCH(vp.tbl[[#This Row],[Crude_Breakdown]],crudeBD.lkup.complete[Crude Breakdown],0)))^2,"")</f>
        <v>37.463673301194149</v>
      </c>
      <c r="AN1314" s="4">
        <f>IFERROR((vp.tbl[[#This Row],[Dens]]-INDEX(crudeBD.lkup.complete[Mean_Dens],MATCH(vp.tbl[[#This Row],[Crude_Breakdown]],crudeBD.lkup.complete[Crude Breakdown],0)))^2,"")</f>
        <v>1.1368082874197651</v>
      </c>
      <c r="AO1314" s="4">
        <f>IFERROR((vp.tbl[[#This Row],[Sulf]]-INDEX(crudeBD.lkup.complete[Mean_Sulf],MATCH(vp.tbl[[#This Row],[Crude_Breakdown]],crudeBD.lkup.complete[Crude Breakdown],0)))^2,"")</f>
        <v>0</v>
      </c>
      <c r="AP1314">
        <f>IF(AND(vp.tbl[[#This Row],[SDate]]&gt;=DATE(YEAR(vp.tbl[[#This Row],[SDate]]),5,1),vp.tbl[[#This Row],[SDate]]&lt;=DATE(YEAR(vp.tbl[[#This Row],[SDate]]),9,15)),1,0)</f>
        <v>0</v>
      </c>
      <c r="AQ1314" s="15">
        <f>IF(vp.tbl[[#This Row],[SDate]]&lt;DATE(2016,12,1),0,1)</f>
        <v>1</v>
      </c>
    </row>
    <row r="1315" spans="1:43" x14ac:dyDescent="0.25">
      <c r="A1315">
        <v>1314</v>
      </c>
      <c r="B1315" t="s">
        <v>275</v>
      </c>
      <c r="C1315" t="s">
        <v>276</v>
      </c>
      <c r="D1315" t="s">
        <v>277</v>
      </c>
      <c r="E1315">
        <v>321041</v>
      </c>
      <c r="F1315" s="1">
        <v>42812</v>
      </c>
      <c r="G1315" s="2">
        <v>93.73</v>
      </c>
      <c r="H1315" s="2">
        <v>0</v>
      </c>
      <c r="I1315" s="2">
        <v>0</v>
      </c>
      <c r="J1315" s="2">
        <v>9.1</v>
      </c>
      <c r="K1315" s="2">
        <v>-4</v>
      </c>
      <c r="L1315" s="2">
        <v>662.3</v>
      </c>
      <c r="M1315" s="2">
        <v>662.3</v>
      </c>
      <c r="N1315" s="2">
        <f ca="1">INDEX(INDIRECT(_xlfn.CONCAT("weather.tbl[",N$1,"]")),MATCH(vp.tbl[[#This Row],[SDate]],weather.tbl[Date],0))</f>
        <v>-1.05</v>
      </c>
      <c r="O1315" s="2">
        <f ca="1">INDEX(INDIRECT(_xlfn.CONCAT("weather.tbl[",O$1,"]")),MATCH(vp.tbl[[#This Row],[SDate]],weather.tbl[Date],0))</f>
        <v>-6.9571428571428573</v>
      </c>
      <c r="P1315" s="2">
        <f ca="1">INDEX(INDIRECT(_xlfn.CONCAT("weather.tbl[",P$1,"]")),MATCH(vp.tbl[[#This Row],[SDate]],weather.tbl[Date],0))</f>
        <v>-0.7</v>
      </c>
      <c r="Q1315" s="2">
        <f ca="1">INDEX(INDIRECT(_xlfn.CONCAT("weather.tbl[",Q$1,"]")),MATCH(vp.tbl[[#This Row],[SDate]],weather.tbl[Date],0))</f>
        <v>-0.3</v>
      </c>
      <c r="R1315" s="2">
        <f ca="1">INDEX(INDIRECT(_xlfn.CONCAT("weather.tbl[",R$1,"]")),MATCH(vp.tbl[[#This Row],[SDate]],weather.tbl[Date],0))</f>
        <v>-2.8</v>
      </c>
      <c r="S1315" s="2">
        <f ca="1">INDEX(INDIRECT(_xlfn.CONCAT("weather.tbl[",S$1,"]")),MATCH(vp.tbl[[#This Row],[SDate]],weather.tbl[Date],0))</f>
        <v>2.2000000000000002</v>
      </c>
      <c r="T1315" s="2">
        <f ca="1">INDEX(INDIRECT(_xlfn.CONCAT("weather.tbl[",T$1,"]")),MATCH(vp.tbl[[#This Row],[SDate]],weather.tbl[Date],0))</f>
        <v>-4.7</v>
      </c>
      <c r="U1315" s="2">
        <f ca="1">INDEX(INDIRECT(_xlfn.CONCAT("weather.tbl[",U$1,"]")),MATCH(vp.tbl[[#This Row],[SDate]],weather.tbl[Date],0))</f>
        <v>0</v>
      </c>
      <c r="V1315" s="2">
        <v>37.85</v>
      </c>
      <c r="W1315" t="s">
        <v>268</v>
      </c>
      <c r="X1315">
        <f>IF(OR(vp.tbl[[#This Row],[Sulf]]="",vp.tbl[[#This Row],[Dens]]=""),1,0)</f>
        <v>0</v>
      </c>
      <c r="Y1315">
        <f>IF(vp.tbl[[#This Row],[CrudeType]]="C5+",1,0)</f>
        <v>1</v>
      </c>
      <c r="Z1315">
        <f>IF(AND(vp.tbl[[#This Row],[CrudeType]]="Crude",vp.tbl[[#This Row],[Dens]]&lt;=825,vp.tbl[[#This Row],[Sulf]]&gt;0.5,vp.tbl[[#This Row],[Unknown]]=0),1,0)</f>
        <v>0</v>
      </c>
      <c r="AA1315">
        <f>IF(AND(vp.tbl[[#This Row],[CrudeType]]="Crude",vp.tbl[[#This Row],[Dens]]&lt;=825,vp.tbl[[#This Row],[Sulf]]&lt;=0.5,vp.tbl[[#This Row],[Unknown]]=0),1,0)</f>
        <v>0</v>
      </c>
      <c r="AB1315">
        <f>IF(AND(vp.tbl[[#This Row],[CrudeType]]="Crude",vp.tbl[[#This Row],[Dens]]&gt;825,vp.tbl[[#This Row],[Dens]]&lt;=870,vp.tbl[[#This Row],[Sulf]]&gt;0.5,vp.tbl[[#This Row],[Unknown]]=0),1,0)</f>
        <v>0</v>
      </c>
      <c r="AC1315">
        <f>IF(AND(vp.tbl[[#This Row],[CrudeType]]="Crude",vp.tbl[[#This Row],[Dens]]&gt;825,vp.tbl[[#This Row],[Dens]]&lt;=900,vp.tbl[[#This Row],[Sulf]]&lt;=0.5,vp.tbl[[#This Row],[Unknown]]=0),1,0)</f>
        <v>0</v>
      </c>
      <c r="AD1315">
        <f>IF(AND(vp.tbl[[#This Row],[CrudeType]]="Crude",vp.tbl[[#This Row],[Dens]]&gt;870,vp.tbl[[#This Row],[Dens]]&lt;=900,vp.tbl[[#This Row],[Sulf]]&gt;0.5,vp.tbl[[#This Row],[Unknown]]=0),1,0)</f>
        <v>0</v>
      </c>
      <c r="AE1315">
        <f>IF(AND(vp.tbl[[#This Row],[CrudeType]]="Crude",vp.tbl[[#This Row],[Dens]]&gt;900,vp.tbl[[#This Row],[Sulf]]&lt;=0.5,vp.tbl[[#This Row],[Unknown]]=0),1,0)</f>
        <v>0</v>
      </c>
      <c r="AF1315">
        <f>IF(AND(vp.tbl[[#This Row],[CrudeType]]="Crude",vp.tbl[[#This Row],[Dens]]&gt;900,vp.tbl[[#This Row],[Sulf]]&lt;=0.5,vp.tbl[[#This Row],[Unknown]]=0),1,0)</f>
        <v>0</v>
      </c>
      <c r="AG1315" t="str">
        <f>INDEX(vp.tbl[[#Headers],[Unknown]:[Heavy_SW]],MATCH(1,vp.tbl[[#This Row],[Unknown]:[Heavy_SW]],0))</f>
        <v>C5</v>
      </c>
      <c r="AH1315" t="e">
        <f>INDEX([1]!crudeBD.lkup[Number],MATCH(vp.tbl[[#This Row],[Crude_Breakdown]],[1]!crudeBD.lkup[Crude Breakdown],0))</f>
        <v>#REF!</v>
      </c>
      <c r="AI1315">
        <f>MONTH(vp.tbl[[#This Row],[SDate]])</f>
        <v>3</v>
      </c>
      <c r="AJ1315" s="5">
        <f>IFERROR(vp.tbl[[#This Row],[Sulf]]*vp.tbl[[#This Row],[Net Dens]],"")</f>
        <v>0</v>
      </c>
      <c r="AK1315" s="5">
        <f>IFERROR(vp.tbl[[#This Row],[Dens]]*vp.tbl[[#This Row],[VolumeM3]],"")</f>
        <v>25068.055</v>
      </c>
      <c r="AL1315" s="5">
        <f>IFERROR(vp.tbl[[#This Row],[VP]]*vp.tbl[[#This Row],[VolumeM3]],"")</f>
        <v>3547.6805000000004</v>
      </c>
      <c r="AM1315" s="4">
        <f>IFERROR((vp.tbl[[#This Row],[VP]]-INDEX(crudeBD.lkup.complete[Mean_VP],MATCH(vp.tbl[[#This Row],[Crude_Breakdown]],crudeBD.lkup.complete[Crude Breakdown],0)))^2,"")</f>
        <v>89.288182392102101</v>
      </c>
      <c r="AN1315" s="4">
        <f>IFERROR((vp.tbl[[#This Row],[Dens]]-INDEX(crudeBD.lkup.complete[Mean_Dens],MATCH(vp.tbl[[#This Row],[Crude_Breakdown]],crudeBD.lkup.complete[Crude Breakdown],0)))^2,"")</f>
        <v>17.84038404499465</v>
      </c>
      <c r="AO1315" s="4">
        <f>IFERROR((vp.tbl[[#This Row],[Sulf]]-INDEX(crudeBD.lkup.complete[Mean_Sulf],MATCH(vp.tbl[[#This Row],[Crude_Breakdown]],crudeBD.lkup.complete[Crude Breakdown],0)))^2,"")</f>
        <v>0</v>
      </c>
      <c r="AP1315">
        <f>IF(AND(vp.tbl[[#This Row],[SDate]]&gt;=DATE(YEAR(vp.tbl[[#This Row],[SDate]]),5,1),vp.tbl[[#This Row],[SDate]]&lt;=DATE(YEAR(vp.tbl[[#This Row],[SDate]]),9,15)),1,0)</f>
        <v>0</v>
      </c>
      <c r="AQ1315" s="15">
        <f>IF(vp.tbl[[#This Row],[SDate]]&lt;DATE(2016,12,1),0,1)</f>
        <v>1</v>
      </c>
    </row>
    <row r="1316" spans="1:43" x14ac:dyDescent="0.25">
      <c r="A1316">
        <v>1315</v>
      </c>
      <c r="B1316" t="s">
        <v>269</v>
      </c>
      <c r="C1316" t="s">
        <v>270</v>
      </c>
      <c r="D1316" t="s">
        <v>271</v>
      </c>
      <c r="E1316">
        <v>321128</v>
      </c>
      <c r="F1316" s="1">
        <v>42813</v>
      </c>
      <c r="G1316" s="2">
        <v>99.25</v>
      </c>
      <c r="H1316" s="2">
        <v>0</v>
      </c>
      <c r="I1316" s="2">
        <v>0</v>
      </c>
      <c r="J1316" s="2">
        <v>5.9</v>
      </c>
      <c r="K1316" s="2">
        <v>4</v>
      </c>
      <c r="L1316" s="2">
        <v>665.2</v>
      </c>
      <c r="M1316" s="2">
        <v>665.2</v>
      </c>
      <c r="N1316" s="2">
        <f ca="1">INDEX(INDIRECT(_xlfn.CONCAT("weather.tbl[",N$1,"]")),MATCH(vp.tbl[[#This Row],[SDate]],weather.tbl[Date],0))</f>
        <v>2.8499999999999996</v>
      </c>
      <c r="O1316" s="2">
        <f ca="1">INDEX(INDIRECT(_xlfn.CONCAT("weather.tbl[",O$1,"]")),MATCH(vp.tbl[[#This Row],[SDate]],weather.tbl[Date],0))</f>
        <v>-4.0904761904761902</v>
      </c>
      <c r="P1316" s="2">
        <f ca="1">INDEX(INDIRECT(_xlfn.CONCAT("weather.tbl[",P$1,"]")),MATCH(vp.tbl[[#This Row],[SDate]],weather.tbl[Date],0))</f>
        <v>1.8</v>
      </c>
      <c r="Q1316" s="2">
        <f ca="1">INDEX(INDIRECT(_xlfn.CONCAT("weather.tbl[",Q$1,"]")),MATCH(vp.tbl[[#This Row],[SDate]],weather.tbl[Date],0))</f>
        <v>4.0999999999999996</v>
      </c>
      <c r="R1316" s="2">
        <f ca="1">INDEX(INDIRECT(_xlfn.CONCAT("weather.tbl[",R$1,"]")),MATCH(vp.tbl[[#This Row],[SDate]],weather.tbl[Date],0))</f>
        <v>2</v>
      </c>
      <c r="S1316" s="2">
        <f ca="1">INDEX(INDIRECT(_xlfn.CONCAT("weather.tbl[",S$1,"]")),MATCH(vp.tbl[[#This Row],[SDate]],weather.tbl[Date],0))</f>
        <v>3.7</v>
      </c>
      <c r="T1316" s="2">
        <f ca="1">INDEX(INDIRECT(_xlfn.CONCAT("weather.tbl[",T$1,"]")),MATCH(vp.tbl[[#This Row],[SDate]],weather.tbl[Date],0))</f>
        <v>1.7</v>
      </c>
      <c r="U1316" s="2">
        <f ca="1">INDEX(INDIRECT(_xlfn.CONCAT("weather.tbl[",U$1,"]")),MATCH(vp.tbl[[#This Row],[SDate]],weather.tbl[Date],0))</f>
        <v>3.8</v>
      </c>
      <c r="V1316" s="2">
        <v>34.15</v>
      </c>
      <c r="W1316" t="s">
        <v>268</v>
      </c>
      <c r="X1316">
        <f>IF(OR(vp.tbl[[#This Row],[Sulf]]="",vp.tbl[[#This Row],[Dens]]=""),1,0)</f>
        <v>0</v>
      </c>
      <c r="Y1316">
        <f>IF(vp.tbl[[#This Row],[CrudeType]]="C5+",1,0)</f>
        <v>1</v>
      </c>
      <c r="Z1316">
        <f>IF(AND(vp.tbl[[#This Row],[CrudeType]]="Crude",vp.tbl[[#This Row],[Dens]]&lt;=825,vp.tbl[[#This Row],[Sulf]]&gt;0.5,vp.tbl[[#This Row],[Unknown]]=0),1,0)</f>
        <v>0</v>
      </c>
      <c r="AA1316">
        <f>IF(AND(vp.tbl[[#This Row],[CrudeType]]="Crude",vp.tbl[[#This Row],[Dens]]&lt;=825,vp.tbl[[#This Row],[Sulf]]&lt;=0.5,vp.tbl[[#This Row],[Unknown]]=0),1,0)</f>
        <v>0</v>
      </c>
      <c r="AB1316">
        <f>IF(AND(vp.tbl[[#This Row],[CrudeType]]="Crude",vp.tbl[[#This Row],[Dens]]&gt;825,vp.tbl[[#This Row],[Dens]]&lt;=870,vp.tbl[[#This Row],[Sulf]]&gt;0.5,vp.tbl[[#This Row],[Unknown]]=0),1,0)</f>
        <v>0</v>
      </c>
      <c r="AC1316">
        <f>IF(AND(vp.tbl[[#This Row],[CrudeType]]="Crude",vp.tbl[[#This Row],[Dens]]&gt;825,vp.tbl[[#This Row],[Dens]]&lt;=900,vp.tbl[[#This Row],[Sulf]]&lt;=0.5,vp.tbl[[#This Row],[Unknown]]=0),1,0)</f>
        <v>0</v>
      </c>
      <c r="AD1316">
        <f>IF(AND(vp.tbl[[#This Row],[CrudeType]]="Crude",vp.tbl[[#This Row],[Dens]]&gt;870,vp.tbl[[#This Row],[Dens]]&lt;=900,vp.tbl[[#This Row],[Sulf]]&gt;0.5,vp.tbl[[#This Row],[Unknown]]=0),1,0)</f>
        <v>0</v>
      </c>
      <c r="AE1316">
        <f>IF(AND(vp.tbl[[#This Row],[CrudeType]]="Crude",vp.tbl[[#This Row],[Dens]]&gt;900,vp.tbl[[#This Row],[Sulf]]&lt;=0.5,vp.tbl[[#This Row],[Unknown]]=0),1,0)</f>
        <v>0</v>
      </c>
      <c r="AF1316">
        <f>IF(AND(vp.tbl[[#This Row],[CrudeType]]="Crude",vp.tbl[[#This Row],[Dens]]&gt;900,vp.tbl[[#This Row],[Sulf]]&lt;=0.5,vp.tbl[[#This Row],[Unknown]]=0),1,0)</f>
        <v>0</v>
      </c>
      <c r="AG1316" t="str">
        <f>INDEX(vp.tbl[[#Headers],[Unknown]:[Heavy_SW]],MATCH(1,vp.tbl[[#This Row],[Unknown]:[Heavy_SW]],0))</f>
        <v>C5</v>
      </c>
      <c r="AH1316" t="e">
        <f>INDEX([1]!crudeBD.lkup[Number],MATCH(vp.tbl[[#This Row],[Crude_Breakdown]],[1]!crudeBD.lkup[Crude Breakdown],0))</f>
        <v>#REF!</v>
      </c>
      <c r="AI1316">
        <f>MONTH(vp.tbl[[#This Row],[SDate]])</f>
        <v>3</v>
      </c>
      <c r="AJ1316" s="5">
        <f>IFERROR(vp.tbl[[#This Row],[Sulf]]*vp.tbl[[#This Row],[Net Dens]],"")</f>
        <v>0</v>
      </c>
      <c r="AK1316" s="5">
        <f>IFERROR(vp.tbl[[#This Row],[Dens]]*vp.tbl[[#This Row],[VolumeM3]],"")</f>
        <v>22716.58</v>
      </c>
      <c r="AL1316" s="5">
        <f>IFERROR(vp.tbl[[#This Row],[VP]]*vp.tbl[[#This Row],[VolumeM3]],"")</f>
        <v>3389.3874999999998</v>
      </c>
      <c r="AM1316" s="4">
        <f>IFERROR((vp.tbl[[#This Row],[VP]]-INDEX(crudeBD.lkup.complete[Mean_VP],MATCH(vp.tbl[[#This Row],[Crude_Breakdown]],crudeBD.lkup.complete[Crude Breakdown],0)))^2,"")</f>
        <v>15.438946028466207</v>
      </c>
      <c r="AN1316" s="4">
        <f>IFERROR((vp.tbl[[#This Row],[Dens]]-INDEX(crudeBD.lkup.complete[Mean_Dens],MATCH(vp.tbl[[#This Row],[Crude_Breakdown]],crudeBD.lkup.complete[Crude Breakdown],0)))^2,"")</f>
        <v>50.748353741965119</v>
      </c>
      <c r="AO1316" s="4">
        <f>IFERROR((vp.tbl[[#This Row],[Sulf]]-INDEX(crudeBD.lkup.complete[Mean_Sulf],MATCH(vp.tbl[[#This Row],[Crude_Breakdown]],crudeBD.lkup.complete[Crude Breakdown],0)))^2,"")</f>
        <v>0</v>
      </c>
      <c r="AP1316">
        <f>IF(AND(vp.tbl[[#This Row],[SDate]]&gt;=DATE(YEAR(vp.tbl[[#This Row],[SDate]]),5,1),vp.tbl[[#This Row],[SDate]]&lt;=DATE(YEAR(vp.tbl[[#This Row],[SDate]]),9,15)),1,0)</f>
        <v>0</v>
      </c>
      <c r="AQ1316" s="15">
        <f>IF(vp.tbl[[#This Row],[SDate]]&lt;DATE(2016,12,1),0,1)</f>
        <v>1</v>
      </c>
    </row>
    <row r="1317" spans="1:43" x14ac:dyDescent="0.25">
      <c r="A1317">
        <v>1316</v>
      </c>
      <c r="B1317" t="s">
        <v>269</v>
      </c>
      <c r="C1317" t="s">
        <v>278</v>
      </c>
      <c r="D1317" t="s">
        <v>279</v>
      </c>
      <c r="E1317">
        <v>321137</v>
      </c>
      <c r="F1317" s="1">
        <v>42813</v>
      </c>
      <c r="G1317" s="2">
        <v>92.8</v>
      </c>
      <c r="H1317" s="2">
        <v>0</v>
      </c>
      <c r="I1317" s="2">
        <v>0</v>
      </c>
      <c r="J1317" s="2">
        <v>4.8</v>
      </c>
      <c r="K1317" s="2">
        <v>4</v>
      </c>
      <c r="L1317" s="2">
        <v>658</v>
      </c>
      <c r="M1317" s="2">
        <v>658</v>
      </c>
      <c r="N1317" s="2">
        <f ca="1">INDEX(INDIRECT(_xlfn.CONCAT("weather.tbl[",N$1,"]")),MATCH(vp.tbl[[#This Row],[SDate]],weather.tbl[Date],0))</f>
        <v>2.8499999999999996</v>
      </c>
      <c r="O1317" s="2">
        <f ca="1">INDEX(INDIRECT(_xlfn.CONCAT("weather.tbl[",O$1,"]")),MATCH(vp.tbl[[#This Row],[SDate]],weather.tbl[Date],0))</f>
        <v>-4.0904761904761902</v>
      </c>
      <c r="P1317" s="2">
        <f ca="1">INDEX(INDIRECT(_xlfn.CONCAT("weather.tbl[",P$1,"]")),MATCH(vp.tbl[[#This Row],[SDate]],weather.tbl[Date],0))</f>
        <v>1.8</v>
      </c>
      <c r="Q1317" s="2">
        <f ca="1">INDEX(INDIRECT(_xlfn.CONCAT("weather.tbl[",Q$1,"]")),MATCH(vp.tbl[[#This Row],[SDate]],weather.tbl[Date],0))</f>
        <v>4.0999999999999996</v>
      </c>
      <c r="R1317" s="2">
        <f ca="1">INDEX(INDIRECT(_xlfn.CONCAT("weather.tbl[",R$1,"]")),MATCH(vp.tbl[[#This Row],[SDate]],weather.tbl[Date],0))</f>
        <v>2</v>
      </c>
      <c r="S1317" s="2">
        <f ca="1">INDEX(INDIRECT(_xlfn.CONCAT("weather.tbl[",S$1,"]")),MATCH(vp.tbl[[#This Row],[SDate]],weather.tbl[Date],0))</f>
        <v>3.7</v>
      </c>
      <c r="T1317" s="2">
        <f ca="1">INDEX(INDIRECT(_xlfn.CONCAT("weather.tbl[",T$1,"]")),MATCH(vp.tbl[[#This Row],[SDate]],weather.tbl[Date],0))</f>
        <v>1.7</v>
      </c>
      <c r="U1317" s="2">
        <f ca="1">INDEX(INDIRECT(_xlfn.CONCAT("weather.tbl[",U$1,"]")),MATCH(vp.tbl[[#This Row],[SDate]],weather.tbl[Date],0))</f>
        <v>3.8</v>
      </c>
      <c r="V1317" s="2">
        <v>34.700000000000003</v>
      </c>
      <c r="W1317" t="s">
        <v>268</v>
      </c>
      <c r="X1317">
        <f>IF(OR(vp.tbl[[#This Row],[Sulf]]="",vp.tbl[[#This Row],[Dens]]=""),1,0)</f>
        <v>0</v>
      </c>
      <c r="Y1317">
        <f>IF(vp.tbl[[#This Row],[CrudeType]]="C5+",1,0)</f>
        <v>1</v>
      </c>
      <c r="Z1317">
        <f>IF(AND(vp.tbl[[#This Row],[CrudeType]]="Crude",vp.tbl[[#This Row],[Dens]]&lt;=825,vp.tbl[[#This Row],[Sulf]]&gt;0.5,vp.tbl[[#This Row],[Unknown]]=0),1,0)</f>
        <v>0</v>
      </c>
      <c r="AA1317">
        <f>IF(AND(vp.tbl[[#This Row],[CrudeType]]="Crude",vp.tbl[[#This Row],[Dens]]&lt;=825,vp.tbl[[#This Row],[Sulf]]&lt;=0.5,vp.tbl[[#This Row],[Unknown]]=0),1,0)</f>
        <v>0</v>
      </c>
      <c r="AB1317">
        <f>IF(AND(vp.tbl[[#This Row],[CrudeType]]="Crude",vp.tbl[[#This Row],[Dens]]&gt;825,vp.tbl[[#This Row],[Dens]]&lt;=870,vp.tbl[[#This Row],[Sulf]]&gt;0.5,vp.tbl[[#This Row],[Unknown]]=0),1,0)</f>
        <v>0</v>
      </c>
      <c r="AC1317">
        <f>IF(AND(vp.tbl[[#This Row],[CrudeType]]="Crude",vp.tbl[[#This Row],[Dens]]&gt;825,vp.tbl[[#This Row],[Dens]]&lt;=900,vp.tbl[[#This Row],[Sulf]]&lt;=0.5,vp.tbl[[#This Row],[Unknown]]=0),1,0)</f>
        <v>0</v>
      </c>
      <c r="AD1317">
        <f>IF(AND(vp.tbl[[#This Row],[CrudeType]]="Crude",vp.tbl[[#This Row],[Dens]]&gt;870,vp.tbl[[#This Row],[Dens]]&lt;=900,vp.tbl[[#This Row],[Sulf]]&gt;0.5,vp.tbl[[#This Row],[Unknown]]=0),1,0)</f>
        <v>0</v>
      </c>
      <c r="AE1317">
        <f>IF(AND(vp.tbl[[#This Row],[CrudeType]]="Crude",vp.tbl[[#This Row],[Dens]]&gt;900,vp.tbl[[#This Row],[Sulf]]&lt;=0.5,vp.tbl[[#This Row],[Unknown]]=0),1,0)</f>
        <v>0</v>
      </c>
      <c r="AF1317">
        <f>IF(AND(vp.tbl[[#This Row],[CrudeType]]="Crude",vp.tbl[[#This Row],[Dens]]&gt;900,vp.tbl[[#This Row],[Sulf]]&lt;=0.5,vp.tbl[[#This Row],[Unknown]]=0),1,0)</f>
        <v>0</v>
      </c>
      <c r="AG1317" t="str">
        <f>INDEX(vp.tbl[[#Headers],[Unknown]:[Heavy_SW]],MATCH(1,vp.tbl[[#This Row],[Unknown]:[Heavy_SW]],0))</f>
        <v>C5</v>
      </c>
      <c r="AH1317" t="e">
        <f>INDEX([1]!crudeBD.lkup[Number],MATCH(vp.tbl[[#This Row],[Crude_Breakdown]],[1]!crudeBD.lkup[Crude Breakdown],0))</f>
        <v>#REF!</v>
      </c>
      <c r="AI1317">
        <f>MONTH(vp.tbl[[#This Row],[SDate]])</f>
        <v>3</v>
      </c>
      <c r="AJ1317" s="5">
        <f>IFERROR(vp.tbl[[#This Row],[Sulf]]*vp.tbl[[#This Row],[Net Dens]],"")</f>
        <v>0</v>
      </c>
      <c r="AK1317" s="5">
        <f>IFERROR(vp.tbl[[#This Row],[Dens]]*vp.tbl[[#This Row],[VolumeM3]],"")</f>
        <v>22832.600000000002</v>
      </c>
      <c r="AL1317" s="5">
        <f>IFERROR(vp.tbl[[#This Row],[VP]]*vp.tbl[[#This Row],[VolumeM3]],"")</f>
        <v>3220.1600000000003</v>
      </c>
      <c r="AM1317" s="4">
        <f>IFERROR((vp.tbl[[#This Row],[VP]]-INDEX(crudeBD.lkup.complete[Mean_VP],MATCH(vp.tbl[[#This Row],[Crude_Breakdown]],crudeBD.lkup.complete[Crude Breakdown],0)))^2,"")</f>
        <v>107.72867330119308</v>
      </c>
      <c r="AN1317" s="4">
        <f>IFERROR((vp.tbl[[#This Row],[Dens]]-INDEX(crudeBD.lkup.complete[Mean_Dens],MATCH(vp.tbl[[#This Row],[Crude_Breakdown]],crudeBD.lkup.complete[Crude Breakdown],0)))^2,"")</f>
        <v>5.8082874196578194E-3</v>
      </c>
      <c r="AO1317" s="4">
        <f>IFERROR((vp.tbl[[#This Row],[Sulf]]-INDEX(crudeBD.lkup.complete[Mean_Sulf],MATCH(vp.tbl[[#This Row],[Crude_Breakdown]],crudeBD.lkup.complete[Crude Breakdown],0)))^2,"")</f>
        <v>0</v>
      </c>
      <c r="AP1317">
        <f>IF(AND(vp.tbl[[#This Row],[SDate]]&gt;=DATE(YEAR(vp.tbl[[#This Row],[SDate]]),5,1),vp.tbl[[#This Row],[SDate]]&lt;=DATE(YEAR(vp.tbl[[#This Row],[SDate]]),9,15)),1,0)</f>
        <v>0</v>
      </c>
      <c r="AQ1317" s="15">
        <f>IF(vp.tbl[[#This Row],[SDate]]&lt;DATE(2016,12,1),0,1)</f>
        <v>1</v>
      </c>
    </row>
    <row r="1318" spans="1:43" x14ac:dyDescent="0.25">
      <c r="A1318">
        <v>1317</v>
      </c>
      <c r="B1318" t="s">
        <v>265</v>
      </c>
      <c r="C1318" t="s">
        <v>266</v>
      </c>
      <c r="D1318" t="s">
        <v>267</v>
      </c>
      <c r="E1318">
        <v>321941</v>
      </c>
      <c r="F1318" s="1">
        <v>42818</v>
      </c>
      <c r="G1318" s="2">
        <v>108.9</v>
      </c>
      <c r="H1318" s="2">
        <v>0</v>
      </c>
      <c r="I1318" s="2">
        <v>0</v>
      </c>
      <c r="J1318" s="2">
        <v>4</v>
      </c>
      <c r="K1318" s="2">
        <v>3</v>
      </c>
      <c r="L1318" s="2">
        <v>653.70000000000005</v>
      </c>
      <c r="M1318" s="2">
        <v>653.70000000000005</v>
      </c>
      <c r="N1318" s="2">
        <f ca="1">INDEX(INDIRECT(_xlfn.CONCAT("weather.tbl[",N$1,"]")),MATCH(vp.tbl[[#This Row],[SDate]],weather.tbl[Date],0))</f>
        <v>-2.2833333333333337</v>
      </c>
      <c r="O1318" s="2">
        <f ca="1">INDEX(INDIRECT(_xlfn.CONCAT("weather.tbl[",O$1,"]")),MATCH(vp.tbl[[#This Row],[SDate]],weather.tbl[Date],0))</f>
        <v>-2.7095238095238097</v>
      </c>
      <c r="P1318" s="2">
        <f ca="1">INDEX(INDIRECT(_xlfn.CONCAT("weather.tbl[",P$1,"]")),MATCH(vp.tbl[[#This Row],[SDate]],weather.tbl[Date],0))</f>
        <v>-0.1</v>
      </c>
      <c r="Q1318" s="2">
        <f ca="1">INDEX(INDIRECT(_xlfn.CONCAT("weather.tbl[",Q$1,"]")),MATCH(vp.tbl[[#This Row],[SDate]],weather.tbl[Date],0))</f>
        <v>0.3</v>
      </c>
      <c r="R1318" s="2">
        <f ca="1">INDEX(INDIRECT(_xlfn.CONCAT("weather.tbl[",R$1,"]")),MATCH(vp.tbl[[#This Row],[SDate]],weather.tbl[Date],0))</f>
        <v>-11.8</v>
      </c>
      <c r="S1318" s="2">
        <f ca="1">INDEX(INDIRECT(_xlfn.CONCAT("weather.tbl[",S$1,"]")),MATCH(vp.tbl[[#This Row],[SDate]],weather.tbl[Date],0))</f>
        <v>1.1000000000000001</v>
      </c>
      <c r="T1318" s="2">
        <f ca="1">INDEX(INDIRECT(_xlfn.CONCAT("weather.tbl[",T$1,"]")),MATCH(vp.tbl[[#This Row],[SDate]],weather.tbl[Date],0))</f>
        <v>-2.7</v>
      </c>
      <c r="U1318" s="2">
        <f ca="1">INDEX(INDIRECT(_xlfn.CONCAT("weather.tbl[",U$1,"]")),MATCH(vp.tbl[[#This Row],[SDate]],weather.tbl[Date],0))</f>
        <v>-0.5</v>
      </c>
      <c r="V1318" s="2">
        <v>33.24</v>
      </c>
      <c r="W1318" t="s">
        <v>268</v>
      </c>
      <c r="X1318">
        <f>IF(OR(vp.tbl[[#This Row],[Sulf]]="",vp.tbl[[#This Row],[Dens]]=""),1,0)</f>
        <v>0</v>
      </c>
      <c r="Y1318">
        <f>IF(vp.tbl[[#This Row],[CrudeType]]="C5+",1,0)</f>
        <v>1</v>
      </c>
      <c r="Z1318">
        <f>IF(AND(vp.tbl[[#This Row],[CrudeType]]="Crude",vp.tbl[[#This Row],[Dens]]&lt;=825,vp.tbl[[#This Row],[Sulf]]&gt;0.5,vp.tbl[[#This Row],[Unknown]]=0),1,0)</f>
        <v>0</v>
      </c>
      <c r="AA1318">
        <f>IF(AND(vp.tbl[[#This Row],[CrudeType]]="Crude",vp.tbl[[#This Row],[Dens]]&lt;=825,vp.tbl[[#This Row],[Sulf]]&lt;=0.5,vp.tbl[[#This Row],[Unknown]]=0),1,0)</f>
        <v>0</v>
      </c>
      <c r="AB1318">
        <f>IF(AND(vp.tbl[[#This Row],[CrudeType]]="Crude",vp.tbl[[#This Row],[Dens]]&gt;825,vp.tbl[[#This Row],[Dens]]&lt;=870,vp.tbl[[#This Row],[Sulf]]&gt;0.5,vp.tbl[[#This Row],[Unknown]]=0),1,0)</f>
        <v>0</v>
      </c>
      <c r="AC1318">
        <f>IF(AND(vp.tbl[[#This Row],[CrudeType]]="Crude",vp.tbl[[#This Row],[Dens]]&gt;825,vp.tbl[[#This Row],[Dens]]&lt;=900,vp.tbl[[#This Row],[Sulf]]&lt;=0.5,vp.tbl[[#This Row],[Unknown]]=0),1,0)</f>
        <v>0</v>
      </c>
      <c r="AD1318">
        <f>IF(AND(vp.tbl[[#This Row],[CrudeType]]="Crude",vp.tbl[[#This Row],[Dens]]&gt;870,vp.tbl[[#This Row],[Dens]]&lt;=900,vp.tbl[[#This Row],[Sulf]]&gt;0.5,vp.tbl[[#This Row],[Unknown]]=0),1,0)</f>
        <v>0</v>
      </c>
      <c r="AE1318">
        <f>IF(AND(vp.tbl[[#This Row],[CrudeType]]="Crude",vp.tbl[[#This Row],[Dens]]&gt;900,vp.tbl[[#This Row],[Sulf]]&lt;=0.5,vp.tbl[[#This Row],[Unknown]]=0),1,0)</f>
        <v>0</v>
      </c>
      <c r="AF1318">
        <f>IF(AND(vp.tbl[[#This Row],[CrudeType]]="Crude",vp.tbl[[#This Row],[Dens]]&gt;900,vp.tbl[[#This Row],[Sulf]]&lt;=0.5,vp.tbl[[#This Row],[Unknown]]=0),1,0)</f>
        <v>0</v>
      </c>
      <c r="AG1318" t="str">
        <f>INDEX(vp.tbl[[#Headers],[Unknown]:[Heavy_SW]],MATCH(1,vp.tbl[[#This Row],[Unknown]:[Heavy_SW]],0))</f>
        <v>C5</v>
      </c>
      <c r="AH1318" t="e">
        <f>INDEX([1]!crudeBD.lkup[Number],MATCH(vp.tbl[[#This Row],[Crude_Breakdown]],[1]!crudeBD.lkup[Crude Breakdown],0))</f>
        <v>#REF!</v>
      </c>
      <c r="AI1318">
        <f>MONTH(vp.tbl[[#This Row],[SDate]])</f>
        <v>3</v>
      </c>
      <c r="AJ1318" s="5">
        <f>IFERROR(vp.tbl[[#This Row],[Sulf]]*vp.tbl[[#This Row],[Net Dens]],"")</f>
        <v>0</v>
      </c>
      <c r="AK1318" s="5">
        <f>IFERROR(vp.tbl[[#This Row],[Dens]]*vp.tbl[[#This Row],[VolumeM3]],"")</f>
        <v>21728.988000000001</v>
      </c>
      <c r="AL1318" s="5">
        <f>IFERROR(vp.tbl[[#This Row],[VP]]*vp.tbl[[#This Row],[VolumeM3]],"")</f>
        <v>3619.8360000000002</v>
      </c>
      <c r="AM1318" s="4">
        <f>IFERROR((vp.tbl[[#This Row],[VP]]-INDEX(crudeBD.lkup.complete[Mean_VP],MATCH(vp.tbl[[#This Row],[Crude_Breakdown]],crudeBD.lkup.complete[Crude Breakdown],0)))^2,"")</f>
        <v>32.727067240588163</v>
      </c>
      <c r="AN1318" s="4">
        <f>IFERROR((vp.tbl[[#This Row],[Dens]]-INDEX(crudeBD.lkup.complete[Mean_Dens],MATCH(vp.tbl[[#This Row],[Crude_Breakdown]],crudeBD.lkup.complete[Crude Breakdown],0)))^2,"")</f>
        <v>19.151232529843885</v>
      </c>
      <c r="AO1318" s="4">
        <f>IFERROR((vp.tbl[[#This Row],[Sulf]]-INDEX(crudeBD.lkup.complete[Mean_Sulf],MATCH(vp.tbl[[#This Row],[Crude_Breakdown]],crudeBD.lkup.complete[Crude Breakdown],0)))^2,"")</f>
        <v>0</v>
      </c>
      <c r="AP1318">
        <f>IF(AND(vp.tbl[[#This Row],[SDate]]&gt;=DATE(YEAR(vp.tbl[[#This Row],[SDate]]),5,1),vp.tbl[[#This Row],[SDate]]&lt;=DATE(YEAR(vp.tbl[[#This Row],[SDate]]),9,15)),1,0)</f>
        <v>0</v>
      </c>
      <c r="AQ1318" s="15">
        <f>IF(vp.tbl[[#This Row],[SDate]]&lt;DATE(2016,12,1),0,1)</f>
        <v>1</v>
      </c>
    </row>
    <row r="1319" spans="1:43" x14ac:dyDescent="0.25">
      <c r="A1319">
        <v>1318</v>
      </c>
      <c r="B1319" t="s">
        <v>272</v>
      </c>
      <c r="C1319" t="s">
        <v>273</v>
      </c>
      <c r="D1319" t="s">
        <v>274</v>
      </c>
      <c r="E1319">
        <v>321948</v>
      </c>
      <c r="F1319" s="1">
        <v>42818</v>
      </c>
      <c r="G1319" s="2">
        <v>110.5</v>
      </c>
      <c r="H1319" s="2">
        <v>0</v>
      </c>
      <c r="I1319" s="2">
        <v>0</v>
      </c>
      <c r="J1319" s="2">
        <v>6</v>
      </c>
      <c r="K1319" s="2">
        <v>3</v>
      </c>
      <c r="L1319" s="2">
        <v>655.9</v>
      </c>
      <c r="M1319" s="2">
        <v>655.9</v>
      </c>
      <c r="N1319" s="2">
        <f ca="1">INDEX(INDIRECT(_xlfn.CONCAT("weather.tbl[",N$1,"]")),MATCH(vp.tbl[[#This Row],[SDate]],weather.tbl[Date],0))</f>
        <v>-2.2833333333333337</v>
      </c>
      <c r="O1319" s="2">
        <f ca="1">INDEX(INDIRECT(_xlfn.CONCAT("weather.tbl[",O$1,"]")),MATCH(vp.tbl[[#This Row],[SDate]],weather.tbl[Date],0))</f>
        <v>-2.7095238095238097</v>
      </c>
      <c r="P1319" s="2">
        <f ca="1">INDEX(INDIRECT(_xlfn.CONCAT("weather.tbl[",P$1,"]")),MATCH(vp.tbl[[#This Row],[SDate]],weather.tbl[Date],0))</f>
        <v>-0.1</v>
      </c>
      <c r="Q1319" s="2">
        <f ca="1">INDEX(INDIRECT(_xlfn.CONCAT("weather.tbl[",Q$1,"]")),MATCH(vp.tbl[[#This Row],[SDate]],weather.tbl[Date],0))</f>
        <v>0.3</v>
      </c>
      <c r="R1319" s="2">
        <f ca="1">INDEX(INDIRECT(_xlfn.CONCAT("weather.tbl[",R$1,"]")),MATCH(vp.tbl[[#This Row],[SDate]],weather.tbl[Date],0))</f>
        <v>-11.8</v>
      </c>
      <c r="S1319" s="2">
        <f ca="1">INDEX(INDIRECT(_xlfn.CONCAT("weather.tbl[",S$1,"]")),MATCH(vp.tbl[[#This Row],[SDate]],weather.tbl[Date],0))</f>
        <v>1.1000000000000001</v>
      </c>
      <c r="T1319" s="2">
        <f ca="1">INDEX(INDIRECT(_xlfn.CONCAT("weather.tbl[",T$1,"]")),MATCH(vp.tbl[[#This Row],[SDate]],weather.tbl[Date],0))</f>
        <v>-2.7</v>
      </c>
      <c r="U1319" s="2">
        <f ca="1">INDEX(INDIRECT(_xlfn.CONCAT("weather.tbl[",U$1,"]")),MATCH(vp.tbl[[#This Row],[SDate]],weather.tbl[Date],0))</f>
        <v>-0.5</v>
      </c>
      <c r="V1319" s="2">
        <v>36.049999999999997</v>
      </c>
      <c r="W1319" t="s">
        <v>268</v>
      </c>
      <c r="X1319">
        <f>IF(OR(vp.tbl[[#This Row],[Sulf]]="",vp.tbl[[#This Row],[Dens]]=""),1,0)</f>
        <v>0</v>
      </c>
      <c r="Y1319">
        <f>IF(vp.tbl[[#This Row],[CrudeType]]="C5+",1,0)</f>
        <v>1</v>
      </c>
      <c r="Z1319">
        <f>IF(AND(vp.tbl[[#This Row],[CrudeType]]="Crude",vp.tbl[[#This Row],[Dens]]&lt;=825,vp.tbl[[#This Row],[Sulf]]&gt;0.5,vp.tbl[[#This Row],[Unknown]]=0),1,0)</f>
        <v>0</v>
      </c>
      <c r="AA1319">
        <f>IF(AND(vp.tbl[[#This Row],[CrudeType]]="Crude",vp.tbl[[#This Row],[Dens]]&lt;=825,vp.tbl[[#This Row],[Sulf]]&lt;=0.5,vp.tbl[[#This Row],[Unknown]]=0),1,0)</f>
        <v>0</v>
      </c>
      <c r="AB1319">
        <f>IF(AND(vp.tbl[[#This Row],[CrudeType]]="Crude",vp.tbl[[#This Row],[Dens]]&gt;825,vp.tbl[[#This Row],[Dens]]&lt;=870,vp.tbl[[#This Row],[Sulf]]&gt;0.5,vp.tbl[[#This Row],[Unknown]]=0),1,0)</f>
        <v>0</v>
      </c>
      <c r="AC1319">
        <f>IF(AND(vp.tbl[[#This Row],[CrudeType]]="Crude",vp.tbl[[#This Row],[Dens]]&gt;825,vp.tbl[[#This Row],[Dens]]&lt;=900,vp.tbl[[#This Row],[Sulf]]&lt;=0.5,vp.tbl[[#This Row],[Unknown]]=0),1,0)</f>
        <v>0</v>
      </c>
      <c r="AD1319">
        <f>IF(AND(vp.tbl[[#This Row],[CrudeType]]="Crude",vp.tbl[[#This Row],[Dens]]&gt;870,vp.tbl[[#This Row],[Dens]]&lt;=900,vp.tbl[[#This Row],[Sulf]]&gt;0.5,vp.tbl[[#This Row],[Unknown]]=0),1,0)</f>
        <v>0</v>
      </c>
      <c r="AE1319">
        <f>IF(AND(vp.tbl[[#This Row],[CrudeType]]="Crude",vp.tbl[[#This Row],[Dens]]&gt;900,vp.tbl[[#This Row],[Sulf]]&lt;=0.5,vp.tbl[[#This Row],[Unknown]]=0),1,0)</f>
        <v>0</v>
      </c>
      <c r="AF1319">
        <f>IF(AND(vp.tbl[[#This Row],[CrudeType]]="Crude",vp.tbl[[#This Row],[Dens]]&gt;900,vp.tbl[[#This Row],[Sulf]]&lt;=0.5,vp.tbl[[#This Row],[Unknown]]=0),1,0)</f>
        <v>0</v>
      </c>
      <c r="AG1319" t="str">
        <f>INDEX(vp.tbl[[#Headers],[Unknown]:[Heavy_SW]],MATCH(1,vp.tbl[[#This Row],[Unknown]:[Heavy_SW]],0))</f>
        <v>C5</v>
      </c>
      <c r="AH1319" t="e">
        <f>INDEX([1]!crudeBD.lkup[Number],MATCH(vp.tbl[[#This Row],[Crude_Breakdown]],[1]!crudeBD.lkup[Crude Breakdown],0))</f>
        <v>#REF!</v>
      </c>
      <c r="AI1319">
        <f>MONTH(vp.tbl[[#This Row],[SDate]])</f>
        <v>3</v>
      </c>
      <c r="AJ1319" s="5">
        <f>IFERROR(vp.tbl[[#This Row],[Sulf]]*vp.tbl[[#This Row],[Net Dens]],"")</f>
        <v>0</v>
      </c>
      <c r="AK1319" s="5">
        <f>IFERROR(vp.tbl[[#This Row],[Dens]]*vp.tbl[[#This Row],[VolumeM3]],"")</f>
        <v>23645.194999999996</v>
      </c>
      <c r="AL1319" s="5">
        <f>IFERROR(vp.tbl[[#This Row],[VP]]*vp.tbl[[#This Row],[VolumeM3]],"")</f>
        <v>3983.5249999999996</v>
      </c>
      <c r="AM1319" s="4">
        <f>IFERROR((vp.tbl[[#This Row],[VP]]-INDEX(crudeBD.lkup.complete[Mean_VP],MATCH(vp.tbl[[#This Row],[Crude_Breakdown]],crudeBD.lkup.complete[Crude Breakdown],0)))^2,"")</f>
        <v>53.59349148301245</v>
      </c>
      <c r="AN1319" s="4">
        <f>IFERROR((vp.tbl[[#This Row],[Dens]]-INDEX(crudeBD.lkup.complete[Mean_Dens],MATCH(vp.tbl[[#This Row],[Crude_Breakdown]],crudeBD.lkup.complete[Crude Breakdown],0)))^2,"")</f>
        <v>4.7358991965108519</v>
      </c>
      <c r="AO1319" s="4">
        <f>IFERROR((vp.tbl[[#This Row],[Sulf]]-INDEX(crudeBD.lkup.complete[Mean_Sulf],MATCH(vp.tbl[[#This Row],[Crude_Breakdown]],crudeBD.lkup.complete[Crude Breakdown],0)))^2,"")</f>
        <v>0</v>
      </c>
      <c r="AP1319">
        <f>IF(AND(vp.tbl[[#This Row],[SDate]]&gt;=DATE(YEAR(vp.tbl[[#This Row],[SDate]]),5,1),vp.tbl[[#This Row],[SDate]]&lt;=DATE(YEAR(vp.tbl[[#This Row],[SDate]]),9,15)),1,0)</f>
        <v>0</v>
      </c>
      <c r="AQ1319" s="15">
        <f>IF(vp.tbl[[#This Row],[SDate]]&lt;DATE(2016,12,1),0,1)</f>
        <v>1</v>
      </c>
    </row>
    <row r="1320" spans="1:43" x14ac:dyDescent="0.25">
      <c r="A1320">
        <v>1319</v>
      </c>
      <c r="B1320" t="s">
        <v>275</v>
      </c>
      <c r="C1320" t="s">
        <v>276</v>
      </c>
      <c r="D1320" t="s">
        <v>277</v>
      </c>
      <c r="E1320">
        <v>321940</v>
      </c>
      <c r="F1320" s="1">
        <v>42818</v>
      </c>
      <c r="G1320" s="2">
        <v>94.2</v>
      </c>
      <c r="H1320" s="2">
        <v>0</v>
      </c>
      <c r="I1320" s="2">
        <v>0</v>
      </c>
      <c r="J1320" s="2">
        <v>7</v>
      </c>
      <c r="K1320" s="2">
        <v>3</v>
      </c>
      <c r="L1320" s="2">
        <v>663.6</v>
      </c>
      <c r="M1320" s="2">
        <v>663.6</v>
      </c>
      <c r="N1320" s="2">
        <f ca="1">INDEX(INDIRECT(_xlfn.CONCAT("weather.tbl[",N$1,"]")),MATCH(vp.tbl[[#This Row],[SDate]],weather.tbl[Date],0))</f>
        <v>-2.2833333333333337</v>
      </c>
      <c r="O1320" s="2">
        <f ca="1">INDEX(INDIRECT(_xlfn.CONCAT("weather.tbl[",O$1,"]")),MATCH(vp.tbl[[#This Row],[SDate]],weather.tbl[Date],0))</f>
        <v>-2.7095238095238097</v>
      </c>
      <c r="P1320" s="2">
        <f ca="1">INDEX(INDIRECT(_xlfn.CONCAT("weather.tbl[",P$1,"]")),MATCH(vp.tbl[[#This Row],[SDate]],weather.tbl[Date],0))</f>
        <v>-0.1</v>
      </c>
      <c r="Q1320" s="2">
        <f ca="1">INDEX(INDIRECT(_xlfn.CONCAT("weather.tbl[",Q$1,"]")),MATCH(vp.tbl[[#This Row],[SDate]],weather.tbl[Date],0))</f>
        <v>0.3</v>
      </c>
      <c r="R1320" s="2">
        <f ca="1">INDEX(INDIRECT(_xlfn.CONCAT("weather.tbl[",R$1,"]")),MATCH(vp.tbl[[#This Row],[SDate]],weather.tbl[Date],0))</f>
        <v>-11.8</v>
      </c>
      <c r="S1320" s="2">
        <f ca="1">INDEX(INDIRECT(_xlfn.CONCAT("weather.tbl[",S$1,"]")),MATCH(vp.tbl[[#This Row],[SDate]],weather.tbl[Date],0))</f>
        <v>1.1000000000000001</v>
      </c>
      <c r="T1320" s="2">
        <f ca="1">INDEX(INDIRECT(_xlfn.CONCAT("weather.tbl[",T$1,"]")),MATCH(vp.tbl[[#This Row],[SDate]],weather.tbl[Date],0))</f>
        <v>-2.7</v>
      </c>
      <c r="U1320" s="2">
        <f ca="1">INDEX(INDIRECT(_xlfn.CONCAT("weather.tbl[",U$1,"]")),MATCH(vp.tbl[[#This Row],[SDate]],weather.tbl[Date],0))</f>
        <v>-0.5</v>
      </c>
      <c r="V1320" s="2">
        <v>34.82</v>
      </c>
      <c r="W1320" t="s">
        <v>268</v>
      </c>
      <c r="X1320">
        <f>IF(OR(vp.tbl[[#This Row],[Sulf]]="",vp.tbl[[#This Row],[Dens]]=""),1,0)</f>
        <v>0</v>
      </c>
      <c r="Y1320">
        <f>IF(vp.tbl[[#This Row],[CrudeType]]="C5+",1,0)</f>
        <v>1</v>
      </c>
      <c r="Z1320">
        <f>IF(AND(vp.tbl[[#This Row],[CrudeType]]="Crude",vp.tbl[[#This Row],[Dens]]&lt;=825,vp.tbl[[#This Row],[Sulf]]&gt;0.5,vp.tbl[[#This Row],[Unknown]]=0),1,0)</f>
        <v>0</v>
      </c>
      <c r="AA1320">
        <f>IF(AND(vp.tbl[[#This Row],[CrudeType]]="Crude",vp.tbl[[#This Row],[Dens]]&lt;=825,vp.tbl[[#This Row],[Sulf]]&lt;=0.5,vp.tbl[[#This Row],[Unknown]]=0),1,0)</f>
        <v>0</v>
      </c>
      <c r="AB1320">
        <f>IF(AND(vp.tbl[[#This Row],[CrudeType]]="Crude",vp.tbl[[#This Row],[Dens]]&gt;825,vp.tbl[[#This Row],[Dens]]&lt;=870,vp.tbl[[#This Row],[Sulf]]&gt;0.5,vp.tbl[[#This Row],[Unknown]]=0),1,0)</f>
        <v>0</v>
      </c>
      <c r="AC1320">
        <f>IF(AND(vp.tbl[[#This Row],[CrudeType]]="Crude",vp.tbl[[#This Row],[Dens]]&gt;825,vp.tbl[[#This Row],[Dens]]&lt;=900,vp.tbl[[#This Row],[Sulf]]&lt;=0.5,vp.tbl[[#This Row],[Unknown]]=0),1,0)</f>
        <v>0</v>
      </c>
      <c r="AD1320">
        <f>IF(AND(vp.tbl[[#This Row],[CrudeType]]="Crude",vp.tbl[[#This Row],[Dens]]&gt;870,vp.tbl[[#This Row],[Dens]]&lt;=900,vp.tbl[[#This Row],[Sulf]]&gt;0.5,vp.tbl[[#This Row],[Unknown]]=0),1,0)</f>
        <v>0</v>
      </c>
      <c r="AE1320">
        <f>IF(AND(vp.tbl[[#This Row],[CrudeType]]="Crude",vp.tbl[[#This Row],[Dens]]&gt;900,vp.tbl[[#This Row],[Sulf]]&lt;=0.5,vp.tbl[[#This Row],[Unknown]]=0),1,0)</f>
        <v>0</v>
      </c>
      <c r="AF1320">
        <f>IF(AND(vp.tbl[[#This Row],[CrudeType]]="Crude",vp.tbl[[#This Row],[Dens]]&gt;900,vp.tbl[[#This Row],[Sulf]]&lt;=0.5,vp.tbl[[#This Row],[Unknown]]=0),1,0)</f>
        <v>0</v>
      </c>
      <c r="AG1320" t="str">
        <f>INDEX(vp.tbl[[#Headers],[Unknown]:[Heavy_SW]],MATCH(1,vp.tbl[[#This Row],[Unknown]:[Heavy_SW]],0))</f>
        <v>C5</v>
      </c>
      <c r="AH1320" t="e">
        <f>INDEX([1]!crudeBD.lkup[Number],MATCH(vp.tbl[[#This Row],[Crude_Breakdown]],[1]!crudeBD.lkup[Crude Breakdown],0))</f>
        <v>#REF!</v>
      </c>
      <c r="AI1320">
        <f>MONTH(vp.tbl[[#This Row],[SDate]])</f>
        <v>3</v>
      </c>
      <c r="AJ1320" s="5">
        <f>IFERROR(vp.tbl[[#This Row],[Sulf]]*vp.tbl[[#This Row],[Net Dens]],"")</f>
        <v>0</v>
      </c>
      <c r="AK1320" s="5">
        <f>IFERROR(vp.tbl[[#This Row],[Dens]]*vp.tbl[[#This Row],[VolumeM3]],"")</f>
        <v>23106.552</v>
      </c>
      <c r="AL1320" s="5">
        <f>IFERROR(vp.tbl[[#This Row],[VP]]*vp.tbl[[#This Row],[VolumeM3]],"")</f>
        <v>3280.0440000000003</v>
      </c>
      <c r="AM1320" s="4">
        <f>IFERROR((vp.tbl[[#This Row],[VP]]-INDEX(crudeBD.lkup.complete[Mean_VP],MATCH(vp.tbl[[#This Row],[Crude_Breakdown]],crudeBD.lkup.complete[Crude Breakdown],0)))^2,"")</f>
        <v>80.62679451331428</v>
      </c>
      <c r="AN1320" s="4">
        <f>IFERROR((vp.tbl[[#This Row],[Dens]]-INDEX(crudeBD.lkup.complete[Mean_Dens],MATCH(vp.tbl[[#This Row],[Crude_Breakdown]],crudeBD.lkup.complete[Crude Breakdown],0)))^2,"")</f>
        <v>30.512232529843654</v>
      </c>
      <c r="AO1320" s="4">
        <f>IFERROR((vp.tbl[[#This Row],[Sulf]]-INDEX(crudeBD.lkup.complete[Mean_Sulf],MATCH(vp.tbl[[#This Row],[Crude_Breakdown]],crudeBD.lkup.complete[Crude Breakdown],0)))^2,"")</f>
        <v>0</v>
      </c>
      <c r="AP1320">
        <f>IF(AND(vp.tbl[[#This Row],[SDate]]&gt;=DATE(YEAR(vp.tbl[[#This Row],[SDate]]),5,1),vp.tbl[[#This Row],[SDate]]&lt;=DATE(YEAR(vp.tbl[[#This Row],[SDate]]),9,15)),1,0)</f>
        <v>0</v>
      </c>
      <c r="AQ1320" s="15">
        <f>IF(vp.tbl[[#This Row],[SDate]]&lt;DATE(2016,12,1),0,1)</f>
        <v>1</v>
      </c>
    </row>
    <row r="1321" spans="1:43" x14ac:dyDescent="0.25">
      <c r="A1321">
        <v>1320</v>
      </c>
      <c r="B1321" t="s">
        <v>269</v>
      </c>
      <c r="C1321" t="s">
        <v>278</v>
      </c>
      <c r="D1321" t="s">
        <v>279</v>
      </c>
      <c r="E1321">
        <v>322028</v>
      </c>
      <c r="F1321" s="1">
        <v>42819</v>
      </c>
      <c r="G1321" s="2">
        <v>94.7</v>
      </c>
      <c r="H1321" s="2">
        <v>0</v>
      </c>
      <c r="I1321" s="2">
        <v>0</v>
      </c>
      <c r="J1321" s="2">
        <v>5</v>
      </c>
      <c r="K1321" s="2">
        <v>2</v>
      </c>
      <c r="L1321" s="2">
        <v>655.7</v>
      </c>
      <c r="M1321" s="2">
        <v>655.7</v>
      </c>
      <c r="N1321" s="2">
        <f ca="1">INDEX(INDIRECT(_xlfn.CONCAT("weather.tbl[",N$1,"]")),MATCH(vp.tbl[[#This Row],[SDate]],weather.tbl[Date],0))</f>
        <v>5.2</v>
      </c>
      <c r="O1321" s="2">
        <f ca="1">INDEX(INDIRECT(_xlfn.CONCAT("weather.tbl[",O$1,"]")),MATCH(vp.tbl[[#This Row],[SDate]],weather.tbl[Date],0))</f>
        <v>-1.8166666666666675</v>
      </c>
      <c r="P1321" s="2">
        <f ca="1">INDEX(INDIRECT(_xlfn.CONCAT("weather.tbl[",P$1,"]")),MATCH(vp.tbl[[#This Row],[SDate]],weather.tbl[Date],0))</f>
        <v>6.4</v>
      </c>
      <c r="Q1321" s="2">
        <f ca="1">INDEX(INDIRECT(_xlfn.CONCAT("weather.tbl[",Q$1,"]")),MATCH(vp.tbl[[#This Row],[SDate]],weather.tbl[Date],0))</f>
        <v>7.7</v>
      </c>
      <c r="R1321" s="2">
        <f ca="1">INDEX(INDIRECT(_xlfn.CONCAT("weather.tbl[",R$1,"]")),MATCH(vp.tbl[[#This Row],[SDate]],weather.tbl[Date],0))</f>
        <v>3</v>
      </c>
      <c r="S1321" s="2">
        <f ca="1">INDEX(INDIRECT(_xlfn.CONCAT("weather.tbl[",S$1,"]")),MATCH(vp.tbl[[#This Row],[SDate]],weather.tbl[Date],0))</f>
        <v>8.1</v>
      </c>
      <c r="T1321" s="2">
        <f ca="1">INDEX(INDIRECT(_xlfn.CONCAT("weather.tbl[",T$1,"]")),MATCH(vp.tbl[[#This Row],[SDate]],weather.tbl[Date],0))</f>
        <v>0.7</v>
      </c>
      <c r="U1321" s="2">
        <f ca="1">INDEX(INDIRECT(_xlfn.CONCAT("weather.tbl[",U$1,"]")),MATCH(vp.tbl[[#This Row],[SDate]],weather.tbl[Date],0))</f>
        <v>5.3</v>
      </c>
      <c r="V1321" s="2">
        <v>38.700000000000003</v>
      </c>
      <c r="W1321" t="s">
        <v>268</v>
      </c>
      <c r="X1321">
        <f>IF(OR(vp.tbl[[#This Row],[Sulf]]="",vp.tbl[[#This Row],[Dens]]=""),1,0)</f>
        <v>0</v>
      </c>
      <c r="Y1321">
        <f>IF(vp.tbl[[#This Row],[CrudeType]]="C5+",1,0)</f>
        <v>1</v>
      </c>
      <c r="Z1321">
        <f>IF(AND(vp.tbl[[#This Row],[CrudeType]]="Crude",vp.tbl[[#This Row],[Dens]]&lt;=825,vp.tbl[[#This Row],[Sulf]]&gt;0.5,vp.tbl[[#This Row],[Unknown]]=0),1,0)</f>
        <v>0</v>
      </c>
      <c r="AA1321">
        <f>IF(AND(vp.tbl[[#This Row],[CrudeType]]="Crude",vp.tbl[[#This Row],[Dens]]&lt;=825,vp.tbl[[#This Row],[Sulf]]&lt;=0.5,vp.tbl[[#This Row],[Unknown]]=0),1,0)</f>
        <v>0</v>
      </c>
      <c r="AB1321">
        <f>IF(AND(vp.tbl[[#This Row],[CrudeType]]="Crude",vp.tbl[[#This Row],[Dens]]&gt;825,vp.tbl[[#This Row],[Dens]]&lt;=870,vp.tbl[[#This Row],[Sulf]]&gt;0.5,vp.tbl[[#This Row],[Unknown]]=0),1,0)</f>
        <v>0</v>
      </c>
      <c r="AC1321">
        <f>IF(AND(vp.tbl[[#This Row],[CrudeType]]="Crude",vp.tbl[[#This Row],[Dens]]&gt;825,vp.tbl[[#This Row],[Dens]]&lt;=900,vp.tbl[[#This Row],[Sulf]]&lt;=0.5,vp.tbl[[#This Row],[Unknown]]=0),1,0)</f>
        <v>0</v>
      </c>
      <c r="AD1321">
        <f>IF(AND(vp.tbl[[#This Row],[CrudeType]]="Crude",vp.tbl[[#This Row],[Dens]]&gt;870,vp.tbl[[#This Row],[Dens]]&lt;=900,vp.tbl[[#This Row],[Sulf]]&gt;0.5,vp.tbl[[#This Row],[Unknown]]=0),1,0)</f>
        <v>0</v>
      </c>
      <c r="AE1321">
        <f>IF(AND(vp.tbl[[#This Row],[CrudeType]]="Crude",vp.tbl[[#This Row],[Dens]]&gt;900,vp.tbl[[#This Row],[Sulf]]&lt;=0.5,vp.tbl[[#This Row],[Unknown]]=0),1,0)</f>
        <v>0</v>
      </c>
      <c r="AF1321">
        <f>IF(AND(vp.tbl[[#This Row],[CrudeType]]="Crude",vp.tbl[[#This Row],[Dens]]&gt;900,vp.tbl[[#This Row],[Sulf]]&lt;=0.5,vp.tbl[[#This Row],[Unknown]]=0),1,0)</f>
        <v>0</v>
      </c>
      <c r="AG1321" t="str">
        <f>INDEX(vp.tbl[[#Headers],[Unknown]:[Heavy_SW]],MATCH(1,vp.tbl[[#This Row],[Unknown]:[Heavy_SW]],0))</f>
        <v>C5</v>
      </c>
      <c r="AH1321" t="e">
        <f>INDEX([1]!crudeBD.lkup[Number],MATCH(vp.tbl[[#This Row],[Crude_Breakdown]],[1]!crudeBD.lkup[Crude Breakdown],0))</f>
        <v>#REF!</v>
      </c>
      <c r="AI1321">
        <f>MONTH(vp.tbl[[#This Row],[SDate]])</f>
        <v>3</v>
      </c>
      <c r="AJ1321" s="5">
        <f>IFERROR(vp.tbl[[#This Row],[Sulf]]*vp.tbl[[#This Row],[Net Dens]],"")</f>
        <v>0</v>
      </c>
      <c r="AK1321" s="5">
        <f>IFERROR(vp.tbl[[#This Row],[Dens]]*vp.tbl[[#This Row],[VolumeM3]],"")</f>
        <v>25375.590000000004</v>
      </c>
      <c r="AL1321" s="5">
        <f>IFERROR(vp.tbl[[#This Row],[VP]]*vp.tbl[[#This Row],[VolumeM3]],"")</f>
        <v>3664.8900000000003</v>
      </c>
      <c r="AM1321" s="4">
        <f>IFERROR((vp.tbl[[#This Row],[VP]]-INDEX(crudeBD.lkup.complete[Mean_VP],MATCH(vp.tbl[[#This Row],[Crude_Breakdown]],crudeBD.lkup.complete[Crude Breakdown],0)))^2,"")</f>
        <v>71.897552089071894</v>
      </c>
      <c r="AN1321" s="4">
        <f>IFERROR((vp.tbl[[#This Row],[Dens]]-INDEX(crudeBD.lkup.complete[Mean_Dens],MATCH(vp.tbl[[#This Row],[Crude_Breakdown]],crudeBD.lkup.complete[Crude Breakdown],0)))^2,"")</f>
        <v>5.6463840449954033</v>
      </c>
      <c r="AO1321" s="4">
        <f>IFERROR((vp.tbl[[#This Row],[Sulf]]-INDEX(crudeBD.lkup.complete[Mean_Sulf],MATCH(vp.tbl[[#This Row],[Crude_Breakdown]],crudeBD.lkup.complete[Crude Breakdown],0)))^2,"")</f>
        <v>0</v>
      </c>
      <c r="AP1321">
        <f>IF(AND(vp.tbl[[#This Row],[SDate]]&gt;=DATE(YEAR(vp.tbl[[#This Row],[SDate]]),5,1),vp.tbl[[#This Row],[SDate]]&lt;=DATE(YEAR(vp.tbl[[#This Row],[SDate]]),9,15)),1,0)</f>
        <v>0</v>
      </c>
      <c r="AQ1321" s="15">
        <f>IF(vp.tbl[[#This Row],[SDate]]&lt;DATE(2016,12,1),0,1)</f>
        <v>1</v>
      </c>
    </row>
    <row r="1322" spans="1:43" x14ac:dyDescent="0.25">
      <c r="A1322">
        <v>1321</v>
      </c>
      <c r="B1322" t="s">
        <v>265</v>
      </c>
      <c r="C1322" t="s">
        <v>266</v>
      </c>
      <c r="D1322" t="s">
        <v>267</v>
      </c>
      <c r="E1322">
        <v>322428</v>
      </c>
      <c r="F1322" s="1">
        <v>42821</v>
      </c>
      <c r="G1322" s="2">
        <v>106</v>
      </c>
      <c r="H1322" s="2">
        <v>0</v>
      </c>
      <c r="I1322" s="2">
        <v>0</v>
      </c>
      <c r="J1322" s="2">
        <v>10</v>
      </c>
      <c r="K1322" s="2">
        <v>4</v>
      </c>
      <c r="L1322" s="2">
        <v>657.5</v>
      </c>
      <c r="M1322" s="2">
        <v>657.5</v>
      </c>
      <c r="N1322" s="2">
        <f ca="1">INDEX(INDIRECT(_xlfn.CONCAT("weather.tbl[",N$1,"]")),MATCH(vp.tbl[[#This Row],[SDate]],weather.tbl[Date],0))</f>
        <v>1.4666666666666668</v>
      </c>
      <c r="O1322" s="2">
        <f ca="1">INDEX(INDIRECT(_xlfn.CONCAT("weather.tbl[",O$1,"]")),MATCH(vp.tbl[[#This Row],[SDate]],weather.tbl[Date],0))</f>
        <v>-0.90238095238095273</v>
      </c>
      <c r="P1322" s="2">
        <f ca="1">INDEX(INDIRECT(_xlfn.CONCAT("weather.tbl[",P$1,"]")),MATCH(vp.tbl[[#This Row],[SDate]],weather.tbl[Date],0))</f>
        <v>0.7</v>
      </c>
      <c r="Q1322" s="2">
        <f ca="1">INDEX(INDIRECT(_xlfn.CONCAT("weather.tbl[",Q$1,"]")),MATCH(vp.tbl[[#This Row],[SDate]],weather.tbl[Date],0))</f>
        <v>3</v>
      </c>
      <c r="R1322" s="2">
        <f ca="1">INDEX(INDIRECT(_xlfn.CONCAT("weather.tbl[",R$1,"]")),MATCH(vp.tbl[[#This Row],[SDate]],weather.tbl[Date],0))</f>
        <v>1.3</v>
      </c>
      <c r="S1322" s="2">
        <f ca="1">INDEX(INDIRECT(_xlfn.CONCAT("weather.tbl[",S$1,"]")),MATCH(vp.tbl[[#This Row],[SDate]],weather.tbl[Date],0))</f>
        <v>3.3</v>
      </c>
      <c r="T1322" s="2">
        <f ca="1">INDEX(INDIRECT(_xlfn.CONCAT("weather.tbl[",T$1,"]")),MATCH(vp.tbl[[#This Row],[SDate]],weather.tbl[Date],0))</f>
        <v>-0.3</v>
      </c>
      <c r="U1322" s="2">
        <f ca="1">INDEX(INDIRECT(_xlfn.CONCAT("weather.tbl[",U$1,"]")),MATCH(vp.tbl[[#This Row],[SDate]],weather.tbl[Date],0))</f>
        <v>0.8</v>
      </c>
      <c r="V1322" s="2">
        <v>32.630000000000003</v>
      </c>
      <c r="W1322" t="s">
        <v>268</v>
      </c>
      <c r="X1322">
        <f>IF(OR(vp.tbl[[#This Row],[Sulf]]="",vp.tbl[[#This Row],[Dens]]=""),1,0)</f>
        <v>0</v>
      </c>
      <c r="Y1322">
        <f>IF(vp.tbl[[#This Row],[CrudeType]]="C5+",1,0)</f>
        <v>1</v>
      </c>
      <c r="Z1322">
        <f>IF(AND(vp.tbl[[#This Row],[CrudeType]]="Crude",vp.tbl[[#This Row],[Dens]]&lt;=825,vp.tbl[[#This Row],[Sulf]]&gt;0.5,vp.tbl[[#This Row],[Unknown]]=0),1,0)</f>
        <v>0</v>
      </c>
      <c r="AA1322">
        <f>IF(AND(vp.tbl[[#This Row],[CrudeType]]="Crude",vp.tbl[[#This Row],[Dens]]&lt;=825,vp.tbl[[#This Row],[Sulf]]&lt;=0.5,vp.tbl[[#This Row],[Unknown]]=0),1,0)</f>
        <v>0</v>
      </c>
      <c r="AB1322">
        <f>IF(AND(vp.tbl[[#This Row],[CrudeType]]="Crude",vp.tbl[[#This Row],[Dens]]&gt;825,vp.tbl[[#This Row],[Dens]]&lt;=870,vp.tbl[[#This Row],[Sulf]]&gt;0.5,vp.tbl[[#This Row],[Unknown]]=0),1,0)</f>
        <v>0</v>
      </c>
      <c r="AC1322">
        <f>IF(AND(vp.tbl[[#This Row],[CrudeType]]="Crude",vp.tbl[[#This Row],[Dens]]&gt;825,vp.tbl[[#This Row],[Dens]]&lt;=900,vp.tbl[[#This Row],[Sulf]]&lt;=0.5,vp.tbl[[#This Row],[Unknown]]=0),1,0)</f>
        <v>0</v>
      </c>
      <c r="AD1322">
        <f>IF(AND(vp.tbl[[#This Row],[CrudeType]]="Crude",vp.tbl[[#This Row],[Dens]]&gt;870,vp.tbl[[#This Row],[Dens]]&lt;=900,vp.tbl[[#This Row],[Sulf]]&gt;0.5,vp.tbl[[#This Row],[Unknown]]=0),1,0)</f>
        <v>0</v>
      </c>
      <c r="AE1322">
        <f>IF(AND(vp.tbl[[#This Row],[CrudeType]]="Crude",vp.tbl[[#This Row],[Dens]]&gt;900,vp.tbl[[#This Row],[Sulf]]&lt;=0.5,vp.tbl[[#This Row],[Unknown]]=0),1,0)</f>
        <v>0</v>
      </c>
      <c r="AF1322">
        <f>IF(AND(vp.tbl[[#This Row],[CrudeType]]="Crude",vp.tbl[[#This Row],[Dens]]&gt;900,vp.tbl[[#This Row],[Sulf]]&lt;=0.5,vp.tbl[[#This Row],[Unknown]]=0),1,0)</f>
        <v>0</v>
      </c>
      <c r="AG1322" t="str">
        <f>INDEX(vp.tbl[[#Headers],[Unknown]:[Heavy_SW]],MATCH(1,vp.tbl[[#This Row],[Unknown]:[Heavy_SW]],0))</f>
        <v>C5</v>
      </c>
      <c r="AH1322" t="e">
        <f>INDEX([1]!crudeBD.lkup[Number],MATCH(vp.tbl[[#This Row],[Crude_Breakdown]],[1]!crudeBD.lkup[Crude Breakdown],0))</f>
        <v>#REF!</v>
      </c>
      <c r="AI1322">
        <f>MONTH(vp.tbl[[#This Row],[SDate]])</f>
        <v>3</v>
      </c>
      <c r="AJ1322" s="5">
        <f>IFERROR(vp.tbl[[#This Row],[Sulf]]*vp.tbl[[#This Row],[Net Dens]],"")</f>
        <v>0</v>
      </c>
      <c r="AK1322" s="5">
        <f>IFERROR(vp.tbl[[#This Row],[Dens]]*vp.tbl[[#This Row],[VolumeM3]],"")</f>
        <v>21454.225000000002</v>
      </c>
      <c r="AL1322" s="5">
        <f>IFERROR(vp.tbl[[#This Row],[VP]]*vp.tbl[[#This Row],[VolumeM3]],"")</f>
        <v>3458.78</v>
      </c>
      <c r="AM1322" s="4">
        <f>IFERROR((vp.tbl[[#This Row],[VP]]-INDEX(crudeBD.lkup.complete[Mean_VP],MATCH(vp.tbl[[#This Row],[Crude_Breakdown]],crudeBD.lkup.complete[Crude Breakdown],0)))^2,"")</f>
        <v>7.9566733011939537</v>
      </c>
      <c r="AN1322" s="4">
        <f>IFERROR((vp.tbl[[#This Row],[Dens]]-INDEX(crudeBD.lkup.complete[Mean_Dens],MATCH(vp.tbl[[#This Row],[Crude_Breakdown]],crudeBD.lkup.complete[Crude Breakdown],0)))^2,"")</f>
        <v>0.33202040863182342</v>
      </c>
      <c r="AO1322" s="4">
        <f>IFERROR((vp.tbl[[#This Row],[Sulf]]-INDEX(crudeBD.lkup.complete[Mean_Sulf],MATCH(vp.tbl[[#This Row],[Crude_Breakdown]],crudeBD.lkup.complete[Crude Breakdown],0)))^2,"")</f>
        <v>0</v>
      </c>
      <c r="AP1322">
        <f>IF(AND(vp.tbl[[#This Row],[SDate]]&gt;=DATE(YEAR(vp.tbl[[#This Row],[SDate]]),5,1),vp.tbl[[#This Row],[SDate]]&lt;=DATE(YEAR(vp.tbl[[#This Row],[SDate]]),9,15)),1,0)</f>
        <v>0</v>
      </c>
      <c r="AQ1322" s="15">
        <f>IF(vp.tbl[[#This Row],[SDate]]&lt;DATE(2016,12,1),0,1)</f>
        <v>1</v>
      </c>
    </row>
    <row r="1323" spans="1:43" x14ac:dyDescent="0.25">
      <c r="A1323">
        <v>1322</v>
      </c>
      <c r="B1323" t="s">
        <v>275</v>
      </c>
      <c r="C1323" t="s">
        <v>276</v>
      </c>
      <c r="D1323" t="s">
        <v>277</v>
      </c>
      <c r="E1323">
        <v>322423</v>
      </c>
      <c r="F1323" s="1">
        <v>42821</v>
      </c>
      <c r="G1323" s="2">
        <v>95</v>
      </c>
      <c r="H1323" s="2">
        <v>0</v>
      </c>
      <c r="I1323" s="2">
        <v>0</v>
      </c>
      <c r="J1323" s="2">
        <v>13.4</v>
      </c>
      <c r="K1323" s="2">
        <v>4</v>
      </c>
      <c r="L1323" s="2">
        <v>660.8</v>
      </c>
      <c r="M1323" s="2">
        <v>660.8</v>
      </c>
      <c r="N1323" s="2">
        <f ca="1">INDEX(INDIRECT(_xlfn.CONCAT("weather.tbl[",N$1,"]")),MATCH(vp.tbl[[#This Row],[SDate]],weather.tbl[Date],0))</f>
        <v>1.4666666666666668</v>
      </c>
      <c r="O1323" s="2">
        <f ca="1">INDEX(INDIRECT(_xlfn.CONCAT("weather.tbl[",O$1,"]")),MATCH(vp.tbl[[#This Row],[SDate]],weather.tbl[Date],0))</f>
        <v>-0.90238095238095273</v>
      </c>
      <c r="P1323" s="2">
        <f ca="1">INDEX(INDIRECT(_xlfn.CONCAT("weather.tbl[",P$1,"]")),MATCH(vp.tbl[[#This Row],[SDate]],weather.tbl[Date],0))</f>
        <v>0.7</v>
      </c>
      <c r="Q1323" s="2">
        <f ca="1">INDEX(INDIRECT(_xlfn.CONCAT("weather.tbl[",Q$1,"]")),MATCH(vp.tbl[[#This Row],[SDate]],weather.tbl[Date],0))</f>
        <v>3</v>
      </c>
      <c r="R1323" s="2">
        <f ca="1">INDEX(INDIRECT(_xlfn.CONCAT("weather.tbl[",R$1,"]")),MATCH(vp.tbl[[#This Row],[SDate]],weather.tbl[Date],0))</f>
        <v>1.3</v>
      </c>
      <c r="S1323" s="2">
        <f ca="1">INDEX(INDIRECT(_xlfn.CONCAT("weather.tbl[",S$1,"]")),MATCH(vp.tbl[[#This Row],[SDate]],weather.tbl[Date],0))</f>
        <v>3.3</v>
      </c>
      <c r="T1323" s="2">
        <f ca="1">INDEX(INDIRECT(_xlfn.CONCAT("weather.tbl[",T$1,"]")),MATCH(vp.tbl[[#This Row],[SDate]],weather.tbl[Date],0))</f>
        <v>-0.3</v>
      </c>
      <c r="U1323" s="2">
        <f ca="1">INDEX(INDIRECT(_xlfn.CONCAT("weather.tbl[",U$1,"]")),MATCH(vp.tbl[[#This Row],[SDate]],weather.tbl[Date],0))</f>
        <v>0.8</v>
      </c>
      <c r="V1323" s="2">
        <v>38.44</v>
      </c>
      <c r="W1323" t="s">
        <v>268</v>
      </c>
      <c r="X1323">
        <f>IF(OR(vp.tbl[[#This Row],[Sulf]]="",vp.tbl[[#This Row],[Dens]]=""),1,0)</f>
        <v>0</v>
      </c>
      <c r="Y1323">
        <f>IF(vp.tbl[[#This Row],[CrudeType]]="C5+",1,0)</f>
        <v>1</v>
      </c>
      <c r="Z1323">
        <f>IF(AND(vp.tbl[[#This Row],[CrudeType]]="Crude",vp.tbl[[#This Row],[Dens]]&lt;=825,vp.tbl[[#This Row],[Sulf]]&gt;0.5,vp.tbl[[#This Row],[Unknown]]=0),1,0)</f>
        <v>0</v>
      </c>
      <c r="AA1323">
        <f>IF(AND(vp.tbl[[#This Row],[CrudeType]]="Crude",vp.tbl[[#This Row],[Dens]]&lt;=825,vp.tbl[[#This Row],[Sulf]]&lt;=0.5,vp.tbl[[#This Row],[Unknown]]=0),1,0)</f>
        <v>0</v>
      </c>
      <c r="AB1323">
        <f>IF(AND(vp.tbl[[#This Row],[CrudeType]]="Crude",vp.tbl[[#This Row],[Dens]]&gt;825,vp.tbl[[#This Row],[Dens]]&lt;=870,vp.tbl[[#This Row],[Sulf]]&gt;0.5,vp.tbl[[#This Row],[Unknown]]=0),1,0)</f>
        <v>0</v>
      </c>
      <c r="AC1323">
        <f>IF(AND(vp.tbl[[#This Row],[CrudeType]]="Crude",vp.tbl[[#This Row],[Dens]]&gt;825,vp.tbl[[#This Row],[Dens]]&lt;=900,vp.tbl[[#This Row],[Sulf]]&lt;=0.5,vp.tbl[[#This Row],[Unknown]]=0),1,0)</f>
        <v>0</v>
      </c>
      <c r="AD1323">
        <f>IF(AND(vp.tbl[[#This Row],[CrudeType]]="Crude",vp.tbl[[#This Row],[Dens]]&gt;870,vp.tbl[[#This Row],[Dens]]&lt;=900,vp.tbl[[#This Row],[Sulf]]&gt;0.5,vp.tbl[[#This Row],[Unknown]]=0),1,0)</f>
        <v>0</v>
      </c>
      <c r="AE1323">
        <f>IF(AND(vp.tbl[[#This Row],[CrudeType]]="Crude",vp.tbl[[#This Row],[Dens]]&gt;900,vp.tbl[[#This Row],[Sulf]]&lt;=0.5,vp.tbl[[#This Row],[Unknown]]=0),1,0)</f>
        <v>0</v>
      </c>
      <c r="AF1323">
        <f>IF(AND(vp.tbl[[#This Row],[CrudeType]]="Crude",vp.tbl[[#This Row],[Dens]]&gt;900,vp.tbl[[#This Row],[Sulf]]&lt;=0.5,vp.tbl[[#This Row],[Unknown]]=0),1,0)</f>
        <v>0</v>
      </c>
      <c r="AG1323" t="str">
        <f>INDEX(vp.tbl[[#Headers],[Unknown]:[Heavy_SW]],MATCH(1,vp.tbl[[#This Row],[Unknown]:[Heavy_SW]],0))</f>
        <v>C5</v>
      </c>
      <c r="AH1323" t="e">
        <f>INDEX([1]!crudeBD.lkup[Number],MATCH(vp.tbl[[#This Row],[Crude_Breakdown]],[1]!crudeBD.lkup[Crude Breakdown],0))</f>
        <v>#REF!</v>
      </c>
      <c r="AI1323">
        <f>MONTH(vp.tbl[[#This Row],[SDate]])</f>
        <v>3</v>
      </c>
      <c r="AJ1323" s="5">
        <f>IFERROR(vp.tbl[[#This Row],[Sulf]]*vp.tbl[[#This Row],[Net Dens]],"")</f>
        <v>0</v>
      </c>
      <c r="AK1323" s="5">
        <f>IFERROR(vp.tbl[[#This Row],[Dens]]*vp.tbl[[#This Row],[VolumeM3]],"")</f>
        <v>25401.151999999998</v>
      </c>
      <c r="AL1323" s="5">
        <f>IFERROR(vp.tbl[[#This Row],[VP]]*vp.tbl[[#This Row],[VolumeM3]],"")</f>
        <v>3651.7999999999997</v>
      </c>
      <c r="AM1323" s="4">
        <f>IFERROR((vp.tbl[[#This Row],[VP]]-INDEX(crudeBD.lkup.complete[Mean_VP],MATCH(vp.tbl[[#This Row],[Crude_Breakdown]],crudeBD.lkup.complete[Crude Breakdown],0)))^2,"")</f>
        <v>66.90000663452652</v>
      </c>
      <c r="AN1323" s="4">
        <f>IFERROR((vp.tbl[[#This Row],[Dens]]-INDEX(crudeBD.lkup.complete[Mean_Dens],MATCH(vp.tbl[[#This Row],[Crude_Breakdown]],crudeBD.lkup.complete[Crude Breakdown],0)))^2,"")</f>
        <v>7.4190204086312832</v>
      </c>
      <c r="AO1323" s="4">
        <f>IFERROR((vp.tbl[[#This Row],[Sulf]]-INDEX(crudeBD.lkup.complete[Mean_Sulf],MATCH(vp.tbl[[#This Row],[Crude_Breakdown]],crudeBD.lkup.complete[Crude Breakdown],0)))^2,"")</f>
        <v>0</v>
      </c>
      <c r="AP1323">
        <f>IF(AND(vp.tbl[[#This Row],[SDate]]&gt;=DATE(YEAR(vp.tbl[[#This Row],[SDate]]),5,1),vp.tbl[[#This Row],[SDate]]&lt;=DATE(YEAR(vp.tbl[[#This Row],[SDate]]),9,15)),1,0)</f>
        <v>0</v>
      </c>
      <c r="AQ1323" s="15">
        <f>IF(vp.tbl[[#This Row],[SDate]]&lt;DATE(2016,12,1),0,1)</f>
        <v>1</v>
      </c>
    </row>
    <row r="1324" spans="1:43" x14ac:dyDescent="0.25">
      <c r="A1324">
        <v>1323</v>
      </c>
      <c r="B1324" t="s">
        <v>272</v>
      </c>
      <c r="C1324" t="s">
        <v>280</v>
      </c>
      <c r="D1324" t="s">
        <v>281</v>
      </c>
      <c r="E1324">
        <v>322565</v>
      </c>
      <c r="F1324" s="1">
        <v>42821</v>
      </c>
      <c r="G1324" s="2">
        <v>103.8</v>
      </c>
      <c r="H1324" s="2">
        <v>0</v>
      </c>
      <c r="I1324" s="2">
        <v>0</v>
      </c>
      <c r="J1324" s="2"/>
      <c r="K1324" s="2">
        <v>4</v>
      </c>
      <c r="L1324" s="2">
        <v>646.4</v>
      </c>
      <c r="M1324" s="2">
        <v>646.4</v>
      </c>
      <c r="N1324" s="2">
        <f ca="1">INDEX(INDIRECT(_xlfn.CONCAT("weather.tbl[",N$1,"]")),MATCH(vp.tbl[[#This Row],[SDate]],weather.tbl[Date],0))</f>
        <v>1.4666666666666668</v>
      </c>
      <c r="O1324" s="2">
        <f ca="1">INDEX(INDIRECT(_xlfn.CONCAT("weather.tbl[",O$1,"]")),MATCH(vp.tbl[[#This Row],[SDate]],weather.tbl[Date],0))</f>
        <v>-0.90238095238095273</v>
      </c>
      <c r="P1324" s="2">
        <f ca="1">INDEX(INDIRECT(_xlfn.CONCAT("weather.tbl[",P$1,"]")),MATCH(vp.tbl[[#This Row],[SDate]],weather.tbl[Date],0))</f>
        <v>0.7</v>
      </c>
      <c r="Q1324" s="2">
        <f ca="1">INDEX(INDIRECT(_xlfn.CONCAT("weather.tbl[",Q$1,"]")),MATCH(vp.tbl[[#This Row],[SDate]],weather.tbl[Date],0))</f>
        <v>3</v>
      </c>
      <c r="R1324" s="2">
        <f ca="1">INDEX(INDIRECT(_xlfn.CONCAT("weather.tbl[",R$1,"]")),MATCH(vp.tbl[[#This Row],[SDate]],weather.tbl[Date],0))</f>
        <v>1.3</v>
      </c>
      <c r="S1324" s="2">
        <f ca="1">INDEX(INDIRECT(_xlfn.CONCAT("weather.tbl[",S$1,"]")),MATCH(vp.tbl[[#This Row],[SDate]],weather.tbl[Date],0))</f>
        <v>3.3</v>
      </c>
      <c r="T1324" s="2">
        <f ca="1">INDEX(INDIRECT(_xlfn.CONCAT("weather.tbl[",T$1,"]")),MATCH(vp.tbl[[#This Row],[SDate]],weather.tbl[Date],0))</f>
        <v>-0.3</v>
      </c>
      <c r="U1324" s="2">
        <f ca="1">INDEX(INDIRECT(_xlfn.CONCAT("weather.tbl[",U$1,"]")),MATCH(vp.tbl[[#This Row],[SDate]],weather.tbl[Date],0))</f>
        <v>0.8</v>
      </c>
      <c r="V1324" s="2">
        <v>33.880000000000003</v>
      </c>
      <c r="W1324" t="s">
        <v>268</v>
      </c>
      <c r="X1324">
        <f>IF(OR(vp.tbl[[#This Row],[Sulf]]="",vp.tbl[[#This Row],[Dens]]=""),1,0)</f>
        <v>0</v>
      </c>
      <c r="Y1324">
        <f>IF(vp.tbl[[#This Row],[CrudeType]]="C5+",1,0)</f>
        <v>1</v>
      </c>
      <c r="Z1324">
        <f>IF(AND(vp.tbl[[#This Row],[CrudeType]]="Crude",vp.tbl[[#This Row],[Dens]]&lt;=825,vp.tbl[[#This Row],[Sulf]]&gt;0.5,vp.tbl[[#This Row],[Unknown]]=0),1,0)</f>
        <v>0</v>
      </c>
      <c r="AA1324">
        <f>IF(AND(vp.tbl[[#This Row],[CrudeType]]="Crude",vp.tbl[[#This Row],[Dens]]&lt;=825,vp.tbl[[#This Row],[Sulf]]&lt;=0.5,vp.tbl[[#This Row],[Unknown]]=0),1,0)</f>
        <v>0</v>
      </c>
      <c r="AB1324">
        <f>IF(AND(vp.tbl[[#This Row],[CrudeType]]="Crude",vp.tbl[[#This Row],[Dens]]&gt;825,vp.tbl[[#This Row],[Dens]]&lt;=870,vp.tbl[[#This Row],[Sulf]]&gt;0.5,vp.tbl[[#This Row],[Unknown]]=0),1,0)</f>
        <v>0</v>
      </c>
      <c r="AC1324">
        <f>IF(AND(vp.tbl[[#This Row],[CrudeType]]="Crude",vp.tbl[[#This Row],[Dens]]&gt;825,vp.tbl[[#This Row],[Dens]]&lt;=900,vp.tbl[[#This Row],[Sulf]]&lt;=0.5,vp.tbl[[#This Row],[Unknown]]=0),1,0)</f>
        <v>0</v>
      </c>
      <c r="AD1324">
        <f>IF(AND(vp.tbl[[#This Row],[CrudeType]]="Crude",vp.tbl[[#This Row],[Dens]]&gt;870,vp.tbl[[#This Row],[Dens]]&lt;=900,vp.tbl[[#This Row],[Sulf]]&gt;0.5,vp.tbl[[#This Row],[Unknown]]=0),1,0)</f>
        <v>0</v>
      </c>
      <c r="AE1324">
        <f>IF(AND(vp.tbl[[#This Row],[CrudeType]]="Crude",vp.tbl[[#This Row],[Dens]]&gt;900,vp.tbl[[#This Row],[Sulf]]&lt;=0.5,vp.tbl[[#This Row],[Unknown]]=0),1,0)</f>
        <v>0</v>
      </c>
      <c r="AF1324">
        <f>IF(AND(vp.tbl[[#This Row],[CrudeType]]="Crude",vp.tbl[[#This Row],[Dens]]&gt;900,vp.tbl[[#This Row],[Sulf]]&lt;=0.5,vp.tbl[[#This Row],[Unknown]]=0),1,0)</f>
        <v>0</v>
      </c>
      <c r="AG1324" t="str">
        <f>INDEX(vp.tbl[[#Headers],[Unknown]:[Heavy_SW]],MATCH(1,vp.tbl[[#This Row],[Unknown]:[Heavy_SW]],0))</f>
        <v>C5</v>
      </c>
      <c r="AH1324" t="e">
        <f>INDEX([1]!crudeBD.lkup[Number],MATCH(vp.tbl[[#This Row],[Crude_Breakdown]],[1]!crudeBD.lkup[Crude Breakdown],0))</f>
        <v>#REF!</v>
      </c>
      <c r="AI1324">
        <f>MONTH(vp.tbl[[#This Row],[SDate]])</f>
        <v>3</v>
      </c>
      <c r="AJ1324" s="5">
        <f>IFERROR(vp.tbl[[#This Row],[Sulf]]*vp.tbl[[#This Row],[Net Dens]],"")</f>
        <v>0</v>
      </c>
      <c r="AK1324" s="5">
        <f>IFERROR(vp.tbl[[#This Row],[Dens]]*vp.tbl[[#This Row],[VolumeM3]],"")</f>
        <v>21900.031999999999</v>
      </c>
      <c r="AL1324" s="5">
        <f>IFERROR(vp.tbl[[#This Row],[VP]]*vp.tbl[[#This Row],[VolumeM3]],"")</f>
        <v>3516.7440000000001</v>
      </c>
      <c r="AM1324" s="4">
        <f>IFERROR((vp.tbl[[#This Row],[VP]]-INDEX(crudeBD.lkup.complete[Mean_VP],MATCH(vp.tbl[[#This Row],[Crude_Breakdown]],crudeBD.lkup.complete[Crude Breakdown],0)))^2,"")</f>
        <v>0.38533996786046248</v>
      </c>
      <c r="AN1324" s="4">
        <f>IFERROR((vp.tbl[[#This Row],[Dens]]-INDEX(crudeBD.lkup.complete[Mean_Dens],MATCH(vp.tbl[[#This Row],[Crude_Breakdown]],crudeBD.lkup.complete[Crude Breakdown],0)))^2,"")</f>
        <v>136.33392949954242</v>
      </c>
      <c r="AO1324" s="4">
        <f>IFERROR((vp.tbl[[#This Row],[Sulf]]-INDEX(crudeBD.lkup.complete[Mean_Sulf],MATCH(vp.tbl[[#This Row],[Crude_Breakdown]],crudeBD.lkup.complete[Crude Breakdown],0)))^2,"")</f>
        <v>0</v>
      </c>
      <c r="AP1324">
        <f>IF(AND(vp.tbl[[#This Row],[SDate]]&gt;=DATE(YEAR(vp.tbl[[#This Row],[SDate]]),5,1),vp.tbl[[#This Row],[SDate]]&lt;=DATE(YEAR(vp.tbl[[#This Row],[SDate]]),9,15)),1,0)</f>
        <v>0</v>
      </c>
      <c r="AQ1324" s="15">
        <f>IF(vp.tbl[[#This Row],[SDate]]&lt;DATE(2016,12,1),0,1)</f>
        <v>1</v>
      </c>
    </row>
    <row r="1325" spans="1:43" x14ac:dyDescent="0.25">
      <c r="A1325">
        <v>1324</v>
      </c>
      <c r="B1325" t="s">
        <v>272</v>
      </c>
      <c r="C1325" t="s">
        <v>273</v>
      </c>
      <c r="D1325" t="s">
        <v>274</v>
      </c>
      <c r="E1325">
        <v>322561</v>
      </c>
      <c r="F1325" s="1">
        <v>42822</v>
      </c>
      <c r="G1325" s="2">
        <v>106.2</v>
      </c>
      <c r="H1325" s="2">
        <v>0</v>
      </c>
      <c r="I1325" s="2">
        <v>0</v>
      </c>
      <c r="J1325" s="2">
        <v>10.07</v>
      </c>
      <c r="K1325" s="2">
        <v>12</v>
      </c>
      <c r="L1325" s="2">
        <v>659.05</v>
      </c>
      <c r="M1325" s="2">
        <v>659.05</v>
      </c>
      <c r="N1325" s="2">
        <f ca="1">INDEX(INDIRECT(_xlfn.CONCAT("weather.tbl[",N$1,"]")),MATCH(vp.tbl[[#This Row],[SDate]],weather.tbl[Date],0))</f>
        <v>1.5833333333333333</v>
      </c>
      <c r="O1325" s="2">
        <f ca="1">INDEX(INDIRECT(_xlfn.CONCAT("weather.tbl[",O$1,"]")),MATCH(vp.tbl[[#This Row],[SDate]],weather.tbl[Date],0))</f>
        <v>0.72619047619047616</v>
      </c>
      <c r="P1325" s="2">
        <f ca="1">INDEX(INDIRECT(_xlfn.CONCAT("weather.tbl[",P$1,"]")),MATCH(vp.tbl[[#This Row],[SDate]],weather.tbl[Date],0))</f>
        <v>2</v>
      </c>
      <c r="Q1325" s="2">
        <f ca="1">INDEX(INDIRECT(_xlfn.CONCAT("weather.tbl[",Q$1,"]")),MATCH(vp.tbl[[#This Row],[SDate]],weather.tbl[Date],0))</f>
        <v>2.1</v>
      </c>
      <c r="R1325" s="2">
        <f ca="1">INDEX(INDIRECT(_xlfn.CONCAT("weather.tbl[",R$1,"]")),MATCH(vp.tbl[[#This Row],[SDate]],weather.tbl[Date],0))</f>
        <v>1.3</v>
      </c>
      <c r="S1325" s="2">
        <f ca="1">INDEX(INDIRECT(_xlfn.CONCAT("weather.tbl[",S$1,"]")),MATCH(vp.tbl[[#This Row],[SDate]],weather.tbl[Date],0))</f>
        <v>1.8</v>
      </c>
      <c r="T1325" s="2">
        <f ca="1">INDEX(INDIRECT(_xlfn.CONCAT("weather.tbl[",T$1,"]")),MATCH(vp.tbl[[#This Row],[SDate]],weather.tbl[Date],0))</f>
        <v>1</v>
      </c>
      <c r="U1325" s="2">
        <f ca="1">INDEX(INDIRECT(_xlfn.CONCAT("weather.tbl[",U$1,"]")),MATCH(vp.tbl[[#This Row],[SDate]],weather.tbl[Date],0))</f>
        <v>1.3</v>
      </c>
      <c r="V1325" s="2">
        <v>31.85</v>
      </c>
      <c r="W1325" t="s">
        <v>268</v>
      </c>
      <c r="X1325">
        <f>IF(OR(vp.tbl[[#This Row],[Sulf]]="",vp.tbl[[#This Row],[Dens]]=""),1,0)</f>
        <v>0</v>
      </c>
      <c r="Y1325">
        <f>IF(vp.tbl[[#This Row],[CrudeType]]="C5+",1,0)</f>
        <v>1</v>
      </c>
      <c r="Z1325">
        <f>IF(AND(vp.tbl[[#This Row],[CrudeType]]="Crude",vp.tbl[[#This Row],[Dens]]&lt;=825,vp.tbl[[#This Row],[Sulf]]&gt;0.5,vp.tbl[[#This Row],[Unknown]]=0),1,0)</f>
        <v>0</v>
      </c>
      <c r="AA1325">
        <f>IF(AND(vp.tbl[[#This Row],[CrudeType]]="Crude",vp.tbl[[#This Row],[Dens]]&lt;=825,vp.tbl[[#This Row],[Sulf]]&lt;=0.5,vp.tbl[[#This Row],[Unknown]]=0),1,0)</f>
        <v>0</v>
      </c>
      <c r="AB1325">
        <f>IF(AND(vp.tbl[[#This Row],[CrudeType]]="Crude",vp.tbl[[#This Row],[Dens]]&gt;825,vp.tbl[[#This Row],[Dens]]&lt;=870,vp.tbl[[#This Row],[Sulf]]&gt;0.5,vp.tbl[[#This Row],[Unknown]]=0),1,0)</f>
        <v>0</v>
      </c>
      <c r="AC1325">
        <f>IF(AND(vp.tbl[[#This Row],[CrudeType]]="Crude",vp.tbl[[#This Row],[Dens]]&gt;825,vp.tbl[[#This Row],[Dens]]&lt;=900,vp.tbl[[#This Row],[Sulf]]&lt;=0.5,vp.tbl[[#This Row],[Unknown]]=0),1,0)</f>
        <v>0</v>
      </c>
      <c r="AD1325">
        <f>IF(AND(vp.tbl[[#This Row],[CrudeType]]="Crude",vp.tbl[[#This Row],[Dens]]&gt;870,vp.tbl[[#This Row],[Dens]]&lt;=900,vp.tbl[[#This Row],[Sulf]]&gt;0.5,vp.tbl[[#This Row],[Unknown]]=0),1,0)</f>
        <v>0</v>
      </c>
      <c r="AE1325">
        <f>IF(AND(vp.tbl[[#This Row],[CrudeType]]="Crude",vp.tbl[[#This Row],[Dens]]&gt;900,vp.tbl[[#This Row],[Sulf]]&lt;=0.5,vp.tbl[[#This Row],[Unknown]]=0),1,0)</f>
        <v>0</v>
      </c>
      <c r="AF1325">
        <f>IF(AND(vp.tbl[[#This Row],[CrudeType]]="Crude",vp.tbl[[#This Row],[Dens]]&gt;900,vp.tbl[[#This Row],[Sulf]]&lt;=0.5,vp.tbl[[#This Row],[Unknown]]=0),1,0)</f>
        <v>0</v>
      </c>
      <c r="AG1325" t="str">
        <f>INDEX(vp.tbl[[#Headers],[Unknown]:[Heavy_SW]],MATCH(1,vp.tbl[[#This Row],[Unknown]:[Heavy_SW]],0))</f>
        <v>C5</v>
      </c>
      <c r="AH1325" t="e">
        <f>INDEX([1]!crudeBD.lkup[Number],MATCH(vp.tbl[[#This Row],[Crude_Breakdown]],[1]!crudeBD.lkup[Crude Breakdown],0))</f>
        <v>#REF!</v>
      </c>
      <c r="AI1325">
        <f>MONTH(vp.tbl[[#This Row],[SDate]])</f>
        <v>3</v>
      </c>
      <c r="AJ1325" s="5">
        <f>IFERROR(vp.tbl[[#This Row],[Sulf]]*vp.tbl[[#This Row],[Net Dens]],"")</f>
        <v>0</v>
      </c>
      <c r="AK1325" s="5">
        <f>IFERROR(vp.tbl[[#This Row],[Dens]]*vp.tbl[[#This Row],[VolumeM3]],"")</f>
        <v>20990.7425</v>
      </c>
      <c r="AL1325" s="5">
        <f>IFERROR(vp.tbl[[#This Row],[VP]]*vp.tbl[[#This Row],[VolumeM3]],"")</f>
        <v>3382.4700000000003</v>
      </c>
      <c r="AM1325" s="4">
        <f>IFERROR((vp.tbl[[#This Row],[VP]]-INDEX(crudeBD.lkup.complete[Mean_VP],MATCH(vp.tbl[[#This Row],[Crude_Breakdown]],crudeBD.lkup.complete[Crude Breakdown],0)))^2,"")</f>
        <v>9.1249763314970149</v>
      </c>
      <c r="AN1325" s="4">
        <f>IFERROR((vp.tbl[[#This Row],[Dens]]-INDEX(crudeBD.lkup.complete[Mean_Dens],MATCH(vp.tbl[[#This Row],[Crude_Breakdown]],crudeBD.lkup.complete[Crude Breakdown],0)))^2,"")</f>
        <v>0.94826283287402158</v>
      </c>
      <c r="AO1325" s="4">
        <f>IFERROR((vp.tbl[[#This Row],[Sulf]]-INDEX(crudeBD.lkup.complete[Mean_Sulf],MATCH(vp.tbl[[#This Row],[Crude_Breakdown]],crudeBD.lkup.complete[Crude Breakdown],0)))^2,"")</f>
        <v>0</v>
      </c>
      <c r="AP1325">
        <f>IF(AND(vp.tbl[[#This Row],[SDate]]&gt;=DATE(YEAR(vp.tbl[[#This Row],[SDate]]),5,1),vp.tbl[[#This Row],[SDate]]&lt;=DATE(YEAR(vp.tbl[[#This Row],[SDate]]),9,15)),1,0)</f>
        <v>0</v>
      </c>
      <c r="AQ1325" s="15">
        <f>IF(vp.tbl[[#This Row],[SDate]]&lt;DATE(2016,12,1),0,1)</f>
        <v>1</v>
      </c>
    </row>
    <row r="1326" spans="1:43" x14ac:dyDescent="0.25">
      <c r="A1326">
        <v>1325</v>
      </c>
      <c r="B1326" t="s">
        <v>269</v>
      </c>
      <c r="C1326" t="s">
        <v>270</v>
      </c>
      <c r="D1326" t="s">
        <v>271</v>
      </c>
      <c r="E1326">
        <v>322567</v>
      </c>
      <c r="F1326" s="1">
        <v>42822</v>
      </c>
      <c r="G1326" s="2">
        <v>98.2</v>
      </c>
      <c r="H1326" s="2">
        <v>0</v>
      </c>
      <c r="I1326" s="2">
        <v>0</v>
      </c>
      <c r="J1326" s="2">
        <v>3.05</v>
      </c>
      <c r="K1326" s="2">
        <v>12</v>
      </c>
      <c r="L1326" s="2">
        <v>664.31</v>
      </c>
      <c r="M1326" s="2">
        <v>664.31</v>
      </c>
      <c r="N1326" s="2">
        <f ca="1">INDEX(INDIRECT(_xlfn.CONCAT("weather.tbl[",N$1,"]")),MATCH(vp.tbl[[#This Row],[SDate]],weather.tbl[Date],0))</f>
        <v>1.5833333333333333</v>
      </c>
      <c r="O1326" s="2">
        <f ca="1">INDEX(INDIRECT(_xlfn.CONCAT("weather.tbl[",O$1,"]")),MATCH(vp.tbl[[#This Row],[SDate]],weather.tbl[Date],0))</f>
        <v>0.72619047619047616</v>
      </c>
      <c r="P1326" s="2">
        <f ca="1">INDEX(INDIRECT(_xlfn.CONCAT("weather.tbl[",P$1,"]")),MATCH(vp.tbl[[#This Row],[SDate]],weather.tbl[Date],0))</f>
        <v>2</v>
      </c>
      <c r="Q1326" s="2">
        <f ca="1">INDEX(INDIRECT(_xlfn.CONCAT("weather.tbl[",Q$1,"]")),MATCH(vp.tbl[[#This Row],[SDate]],weather.tbl[Date],0))</f>
        <v>2.1</v>
      </c>
      <c r="R1326" s="2">
        <f ca="1">INDEX(INDIRECT(_xlfn.CONCAT("weather.tbl[",R$1,"]")),MATCH(vp.tbl[[#This Row],[SDate]],weather.tbl[Date],0))</f>
        <v>1.3</v>
      </c>
      <c r="S1326" s="2">
        <f ca="1">INDEX(INDIRECT(_xlfn.CONCAT("weather.tbl[",S$1,"]")),MATCH(vp.tbl[[#This Row],[SDate]],weather.tbl[Date],0))</f>
        <v>1.8</v>
      </c>
      <c r="T1326" s="2">
        <f ca="1">INDEX(INDIRECT(_xlfn.CONCAT("weather.tbl[",T$1,"]")),MATCH(vp.tbl[[#This Row],[SDate]],weather.tbl[Date],0))</f>
        <v>1</v>
      </c>
      <c r="U1326" s="2">
        <f ca="1">INDEX(INDIRECT(_xlfn.CONCAT("weather.tbl[",U$1,"]")),MATCH(vp.tbl[[#This Row],[SDate]],weather.tbl[Date],0))</f>
        <v>1.3</v>
      </c>
      <c r="V1326" s="2">
        <v>38.29</v>
      </c>
      <c r="W1326" t="s">
        <v>268</v>
      </c>
      <c r="X1326">
        <f>IF(OR(vp.tbl[[#This Row],[Sulf]]="",vp.tbl[[#This Row],[Dens]]=""),1,0)</f>
        <v>0</v>
      </c>
      <c r="Y1326">
        <f>IF(vp.tbl[[#This Row],[CrudeType]]="C5+",1,0)</f>
        <v>1</v>
      </c>
      <c r="Z1326">
        <f>IF(AND(vp.tbl[[#This Row],[CrudeType]]="Crude",vp.tbl[[#This Row],[Dens]]&lt;=825,vp.tbl[[#This Row],[Sulf]]&gt;0.5,vp.tbl[[#This Row],[Unknown]]=0),1,0)</f>
        <v>0</v>
      </c>
      <c r="AA1326">
        <f>IF(AND(vp.tbl[[#This Row],[CrudeType]]="Crude",vp.tbl[[#This Row],[Dens]]&lt;=825,vp.tbl[[#This Row],[Sulf]]&lt;=0.5,vp.tbl[[#This Row],[Unknown]]=0),1,0)</f>
        <v>0</v>
      </c>
      <c r="AB1326">
        <f>IF(AND(vp.tbl[[#This Row],[CrudeType]]="Crude",vp.tbl[[#This Row],[Dens]]&gt;825,vp.tbl[[#This Row],[Dens]]&lt;=870,vp.tbl[[#This Row],[Sulf]]&gt;0.5,vp.tbl[[#This Row],[Unknown]]=0),1,0)</f>
        <v>0</v>
      </c>
      <c r="AC1326">
        <f>IF(AND(vp.tbl[[#This Row],[CrudeType]]="Crude",vp.tbl[[#This Row],[Dens]]&gt;825,vp.tbl[[#This Row],[Dens]]&lt;=900,vp.tbl[[#This Row],[Sulf]]&lt;=0.5,vp.tbl[[#This Row],[Unknown]]=0),1,0)</f>
        <v>0</v>
      </c>
      <c r="AD1326">
        <f>IF(AND(vp.tbl[[#This Row],[CrudeType]]="Crude",vp.tbl[[#This Row],[Dens]]&gt;870,vp.tbl[[#This Row],[Dens]]&lt;=900,vp.tbl[[#This Row],[Sulf]]&gt;0.5,vp.tbl[[#This Row],[Unknown]]=0),1,0)</f>
        <v>0</v>
      </c>
      <c r="AE1326">
        <f>IF(AND(vp.tbl[[#This Row],[CrudeType]]="Crude",vp.tbl[[#This Row],[Dens]]&gt;900,vp.tbl[[#This Row],[Sulf]]&lt;=0.5,vp.tbl[[#This Row],[Unknown]]=0),1,0)</f>
        <v>0</v>
      </c>
      <c r="AF1326">
        <f>IF(AND(vp.tbl[[#This Row],[CrudeType]]="Crude",vp.tbl[[#This Row],[Dens]]&gt;900,vp.tbl[[#This Row],[Sulf]]&lt;=0.5,vp.tbl[[#This Row],[Unknown]]=0),1,0)</f>
        <v>0</v>
      </c>
      <c r="AG1326" t="str">
        <f>INDEX(vp.tbl[[#Headers],[Unknown]:[Heavy_SW]],MATCH(1,vp.tbl[[#This Row],[Unknown]:[Heavy_SW]],0))</f>
        <v>C5</v>
      </c>
      <c r="AH1326" t="e">
        <f>INDEX([1]!crudeBD.lkup[Number],MATCH(vp.tbl[[#This Row],[Crude_Breakdown]],[1]!crudeBD.lkup[Crude Breakdown],0))</f>
        <v>#REF!</v>
      </c>
      <c r="AI1326">
        <f>MONTH(vp.tbl[[#This Row],[SDate]])</f>
        <v>3</v>
      </c>
      <c r="AJ1326" s="5">
        <f>IFERROR(vp.tbl[[#This Row],[Sulf]]*vp.tbl[[#This Row],[Net Dens]],"")</f>
        <v>0</v>
      </c>
      <c r="AK1326" s="5">
        <f>IFERROR(vp.tbl[[#This Row],[Dens]]*vp.tbl[[#This Row],[VolumeM3]],"")</f>
        <v>25436.429899999996</v>
      </c>
      <c r="AL1326" s="5">
        <f>IFERROR(vp.tbl[[#This Row],[VP]]*vp.tbl[[#This Row],[VolumeM3]],"")</f>
        <v>3760.078</v>
      </c>
      <c r="AM1326" s="4">
        <f>IFERROR((vp.tbl[[#This Row],[VP]]-INDEX(crudeBD.lkup.complete[Mean_VP],MATCH(vp.tbl[[#This Row],[Crude_Breakdown]],crudeBD.lkup.complete[Crude Breakdown],0)))^2,"")</f>
        <v>24.792855119375197</v>
      </c>
      <c r="AN1326" s="4">
        <f>IFERROR((vp.tbl[[#This Row],[Dens]]-INDEX(crudeBD.lkup.complete[Mean_Dens],MATCH(vp.tbl[[#This Row],[Crude_Breakdown]],crudeBD.lkup.complete[Crude Breakdown],0)))^2,"")</f>
        <v>38.860111317721447</v>
      </c>
      <c r="AO1326" s="4">
        <f>IFERROR((vp.tbl[[#This Row],[Sulf]]-INDEX(crudeBD.lkup.complete[Mean_Sulf],MATCH(vp.tbl[[#This Row],[Crude_Breakdown]],crudeBD.lkup.complete[Crude Breakdown],0)))^2,"")</f>
        <v>0</v>
      </c>
      <c r="AP1326">
        <f>IF(AND(vp.tbl[[#This Row],[SDate]]&gt;=DATE(YEAR(vp.tbl[[#This Row],[SDate]]),5,1),vp.tbl[[#This Row],[SDate]]&lt;=DATE(YEAR(vp.tbl[[#This Row],[SDate]]),9,15)),1,0)</f>
        <v>0</v>
      </c>
      <c r="AQ1326" s="15">
        <f>IF(vp.tbl[[#This Row],[SDate]]&lt;DATE(2016,12,1),0,1)</f>
        <v>1</v>
      </c>
    </row>
    <row r="1327" spans="1:43" x14ac:dyDescent="0.25">
      <c r="A1327">
        <v>1326</v>
      </c>
      <c r="B1327" t="s">
        <v>272</v>
      </c>
      <c r="C1327" t="s">
        <v>282</v>
      </c>
      <c r="D1327" t="s">
        <v>283</v>
      </c>
      <c r="E1327">
        <v>323322</v>
      </c>
      <c r="F1327" s="1">
        <v>42827</v>
      </c>
      <c r="G1327" s="2">
        <v>106.1</v>
      </c>
      <c r="H1327" s="2">
        <v>0</v>
      </c>
      <c r="I1327" s="2">
        <v>0</v>
      </c>
      <c r="J1327" s="2">
        <v>10.5</v>
      </c>
      <c r="K1327" s="2">
        <v>14</v>
      </c>
      <c r="L1327" s="2">
        <v>650.5</v>
      </c>
      <c r="M1327" s="2">
        <v>650.5</v>
      </c>
      <c r="N1327" s="2">
        <f ca="1">INDEX(INDIRECT(_xlfn.CONCAT("weather.tbl[",N$1,"]")),MATCH(vp.tbl[[#This Row],[SDate]],weather.tbl[Date],0))</f>
        <v>7.5833333333333348</v>
      </c>
      <c r="O1327" s="2">
        <f ca="1">INDEX(INDIRECT(_xlfn.CONCAT("weather.tbl[",O$1,"]")),MATCH(vp.tbl[[#This Row],[SDate]],weather.tbl[Date],0))</f>
        <v>4.8857142857142852</v>
      </c>
      <c r="P1327" s="2">
        <f ca="1">INDEX(INDIRECT(_xlfn.CONCAT("weather.tbl[",P$1,"]")),MATCH(vp.tbl[[#This Row],[SDate]],weather.tbl[Date],0))</f>
        <v>7.7</v>
      </c>
      <c r="Q1327" s="2">
        <f ca="1">INDEX(INDIRECT(_xlfn.CONCAT("weather.tbl[",Q$1,"]")),MATCH(vp.tbl[[#This Row],[SDate]],weather.tbl[Date],0))</f>
        <v>6.9</v>
      </c>
      <c r="R1327" s="2">
        <f ca="1">INDEX(INDIRECT(_xlfn.CONCAT("weather.tbl[",R$1,"]")),MATCH(vp.tbl[[#This Row],[SDate]],weather.tbl[Date],0))</f>
        <v>8.3000000000000007</v>
      </c>
      <c r="S1327" s="2">
        <f ca="1">INDEX(INDIRECT(_xlfn.CONCAT("weather.tbl[",S$1,"]")),MATCH(vp.tbl[[#This Row],[SDate]],weather.tbl[Date],0))</f>
        <v>6.9</v>
      </c>
      <c r="T1327" s="2">
        <f ca="1">INDEX(INDIRECT(_xlfn.CONCAT("weather.tbl[",T$1,"]")),MATCH(vp.tbl[[#This Row],[SDate]],weather.tbl[Date],0))</f>
        <v>7.7</v>
      </c>
      <c r="U1327" s="2">
        <f ca="1">INDEX(INDIRECT(_xlfn.CONCAT("weather.tbl[",U$1,"]")),MATCH(vp.tbl[[#This Row],[SDate]],weather.tbl[Date],0))</f>
        <v>8</v>
      </c>
      <c r="V1327" s="2">
        <v>39.9</v>
      </c>
      <c r="W1327" t="s">
        <v>268</v>
      </c>
      <c r="X1327">
        <f>IF(OR(vp.tbl[[#This Row],[Sulf]]="",vp.tbl[[#This Row],[Dens]]=""),1,0)</f>
        <v>0</v>
      </c>
      <c r="Y1327">
        <f>IF(vp.tbl[[#This Row],[CrudeType]]="C5+",1,0)</f>
        <v>1</v>
      </c>
      <c r="Z1327">
        <f>IF(AND(vp.tbl[[#This Row],[CrudeType]]="Crude",vp.tbl[[#This Row],[Dens]]&lt;=825,vp.tbl[[#This Row],[Sulf]]&gt;0.5,vp.tbl[[#This Row],[Unknown]]=0),1,0)</f>
        <v>0</v>
      </c>
      <c r="AA1327">
        <f>IF(AND(vp.tbl[[#This Row],[CrudeType]]="Crude",vp.tbl[[#This Row],[Dens]]&lt;=825,vp.tbl[[#This Row],[Sulf]]&lt;=0.5,vp.tbl[[#This Row],[Unknown]]=0),1,0)</f>
        <v>0</v>
      </c>
      <c r="AB1327">
        <f>IF(AND(vp.tbl[[#This Row],[CrudeType]]="Crude",vp.tbl[[#This Row],[Dens]]&gt;825,vp.tbl[[#This Row],[Dens]]&lt;=870,vp.tbl[[#This Row],[Sulf]]&gt;0.5,vp.tbl[[#This Row],[Unknown]]=0),1,0)</f>
        <v>0</v>
      </c>
      <c r="AC1327">
        <f>IF(AND(vp.tbl[[#This Row],[CrudeType]]="Crude",vp.tbl[[#This Row],[Dens]]&gt;825,vp.tbl[[#This Row],[Dens]]&lt;=900,vp.tbl[[#This Row],[Sulf]]&lt;=0.5,vp.tbl[[#This Row],[Unknown]]=0),1,0)</f>
        <v>0</v>
      </c>
      <c r="AD1327">
        <f>IF(AND(vp.tbl[[#This Row],[CrudeType]]="Crude",vp.tbl[[#This Row],[Dens]]&gt;870,vp.tbl[[#This Row],[Dens]]&lt;=900,vp.tbl[[#This Row],[Sulf]]&gt;0.5,vp.tbl[[#This Row],[Unknown]]=0),1,0)</f>
        <v>0</v>
      </c>
      <c r="AE1327">
        <f>IF(AND(vp.tbl[[#This Row],[CrudeType]]="Crude",vp.tbl[[#This Row],[Dens]]&gt;900,vp.tbl[[#This Row],[Sulf]]&lt;=0.5,vp.tbl[[#This Row],[Unknown]]=0),1,0)</f>
        <v>0</v>
      </c>
      <c r="AF1327">
        <f>IF(AND(vp.tbl[[#This Row],[CrudeType]]="Crude",vp.tbl[[#This Row],[Dens]]&gt;900,vp.tbl[[#This Row],[Sulf]]&lt;=0.5,vp.tbl[[#This Row],[Unknown]]=0),1,0)</f>
        <v>0</v>
      </c>
      <c r="AG1327" t="str">
        <f>INDEX(vp.tbl[[#Headers],[Unknown]:[Heavy_SW]],MATCH(1,vp.tbl[[#This Row],[Unknown]:[Heavy_SW]],0))</f>
        <v>C5</v>
      </c>
      <c r="AH1327" t="e">
        <f>INDEX([1]!crudeBD.lkup[Number],MATCH(vp.tbl[[#This Row],[Crude_Breakdown]],[1]!crudeBD.lkup[Crude Breakdown],0))</f>
        <v>#REF!</v>
      </c>
      <c r="AI1327">
        <f>MONTH(vp.tbl[[#This Row],[SDate]])</f>
        <v>4</v>
      </c>
      <c r="AJ1327" s="5">
        <f>IFERROR(vp.tbl[[#This Row],[Sulf]]*vp.tbl[[#This Row],[Net Dens]],"")</f>
        <v>0</v>
      </c>
      <c r="AK1327" s="5">
        <f>IFERROR(vp.tbl[[#This Row],[Dens]]*vp.tbl[[#This Row],[VolumeM3]],"")</f>
        <v>25954.95</v>
      </c>
      <c r="AL1327" s="5">
        <f>IFERROR(vp.tbl[[#This Row],[VP]]*vp.tbl[[#This Row],[VolumeM3]],"")</f>
        <v>4233.3899999999994</v>
      </c>
      <c r="AM1327" s="4">
        <f>IFERROR((vp.tbl[[#This Row],[VP]]-INDEX(crudeBD.lkup.complete[Mean_VP],MATCH(vp.tbl[[#This Row],[Crude_Breakdown]],crudeBD.lkup.complete[Crude Breakdown],0)))^2,"")</f>
        <v>8.5308248163454437</v>
      </c>
      <c r="AN1327" s="4">
        <f>IFERROR((vp.tbl[[#This Row],[Dens]]-INDEX(crudeBD.lkup.complete[Mean_Dens],MATCH(vp.tbl[[#This Row],[Crude_Breakdown]],crudeBD.lkup.complete[Crude Breakdown],0)))^2,"")</f>
        <v>57.398990105602138</v>
      </c>
      <c r="AO1327" s="4">
        <f>IFERROR((vp.tbl[[#This Row],[Sulf]]-INDEX(crudeBD.lkup.complete[Mean_Sulf],MATCH(vp.tbl[[#This Row],[Crude_Breakdown]],crudeBD.lkup.complete[Crude Breakdown],0)))^2,"")</f>
        <v>0</v>
      </c>
      <c r="AP1327">
        <f>IF(AND(vp.tbl[[#This Row],[SDate]]&gt;=DATE(YEAR(vp.tbl[[#This Row],[SDate]]),5,1),vp.tbl[[#This Row],[SDate]]&lt;=DATE(YEAR(vp.tbl[[#This Row],[SDate]]),9,15)),1,0)</f>
        <v>0</v>
      </c>
      <c r="AQ1327" s="15">
        <f>IF(vp.tbl[[#This Row],[SDate]]&lt;DATE(2016,12,1),0,1)</f>
        <v>1</v>
      </c>
    </row>
    <row r="1328" spans="1:43" x14ac:dyDescent="0.25">
      <c r="A1328">
        <v>1327</v>
      </c>
      <c r="B1328" t="s">
        <v>272</v>
      </c>
      <c r="C1328" t="s">
        <v>273</v>
      </c>
      <c r="D1328" t="s">
        <v>274</v>
      </c>
      <c r="E1328">
        <v>323833</v>
      </c>
      <c r="F1328" s="1">
        <v>42830</v>
      </c>
      <c r="G1328" s="2">
        <v>107.8</v>
      </c>
      <c r="H1328" s="2">
        <v>0</v>
      </c>
      <c r="I1328" s="2">
        <v>0</v>
      </c>
      <c r="J1328" s="2">
        <v>13</v>
      </c>
      <c r="K1328" s="2">
        <v>12</v>
      </c>
      <c r="L1328" s="2">
        <v>653.6</v>
      </c>
      <c r="M1328" s="2">
        <v>653.6</v>
      </c>
      <c r="N1328" s="2">
        <f ca="1">INDEX(INDIRECT(_xlfn.CONCAT("weather.tbl[",N$1,"]")),MATCH(vp.tbl[[#This Row],[SDate]],weather.tbl[Date],0))</f>
        <v>3.2666666666666671</v>
      </c>
      <c r="O1328" s="2">
        <f ca="1">INDEX(INDIRECT(_xlfn.CONCAT("weather.tbl[",O$1,"]")),MATCH(vp.tbl[[#This Row],[SDate]],weather.tbl[Date],0))</f>
        <v>5.4857142857142858</v>
      </c>
      <c r="P1328" s="2">
        <f ca="1">INDEX(INDIRECT(_xlfn.CONCAT("weather.tbl[",P$1,"]")),MATCH(vp.tbl[[#This Row],[SDate]],weather.tbl[Date],0))</f>
        <v>3.2</v>
      </c>
      <c r="Q1328" s="2">
        <f ca="1">INDEX(INDIRECT(_xlfn.CONCAT("weather.tbl[",Q$1,"]")),MATCH(vp.tbl[[#This Row],[SDate]],weather.tbl[Date],0))</f>
        <v>3.4</v>
      </c>
      <c r="R1328" s="2">
        <f ca="1">INDEX(INDIRECT(_xlfn.CONCAT("weather.tbl[",R$1,"]")),MATCH(vp.tbl[[#This Row],[SDate]],weather.tbl[Date],0))</f>
        <v>3.5</v>
      </c>
      <c r="S1328" s="2">
        <f ca="1">INDEX(INDIRECT(_xlfn.CONCAT("weather.tbl[",S$1,"]")),MATCH(vp.tbl[[#This Row],[SDate]],weather.tbl[Date],0))</f>
        <v>3</v>
      </c>
      <c r="T1328" s="2">
        <f ca="1">INDEX(INDIRECT(_xlfn.CONCAT("weather.tbl[",T$1,"]")),MATCH(vp.tbl[[#This Row],[SDate]],weather.tbl[Date],0))</f>
        <v>3.7</v>
      </c>
      <c r="U1328" s="2">
        <f ca="1">INDEX(INDIRECT(_xlfn.CONCAT("weather.tbl[",U$1,"]")),MATCH(vp.tbl[[#This Row],[SDate]],weather.tbl[Date],0))</f>
        <v>2.8</v>
      </c>
      <c r="V1328" s="2">
        <v>31.54</v>
      </c>
      <c r="W1328" t="s">
        <v>268</v>
      </c>
      <c r="X1328">
        <f>IF(OR(vp.tbl[[#This Row],[Sulf]]="",vp.tbl[[#This Row],[Dens]]=""),1,0)</f>
        <v>0</v>
      </c>
      <c r="Y1328">
        <f>IF(vp.tbl[[#This Row],[CrudeType]]="C5+",1,0)</f>
        <v>1</v>
      </c>
      <c r="Z1328">
        <f>IF(AND(vp.tbl[[#This Row],[CrudeType]]="Crude",vp.tbl[[#This Row],[Dens]]&lt;=825,vp.tbl[[#This Row],[Sulf]]&gt;0.5,vp.tbl[[#This Row],[Unknown]]=0),1,0)</f>
        <v>0</v>
      </c>
      <c r="AA1328">
        <f>IF(AND(vp.tbl[[#This Row],[CrudeType]]="Crude",vp.tbl[[#This Row],[Dens]]&lt;=825,vp.tbl[[#This Row],[Sulf]]&lt;=0.5,vp.tbl[[#This Row],[Unknown]]=0),1,0)</f>
        <v>0</v>
      </c>
      <c r="AB1328">
        <f>IF(AND(vp.tbl[[#This Row],[CrudeType]]="Crude",vp.tbl[[#This Row],[Dens]]&gt;825,vp.tbl[[#This Row],[Dens]]&lt;=870,vp.tbl[[#This Row],[Sulf]]&gt;0.5,vp.tbl[[#This Row],[Unknown]]=0),1,0)</f>
        <v>0</v>
      </c>
      <c r="AC1328">
        <f>IF(AND(vp.tbl[[#This Row],[CrudeType]]="Crude",vp.tbl[[#This Row],[Dens]]&gt;825,vp.tbl[[#This Row],[Dens]]&lt;=900,vp.tbl[[#This Row],[Sulf]]&lt;=0.5,vp.tbl[[#This Row],[Unknown]]=0),1,0)</f>
        <v>0</v>
      </c>
      <c r="AD1328">
        <f>IF(AND(vp.tbl[[#This Row],[CrudeType]]="Crude",vp.tbl[[#This Row],[Dens]]&gt;870,vp.tbl[[#This Row],[Dens]]&lt;=900,vp.tbl[[#This Row],[Sulf]]&gt;0.5,vp.tbl[[#This Row],[Unknown]]=0),1,0)</f>
        <v>0</v>
      </c>
      <c r="AE1328">
        <f>IF(AND(vp.tbl[[#This Row],[CrudeType]]="Crude",vp.tbl[[#This Row],[Dens]]&gt;900,vp.tbl[[#This Row],[Sulf]]&lt;=0.5,vp.tbl[[#This Row],[Unknown]]=0),1,0)</f>
        <v>0</v>
      </c>
      <c r="AF1328">
        <f>IF(AND(vp.tbl[[#This Row],[CrudeType]]="Crude",vp.tbl[[#This Row],[Dens]]&gt;900,vp.tbl[[#This Row],[Sulf]]&lt;=0.5,vp.tbl[[#This Row],[Unknown]]=0),1,0)</f>
        <v>0</v>
      </c>
      <c r="AG1328" t="str">
        <f>INDEX(vp.tbl[[#Headers],[Unknown]:[Heavy_SW]],MATCH(1,vp.tbl[[#This Row],[Unknown]:[Heavy_SW]],0))</f>
        <v>C5</v>
      </c>
      <c r="AH1328" t="e">
        <f>INDEX([1]!crudeBD.lkup[Number],MATCH(vp.tbl[[#This Row],[Crude_Breakdown]],[1]!crudeBD.lkup[Crude Breakdown],0))</f>
        <v>#REF!</v>
      </c>
      <c r="AI1328">
        <f>MONTH(vp.tbl[[#This Row],[SDate]])</f>
        <v>4</v>
      </c>
      <c r="AJ1328" s="5">
        <f>IFERROR(vp.tbl[[#This Row],[Sulf]]*vp.tbl[[#This Row],[Net Dens]],"")</f>
        <v>0</v>
      </c>
      <c r="AK1328" s="5">
        <f>IFERROR(vp.tbl[[#This Row],[Dens]]*vp.tbl[[#This Row],[VolumeM3]],"")</f>
        <v>20614.544000000002</v>
      </c>
      <c r="AL1328" s="5">
        <f>IFERROR(vp.tbl[[#This Row],[VP]]*vp.tbl[[#This Row],[VolumeM3]],"")</f>
        <v>3400.0119999999997</v>
      </c>
      <c r="AM1328" s="4">
        <f>IFERROR((vp.tbl[[#This Row],[VP]]-INDEX(crudeBD.lkup.complete[Mean_VP],MATCH(vp.tbl[[#This Row],[Crude_Breakdown]],crudeBD.lkup.complete[Crude Breakdown],0)))^2,"")</f>
        <v>21.351400573921328</v>
      </c>
      <c r="AN1328" s="4">
        <f>IFERROR((vp.tbl[[#This Row],[Dens]]-INDEX(crudeBD.lkup.complete[Mean_Dens],MATCH(vp.tbl[[#This Row],[Crude_Breakdown]],crudeBD.lkup.complete[Crude Breakdown],0)))^2,"")</f>
        <v>20.036474954086511</v>
      </c>
      <c r="AO1328" s="4">
        <f>IFERROR((vp.tbl[[#This Row],[Sulf]]-INDEX(crudeBD.lkup.complete[Mean_Sulf],MATCH(vp.tbl[[#This Row],[Crude_Breakdown]],crudeBD.lkup.complete[Crude Breakdown],0)))^2,"")</f>
        <v>0</v>
      </c>
      <c r="AP1328">
        <f>IF(AND(vp.tbl[[#This Row],[SDate]]&gt;=DATE(YEAR(vp.tbl[[#This Row],[SDate]]),5,1),vp.tbl[[#This Row],[SDate]]&lt;=DATE(YEAR(vp.tbl[[#This Row],[SDate]]),9,15)),1,0)</f>
        <v>0</v>
      </c>
      <c r="AQ1328" s="15">
        <f>IF(vp.tbl[[#This Row],[SDate]]&lt;DATE(2016,12,1),0,1)</f>
        <v>1</v>
      </c>
    </row>
    <row r="1329" spans="1:43" x14ac:dyDescent="0.25">
      <c r="A1329">
        <v>1328</v>
      </c>
      <c r="B1329" t="s">
        <v>265</v>
      </c>
      <c r="C1329" t="s">
        <v>266</v>
      </c>
      <c r="D1329" t="s">
        <v>267</v>
      </c>
      <c r="E1329">
        <v>324139</v>
      </c>
      <c r="F1329" s="1">
        <v>42832</v>
      </c>
      <c r="G1329" s="2">
        <v>104.5</v>
      </c>
      <c r="H1329" s="2">
        <v>0</v>
      </c>
      <c r="I1329" s="2">
        <v>0</v>
      </c>
      <c r="J1329" s="2">
        <v>16</v>
      </c>
      <c r="K1329" s="2">
        <v>12</v>
      </c>
      <c r="L1329" s="2">
        <v>661.2</v>
      </c>
      <c r="M1329" s="2">
        <v>661.2</v>
      </c>
      <c r="N1329" s="2">
        <f ca="1">INDEX(INDIRECT(_xlfn.CONCAT("weather.tbl[",N$1,"]")),MATCH(vp.tbl[[#This Row],[SDate]],weather.tbl[Date],0))</f>
        <v>13.133333333333333</v>
      </c>
      <c r="O1329" s="2">
        <f ca="1">INDEX(INDIRECT(_xlfn.CONCAT("weather.tbl[",O$1,"]")),MATCH(vp.tbl[[#This Row],[SDate]],weather.tbl[Date],0))</f>
        <v>6.6547619047619051</v>
      </c>
      <c r="P1329" s="2">
        <f ca="1">INDEX(INDIRECT(_xlfn.CONCAT("weather.tbl[",P$1,"]")),MATCH(vp.tbl[[#This Row],[SDate]],weather.tbl[Date],0))</f>
        <v>13.3</v>
      </c>
      <c r="Q1329" s="2">
        <f ca="1">INDEX(INDIRECT(_xlfn.CONCAT("weather.tbl[",Q$1,"]")),MATCH(vp.tbl[[#This Row],[SDate]],weather.tbl[Date],0))</f>
        <v>14.7</v>
      </c>
      <c r="R1329" s="2">
        <f ca="1">INDEX(INDIRECT(_xlfn.CONCAT("weather.tbl[",R$1,"]")),MATCH(vp.tbl[[#This Row],[SDate]],weather.tbl[Date],0))</f>
        <v>11.3</v>
      </c>
      <c r="S1329" s="2">
        <f ca="1">INDEX(INDIRECT(_xlfn.CONCAT("weather.tbl[",S$1,"]")),MATCH(vp.tbl[[#This Row],[SDate]],weather.tbl[Date],0))</f>
        <v>15.2</v>
      </c>
      <c r="T1329" s="2">
        <f ca="1">INDEX(INDIRECT(_xlfn.CONCAT("weather.tbl[",T$1,"]")),MATCH(vp.tbl[[#This Row],[SDate]],weather.tbl[Date],0))</f>
        <v>11</v>
      </c>
      <c r="U1329" s="2">
        <f ca="1">INDEX(INDIRECT(_xlfn.CONCAT("weather.tbl[",U$1,"]")),MATCH(vp.tbl[[#This Row],[SDate]],weather.tbl[Date],0))</f>
        <v>13.3</v>
      </c>
      <c r="V1329" s="2">
        <v>30.01</v>
      </c>
      <c r="W1329" t="s">
        <v>268</v>
      </c>
      <c r="X1329">
        <f>IF(OR(vp.tbl[[#This Row],[Sulf]]="",vp.tbl[[#This Row],[Dens]]=""),1,0)</f>
        <v>0</v>
      </c>
      <c r="Y1329">
        <f>IF(vp.tbl[[#This Row],[CrudeType]]="C5+",1,0)</f>
        <v>1</v>
      </c>
      <c r="Z1329">
        <f>IF(AND(vp.tbl[[#This Row],[CrudeType]]="Crude",vp.tbl[[#This Row],[Dens]]&lt;=825,vp.tbl[[#This Row],[Sulf]]&gt;0.5,vp.tbl[[#This Row],[Unknown]]=0),1,0)</f>
        <v>0</v>
      </c>
      <c r="AA1329">
        <f>IF(AND(vp.tbl[[#This Row],[CrudeType]]="Crude",vp.tbl[[#This Row],[Dens]]&lt;=825,vp.tbl[[#This Row],[Sulf]]&lt;=0.5,vp.tbl[[#This Row],[Unknown]]=0),1,0)</f>
        <v>0</v>
      </c>
      <c r="AB1329">
        <f>IF(AND(vp.tbl[[#This Row],[CrudeType]]="Crude",vp.tbl[[#This Row],[Dens]]&gt;825,vp.tbl[[#This Row],[Dens]]&lt;=870,vp.tbl[[#This Row],[Sulf]]&gt;0.5,vp.tbl[[#This Row],[Unknown]]=0),1,0)</f>
        <v>0</v>
      </c>
      <c r="AC1329">
        <f>IF(AND(vp.tbl[[#This Row],[CrudeType]]="Crude",vp.tbl[[#This Row],[Dens]]&gt;825,vp.tbl[[#This Row],[Dens]]&lt;=900,vp.tbl[[#This Row],[Sulf]]&lt;=0.5,vp.tbl[[#This Row],[Unknown]]=0),1,0)</f>
        <v>0</v>
      </c>
      <c r="AD1329">
        <f>IF(AND(vp.tbl[[#This Row],[CrudeType]]="Crude",vp.tbl[[#This Row],[Dens]]&gt;870,vp.tbl[[#This Row],[Dens]]&lt;=900,vp.tbl[[#This Row],[Sulf]]&gt;0.5,vp.tbl[[#This Row],[Unknown]]=0),1,0)</f>
        <v>0</v>
      </c>
      <c r="AE1329">
        <f>IF(AND(vp.tbl[[#This Row],[CrudeType]]="Crude",vp.tbl[[#This Row],[Dens]]&gt;900,vp.tbl[[#This Row],[Sulf]]&lt;=0.5,vp.tbl[[#This Row],[Unknown]]=0),1,0)</f>
        <v>0</v>
      </c>
      <c r="AF1329">
        <f>IF(AND(vp.tbl[[#This Row],[CrudeType]]="Crude",vp.tbl[[#This Row],[Dens]]&gt;900,vp.tbl[[#This Row],[Sulf]]&lt;=0.5,vp.tbl[[#This Row],[Unknown]]=0),1,0)</f>
        <v>0</v>
      </c>
      <c r="AG1329" t="str">
        <f>INDEX(vp.tbl[[#Headers],[Unknown]:[Heavy_SW]],MATCH(1,vp.tbl[[#This Row],[Unknown]:[Heavy_SW]],0))</f>
        <v>C5</v>
      </c>
      <c r="AH1329" t="e">
        <f>INDEX([1]!crudeBD.lkup[Number],MATCH(vp.tbl[[#This Row],[Crude_Breakdown]],[1]!crudeBD.lkup[Crude Breakdown],0))</f>
        <v>#REF!</v>
      </c>
      <c r="AI1329">
        <f>MONTH(vp.tbl[[#This Row],[SDate]])</f>
        <v>4</v>
      </c>
      <c r="AJ1329" s="5">
        <f>IFERROR(vp.tbl[[#This Row],[Sulf]]*vp.tbl[[#This Row],[Net Dens]],"")</f>
        <v>0</v>
      </c>
      <c r="AK1329" s="5">
        <f>IFERROR(vp.tbl[[#This Row],[Dens]]*vp.tbl[[#This Row],[VolumeM3]],"")</f>
        <v>19842.612000000001</v>
      </c>
      <c r="AL1329" s="5">
        <f>IFERROR(vp.tbl[[#This Row],[VP]]*vp.tbl[[#This Row],[VolumeM3]],"")</f>
        <v>3136.0450000000001</v>
      </c>
      <c r="AM1329" s="4">
        <f>IFERROR((vp.tbl[[#This Row],[VP]]-INDEX(crudeBD.lkup.complete[Mean_VP],MATCH(vp.tbl[[#This Row],[Crude_Breakdown]],crudeBD.lkup.complete[Crude Breakdown],0)))^2,"")</f>
        <v>1.7444005739211212</v>
      </c>
      <c r="AN1329" s="4">
        <f>IFERROR((vp.tbl[[#This Row],[Dens]]-INDEX(crudeBD.lkup.complete[Mean_Dens],MATCH(vp.tbl[[#This Row],[Crude_Breakdown]],crudeBD.lkup.complete[Crude Breakdown],0)))^2,"")</f>
        <v>9.7580507116620829</v>
      </c>
      <c r="AO1329" s="4">
        <f>IFERROR((vp.tbl[[#This Row],[Sulf]]-INDEX(crudeBD.lkup.complete[Mean_Sulf],MATCH(vp.tbl[[#This Row],[Crude_Breakdown]],crudeBD.lkup.complete[Crude Breakdown],0)))^2,"")</f>
        <v>0</v>
      </c>
      <c r="AP1329">
        <f>IF(AND(vp.tbl[[#This Row],[SDate]]&gt;=DATE(YEAR(vp.tbl[[#This Row],[SDate]]),5,1),vp.tbl[[#This Row],[SDate]]&lt;=DATE(YEAR(vp.tbl[[#This Row],[SDate]]),9,15)),1,0)</f>
        <v>0</v>
      </c>
      <c r="AQ1329" s="15">
        <f>IF(vp.tbl[[#This Row],[SDate]]&lt;DATE(2016,12,1),0,1)</f>
        <v>1</v>
      </c>
    </row>
    <row r="1330" spans="1:43" x14ac:dyDescent="0.25">
      <c r="A1330">
        <v>1329</v>
      </c>
      <c r="B1330" t="s">
        <v>269</v>
      </c>
      <c r="C1330" t="s">
        <v>270</v>
      </c>
      <c r="D1330" t="s">
        <v>271</v>
      </c>
      <c r="E1330">
        <v>324145</v>
      </c>
      <c r="F1330" s="1">
        <v>42832</v>
      </c>
      <c r="G1330" s="2">
        <v>100.7</v>
      </c>
      <c r="H1330" s="2">
        <v>0</v>
      </c>
      <c r="I1330" s="2">
        <v>0</v>
      </c>
      <c r="J1330" s="2">
        <v>17</v>
      </c>
      <c r="K1330" s="2">
        <v>12</v>
      </c>
      <c r="L1330" s="2">
        <v>659.5</v>
      </c>
      <c r="M1330" s="2">
        <v>659.5</v>
      </c>
      <c r="N1330" s="2">
        <f ca="1">INDEX(INDIRECT(_xlfn.CONCAT("weather.tbl[",N$1,"]")),MATCH(vp.tbl[[#This Row],[SDate]],weather.tbl[Date],0))</f>
        <v>13.133333333333333</v>
      </c>
      <c r="O1330" s="2">
        <f ca="1">INDEX(INDIRECT(_xlfn.CONCAT("weather.tbl[",O$1,"]")),MATCH(vp.tbl[[#This Row],[SDate]],weather.tbl[Date],0))</f>
        <v>6.6547619047619051</v>
      </c>
      <c r="P1330" s="2">
        <f ca="1">INDEX(INDIRECT(_xlfn.CONCAT("weather.tbl[",P$1,"]")),MATCH(vp.tbl[[#This Row],[SDate]],weather.tbl[Date],0))</f>
        <v>13.3</v>
      </c>
      <c r="Q1330" s="2">
        <f ca="1">INDEX(INDIRECT(_xlfn.CONCAT("weather.tbl[",Q$1,"]")),MATCH(vp.tbl[[#This Row],[SDate]],weather.tbl[Date],0))</f>
        <v>14.7</v>
      </c>
      <c r="R1330" s="2">
        <f ca="1">INDEX(INDIRECT(_xlfn.CONCAT("weather.tbl[",R$1,"]")),MATCH(vp.tbl[[#This Row],[SDate]],weather.tbl[Date],0))</f>
        <v>11.3</v>
      </c>
      <c r="S1330" s="2">
        <f ca="1">INDEX(INDIRECT(_xlfn.CONCAT("weather.tbl[",S$1,"]")),MATCH(vp.tbl[[#This Row],[SDate]],weather.tbl[Date],0))</f>
        <v>15.2</v>
      </c>
      <c r="T1330" s="2">
        <f ca="1">INDEX(INDIRECT(_xlfn.CONCAT("weather.tbl[",T$1,"]")),MATCH(vp.tbl[[#This Row],[SDate]],weather.tbl[Date],0))</f>
        <v>11</v>
      </c>
      <c r="U1330" s="2">
        <f ca="1">INDEX(INDIRECT(_xlfn.CONCAT("weather.tbl[",U$1,"]")),MATCH(vp.tbl[[#This Row],[SDate]],weather.tbl[Date],0))</f>
        <v>13.3</v>
      </c>
      <c r="V1330" s="2">
        <v>38.29</v>
      </c>
      <c r="W1330" t="s">
        <v>268</v>
      </c>
      <c r="X1330">
        <f>IF(OR(vp.tbl[[#This Row],[Sulf]]="",vp.tbl[[#This Row],[Dens]]=""),1,0)</f>
        <v>0</v>
      </c>
      <c r="Y1330">
        <f>IF(vp.tbl[[#This Row],[CrudeType]]="C5+",1,0)</f>
        <v>1</v>
      </c>
      <c r="Z1330">
        <f>IF(AND(vp.tbl[[#This Row],[CrudeType]]="Crude",vp.tbl[[#This Row],[Dens]]&lt;=825,vp.tbl[[#This Row],[Sulf]]&gt;0.5,vp.tbl[[#This Row],[Unknown]]=0),1,0)</f>
        <v>0</v>
      </c>
      <c r="AA1330">
        <f>IF(AND(vp.tbl[[#This Row],[CrudeType]]="Crude",vp.tbl[[#This Row],[Dens]]&lt;=825,vp.tbl[[#This Row],[Sulf]]&lt;=0.5,vp.tbl[[#This Row],[Unknown]]=0),1,0)</f>
        <v>0</v>
      </c>
      <c r="AB1330">
        <f>IF(AND(vp.tbl[[#This Row],[CrudeType]]="Crude",vp.tbl[[#This Row],[Dens]]&gt;825,vp.tbl[[#This Row],[Dens]]&lt;=870,vp.tbl[[#This Row],[Sulf]]&gt;0.5,vp.tbl[[#This Row],[Unknown]]=0),1,0)</f>
        <v>0</v>
      </c>
      <c r="AC1330">
        <f>IF(AND(vp.tbl[[#This Row],[CrudeType]]="Crude",vp.tbl[[#This Row],[Dens]]&gt;825,vp.tbl[[#This Row],[Dens]]&lt;=900,vp.tbl[[#This Row],[Sulf]]&lt;=0.5,vp.tbl[[#This Row],[Unknown]]=0),1,0)</f>
        <v>0</v>
      </c>
      <c r="AD1330">
        <f>IF(AND(vp.tbl[[#This Row],[CrudeType]]="Crude",vp.tbl[[#This Row],[Dens]]&gt;870,vp.tbl[[#This Row],[Dens]]&lt;=900,vp.tbl[[#This Row],[Sulf]]&gt;0.5,vp.tbl[[#This Row],[Unknown]]=0),1,0)</f>
        <v>0</v>
      </c>
      <c r="AE1330">
        <f>IF(AND(vp.tbl[[#This Row],[CrudeType]]="Crude",vp.tbl[[#This Row],[Dens]]&gt;900,vp.tbl[[#This Row],[Sulf]]&lt;=0.5,vp.tbl[[#This Row],[Unknown]]=0),1,0)</f>
        <v>0</v>
      </c>
      <c r="AF1330">
        <f>IF(AND(vp.tbl[[#This Row],[CrudeType]]="Crude",vp.tbl[[#This Row],[Dens]]&gt;900,vp.tbl[[#This Row],[Sulf]]&lt;=0.5,vp.tbl[[#This Row],[Unknown]]=0),1,0)</f>
        <v>0</v>
      </c>
      <c r="AG1330" t="str">
        <f>INDEX(vp.tbl[[#Headers],[Unknown]:[Heavy_SW]],MATCH(1,vp.tbl[[#This Row],[Unknown]:[Heavy_SW]],0))</f>
        <v>C5</v>
      </c>
      <c r="AH1330" t="e">
        <f>INDEX([1]!crudeBD.lkup[Number],MATCH(vp.tbl[[#This Row],[Crude_Breakdown]],[1]!crudeBD.lkup[Crude Breakdown],0))</f>
        <v>#REF!</v>
      </c>
      <c r="AI1330">
        <f>MONTH(vp.tbl[[#This Row],[SDate]])</f>
        <v>4</v>
      </c>
      <c r="AJ1330" s="5">
        <f>IFERROR(vp.tbl[[#This Row],[Sulf]]*vp.tbl[[#This Row],[Net Dens]],"")</f>
        <v>0</v>
      </c>
      <c r="AK1330" s="5">
        <f>IFERROR(vp.tbl[[#This Row],[Dens]]*vp.tbl[[#This Row],[VolumeM3]],"")</f>
        <v>25252.255000000001</v>
      </c>
      <c r="AL1330" s="5">
        <f>IFERROR(vp.tbl[[#This Row],[VP]]*vp.tbl[[#This Row],[VolumeM3]],"")</f>
        <v>3855.8029999999999</v>
      </c>
      <c r="AM1330" s="4">
        <f>IFERROR((vp.tbl[[#This Row],[VP]]-INDEX(crudeBD.lkup.complete[Mean_VP],MATCH(vp.tbl[[#This Row],[Crude_Breakdown]],crudeBD.lkup.complete[Crude Breakdown],0)))^2,"")</f>
        <v>6.1466429981632649</v>
      </c>
      <c r="AN1330" s="4">
        <f>IFERROR((vp.tbl[[#This Row],[Dens]]-INDEX(crudeBD.lkup.complete[Mean_Dens],MATCH(vp.tbl[[#This Row],[Crude_Breakdown]],crudeBD.lkup.complete[Crude Breakdown],0)))^2,"")</f>
        <v>2.0271719237831611</v>
      </c>
      <c r="AO1330" s="4">
        <f>IFERROR((vp.tbl[[#This Row],[Sulf]]-INDEX(crudeBD.lkup.complete[Mean_Sulf],MATCH(vp.tbl[[#This Row],[Crude_Breakdown]],crudeBD.lkup.complete[Crude Breakdown],0)))^2,"")</f>
        <v>0</v>
      </c>
      <c r="AP1330">
        <f>IF(AND(vp.tbl[[#This Row],[SDate]]&gt;=DATE(YEAR(vp.tbl[[#This Row],[SDate]]),5,1),vp.tbl[[#This Row],[SDate]]&lt;=DATE(YEAR(vp.tbl[[#This Row],[SDate]]),9,15)),1,0)</f>
        <v>0</v>
      </c>
      <c r="AQ1330" s="15">
        <f>IF(vp.tbl[[#This Row],[SDate]]&lt;DATE(2016,12,1),0,1)</f>
        <v>1</v>
      </c>
    </row>
    <row r="1331" spans="1:43" x14ac:dyDescent="0.25">
      <c r="A1331">
        <v>1330</v>
      </c>
      <c r="B1331" t="s">
        <v>275</v>
      </c>
      <c r="C1331" t="s">
        <v>276</v>
      </c>
      <c r="D1331" t="s">
        <v>277</v>
      </c>
      <c r="E1331">
        <v>324135</v>
      </c>
      <c r="F1331" s="1">
        <v>42832</v>
      </c>
      <c r="G1331" s="2">
        <v>94</v>
      </c>
      <c r="H1331" s="2">
        <v>0</v>
      </c>
      <c r="I1331" s="2">
        <v>0</v>
      </c>
      <c r="J1331" s="2">
        <v>18</v>
      </c>
      <c r="K1331" s="2">
        <v>12</v>
      </c>
      <c r="L1331" s="2">
        <v>658.7</v>
      </c>
      <c r="M1331" s="2">
        <v>658.7</v>
      </c>
      <c r="N1331" s="2">
        <f ca="1">INDEX(INDIRECT(_xlfn.CONCAT("weather.tbl[",N$1,"]")),MATCH(vp.tbl[[#This Row],[SDate]],weather.tbl[Date],0))</f>
        <v>13.133333333333333</v>
      </c>
      <c r="O1331" s="2">
        <f ca="1">INDEX(INDIRECT(_xlfn.CONCAT("weather.tbl[",O$1,"]")),MATCH(vp.tbl[[#This Row],[SDate]],weather.tbl[Date],0))</f>
        <v>6.6547619047619051</v>
      </c>
      <c r="P1331" s="2">
        <f ca="1">INDEX(INDIRECT(_xlfn.CONCAT("weather.tbl[",P$1,"]")),MATCH(vp.tbl[[#This Row],[SDate]],weather.tbl[Date],0))</f>
        <v>13.3</v>
      </c>
      <c r="Q1331" s="2">
        <f ca="1">INDEX(INDIRECT(_xlfn.CONCAT("weather.tbl[",Q$1,"]")),MATCH(vp.tbl[[#This Row],[SDate]],weather.tbl[Date],0))</f>
        <v>14.7</v>
      </c>
      <c r="R1331" s="2">
        <f ca="1">INDEX(INDIRECT(_xlfn.CONCAT("weather.tbl[",R$1,"]")),MATCH(vp.tbl[[#This Row],[SDate]],weather.tbl[Date],0))</f>
        <v>11.3</v>
      </c>
      <c r="S1331" s="2">
        <f ca="1">INDEX(INDIRECT(_xlfn.CONCAT("weather.tbl[",S$1,"]")),MATCH(vp.tbl[[#This Row],[SDate]],weather.tbl[Date],0))</f>
        <v>15.2</v>
      </c>
      <c r="T1331" s="2">
        <f ca="1">INDEX(INDIRECT(_xlfn.CONCAT("weather.tbl[",T$1,"]")),MATCH(vp.tbl[[#This Row],[SDate]],weather.tbl[Date],0))</f>
        <v>11</v>
      </c>
      <c r="U1331" s="2">
        <f ca="1">INDEX(INDIRECT(_xlfn.CONCAT("weather.tbl[",U$1,"]")),MATCH(vp.tbl[[#This Row],[SDate]],weather.tbl[Date],0))</f>
        <v>13.3</v>
      </c>
      <c r="V1331" s="2">
        <v>35.799999999999997</v>
      </c>
      <c r="W1331" t="s">
        <v>268</v>
      </c>
      <c r="X1331">
        <f>IF(OR(vp.tbl[[#This Row],[Sulf]]="",vp.tbl[[#This Row],[Dens]]=""),1,0)</f>
        <v>0</v>
      </c>
      <c r="Y1331">
        <f>IF(vp.tbl[[#This Row],[CrudeType]]="C5+",1,0)</f>
        <v>1</v>
      </c>
      <c r="Z1331">
        <f>IF(AND(vp.tbl[[#This Row],[CrudeType]]="Crude",vp.tbl[[#This Row],[Dens]]&lt;=825,vp.tbl[[#This Row],[Sulf]]&gt;0.5,vp.tbl[[#This Row],[Unknown]]=0),1,0)</f>
        <v>0</v>
      </c>
      <c r="AA1331">
        <f>IF(AND(vp.tbl[[#This Row],[CrudeType]]="Crude",vp.tbl[[#This Row],[Dens]]&lt;=825,vp.tbl[[#This Row],[Sulf]]&lt;=0.5,vp.tbl[[#This Row],[Unknown]]=0),1,0)</f>
        <v>0</v>
      </c>
      <c r="AB1331">
        <f>IF(AND(vp.tbl[[#This Row],[CrudeType]]="Crude",vp.tbl[[#This Row],[Dens]]&gt;825,vp.tbl[[#This Row],[Dens]]&lt;=870,vp.tbl[[#This Row],[Sulf]]&gt;0.5,vp.tbl[[#This Row],[Unknown]]=0),1,0)</f>
        <v>0</v>
      </c>
      <c r="AC1331">
        <f>IF(AND(vp.tbl[[#This Row],[CrudeType]]="Crude",vp.tbl[[#This Row],[Dens]]&gt;825,vp.tbl[[#This Row],[Dens]]&lt;=900,vp.tbl[[#This Row],[Sulf]]&lt;=0.5,vp.tbl[[#This Row],[Unknown]]=0),1,0)</f>
        <v>0</v>
      </c>
      <c r="AD1331">
        <f>IF(AND(vp.tbl[[#This Row],[CrudeType]]="Crude",vp.tbl[[#This Row],[Dens]]&gt;870,vp.tbl[[#This Row],[Dens]]&lt;=900,vp.tbl[[#This Row],[Sulf]]&gt;0.5,vp.tbl[[#This Row],[Unknown]]=0),1,0)</f>
        <v>0</v>
      </c>
      <c r="AE1331">
        <f>IF(AND(vp.tbl[[#This Row],[CrudeType]]="Crude",vp.tbl[[#This Row],[Dens]]&gt;900,vp.tbl[[#This Row],[Sulf]]&lt;=0.5,vp.tbl[[#This Row],[Unknown]]=0),1,0)</f>
        <v>0</v>
      </c>
      <c r="AF1331">
        <f>IF(AND(vp.tbl[[#This Row],[CrudeType]]="Crude",vp.tbl[[#This Row],[Dens]]&gt;900,vp.tbl[[#This Row],[Sulf]]&lt;=0.5,vp.tbl[[#This Row],[Unknown]]=0),1,0)</f>
        <v>0</v>
      </c>
      <c r="AG1331" t="str">
        <f>INDEX(vp.tbl[[#Headers],[Unknown]:[Heavy_SW]],MATCH(1,vp.tbl[[#This Row],[Unknown]:[Heavy_SW]],0))</f>
        <v>C5</v>
      </c>
      <c r="AH1331" t="e">
        <f>INDEX([1]!crudeBD.lkup[Number],MATCH(vp.tbl[[#This Row],[Crude_Breakdown]],[1]!crudeBD.lkup[Crude Breakdown],0))</f>
        <v>#REF!</v>
      </c>
      <c r="AI1331">
        <f>MONTH(vp.tbl[[#This Row],[SDate]])</f>
        <v>4</v>
      </c>
      <c r="AJ1331" s="5">
        <f>IFERROR(vp.tbl[[#This Row],[Sulf]]*vp.tbl[[#This Row],[Net Dens]],"")</f>
        <v>0</v>
      </c>
      <c r="AK1331" s="5">
        <f>IFERROR(vp.tbl[[#This Row],[Dens]]*vp.tbl[[#This Row],[VolumeM3]],"")</f>
        <v>23581.46</v>
      </c>
      <c r="AL1331" s="5">
        <f>IFERROR(vp.tbl[[#This Row],[VP]]*vp.tbl[[#This Row],[VolumeM3]],"")</f>
        <v>3365.2</v>
      </c>
      <c r="AM1331" s="4">
        <f>IFERROR((vp.tbl[[#This Row],[VP]]-INDEX(crudeBD.lkup.complete[Mean_VP],MATCH(vp.tbl[[#This Row],[Crude_Breakdown]],crudeBD.lkup.complete[Crude Breakdown],0)))^2,"")</f>
        <v>84.258491483011298</v>
      </c>
      <c r="AN1331" s="4">
        <f>IFERROR((vp.tbl[[#This Row],[Dens]]-INDEX(crudeBD.lkup.complete[Mean_Dens],MATCH(vp.tbl[[#This Row],[Crude_Breakdown]],crudeBD.lkup.complete[Crude Breakdown],0)))^2,"")</f>
        <v>0.38911131772268276</v>
      </c>
      <c r="AO1331" s="4">
        <f>IFERROR((vp.tbl[[#This Row],[Sulf]]-INDEX(crudeBD.lkup.complete[Mean_Sulf],MATCH(vp.tbl[[#This Row],[Crude_Breakdown]],crudeBD.lkup.complete[Crude Breakdown],0)))^2,"")</f>
        <v>0</v>
      </c>
      <c r="AP1331">
        <f>IF(AND(vp.tbl[[#This Row],[SDate]]&gt;=DATE(YEAR(vp.tbl[[#This Row],[SDate]]),5,1),vp.tbl[[#This Row],[SDate]]&lt;=DATE(YEAR(vp.tbl[[#This Row],[SDate]]),9,15)),1,0)</f>
        <v>0</v>
      </c>
      <c r="AQ1331" s="15">
        <f>IF(vp.tbl[[#This Row],[SDate]]&lt;DATE(2016,12,1),0,1)</f>
        <v>1</v>
      </c>
    </row>
    <row r="1332" spans="1:43" x14ac:dyDescent="0.25">
      <c r="A1332">
        <v>1331</v>
      </c>
      <c r="B1332" t="s">
        <v>272</v>
      </c>
      <c r="C1332" t="s">
        <v>280</v>
      </c>
      <c r="D1332" t="s">
        <v>281</v>
      </c>
      <c r="E1332">
        <v>324274</v>
      </c>
      <c r="F1332" s="1">
        <v>42833</v>
      </c>
      <c r="G1332" s="2">
        <v>108.4</v>
      </c>
      <c r="H1332" s="2">
        <v>0</v>
      </c>
      <c r="I1332" s="2">
        <v>0</v>
      </c>
      <c r="J1332" s="2">
        <v>20</v>
      </c>
      <c r="K1332" s="2">
        <v>16</v>
      </c>
      <c r="L1332" s="2">
        <v>665.9</v>
      </c>
      <c r="M1332" s="2">
        <v>665.9</v>
      </c>
      <c r="N1332" s="2">
        <f ca="1">INDEX(INDIRECT(_xlfn.CONCAT("weather.tbl[",N$1,"]")),MATCH(vp.tbl[[#This Row],[SDate]],weather.tbl[Date],0))</f>
        <v>11.366666666666667</v>
      </c>
      <c r="O1332" s="2">
        <f ca="1">INDEX(INDIRECT(_xlfn.CONCAT("weather.tbl[",O$1,"]")),MATCH(vp.tbl[[#This Row],[SDate]],weather.tbl[Date],0))</f>
        <v>7.4285714285714288</v>
      </c>
      <c r="P1332" s="2">
        <f ca="1">INDEX(INDIRECT(_xlfn.CONCAT("weather.tbl[",P$1,"]")),MATCH(vp.tbl[[#This Row],[SDate]],weather.tbl[Date],0))</f>
        <v>11.6</v>
      </c>
      <c r="Q1332" s="2">
        <f ca="1">INDEX(INDIRECT(_xlfn.CONCAT("weather.tbl[",Q$1,"]")),MATCH(vp.tbl[[#This Row],[SDate]],weather.tbl[Date],0))</f>
        <v>9.1999999999999993</v>
      </c>
      <c r="R1332" s="2">
        <f ca="1">INDEX(INDIRECT(_xlfn.CONCAT("weather.tbl[",R$1,"]")),MATCH(vp.tbl[[#This Row],[SDate]],weather.tbl[Date],0))</f>
        <v>13</v>
      </c>
      <c r="S1332" s="2">
        <f ca="1">INDEX(INDIRECT(_xlfn.CONCAT("weather.tbl[",S$1,"]")),MATCH(vp.tbl[[#This Row],[SDate]],weather.tbl[Date],0))</f>
        <v>9.6999999999999993</v>
      </c>
      <c r="T1332" s="2">
        <f ca="1">INDEX(INDIRECT(_xlfn.CONCAT("weather.tbl[",T$1,"]")),MATCH(vp.tbl[[#This Row],[SDate]],weather.tbl[Date],0))</f>
        <v>12.2</v>
      </c>
      <c r="U1332" s="2">
        <f ca="1">INDEX(INDIRECT(_xlfn.CONCAT("weather.tbl[",U$1,"]")),MATCH(vp.tbl[[#This Row],[SDate]],weather.tbl[Date],0))</f>
        <v>12.5</v>
      </c>
      <c r="V1332" s="2">
        <v>41.7</v>
      </c>
      <c r="W1332" t="s">
        <v>268</v>
      </c>
      <c r="X1332">
        <f>IF(OR(vp.tbl[[#This Row],[Sulf]]="",vp.tbl[[#This Row],[Dens]]=""),1,0)</f>
        <v>0</v>
      </c>
      <c r="Y1332">
        <f>IF(vp.tbl[[#This Row],[CrudeType]]="C5+",1,0)</f>
        <v>1</v>
      </c>
      <c r="Z1332">
        <f>IF(AND(vp.tbl[[#This Row],[CrudeType]]="Crude",vp.tbl[[#This Row],[Dens]]&lt;=825,vp.tbl[[#This Row],[Sulf]]&gt;0.5,vp.tbl[[#This Row],[Unknown]]=0),1,0)</f>
        <v>0</v>
      </c>
      <c r="AA1332">
        <f>IF(AND(vp.tbl[[#This Row],[CrudeType]]="Crude",vp.tbl[[#This Row],[Dens]]&lt;=825,vp.tbl[[#This Row],[Sulf]]&lt;=0.5,vp.tbl[[#This Row],[Unknown]]=0),1,0)</f>
        <v>0</v>
      </c>
      <c r="AB1332">
        <f>IF(AND(vp.tbl[[#This Row],[CrudeType]]="Crude",vp.tbl[[#This Row],[Dens]]&gt;825,vp.tbl[[#This Row],[Dens]]&lt;=870,vp.tbl[[#This Row],[Sulf]]&gt;0.5,vp.tbl[[#This Row],[Unknown]]=0),1,0)</f>
        <v>0</v>
      </c>
      <c r="AC1332">
        <f>IF(AND(vp.tbl[[#This Row],[CrudeType]]="Crude",vp.tbl[[#This Row],[Dens]]&gt;825,vp.tbl[[#This Row],[Dens]]&lt;=900,vp.tbl[[#This Row],[Sulf]]&lt;=0.5,vp.tbl[[#This Row],[Unknown]]=0),1,0)</f>
        <v>0</v>
      </c>
      <c r="AD1332">
        <f>IF(AND(vp.tbl[[#This Row],[CrudeType]]="Crude",vp.tbl[[#This Row],[Dens]]&gt;870,vp.tbl[[#This Row],[Dens]]&lt;=900,vp.tbl[[#This Row],[Sulf]]&gt;0.5,vp.tbl[[#This Row],[Unknown]]=0),1,0)</f>
        <v>0</v>
      </c>
      <c r="AE1332">
        <f>IF(AND(vp.tbl[[#This Row],[CrudeType]]="Crude",vp.tbl[[#This Row],[Dens]]&gt;900,vp.tbl[[#This Row],[Sulf]]&lt;=0.5,vp.tbl[[#This Row],[Unknown]]=0),1,0)</f>
        <v>0</v>
      </c>
      <c r="AF1332">
        <f>IF(AND(vp.tbl[[#This Row],[CrudeType]]="Crude",vp.tbl[[#This Row],[Dens]]&gt;900,vp.tbl[[#This Row],[Sulf]]&lt;=0.5,vp.tbl[[#This Row],[Unknown]]=0),1,0)</f>
        <v>0</v>
      </c>
      <c r="AG1332" t="str">
        <f>INDEX(vp.tbl[[#Headers],[Unknown]:[Heavy_SW]],MATCH(1,vp.tbl[[#This Row],[Unknown]:[Heavy_SW]],0))</f>
        <v>C5</v>
      </c>
      <c r="AH1332" t="e">
        <f>INDEX([1]!crudeBD.lkup[Number],MATCH(vp.tbl[[#This Row],[Crude_Breakdown]],[1]!crudeBD.lkup[Crude Breakdown],0))</f>
        <v>#REF!</v>
      </c>
      <c r="AI1332">
        <f>MONTH(vp.tbl[[#This Row],[SDate]])</f>
        <v>4</v>
      </c>
      <c r="AJ1332" s="5">
        <f>IFERROR(vp.tbl[[#This Row],[Sulf]]*vp.tbl[[#This Row],[Net Dens]],"")</f>
        <v>0</v>
      </c>
      <c r="AK1332" s="5">
        <f>IFERROR(vp.tbl[[#This Row],[Dens]]*vp.tbl[[#This Row],[VolumeM3]],"")</f>
        <v>27768.030000000002</v>
      </c>
      <c r="AL1332" s="5">
        <f>IFERROR(vp.tbl[[#This Row],[VP]]*vp.tbl[[#This Row],[VolumeM3]],"")</f>
        <v>4520.2800000000007</v>
      </c>
      <c r="AM1332" s="4">
        <f>IFERROR((vp.tbl[[#This Row],[VP]]-INDEX(crudeBD.lkup.complete[Mean_VP],MATCH(vp.tbl[[#This Row],[Crude_Breakdown]],crudeBD.lkup.complete[Crude Breakdown],0)))^2,"")</f>
        <v>27.256309664830546</v>
      </c>
      <c r="AN1332" s="4">
        <f>IFERROR((vp.tbl[[#This Row],[Dens]]-INDEX(crudeBD.lkup.complete[Mean_Dens],MATCH(vp.tbl[[#This Row],[Crude_Breakdown]],crudeBD.lkup.complete[Crude Breakdown],0)))^2,"")</f>
        <v>61.211656772267084</v>
      </c>
      <c r="AO1332" s="4">
        <f>IFERROR((vp.tbl[[#This Row],[Sulf]]-INDEX(crudeBD.lkup.complete[Mean_Sulf],MATCH(vp.tbl[[#This Row],[Crude_Breakdown]],crudeBD.lkup.complete[Crude Breakdown],0)))^2,"")</f>
        <v>0</v>
      </c>
      <c r="AP1332">
        <f>IF(AND(vp.tbl[[#This Row],[SDate]]&gt;=DATE(YEAR(vp.tbl[[#This Row],[SDate]]),5,1),vp.tbl[[#This Row],[SDate]]&lt;=DATE(YEAR(vp.tbl[[#This Row],[SDate]]),9,15)),1,0)</f>
        <v>0</v>
      </c>
      <c r="AQ1332" s="15">
        <f>IF(vp.tbl[[#This Row],[SDate]]&lt;DATE(2016,12,1),0,1)</f>
        <v>1</v>
      </c>
    </row>
    <row r="1333" spans="1:43" x14ac:dyDescent="0.25">
      <c r="A1333">
        <v>1332</v>
      </c>
      <c r="B1333" t="s">
        <v>272</v>
      </c>
      <c r="C1333" t="s">
        <v>282</v>
      </c>
      <c r="D1333" t="s">
        <v>283</v>
      </c>
      <c r="E1333">
        <v>324437</v>
      </c>
      <c r="F1333" s="1">
        <v>42834</v>
      </c>
      <c r="G1333" s="2">
        <v>108.4</v>
      </c>
      <c r="H1333" s="2">
        <v>0</v>
      </c>
      <c r="I1333" s="2">
        <v>0</v>
      </c>
      <c r="J1333" s="2">
        <v>10</v>
      </c>
      <c r="K1333" s="2">
        <v>3</v>
      </c>
      <c r="L1333" s="2">
        <v>656.7</v>
      </c>
      <c r="M1333" s="2">
        <v>656.7</v>
      </c>
      <c r="N1333" s="2">
        <f ca="1">INDEX(INDIRECT(_xlfn.CONCAT("weather.tbl[",N$1,"]")),MATCH(vp.tbl[[#This Row],[SDate]],weather.tbl[Date],0))</f>
        <v>2.6666666666666665</v>
      </c>
      <c r="O1333" s="2">
        <f ca="1">INDEX(INDIRECT(_xlfn.CONCAT("weather.tbl[",O$1,"]")),MATCH(vp.tbl[[#This Row],[SDate]],weather.tbl[Date],0))</f>
        <v>6.7261904761904754</v>
      </c>
      <c r="P1333" s="2">
        <f ca="1">INDEX(INDIRECT(_xlfn.CONCAT("weather.tbl[",P$1,"]")),MATCH(vp.tbl[[#This Row],[SDate]],weather.tbl[Date],0))</f>
        <v>2.2999999999999998</v>
      </c>
      <c r="Q1333" s="2">
        <f ca="1">INDEX(INDIRECT(_xlfn.CONCAT("weather.tbl[",Q$1,"]")),MATCH(vp.tbl[[#This Row],[SDate]],weather.tbl[Date],0))</f>
        <v>0.6</v>
      </c>
      <c r="R1333" s="2">
        <f ca="1">INDEX(INDIRECT(_xlfn.CONCAT("weather.tbl[",R$1,"]")),MATCH(vp.tbl[[#This Row],[SDate]],weather.tbl[Date],0))</f>
        <v>13</v>
      </c>
      <c r="S1333" s="2">
        <f ca="1">INDEX(INDIRECT(_xlfn.CONCAT("weather.tbl[",S$1,"]")),MATCH(vp.tbl[[#This Row],[SDate]],weather.tbl[Date],0))</f>
        <v>-1</v>
      </c>
      <c r="T1333" s="2">
        <f ca="1">INDEX(INDIRECT(_xlfn.CONCAT("weather.tbl[",T$1,"]")),MATCH(vp.tbl[[#This Row],[SDate]],weather.tbl[Date],0))</f>
        <v>1.9</v>
      </c>
      <c r="U1333" s="2">
        <f ca="1">INDEX(INDIRECT(_xlfn.CONCAT("weather.tbl[",U$1,"]")),MATCH(vp.tbl[[#This Row],[SDate]],weather.tbl[Date],0))</f>
        <v>-0.8</v>
      </c>
      <c r="V1333" s="2">
        <v>32.549999999999997</v>
      </c>
      <c r="W1333" t="s">
        <v>268</v>
      </c>
      <c r="X1333">
        <f>IF(OR(vp.tbl[[#This Row],[Sulf]]="",vp.tbl[[#This Row],[Dens]]=""),1,0)</f>
        <v>0</v>
      </c>
      <c r="Y1333">
        <f>IF(vp.tbl[[#This Row],[CrudeType]]="C5+",1,0)</f>
        <v>1</v>
      </c>
      <c r="Z1333">
        <f>IF(AND(vp.tbl[[#This Row],[CrudeType]]="Crude",vp.tbl[[#This Row],[Dens]]&lt;=825,vp.tbl[[#This Row],[Sulf]]&gt;0.5,vp.tbl[[#This Row],[Unknown]]=0),1,0)</f>
        <v>0</v>
      </c>
      <c r="AA1333">
        <f>IF(AND(vp.tbl[[#This Row],[CrudeType]]="Crude",vp.tbl[[#This Row],[Dens]]&lt;=825,vp.tbl[[#This Row],[Sulf]]&lt;=0.5,vp.tbl[[#This Row],[Unknown]]=0),1,0)</f>
        <v>0</v>
      </c>
      <c r="AB1333">
        <f>IF(AND(vp.tbl[[#This Row],[CrudeType]]="Crude",vp.tbl[[#This Row],[Dens]]&gt;825,vp.tbl[[#This Row],[Dens]]&lt;=870,vp.tbl[[#This Row],[Sulf]]&gt;0.5,vp.tbl[[#This Row],[Unknown]]=0),1,0)</f>
        <v>0</v>
      </c>
      <c r="AC1333">
        <f>IF(AND(vp.tbl[[#This Row],[CrudeType]]="Crude",vp.tbl[[#This Row],[Dens]]&gt;825,vp.tbl[[#This Row],[Dens]]&lt;=900,vp.tbl[[#This Row],[Sulf]]&lt;=0.5,vp.tbl[[#This Row],[Unknown]]=0),1,0)</f>
        <v>0</v>
      </c>
      <c r="AD1333">
        <f>IF(AND(vp.tbl[[#This Row],[CrudeType]]="Crude",vp.tbl[[#This Row],[Dens]]&gt;870,vp.tbl[[#This Row],[Dens]]&lt;=900,vp.tbl[[#This Row],[Sulf]]&gt;0.5,vp.tbl[[#This Row],[Unknown]]=0),1,0)</f>
        <v>0</v>
      </c>
      <c r="AE1333">
        <f>IF(AND(vp.tbl[[#This Row],[CrudeType]]="Crude",vp.tbl[[#This Row],[Dens]]&gt;900,vp.tbl[[#This Row],[Sulf]]&lt;=0.5,vp.tbl[[#This Row],[Unknown]]=0),1,0)</f>
        <v>0</v>
      </c>
      <c r="AF1333">
        <f>IF(AND(vp.tbl[[#This Row],[CrudeType]]="Crude",vp.tbl[[#This Row],[Dens]]&gt;900,vp.tbl[[#This Row],[Sulf]]&lt;=0.5,vp.tbl[[#This Row],[Unknown]]=0),1,0)</f>
        <v>0</v>
      </c>
      <c r="AG1333" t="str">
        <f>INDEX(vp.tbl[[#Headers],[Unknown]:[Heavy_SW]],MATCH(1,vp.tbl[[#This Row],[Unknown]:[Heavy_SW]],0))</f>
        <v>C5</v>
      </c>
      <c r="AH1333" t="e">
        <f>INDEX([1]!crudeBD.lkup[Number],MATCH(vp.tbl[[#This Row],[Crude_Breakdown]],[1]!crudeBD.lkup[Crude Breakdown],0))</f>
        <v>#REF!</v>
      </c>
      <c r="AI1333">
        <f>MONTH(vp.tbl[[#This Row],[SDate]])</f>
        <v>4</v>
      </c>
      <c r="AJ1333" s="5">
        <f>IFERROR(vp.tbl[[#This Row],[Sulf]]*vp.tbl[[#This Row],[Net Dens]],"")</f>
        <v>0</v>
      </c>
      <c r="AK1333" s="5">
        <f>IFERROR(vp.tbl[[#This Row],[Dens]]*vp.tbl[[#This Row],[VolumeM3]],"")</f>
        <v>21375.584999999999</v>
      </c>
      <c r="AL1333" s="5">
        <f>IFERROR(vp.tbl[[#This Row],[VP]]*vp.tbl[[#This Row],[VolumeM3]],"")</f>
        <v>3528.42</v>
      </c>
      <c r="AM1333" s="4">
        <f>IFERROR((vp.tbl[[#This Row],[VP]]-INDEX(crudeBD.lkup.complete[Mean_VP],MATCH(vp.tbl[[#This Row],[Crude_Breakdown]],crudeBD.lkup.complete[Crude Breakdown],0)))^2,"")</f>
        <v>27.256309664830546</v>
      </c>
      <c r="AN1333" s="4">
        <f>IFERROR((vp.tbl[[#This Row],[Dens]]-INDEX(crudeBD.lkup.complete[Mean_Dens],MATCH(vp.tbl[[#This Row],[Crude_Breakdown]],crudeBD.lkup.complete[Crude Breakdown],0)))^2,"")</f>
        <v>1.8939598025711633</v>
      </c>
      <c r="AO1333" s="4">
        <f>IFERROR((vp.tbl[[#This Row],[Sulf]]-INDEX(crudeBD.lkup.complete[Mean_Sulf],MATCH(vp.tbl[[#This Row],[Crude_Breakdown]],crudeBD.lkup.complete[Crude Breakdown],0)))^2,"")</f>
        <v>0</v>
      </c>
      <c r="AP1333">
        <f>IF(AND(vp.tbl[[#This Row],[SDate]]&gt;=DATE(YEAR(vp.tbl[[#This Row],[SDate]]),5,1),vp.tbl[[#This Row],[SDate]]&lt;=DATE(YEAR(vp.tbl[[#This Row],[SDate]]),9,15)),1,0)</f>
        <v>0</v>
      </c>
      <c r="AQ1333" s="15">
        <f>IF(vp.tbl[[#This Row],[SDate]]&lt;DATE(2016,12,1),0,1)</f>
        <v>1</v>
      </c>
    </row>
    <row r="1334" spans="1:43" x14ac:dyDescent="0.25">
      <c r="A1334">
        <v>1333</v>
      </c>
      <c r="B1334" t="s">
        <v>272</v>
      </c>
      <c r="C1334" t="s">
        <v>282</v>
      </c>
      <c r="D1334" t="s">
        <v>283</v>
      </c>
      <c r="E1334">
        <v>324725</v>
      </c>
      <c r="F1334" s="1">
        <v>42836</v>
      </c>
      <c r="G1334" s="2">
        <v>110.5</v>
      </c>
      <c r="H1334" s="2">
        <v>0</v>
      </c>
      <c r="I1334" s="2">
        <v>0</v>
      </c>
      <c r="J1334" s="2">
        <v>5.9</v>
      </c>
      <c r="K1334" s="2">
        <v>5</v>
      </c>
      <c r="L1334" s="2">
        <v>658.8</v>
      </c>
      <c r="M1334" s="2">
        <v>658.8</v>
      </c>
      <c r="N1334" s="2">
        <f ca="1">INDEX(INDIRECT(_xlfn.CONCAT("weather.tbl[",N$1,"]")),MATCH(vp.tbl[[#This Row],[SDate]],weather.tbl[Date],0))</f>
        <v>5.2833333333333341</v>
      </c>
      <c r="O1334" s="2">
        <f ca="1">INDEX(INDIRECT(_xlfn.CONCAT("weather.tbl[",O$1,"]")),MATCH(vp.tbl[[#This Row],[SDate]],weather.tbl[Date],0))</f>
        <v>5.9023809523809518</v>
      </c>
      <c r="P1334" s="2">
        <f ca="1">INDEX(INDIRECT(_xlfn.CONCAT("weather.tbl[",P$1,"]")),MATCH(vp.tbl[[#This Row],[SDate]],weather.tbl[Date],0))</f>
        <v>6.1</v>
      </c>
      <c r="Q1334" s="2">
        <f ca="1">INDEX(INDIRECT(_xlfn.CONCAT("weather.tbl[",Q$1,"]")),MATCH(vp.tbl[[#This Row],[SDate]],weather.tbl[Date],0))</f>
        <v>5.5</v>
      </c>
      <c r="R1334" s="2">
        <f ca="1">INDEX(INDIRECT(_xlfn.CONCAT("weather.tbl[",R$1,"]")),MATCH(vp.tbl[[#This Row],[SDate]],weather.tbl[Date],0))</f>
        <v>4.5</v>
      </c>
      <c r="S1334" s="2">
        <f ca="1">INDEX(INDIRECT(_xlfn.CONCAT("weather.tbl[",S$1,"]")),MATCH(vp.tbl[[#This Row],[SDate]],weather.tbl[Date],0))</f>
        <v>5.5</v>
      </c>
      <c r="T1334" s="2">
        <f ca="1">INDEX(INDIRECT(_xlfn.CONCAT("weather.tbl[",T$1,"]")),MATCH(vp.tbl[[#This Row],[SDate]],weather.tbl[Date],0))</f>
        <v>5.0999999999999996</v>
      </c>
      <c r="U1334" s="2">
        <f ca="1">INDEX(INDIRECT(_xlfn.CONCAT("weather.tbl[",U$1,"]")),MATCH(vp.tbl[[#This Row],[SDate]],weather.tbl[Date],0))</f>
        <v>5</v>
      </c>
      <c r="V1334" s="2">
        <v>38.17</v>
      </c>
      <c r="W1334" t="s">
        <v>268</v>
      </c>
      <c r="X1334">
        <f>IF(OR(vp.tbl[[#This Row],[Sulf]]="",vp.tbl[[#This Row],[Dens]]=""),1,0)</f>
        <v>0</v>
      </c>
      <c r="Y1334">
        <f>IF(vp.tbl[[#This Row],[CrudeType]]="C5+",1,0)</f>
        <v>1</v>
      </c>
      <c r="Z1334">
        <f>IF(AND(vp.tbl[[#This Row],[CrudeType]]="Crude",vp.tbl[[#This Row],[Dens]]&lt;=825,vp.tbl[[#This Row],[Sulf]]&gt;0.5,vp.tbl[[#This Row],[Unknown]]=0),1,0)</f>
        <v>0</v>
      </c>
      <c r="AA1334">
        <f>IF(AND(vp.tbl[[#This Row],[CrudeType]]="Crude",vp.tbl[[#This Row],[Dens]]&lt;=825,vp.tbl[[#This Row],[Sulf]]&lt;=0.5,vp.tbl[[#This Row],[Unknown]]=0),1,0)</f>
        <v>0</v>
      </c>
      <c r="AB1334">
        <f>IF(AND(vp.tbl[[#This Row],[CrudeType]]="Crude",vp.tbl[[#This Row],[Dens]]&gt;825,vp.tbl[[#This Row],[Dens]]&lt;=870,vp.tbl[[#This Row],[Sulf]]&gt;0.5,vp.tbl[[#This Row],[Unknown]]=0),1,0)</f>
        <v>0</v>
      </c>
      <c r="AC1334">
        <f>IF(AND(vp.tbl[[#This Row],[CrudeType]]="Crude",vp.tbl[[#This Row],[Dens]]&gt;825,vp.tbl[[#This Row],[Dens]]&lt;=900,vp.tbl[[#This Row],[Sulf]]&lt;=0.5,vp.tbl[[#This Row],[Unknown]]=0),1,0)</f>
        <v>0</v>
      </c>
      <c r="AD1334">
        <f>IF(AND(vp.tbl[[#This Row],[CrudeType]]="Crude",vp.tbl[[#This Row],[Dens]]&gt;870,vp.tbl[[#This Row],[Dens]]&lt;=900,vp.tbl[[#This Row],[Sulf]]&gt;0.5,vp.tbl[[#This Row],[Unknown]]=0),1,0)</f>
        <v>0</v>
      </c>
      <c r="AE1334">
        <f>IF(AND(vp.tbl[[#This Row],[CrudeType]]="Crude",vp.tbl[[#This Row],[Dens]]&gt;900,vp.tbl[[#This Row],[Sulf]]&lt;=0.5,vp.tbl[[#This Row],[Unknown]]=0),1,0)</f>
        <v>0</v>
      </c>
      <c r="AF1334">
        <f>IF(AND(vp.tbl[[#This Row],[CrudeType]]="Crude",vp.tbl[[#This Row],[Dens]]&gt;900,vp.tbl[[#This Row],[Sulf]]&lt;=0.5,vp.tbl[[#This Row],[Unknown]]=0),1,0)</f>
        <v>0</v>
      </c>
      <c r="AG1334" t="str">
        <f>INDEX(vp.tbl[[#Headers],[Unknown]:[Heavy_SW]],MATCH(1,vp.tbl[[#This Row],[Unknown]:[Heavy_SW]],0))</f>
        <v>C5</v>
      </c>
      <c r="AH1334" t="e">
        <f>INDEX([1]!crudeBD.lkup[Number],MATCH(vp.tbl[[#This Row],[Crude_Breakdown]],[1]!crudeBD.lkup[Crude Breakdown],0))</f>
        <v>#REF!</v>
      </c>
      <c r="AI1334">
        <f>MONTH(vp.tbl[[#This Row],[SDate]])</f>
        <v>4</v>
      </c>
      <c r="AJ1334" s="5">
        <f>IFERROR(vp.tbl[[#This Row],[Sulf]]*vp.tbl[[#This Row],[Net Dens]],"")</f>
        <v>0</v>
      </c>
      <c r="AK1334" s="5">
        <f>IFERROR(vp.tbl[[#This Row],[Dens]]*vp.tbl[[#This Row],[VolumeM3]],"")</f>
        <v>25146.396000000001</v>
      </c>
      <c r="AL1334" s="5">
        <f>IFERROR(vp.tbl[[#This Row],[VP]]*vp.tbl[[#This Row],[VolumeM3]],"")</f>
        <v>4217.7849999999999</v>
      </c>
      <c r="AM1334" s="4">
        <f>IFERROR((vp.tbl[[#This Row],[VP]]-INDEX(crudeBD.lkup.complete[Mean_VP],MATCH(vp.tbl[[#This Row],[Crude_Breakdown]],crudeBD.lkup.complete[Crude Breakdown],0)))^2,"")</f>
        <v>53.59349148301245</v>
      </c>
      <c r="AN1334" s="4">
        <f>IFERROR((vp.tbl[[#This Row],[Dens]]-INDEX(crudeBD.lkup.complete[Mean_Dens],MATCH(vp.tbl[[#This Row],[Crude_Breakdown]],crudeBD.lkup.complete[Crude Breakdown],0)))^2,"")</f>
        <v>0.52386889348012711</v>
      </c>
      <c r="AO1334" s="4">
        <f>IFERROR((vp.tbl[[#This Row],[Sulf]]-INDEX(crudeBD.lkup.complete[Mean_Sulf],MATCH(vp.tbl[[#This Row],[Crude_Breakdown]],crudeBD.lkup.complete[Crude Breakdown],0)))^2,"")</f>
        <v>0</v>
      </c>
      <c r="AP1334">
        <f>IF(AND(vp.tbl[[#This Row],[SDate]]&gt;=DATE(YEAR(vp.tbl[[#This Row],[SDate]]),5,1),vp.tbl[[#This Row],[SDate]]&lt;=DATE(YEAR(vp.tbl[[#This Row],[SDate]]),9,15)),1,0)</f>
        <v>0</v>
      </c>
      <c r="AQ1334" s="15">
        <f>IF(vp.tbl[[#This Row],[SDate]]&lt;DATE(2016,12,1),0,1)</f>
        <v>1</v>
      </c>
    </row>
    <row r="1335" spans="1:43" x14ac:dyDescent="0.25">
      <c r="A1335">
        <v>1334</v>
      </c>
      <c r="B1335" t="s">
        <v>272</v>
      </c>
      <c r="C1335" t="s">
        <v>273</v>
      </c>
      <c r="D1335" t="s">
        <v>274</v>
      </c>
      <c r="E1335">
        <v>324829</v>
      </c>
      <c r="F1335" s="1">
        <v>42837</v>
      </c>
      <c r="G1335" s="2">
        <v>104.4</v>
      </c>
      <c r="H1335" s="2">
        <v>0</v>
      </c>
      <c r="I1335" s="2">
        <v>0</v>
      </c>
      <c r="J1335" s="2"/>
      <c r="K1335" s="2">
        <v>15</v>
      </c>
      <c r="L1335" s="2">
        <v>641.5</v>
      </c>
      <c r="M1335" s="2">
        <v>641.5</v>
      </c>
      <c r="N1335" s="2">
        <f ca="1">INDEX(INDIRECT(_xlfn.CONCAT("weather.tbl[",N$1,"]")),MATCH(vp.tbl[[#This Row],[SDate]],weather.tbl[Date],0))</f>
        <v>6.0166666666666666</v>
      </c>
      <c r="O1335" s="2">
        <f ca="1">INDEX(INDIRECT(_xlfn.CONCAT("weather.tbl[",O$1,"]")),MATCH(vp.tbl[[#This Row],[SDate]],weather.tbl[Date],0))</f>
        <v>6.2952380952380951</v>
      </c>
      <c r="P1335" s="2">
        <f ca="1">INDEX(INDIRECT(_xlfn.CONCAT("weather.tbl[",P$1,"]")),MATCH(vp.tbl[[#This Row],[SDate]],weather.tbl[Date],0))</f>
        <v>6.2</v>
      </c>
      <c r="Q1335" s="2">
        <f ca="1">INDEX(INDIRECT(_xlfn.CONCAT("weather.tbl[",Q$1,"]")),MATCH(vp.tbl[[#This Row],[SDate]],weather.tbl[Date],0))</f>
        <v>5.4</v>
      </c>
      <c r="R1335" s="2">
        <f ca="1">INDEX(INDIRECT(_xlfn.CONCAT("weather.tbl[",R$1,"]")),MATCH(vp.tbl[[#This Row],[SDate]],weather.tbl[Date],0))</f>
        <v>6</v>
      </c>
      <c r="S1335" s="2">
        <f ca="1">INDEX(INDIRECT(_xlfn.CONCAT("weather.tbl[",S$1,"]")),MATCH(vp.tbl[[#This Row],[SDate]],weather.tbl[Date],0))</f>
        <v>5.7</v>
      </c>
      <c r="T1335" s="2">
        <f ca="1">INDEX(INDIRECT(_xlfn.CONCAT("weather.tbl[",T$1,"]")),MATCH(vp.tbl[[#This Row],[SDate]],weather.tbl[Date],0))</f>
        <v>6.8</v>
      </c>
      <c r="U1335" s="2">
        <f ca="1">INDEX(INDIRECT(_xlfn.CONCAT("weather.tbl[",U$1,"]")),MATCH(vp.tbl[[#This Row],[SDate]],weather.tbl[Date],0))</f>
        <v>6</v>
      </c>
      <c r="V1335" s="2">
        <v>33.49</v>
      </c>
      <c r="W1335" t="s">
        <v>268</v>
      </c>
      <c r="X1335">
        <f>IF(OR(vp.tbl[[#This Row],[Sulf]]="",vp.tbl[[#This Row],[Dens]]=""),1,0)</f>
        <v>0</v>
      </c>
      <c r="Y1335">
        <f>IF(vp.tbl[[#This Row],[CrudeType]]="C5+",1,0)</f>
        <v>1</v>
      </c>
      <c r="Z1335">
        <f>IF(AND(vp.tbl[[#This Row],[CrudeType]]="Crude",vp.tbl[[#This Row],[Dens]]&lt;=825,vp.tbl[[#This Row],[Sulf]]&gt;0.5,vp.tbl[[#This Row],[Unknown]]=0),1,0)</f>
        <v>0</v>
      </c>
      <c r="AA1335">
        <f>IF(AND(vp.tbl[[#This Row],[CrudeType]]="Crude",vp.tbl[[#This Row],[Dens]]&lt;=825,vp.tbl[[#This Row],[Sulf]]&lt;=0.5,vp.tbl[[#This Row],[Unknown]]=0),1,0)</f>
        <v>0</v>
      </c>
      <c r="AB1335">
        <f>IF(AND(vp.tbl[[#This Row],[CrudeType]]="Crude",vp.tbl[[#This Row],[Dens]]&gt;825,vp.tbl[[#This Row],[Dens]]&lt;=870,vp.tbl[[#This Row],[Sulf]]&gt;0.5,vp.tbl[[#This Row],[Unknown]]=0),1,0)</f>
        <v>0</v>
      </c>
      <c r="AC1335">
        <f>IF(AND(vp.tbl[[#This Row],[CrudeType]]="Crude",vp.tbl[[#This Row],[Dens]]&gt;825,vp.tbl[[#This Row],[Dens]]&lt;=900,vp.tbl[[#This Row],[Sulf]]&lt;=0.5,vp.tbl[[#This Row],[Unknown]]=0),1,0)</f>
        <v>0</v>
      </c>
      <c r="AD1335">
        <f>IF(AND(vp.tbl[[#This Row],[CrudeType]]="Crude",vp.tbl[[#This Row],[Dens]]&gt;870,vp.tbl[[#This Row],[Dens]]&lt;=900,vp.tbl[[#This Row],[Sulf]]&gt;0.5,vp.tbl[[#This Row],[Unknown]]=0),1,0)</f>
        <v>0</v>
      </c>
      <c r="AE1335">
        <f>IF(AND(vp.tbl[[#This Row],[CrudeType]]="Crude",vp.tbl[[#This Row],[Dens]]&gt;900,vp.tbl[[#This Row],[Sulf]]&lt;=0.5,vp.tbl[[#This Row],[Unknown]]=0),1,0)</f>
        <v>0</v>
      </c>
      <c r="AF1335">
        <f>IF(AND(vp.tbl[[#This Row],[CrudeType]]="Crude",vp.tbl[[#This Row],[Dens]]&gt;900,vp.tbl[[#This Row],[Sulf]]&lt;=0.5,vp.tbl[[#This Row],[Unknown]]=0),1,0)</f>
        <v>0</v>
      </c>
      <c r="AG1335" t="str">
        <f>INDEX(vp.tbl[[#Headers],[Unknown]:[Heavy_SW]],MATCH(1,vp.tbl[[#This Row],[Unknown]:[Heavy_SW]],0))</f>
        <v>C5</v>
      </c>
      <c r="AH1335" t="e">
        <f>INDEX([1]!crudeBD.lkup[Number],MATCH(vp.tbl[[#This Row],[Crude_Breakdown]],[1]!crudeBD.lkup[Crude Breakdown],0))</f>
        <v>#REF!</v>
      </c>
      <c r="AI1335">
        <f>MONTH(vp.tbl[[#This Row],[SDate]])</f>
        <v>4</v>
      </c>
      <c r="AJ1335" s="5">
        <f>IFERROR(vp.tbl[[#This Row],[Sulf]]*vp.tbl[[#This Row],[Net Dens]],"")</f>
        <v>0</v>
      </c>
      <c r="AK1335" s="5">
        <f>IFERROR(vp.tbl[[#This Row],[Dens]]*vp.tbl[[#This Row],[VolumeM3]],"")</f>
        <v>21483.835000000003</v>
      </c>
      <c r="AL1335" s="5">
        <f>IFERROR(vp.tbl[[#This Row],[VP]]*vp.tbl[[#This Row],[VolumeM3]],"")</f>
        <v>3496.3560000000002</v>
      </c>
      <c r="AM1335" s="4">
        <f>IFERROR((vp.tbl[[#This Row],[VP]]-INDEX(crudeBD.lkup.complete[Mean_VP],MATCH(vp.tbl[[#This Row],[Crude_Breakdown]],crudeBD.lkup.complete[Crude Breakdown],0)))^2,"")</f>
        <v>1.4902490587696129</v>
      </c>
      <c r="AN1335" s="4">
        <f>IFERROR((vp.tbl[[#This Row],[Dens]]-INDEX(crudeBD.lkup.complete[Mean_Dens],MATCH(vp.tbl[[#This Row],[Crude_Breakdown]],crudeBD.lkup.complete[Crude Breakdown],0)))^2,"")</f>
        <v>274.77080828742112</v>
      </c>
      <c r="AO1335" s="4">
        <f>IFERROR((vp.tbl[[#This Row],[Sulf]]-INDEX(crudeBD.lkup.complete[Mean_Sulf],MATCH(vp.tbl[[#This Row],[Crude_Breakdown]],crudeBD.lkup.complete[Crude Breakdown],0)))^2,"")</f>
        <v>0</v>
      </c>
      <c r="AP1335">
        <f>IF(AND(vp.tbl[[#This Row],[SDate]]&gt;=DATE(YEAR(vp.tbl[[#This Row],[SDate]]),5,1),vp.tbl[[#This Row],[SDate]]&lt;=DATE(YEAR(vp.tbl[[#This Row],[SDate]]),9,15)),1,0)</f>
        <v>0</v>
      </c>
      <c r="AQ1335" s="15">
        <f>IF(vp.tbl[[#This Row],[SDate]]&lt;DATE(2016,12,1),0,1)</f>
        <v>1</v>
      </c>
    </row>
    <row r="1336" spans="1:43" x14ac:dyDescent="0.25">
      <c r="A1336">
        <v>1335</v>
      </c>
      <c r="B1336" t="s">
        <v>275</v>
      </c>
      <c r="C1336" t="s">
        <v>276</v>
      </c>
      <c r="D1336" t="s">
        <v>277</v>
      </c>
      <c r="E1336">
        <v>324933</v>
      </c>
      <c r="F1336" s="1">
        <v>42837</v>
      </c>
      <c r="G1336" s="2">
        <v>95.2</v>
      </c>
      <c r="H1336" s="2">
        <v>0</v>
      </c>
      <c r="I1336" s="2">
        <v>0</v>
      </c>
      <c r="J1336" s="2">
        <v>16.3</v>
      </c>
      <c r="K1336" s="2">
        <v>15</v>
      </c>
      <c r="L1336" s="2">
        <v>661.6</v>
      </c>
      <c r="M1336" s="2">
        <v>661.6</v>
      </c>
      <c r="N1336" s="2">
        <f ca="1">INDEX(INDIRECT(_xlfn.CONCAT("weather.tbl[",N$1,"]")),MATCH(vp.tbl[[#This Row],[SDate]],weather.tbl[Date],0))</f>
        <v>6.0166666666666666</v>
      </c>
      <c r="O1336" s="2">
        <f ca="1">INDEX(INDIRECT(_xlfn.CONCAT("weather.tbl[",O$1,"]")),MATCH(vp.tbl[[#This Row],[SDate]],weather.tbl[Date],0))</f>
        <v>6.2952380952380951</v>
      </c>
      <c r="P1336" s="2">
        <f ca="1">INDEX(INDIRECT(_xlfn.CONCAT("weather.tbl[",P$1,"]")),MATCH(vp.tbl[[#This Row],[SDate]],weather.tbl[Date],0))</f>
        <v>6.2</v>
      </c>
      <c r="Q1336" s="2">
        <f ca="1">INDEX(INDIRECT(_xlfn.CONCAT("weather.tbl[",Q$1,"]")),MATCH(vp.tbl[[#This Row],[SDate]],weather.tbl[Date],0))</f>
        <v>5.4</v>
      </c>
      <c r="R1336" s="2">
        <f ca="1">INDEX(INDIRECT(_xlfn.CONCAT("weather.tbl[",R$1,"]")),MATCH(vp.tbl[[#This Row],[SDate]],weather.tbl[Date],0))</f>
        <v>6</v>
      </c>
      <c r="S1336" s="2">
        <f ca="1">INDEX(INDIRECT(_xlfn.CONCAT("weather.tbl[",S$1,"]")),MATCH(vp.tbl[[#This Row],[SDate]],weather.tbl[Date],0))</f>
        <v>5.7</v>
      </c>
      <c r="T1336" s="2">
        <f ca="1">INDEX(INDIRECT(_xlfn.CONCAT("weather.tbl[",T$1,"]")),MATCH(vp.tbl[[#This Row],[SDate]],weather.tbl[Date],0))</f>
        <v>6.8</v>
      </c>
      <c r="U1336" s="2">
        <f ca="1">INDEX(INDIRECT(_xlfn.CONCAT("weather.tbl[",U$1,"]")),MATCH(vp.tbl[[#This Row],[SDate]],weather.tbl[Date],0))</f>
        <v>6</v>
      </c>
      <c r="V1336" s="2">
        <v>34.020000000000003</v>
      </c>
      <c r="W1336" t="s">
        <v>268</v>
      </c>
      <c r="X1336">
        <f>IF(OR(vp.tbl[[#This Row],[Sulf]]="",vp.tbl[[#This Row],[Dens]]=""),1,0)</f>
        <v>0</v>
      </c>
      <c r="Y1336">
        <f>IF(vp.tbl[[#This Row],[CrudeType]]="C5+",1,0)</f>
        <v>1</v>
      </c>
      <c r="Z1336">
        <f>IF(AND(vp.tbl[[#This Row],[CrudeType]]="Crude",vp.tbl[[#This Row],[Dens]]&lt;=825,vp.tbl[[#This Row],[Sulf]]&gt;0.5,vp.tbl[[#This Row],[Unknown]]=0),1,0)</f>
        <v>0</v>
      </c>
      <c r="AA1336">
        <f>IF(AND(vp.tbl[[#This Row],[CrudeType]]="Crude",vp.tbl[[#This Row],[Dens]]&lt;=825,vp.tbl[[#This Row],[Sulf]]&lt;=0.5,vp.tbl[[#This Row],[Unknown]]=0),1,0)</f>
        <v>0</v>
      </c>
      <c r="AB1336">
        <f>IF(AND(vp.tbl[[#This Row],[CrudeType]]="Crude",vp.tbl[[#This Row],[Dens]]&gt;825,vp.tbl[[#This Row],[Dens]]&lt;=870,vp.tbl[[#This Row],[Sulf]]&gt;0.5,vp.tbl[[#This Row],[Unknown]]=0),1,0)</f>
        <v>0</v>
      </c>
      <c r="AC1336">
        <f>IF(AND(vp.tbl[[#This Row],[CrudeType]]="Crude",vp.tbl[[#This Row],[Dens]]&gt;825,vp.tbl[[#This Row],[Dens]]&lt;=900,vp.tbl[[#This Row],[Sulf]]&lt;=0.5,vp.tbl[[#This Row],[Unknown]]=0),1,0)</f>
        <v>0</v>
      </c>
      <c r="AD1336">
        <f>IF(AND(vp.tbl[[#This Row],[CrudeType]]="Crude",vp.tbl[[#This Row],[Dens]]&gt;870,vp.tbl[[#This Row],[Dens]]&lt;=900,vp.tbl[[#This Row],[Sulf]]&gt;0.5,vp.tbl[[#This Row],[Unknown]]=0),1,0)</f>
        <v>0</v>
      </c>
      <c r="AE1336">
        <f>IF(AND(vp.tbl[[#This Row],[CrudeType]]="Crude",vp.tbl[[#This Row],[Dens]]&gt;900,vp.tbl[[#This Row],[Sulf]]&lt;=0.5,vp.tbl[[#This Row],[Unknown]]=0),1,0)</f>
        <v>0</v>
      </c>
      <c r="AF1336">
        <f>IF(AND(vp.tbl[[#This Row],[CrudeType]]="Crude",vp.tbl[[#This Row],[Dens]]&gt;900,vp.tbl[[#This Row],[Sulf]]&lt;=0.5,vp.tbl[[#This Row],[Unknown]]=0),1,0)</f>
        <v>0</v>
      </c>
      <c r="AG1336" t="str">
        <f>INDEX(vp.tbl[[#Headers],[Unknown]:[Heavy_SW]],MATCH(1,vp.tbl[[#This Row],[Unknown]:[Heavy_SW]],0))</f>
        <v>C5</v>
      </c>
      <c r="AH1336" t="e">
        <f>INDEX([1]!crudeBD.lkup[Number],MATCH(vp.tbl[[#This Row],[Crude_Breakdown]],[1]!crudeBD.lkup[Crude Breakdown],0))</f>
        <v>#REF!</v>
      </c>
      <c r="AI1336">
        <f>MONTH(vp.tbl[[#This Row],[SDate]])</f>
        <v>4</v>
      </c>
      <c r="AJ1336" s="5">
        <f>IFERROR(vp.tbl[[#This Row],[Sulf]]*vp.tbl[[#This Row],[Net Dens]],"")</f>
        <v>0</v>
      </c>
      <c r="AK1336" s="5">
        <f>IFERROR(vp.tbl[[#This Row],[Dens]]*vp.tbl[[#This Row],[VolumeM3]],"")</f>
        <v>22507.632000000001</v>
      </c>
      <c r="AL1336" s="5">
        <f>IFERROR(vp.tbl[[#This Row],[VP]]*vp.tbl[[#This Row],[VolumeM3]],"")</f>
        <v>3238.7040000000002</v>
      </c>
      <c r="AM1336" s="4">
        <f>IFERROR((vp.tbl[[#This Row],[VP]]-INDEX(crudeBD.lkup.complete[Mean_VP],MATCH(vp.tbl[[#This Row],[Crude_Breakdown]],crudeBD.lkup.complete[Crude Breakdown],0)))^2,"")</f>
        <v>63.668309664829515</v>
      </c>
      <c r="AN1336" s="4">
        <f>IFERROR((vp.tbl[[#This Row],[Dens]]-INDEX(crudeBD.lkup.complete[Mean_Dens],MATCH(vp.tbl[[#This Row],[Crude_Breakdown]],crudeBD.lkup.complete[Crude Breakdown],0)))^2,"")</f>
        <v>12.417081014692226</v>
      </c>
      <c r="AO1336" s="4">
        <f>IFERROR((vp.tbl[[#This Row],[Sulf]]-INDEX(crudeBD.lkup.complete[Mean_Sulf],MATCH(vp.tbl[[#This Row],[Crude_Breakdown]],crudeBD.lkup.complete[Crude Breakdown],0)))^2,"")</f>
        <v>0</v>
      </c>
      <c r="AP1336">
        <f>IF(AND(vp.tbl[[#This Row],[SDate]]&gt;=DATE(YEAR(vp.tbl[[#This Row],[SDate]]),5,1),vp.tbl[[#This Row],[SDate]]&lt;=DATE(YEAR(vp.tbl[[#This Row],[SDate]]),9,15)),1,0)</f>
        <v>0</v>
      </c>
      <c r="AQ1336" s="15">
        <f>IF(vp.tbl[[#This Row],[SDate]]&lt;DATE(2016,12,1),0,1)</f>
        <v>1</v>
      </c>
    </row>
    <row r="1337" spans="1:43" x14ac:dyDescent="0.25">
      <c r="A1337">
        <v>1336</v>
      </c>
      <c r="B1337" t="s">
        <v>269</v>
      </c>
      <c r="C1337" t="s">
        <v>270</v>
      </c>
      <c r="D1337" t="s">
        <v>271</v>
      </c>
      <c r="E1337">
        <v>324930</v>
      </c>
      <c r="F1337" s="1">
        <v>42837</v>
      </c>
      <c r="G1337" s="2">
        <v>101.2</v>
      </c>
      <c r="H1337" s="2">
        <v>0</v>
      </c>
      <c r="I1337" s="2">
        <v>0</v>
      </c>
      <c r="J1337" s="2">
        <v>12.9</v>
      </c>
      <c r="K1337" s="2">
        <v>15</v>
      </c>
      <c r="L1337" s="2">
        <v>657</v>
      </c>
      <c r="M1337" s="2">
        <v>657</v>
      </c>
      <c r="N1337" s="2">
        <f ca="1">INDEX(INDIRECT(_xlfn.CONCAT("weather.tbl[",N$1,"]")),MATCH(vp.tbl[[#This Row],[SDate]],weather.tbl[Date],0))</f>
        <v>6.0166666666666666</v>
      </c>
      <c r="O1337" s="2">
        <f ca="1">INDEX(INDIRECT(_xlfn.CONCAT("weather.tbl[",O$1,"]")),MATCH(vp.tbl[[#This Row],[SDate]],weather.tbl[Date],0))</f>
        <v>6.2952380952380951</v>
      </c>
      <c r="P1337" s="2">
        <f ca="1">INDEX(INDIRECT(_xlfn.CONCAT("weather.tbl[",P$1,"]")),MATCH(vp.tbl[[#This Row],[SDate]],weather.tbl[Date],0))</f>
        <v>6.2</v>
      </c>
      <c r="Q1337" s="2">
        <f ca="1">INDEX(INDIRECT(_xlfn.CONCAT("weather.tbl[",Q$1,"]")),MATCH(vp.tbl[[#This Row],[SDate]],weather.tbl[Date],0))</f>
        <v>5.4</v>
      </c>
      <c r="R1337" s="2">
        <f ca="1">INDEX(INDIRECT(_xlfn.CONCAT("weather.tbl[",R$1,"]")),MATCH(vp.tbl[[#This Row],[SDate]],weather.tbl[Date],0))</f>
        <v>6</v>
      </c>
      <c r="S1337" s="2">
        <f ca="1">INDEX(INDIRECT(_xlfn.CONCAT("weather.tbl[",S$1,"]")),MATCH(vp.tbl[[#This Row],[SDate]],weather.tbl[Date],0))</f>
        <v>5.7</v>
      </c>
      <c r="T1337" s="2">
        <f ca="1">INDEX(INDIRECT(_xlfn.CONCAT("weather.tbl[",T$1,"]")),MATCH(vp.tbl[[#This Row],[SDate]],weather.tbl[Date],0))</f>
        <v>6.8</v>
      </c>
      <c r="U1337" s="2">
        <f ca="1">INDEX(INDIRECT(_xlfn.CONCAT("weather.tbl[",U$1,"]")),MATCH(vp.tbl[[#This Row],[SDate]],weather.tbl[Date],0))</f>
        <v>6</v>
      </c>
      <c r="V1337" s="2">
        <v>41.77</v>
      </c>
      <c r="W1337" t="s">
        <v>268</v>
      </c>
      <c r="X1337">
        <f>IF(OR(vp.tbl[[#This Row],[Sulf]]="",vp.tbl[[#This Row],[Dens]]=""),1,0)</f>
        <v>0</v>
      </c>
      <c r="Y1337">
        <f>IF(vp.tbl[[#This Row],[CrudeType]]="C5+",1,0)</f>
        <v>1</v>
      </c>
      <c r="Z1337">
        <f>IF(AND(vp.tbl[[#This Row],[CrudeType]]="Crude",vp.tbl[[#This Row],[Dens]]&lt;=825,vp.tbl[[#This Row],[Sulf]]&gt;0.5,vp.tbl[[#This Row],[Unknown]]=0),1,0)</f>
        <v>0</v>
      </c>
      <c r="AA1337">
        <f>IF(AND(vp.tbl[[#This Row],[CrudeType]]="Crude",vp.tbl[[#This Row],[Dens]]&lt;=825,vp.tbl[[#This Row],[Sulf]]&lt;=0.5,vp.tbl[[#This Row],[Unknown]]=0),1,0)</f>
        <v>0</v>
      </c>
      <c r="AB1337">
        <f>IF(AND(vp.tbl[[#This Row],[CrudeType]]="Crude",vp.tbl[[#This Row],[Dens]]&gt;825,vp.tbl[[#This Row],[Dens]]&lt;=870,vp.tbl[[#This Row],[Sulf]]&gt;0.5,vp.tbl[[#This Row],[Unknown]]=0),1,0)</f>
        <v>0</v>
      </c>
      <c r="AC1337">
        <f>IF(AND(vp.tbl[[#This Row],[CrudeType]]="Crude",vp.tbl[[#This Row],[Dens]]&gt;825,vp.tbl[[#This Row],[Dens]]&lt;=900,vp.tbl[[#This Row],[Sulf]]&lt;=0.5,vp.tbl[[#This Row],[Unknown]]=0),1,0)</f>
        <v>0</v>
      </c>
      <c r="AD1337">
        <f>IF(AND(vp.tbl[[#This Row],[CrudeType]]="Crude",vp.tbl[[#This Row],[Dens]]&gt;870,vp.tbl[[#This Row],[Dens]]&lt;=900,vp.tbl[[#This Row],[Sulf]]&gt;0.5,vp.tbl[[#This Row],[Unknown]]=0),1,0)</f>
        <v>0</v>
      </c>
      <c r="AE1337">
        <f>IF(AND(vp.tbl[[#This Row],[CrudeType]]="Crude",vp.tbl[[#This Row],[Dens]]&gt;900,vp.tbl[[#This Row],[Sulf]]&lt;=0.5,vp.tbl[[#This Row],[Unknown]]=0),1,0)</f>
        <v>0</v>
      </c>
      <c r="AF1337">
        <f>IF(AND(vp.tbl[[#This Row],[CrudeType]]="Crude",vp.tbl[[#This Row],[Dens]]&gt;900,vp.tbl[[#This Row],[Sulf]]&lt;=0.5,vp.tbl[[#This Row],[Unknown]]=0),1,0)</f>
        <v>0</v>
      </c>
      <c r="AG1337" t="str">
        <f>INDEX(vp.tbl[[#Headers],[Unknown]:[Heavy_SW]],MATCH(1,vp.tbl[[#This Row],[Unknown]:[Heavy_SW]],0))</f>
        <v>C5</v>
      </c>
      <c r="AH1337" t="e">
        <f>INDEX([1]!crudeBD.lkup[Number],MATCH(vp.tbl[[#This Row],[Crude_Breakdown]],[1]!crudeBD.lkup[Crude Breakdown],0))</f>
        <v>#REF!</v>
      </c>
      <c r="AI1337">
        <f>MONTH(vp.tbl[[#This Row],[SDate]])</f>
        <v>4</v>
      </c>
      <c r="AJ1337" s="5">
        <f>IFERROR(vp.tbl[[#This Row],[Sulf]]*vp.tbl[[#This Row],[Net Dens]],"")</f>
        <v>0</v>
      </c>
      <c r="AK1337" s="5">
        <f>IFERROR(vp.tbl[[#This Row],[Dens]]*vp.tbl[[#This Row],[VolumeM3]],"")</f>
        <v>27442.890000000003</v>
      </c>
      <c r="AL1337" s="5">
        <f>IFERROR(vp.tbl[[#This Row],[VP]]*vp.tbl[[#This Row],[VolumeM3]],"")</f>
        <v>4227.1240000000007</v>
      </c>
      <c r="AM1337" s="4">
        <f>IFERROR((vp.tbl[[#This Row],[VP]]-INDEX(crudeBD.lkup.complete[Mean_VP],MATCH(vp.tbl[[#This Row],[Crude_Breakdown]],crudeBD.lkup.complete[Crude Breakdown],0)))^2,"")</f>
        <v>3.9174005739208781</v>
      </c>
      <c r="AN1337" s="4">
        <f>IFERROR((vp.tbl[[#This Row],[Dens]]-INDEX(crudeBD.lkup.complete[Mean_Dens],MATCH(vp.tbl[[#This Row],[Crude_Breakdown]],crudeBD.lkup.complete[Crude Breakdown],0)))^2,"")</f>
        <v>1.1582325298439891</v>
      </c>
      <c r="AO1337" s="4">
        <f>IFERROR((vp.tbl[[#This Row],[Sulf]]-INDEX(crudeBD.lkup.complete[Mean_Sulf],MATCH(vp.tbl[[#This Row],[Crude_Breakdown]],crudeBD.lkup.complete[Crude Breakdown],0)))^2,"")</f>
        <v>0</v>
      </c>
      <c r="AP1337">
        <f>IF(AND(vp.tbl[[#This Row],[SDate]]&gt;=DATE(YEAR(vp.tbl[[#This Row],[SDate]]),5,1),vp.tbl[[#This Row],[SDate]]&lt;=DATE(YEAR(vp.tbl[[#This Row],[SDate]]),9,15)),1,0)</f>
        <v>0</v>
      </c>
      <c r="AQ1337" s="15">
        <f>IF(vp.tbl[[#This Row],[SDate]]&lt;DATE(2016,12,1),0,1)</f>
        <v>1</v>
      </c>
    </row>
    <row r="1338" spans="1:43" x14ac:dyDescent="0.25">
      <c r="A1338">
        <v>1337</v>
      </c>
      <c r="B1338" t="s">
        <v>284</v>
      </c>
      <c r="C1338" t="s">
        <v>266</v>
      </c>
      <c r="D1338" t="s">
        <v>267</v>
      </c>
      <c r="E1338">
        <v>324923</v>
      </c>
      <c r="F1338" s="1">
        <v>42837</v>
      </c>
      <c r="G1338" s="2">
        <v>95.9</v>
      </c>
      <c r="H1338" s="2">
        <v>0</v>
      </c>
      <c r="I1338" s="2">
        <v>0</v>
      </c>
      <c r="J1338" s="2">
        <v>10.210000000000001</v>
      </c>
      <c r="K1338" s="2">
        <v>15</v>
      </c>
      <c r="L1338" s="2">
        <v>665.93</v>
      </c>
      <c r="M1338" s="2">
        <v>665.93</v>
      </c>
      <c r="N1338" s="2">
        <f ca="1">INDEX(INDIRECT(_xlfn.CONCAT("weather.tbl[",N$1,"]")),MATCH(vp.tbl[[#This Row],[SDate]],weather.tbl[Date],0))</f>
        <v>6.0166666666666666</v>
      </c>
      <c r="O1338" s="2">
        <f ca="1">INDEX(INDIRECT(_xlfn.CONCAT("weather.tbl[",O$1,"]")),MATCH(vp.tbl[[#This Row],[SDate]],weather.tbl[Date],0))</f>
        <v>6.2952380952380951</v>
      </c>
      <c r="P1338" s="2">
        <f ca="1">INDEX(INDIRECT(_xlfn.CONCAT("weather.tbl[",P$1,"]")),MATCH(vp.tbl[[#This Row],[SDate]],weather.tbl[Date],0))</f>
        <v>6.2</v>
      </c>
      <c r="Q1338" s="2">
        <f ca="1">INDEX(INDIRECT(_xlfn.CONCAT("weather.tbl[",Q$1,"]")),MATCH(vp.tbl[[#This Row],[SDate]],weather.tbl[Date],0))</f>
        <v>5.4</v>
      </c>
      <c r="R1338" s="2">
        <f ca="1">INDEX(INDIRECT(_xlfn.CONCAT("weather.tbl[",R$1,"]")),MATCH(vp.tbl[[#This Row],[SDate]],weather.tbl[Date],0))</f>
        <v>6</v>
      </c>
      <c r="S1338" s="2">
        <f ca="1">INDEX(INDIRECT(_xlfn.CONCAT("weather.tbl[",S$1,"]")),MATCH(vp.tbl[[#This Row],[SDate]],weather.tbl[Date],0))</f>
        <v>5.7</v>
      </c>
      <c r="T1338" s="2">
        <f ca="1">INDEX(INDIRECT(_xlfn.CONCAT("weather.tbl[",T$1,"]")),MATCH(vp.tbl[[#This Row],[SDate]],weather.tbl[Date],0))</f>
        <v>6.8</v>
      </c>
      <c r="U1338" s="2">
        <f ca="1">INDEX(INDIRECT(_xlfn.CONCAT("weather.tbl[",U$1,"]")),MATCH(vp.tbl[[#This Row],[SDate]],weather.tbl[Date],0))</f>
        <v>6</v>
      </c>
      <c r="V1338" s="2">
        <v>26.94</v>
      </c>
      <c r="W1338" t="s">
        <v>268</v>
      </c>
      <c r="X1338">
        <f>IF(OR(vp.tbl[[#This Row],[Sulf]]="",vp.tbl[[#This Row],[Dens]]=""),1,0)</f>
        <v>0</v>
      </c>
      <c r="Y1338">
        <f>IF(vp.tbl[[#This Row],[CrudeType]]="C5+",1,0)</f>
        <v>1</v>
      </c>
      <c r="Z1338">
        <f>IF(AND(vp.tbl[[#This Row],[CrudeType]]="Crude",vp.tbl[[#This Row],[Dens]]&lt;=825,vp.tbl[[#This Row],[Sulf]]&gt;0.5,vp.tbl[[#This Row],[Unknown]]=0),1,0)</f>
        <v>0</v>
      </c>
      <c r="AA1338">
        <f>IF(AND(vp.tbl[[#This Row],[CrudeType]]="Crude",vp.tbl[[#This Row],[Dens]]&lt;=825,vp.tbl[[#This Row],[Sulf]]&lt;=0.5,vp.tbl[[#This Row],[Unknown]]=0),1,0)</f>
        <v>0</v>
      </c>
      <c r="AB1338">
        <f>IF(AND(vp.tbl[[#This Row],[CrudeType]]="Crude",vp.tbl[[#This Row],[Dens]]&gt;825,vp.tbl[[#This Row],[Dens]]&lt;=870,vp.tbl[[#This Row],[Sulf]]&gt;0.5,vp.tbl[[#This Row],[Unknown]]=0),1,0)</f>
        <v>0</v>
      </c>
      <c r="AC1338">
        <f>IF(AND(vp.tbl[[#This Row],[CrudeType]]="Crude",vp.tbl[[#This Row],[Dens]]&gt;825,vp.tbl[[#This Row],[Dens]]&lt;=900,vp.tbl[[#This Row],[Sulf]]&lt;=0.5,vp.tbl[[#This Row],[Unknown]]=0),1,0)</f>
        <v>0</v>
      </c>
      <c r="AD1338">
        <f>IF(AND(vp.tbl[[#This Row],[CrudeType]]="Crude",vp.tbl[[#This Row],[Dens]]&gt;870,vp.tbl[[#This Row],[Dens]]&lt;=900,vp.tbl[[#This Row],[Sulf]]&gt;0.5,vp.tbl[[#This Row],[Unknown]]=0),1,0)</f>
        <v>0</v>
      </c>
      <c r="AE1338">
        <f>IF(AND(vp.tbl[[#This Row],[CrudeType]]="Crude",vp.tbl[[#This Row],[Dens]]&gt;900,vp.tbl[[#This Row],[Sulf]]&lt;=0.5,vp.tbl[[#This Row],[Unknown]]=0),1,0)</f>
        <v>0</v>
      </c>
      <c r="AF1338">
        <f>IF(AND(vp.tbl[[#This Row],[CrudeType]]="Crude",vp.tbl[[#This Row],[Dens]]&gt;900,vp.tbl[[#This Row],[Sulf]]&lt;=0.5,vp.tbl[[#This Row],[Unknown]]=0),1,0)</f>
        <v>0</v>
      </c>
      <c r="AG1338" t="str">
        <f>INDEX(vp.tbl[[#Headers],[Unknown]:[Heavy_SW]],MATCH(1,vp.tbl[[#This Row],[Unknown]:[Heavy_SW]],0))</f>
        <v>C5</v>
      </c>
      <c r="AH1338" t="e">
        <f>INDEX([1]!crudeBD.lkup[Number],MATCH(vp.tbl[[#This Row],[Crude_Breakdown]],[1]!crudeBD.lkup[Crude Breakdown],0))</f>
        <v>#REF!</v>
      </c>
      <c r="AI1338">
        <f>MONTH(vp.tbl[[#This Row],[SDate]])</f>
        <v>4</v>
      </c>
      <c r="AJ1338" s="5">
        <f>IFERROR(vp.tbl[[#This Row],[Sulf]]*vp.tbl[[#This Row],[Net Dens]],"")</f>
        <v>0</v>
      </c>
      <c r="AK1338" s="5">
        <f>IFERROR(vp.tbl[[#This Row],[Dens]]*vp.tbl[[#This Row],[VolumeM3]],"")</f>
        <v>17940.154200000001</v>
      </c>
      <c r="AL1338" s="5">
        <f>IFERROR(vp.tbl[[#This Row],[VP]]*vp.tbl[[#This Row],[VolumeM3]],"")</f>
        <v>2583.5460000000003</v>
      </c>
      <c r="AM1338" s="4">
        <f>IFERROR((vp.tbl[[#This Row],[VP]]-INDEX(crudeBD.lkup.complete[Mean_VP],MATCH(vp.tbl[[#This Row],[Crude_Breakdown]],crudeBD.lkup.complete[Crude Breakdown],0)))^2,"")</f>
        <v>52.987370270890132</v>
      </c>
      <c r="AN1338" s="4">
        <f>IFERROR((vp.tbl[[#This Row],[Dens]]-INDEX(crudeBD.lkup.complete[Mean_Dens],MATCH(vp.tbl[[#This Row],[Crude_Breakdown]],crudeBD.lkup.complete[Crude Breakdown],0)))^2,"")</f>
        <v>61.681984044993925</v>
      </c>
      <c r="AO1338" s="4">
        <f>IFERROR((vp.tbl[[#This Row],[Sulf]]-INDEX(crudeBD.lkup.complete[Mean_Sulf],MATCH(vp.tbl[[#This Row],[Crude_Breakdown]],crudeBD.lkup.complete[Crude Breakdown],0)))^2,"")</f>
        <v>0</v>
      </c>
      <c r="AP1338">
        <f>IF(AND(vp.tbl[[#This Row],[SDate]]&gt;=DATE(YEAR(vp.tbl[[#This Row],[SDate]]),5,1),vp.tbl[[#This Row],[SDate]]&lt;=DATE(YEAR(vp.tbl[[#This Row],[SDate]]),9,15)),1,0)</f>
        <v>0</v>
      </c>
      <c r="AQ1338" s="15">
        <f>IF(vp.tbl[[#This Row],[SDate]]&lt;DATE(2016,12,1),0,1)</f>
        <v>1</v>
      </c>
    </row>
    <row r="1339" spans="1:43" x14ac:dyDescent="0.25">
      <c r="A1339">
        <v>1338</v>
      </c>
      <c r="B1339" t="s">
        <v>272</v>
      </c>
      <c r="C1339" t="s">
        <v>282</v>
      </c>
      <c r="D1339" t="s">
        <v>283</v>
      </c>
      <c r="E1339">
        <v>325467</v>
      </c>
      <c r="F1339" s="1">
        <v>42840</v>
      </c>
      <c r="G1339" s="2">
        <v>107.8</v>
      </c>
      <c r="H1339" s="2">
        <v>0</v>
      </c>
      <c r="I1339" s="2">
        <v>0</v>
      </c>
      <c r="J1339" s="2">
        <v>13</v>
      </c>
      <c r="K1339" s="2">
        <v>6</v>
      </c>
      <c r="L1339" s="2">
        <v>630.20000000000005</v>
      </c>
      <c r="M1339" s="2">
        <v>630.20000000000005</v>
      </c>
      <c r="N1339" s="2">
        <f ca="1">INDEX(INDIRECT(_xlfn.CONCAT("weather.tbl[",N$1,"]")),MATCH(vp.tbl[[#This Row],[SDate]],weather.tbl[Date],0))</f>
        <v>6.4499999999999993</v>
      </c>
      <c r="O1339" s="2">
        <f ca="1">INDEX(INDIRECT(_xlfn.CONCAT("weather.tbl[",O$1,"]")),MATCH(vp.tbl[[#This Row],[SDate]],weather.tbl[Date],0))</f>
        <v>5.9380952380952374</v>
      </c>
      <c r="P1339" s="2">
        <f ca="1">INDEX(INDIRECT(_xlfn.CONCAT("weather.tbl[",P$1,"]")),MATCH(vp.tbl[[#This Row],[SDate]],weather.tbl[Date],0))</f>
        <v>6.7</v>
      </c>
      <c r="Q1339" s="2">
        <f ca="1">INDEX(INDIRECT(_xlfn.CONCAT("weather.tbl[",Q$1,"]")),MATCH(vp.tbl[[#This Row],[SDate]],weather.tbl[Date],0))</f>
        <v>4.8</v>
      </c>
      <c r="R1339" s="2">
        <f ca="1">INDEX(INDIRECT(_xlfn.CONCAT("weather.tbl[",R$1,"]")),MATCH(vp.tbl[[#This Row],[SDate]],weather.tbl[Date],0))</f>
        <v>6</v>
      </c>
      <c r="S1339" s="2">
        <f ca="1">INDEX(INDIRECT(_xlfn.CONCAT("weather.tbl[",S$1,"]")),MATCH(vp.tbl[[#This Row],[SDate]],weather.tbl[Date],0))</f>
        <v>6.4</v>
      </c>
      <c r="T1339" s="2">
        <f ca="1">INDEX(INDIRECT(_xlfn.CONCAT("weather.tbl[",T$1,"]")),MATCH(vp.tbl[[#This Row],[SDate]],weather.tbl[Date],0))</f>
        <v>8.5</v>
      </c>
      <c r="U1339" s="2">
        <f ca="1">INDEX(INDIRECT(_xlfn.CONCAT("weather.tbl[",U$1,"]")),MATCH(vp.tbl[[#This Row],[SDate]],weather.tbl[Date],0))</f>
        <v>6.3</v>
      </c>
      <c r="V1339" s="2">
        <v>38.22</v>
      </c>
      <c r="W1339" t="s">
        <v>268</v>
      </c>
      <c r="X1339">
        <f>IF(OR(vp.tbl[[#This Row],[Sulf]]="",vp.tbl[[#This Row],[Dens]]=""),1,0)</f>
        <v>0</v>
      </c>
      <c r="Y1339">
        <f>IF(vp.tbl[[#This Row],[CrudeType]]="C5+",1,0)</f>
        <v>1</v>
      </c>
      <c r="Z1339">
        <f>IF(AND(vp.tbl[[#This Row],[CrudeType]]="Crude",vp.tbl[[#This Row],[Dens]]&lt;=825,vp.tbl[[#This Row],[Sulf]]&gt;0.5,vp.tbl[[#This Row],[Unknown]]=0),1,0)</f>
        <v>0</v>
      </c>
      <c r="AA1339">
        <f>IF(AND(vp.tbl[[#This Row],[CrudeType]]="Crude",vp.tbl[[#This Row],[Dens]]&lt;=825,vp.tbl[[#This Row],[Sulf]]&lt;=0.5,vp.tbl[[#This Row],[Unknown]]=0),1,0)</f>
        <v>0</v>
      </c>
      <c r="AB1339">
        <f>IF(AND(vp.tbl[[#This Row],[CrudeType]]="Crude",vp.tbl[[#This Row],[Dens]]&gt;825,vp.tbl[[#This Row],[Dens]]&lt;=870,vp.tbl[[#This Row],[Sulf]]&gt;0.5,vp.tbl[[#This Row],[Unknown]]=0),1,0)</f>
        <v>0</v>
      </c>
      <c r="AC1339">
        <f>IF(AND(vp.tbl[[#This Row],[CrudeType]]="Crude",vp.tbl[[#This Row],[Dens]]&gt;825,vp.tbl[[#This Row],[Dens]]&lt;=900,vp.tbl[[#This Row],[Sulf]]&lt;=0.5,vp.tbl[[#This Row],[Unknown]]=0),1,0)</f>
        <v>0</v>
      </c>
      <c r="AD1339">
        <f>IF(AND(vp.tbl[[#This Row],[CrudeType]]="Crude",vp.tbl[[#This Row],[Dens]]&gt;870,vp.tbl[[#This Row],[Dens]]&lt;=900,vp.tbl[[#This Row],[Sulf]]&gt;0.5,vp.tbl[[#This Row],[Unknown]]=0),1,0)</f>
        <v>0</v>
      </c>
      <c r="AE1339">
        <f>IF(AND(vp.tbl[[#This Row],[CrudeType]]="Crude",vp.tbl[[#This Row],[Dens]]&gt;900,vp.tbl[[#This Row],[Sulf]]&lt;=0.5,vp.tbl[[#This Row],[Unknown]]=0),1,0)</f>
        <v>0</v>
      </c>
      <c r="AF1339">
        <f>IF(AND(vp.tbl[[#This Row],[CrudeType]]="Crude",vp.tbl[[#This Row],[Dens]]&gt;900,vp.tbl[[#This Row],[Sulf]]&lt;=0.5,vp.tbl[[#This Row],[Unknown]]=0),1,0)</f>
        <v>0</v>
      </c>
      <c r="AG1339" t="str">
        <f>INDEX(vp.tbl[[#Headers],[Unknown]:[Heavy_SW]],MATCH(1,vp.tbl[[#This Row],[Unknown]:[Heavy_SW]],0))</f>
        <v>C5</v>
      </c>
      <c r="AH1339" t="e">
        <f>INDEX([1]!crudeBD.lkup[Number],MATCH(vp.tbl[[#This Row],[Crude_Breakdown]],[1]!crudeBD.lkup[Crude Breakdown],0))</f>
        <v>#REF!</v>
      </c>
      <c r="AI1339">
        <f>MONTH(vp.tbl[[#This Row],[SDate]])</f>
        <v>4</v>
      </c>
      <c r="AJ1339" s="5">
        <f>IFERROR(vp.tbl[[#This Row],[Sulf]]*vp.tbl[[#This Row],[Net Dens]],"")</f>
        <v>0</v>
      </c>
      <c r="AK1339" s="5">
        <f>IFERROR(vp.tbl[[#This Row],[Dens]]*vp.tbl[[#This Row],[VolumeM3]],"")</f>
        <v>24086.244000000002</v>
      </c>
      <c r="AL1339" s="5">
        <f>IFERROR(vp.tbl[[#This Row],[VP]]*vp.tbl[[#This Row],[VolumeM3]],"")</f>
        <v>4120.116</v>
      </c>
      <c r="AM1339" s="4">
        <f>IFERROR((vp.tbl[[#This Row],[VP]]-INDEX(crudeBD.lkup.complete[Mean_VP],MATCH(vp.tbl[[#This Row],[Crude_Breakdown]],crudeBD.lkup.complete[Crude Breakdown],0)))^2,"")</f>
        <v>21.351400573921328</v>
      </c>
      <c r="AN1339" s="4">
        <f>IFERROR((vp.tbl[[#This Row],[Dens]]-INDEX(crudeBD.lkup.complete[Mean_Dens],MATCH(vp.tbl[[#This Row],[Crude_Breakdown]],crudeBD.lkup.complete[Crude Breakdown],0)))^2,"")</f>
        <v>777.08320222681357</v>
      </c>
      <c r="AO1339" s="4">
        <f>IFERROR((vp.tbl[[#This Row],[Sulf]]-INDEX(crudeBD.lkup.complete[Mean_Sulf],MATCH(vp.tbl[[#This Row],[Crude_Breakdown]],crudeBD.lkup.complete[Crude Breakdown],0)))^2,"")</f>
        <v>0</v>
      </c>
      <c r="AP1339">
        <f>IF(AND(vp.tbl[[#This Row],[SDate]]&gt;=DATE(YEAR(vp.tbl[[#This Row],[SDate]]),5,1),vp.tbl[[#This Row],[SDate]]&lt;=DATE(YEAR(vp.tbl[[#This Row],[SDate]]),9,15)),1,0)</f>
        <v>0</v>
      </c>
      <c r="AQ1339" s="15">
        <f>IF(vp.tbl[[#This Row],[SDate]]&lt;DATE(2016,12,1),0,1)</f>
        <v>1</v>
      </c>
    </row>
    <row r="1340" spans="1:43" x14ac:dyDescent="0.25">
      <c r="A1340">
        <v>1339</v>
      </c>
      <c r="B1340" t="s">
        <v>275</v>
      </c>
      <c r="C1340" t="s">
        <v>285</v>
      </c>
      <c r="D1340" t="s">
        <v>286</v>
      </c>
      <c r="E1340">
        <v>325363</v>
      </c>
      <c r="F1340" s="1">
        <v>42840</v>
      </c>
      <c r="G1340" s="2">
        <v>110.25</v>
      </c>
      <c r="H1340" s="2">
        <v>0</v>
      </c>
      <c r="I1340" s="2">
        <v>0</v>
      </c>
      <c r="J1340" s="2">
        <v>11.1</v>
      </c>
      <c r="K1340" s="2">
        <v>6</v>
      </c>
      <c r="L1340" s="2">
        <v>658.8</v>
      </c>
      <c r="M1340" s="2">
        <v>658.8</v>
      </c>
      <c r="N1340" s="2">
        <f ca="1">INDEX(INDIRECT(_xlfn.CONCAT("weather.tbl[",N$1,"]")),MATCH(vp.tbl[[#This Row],[SDate]],weather.tbl[Date],0))</f>
        <v>6.4499999999999993</v>
      </c>
      <c r="O1340" s="2">
        <f ca="1">INDEX(INDIRECT(_xlfn.CONCAT("weather.tbl[",O$1,"]")),MATCH(vp.tbl[[#This Row],[SDate]],weather.tbl[Date],0))</f>
        <v>5.9380952380952374</v>
      </c>
      <c r="P1340" s="2">
        <f ca="1">INDEX(INDIRECT(_xlfn.CONCAT("weather.tbl[",P$1,"]")),MATCH(vp.tbl[[#This Row],[SDate]],weather.tbl[Date],0))</f>
        <v>6.7</v>
      </c>
      <c r="Q1340" s="2">
        <f ca="1">INDEX(INDIRECT(_xlfn.CONCAT("weather.tbl[",Q$1,"]")),MATCH(vp.tbl[[#This Row],[SDate]],weather.tbl[Date],0))</f>
        <v>4.8</v>
      </c>
      <c r="R1340" s="2">
        <f ca="1">INDEX(INDIRECT(_xlfn.CONCAT("weather.tbl[",R$1,"]")),MATCH(vp.tbl[[#This Row],[SDate]],weather.tbl[Date],0))</f>
        <v>6</v>
      </c>
      <c r="S1340" s="2">
        <f ca="1">INDEX(INDIRECT(_xlfn.CONCAT("weather.tbl[",S$1,"]")),MATCH(vp.tbl[[#This Row],[SDate]],weather.tbl[Date],0))</f>
        <v>6.4</v>
      </c>
      <c r="T1340" s="2">
        <f ca="1">INDEX(INDIRECT(_xlfn.CONCAT("weather.tbl[",T$1,"]")),MATCH(vp.tbl[[#This Row],[SDate]],weather.tbl[Date],0))</f>
        <v>8.5</v>
      </c>
      <c r="U1340" s="2">
        <f ca="1">INDEX(INDIRECT(_xlfn.CONCAT("weather.tbl[",U$1,"]")),MATCH(vp.tbl[[#This Row],[SDate]],weather.tbl[Date],0))</f>
        <v>6.3</v>
      </c>
      <c r="V1340" s="2">
        <v>40.880000000000003</v>
      </c>
      <c r="W1340" t="s">
        <v>268</v>
      </c>
      <c r="X1340">
        <f>IF(OR(vp.tbl[[#This Row],[Sulf]]="",vp.tbl[[#This Row],[Dens]]=""),1,0)</f>
        <v>0</v>
      </c>
      <c r="Y1340">
        <f>IF(vp.tbl[[#This Row],[CrudeType]]="C5+",1,0)</f>
        <v>1</v>
      </c>
      <c r="Z1340">
        <f>IF(AND(vp.tbl[[#This Row],[CrudeType]]="Crude",vp.tbl[[#This Row],[Dens]]&lt;=825,vp.tbl[[#This Row],[Sulf]]&gt;0.5,vp.tbl[[#This Row],[Unknown]]=0),1,0)</f>
        <v>0</v>
      </c>
      <c r="AA1340">
        <f>IF(AND(vp.tbl[[#This Row],[CrudeType]]="Crude",vp.tbl[[#This Row],[Dens]]&lt;=825,vp.tbl[[#This Row],[Sulf]]&lt;=0.5,vp.tbl[[#This Row],[Unknown]]=0),1,0)</f>
        <v>0</v>
      </c>
      <c r="AB1340">
        <f>IF(AND(vp.tbl[[#This Row],[CrudeType]]="Crude",vp.tbl[[#This Row],[Dens]]&gt;825,vp.tbl[[#This Row],[Dens]]&lt;=870,vp.tbl[[#This Row],[Sulf]]&gt;0.5,vp.tbl[[#This Row],[Unknown]]=0),1,0)</f>
        <v>0</v>
      </c>
      <c r="AC1340">
        <f>IF(AND(vp.tbl[[#This Row],[CrudeType]]="Crude",vp.tbl[[#This Row],[Dens]]&gt;825,vp.tbl[[#This Row],[Dens]]&lt;=900,vp.tbl[[#This Row],[Sulf]]&lt;=0.5,vp.tbl[[#This Row],[Unknown]]=0),1,0)</f>
        <v>0</v>
      </c>
      <c r="AD1340">
        <f>IF(AND(vp.tbl[[#This Row],[CrudeType]]="Crude",vp.tbl[[#This Row],[Dens]]&gt;870,vp.tbl[[#This Row],[Dens]]&lt;=900,vp.tbl[[#This Row],[Sulf]]&gt;0.5,vp.tbl[[#This Row],[Unknown]]=0),1,0)</f>
        <v>0</v>
      </c>
      <c r="AE1340">
        <f>IF(AND(vp.tbl[[#This Row],[CrudeType]]="Crude",vp.tbl[[#This Row],[Dens]]&gt;900,vp.tbl[[#This Row],[Sulf]]&lt;=0.5,vp.tbl[[#This Row],[Unknown]]=0),1,0)</f>
        <v>0</v>
      </c>
      <c r="AF1340">
        <f>IF(AND(vp.tbl[[#This Row],[CrudeType]]="Crude",vp.tbl[[#This Row],[Dens]]&gt;900,vp.tbl[[#This Row],[Sulf]]&lt;=0.5,vp.tbl[[#This Row],[Unknown]]=0),1,0)</f>
        <v>0</v>
      </c>
      <c r="AG1340" t="str">
        <f>INDEX(vp.tbl[[#Headers],[Unknown]:[Heavy_SW]],MATCH(1,vp.tbl[[#This Row],[Unknown]:[Heavy_SW]],0))</f>
        <v>C5</v>
      </c>
      <c r="AH1340" t="e">
        <f>INDEX([1]!crudeBD.lkup[Number],MATCH(vp.tbl[[#This Row],[Crude_Breakdown]],[1]!crudeBD.lkup[Crude Breakdown],0))</f>
        <v>#REF!</v>
      </c>
      <c r="AI1340">
        <f>MONTH(vp.tbl[[#This Row],[SDate]])</f>
        <v>4</v>
      </c>
      <c r="AJ1340" s="5">
        <f>IFERROR(vp.tbl[[#This Row],[Sulf]]*vp.tbl[[#This Row],[Net Dens]],"")</f>
        <v>0</v>
      </c>
      <c r="AK1340" s="5">
        <f>IFERROR(vp.tbl[[#This Row],[Dens]]*vp.tbl[[#This Row],[VolumeM3]],"")</f>
        <v>26931.743999999999</v>
      </c>
      <c r="AL1340" s="5">
        <f>IFERROR(vp.tbl[[#This Row],[VP]]*vp.tbl[[#This Row],[VolumeM3]],"")</f>
        <v>4507.0200000000004</v>
      </c>
      <c r="AM1340" s="4">
        <f>IFERROR((vp.tbl[[#This Row],[VP]]-INDEX(crudeBD.lkup.complete[Mean_VP],MATCH(vp.tbl[[#This Row],[Crude_Breakdown]],crudeBD.lkup.complete[Crude Breakdown],0)))^2,"")</f>
        <v>49.995612695133644</v>
      </c>
      <c r="AN1340" s="4">
        <f>IFERROR((vp.tbl[[#This Row],[Dens]]-INDEX(crudeBD.lkup.complete[Mean_Dens],MATCH(vp.tbl[[#This Row],[Crude_Breakdown]],crudeBD.lkup.complete[Crude Breakdown],0)))^2,"")</f>
        <v>0.52386889348012711</v>
      </c>
      <c r="AO1340" s="4">
        <f>IFERROR((vp.tbl[[#This Row],[Sulf]]-INDEX(crudeBD.lkup.complete[Mean_Sulf],MATCH(vp.tbl[[#This Row],[Crude_Breakdown]],crudeBD.lkup.complete[Crude Breakdown],0)))^2,"")</f>
        <v>0</v>
      </c>
      <c r="AP1340">
        <f>IF(AND(vp.tbl[[#This Row],[SDate]]&gt;=DATE(YEAR(vp.tbl[[#This Row],[SDate]]),5,1),vp.tbl[[#This Row],[SDate]]&lt;=DATE(YEAR(vp.tbl[[#This Row],[SDate]]),9,15)),1,0)</f>
        <v>0</v>
      </c>
      <c r="AQ1340" s="15">
        <f>IF(vp.tbl[[#This Row],[SDate]]&lt;DATE(2016,12,1),0,1)</f>
        <v>1</v>
      </c>
    </row>
    <row r="1341" spans="1:43" x14ac:dyDescent="0.25">
      <c r="A1341">
        <v>1340</v>
      </c>
      <c r="B1341" t="s">
        <v>272</v>
      </c>
      <c r="C1341" t="s">
        <v>282</v>
      </c>
      <c r="D1341" t="s">
        <v>283</v>
      </c>
      <c r="E1341">
        <v>326122</v>
      </c>
      <c r="F1341" s="1">
        <v>42844</v>
      </c>
      <c r="G1341" s="2">
        <v>106.8</v>
      </c>
      <c r="H1341" s="2">
        <v>0</v>
      </c>
      <c r="I1341" s="2">
        <v>0</v>
      </c>
      <c r="J1341" s="2">
        <v>12</v>
      </c>
      <c r="K1341" s="2">
        <v>8</v>
      </c>
      <c r="L1341" s="2">
        <v>658.2</v>
      </c>
      <c r="M1341" s="2">
        <v>658.2</v>
      </c>
      <c r="N1341" s="2">
        <f ca="1">INDEX(INDIRECT(_xlfn.CONCAT("weather.tbl[",N$1,"]")),MATCH(vp.tbl[[#This Row],[SDate]],weather.tbl[Date],0))</f>
        <v>6.75</v>
      </c>
      <c r="O1341" s="2">
        <f ca="1">INDEX(INDIRECT(_xlfn.CONCAT("weather.tbl[",O$1,"]")),MATCH(vp.tbl[[#This Row],[SDate]],weather.tbl[Date],0))</f>
        <v>5.2404761904761914</v>
      </c>
      <c r="P1341" s="2">
        <f ca="1">INDEX(INDIRECT(_xlfn.CONCAT("weather.tbl[",P$1,"]")),MATCH(vp.tbl[[#This Row],[SDate]],weather.tbl[Date],0))</f>
        <v>6.7</v>
      </c>
      <c r="Q1341" s="2">
        <f ca="1">INDEX(INDIRECT(_xlfn.CONCAT("weather.tbl[",Q$1,"]")),MATCH(vp.tbl[[#This Row],[SDate]],weather.tbl[Date],0))</f>
        <v>8.1999999999999993</v>
      </c>
      <c r="R1341" s="2">
        <f ca="1">INDEX(INDIRECT(_xlfn.CONCAT("weather.tbl[",R$1,"]")),MATCH(vp.tbl[[#This Row],[SDate]],weather.tbl[Date],0))</f>
        <v>6</v>
      </c>
      <c r="S1341" s="2">
        <f ca="1">INDEX(INDIRECT(_xlfn.CONCAT("weather.tbl[",S$1,"]")),MATCH(vp.tbl[[#This Row],[SDate]],weather.tbl[Date],0))</f>
        <v>7.2</v>
      </c>
      <c r="T1341" s="2">
        <f ca="1">INDEX(INDIRECT(_xlfn.CONCAT("weather.tbl[",T$1,"]")),MATCH(vp.tbl[[#This Row],[SDate]],weather.tbl[Date],0))</f>
        <v>5.4</v>
      </c>
      <c r="U1341" s="2">
        <f ca="1">INDEX(INDIRECT(_xlfn.CONCAT("weather.tbl[",U$1,"]")),MATCH(vp.tbl[[#This Row],[SDate]],weather.tbl[Date],0))</f>
        <v>7</v>
      </c>
      <c r="V1341" s="2">
        <v>34.46</v>
      </c>
      <c r="W1341" t="s">
        <v>268</v>
      </c>
      <c r="X1341">
        <f>IF(OR(vp.tbl[[#This Row],[Sulf]]="",vp.tbl[[#This Row],[Dens]]=""),1,0)</f>
        <v>0</v>
      </c>
      <c r="Y1341">
        <f>IF(vp.tbl[[#This Row],[CrudeType]]="C5+",1,0)</f>
        <v>1</v>
      </c>
      <c r="Z1341">
        <f>IF(AND(vp.tbl[[#This Row],[CrudeType]]="Crude",vp.tbl[[#This Row],[Dens]]&lt;=825,vp.tbl[[#This Row],[Sulf]]&gt;0.5,vp.tbl[[#This Row],[Unknown]]=0),1,0)</f>
        <v>0</v>
      </c>
      <c r="AA1341">
        <f>IF(AND(vp.tbl[[#This Row],[CrudeType]]="Crude",vp.tbl[[#This Row],[Dens]]&lt;=825,vp.tbl[[#This Row],[Sulf]]&lt;=0.5,vp.tbl[[#This Row],[Unknown]]=0),1,0)</f>
        <v>0</v>
      </c>
      <c r="AB1341">
        <f>IF(AND(vp.tbl[[#This Row],[CrudeType]]="Crude",vp.tbl[[#This Row],[Dens]]&gt;825,vp.tbl[[#This Row],[Dens]]&lt;=870,vp.tbl[[#This Row],[Sulf]]&gt;0.5,vp.tbl[[#This Row],[Unknown]]=0),1,0)</f>
        <v>0</v>
      </c>
      <c r="AC1341">
        <f>IF(AND(vp.tbl[[#This Row],[CrudeType]]="Crude",vp.tbl[[#This Row],[Dens]]&gt;825,vp.tbl[[#This Row],[Dens]]&lt;=900,vp.tbl[[#This Row],[Sulf]]&lt;=0.5,vp.tbl[[#This Row],[Unknown]]=0),1,0)</f>
        <v>0</v>
      </c>
      <c r="AD1341">
        <f>IF(AND(vp.tbl[[#This Row],[CrudeType]]="Crude",vp.tbl[[#This Row],[Dens]]&gt;870,vp.tbl[[#This Row],[Dens]]&lt;=900,vp.tbl[[#This Row],[Sulf]]&gt;0.5,vp.tbl[[#This Row],[Unknown]]=0),1,0)</f>
        <v>0</v>
      </c>
      <c r="AE1341">
        <f>IF(AND(vp.tbl[[#This Row],[CrudeType]]="Crude",vp.tbl[[#This Row],[Dens]]&gt;900,vp.tbl[[#This Row],[Sulf]]&lt;=0.5,vp.tbl[[#This Row],[Unknown]]=0),1,0)</f>
        <v>0</v>
      </c>
      <c r="AF1341">
        <f>IF(AND(vp.tbl[[#This Row],[CrudeType]]="Crude",vp.tbl[[#This Row],[Dens]]&gt;900,vp.tbl[[#This Row],[Sulf]]&lt;=0.5,vp.tbl[[#This Row],[Unknown]]=0),1,0)</f>
        <v>0</v>
      </c>
      <c r="AG1341" t="str">
        <f>INDEX(vp.tbl[[#Headers],[Unknown]:[Heavy_SW]],MATCH(1,vp.tbl[[#This Row],[Unknown]:[Heavy_SW]],0))</f>
        <v>C5</v>
      </c>
      <c r="AH1341" t="e">
        <f>INDEX([1]!crudeBD.lkup[Number],MATCH(vp.tbl[[#This Row],[Crude_Breakdown]],[1]!crudeBD.lkup[Crude Breakdown],0))</f>
        <v>#REF!</v>
      </c>
      <c r="AI1341">
        <f>MONTH(vp.tbl[[#This Row],[SDate]])</f>
        <v>4</v>
      </c>
      <c r="AJ1341" s="5">
        <f>IFERROR(vp.tbl[[#This Row],[Sulf]]*vp.tbl[[#This Row],[Net Dens]],"")</f>
        <v>0</v>
      </c>
      <c r="AK1341" s="5">
        <f>IFERROR(vp.tbl[[#This Row],[Dens]]*vp.tbl[[#This Row],[VolumeM3]],"")</f>
        <v>22681.572000000004</v>
      </c>
      <c r="AL1341" s="5">
        <f>IFERROR(vp.tbl[[#This Row],[VP]]*vp.tbl[[#This Row],[VolumeM3]],"")</f>
        <v>3680.328</v>
      </c>
      <c r="AM1341" s="4">
        <f>IFERROR((vp.tbl[[#This Row],[VP]]-INDEX(crudeBD.lkup.complete[Mean_VP],MATCH(vp.tbl[[#This Row],[Crude_Breakdown]],crudeBD.lkup.complete[Crude Breakdown],0)))^2,"")</f>
        <v>13.10988542240611</v>
      </c>
      <c r="AN1341" s="4">
        <f>IFERROR((vp.tbl[[#This Row],[Dens]]-INDEX(crudeBD.lkup.complete[Mean_Dens],MATCH(vp.tbl[[#This Row],[Crude_Breakdown]],crudeBD.lkup.complete[Crude Breakdown],0)))^2,"")</f>
        <v>1.5323438934802844E-2</v>
      </c>
      <c r="AO1341" s="4">
        <f>IFERROR((vp.tbl[[#This Row],[Sulf]]-INDEX(crudeBD.lkup.complete[Mean_Sulf],MATCH(vp.tbl[[#This Row],[Crude_Breakdown]],crudeBD.lkup.complete[Crude Breakdown],0)))^2,"")</f>
        <v>0</v>
      </c>
      <c r="AP1341">
        <f>IF(AND(vp.tbl[[#This Row],[SDate]]&gt;=DATE(YEAR(vp.tbl[[#This Row],[SDate]]),5,1),vp.tbl[[#This Row],[SDate]]&lt;=DATE(YEAR(vp.tbl[[#This Row],[SDate]]),9,15)),1,0)</f>
        <v>0</v>
      </c>
      <c r="AQ1341" s="15">
        <f>IF(vp.tbl[[#This Row],[SDate]]&lt;DATE(2016,12,1),0,1)</f>
        <v>1</v>
      </c>
    </row>
    <row r="1342" spans="1:43" x14ac:dyDescent="0.25">
      <c r="A1342">
        <v>1341</v>
      </c>
      <c r="B1342" t="s">
        <v>269</v>
      </c>
      <c r="C1342" t="s">
        <v>270</v>
      </c>
      <c r="D1342" t="s">
        <v>271</v>
      </c>
      <c r="E1342">
        <v>326523</v>
      </c>
      <c r="F1342" s="1">
        <v>42847</v>
      </c>
      <c r="G1342" s="2">
        <v>100.8</v>
      </c>
      <c r="H1342" s="2">
        <v>0</v>
      </c>
      <c r="I1342" s="2">
        <v>0</v>
      </c>
      <c r="J1342" s="2">
        <v>10</v>
      </c>
      <c r="K1342" s="2">
        <v>4</v>
      </c>
      <c r="L1342" s="2">
        <v>663.1</v>
      </c>
      <c r="M1342" s="2">
        <v>663.1</v>
      </c>
      <c r="N1342" s="2">
        <f ca="1">INDEX(INDIRECT(_xlfn.CONCAT("weather.tbl[",N$1,"]")),MATCH(vp.tbl[[#This Row],[SDate]],weather.tbl[Date],0))</f>
        <v>5.7833333333333341</v>
      </c>
      <c r="O1342" s="2">
        <f ca="1">INDEX(INDIRECT(_xlfn.CONCAT("weather.tbl[",O$1,"]")),MATCH(vp.tbl[[#This Row],[SDate]],weather.tbl[Date],0))</f>
        <v>4.6904761904761907</v>
      </c>
      <c r="P1342" s="2">
        <f ca="1">INDEX(INDIRECT(_xlfn.CONCAT("weather.tbl[",P$1,"]")),MATCH(vp.tbl[[#This Row],[SDate]],weather.tbl[Date],0))</f>
        <v>5.4</v>
      </c>
      <c r="Q1342" s="2">
        <f ca="1">INDEX(INDIRECT(_xlfn.CONCAT("weather.tbl[",Q$1,"]")),MATCH(vp.tbl[[#This Row],[SDate]],weather.tbl[Date],0))</f>
        <v>5.4</v>
      </c>
      <c r="R1342" s="2">
        <f ca="1">INDEX(INDIRECT(_xlfn.CONCAT("weather.tbl[",R$1,"]")),MATCH(vp.tbl[[#This Row],[SDate]],weather.tbl[Date],0))</f>
        <v>9.3000000000000007</v>
      </c>
      <c r="S1342" s="2">
        <f ca="1">INDEX(INDIRECT(_xlfn.CONCAT("weather.tbl[",S$1,"]")),MATCH(vp.tbl[[#This Row],[SDate]],weather.tbl[Date],0))</f>
        <v>6.1</v>
      </c>
      <c r="T1342" s="2">
        <f ca="1">INDEX(INDIRECT(_xlfn.CONCAT("weather.tbl[",T$1,"]")),MATCH(vp.tbl[[#This Row],[SDate]],weather.tbl[Date],0))</f>
        <v>4.2</v>
      </c>
      <c r="U1342" s="2">
        <f ca="1">INDEX(INDIRECT(_xlfn.CONCAT("weather.tbl[",U$1,"]")),MATCH(vp.tbl[[#This Row],[SDate]],weather.tbl[Date],0))</f>
        <v>4.3</v>
      </c>
      <c r="V1342" s="2">
        <v>41.04</v>
      </c>
      <c r="W1342" t="s">
        <v>268</v>
      </c>
      <c r="X1342">
        <f>IF(OR(vp.tbl[[#This Row],[Sulf]]="",vp.tbl[[#This Row],[Dens]]=""),1,0)</f>
        <v>0</v>
      </c>
      <c r="Y1342">
        <f>IF(vp.tbl[[#This Row],[CrudeType]]="C5+",1,0)</f>
        <v>1</v>
      </c>
      <c r="Z1342">
        <f>IF(AND(vp.tbl[[#This Row],[CrudeType]]="Crude",vp.tbl[[#This Row],[Dens]]&lt;=825,vp.tbl[[#This Row],[Sulf]]&gt;0.5,vp.tbl[[#This Row],[Unknown]]=0),1,0)</f>
        <v>0</v>
      </c>
      <c r="AA1342">
        <f>IF(AND(vp.tbl[[#This Row],[CrudeType]]="Crude",vp.tbl[[#This Row],[Dens]]&lt;=825,vp.tbl[[#This Row],[Sulf]]&lt;=0.5,vp.tbl[[#This Row],[Unknown]]=0),1,0)</f>
        <v>0</v>
      </c>
      <c r="AB1342">
        <f>IF(AND(vp.tbl[[#This Row],[CrudeType]]="Crude",vp.tbl[[#This Row],[Dens]]&gt;825,vp.tbl[[#This Row],[Dens]]&lt;=870,vp.tbl[[#This Row],[Sulf]]&gt;0.5,vp.tbl[[#This Row],[Unknown]]=0),1,0)</f>
        <v>0</v>
      </c>
      <c r="AC1342">
        <f>IF(AND(vp.tbl[[#This Row],[CrudeType]]="Crude",vp.tbl[[#This Row],[Dens]]&gt;825,vp.tbl[[#This Row],[Dens]]&lt;=900,vp.tbl[[#This Row],[Sulf]]&lt;=0.5,vp.tbl[[#This Row],[Unknown]]=0),1,0)</f>
        <v>0</v>
      </c>
      <c r="AD1342">
        <f>IF(AND(vp.tbl[[#This Row],[CrudeType]]="Crude",vp.tbl[[#This Row],[Dens]]&gt;870,vp.tbl[[#This Row],[Dens]]&lt;=900,vp.tbl[[#This Row],[Sulf]]&gt;0.5,vp.tbl[[#This Row],[Unknown]]=0),1,0)</f>
        <v>0</v>
      </c>
      <c r="AE1342">
        <f>IF(AND(vp.tbl[[#This Row],[CrudeType]]="Crude",vp.tbl[[#This Row],[Dens]]&gt;900,vp.tbl[[#This Row],[Sulf]]&lt;=0.5,vp.tbl[[#This Row],[Unknown]]=0),1,0)</f>
        <v>0</v>
      </c>
      <c r="AF1342">
        <f>IF(AND(vp.tbl[[#This Row],[CrudeType]]="Crude",vp.tbl[[#This Row],[Dens]]&gt;900,vp.tbl[[#This Row],[Sulf]]&lt;=0.5,vp.tbl[[#This Row],[Unknown]]=0),1,0)</f>
        <v>0</v>
      </c>
      <c r="AG1342" t="str">
        <f>INDEX(vp.tbl[[#Headers],[Unknown]:[Heavy_SW]],MATCH(1,vp.tbl[[#This Row],[Unknown]:[Heavy_SW]],0))</f>
        <v>C5</v>
      </c>
      <c r="AH1342" t="e">
        <f>INDEX([1]!crudeBD.lkup[Number],MATCH(vp.tbl[[#This Row],[Crude_Breakdown]],[1]!crudeBD.lkup[Crude Breakdown],0))</f>
        <v>#REF!</v>
      </c>
      <c r="AI1342">
        <f>MONTH(vp.tbl[[#This Row],[SDate]])</f>
        <v>4</v>
      </c>
      <c r="AJ1342" s="5">
        <f>IFERROR(vp.tbl[[#This Row],[Sulf]]*vp.tbl[[#This Row],[Net Dens]],"")</f>
        <v>0</v>
      </c>
      <c r="AK1342" s="5">
        <f>IFERROR(vp.tbl[[#This Row],[Dens]]*vp.tbl[[#This Row],[VolumeM3]],"")</f>
        <v>27213.624</v>
      </c>
      <c r="AL1342" s="5">
        <f>IFERROR(vp.tbl[[#This Row],[VP]]*vp.tbl[[#This Row],[VolumeM3]],"")</f>
        <v>4136.8319999999994</v>
      </c>
      <c r="AM1342" s="4">
        <f>IFERROR((vp.tbl[[#This Row],[VP]]-INDEX(crudeBD.lkup.complete[Mean_VP],MATCH(vp.tbl[[#This Row],[Crude_Breakdown]],crudeBD.lkup.complete[Crude Breakdown],0)))^2,"")</f>
        <v>5.6607945133148139</v>
      </c>
      <c r="AN1342" s="4">
        <f>IFERROR((vp.tbl[[#This Row],[Dens]]-INDEX(crudeBD.lkup.complete[Mean_Dens],MATCH(vp.tbl[[#This Row],[Crude_Breakdown]],crudeBD.lkup.complete[Crude Breakdown],0)))^2,"")</f>
        <v>25.238444651055797</v>
      </c>
      <c r="AO1342" s="4">
        <f>IFERROR((vp.tbl[[#This Row],[Sulf]]-INDEX(crudeBD.lkup.complete[Mean_Sulf],MATCH(vp.tbl[[#This Row],[Crude_Breakdown]],crudeBD.lkup.complete[Crude Breakdown],0)))^2,"")</f>
        <v>0</v>
      </c>
      <c r="AP1342">
        <f>IF(AND(vp.tbl[[#This Row],[SDate]]&gt;=DATE(YEAR(vp.tbl[[#This Row],[SDate]]),5,1),vp.tbl[[#This Row],[SDate]]&lt;=DATE(YEAR(vp.tbl[[#This Row],[SDate]]),9,15)),1,0)</f>
        <v>0</v>
      </c>
      <c r="AQ1342" s="15">
        <f>IF(vp.tbl[[#This Row],[SDate]]&lt;DATE(2016,12,1),0,1)</f>
        <v>1</v>
      </c>
    </row>
    <row r="1343" spans="1:43" x14ac:dyDescent="0.25">
      <c r="A1343">
        <v>1342</v>
      </c>
      <c r="B1343" t="s">
        <v>287</v>
      </c>
      <c r="C1343" t="s">
        <v>266</v>
      </c>
      <c r="D1343" t="s">
        <v>267</v>
      </c>
      <c r="E1343">
        <v>326589</v>
      </c>
      <c r="F1343" s="1">
        <v>42847</v>
      </c>
      <c r="G1343" s="2">
        <v>102.7</v>
      </c>
      <c r="H1343" s="2">
        <v>0</v>
      </c>
      <c r="I1343" s="2">
        <v>0</v>
      </c>
      <c r="J1343" s="2">
        <v>11</v>
      </c>
      <c r="K1343" s="2">
        <v>4</v>
      </c>
      <c r="L1343" s="2">
        <v>662.1</v>
      </c>
      <c r="M1343" s="2">
        <v>662.1</v>
      </c>
      <c r="N1343" s="2">
        <f ca="1">INDEX(INDIRECT(_xlfn.CONCAT("weather.tbl[",N$1,"]")),MATCH(vp.tbl[[#This Row],[SDate]],weather.tbl[Date],0))</f>
        <v>5.7833333333333341</v>
      </c>
      <c r="O1343" s="2">
        <f ca="1">INDEX(INDIRECT(_xlfn.CONCAT("weather.tbl[",O$1,"]")),MATCH(vp.tbl[[#This Row],[SDate]],weather.tbl[Date],0))</f>
        <v>4.6904761904761907</v>
      </c>
      <c r="P1343" s="2">
        <f ca="1">INDEX(INDIRECT(_xlfn.CONCAT("weather.tbl[",P$1,"]")),MATCH(vp.tbl[[#This Row],[SDate]],weather.tbl[Date],0))</f>
        <v>5.4</v>
      </c>
      <c r="Q1343" s="2">
        <f ca="1">INDEX(INDIRECT(_xlfn.CONCAT("weather.tbl[",Q$1,"]")),MATCH(vp.tbl[[#This Row],[SDate]],weather.tbl[Date],0))</f>
        <v>5.4</v>
      </c>
      <c r="R1343" s="2">
        <f ca="1">INDEX(INDIRECT(_xlfn.CONCAT("weather.tbl[",R$1,"]")),MATCH(vp.tbl[[#This Row],[SDate]],weather.tbl[Date],0))</f>
        <v>9.3000000000000007</v>
      </c>
      <c r="S1343" s="2">
        <f ca="1">INDEX(INDIRECT(_xlfn.CONCAT("weather.tbl[",S$1,"]")),MATCH(vp.tbl[[#This Row],[SDate]],weather.tbl[Date],0))</f>
        <v>6.1</v>
      </c>
      <c r="T1343" s="2">
        <f ca="1">INDEX(INDIRECT(_xlfn.CONCAT("weather.tbl[",T$1,"]")),MATCH(vp.tbl[[#This Row],[SDate]],weather.tbl[Date],0))</f>
        <v>4.2</v>
      </c>
      <c r="U1343" s="2">
        <f ca="1">INDEX(INDIRECT(_xlfn.CONCAT("weather.tbl[",U$1,"]")),MATCH(vp.tbl[[#This Row],[SDate]],weather.tbl[Date],0))</f>
        <v>4.3</v>
      </c>
      <c r="V1343" s="2">
        <v>40.72</v>
      </c>
      <c r="W1343" t="s">
        <v>268</v>
      </c>
      <c r="X1343">
        <f>IF(OR(vp.tbl[[#This Row],[Sulf]]="",vp.tbl[[#This Row],[Dens]]=""),1,0)</f>
        <v>0</v>
      </c>
      <c r="Y1343">
        <f>IF(vp.tbl[[#This Row],[CrudeType]]="C5+",1,0)</f>
        <v>1</v>
      </c>
      <c r="Z1343">
        <f>IF(AND(vp.tbl[[#This Row],[CrudeType]]="Crude",vp.tbl[[#This Row],[Dens]]&lt;=825,vp.tbl[[#This Row],[Sulf]]&gt;0.5,vp.tbl[[#This Row],[Unknown]]=0),1,0)</f>
        <v>0</v>
      </c>
      <c r="AA1343">
        <f>IF(AND(vp.tbl[[#This Row],[CrudeType]]="Crude",vp.tbl[[#This Row],[Dens]]&lt;=825,vp.tbl[[#This Row],[Sulf]]&lt;=0.5,vp.tbl[[#This Row],[Unknown]]=0),1,0)</f>
        <v>0</v>
      </c>
      <c r="AB1343">
        <f>IF(AND(vp.tbl[[#This Row],[CrudeType]]="Crude",vp.tbl[[#This Row],[Dens]]&gt;825,vp.tbl[[#This Row],[Dens]]&lt;=870,vp.tbl[[#This Row],[Sulf]]&gt;0.5,vp.tbl[[#This Row],[Unknown]]=0),1,0)</f>
        <v>0</v>
      </c>
      <c r="AC1343">
        <f>IF(AND(vp.tbl[[#This Row],[CrudeType]]="Crude",vp.tbl[[#This Row],[Dens]]&gt;825,vp.tbl[[#This Row],[Dens]]&lt;=900,vp.tbl[[#This Row],[Sulf]]&lt;=0.5,vp.tbl[[#This Row],[Unknown]]=0),1,0)</f>
        <v>0</v>
      </c>
      <c r="AD1343">
        <f>IF(AND(vp.tbl[[#This Row],[CrudeType]]="Crude",vp.tbl[[#This Row],[Dens]]&gt;870,vp.tbl[[#This Row],[Dens]]&lt;=900,vp.tbl[[#This Row],[Sulf]]&gt;0.5,vp.tbl[[#This Row],[Unknown]]=0),1,0)</f>
        <v>0</v>
      </c>
      <c r="AE1343">
        <f>IF(AND(vp.tbl[[#This Row],[CrudeType]]="Crude",vp.tbl[[#This Row],[Dens]]&gt;900,vp.tbl[[#This Row],[Sulf]]&lt;=0.5,vp.tbl[[#This Row],[Unknown]]=0),1,0)</f>
        <v>0</v>
      </c>
      <c r="AF1343">
        <f>IF(AND(vp.tbl[[#This Row],[CrudeType]]="Crude",vp.tbl[[#This Row],[Dens]]&gt;900,vp.tbl[[#This Row],[Sulf]]&lt;=0.5,vp.tbl[[#This Row],[Unknown]]=0),1,0)</f>
        <v>0</v>
      </c>
      <c r="AG1343" t="str">
        <f>INDEX(vp.tbl[[#Headers],[Unknown]:[Heavy_SW]],MATCH(1,vp.tbl[[#This Row],[Unknown]:[Heavy_SW]],0))</f>
        <v>C5</v>
      </c>
      <c r="AH1343" t="e">
        <f>INDEX([1]!crudeBD.lkup[Number],MATCH(vp.tbl[[#This Row],[Crude_Breakdown]],[1]!crudeBD.lkup[Crude Breakdown],0))</f>
        <v>#REF!</v>
      </c>
      <c r="AI1343">
        <f>MONTH(vp.tbl[[#This Row],[SDate]])</f>
        <v>4</v>
      </c>
      <c r="AJ1343" s="5">
        <f>IFERROR(vp.tbl[[#This Row],[Sulf]]*vp.tbl[[#This Row],[Net Dens]],"")</f>
        <v>0</v>
      </c>
      <c r="AK1343" s="5">
        <f>IFERROR(vp.tbl[[#This Row],[Dens]]*vp.tbl[[#This Row],[VolumeM3]],"")</f>
        <v>26960.712</v>
      </c>
      <c r="AL1343" s="5">
        <f>IFERROR(vp.tbl[[#This Row],[VP]]*vp.tbl[[#This Row],[VolumeM3]],"")</f>
        <v>4181.9440000000004</v>
      </c>
      <c r="AM1343" s="4">
        <f>IFERROR((vp.tbl[[#This Row],[VP]]-INDEX(crudeBD.lkup.complete[Mean_VP],MATCH(vp.tbl[[#This Row],[Crude_Breakdown]],crudeBD.lkup.complete[Crude Breakdown],0)))^2,"")</f>
        <v>0.22967330119371934</v>
      </c>
      <c r="AN1343" s="4">
        <f>IFERROR((vp.tbl[[#This Row],[Dens]]-INDEX(crudeBD.lkup.complete[Mean_Dens],MATCH(vp.tbl[[#This Row],[Crude_Breakdown]],crudeBD.lkup.complete[Crude Breakdown],0)))^2,"")</f>
        <v>16.190868893480083</v>
      </c>
      <c r="AO1343" s="4">
        <f>IFERROR((vp.tbl[[#This Row],[Sulf]]-INDEX(crudeBD.lkup.complete[Mean_Sulf],MATCH(vp.tbl[[#This Row],[Crude_Breakdown]],crudeBD.lkup.complete[Crude Breakdown],0)))^2,"")</f>
        <v>0</v>
      </c>
      <c r="AP1343">
        <f>IF(AND(vp.tbl[[#This Row],[SDate]]&gt;=DATE(YEAR(vp.tbl[[#This Row],[SDate]]),5,1),vp.tbl[[#This Row],[SDate]]&lt;=DATE(YEAR(vp.tbl[[#This Row],[SDate]]),9,15)),1,0)</f>
        <v>0</v>
      </c>
      <c r="AQ1343" s="15">
        <f>IF(vp.tbl[[#This Row],[SDate]]&lt;DATE(2016,12,1),0,1)</f>
        <v>1</v>
      </c>
    </row>
    <row r="1344" spans="1:43" x14ac:dyDescent="0.25">
      <c r="A1344">
        <v>1343</v>
      </c>
      <c r="B1344" t="s">
        <v>275</v>
      </c>
      <c r="C1344" t="s">
        <v>276</v>
      </c>
      <c r="D1344" t="s">
        <v>277</v>
      </c>
      <c r="E1344">
        <v>326748</v>
      </c>
      <c r="F1344" s="1">
        <v>42848</v>
      </c>
      <c r="G1344" s="2">
        <v>95.7</v>
      </c>
      <c r="H1344" s="2">
        <v>0</v>
      </c>
      <c r="I1344" s="2">
        <v>0</v>
      </c>
      <c r="J1344" s="2"/>
      <c r="K1344" s="2">
        <v>5</v>
      </c>
      <c r="L1344" s="2">
        <v>673.8</v>
      </c>
      <c r="M1344" s="2">
        <v>673.8</v>
      </c>
      <c r="N1344" s="2">
        <f ca="1">INDEX(INDIRECT(_xlfn.CONCAT("weather.tbl[",N$1,"]")),MATCH(vp.tbl[[#This Row],[SDate]],weather.tbl[Date],0))</f>
        <v>2.3666666666666667</v>
      </c>
      <c r="O1344" s="2">
        <f ca="1">INDEX(INDIRECT(_xlfn.CONCAT("weather.tbl[",O$1,"]")),MATCH(vp.tbl[[#This Row],[SDate]],weather.tbl[Date],0))</f>
        <v>5.3214285714285712</v>
      </c>
      <c r="P1344" s="2">
        <f ca="1">INDEX(INDIRECT(_xlfn.CONCAT("weather.tbl[",P$1,"]")),MATCH(vp.tbl[[#This Row],[SDate]],weather.tbl[Date],0))</f>
        <v>-0.2</v>
      </c>
      <c r="Q1344" s="2">
        <f ca="1">INDEX(INDIRECT(_xlfn.CONCAT("weather.tbl[",Q$1,"]")),MATCH(vp.tbl[[#This Row],[SDate]],weather.tbl[Date],0))</f>
        <v>1.4</v>
      </c>
      <c r="R1344" s="2">
        <f ca="1">INDEX(INDIRECT(_xlfn.CONCAT("weather.tbl[",R$1,"]")),MATCH(vp.tbl[[#This Row],[SDate]],weather.tbl[Date],0))</f>
        <v>9.3000000000000007</v>
      </c>
      <c r="S1344" s="2">
        <f ca="1">INDEX(INDIRECT(_xlfn.CONCAT("weather.tbl[",S$1,"]")),MATCH(vp.tbl[[#This Row],[SDate]],weather.tbl[Date],0))</f>
        <v>1.3</v>
      </c>
      <c r="T1344" s="2">
        <f ca="1">INDEX(INDIRECT(_xlfn.CONCAT("weather.tbl[",T$1,"]")),MATCH(vp.tbl[[#This Row],[SDate]],weather.tbl[Date],0))</f>
        <v>0.9</v>
      </c>
      <c r="U1344" s="2">
        <f ca="1">INDEX(INDIRECT(_xlfn.CONCAT("weather.tbl[",U$1,"]")),MATCH(vp.tbl[[#This Row],[SDate]],weather.tbl[Date],0))</f>
        <v>1.5</v>
      </c>
      <c r="V1344" s="2">
        <v>32.81</v>
      </c>
      <c r="W1344" t="s">
        <v>268</v>
      </c>
      <c r="X1344">
        <f>IF(OR(vp.tbl[[#This Row],[Sulf]]="",vp.tbl[[#This Row],[Dens]]=""),1,0)</f>
        <v>0</v>
      </c>
      <c r="Y1344">
        <f>IF(vp.tbl[[#This Row],[CrudeType]]="C5+",1,0)</f>
        <v>1</v>
      </c>
      <c r="Z1344">
        <f>IF(AND(vp.tbl[[#This Row],[CrudeType]]="Crude",vp.tbl[[#This Row],[Dens]]&lt;=825,vp.tbl[[#This Row],[Sulf]]&gt;0.5,vp.tbl[[#This Row],[Unknown]]=0),1,0)</f>
        <v>0</v>
      </c>
      <c r="AA1344">
        <f>IF(AND(vp.tbl[[#This Row],[CrudeType]]="Crude",vp.tbl[[#This Row],[Dens]]&lt;=825,vp.tbl[[#This Row],[Sulf]]&lt;=0.5,vp.tbl[[#This Row],[Unknown]]=0),1,0)</f>
        <v>0</v>
      </c>
      <c r="AB1344">
        <f>IF(AND(vp.tbl[[#This Row],[CrudeType]]="Crude",vp.tbl[[#This Row],[Dens]]&gt;825,vp.tbl[[#This Row],[Dens]]&lt;=870,vp.tbl[[#This Row],[Sulf]]&gt;0.5,vp.tbl[[#This Row],[Unknown]]=0),1,0)</f>
        <v>0</v>
      </c>
      <c r="AC1344">
        <f>IF(AND(vp.tbl[[#This Row],[CrudeType]]="Crude",vp.tbl[[#This Row],[Dens]]&gt;825,vp.tbl[[#This Row],[Dens]]&lt;=900,vp.tbl[[#This Row],[Sulf]]&lt;=0.5,vp.tbl[[#This Row],[Unknown]]=0),1,0)</f>
        <v>0</v>
      </c>
      <c r="AD1344">
        <f>IF(AND(vp.tbl[[#This Row],[CrudeType]]="Crude",vp.tbl[[#This Row],[Dens]]&gt;870,vp.tbl[[#This Row],[Dens]]&lt;=900,vp.tbl[[#This Row],[Sulf]]&gt;0.5,vp.tbl[[#This Row],[Unknown]]=0),1,0)</f>
        <v>0</v>
      </c>
      <c r="AE1344">
        <f>IF(AND(vp.tbl[[#This Row],[CrudeType]]="Crude",vp.tbl[[#This Row],[Dens]]&gt;900,vp.tbl[[#This Row],[Sulf]]&lt;=0.5,vp.tbl[[#This Row],[Unknown]]=0),1,0)</f>
        <v>0</v>
      </c>
      <c r="AF1344">
        <f>IF(AND(vp.tbl[[#This Row],[CrudeType]]="Crude",vp.tbl[[#This Row],[Dens]]&gt;900,vp.tbl[[#This Row],[Sulf]]&lt;=0.5,vp.tbl[[#This Row],[Unknown]]=0),1,0)</f>
        <v>0</v>
      </c>
      <c r="AG1344" t="str">
        <f>INDEX(vp.tbl[[#Headers],[Unknown]:[Heavy_SW]],MATCH(1,vp.tbl[[#This Row],[Unknown]:[Heavy_SW]],0))</f>
        <v>C5</v>
      </c>
      <c r="AH1344" t="e">
        <f>INDEX([1]!crudeBD.lkup[Number],MATCH(vp.tbl[[#This Row],[Crude_Breakdown]],[1]!crudeBD.lkup[Crude Breakdown],0))</f>
        <v>#REF!</v>
      </c>
      <c r="AI1344">
        <f>MONTH(vp.tbl[[#This Row],[SDate]])</f>
        <v>4</v>
      </c>
      <c r="AJ1344" s="5">
        <f>IFERROR(vp.tbl[[#This Row],[Sulf]]*vp.tbl[[#This Row],[Net Dens]],"")</f>
        <v>0</v>
      </c>
      <c r="AK1344" s="5">
        <f>IFERROR(vp.tbl[[#This Row],[Dens]]*vp.tbl[[#This Row],[VolumeM3]],"")</f>
        <v>22107.378000000001</v>
      </c>
      <c r="AL1344" s="5">
        <f>IFERROR(vp.tbl[[#This Row],[VP]]*vp.tbl[[#This Row],[VolumeM3]],"")</f>
        <v>3139.9170000000004</v>
      </c>
      <c r="AM1344" s="4">
        <f>IFERROR((vp.tbl[[#This Row],[VP]]-INDEX(crudeBD.lkup.complete[Mean_VP],MATCH(vp.tbl[[#This Row],[Crude_Breakdown]],crudeBD.lkup.complete[Crude Breakdown],0)))^2,"")</f>
        <v>55.939067240587129</v>
      </c>
      <c r="AN1344" s="4">
        <f>IFERROR((vp.tbl[[#This Row],[Dens]]-INDEX(crudeBD.lkup.complete[Mean_Dens],MATCH(vp.tbl[[#This Row],[Crude_Breakdown]],crudeBD.lkup.complete[Crude Breakdown],0)))^2,"")</f>
        <v>247.23750525711378</v>
      </c>
      <c r="AO1344" s="4">
        <f>IFERROR((vp.tbl[[#This Row],[Sulf]]-INDEX(crudeBD.lkup.complete[Mean_Sulf],MATCH(vp.tbl[[#This Row],[Crude_Breakdown]],crudeBD.lkup.complete[Crude Breakdown],0)))^2,"")</f>
        <v>0</v>
      </c>
      <c r="AP1344">
        <f>IF(AND(vp.tbl[[#This Row],[SDate]]&gt;=DATE(YEAR(vp.tbl[[#This Row],[SDate]]),5,1),vp.tbl[[#This Row],[SDate]]&lt;=DATE(YEAR(vp.tbl[[#This Row],[SDate]]),9,15)),1,0)</f>
        <v>0</v>
      </c>
      <c r="AQ1344" s="15">
        <f>IF(vp.tbl[[#This Row],[SDate]]&lt;DATE(2016,12,1),0,1)</f>
        <v>1</v>
      </c>
    </row>
    <row r="1345" spans="1:43" x14ac:dyDescent="0.25">
      <c r="A1345">
        <v>1344</v>
      </c>
      <c r="B1345" t="s">
        <v>269</v>
      </c>
      <c r="C1345" t="s">
        <v>270</v>
      </c>
      <c r="D1345" t="s">
        <v>271</v>
      </c>
      <c r="E1345">
        <v>327185</v>
      </c>
      <c r="F1345" s="1">
        <v>42851</v>
      </c>
      <c r="G1345" s="2">
        <v>101.9</v>
      </c>
      <c r="H1345" s="2">
        <v>0</v>
      </c>
      <c r="I1345" s="2">
        <v>0</v>
      </c>
      <c r="J1345" s="2">
        <v>4.5</v>
      </c>
      <c r="K1345" s="2">
        <v>14</v>
      </c>
      <c r="L1345" s="2">
        <v>663.6</v>
      </c>
      <c r="M1345" s="2">
        <v>663.6</v>
      </c>
      <c r="N1345" s="2">
        <f ca="1">INDEX(INDIRECT(_xlfn.CONCAT("weather.tbl[",N$1,"]")),MATCH(vp.tbl[[#This Row],[SDate]],weather.tbl[Date],0))</f>
        <v>1.3166666666666667</v>
      </c>
      <c r="O1345" s="2">
        <f ca="1">INDEX(INDIRECT(_xlfn.CONCAT("weather.tbl[",O$1,"]")),MATCH(vp.tbl[[#This Row],[SDate]],weather.tbl[Date],0))</f>
        <v>3.878571428571429</v>
      </c>
      <c r="P1345" s="2">
        <f ca="1">INDEX(INDIRECT(_xlfn.CONCAT("weather.tbl[",P$1,"]")),MATCH(vp.tbl[[#This Row],[SDate]],weather.tbl[Date],0))</f>
        <v>1.3</v>
      </c>
      <c r="Q1345" s="2">
        <f ca="1">INDEX(INDIRECT(_xlfn.CONCAT("weather.tbl[",Q$1,"]")),MATCH(vp.tbl[[#This Row],[SDate]],weather.tbl[Date],0))</f>
        <v>1.3</v>
      </c>
      <c r="R1345" s="2">
        <f ca="1">INDEX(INDIRECT(_xlfn.CONCAT("weather.tbl[",R$1,"]")),MATCH(vp.tbl[[#This Row],[SDate]],weather.tbl[Date],0))</f>
        <v>1.8</v>
      </c>
      <c r="S1345" s="2">
        <f ca="1">INDEX(INDIRECT(_xlfn.CONCAT("weather.tbl[",S$1,"]")),MATCH(vp.tbl[[#This Row],[SDate]],weather.tbl[Date],0))</f>
        <v>0.7</v>
      </c>
      <c r="T1345" s="2">
        <f ca="1">INDEX(INDIRECT(_xlfn.CONCAT("weather.tbl[",T$1,"]")),MATCH(vp.tbl[[#This Row],[SDate]],weather.tbl[Date],0))</f>
        <v>2</v>
      </c>
      <c r="U1345" s="2">
        <f ca="1">INDEX(INDIRECT(_xlfn.CONCAT("weather.tbl[",U$1,"]")),MATCH(vp.tbl[[#This Row],[SDate]],weather.tbl[Date],0))</f>
        <v>0.8</v>
      </c>
      <c r="V1345" s="2">
        <v>26.72</v>
      </c>
      <c r="W1345" t="s">
        <v>268</v>
      </c>
      <c r="X1345">
        <f>IF(OR(vp.tbl[[#This Row],[Sulf]]="",vp.tbl[[#This Row],[Dens]]=""),1,0)</f>
        <v>0</v>
      </c>
      <c r="Y1345">
        <f>IF(vp.tbl[[#This Row],[CrudeType]]="C5+",1,0)</f>
        <v>1</v>
      </c>
      <c r="Z1345">
        <f>IF(AND(vp.tbl[[#This Row],[CrudeType]]="Crude",vp.tbl[[#This Row],[Dens]]&lt;=825,vp.tbl[[#This Row],[Sulf]]&gt;0.5,vp.tbl[[#This Row],[Unknown]]=0),1,0)</f>
        <v>0</v>
      </c>
      <c r="AA1345">
        <f>IF(AND(vp.tbl[[#This Row],[CrudeType]]="Crude",vp.tbl[[#This Row],[Dens]]&lt;=825,vp.tbl[[#This Row],[Sulf]]&lt;=0.5,vp.tbl[[#This Row],[Unknown]]=0),1,0)</f>
        <v>0</v>
      </c>
      <c r="AB1345">
        <f>IF(AND(vp.tbl[[#This Row],[CrudeType]]="Crude",vp.tbl[[#This Row],[Dens]]&gt;825,vp.tbl[[#This Row],[Dens]]&lt;=870,vp.tbl[[#This Row],[Sulf]]&gt;0.5,vp.tbl[[#This Row],[Unknown]]=0),1,0)</f>
        <v>0</v>
      </c>
      <c r="AC1345">
        <f>IF(AND(vp.tbl[[#This Row],[CrudeType]]="Crude",vp.tbl[[#This Row],[Dens]]&gt;825,vp.tbl[[#This Row],[Dens]]&lt;=900,vp.tbl[[#This Row],[Sulf]]&lt;=0.5,vp.tbl[[#This Row],[Unknown]]=0),1,0)</f>
        <v>0</v>
      </c>
      <c r="AD1345">
        <f>IF(AND(vp.tbl[[#This Row],[CrudeType]]="Crude",vp.tbl[[#This Row],[Dens]]&gt;870,vp.tbl[[#This Row],[Dens]]&lt;=900,vp.tbl[[#This Row],[Sulf]]&gt;0.5,vp.tbl[[#This Row],[Unknown]]=0),1,0)</f>
        <v>0</v>
      </c>
      <c r="AE1345">
        <f>IF(AND(vp.tbl[[#This Row],[CrudeType]]="Crude",vp.tbl[[#This Row],[Dens]]&gt;900,vp.tbl[[#This Row],[Sulf]]&lt;=0.5,vp.tbl[[#This Row],[Unknown]]=0),1,0)</f>
        <v>0</v>
      </c>
      <c r="AF1345">
        <f>IF(AND(vp.tbl[[#This Row],[CrudeType]]="Crude",vp.tbl[[#This Row],[Dens]]&gt;900,vp.tbl[[#This Row],[Sulf]]&lt;=0.5,vp.tbl[[#This Row],[Unknown]]=0),1,0)</f>
        <v>0</v>
      </c>
      <c r="AG1345" t="str">
        <f>INDEX(vp.tbl[[#Headers],[Unknown]:[Heavy_SW]],MATCH(1,vp.tbl[[#This Row],[Unknown]:[Heavy_SW]],0))</f>
        <v>C5</v>
      </c>
      <c r="AH1345" t="e">
        <f>INDEX([1]!crudeBD.lkup[Number],MATCH(vp.tbl[[#This Row],[Crude_Breakdown]],[1]!crudeBD.lkup[Crude Breakdown],0))</f>
        <v>#REF!</v>
      </c>
      <c r="AI1345">
        <f>MONTH(vp.tbl[[#This Row],[SDate]])</f>
        <v>4</v>
      </c>
      <c r="AJ1345" s="5">
        <f>IFERROR(vp.tbl[[#This Row],[Sulf]]*vp.tbl[[#This Row],[Net Dens]],"")</f>
        <v>0</v>
      </c>
      <c r="AK1345" s="5">
        <f>IFERROR(vp.tbl[[#This Row],[Dens]]*vp.tbl[[#This Row],[VolumeM3]],"")</f>
        <v>17731.392</v>
      </c>
      <c r="AL1345" s="5">
        <f>IFERROR(vp.tbl[[#This Row],[VP]]*vp.tbl[[#This Row],[VolumeM3]],"")</f>
        <v>2722.768</v>
      </c>
      <c r="AM1345" s="4">
        <f>IFERROR((vp.tbl[[#This Row],[VP]]-INDEX(crudeBD.lkup.complete[Mean_VP],MATCH(vp.tbl[[#This Row],[Crude_Breakdown]],crudeBD.lkup.complete[Crude Breakdown],0)))^2,"")</f>
        <v>1.6364611799815301</v>
      </c>
      <c r="AN1345" s="4">
        <f>IFERROR((vp.tbl[[#This Row],[Dens]]-INDEX(crudeBD.lkup.complete[Mean_Dens],MATCH(vp.tbl[[#This Row],[Crude_Breakdown]],crudeBD.lkup.complete[Crude Breakdown],0)))^2,"")</f>
        <v>30.512232529843654</v>
      </c>
      <c r="AO1345" s="4">
        <f>IFERROR((vp.tbl[[#This Row],[Sulf]]-INDEX(crudeBD.lkup.complete[Mean_Sulf],MATCH(vp.tbl[[#This Row],[Crude_Breakdown]],crudeBD.lkup.complete[Crude Breakdown],0)))^2,"")</f>
        <v>0</v>
      </c>
      <c r="AP1345">
        <f>IF(AND(vp.tbl[[#This Row],[SDate]]&gt;=DATE(YEAR(vp.tbl[[#This Row],[SDate]]),5,1),vp.tbl[[#This Row],[SDate]]&lt;=DATE(YEAR(vp.tbl[[#This Row],[SDate]]),9,15)),1,0)</f>
        <v>0</v>
      </c>
      <c r="AQ1345" s="15">
        <f>IF(vp.tbl[[#This Row],[SDate]]&lt;DATE(2016,12,1),0,1)</f>
        <v>1</v>
      </c>
    </row>
    <row r="1346" spans="1:43" x14ac:dyDescent="0.25">
      <c r="A1346">
        <v>1345</v>
      </c>
      <c r="B1346" t="s">
        <v>272</v>
      </c>
      <c r="C1346" t="s">
        <v>282</v>
      </c>
      <c r="D1346" t="s">
        <v>283</v>
      </c>
      <c r="E1346">
        <v>327211</v>
      </c>
      <c r="F1346" s="1">
        <v>42851</v>
      </c>
      <c r="G1346" s="2">
        <v>109.3</v>
      </c>
      <c r="H1346" s="2">
        <v>0</v>
      </c>
      <c r="I1346" s="2">
        <v>0</v>
      </c>
      <c r="J1346" s="2">
        <v>8.6999999999999993</v>
      </c>
      <c r="K1346" s="2">
        <v>14</v>
      </c>
      <c r="L1346" s="2">
        <v>647.79999999999995</v>
      </c>
      <c r="M1346" s="2">
        <v>647.79999999999995</v>
      </c>
      <c r="N1346" s="2">
        <f ca="1">INDEX(INDIRECT(_xlfn.CONCAT("weather.tbl[",N$1,"]")),MATCH(vp.tbl[[#This Row],[SDate]],weather.tbl[Date],0))</f>
        <v>1.3166666666666667</v>
      </c>
      <c r="O1346" s="2">
        <f ca="1">INDEX(INDIRECT(_xlfn.CONCAT("weather.tbl[",O$1,"]")),MATCH(vp.tbl[[#This Row],[SDate]],weather.tbl[Date],0))</f>
        <v>3.878571428571429</v>
      </c>
      <c r="P1346" s="2">
        <f ca="1">INDEX(INDIRECT(_xlfn.CONCAT("weather.tbl[",P$1,"]")),MATCH(vp.tbl[[#This Row],[SDate]],weather.tbl[Date],0))</f>
        <v>1.3</v>
      </c>
      <c r="Q1346" s="2">
        <f ca="1">INDEX(INDIRECT(_xlfn.CONCAT("weather.tbl[",Q$1,"]")),MATCH(vp.tbl[[#This Row],[SDate]],weather.tbl[Date],0))</f>
        <v>1.3</v>
      </c>
      <c r="R1346" s="2">
        <f ca="1">INDEX(INDIRECT(_xlfn.CONCAT("weather.tbl[",R$1,"]")),MATCH(vp.tbl[[#This Row],[SDate]],weather.tbl[Date],0))</f>
        <v>1.8</v>
      </c>
      <c r="S1346" s="2">
        <f ca="1">INDEX(INDIRECT(_xlfn.CONCAT("weather.tbl[",S$1,"]")),MATCH(vp.tbl[[#This Row],[SDate]],weather.tbl[Date],0))</f>
        <v>0.7</v>
      </c>
      <c r="T1346" s="2">
        <f ca="1">INDEX(INDIRECT(_xlfn.CONCAT("weather.tbl[",T$1,"]")),MATCH(vp.tbl[[#This Row],[SDate]],weather.tbl[Date],0))</f>
        <v>2</v>
      </c>
      <c r="U1346" s="2">
        <f ca="1">INDEX(INDIRECT(_xlfn.CONCAT("weather.tbl[",U$1,"]")),MATCH(vp.tbl[[#This Row],[SDate]],weather.tbl[Date],0))</f>
        <v>0.8</v>
      </c>
      <c r="V1346" s="2">
        <v>40.909999999999997</v>
      </c>
      <c r="W1346" t="s">
        <v>268</v>
      </c>
      <c r="X1346">
        <f>IF(OR(vp.tbl[[#This Row],[Sulf]]="",vp.tbl[[#This Row],[Dens]]=""),1,0)</f>
        <v>0</v>
      </c>
      <c r="Y1346">
        <f>IF(vp.tbl[[#This Row],[CrudeType]]="C5+",1,0)</f>
        <v>1</v>
      </c>
      <c r="Z1346">
        <f>IF(AND(vp.tbl[[#This Row],[CrudeType]]="Crude",vp.tbl[[#This Row],[Dens]]&lt;=825,vp.tbl[[#This Row],[Sulf]]&gt;0.5,vp.tbl[[#This Row],[Unknown]]=0),1,0)</f>
        <v>0</v>
      </c>
      <c r="AA1346">
        <f>IF(AND(vp.tbl[[#This Row],[CrudeType]]="Crude",vp.tbl[[#This Row],[Dens]]&lt;=825,vp.tbl[[#This Row],[Sulf]]&lt;=0.5,vp.tbl[[#This Row],[Unknown]]=0),1,0)</f>
        <v>0</v>
      </c>
      <c r="AB1346">
        <f>IF(AND(vp.tbl[[#This Row],[CrudeType]]="Crude",vp.tbl[[#This Row],[Dens]]&gt;825,vp.tbl[[#This Row],[Dens]]&lt;=870,vp.tbl[[#This Row],[Sulf]]&gt;0.5,vp.tbl[[#This Row],[Unknown]]=0),1,0)</f>
        <v>0</v>
      </c>
      <c r="AC1346">
        <f>IF(AND(vp.tbl[[#This Row],[CrudeType]]="Crude",vp.tbl[[#This Row],[Dens]]&gt;825,vp.tbl[[#This Row],[Dens]]&lt;=900,vp.tbl[[#This Row],[Sulf]]&lt;=0.5,vp.tbl[[#This Row],[Unknown]]=0),1,0)</f>
        <v>0</v>
      </c>
      <c r="AD1346">
        <f>IF(AND(vp.tbl[[#This Row],[CrudeType]]="Crude",vp.tbl[[#This Row],[Dens]]&gt;870,vp.tbl[[#This Row],[Dens]]&lt;=900,vp.tbl[[#This Row],[Sulf]]&gt;0.5,vp.tbl[[#This Row],[Unknown]]=0),1,0)</f>
        <v>0</v>
      </c>
      <c r="AE1346">
        <f>IF(AND(vp.tbl[[#This Row],[CrudeType]]="Crude",vp.tbl[[#This Row],[Dens]]&gt;900,vp.tbl[[#This Row],[Sulf]]&lt;=0.5,vp.tbl[[#This Row],[Unknown]]=0),1,0)</f>
        <v>0</v>
      </c>
      <c r="AF1346">
        <f>IF(AND(vp.tbl[[#This Row],[CrudeType]]="Crude",vp.tbl[[#This Row],[Dens]]&gt;900,vp.tbl[[#This Row],[Sulf]]&lt;=0.5,vp.tbl[[#This Row],[Unknown]]=0),1,0)</f>
        <v>0</v>
      </c>
      <c r="AG1346" t="str">
        <f>INDEX(vp.tbl[[#Headers],[Unknown]:[Heavy_SW]],MATCH(1,vp.tbl[[#This Row],[Unknown]:[Heavy_SW]],0))</f>
        <v>C5</v>
      </c>
      <c r="AH1346" t="e">
        <f>INDEX([1]!crudeBD.lkup[Number],MATCH(vp.tbl[[#This Row],[Crude_Breakdown]],[1]!crudeBD.lkup[Crude Breakdown],0))</f>
        <v>#REF!</v>
      </c>
      <c r="AI1346">
        <f>MONTH(vp.tbl[[#This Row],[SDate]])</f>
        <v>4</v>
      </c>
      <c r="AJ1346" s="5">
        <f>IFERROR(vp.tbl[[#This Row],[Sulf]]*vp.tbl[[#This Row],[Net Dens]],"")</f>
        <v>0</v>
      </c>
      <c r="AK1346" s="5">
        <f>IFERROR(vp.tbl[[#This Row],[Dens]]*vp.tbl[[#This Row],[VolumeM3]],"")</f>
        <v>26501.497999999996</v>
      </c>
      <c r="AL1346" s="5">
        <f>IFERROR(vp.tbl[[#This Row],[VP]]*vp.tbl[[#This Row],[VolumeM3]],"")</f>
        <v>4471.4629999999997</v>
      </c>
      <c r="AM1346" s="4">
        <f>IFERROR((vp.tbl[[#This Row],[VP]]-INDEX(crudeBD.lkup.complete[Mean_VP],MATCH(vp.tbl[[#This Row],[Crude_Breakdown]],crudeBD.lkup.complete[Crude Breakdown],0)))^2,"")</f>
        <v>37.463673301194149</v>
      </c>
      <c r="AN1346" s="4">
        <f>IFERROR((vp.tbl[[#This Row],[Dens]]-INDEX(crudeBD.lkup.complete[Mean_Dens],MATCH(vp.tbl[[#This Row],[Crude_Breakdown]],crudeBD.lkup.complete[Crude Breakdown],0)))^2,"")</f>
        <v>105.60053556014877</v>
      </c>
      <c r="AO1346" s="4">
        <f>IFERROR((vp.tbl[[#This Row],[Sulf]]-INDEX(crudeBD.lkup.complete[Mean_Sulf],MATCH(vp.tbl[[#This Row],[Crude_Breakdown]],crudeBD.lkup.complete[Crude Breakdown],0)))^2,"")</f>
        <v>0</v>
      </c>
      <c r="AP1346">
        <f>IF(AND(vp.tbl[[#This Row],[SDate]]&gt;=DATE(YEAR(vp.tbl[[#This Row],[SDate]]),5,1),vp.tbl[[#This Row],[SDate]]&lt;=DATE(YEAR(vp.tbl[[#This Row],[SDate]]),9,15)),1,0)</f>
        <v>0</v>
      </c>
      <c r="AQ1346" s="15">
        <f>IF(vp.tbl[[#This Row],[SDate]]&lt;DATE(2016,12,1),0,1)</f>
        <v>1</v>
      </c>
    </row>
    <row r="1347" spans="1:43" x14ac:dyDescent="0.25">
      <c r="A1347">
        <v>1346</v>
      </c>
      <c r="B1347" t="s">
        <v>284</v>
      </c>
      <c r="C1347" t="s">
        <v>266</v>
      </c>
      <c r="D1347" t="s">
        <v>267</v>
      </c>
      <c r="E1347">
        <v>327178</v>
      </c>
      <c r="F1347" s="1">
        <v>42851</v>
      </c>
      <c r="G1347" s="2">
        <v>102.7</v>
      </c>
      <c r="H1347" s="2">
        <v>0</v>
      </c>
      <c r="I1347" s="2">
        <v>0</v>
      </c>
      <c r="J1347" s="2">
        <v>4.5</v>
      </c>
      <c r="K1347" s="2">
        <v>14</v>
      </c>
      <c r="L1347" s="2">
        <v>658.9</v>
      </c>
      <c r="M1347" s="2">
        <v>658.9</v>
      </c>
      <c r="N1347" s="2">
        <f ca="1">INDEX(INDIRECT(_xlfn.CONCAT("weather.tbl[",N$1,"]")),MATCH(vp.tbl[[#This Row],[SDate]],weather.tbl[Date],0))</f>
        <v>1.3166666666666667</v>
      </c>
      <c r="O1347" s="2">
        <f ca="1">INDEX(INDIRECT(_xlfn.CONCAT("weather.tbl[",O$1,"]")),MATCH(vp.tbl[[#This Row],[SDate]],weather.tbl[Date],0))</f>
        <v>3.878571428571429</v>
      </c>
      <c r="P1347" s="2">
        <f ca="1">INDEX(INDIRECT(_xlfn.CONCAT("weather.tbl[",P$1,"]")),MATCH(vp.tbl[[#This Row],[SDate]],weather.tbl[Date],0))</f>
        <v>1.3</v>
      </c>
      <c r="Q1347" s="2">
        <f ca="1">INDEX(INDIRECT(_xlfn.CONCAT("weather.tbl[",Q$1,"]")),MATCH(vp.tbl[[#This Row],[SDate]],weather.tbl[Date],0))</f>
        <v>1.3</v>
      </c>
      <c r="R1347" s="2">
        <f ca="1">INDEX(INDIRECT(_xlfn.CONCAT("weather.tbl[",R$1,"]")),MATCH(vp.tbl[[#This Row],[SDate]],weather.tbl[Date],0))</f>
        <v>1.8</v>
      </c>
      <c r="S1347" s="2">
        <f ca="1">INDEX(INDIRECT(_xlfn.CONCAT("weather.tbl[",S$1,"]")),MATCH(vp.tbl[[#This Row],[SDate]],weather.tbl[Date],0))</f>
        <v>0.7</v>
      </c>
      <c r="T1347" s="2">
        <f ca="1">INDEX(INDIRECT(_xlfn.CONCAT("weather.tbl[",T$1,"]")),MATCH(vp.tbl[[#This Row],[SDate]],weather.tbl[Date],0))</f>
        <v>2</v>
      </c>
      <c r="U1347" s="2">
        <f ca="1">INDEX(INDIRECT(_xlfn.CONCAT("weather.tbl[",U$1,"]")),MATCH(vp.tbl[[#This Row],[SDate]],weather.tbl[Date],0))</f>
        <v>0.8</v>
      </c>
      <c r="V1347" s="2">
        <v>34.24</v>
      </c>
      <c r="W1347" t="s">
        <v>268</v>
      </c>
      <c r="X1347">
        <f>IF(OR(vp.tbl[[#This Row],[Sulf]]="",vp.tbl[[#This Row],[Dens]]=""),1,0)</f>
        <v>0</v>
      </c>
      <c r="Y1347">
        <f>IF(vp.tbl[[#This Row],[CrudeType]]="C5+",1,0)</f>
        <v>1</v>
      </c>
      <c r="Z1347">
        <f>IF(AND(vp.tbl[[#This Row],[CrudeType]]="Crude",vp.tbl[[#This Row],[Dens]]&lt;=825,vp.tbl[[#This Row],[Sulf]]&gt;0.5,vp.tbl[[#This Row],[Unknown]]=0),1,0)</f>
        <v>0</v>
      </c>
      <c r="AA1347">
        <f>IF(AND(vp.tbl[[#This Row],[CrudeType]]="Crude",vp.tbl[[#This Row],[Dens]]&lt;=825,vp.tbl[[#This Row],[Sulf]]&lt;=0.5,vp.tbl[[#This Row],[Unknown]]=0),1,0)</f>
        <v>0</v>
      </c>
      <c r="AB1347">
        <f>IF(AND(vp.tbl[[#This Row],[CrudeType]]="Crude",vp.tbl[[#This Row],[Dens]]&gt;825,vp.tbl[[#This Row],[Dens]]&lt;=870,vp.tbl[[#This Row],[Sulf]]&gt;0.5,vp.tbl[[#This Row],[Unknown]]=0),1,0)</f>
        <v>0</v>
      </c>
      <c r="AC1347">
        <f>IF(AND(vp.tbl[[#This Row],[CrudeType]]="Crude",vp.tbl[[#This Row],[Dens]]&gt;825,vp.tbl[[#This Row],[Dens]]&lt;=900,vp.tbl[[#This Row],[Sulf]]&lt;=0.5,vp.tbl[[#This Row],[Unknown]]=0),1,0)</f>
        <v>0</v>
      </c>
      <c r="AD1347">
        <f>IF(AND(vp.tbl[[#This Row],[CrudeType]]="Crude",vp.tbl[[#This Row],[Dens]]&gt;870,vp.tbl[[#This Row],[Dens]]&lt;=900,vp.tbl[[#This Row],[Sulf]]&gt;0.5,vp.tbl[[#This Row],[Unknown]]=0),1,0)</f>
        <v>0</v>
      </c>
      <c r="AE1347">
        <f>IF(AND(vp.tbl[[#This Row],[CrudeType]]="Crude",vp.tbl[[#This Row],[Dens]]&gt;900,vp.tbl[[#This Row],[Sulf]]&lt;=0.5,vp.tbl[[#This Row],[Unknown]]=0),1,0)</f>
        <v>0</v>
      </c>
      <c r="AF1347">
        <f>IF(AND(vp.tbl[[#This Row],[CrudeType]]="Crude",vp.tbl[[#This Row],[Dens]]&gt;900,vp.tbl[[#This Row],[Sulf]]&lt;=0.5,vp.tbl[[#This Row],[Unknown]]=0),1,0)</f>
        <v>0</v>
      </c>
      <c r="AG1347" t="str">
        <f>INDEX(vp.tbl[[#Headers],[Unknown]:[Heavy_SW]],MATCH(1,vp.tbl[[#This Row],[Unknown]:[Heavy_SW]],0))</f>
        <v>C5</v>
      </c>
      <c r="AH1347" t="e">
        <f>INDEX([1]!crudeBD.lkup[Number],MATCH(vp.tbl[[#This Row],[Crude_Breakdown]],[1]!crudeBD.lkup[Crude Breakdown],0))</f>
        <v>#REF!</v>
      </c>
      <c r="AI1347">
        <f>MONTH(vp.tbl[[#This Row],[SDate]])</f>
        <v>4</v>
      </c>
      <c r="AJ1347" s="5">
        <f>IFERROR(vp.tbl[[#This Row],[Sulf]]*vp.tbl[[#This Row],[Net Dens]],"")</f>
        <v>0</v>
      </c>
      <c r="AK1347" s="5">
        <f>IFERROR(vp.tbl[[#This Row],[Dens]]*vp.tbl[[#This Row],[VolumeM3]],"")</f>
        <v>22560.736000000001</v>
      </c>
      <c r="AL1347" s="5">
        <f>IFERROR(vp.tbl[[#This Row],[VP]]*vp.tbl[[#This Row],[VolumeM3]],"")</f>
        <v>3516.4480000000003</v>
      </c>
      <c r="AM1347" s="4">
        <f>IFERROR((vp.tbl[[#This Row],[VP]]-INDEX(crudeBD.lkup.complete[Mean_VP],MATCH(vp.tbl[[#This Row],[Crude_Breakdown]],crudeBD.lkup.complete[Crude Breakdown],0)))^2,"")</f>
        <v>0.22967330119371934</v>
      </c>
      <c r="AN1347" s="4">
        <f>IFERROR((vp.tbl[[#This Row],[Dens]]-INDEX(crudeBD.lkup.complete[Mean_Dens],MATCH(vp.tbl[[#This Row],[Crude_Breakdown]],crudeBD.lkup.complete[Crude Breakdown],0)))^2,"")</f>
        <v>0.6786264692377223</v>
      </c>
      <c r="AO1347" s="4">
        <f>IFERROR((vp.tbl[[#This Row],[Sulf]]-INDEX(crudeBD.lkup.complete[Mean_Sulf],MATCH(vp.tbl[[#This Row],[Crude_Breakdown]],crudeBD.lkup.complete[Crude Breakdown],0)))^2,"")</f>
        <v>0</v>
      </c>
      <c r="AP1347">
        <f>IF(AND(vp.tbl[[#This Row],[SDate]]&gt;=DATE(YEAR(vp.tbl[[#This Row],[SDate]]),5,1),vp.tbl[[#This Row],[SDate]]&lt;=DATE(YEAR(vp.tbl[[#This Row],[SDate]]),9,15)),1,0)</f>
        <v>0</v>
      </c>
      <c r="AQ1347" s="15">
        <f>IF(vp.tbl[[#This Row],[SDate]]&lt;DATE(2016,12,1),0,1)</f>
        <v>1</v>
      </c>
    </row>
    <row r="1348" spans="1:43" x14ac:dyDescent="0.25">
      <c r="A1348">
        <v>1347</v>
      </c>
      <c r="B1348" t="s">
        <v>275</v>
      </c>
      <c r="C1348" t="s">
        <v>276</v>
      </c>
      <c r="D1348" t="s">
        <v>277</v>
      </c>
      <c r="E1348">
        <v>327524</v>
      </c>
      <c r="F1348" s="1">
        <v>42853</v>
      </c>
      <c r="G1348" s="2">
        <v>95.4</v>
      </c>
      <c r="H1348" s="2">
        <v>0</v>
      </c>
      <c r="I1348" s="2">
        <v>0</v>
      </c>
      <c r="J1348" s="2">
        <v>18.02</v>
      </c>
      <c r="K1348" s="2">
        <v>15</v>
      </c>
      <c r="L1348" s="2">
        <v>657.7</v>
      </c>
      <c r="M1348" s="2">
        <v>657.7</v>
      </c>
      <c r="N1348" s="2">
        <f ca="1">INDEX(INDIRECT(_xlfn.CONCAT("weather.tbl[",N$1,"]")),MATCH(vp.tbl[[#This Row],[SDate]],weather.tbl[Date],0))</f>
        <v>5.0666666666666673</v>
      </c>
      <c r="O1348" s="2">
        <f ca="1">INDEX(INDIRECT(_xlfn.CONCAT("weather.tbl[",O$1,"]")),MATCH(vp.tbl[[#This Row],[SDate]],weather.tbl[Date],0))</f>
        <v>2.35952380952381</v>
      </c>
      <c r="P1348" s="2">
        <f ca="1">INDEX(INDIRECT(_xlfn.CONCAT("weather.tbl[",P$1,"]")),MATCH(vp.tbl[[#This Row],[SDate]],weather.tbl[Date],0))</f>
        <v>5.4</v>
      </c>
      <c r="Q1348" s="2">
        <f ca="1">INDEX(INDIRECT(_xlfn.CONCAT("weather.tbl[",Q$1,"]")),MATCH(vp.tbl[[#This Row],[SDate]],weather.tbl[Date],0))</f>
        <v>5.4</v>
      </c>
      <c r="R1348" s="2">
        <f ca="1">INDEX(INDIRECT(_xlfn.CONCAT("weather.tbl[",R$1,"]")),MATCH(vp.tbl[[#This Row],[SDate]],weather.tbl[Date],0))</f>
        <v>4.8</v>
      </c>
      <c r="S1348" s="2">
        <f ca="1">INDEX(INDIRECT(_xlfn.CONCAT("weather.tbl[",S$1,"]")),MATCH(vp.tbl[[#This Row],[SDate]],weather.tbl[Date],0))</f>
        <v>5</v>
      </c>
      <c r="T1348" s="2">
        <f ca="1">INDEX(INDIRECT(_xlfn.CONCAT("weather.tbl[",T$1,"]")),MATCH(vp.tbl[[#This Row],[SDate]],weather.tbl[Date],0))</f>
        <v>4.8</v>
      </c>
      <c r="U1348" s="2">
        <f ca="1">INDEX(INDIRECT(_xlfn.CONCAT("weather.tbl[",U$1,"]")),MATCH(vp.tbl[[#This Row],[SDate]],weather.tbl[Date],0))</f>
        <v>5</v>
      </c>
      <c r="V1348" s="2">
        <v>30.26</v>
      </c>
      <c r="W1348" t="s">
        <v>268</v>
      </c>
      <c r="X1348">
        <f>IF(OR(vp.tbl[[#This Row],[Sulf]]="",vp.tbl[[#This Row],[Dens]]=""),1,0)</f>
        <v>0</v>
      </c>
      <c r="Y1348">
        <f>IF(vp.tbl[[#This Row],[CrudeType]]="C5+",1,0)</f>
        <v>1</v>
      </c>
      <c r="Z1348">
        <f>IF(AND(vp.tbl[[#This Row],[CrudeType]]="Crude",vp.tbl[[#This Row],[Dens]]&lt;=825,vp.tbl[[#This Row],[Sulf]]&gt;0.5,vp.tbl[[#This Row],[Unknown]]=0),1,0)</f>
        <v>0</v>
      </c>
      <c r="AA1348">
        <f>IF(AND(vp.tbl[[#This Row],[CrudeType]]="Crude",vp.tbl[[#This Row],[Dens]]&lt;=825,vp.tbl[[#This Row],[Sulf]]&lt;=0.5,vp.tbl[[#This Row],[Unknown]]=0),1,0)</f>
        <v>0</v>
      </c>
      <c r="AB1348">
        <f>IF(AND(vp.tbl[[#This Row],[CrudeType]]="Crude",vp.tbl[[#This Row],[Dens]]&gt;825,vp.tbl[[#This Row],[Dens]]&lt;=870,vp.tbl[[#This Row],[Sulf]]&gt;0.5,vp.tbl[[#This Row],[Unknown]]=0),1,0)</f>
        <v>0</v>
      </c>
      <c r="AC1348">
        <f>IF(AND(vp.tbl[[#This Row],[CrudeType]]="Crude",vp.tbl[[#This Row],[Dens]]&gt;825,vp.tbl[[#This Row],[Dens]]&lt;=900,vp.tbl[[#This Row],[Sulf]]&lt;=0.5,vp.tbl[[#This Row],[Unknown]]=0),1,0)</f>
        <v>0</v>
      </c>
      <c r="AD1348">
        <f>IF(AND(vp.tbl[[#This Row],[CrudeType]]="Crude",vp.tbl[[#This Row],[Dens]]&gt;870,vp.tbl[[#This Row],[Dens]]&lt;=900,vp.tbl[[#This Row],[Sulf]]&gt;0.5,vp.tbl[[#This Row],[Unknown]]=0),1,0)</f>
        <v>0</v>
      </c>
      <c r="AE1348">
        <f>IF(AND(vp.tbl[[#This Row],[CrudeType]]="Crude",vp.tbl[[#This Row],[Dens]]&gt;900,vp.tbl[[#This Row],[Sulf]]&lt;=0.5,vp.tbl[[#This Row],[Unknown]]=0),1,0)</f>
        <v>0</v>
      </c>
      <c r="AF1348">
        <f>IF(AND(vp.tbl[[#This Row],[CrudeType]]="Crude",vp.tbl[[#This Row],[Dens]]&gt;900,vp.tbl[[#This Row],[Sulf]]&lt;=0.5,vp.tbl[[#This Row],[Unknown]]=0),1,0)</f>
        <v>0</v>
      </c>
      <c r="AG1348" t="str">
        <f>INDEX(vp.tbl[[#Headers],[Unknown]:[Heavy_SW]],MATCH(1,vp.tbl[[#This Row],[Unknown]:[Heavy_SW]],0))</f>
        <v>C5</v>
      </c>
      <c r="AH1348" t="e">
        <f>INDEX([1]!crudeBD.lkup[Number],MATCH(vp.tbl[[#This Row],[Crude_Breakdown]],[1]!crudeBD.lkup[Crude Breakdown],0))</f>
        <v>#REF!</v>
      </c>
      <c r="AI1348">
        <f>MONTH(vp.tbl[[#This Row],[SDate]])</f>
        <v>4</v>
      </c>
      <c r="AJ1348" s="5">
        <f>IFERROR(vp.tbl[[#This Row],[Sulf]]*vp.tbl[[#This Row],[Net Dens]],"")</f>
        <v>0</v>
      </c>
      <c r="AK1348" s="5">
        <f>IFERROR(vp.tbl[[#This Row],[Dens]]*vp.tbl[[#This Row],[VolumeM3]],"")</f>
        <v>19902.002000000004</v>
      </c>
      <c r="AL1348" s="5">
        <f>IFERROR(vp.tbl[[#This Row],[VP]]*vp.tbl[[#This Row],[VolumeM3]],"")</f>
        <v>2886.8040000000005</v>
      </c>
      <c r="AM1348" s="4">
        <f>IFERROR((vp.tbl[[#This Row],[VP]]-INDEX(crudeBD.lkup.complete[Mean_VP],MATCH(vp.tbl[[#This Row],[Crude_Breakdown]],crudeBD.lkup.complete[Crude Breakdown],0)))^2,"")</f>
        <v>60.516612695132515</v>
      </c>
      <c r="AN1348" s="4">
        <f>IFERROR((vp.tbl[[#This Row],[Dens]]-INDEX(crudeBD.lkup.complete[Mean_Dens],MATCH(vp.tbl[[#This Row],[Crude_Breakdown]],crudeBD.lkup.complete[Crude Breakdown],0)))^2,"")</f>
        <v>0.14153556014692295</v>
      </c>
      <c r="AO1348" s="4">
        <f>IFERROR((vp.tbl[[#This Row],[Sulf]]-INDEX(crudeBD.lkup.complete[Mean_Sulf],MATCH(vp.tbl[[#This Row],[Crude_Breakdown]],crudeBD.lkup.complete[Crude Breakdown],0)))^2,"")</f>
        <v>0</v>
      </c>
      <c r="AP1348">
        <f>IF(AND(vp.tbl[[#This Row],[SDate]]&gt;=DATE(YEAR(vp.tbl[[#This Row],[SDate]]),5,1),vp.tbl[[#This Row],[SDate]]&lt;=DATE(YEAR(vp.tbl[[#This Row],[SDate]]),9,15)),1,0)</f>
        <v>0</v>
      </c>
      <c r="AQ1348" s="15">
        <f>IF(vp.tbl[[#This Row],[SDate]]&lt;DATE(2016,12,1),0,1)</f>
        <v>1</v>
      </c>
    </row>
    <row r="1349" spans="1:43" x14ac:dyDescent="0.25">
      <c r="A1349">
        <v>1348</v>
      </c>
      <c r="B1349" t="s">
        <v>275</v>
      </c>
      <c r="C1349" t="s">
        <v>276</v>
      </c>
      <c r="D1349" t="s">
        <v>277</v>
      </c>
      <c r="E1349">
        <v>328346</v>
      </c>
      <c r="F1349" s="1">
        <v>42858</v>
      </c>
      <c r="G1349" s="2">
        <v>94.4</v>
      </c>
      <c r="H1349" s="2">
        <v>0</v>
      </c>
      <c r="I1349" s="2">
        <v>0</v>
      </c>
      <c r="J1349" s="2">
        <v>19.399999999999999</v>
      </c>
      <c r="K1349" s="2">
        <v>14</v>
      </c>
      <c r="L1349" s="2">
        <v>658.8</v>
      </c>
      <c r="M1349" s="2">
        <v>658.8</v>
      </c>
      <c r="N1349" s="2">
        <f ca="1">INDEX(INDIRECT(_xlfn.CONCAT("weather.tbl[",N$1,"]")),MATCH(vp.tbl[[#This Row],[SDate]],weather.tbl[Date],0))</f>
        <v>9.5333333333333332</v>
      </c>
      <c r="O1349" s="2">
        <f ca="1">INDEX(INDIRECT(_xlfn.CONCAT("weather.tbl[",O$1,"]")),MATCH(vp.tbl[[#This Row],[SDate]],weather.tbl[Date],0))</f>
        <v>7.8952380952380965</v>
      </c>
      <c r="P1349" s="2">
        <f ca="1">INDEX(INDIRECT(_xlfn.CONCAT("weather.tbl[",P$1,"]")),MATCH(vp.tbl[[#This Row],[SDate]],weather.tbl[Date],0))</f>
        <v>9.5</v>
      </c>
      <c r="Q1349" s="2">
        <f ca="1">INDEX(INDIRECT(_xlfn.CONCAT("weather.tbl[",Q$1,"]")),MATCH(vp.tbl[[#This Row],[SDate]],weather.tbl[Date],0))</f>
        <v>9</v>
      </c>
      <c r="R1349" s="2">
        <f ca="1">INDEX(INDIRECT(_xlfn.CONCAT("weather.tbl[",R$1,"]")),MATCH(vp.tbl[[#This Row],[SDate]],weather.tbl[Date],0))</f>
        <v>10</v>
      </c>
      <c r="S1349" s="2">
        <f ca="1">INDEX(INDIRECT(_xlfn.CONCAT("weather.tbl[",S$1,"]")),MATCH(vp.tbl[[#This Row],[SDate]],weather.tbl[Date],0))</f>
        <v>9.4</v>
      </c>
      <c r="T1349" s="2">
        <f ca="1">INDEX(INDIRECT(_xlfn.CONCAT("weather.tbl[",T$1,"]")),MATCH(vp.tbl[[#This Row],[SDate]],weather.tbl[Date],0))</f>
        <v>10</v>
      </c>
      <c r="U1349" s="2">
        <f ca="1">INDEX(INDIRECT(_xlfn.CONCAT("weather.tbl[",U$1,"]")),MATCH(vp.tbl[[#This Row],[SDate]],weather.tbl[Date],0))</f>
        <v>9.3000000000000007</v>
      </c>
      <c r="V1349" s="2">
        <v>37.450000000000003</v>
      </c>
      <c r="W1349" t="s">
        <v>268</v>
      </c>
      <c r="X1349">
        <f>IF(OR(vp.tbl[[#This Row],[Sulf]]="",vp.tbl[[#This Row],[Dens]]=""),1,0)</f>
        <v>0</v>
      </c>
      <c r="Y1349">
        <f>IF(vp.tbl[[#This Row],[CrudeType]]="C5+",1,0)</f>
        <v>1</v>
      </c>
      <c r="Z1349">
        <f>IF(AND(vp.tbl[[#This Row],[CrudeType]]="Crude",vp.tbl[[#This Row],[Dens]]&lt;=825,vp.tbl[[#This Row],[Sulf]]&gt;0.5,vp.tbl[[#This Row],[Unknown]]=0),1,0)</f>
        <v>0</v>
      </c>
      <c r="AA1349">
        <f>IF(AND(vp.tbl[[#This Row],[CrudeType]]="Crude",vp.tbl[[#This Row],[Dens]]&lt;=825,vp.tbl[[#This Row],[Sulf]]&lt;=0.5,vp.tbl[[#This Row],[Unknown]]=0),1,0)</f>
        <v>0</v>
      </c>
      <c r="AB1349">
        <f>IF(AND(vp.tbl[[#This Row],[CrudeType]]="Crude",vp.tbl[[#This Row],[Dens]]&gt;825,vp.tbl[[#This Row],[Dens]]&lt;=870,vp.tbl[[#This Row],[Sulf]]&gt;0.5,vp.tbl[[#This Row],[Unknown]]=0),1,0)</f>
        <v>0</v>
      </c>
      <c r="AC1349">
        <f>IF(AND(vp.tbl[[#This Row],[CrudeType]]="Crude",vp.tbl[[#This Row],[Dens]]&gt;825,vp.tbl[[#This Row],[Dens]]&lt;=900,vp.tbl[[#This Row],[Sulf]]&lt;=0.5,vp.tbl[[#This Row],[Unknown]]=0),1,0)</f>
        <v>0</v>
      </c>
      <c r="AD1349">
        <f>IF(AND(vp.tbl[[#This Row],[CrudeType]]="Crude",vp.tbl[[#This Row],[Dens]]&gt;870,vp.tbl[[#This Row],[Dens]]&lt;=900,vp.tbl[[#This Row],[Sulf]]&gt;0.5,vp.tbl[[#This Row],[Unknown]]=0),1,0)</f>
        <v>0</v>
      </c>
      <c r="AE1349">
        <f>IF(AND(vp.tbl[[#This Row],[CrudeType]]="Crude",vp.tbl[[#This Row],[Dens]]&gt;900,vp.tbl[[#This Row],[Sulf]]&lt;=0.5,vp.tbl[[#This Row],[Unknown]]=0),1,0)</f>
        <v>0</v>
      </c>
      <c r="AF1349">
        <f>IF(AND(vp.tbl[[#This Row],[CrudeType]]="Crude",vp.tbl[[#This Row],[Dens]]&gt;900,vp.tbl[[#This Row],[Sulf]]&lt;=0.5,vp.tbl[[#This Row],[Unknown]]=0),1,0)</f>
        <v>0</v>
      </c>
      <c r="AG1349" t="str">
        <f>INDEX(vp.tbl[[#Headers],[Unknown]:[Heavy_SW]],MATCH(1,vp.tbl[[#This Row],[Unknown]:[Heavy_SW]],0))</f>
        <v>C5</v>
      </c>
      <c r="AH1349" t="e">
        <f>INDEX([1]!crudeBD.lkup[Number],MATCH(vp.tbl[[#This Row],[Crude_Breakdown]],[1]!crudeBD.lkup[Crude Breakdown],0))</f>
        <v>#REF!</v>
      </c>
      <c r="AI1349">
        <f>MONTH(vp.tbl[[#This Row],[SDate]])</f>
        <v>5</v>
      </c>
      <c r="AJ1349" s="5">
        <f>IFERROR(vp.tbl[[#This Row],[Sulf]]*vp.tbl[[#This Row],[Net Dens]],"")</f>
        <v>0</v>
      </c>
      <c r="AK1349" s="5">
        <f>IFERROR(vp.tbl[[#This Row],[Dens]]*vp.tbl[[#This Row],[VolumeM3]],"")</f>
        <v>24672.06</v>
      </c>
      <c r="AL1349" s="5">
        <f>IFERROR(vp.tbl[[#This Row],[VP]]*vp.tbl[[#This Row],[VolumeM3]],"")</f>
        <v>3535.2800000000007</v>
      </c>
      <c r="AM1349" s="4">
        <f>IFERROR((vp.tbl[[#This Row],[VP]]-INDEX(crudeBD.lkup.complete[Mean_VP],MATCH(vp.tbl[[#This Row],[Crude_Breakdown]],crudeBD.lkup.complete[Crude Breakdown],0)))^2,"")</f>
        <v>77.075097543617275</v>
      </c>
      <c r="AN1349" s="4">
        <f>IFERROR((vp.tbl[[#This Row],[Dens]]-INDEX(crudeBD.lkup.complete[Mean_Dens],MATCH(vp.tbl[[#This Row],[Crude_Breakdown]],crudeBD.lkup.complete[Crude Breakdown],0)))^2,"")</f>
        <v>0.52386889348012711</v>
      </c>
      <c r="AO1349" s="4">
        <f>IFERROR((vp.tbl[[#This Row],[Sulf]]-INDEX(crudeBD.lkup.complete[Mean_Sulf],MATCH(vp.tbl[[#This Row],[Crude_Breakdown]],crudeBD.lkup.complete[Crude Breakdown],0)))^2,"")</f>
        <v>0</v>
      </c>
      <c r="AP1349">
        <f>IF(AND(vp.tbl[[#This Row],[SDate]]&gt;=DATE(YEAR(vp.tbl[[#This Row],[SDate]]),5,1),vp.tbl[[#This Row],[SDate]]&lt;=DATE(YEAR(vp.tbl[[#This Row],[SDate]]),9,15)),1,0)</f>
        <v>1</v>
      </c>
      <c r="AQ1349" s="15">
        <f>IF(vp.tbl[[#This Row],[SDate]]&lt;DATE(2016,12,1),0,1)</f>
        <v>1</v>
      </c>
    </row>
    <row r="1350" spans="1:43" x14ac:dyDescent="0.25">
      <c r="A1350">
        <v>1349</v>
      </c>
      <c r="B1350" t="s">
        <v>269</v>
      </c>
      <c r="C1350" t="s">
        <v>270</v>
      </c>
      <c r="D1350" t="s">
        <v>271</v>
      </c>
      <c r="E1350">
        <v>328351</v>
      </c>
      <c r="F1350" s="1">
        <v>42858</v>
      </c>
      <c r="G1350" s="2">
        <v>103.1</v>
      </c>
      <c r="H1350" s="2">
        <v>0</v>
      </c>
      <c r="I1350" s="2">
        <v>0</v>
      </c>
      <c r="J1350" s="2">
        <v>16.399999999999999</v>
      </c>
      <c r="K1350" s="2">
        <v>14</v>
      </c>
      <c r="L1350" s="2">
        <v>658.9</v>
      </c>
      <c r="M1350" s="2">
        <v>658.9</v>
      </c>
      <c r="N1350" s="2">
        <f ca="1">INDEX(INDIRECT(_xlfn.CONCAT("weather.tbl[",N$1,"]")),MATCH(vp.tbl[[#This Row],[SDate]],weather.tbl[Date],0))</f>
        <v>9.5333333333333332</v>
      </c>
      <c r="O1350" s="2">
        <f ca="1">INDEX(INDIRECT(_xlfn.CONCAT("weather.tbl[",O$1,"]")),MATCH(vp.tbl[[#This Row],[SDate]],weather.tbl[Date],0))</f>
        <v>7.8952380952380965</v>
      </c>
      <c r="P1350" s="2">
        <f ca="1">INDEX(INDIRECT(_xlfn.CONCAT("weather.tbl[",P$1,"]")),MATCH(vp.tbl[[#This Row],[SDate]],weather.tbl[Date],0))</f>
        <v>9.5</v>
      </c>
      <c r="Q1350" s="2">
        <f ca="1">INDEX(INDIRECT(_xlfn.CONCAT("weather.tbl[",Q$1,"]")),MATCH(vp.tbl[[#This Row],[SDate]],weather.tbl[Date],0))</f>
        <v>9</v>
      </c>
      <c r="R1350" s="2">
        <f ca="1">INDEX(INDIRECT(_xlfn.CONCAT("weather.tbl[",R$1,"]")),MATCH(vp.tbl[[#This Row],[SDate]],weather.tbl[Date],0))</f>
        <v>10</v>
      </c>
      <c r="S1350" s="2">
        <f ca="1">INDEX(INDIRECT(_xlfn.CONCAT("weather.tbl[",S$1,"]")),MATCH(vp.tbl[[#This Row],[SDate]],weather.tbl[Date],0))</f>
        <v>9.4</v>
      </c>
      <c r="T1350" s="2">
        <f ca="1">INDEX(INDIRECT(_xlfn.CONCAT("weather.tbl[",T$1,"]")),MATCH(vp.tbl[[#This Row],[SDate]],weather.tbl[Date],0))</f>
        <v>10</v>
      </c>
      <c r="U1350" s="2">
        <f ca="1">INDEX(INDIRECT(_xlfn.CONCAT("weather.tbl[",U$1,"]")),MATCH(vp.tbl[[#This Row],[SDate]],weather.tbl[Date],0))</f>
        <v>9.3000000000000007</v>
      </c>
      <c r="V1350" s="2">
        <v>29.26</v>
      </c>
      <c r="W1350" t="s">
        <v>268</v>
      </c>
      <c r="X1350">
        <f>IF(OR(vp.tbl[[#This Row],[Sulf]]="",vp.tbl[[#This Row],[Dens]]=""),1,0)</f>
        <v>0</v>
      </c>
      <c r="Y1350">
        <f>IF(vp.tbl[[#This Row],[CrudeType]]="C5+",1,0)</f>
        <v>1</v>
      </c>
      <c r="Z1350">
        <f>IF(AND(vp.tbl[[#This Row],[CrudeType]]="Crude",vp.tbl[[#This Row],[Dens]]&lt;=825,vp.tbl[[#This Row],[Sulf]]&gt;0.5,vp.tbl[[#This Row],[Unknown]]=0),1,0)</f>
        <v>0</v>
      </c>
      <c r="AA1350">
        <f>IF(AND(vp.tbl[[#This Row],[CrudeType]]="Crude",vp.tbl[[#This Row],[Dens]]&lt;=825,vp.tbl[[#This Row],[Sulf]]&lt;=0.5,vp.tbl[[#This Row],[Unknown]]=0),1,0)</f>
        <v>0</v>
      </c>
      <c r="AB1350">
        <f>IF(AND(vp.tbl[[#This Row],[CrudeType]]="Crude",vp.tbl[[#This Row],[Dens]]&gt;825,vp.tbl[[#This Row],[Dens]]&lt;=870,vp.tbl[[#This Row],[Sulf]]&gt;0.5,vp.tbl[[#This Row],[Unknown]]=0),1,0)</f>
        <v>0</v>
      </c>
      <c r="AC1350">
        <f>IF(AND(vp.tbl[[#This Row],[CrudeType]]="Crude",vp.tbl[[#This Row],[Dens]]&gt;825,vp.tbl[[#This Row],[Dens]]&lt;=900,vp.tbl[[#This Row],[Sulf]]&lt;=0.5,vp.tbl[[#This Row],[Unknown]]=0),1,0)</f>
        <v>0</v>
      </c>
      <c r="AD1350">
        <f>IF(AND(vp.tbl[[#This Row],[CrudeType]]="Crude",vp.tbl[[#This Row],[Dens]]&gt;870,vp.tbl[[#This Row],[Dens]]&lt;=900,vp.tbl[[#This Row],[Sulf]]&gt;0.5,vp.tbl[[#This Row],[Unknown]]=0),1,0)</f>
        <v>0</v>
      </c>
      <c r="AE1350">
        <f>IF(AND(vp.tbl[[#This Row],[CrudeType]]="Crude",vp.tbl[[#This Row],[Dens]]&gt;900,vp.tbl[[#This Row],[Sulf]]&lt;=0.5,vp.tbl[[#This Row],[Unknown]]=0),1,0)</f>
        <v>0</v>
      </c>
      <c r="AF1350">
        <f>IF(AND(vp.tbl[[#This Row],[CrudeType]]="Crude",vp.tbl[[#This Row],[Dens]]&gt;900,vp.tbl[[#This Row],[Sulf]]&lt;=0.5,vp.tbl[[#This Row],[Unknown]]=0),1,0)</f>
        <v>0</v>
      </c>
      <c r="AG1350" t="str">
        <f>INDEX(vp.tbl[[#Headers],[Unknown]:[Heavy_SW]],MATCH(1,vp.tbl[[#This Row],[Unknown]:[Heavy_SW]],0))</f>
        <v>C5</v>
      </c>
      <c r="AH1350" t="e">
        <f>INDEX([1]!crudeBD.lkup[Number],MATCH(vp.tbl[[#This Row],[Crude_Breakdown]],[1]!crudeBD.lkup[Crude Breakdown],0))</f>
        <v>#REF!</v>
      </c>
      <c r="AI1350">
        <f>MONTH(vp.tbl[[#This Row],[SDate]])</f>
        <v>5</v>
      </c>
      <c r="AJ1350" s="5">
        <f>IFERROR(vp.tbl[[#This Row],[Sulf]]*vp.tbl[[#This Row],[Net Dens]],"")</f>
        <v>0</v>
      </c>
      <c r="AK1350" s="5">
        <f>IFERROR(vp.tbl[[#This Row],[Dens]]*vp.tbl[[#This Row],[VolumeM3]],"")</f>
        <v>19279.414000000001</v>
      </c>
      <c r="AL1350" s="5">
        <f>IFERROR(vp.tbl[[#This Row],[VP]]*vp.tbl[[#This Row],[VolumeM3]],"")</f>
        <v>3016.7060000000001</v>
      </c>
      <c r="AM1350" s="4">
        <f>IFERROR((vp.tbl[[#This Row],[VP]]-INDEX(crudeBD.lkup.complete[Mean_VP],MATCH(vp.tbl[[#This Row],[Crude_Breakdown]],crudeBD.lkup.complete[Crude Breakdown],0)))^2,"")</f>
        <v>6.2793617998116802E-3</v>
      </c>
      <c r="AN1350" s="4">
        <f>IFERROR((vp.tbl[[#This Row],[Dens]]-INDEX(crudeBD.lkup.complete[Mean_Dens],MATCH(vp.tbl[[#This Row],[Crude_Breakdown]],crudeBD.lkup.complete[Crude Breakdown],0)))^2,"")</f>
        <v>0.6786264692377223</v>
      </c>
      <c r="AO1350" s="4">
        <f>IFERROR((vp.tbl[[#This Row],[Sulf]]-INDEX(crudeBD.lkup.complete[Mean_Sulf],MATCH(vp.tbl[[#This Row],[Crude_Breakdown]],crudeBD.lkup.complete[Crude Breakdown],0)))^2,"")</f>
        <v>0</v>
      </c>
      <c r="AP1350">
        <f>IF(AND(vp.tbl[[#This Row],[SDate]]&gt;=DATE(YEAR(vp.tbl[[#This Row],[SDate]]),5,1),vp.tbl[[#This Row],[SDate]]&lt;=DATE(YEAR(vp.tbl[[#This Row],[SDate]]),9,15)),1,0)</f>
        <v>1</v>
      </c>
      <c r="AQ1350" s="15">
        <f>IF(vp.tbl[[#This Row],[SDate]]&lt;DATE(2016,12,1),0,1)</f>
        <v>1</v>
      </c>
    </row>
    <row r="1351" spans="1:43" x14ac:dyDescent="0.25">
      <c r="A1351">
        <v>1350</v>
      </c>
      <c r="B1351" t="s">
        <v>272</v>
      </c>
      <c r="C1351" t="s">
        <v>282</v>
      </c>
      <c r="D1351" t="s">
        <v>283</v>
      </c>
      <c r="E1351">
        <v>328342</v>
      </c>
      <c r="F1351" s="1">
        <v>42858</v>
      </c>
      <c r="G1351" s="2">
        <v>107.3</v>
      </c>
      <c r="H1351" s="2">
        <v>0</v>
      </c>
      <c r="I1351" s="2">
        <v>0</v>
      </c>
      <c r="J1351" s="2">
        <v>16</v>
      </c>
      <c r="K1351" s="2">
        <v>14</v>
      </c>
      <c r="L1351" s="2">
        <v>633.1</v>
      </c>
      <c r="M1351" s="2">
        <v>633.1</v>
      </c>
      <c r="N1351" s="2">
        <f ca="1">INDEX(INDIRECT(_xlfn.CONCAT("weather.tbl[",N$1,"]")),MATCH(vp.tbl[[#This Row],[SDate]],weather.tbl[Date],0))</f>
        <v>9.5333333333333332</v>
      </c>
      <c r="O1351" s="2">
        <f ca="1">INDEX(INDIRECT(_xlfn.CONCAT("weather.tbl[",O$1,"]")),MATCH(vp.tbl[[#This Row],[SDate]],weather.tbl[Date],0))</f>
        <v>7.8952380952380965</v>
      </c>
      <c r="P1351" s="2">
        <f ca="1">INDEX(INDIRECT(_xlfn.CONCAT("weather.tbl[",P$1,"]")),MATCH(vp.tbl[[#This Row],[SDate]],weather.tbl[Date],0))</f>
        <v>9.5</v>
      </c>
      <c r="Q1351" s="2">
        <f ca="1">INDEX(INDIRECT(_xlfn.CONCAT("weather.tbl[",Q$1,"]")),MATCH(vp.tbl[[#This Row],[SDate]],weather.tbl[Date],0))</f>
        <v>9</v>
      </c>
      <c r="R1351" s="2">
        <f ca="1">INDEX(INDIRECT(_xlfn.CONCAT("weather.tbl[",R$1,"]")),MATCH(vp.tbl[[#This Row],[SDate]],weather.tbl[Date],0))</f>
        <v>10</v>
      </c>
      <c r="S1351" s="2">
        <f ca="1">INDEX(INDIRECT(_xlfn.CONCAT("weather.tbl[",S$1,"]")),MATCH(vp.tbl[[#This Row],[SDate]],weather.tbl[Date],0))</f>
        <v>9.4</v>
      </c>
      <c r="T1351" s="2">
        <f ca="1">INDEX(INDIRECT(_xlfn.CONCAT("weather.tbl[",T$1,"]")),MATCH(vp.tbl[[#This Row],[SDate]],weather.tbl[Date],0))</f>
        <v>10</v>
      </c>
      <c r="U1351" s="2">
        <f ca="1">INDEX(INDIRECT(_xlfn.CONCAT("weather.tbl[",U$1,"]")),MATCH(vp.tbl[[#This Row],[SDate]],weather.tbl[Date],0))</f>
        <v>9.3000000000000007</v>
      </c>
      <c r="V1351" s="2">
        <v>27.33</v>
      </c>
      <c r="W1351" t="s">
        <v>268</v>
      </c>
      <c r="X1351">
        <f>IF(OR(vp.tbl[[#This Row],[Sulf]]="",vp.tbl[[#This Row],[Dens]]=""),1,0)</f>
        <v>0</v>
      </c>
      <c r="Y1351">
        <f>IF(vp.tbl[[#This Row],[CrudeType]]="C5+",1,0)</f>
        <v>1</v>
      </c>
      <c r="Z1351">
        <f>IF(AND(vp.tbl[[#This Row],[CrudeType]]="Crude",vp.tbl[[#This Row],[Dens]]&lt;=825,vp.tbl[[#This Row],[Sulf]]&gt;0.5,vp.tbl[[#This Row],[Unknown]]=0),1,0)</f>
        <v>0</v>
      </c>
      <c r="AA1351">
        <f>IF(AND(vp.tbl[[#This Row],[CrudeType]]="Crude",vp.tbl[[#This Row],[Dens]]&lt;=825,vp.tbl[[#This Row],[Sulf]]&lt;=0.5,vp.tbl[[#This Row],[Unknown]]=0),1,0)</f>
        <v>0</v>
      </c>
      <c r="AB1351">
        <f>IF(AND(vp.tbl[[#This Row],[CrudeType]]="Crude",vp.tbl[[#This Row],[Dens]]&gt;825,vp.tbl[[#This Row],[Dens]]&lt;=870,vp.tbl[[#This Row],[Sulf]]&gt;0.5,vp.tbl[[#This Row],[Unknown]]=0),1,0)</f>
        <v>0</v>
      </c>
      <c r="AC1351">
        <f>IF(AND(vp.tbl[[#This Row],[CrudeType]]="Crude",vp.tbl[[#This Row],[Dens]]&gt;825,vp.tbl[[#This Row],[Dens]]&lt;=900,vp.tbl[[#This Row],[Sulf]]&lt;=0.5,vp.tbl[[#This Row],[Unknown]]=0),1,0)</f>
        <v>0</v>
      </c>
      <c r="AD1351">
        <f>IF(AND(vp.tbl[[#This Row],[CrudeType]]="Crude",vp.tbl[[#This Row],[Dens]]&gt;870,vp.tbl[[#This Row],[Dens]]&lt;=900,vp.tbl[[#This Row],[Sulf]]&gt;0.5,vp.tbl[[#This Row],[Unknown]]=0),1,0)</f>
        <v>0</v>
      </c>
      <c r="AE1351">
        <f>IF(AND(vp.tbl[[#This Row],[CrudeType]]="Crude",vp.tbl[[#This Row],[Dens]]&gt;900,vp.tbl[[#This Row],[Sulf]]&lt;=0.5,vp.tbl[[#This Row],[Unknown]]=0),1,0)</f>
        <v>0</v>
      </c>
      <c r="AF1351">
        <f>IF(AND(vp.tbl[[#This Row],[CrudeType]]="Crude",vp.tbl[[#This Row],[Dens]]&gt;900,vp.tbl[[#This Row],[Sulf]]&lt;=0.5,vp.tbl[[#This Row],[Unknown]]=0),1,0)</f>
        <v>0</v>
      </c>
      <c r="AG1351" t="str">
        <f>INDEX(vp.tbl[[#Headers],[Unknown]:[Heavy_SW]],MATCH(1,vp.tbl[[#This Row],[Unknown]:[Heavy_SW]],0))</f>
        <v>C5</v>
      </c>
      <c r="AH1351" t="e">
        <f>INDEX([1]!crudeBD.lkup[Number],MATCH(vp.tbl[[#This Row],[Crude_Breakdown]],[1]!crudeBD.lkup[Crude Breakdown],0))</f>
        <v>#REF!</v>
      </c>
      <c r="AI1351">
        <f>MONTH(vp.tbl[[#This Row],[SDate]])</f>
        <v>5</v>
      </c>
      <c r="AJ1351" s="5">
        <f>IFERROR(vp.tbl[[#This Row],[Sulf]]*vp.tbl[[#This Row],[Net Dens]],"")</f>
        <v>0</v>
      </c>
      <c r="AK1351" s="5">
        <f>IFERROR(vp.tbl[[#This Row],[Dens]]*vp.tbl[[#This Row],[VolumeM3]],"")</f>
        <v>17302.623</v>
      </c>
      <c r="AL1351" s="5">
        <f>IFERROR(vp.tbl[[#This Row],[VP]]*vp.tbl[[#This Row],[VolumeM3]],"")</f>
        <v>2932.5089999999996</v>
      </c>
      <c r="AM1351" s="4">
        <f>IFERROR((vp.tbl[[#This Row],[VP]]-INDEX(crudeBD.lkup.complete[Mean_VP],MATCH(vp.tbl[[#This Row],[Crude_Breakdown]],crudeBD.lkup.complete[Crude Breakdown],0)))^2,"")</f>
        <v>16.98064299816372</v>
      </c>
      <c r="AN1351" s="4">
        <f>IFERROR((vp.tbl[[#This Row],[Dens]]-INDEX(crudeBD.lkup.complete[Mean_Dens],MATCH(vp.tbl[[#This Row],[Crude_Breakdown]],crudeBD.lkup.complete[Crude Breakdown],0)))^2,"")</f>
        <v>623.8111719237844</v>
      </c>
      <c r="AO1351" s="4">
        <f>IFERROR((vp.tbl[[#This Row],[Sulf]]-INDEX(crudeBD.lkup.complete[Mean_Sulf],MATCH(vp.tbl[[#This Row],[Crude_Breakdown]],crudeBD.lkup.complete[Crude Breakdown],0)))^2,"")</f>
        <v>0</v>
      </c>
      <c r="AP1351">
        <f>IF(AND(vp.tbl[[#This Row],[SDate]]&gt;=DATE(YEAR(vp.tbl[[#This Row],[SDate]]),5,1),vp.tbl[[#This Row],[SDate]]&lt;=DATE(YEAR(vp.tbl[[#This Row],[SDate]]),9,15)),1,0)</f>
        <v>1</v>
      </c>
      <c r="AQ1351" s="15">
        <f>IF(vp.tbl[[#This Row],[SDate]]&lt;DATE(2016,12,1),0,1)</f>
        <v>1</v>
      </c>
    </row>
    <row r="1352" spans="1:43" x14ac:dyDescent="0.25">
      <c r="A1352">
        <v>1351</v>
      </c>
      <c r="B1352" t="s">
        <v>284</v>
      </c>
      <c r="C1352" t="s">
        <v>266</v>
      </c>
      <c r="D1352" t="s">
        <v>267</v>
      </c>
      <c r="E1352">
        <v>328347</v>
      </c>
      <c r="F1352" s="1">
        <v>42858</v>
      </c>
      <c r="G1352" s="2">
        <v>103.1</v>
      </c>
      <c r="H1352" s="2">
        <v>0</v>
      </c>
      <c r="I1352" s="2">
        <v>0</v>
      </c>
      <c r="J1352" s="2">
        <v>15.2</v>
      </c>
      <c r="K1352" s="2">
        <v>14</v>
      </c>
      <c r="L1352" s="2">
        <v>657.1</v>
      </c>
      <c r="M1352" s="2">
        <v>657.1</v>
      </c>
      <c r="N1352" s="2">
        <f ca="1">INDEX(INDIRECT(_xlfn.CONCAT("weather.tbl[",N$1,"]")),MATCH(vp.tbl[[#This Row],[SDate]],weather.tbl[Date],0))</f>
        <v>9.5333333333333332</v>
      </c>
      <c r="O1352" s="2">
        <f ca="1">INDEX(INDIRECT(_xlfn.CONCAT("weather.tbl[",O$1,"]")),MATCH(vp.tbl[[#This Row],[SDate]],weather.tbl[Date],0))</f>
        <v>7.8952380952380965</v>
      </c>
      <c r="P1352" s="2">
        <f ca="1">INDEX(INDIRECT(_xlfn.CONCAT("weather.tbl[",P$1,"]")),MATCH(vp.tbl[[#This Row],[SDate]],weather.tbl[Date],0))</f>
        <v>9.5</v>
      </c>
      <c r="Q1352" s="2">
        <f ca="1">INDEX(INDIRECT(_xlfn.CONCAT("weather.tbl[",Q$1,"]")),MATCH(vp.tbl[[#This Row],[SDate]],weather.tbl[Date],0))</f>
        <v>9</v>
      </c>
      <c r="R1352" s="2">
        <f ca="1">INDEX(INDIRECT(_xlfn.CONCAT("weather.tbl[",R$1,"]")),MATCH(vp.tbl[[#This Row],[SDate]],weather.tbl[Date],0))</f>
        <v>10</v>
      </c>
      <c r="S1352" s="2">
        <f ca="1">INDEX(INDIRECT(_xlfn.CONCAT("weather.tbl[",S$1,"]")),MATCH(vp.tbl[[#This Row],[SDate]],weather.tbl[Date],0))</f>
        <v>9.4</v>
      </c>
      <c r="T1352" s="2">
        <f ca="1">INDEX(INDIRECT(_xlfn.CONCAT("weather.tbl[",T$1,"]")),MATCH(vp.tbl[[#This Row],[SDate]],weather.tbl[Date],0))</f>
        <v>10</v>
      </c>
      <c r="U1352" s="2">
        <f ca="1">INDEX(INDIRECT(_xlfn.CONCAT("weather.tbl[",U$1,"]")),MATCH(vp.tbl[[#This Row],[SDate]],weather.tbl[Date],0))</f>
        <v>9.3000000000000007</v>
      </c>
      <c r="V1352" s="2">
        <v>30.48</v>
      </c>
      <c r="W1352" t="s">
        <v>268</v>
      </c>
      <c r="X1352">
        <f>IF(OR(vp.tbl[[#This Row],[Sulf]]="",vp.tbl[[#This Row],[Dens]]=""),1,0)</f>
        <v>0</v>
      </c>
      <c r="Y1352">
        <f>IF(vp.tbl[[#This Row],[CrudeType]]="C5+",1,0)</f>
        <v>1</v>
      </c>
      <c r="Z1352">
        <f>IF(AND(vp.tbl[[#This Row],[CrudeType]]="Crude",vp.tbl[[#This Row],[Dens]]&lt;=825,vp.tbl[[#This Row],[Sulf]]&gt;0.5,vp.tbl[[#This Row],[Unknown]]=0),1,0)</f>
        <v>0</v>
      </c>
      <c r="AA1352">
        <f>IF(AND(vp.tbl[[#This Row],[CrudeType]]="Crude",vp.tbl[[#This Row],[Dens]]&lt;=825,vp.tbl[[#This Row],[Sulf]]&lt;=0.5,vp.tbl[[#This Row],[Unknown]]=0),1,0)</f>
        <v>0</v>
      </c>
      <c r="AB1352">
        <f>IF(AND(vp.tbl[[#This Row],[CrudeType]]="Crude",vp.tbl[[#This Row],[Dens]]&gt;825,vp.tbl[[#This Row],[Dens]]&lt;=870,vp.tbl[[#This Row],[Sulf]]&gt;0.5,vp.tbl[[#This Row],[Unknown]]=0),1,0)</f>
        <v>0</v>
      </c>
      <c r="AC1352">
        <f>IF(AND(vp.tbl[[#This Row],[CrudeType]]="Crude",vp.tbl[[#This Row],[Dens]]&gt;825,vp.tbl[[#This Row],[Dens]]&lt;=900,vp.tbl[[#This Row],[Sulf]]&lt;=0.5,vp.tbl[[#This Row],[Unknown]]=0),1,0)</f>
        <v>0</v>
      </c>
      <c r="AD1352">
        <f>IF(AND(vp.tbl[[#This Row],[CrudeType]]="Crude",vp.tbl[[#This Row],[Dens]]&gt;870,vp.tbl[[#This Row],[Dens]]&lt;=900,vp.tbl[[#This Row],[Sulf]]&gt;0.5,vp.tbl[[#This Row],[Unknown]]=0),1,0)</f>
        <v>0</v>
      </c>
      <c r="AE1352">
        <f>IF(AND(vp.tbl[[#This Row],[CrudeType]]="Crude",vp.tbl[[#This Row],[Dens]]&gt;900,vp.tbl[[#This Row],[Sulf]]&lt;=0.5,vp.tbl[[#This Row],[Unknown]]=0),1,0)</f>
        <v>0</v>
      </c>
      <c r="AF1352">
        <f>IF(AND(vp.tbl[[#This Row],[CrudeType]]="Crude",vp.tbl[[#This Row],[Dens]]&gt;900,vp.tbl[[#This Row],[Sulf]]&lt;=0.5,vp.tbl[[#This Row],[Unknown]]=0),1,0)</f>
        <v>0</v>
      </c>
      <c r="AG1352" t="str">
        <f>INDEX(vp.tbl[[#Headers],[Unknown]:[Heavy_SW]],MATCH(1,vp.tbl[[#This Row],[Unknown]:[Heavy_SW]],0))</f>
        <v>C5</v>
      </c>
      <c r="AH1352" t="e">
        <f>INDEX([1]!crudeBD.lkup[Number],MATCH(vp.tbl[[#This Row],[Crude_Breakdown]],[1]!crudeBD.lkup[Crude Breakdown],0))</f>
        <v>#REF!</v>
      </c>
      <c r="AI1352">
        <f>MONTH(vp.tbl[[#This Row],[SDate]])</f>
        <v>5</v>
      </c>
      <c r="AJ1352" s="5">
        <f>IFERROR(vp.tbl[[#This Row],[Sulf]]*vp.tbl[[#This Row],[Net Dens]],"")</f>
        <v>0</v>
      </c>
      <c r="AK1352" s="5">
        <f>IFERROR(vp.tbl[[#This Row],[Dens]]*vp.tbl[[#This Row],[VolumeM3]],"")</f>
        <v>20028.407999999999</v>
      </c>
      <c r="AL1352" s="5">
        <f>IFERROR(vp.tbl[[#This Row],[VP]]*vp.tbl[[#This Row],[VolumeM3]],"")</f>
        <v>3142.4879999999998</v>
      </c>
      <c r="AM1352" s="4">
        <f>IFERROR((vp.tbl[[#This Row],[VP]]-INDEX(crudeBD.lkup.complete[Mean_VP],MATCH(vp.tbl[[#This Row],[Crude_Breakdown]],crudeBD.lkup.complete[Crude Breakdown],0)))^2,"")</f>
        <v>6.2793617998116802E-3</v>
      </c>
      <c r="AN1352" s="4">
        <f>IFERROR((vp.tbl[[#This Row],[Dens]]-INDEX(crudeBD.lkup.complete[Mean_Dens],MATCH(vp.tbl[[#This Row],[Crude_Breakdown]],crudeBD.lkup.complete[Crude Breakdown],0)))^2,"")</f>
        <v>0.95299010560151143</v>
      </c>
      <c r="AO1352" s="4">
        <f>IFERROR((vp.tbl[[#This Row],[Sulf]]-INDEX(crudeBD.lkup.complete[Mean_Sulf],MATCH(vp.tbl[[#This Row],[Crude_Breakdown]],crudeBD.lkup.complete[Crude Breakdown],0)))^2,"")</f>
        <v>0</v>
      </c>
      <c r="AP1352">
        <f>IF(AND(vp.tbl[[#This Row],[SDate]]&gt;=DATE(YEAR(vp.tbl[[#This Row],[SDate]]),5,1),vp.tbl[[#This Row],[SDate]]&lt;=DATE(YEAR(vp.tbl[[#This Row],[SDate]]),9,15)),1,0)</f>
        <v>1</v>
      </c>
      <c r="AQ1352" s="15">
        <f>IF(vp.tbl[[#This Row],[SDate]]&lt;DATE(2016,12,1),0,1)</f>
        <v>1</v>
      </c>
    </row>
    <row r="1353" spans="1:43" x14ac:dyDescent="0.25">
      <c r="A1353">
        <v>1352</v>
      </c>
      <c r="B1353" t="s">
        <v>288</v>
      </c>
      <c r="C1353" t="s">
        <v>280</v>
      </c>
      <c r="D1353" t="s">
        <v>281</v>
      </c>
      <c r="E1353">
        <v>328777</v>
      </c>
      <c r="F1353" s="1">
        <v>42861</v>
      </c>
      <c r="G1353" s="2">
        <v>108.7</v>
      </c>
      <c r="H1353" s="2">
        <v>0</v>
      </c>
      <c r="I1353" s="2">
        <v>0</v>
      </c>
      <c r="J1353" s="2">
        <v>22</v>
      </c>
      <c r="K1353" s="2">
        <v>14</v>
      </c>
      <c r="L1353" s="2">
        <v>657.1</v>
      </c>
      <c r="M1353" s="2">
        <v>657.1</v>
      </c>
      <c r="N1353" s="2">
        <f ca="1">INDEX(INDIRECT(_xlfn.CONCAT("weather.tbl[",N$1,"]")),MATCH(vp.tbl[[#This Row],[SDate]],weather.tbl[Date],0))</f>
        <v>18.116666666666667</v>
      </c>
      <c r="O1353" s="2">
        <f ca="1">INDEX(INDIRECT(_xlfn.CONCAT("weather.tbl[",O$1,"]")),MATCH(vp.tbl[[#This Row],[SDate]],weather.tbl[Date],0))</f>
        <v>12.52857142857143</v>
      </c>
      <c r="P1353" s="2">
        <f ca="1">INDEX(INDIRECT(_xlfn.CONCAT("weather.tbl[",P$1,"]")),MATCH(vp.tbl[[#This Row],[SDate]],weather.tbl[Date],0))</f>
        <v>18.8</v>
      </c>
      <c r="Q1353" s="2">
        <f ca="1">INDEX(INDIRECT(_xlfn.CONCAT("weather.tbl[",Q$1,"]")),MATCH(vp.tbl[[#This Row],[SDate]],weather.tbl[Date],0))</f>
        <v>19.8</v>
      </c>
      <c r="R1353" s="2">
        <f ca="1">INDEX(INDIRECT(_xlfn.CONCAT("weather.tbl[",R$1,"]")),MATCH(vp.tbl[[#This Row],[SDate]],weather.tbl[Date],0))</f>
        <v>16.8</v>
      </c>
      <c r="S1353" s="2">
        <f ca="1">INDEX(INDIRECT(_xlfn.CONCAT("weather.tbl[",S$1,"]")),MATCH(vp.tbl[[#This Row],[SDate]],weather.tbl[Date],0))</f>
        <v>20.7</v>
      </c>
      <c r="T1353" s="2">
        <f ca="1">INDEX(INDIRECT(_xlfn.CONCAT("weather.tbl[",T$1,"]")),MATCH(vp.tbl[[#This Row],[SDate]],weather.tbl[Date],0))</f>
        <v>15.8</v>
      </c>
      <c r="U1353" s="2">
        <f ca="1">INDEX(INDIRECT(_xlfn.CONCAT("weather.tbl[",U$1,"]")),MATCH(vp.tbl[[#This Row],[SDate]],weather.tbl[Date],0))</f>
        <v>16.8</v>
      </c>
      <c r="V1353" s="2">
        <v>26.96</v>
      </c>
      <c r="W1353" t="s">
        <v>268</v>
      </c>
      <c r="X1353">
        <f>IF(OR(vp.tbl[[#This Row],[Sulf]]="",vp.tbl[[#This Row],[Dens]]=""),1,0)</f>
        <v>0</v>
      </c>
      <c r="Y1353">
        <f>IF(vp.tbl[[#This Row],[CrudeType]]="C5+",1,0)</f>
        <v>1</v>
      </c>
      <c r="Z1353">
        <f>IF(AND(vp.tbl[[#This Row],[CrudeType]]="Crude",vp.tbl[[#This Row],[Dens]]&lt;=825,vp.tbl[[#This Row],[Sulf]]&gt;0.5,vp.tbl[[#This Row],[Unknown]]=0),1,0)</f>
        <v>0</v>
      </c>
      <c r="AA1353">
        <f>IF(AND(vp.tbl[[#This Row],[CrudeType]]="Crude",vp.tbl[[#This Row],[Dens]]&lt;=825,vp.tbl[[#This Row],[Sulf]]&lt;=0.5,vp.tbl[[#This Row],[Unknown]]=0),1,0)</f>
        <v>0</v>
      </c>
      <c r="AB1353">
        <f>IF(AND(vp.tbl[[#This Row],[CrudeType]]="Crude",vp.tbl[[#This Row],[Dens]]&gt;825,vp.tbl[[#This Row],[Dens]]&lt;=870,vp.tbl[[#This Row],[Sulf]]&gt;0.5,vp.tbl[[#This Row],[Unknown]]=0),1,0)</f>
        <v>0</v>
      </c>
      <c r="AC1353">
        <f>IF(AND(vp.tbl[[#This Row],[CrudeType]]="Crude",vp.tbl[[#This Row],[Dens]]&gt;825,vp.tbl[[#This Row],[Dens]]&lt;=900,vp.tbl[[#This Row],[Sulf]]&lt;=0.5,vp.tbl[[#This Row],[Unknown]]=0),1,0)</f>
        <v>0</v>
      </c>
      <c r="AD1353">
        <f>IF(AND(vp.tbl[[#This Row],[CrudeType]]="Crude",vp.tbl[[#This Row],[Dens]]&gt;870,vp.tbl[[#This Row],[Dens]]&lt;=900,vp.tbl[[#This Row],[Sulf]]&gt;0.5,vp.tbl[[#This Row],[Unknown]]=0),1,0)</f>
        <v>0</v>
      </c>
      <c r="AE1353">
        <f>IF(AND(vp.tbl[[#This Row],[CrudeType]]="Crude",vp.tbl[[#This Row],[Dens]]&gt;900,vp.tbl[[#This Row],[Sulf]]&lt;=0.5,vp.tbl[[#This Row],[Unknown]]=0),1,0)</f>
        <v>0</v>
      </c>
      <c r="AF1353">
        <f>IF(AND(vp.tbl[[#This Row],[CrudeType]]="Crude",vp.tbl[[#This Row],[Dens]]&gt;900,vp.tbl[[#This Row],[Sulf]]&lt;=0.5,vp.tbl[[#This Row],[Unknown]]=0),1,0)</f>
        <v>0</v>
      </c>
      <c r="AG1353" t="str">
        <f>INDEX(vp.tbl[[#Headers],[Unknown]:[Heavy_SW]],MATCH(1,vp.tbl[[#This Row],[Unknown]:[Heavy_SW]],0))</f>
        <v>C5</v>
      </c>
      <c r="AH1353" t="e">
        <f>INDEX([1]!crudeBD.lkup[Number],MATCH(vp.tbl[[#This Row],[Crude_Breakdown]],[1]!crudeBD.lkup[Crude Breakdown],0))</f>
        <v>#REF!</v>
      </c>
      <c r="AI1353">
        <f>MONTH(vp.tbl[[#This Row],[SDate]])</f>
        <v>5</v>
      </c>
      <c r="AJ1353" s="5">
        <f>IFERROR(vp.tbl[[#This Row],[Sulf]]*vp.tbl[[#This Row],[Net Dens]],"")</f>
        <v>0</v>
      </c>
      <c r="AK1353" s="5">
        <f>IFERROR(vp.tbl[[#This Row],[Dens]]*vp.tbl[[#This Row],[VolumeM3]],"")</f>
        <v>17715.416000000001</v>
      </c>
      <c r="AL1353" s="5">
        <f>IFERROR(vp.tbl[[#This Row],[VP]]*vp.tbl[[#This Row],[VolumeM3]],"")</f>
        <v>2930.5520000000001</v>
      </c>
      <c r="AM1353" s="4">
        <f>IFERROR((vp.tbl[[#This Row],[VP]]-INDEX(crudeBD.lkup.complete[Mean_VP],MATCH(vp.tbl[[#This Row],[Crude_Breakdown]],crudeBD.lkup.complete[Crude Breakdown],0)))^2,"")</f>
        <v>30.478764210285085</v>
      </c>
      <c r="AN1353" s="4">
        <f>IFERROR((vp.tbl[[#This Row],[Dens]]-INDEX(crudeBD.lkup.complete[Mean_Dens],MATCH(vp.tbl[[#This Row],[Crude_Breakdown]],crudeBD.lkup.complete[Crude Breakdown],0)))^2,"")</f>
        <v>0.95299010560151143</v>
      </c>
      <c r="AO1353" s="4">
        <f>IFERROR((vp.tbl[[#This Row],[Sulf]]-INDEX(crudeBD.lkup.complete[Mean_Sulf],MATCH(vp.tbl[[#This Row],[Crude_Breakdown]],crudeBD.lkup.complete[Crude Breakdown],0)))^2,"")</f>
        <v>0</v>
      </c>
      <c r="AP1353">
        <f>IF(AND(vp.tbl[[#This Row],[SDate]]&gt;=DATE(YEAR(vp.tbl[[#This Row],[SDate]]),5,1),vp.tbl[[#This Row],[SDate]]&lt;=DATE(YEAR(vp.tbl[[#This Row],[SDate]]),9,15)),1,0)</f>
        <v>1</v>
      </c>
      <c r="AQ1353" s="15">
        <f>IF(vp.tbl[[#This Row],[SDate]]&lt;DATE(2016,12,1),0,1)</f>
        <v>1</v>
      </c>
    </row>
    <row r="1354" spans="1:43" x14ac:dyDescent="0.25">
      <c r="A1354">
        <v>1353</v>
      </c>
      <c r="B1354" t="s">
        <v>275</v>
      </c>
      <c r="C1354" t="s">
        <v>276</v>
      </c>
      <c r="D1354" t="s">
        <v>277</v>
      </c>
      <c r="E1354">
        <v>329767</v>
      </c>
      <c r="F1354" s="1">
        <v>42868</v>
      </c>
      <c r="G1354" s="2">
        <v>94.5</v>
      </c>
      <c r="H1354" s="2">
        <v>0</v>
      </c>
      <c r="I1354" s="2">
        <v>0</v>
      </c>
      <c r="J1354" s="2">
        <v>13</v>
      </c>
      <c r="K1354" s="2">
        <v>17</v>
      </c>
      <c r="L1354" s="2">
        <v>663.5</v>
      </c>
      <c r="M1354" s="2">
        <v>663.5</v>
      </c>
      <c r="N1354" s="2">
        <f ca="1">INDEX(INDIRECT(_xlfn.CONCAT("weather.tbl[",N$1,"]")),MATCH(vp.tbl[[#This Row],[SDate]],weather.tbl[Date],0))</f>
        <v>14.466666666666667</v>
      </c>
      <c r="O1354" s="2">
        <f ca="1">INDEX(INDIRECT(_xlfn.CONCAT("weather.tbl[",O$1,"]")),MATCH(vp.tbl[[#This Row],[SDate]],weather.tbl[Date],0))</f>
        <v>12.423809523809524</v>
      </c>
      <c r="P1354" s="2">
        <f ca="1">INDEX(INDIRECT(_xlfn.CONCAT("weather.tbl[",P$1,"]")),MATCH(vp.tbl[[#This Row],[SDate]],weather.tbl[Date],0))</f>
        <v>14.8</v>
      </c>
      <c r="Q1354" s="2">
        <f ca="1">INDEX(INDIRECT(_xlfn.CONCAT("weather.tbl[",Q$1,"]")),MATCH(vp.tbl[[#This Row],[SDate]],weather.tbl[Date],0))</f>
        <v>15.5</v>
      </c>
      <c r="R1354" s="2">
        <f ca="1">INDEX(INDIRECT(_xlfn.CONCAT("weather.tbl[",R$1,"]")),MATCH(vp.tbl[[#This Row],[SDate]],weather.tbl[Date],0))</f>
        <v>14</v>
      </c>
      <c r="S1354" s="2">
        <f ca="1">INDEX(INDIRECT(_xlfn.CONCAT("weather.tbl[",S$1,"]")),MATCH(vp.tbl[[#This Row],[SDate]],weather.tbl[Date],0))</f>
        <v>16.100000000000001</v>
      </c>
      <c r="T1354" s="2">
        <f ca="1">INDEX(INDIRECT(_xlfn.CONCAT("weather.tbl[",T$1,"]")),MATCH(vp.tbl[[#This Row],[SDate]],weather.tbl[Date],0))</f>
        <v>14.4</v>
      </c>
      <c r="U1354" s="2">
        <f ca="1">INDEX(INDIRECT(_xlfn.CONCAT("weather.tbl[",U$1,"]")),MATCH(vp.tbl[[#This Row],[SDate]],weather.tbl[Date],0))</f>
        <v>12</v>
      </c>
      <c r="V1354" s="2">
        <v>29.94</v>
      </c>
      <c r="W1354" t="s">
        <v>268</v>
      </c>
      <c r="X1354">
        <f>IF(OR(vp.tbl[[#This Row],[Sulf]]="",vp.tbl[[#This Row],[Dens]]=""),1,0)</f>
        <v>0</v>
      </c>
      <c r="Y1354">
        <f>IF(vp.tbl[[#This Row],[CrudeType]]="C5+",1,0)</f>
        <v>1</v>
      </c>
      <c r="Z1354">
        <f>IF(AND(vp.tbl[[#This Row],[CrudeType]]="Crude",vp.tbl[[#This Row],[Dens]]&lt;=825,vp.tbl[[#This Row],[Sulf]]&gt;0.5,vp.tbl[[#This Row],[Unknown]]=0),1,0)</f>
        <v>0</v>
      </c>
      <c r="AA1354">
        <f>IF(AND(vp.tbl[[#This Row],[CrudeType]]="Crude",vp.tbl[[#This Row],[Dens]]&lt;=825,vp.tbl[[#This Row],[Sulf]]&lt;=0.5,vp.tbl[[#This Row],[Unknown]]=0),1,0)</f>
        <v>0</v>
      </c>
      <c r="AB1354">
        <f>IF(AND(vp.tbl[[#This Row],[CrudeType]]="Crude",vp.tbl[[#This Row],[Dens]]&gt;825,vp.tbl[[#This Row],[Dens]]&lt;=870,vp.tbl[[#This Row],[Sulf]]&gt;0.5,vp.tbl[[#This Row],[Unknown]]=0),1,0)</f>
        <v>0</v>
      </c>
      <c r="AC1354">
        <f>IF(AND(vp.tbl[[#This Row],[CrudeType]]="Crude",vp.tbl[[#This Row],[Dens]]&gt;825,vp.tbl[[#This Row],[Dens]]&lt;=900,vp.tbl[[#This Row],[Sulf]]&lt;=0.5,vp.tbl[[#This Row],[Unknown]]=0),1,0)</f>
        <v>0</v>
      </c>
      <c r="AD1354">
        <f>IF(AND(vp.tbl[[#This Row],[CrudeType]]="Crude",vp.tbl[[#This Row],[Dens]]&gt;870,vp.tbl[[#This Row],[Dens]]&lt;=900,vp.tbl[[#This Row],[Sulf]]&gt;0.5,vp.tbl[[#This Row],[Unknown]]=0),1,0)</f>
        <v>0</v>
      </c>
      <c r="AE1354">
        <f>IF(AND(vp.tbl[[#This Row],[CrudeType]]="Crude",vp.tbl[[#This Row],[Dens]]&gt;900,vp.tbl[[#This Row],[Sulf]]&lt;=0.5,vp.tbl[[#This Row],[Unknown]]=0),1,0)</f>
        <v>0</v>
      </c>
      <c r="AF1354">
        <f>IF(AND(vp.tbl[[#This Row],[CrudeType]]="Crude",vp.tbl[[#This Row],[Dens]]&gt;900,vp.tbl[[#This Row],[Sulf]]&lt;=0.5,vp.tbl[[#This Row],[Unknown]]=0),1,0)</f>
        <v>0</v>
      </c>
      <c r="AG1354" t="str">
        <f>INDEX(vp.tbl[[#Headers],[Unknown]:[Heavy_SW]],MATCH(1,vp.tbl[[#This Row],[Unknown]:[Heavy_SW]],0))</f>
        <v>C5</v>
      </c>
      <c r="AH1354" t="e">
        <f>INDEX([1]!crudeBD.lkup[Number],MATCH(vp.tbl[[#This Row],[Crude_Breakdown]],[1]!crudeBD.lkup[Crude Breakdown],0))</f>
        <v>#REF!</v>
      </c>
      <c r="AI1354">
        <f>MONTH(vp.tbl[[#This Row],[SDate]])</f>
        <v>5</v>
      </c>
      <c r="AJ1354" s="5">
        <f>IFERROR(vp.tbl[[#This Row],[Sulf]]*vp.tbl[[#This Row],[Net Dens]],"")</f>
        <v>0</v>
      </c>
      <c r="AK1354" s="5">
        <f>IFERROR(vp.tbl[[#This Row],[Dens]]*vp.tbl[[#This Row],[VolumeM3]],"")</f>
        <v>19865.190000000002</v>
      </c>
      <c r="AL1354" s="5">
        <f>IFERROR(vp.tbl[[#This Row],[VP]]*vp.tbl[[#This Row],[VolumeM3]],"")</f>
        <v>2829.33</v>
      </c>
      <c r="AM1354" s="4">
        <f>IFERROR((vp.tbl[[#This Row],[VP]]-INDEX(crudeBD.lkup.complete[Mean_VP],MATCH(vp.tbl[[#This Row],[Crude_Breakdown]],crudeBD.lkup.complete[Crude Breakdown],0)))^2,"")</f>
        <v>75.329249058768909</v>
      </c>
      <c r="AN1354" s="4">
        <f>IFERROR((vp.tbl[[#This Row],[Dens]]-INDEX(crudeBD.lkup.complete[Mean_Dens],MATCH(vp.tbl[[#This Row],[Crude_Breakdown]],crudeBD.lkup.complete[Crude Breakdown],0)))^2,"")</f>
        <v>29.417474954085836</v>
      </c>
      <c r="AO1354" s="4">
        <f>IFERROR((vp.tbl[[#This Row],[Sulf]]-INDEX(crudeBD.lkup.complete[Mean_Sulf],MATCH(vp.tbl[[#This Row],[Crude_Breakdown]],crudeBD.lkup.complete[Crude Breakdown],0)))^2,"")</f>
        <v>0</v>
      </c>
      <c r="AP1354">
        <f>IF(AND(vp.tbl[[#This Row],[SDate]]&gt;=DATE(YEAR(vp.tbl[[#This Row],[SDate]]),5,1),vp.tbl[[#This Row],[SDate]]&lt;=DATE(YEAR(vp.tbl[[#This Row],[SDate]]),9,15)),1,0)</f>
        <v>1</v>
      </c>
      <c r="AQ1354" s="15">
        <f>IF(vp.tbl[[#This Row],[SDate]]&lt;DATE(2016,12,1),0,1)</f>
        <v>1</v>
      </c>
    </row>
    <row r="1355" spans="1:43" x14ac:dyDescent="0.25">
      <c r="A1355">
        <v>1354</v>
      </c>
      <c r="B1355" t="s">
        <v>269</v>
      </c>
      <c r="C1355" t="s">
        <v>270</v>
      </c>
      <c r="D1355" t="s">
        <v>271</v>
      </c>
      <c r="E1355">
        <v>329810</v>
      </c>
      <c r="F1355" s="1">
        <v>42868</v>
      </c>
      <c r="G1355" s="2">
        <v>106.4</v>
      </c>
      <c r="H1355" s="2">
        <v>0</v>
      </c>
      <c r="I1355" s="2">
        <v>0</v>
      </c>
      <c r="J1355" s="2">
        <v>13</v>
      </c>
      <c r="K1355" s="2">
        <v>17</v>
      </c>
      <c r="L1355" s="2">
        <v>661.3</v>
      </c>
      <c r="M1355" s="2">
        <v>661.3</v>
      </c>
      <c r="N1355" s="2">
        <f ca="1">INDEX(INDIRECT(_xlfn.CONCAT("weather.tbl[",N$1,"]")),MATCH(vp.tbl[[#This Row],[SDate]],weather.tbl[Date],0))</f>
        <v>14.466666666666667</v>
      </c>
      <c r="O1355" s="2">
        <f ca="1">INDEX(INDIRECT(_xlfn.CONCAT("weather.tbl[",O$1,"]")),MATCH(vp.tbl[[#This Row],[SDate]],weather.tbl[Date],0))</f>
        <v>12.423809523809524</v>
      </c>
      <c r="P1355" s="2">
        <f ca="1">INDEX(INDIRECT(_xlfn.CONCAT("weather.tbl[",P$1,"]")),MATCH(vp.tbl[[#This Row],[SDate]],weather.tbl[Date],0))</f>
        <v>14.8</v>
      </c>
      <c r="Q1355" s="2">
        <f ca="1">INDEX(INDIRECT(_xlfn.CONCAT("weather.tbl[",Q$1,"]")),MATCH(vp.tbl[[#This Row],[SDate]],weather.tbl[Date],0))</f>
        <v>15.5</v>
      </c>
      <c r="R1355" s="2">
        <f ca="1">INDEX(INDIRECT(_xlfn.CONCAT("weather.tbl[",R$1,"]")),MATCH(vp.tbl[[#This Row],[SDate]],weather.tbl[Date],0))</f>
        <v>14</v>
      </c>
      <c r="S1355" s="2">
        <f ca="1">INDEX(INDIRECT(_xlfn.CONCAT("weather.tbl[",S$1,"]")),MATCH(vp.tbl[[#This Row],[SDate]],weather.tbl[Date],0))</f>
        <v>16.100000000000001</v>
      </c>
      <c r="T1355" s="2">
        <f ca="1">INDEX(INDIRECT(_xlfn.CONCAT("weather.tbl[",T$1,"]")),MATCH(vp.tbl[[#This Row],[SDate]],weather.tbl[Date],0))</f>
        <v>14.4</v>
      </c>
      <c r="U1355" s="2">
        <f ca="1">INDEX(INDIRECT(_xlfn.CONCAT("weather.tbl[",U$1,"]")),MATCH(vp.tbl[[#This Row],[SDate]],weather.tbl[Date],0))</f>
        <v>12</v>
      </c>
      <c r="V1355" s="2">
        <v>29.92</v>
      </c>
      <c r="W1355" t="s">
        <v>268</v>
      </c>
      <c r="X1355">
        <f>IF(OR(vp.tbl[[#This Row],[Sulf]]="",vp.tbl[[#This Row],[Dens]]=""),1,0)</f>
        <v>0</v>
      </c>
      <c r="Y1355">
        <f>IF(vp.tbl[[#This Row],[CrudeType]]="C5+",1,0)</f>
        <v>1</v>
      </c>
      <c r="Z1355">
        <f>IF(AND(vp.tbl[[#This Row],[CrudeType]]="Crude",vp.tbl[[#This Row],[Dens]]&lt;=825,vp.tbl[[#This Row],[Sulf]]&gt;0.5,vp.tbl[[#This Row],[Unknown]]=0),1,0)</f>
        <v>0</v>
      </c>
      <c r="AA1355">
        <f>IF(AND(vp.tbl[[#This Row],[CrudeType]]="Crude",vp.tbl[[#This Row],[Dens]]&lt;=825,vp.tbl[[#This Row],[Sulf]]&lt;=0.5,vp.tbl[[#This Row],[Unknown]]=0),1,0)</f>
        <v>0</v>
      </c>
      <c r="AB1355">
        <f>IF(AND(vp.tbl[[#This Row],[CrudeType]]="Crude",vp.tbl[[#This Row],[Dens]]&gt;825,vp.tbl[[#This Row],[Dens]]&lt;=870,vp.tbl[[#This Row],[Sulf]]&gt;0.5,vp.tbl[[#This Row],[Unknown]]=0),1,0)</f>
        <v>0</v>
      </c>
      <c r="AC1355">
        <f>IF(AND(vp.tbl[[#This Row],[CrudeType]]="Crude",vp.tbl[[#This Row],[Dens]]&gt;825,vp.tbl[[#This Row],[Dens]]&lt;=900,vp.tbl[[#This Row],[Sulf]]&lt;=0.5,vp.tbl[[#This Row],[Unknown]]=0),1,0)</f>
        <v>0</v>
      </c>
      <c r="AD1355">
        <f>IF(AND(vp.tbl[[#This Row],[CrudeType]]="Crude",vp.tbl[[#This Row],[Dens]]&gt;870,vp.tbl[[#This Row],[Dens]]&lt;=900,vp.tbl[[#This Row],[Sulf]]&gt;0.5,vp.tbl[[#This Row],[Unknown]]=0),1,0)</f>
        <v>0</v>
      </c>
      <c r="AE1355">
        <f>IF(AND(vp.tbl[[#This Row],[CrudeType]]="Crude",vp.tbl[[#This Row],[Dens]]&gt;900,vp.tbl[[#This Row],[Sulf]]&lt;=0.5,vp.tbl[[#This Row],[Unknown]]=0),1,0)</f>
        <v>0</v>
      </c>
      <c r="AF1355">
        <f>IF(AND(vp.tbl[[#This Row],[CrudeType]]="Crude",vp.tbl[[#This Row],[Dens]]&gt;900,vp.tbl[[#This Row],[Sulf]]&lt;=0.5,vp.tbl[[#This Row],[Unknown]]=0),1,0)</f>
        <v>0</v>
      </c>
      <c r="AG1355" t="str">
        <f>INDEX(vp.tbl[[#Headers],[Unknown]:[Heavy_SW]],MATCH(1,vp.tbl[[#This Row],[Unknown]:[Heavy_SW]],0))</f>
        <v>C5</v>
      </c>
      <c r="AH1355" t="e">
        <f>INDEX([1]!crudeBD.lkup[Number],MATCH(vp.tbl[[#This Row],[Crude_Breakdown]],[1]!crudeBD.lkup[Crude Breakdown],0))</f>
        <v>#REF!</v>
      </c>
      <c r="AI1355">
        <f>MONTH(vp.tbl[[#This Row],[SDate]])</f>
        <v>5</v>
      </c>
      <c r="AJ1355" s="5">
        <f>IFERROR(vp.tbl[[#This Row],[Sulf]]*vp.tbl[[#This Row],[Net Dens]],"")</f>
        <v>0</v>
      </c>
      <c r="AK1355" s="5">
        <f>IFERROR(vp.tbl[[#This Row],[Dens]]*vp.tbl[[#This Row],[VolumeM3]],"")</f>
        <v>19786.096000000001</v>
      </c>
      <c r="AL1355" s="5">
        <f>IFERROR(vp.tbl[[#This Row],[VP]]*vp.tbl[[#This Row],[VolumeM3]],"")</f>
        <v>3183.4880000000003</v>
      </c>
      <c r="AM1355" s="4">
        <f>IFERROR((vp.tbl[[#This Row],[VP]]-INDEX(crudeBD.lkup.complete[Mean_VP],MATCH(vp.tbl[[#This Row],[Crude_Breakdown]],crudeBD.lkup.complete[Crude Breakdown],0)))^2,"")</f>
        <v>10.37327936180008</v>
      </c>
      <c r="AN1355" s="4">
        <f>IFERROR((vp.tbl[[#This Row],[Dens]]-INDEX(crudeBD.lkup.complete[Mean_Dens],MATCH(vp.tbl[[#This Row],[Crude_Breakdown]],crudeBD.lkup.complete[Crude Breakdown],0)))^2,"")</f>
        <v>10.392808287419072</v>
      </c>
      <c r="AO1355" s="4">
        <f>IFERROR((vp.tbl[[#This Row],[Sulf]]-INDEX(crudeBD.lkup.complete[Mean_Sulf],MATCH(vp.tbl[[#This Row],[Crude_Breakdown]],crudeBD.lkup.complete[Crude Breakdown],0)))^2,"")</f>
        <v>0</v>
      </c>
      <c r="AP1355">
        <f>IF(AND(vp.tbl[[#This Row],[SDate]]&gt;=DATE(YEAR(vp.tbl[[#This Row],[SDate]]),5,1),vp.tbl[[#This Row],[SDate]]&lt;=DATE(YEAR(vp.tbl[[#This Row],[SDate]]),9,15)),1,0)</f>
        <v>1</v>
      </c>
      <c r="AQ1355" s="15">
        <f>IF(vp.tbl[[#This Row],[SDate]]&lt;DATE(2016,12,1),0,1)</f>
        <v>1</v>
      </c>
    </row>
    <row r="1356" spans="1:43" x14ac:dyDescent="0.25">
      <c r="A1356">
        <v>1355</v>
      </c>
      <c r="B1356" t="s">
        <v>272</v>
      </c>
      <c r="C1356" t="s">
        <v>282</v>
      </c>
      <c r="D1356" t="s">
        <v>283</v>
      </c>
      <c r="E1356">
        <v>329821</v>
      </c>
      <c r="F1356" s="1">
        <v>42868</v>
      </c>
      <c r="G1356" s="2">
        <v>107.1</v>
      </c>
      <c r="H1356" s="2">
        <v>0</v>
      </c>
      <c r="I1356" s="2">
        <v>0</v>
      </c>
      <c r="J1356" s="2">
        <v>18</v>
      </c>
      <c r="K1356" s="2">
        <v>17</v>
      </c>
      <c r="L1356" s="2">
        <v>632.79999999999995</v>
      </c>
      <c r="M1356" s="2">
        <v>632.79999999999995</v>
      </c>
      <c r="N1356" s="2">
        <f ca="1">INDEX(INDIRECT(_xlfn.CONCAT("weather.tbl[",N$1,"]")),MATCH(vp.tbl[[#This Row],[SDate]],weather.tbl[Date],0))</f>
        <v>14.466666666666667</v>
      </c>
      <c r="O1356" s="2">
        <f ca="1">INDEX(INDIRECT(_xlfn.CONCAT("weather.tbl[",O$1,"]")),MATCH(vp.tbl[[#This Row],[SDate]],weather.tbl[Date],0))</f>
        <v>12.423809523809524</v>
      </c>
      <c r="P1356" s="2">
        <f ca="1">INDEX(INDIRECT(_xlfn.CONCAT("weather.tbl[",P$1,"]")),MATCH(vp.tbl[[#This Row],[SDate]],weather.tbl[Date],0))</f>
        <v>14.8</v>
      </c>
      <c r="Q1356" s="2">
        <f ca="1">INDEX(INDIRECT(_xlfn.CONCAT("weather.tbl[",Q$1,"]")),MATCH(vp.tbl[[#This Row],[SDate]],weather.tbl[Date],0))</f>
        <v>15.5</v>
      </c>
      <c r="R1356" s="2">
        <f ca="1">INDEX(INDIRECT(_xlfn.CONCAT("weather.tbl[",R$1,"]")),MATCH(vp.tbl[[#This Row],[SDate]],weather.tbl[Date],0))</f>
        <v>14</v>
      </c>
      <c r="S1356" s="2">
        <f ca="1">INDEX(INDIRECT(_xlfn.CONCAT("weather.tbl[",S$1,"]")),MATCH(vp.tbl[[#This Row],[SDate]],weather.tbl[Date],0))</f>
        <v>16.100000000000001</v>
      </c>
      <c r="T1356" s="2">
        <f ca="1">INDEX(INDIRECT(_xlfn.CONCAT("weather.tbl[",T$1,"]")),MATCH(vp.tbl[[#This Row],[SDate]],weather.tbl[Date],0))</f>
        <v>14.4</v>
      </c>
      <c r="U1356" s="2">
        <f ca="1">INDEX(INDIRECT(_xlfn.CONCAT("weather.tbl[",U$1,"]")),MATCH(vp.tbl[[#This Row],[SDate]],weather.tbl[Date],0))</f>
        <v>12</v>
      </c>
      <c r="V1356" s="2">
        <v>34.03</v>
      </c>
      <c r="W1356" t="s">
        <v>268</v>
      </c>
      <c r="X1356">
        <f>IF(OR(vp.tbl[[#This Row],[Sulf]]="",vp.tbl[[#This Row],[Dens]]=""),1,0)</f>
        <v>0</v>
      </c>
      <c r="Y1356">
        <f>IF(vp.tbl[[#This Row],[CrudeType]]="C5+",1,0)</f>
        <v>1</v>
      </c>
      <c r="Z1356">
        <f>IF(AND(vp.tbl[[#This Row],[CrudeType]]="Crude",vp.tbl[[#This Row],[Dens]]&lt;=825,vp.tbl[[#This Row],[Sulf]]&gt;0.5,vp.tbl[[#This Row],[Unknown]]=0),1,0)</f>
        <v>0</v>
      </c>
      <c r="AA1356">
        <f>IF(AND(vp.tbl[[#This Row],[CrudeType]]="Crude",vp.tbl[[#This Row],[Dens]]&lt;=825,vp.tbl[[#This Row],[Sulf]]&lt;=0.5,vp.tbl[[#This Row],[Unknown]]=0),1,0)</f>
        <v>0</v>
      </c>
      <c r="AB1356">
        <f>IF(AND(vp.tbl[[#This Row],[CrudeType]]="Crude",vp.tbl[[#This Row],[Dens]]&gt;825,vp.tbl[[#This Row],[Dens]]&lt;=870,vp.tbl[[#This Row],[Sulf]]&gt;0.5,vp.tbl[[#This Row],[Unknown]]=0),1,0)</f>
        <v>0</v>
      </c>
      <c r="AC1356">
        <f>IF(AND(vp.tbl[[#This Row],[CrudeType]]="Crude",vp.tbl[[#This Row],[Dens]]&gt;825,vp.tbl[[#This Row],[Dens]]&lt;=900,vp.tbl[[#This Row],[Sulf]]&lt;=0.5,vp.tbl[[#This Row],[Unknown]]=0),1,0)</f>
        <v>0</v>
      </c>
      <c r="AD1356">
        <f>IF(AND(vp.tbl[[#This Row],[CrudeType]]="Crude",vp.tbl[[#This Row],[Dens]]&gt;870,vp.tbl[[#This Row],[Dens]]&lt;=900,vp.tbl[[#This Row],[Sulf]]&gt;0.5,vp.tbl[[#This Row],[Unknown]]=0),1,0)</f>
        <v>0</v>
      </c>
      <c r="AE1356">
        <f>IF(AND(vp.tbl[[#This Row],[CrudeType]]="Crude",vp.tbl[[#This Row],[Dens]]&gt;900,vp.tbl[[#This Row],[Sulf]]&lt;=0.5,vp.tbl[[#This Row],[Unknown]]=0),1,0)</f>
        <v>0</v>
      </c>
      <c r="AF1356">
        <f>IF(AND(vp.tbl[[#This Row],[CrudeType]]="Crude",vp.tbl[[#This Row],[Dens]]&gt;900,vp.tbl[[#This Row],[Sulf]]&lt;=0.5,vp.tbl[[#This Row],[Unknown]]=0),1,0)</f>
        <v>0</v>
      </c>
      <c r="AG1356" t="str">
        <f>INDEX(vp.tbl[[#Headers],[Unknown]:[Heavy_SW]],MATCH(1,vp.tbl[[#This Row],[Unknown]:[Heavy_SW]],0))</f>
        <v>C5</v>
      </c>
      <c r="AH1356" t="e">
        <f>INDEX([1]!crudeBD.lkup[Number],MATCH(vp.tbl[[#This Row],[Crude_Breakdown]],[1]!crudeBD.lkup[Crude Breakdown],0))</f>
        <v>#REF!</v>
      </c>
      <c r="AI1356">
        <f>MONTH(vp.tbl[[#This Row],[SDate]])</f>
        <v>5</v>
      </c>
      <c r="AJ1356" s="5">
        <f>IFERROR(vp.tbl[[#This Row],[Sulf]]*vp.tbl[[#This Row],[Net Dens]],"")</f>
        <v>0</v>
      </c>
      <c r="AK1356" s="5">
        <f>IFERROR(vp.tbl[[#This Row],[Dens]]*vp.tbl[[#This Row],[VolumeM3]],"")</f>
        <v>21534.183999999997</v>
      </c>
      <c r="AL1356" s="5">
        <f>IFERROR(vp.tbl[[#This Row],[VP]]*vp.tbl[[#This Row],[VolumeM3]],"")</f>
        <v>3644.6129999999998</v>
      </c>
      <c r="AM1356" s="4">
        <f>IFERROR((vp.tbl[[#This Row],[VP]]-INDEX(crudeBD.lkup.complete[Mean_VP],MATCH(vp.tbl[[#This Row],[Crude_Breakdown]],crudeBD.lkup.complete[Crude Breakdown],0)))^2,"")</f>
        <v>15.372339967860654</v>
      </c>
      <c r="AN1356" s="4">
        <f>IFERROR((vp.tbl[[#This Row],[Dens]]-INDEX(crudeBD.lkup.complete[Mean_Dens],MATCH(vp.tbl[[#This Row],[Crude_Breakdown]],crudeBD.lkup.complete[Crude Breakdown],0)))^2,"")</f>
        <v>638.88689919651506</v>
      </c>
      <c r="AO1356" s="4">
        <f>IFERROR((vp.tbl[[#This Row],[Sulf]]-INDEX(crudeBD.lkup.complete[Mean_Sulf],MATCH(vp.tbl[[#This Row],[Crude_Breakdown]],crudeBD.lkup.complete[Crude Breakdown],0)))^2,"")</f>
        <v>0</v>
      </c>
      <c r="AP1356">
        <f>IF(AND(vp.tbl[[#This Row],[SDate]]&gt;=DATE(YEAR(vp.tbl[[#This Row],[SDate]]),5,1),vp.tbl[[#This Row],[SDate]]&lt;=DATE(YEAR(vp.tbl[[#This Row],[SDate]]),9,15)),1,0)</f>
        <v>1</v>
      </c>
      <c r="AQ1356" s="15">
        <f>IF(vp.tbl[[#This Row],[SDate]]&lt;DATE(2016,12,1),0,1)</f>
        <v>1</v>
      </c>
    </row>
    <row r="1357" spans="1:43" x14ac:dyDescent="0.25">
      <c r="A1357">
        <v>1356</v>
      </c>
      <c r="B1357" t="s">
        <v>284</v>
      </c>
      <c r="C1357" t="s">
        <v>266</v>
      </c>
      <c r="D1357" t="s">
        <v>267</v>
      </c>
      <c r="E1357">
        <v>329844</v>
      </c>
      <c r="F1357" s="1">
        <v>42868</v>
      </c>
      <c r="G1357" s="2">
        <v>101.7</v>
      </c>
      <c r="H1357" s="2">
        <v>0</v>
      </c>
      <c r="I1357" s="2">
        <v>0</v>
      </c>
      <c r="J1357" s="2">
        <v>22</v>
      </c>
      <c r="K1357" s="2">
        <v>17</v>
      </c>
      <c r="L1357" s="2">
        <v>652.9</v>
      </c>
      <c r="M1357" s="2">
        <v>652.9</v>
      </c>
      <c r="N1357" s="2">
        <f ca="1">INDEX(INDIRECT(_xlfn.CONCAT("weather.tbl[",N$1,"]")),MATCH(vp.tbl[[#This Row],[SDate]],weather.tbl[Date],0))</f>
        <v>14.466666666666667</v>
      </c>
      <c r="O1357" s="2">
        <f ca="1">INDEX(INDIRECT(_xlfn.CONCAT("weather.tbl[",O$1,"]")),MATCH(vp.tbl[[#This Row],[SDate]],weather.tbl[Date],0))</f>
        <v>12.423809523809524</v>
      </c>
      <c r="P1357" s="2">
        <f ca="1">INDEX(INDIRECT(_xlfn.CONCAT("weather.tbl[",P$1,"]")),MATCH(vp.tbl[[#This Row],[SDate]],weather.tbl[Date],0))</f>
        <v>14.8</v>
      </c>
      <c r="Q1357" s="2">
        <f ca="1">INDEX(INDIRECT(_xlfn.CONCAT("weather.tbl[",Q$1,"]")),MATCH(vp.tbl[[#This Row],[SDate]],weather.tbl[Date],0))</f>
        <v>15.5</v>
      </c>
      <c r="R1357" s="2">
        <f ca="1">INDEX(INDIRECT(_xlfn.CONCAT("weather.tbl[",R$1,"]")),MATCH(vp.tbl[[#This Row],[SDate]],weather.tbl[Date],0))</f>
        <v>14</v>
      </c>
      <c r="S1357" s="2">
        <f ca="1">INDEX(INDIRECT(_xlfn.CONCAT("weather.tbl[",S$1,"]")),MATCH(vp.tbl[[#This Row],[SDate]],weather.tbl[Date],0))</f>
        <v>16.100000000000001</v>
      </c>
      <c r="T1357" s="2">
        <f ca="1">INDEX(INDIRECT(_xlfn.CONCAT("weather.tbl[",T$1,"]")),MATCH(vp.tbl[[#This Row],[SDate]],weather.tbl[Date],0))</f>
        <v>14.4</v>
      </c>
      <c r="U1357" s="2">
        <f ca="1">INDEX(INDIRECT(_xlfn.CONCAT("weather.tbl[",U$1,"]")),MATCH(vp.tbl[[#This Row],[SDate]],weather.tbl[Date],0))</f>
        <v>12</v>
      </c>
      <c r="V1357" s="2">
        <v>38.200000000000003</v>
      </c>
      <c r="W1357" t="s">
        <v>268</v>
      </c>
      <c r="X1357">
        <f>IF(OR(vp.tbl[[#This Row],[Sulf]]="",vp.tbl[[#This Row],[Dens]]=""),1,0)</f>
        <v>0</v>
      </c>
      <c r="Y1357">
        <f>IF(vp.tbl[[#This Row],[CrudeType]]="C5+",1,0)</f>
        <v>1</v>
      </c>
      <c r="Z1357">
        <f>IF(AND(vp.tbl[[#This Row],[CrudeType]]="Crude",vp.tbl[[#This Row],[Dens]]&lt;=825,vp.tbl[[#This Row],[Sulf]]&gt;0.5,vp.tbl[[#This Row],[Unknown]]=0),1,0)</f>
        <v>0</v>
      </c>
      <c r="AA1357">
        <f>IF(AND(vp.tbl[[#This Row],[CrudeType]]="Crude",vp.tbl[[#This Row],[Dens]]&lt;=825,vp.tbl[[#This Row],[Sulf]]&lt;=0.5,vp.tbl[[#This Row],[Unknown]]=0),1,0)</f>
        <v>0</v>
      </c>
      <c r="AB1357">
        <f>IF(AND(vp.tbl[[#This Row],[CrudeType]]="Crude",vp.tbl[[#This Row],[Dens]]&gt;825,vp.tbl[[#This Row],[Dens]]&lt;=870,vp.tbl[[#This Row],[Sulf]]&gt;0.5,vp.tbl[[#This Row],[Unknown]]=0),1,0)</f>
        <v>0</v>
      </c>
      <c r="AC1357">
        <f>IF(AND(vp.tbl[[#This Row],[CrudeType]]="Crude",vp.tbl[[#This Row],[Dens]]&gt;825,vp.tbl[[#This Row],[Dens]]&lt;=900,vp.tbl[[#This Row],[Sulf]]&lt;=0.5,vp.tbl[[#This Row],[Unknown]]=0),1,0)</f>
        <v>0</v>
      </c>
      <c r="AD1357">
        <f>IF(AND(vp.tbl[[#This Row],[CrudeType]]="Crude",vp.tbl[[#This Row],[Dens]]&gt;870,vp.tbl[[#This Row],[Dens]]&lt;=900,vp.tbl[[#This Row],[Sulf]]&gt;0.5,vp.tbl[[#This Row],[Unknown]]=0),1,0)</f>
        <v>0</v>
      </c>
      <c r="AE1357">
        <f>IF(AND(vp.tbl[[#This Row],[CrudeType]]="Crude",vp.tbl[[#This Row],[Dens]]&gt;900,vp.tbl[[#This Row],[Sulf]]&lt;=0.5,vp.tbl[[#This Row],[Unknown]]=0),1,0)</f>
        <v>0</v>
      </c>
      <c r="AF1357">
        <f>IF(AND(vp.tbl[[#This Row],[CrudeType]]="Crude",vp.tbl[[#This Row],[Dens]]&gt;900,vp.tbl[[#This Row],[Sulf]]&lt;=0.5,vp.tbl[[#This Row],[Unknown]]=0),1,0)</f>
        <v>0</v>
      </c>
      <c r="AG1357" t="str">
        <f>INDEX(vp.tbl[[#Headers],[Unknown]:[Heavy_SW]],MATCH(1,vp.tbl[[#This Row],[Unknown]:[Heavy_SW]],0))</f>
        <v>C5</v>
      </c>
      <c r="AH1357" t="e">
        <f>INDEX([1]!crudeBD.lkup[Number],MATCH(vp.tbl[[#This Row],[Crude_Breakdown]],[1]!crudeBD.lkup[Crude Breakdown],0))</f>
        <v>#REF!</v>
      </c>
      <c r="AI1357">
        <f>MONTH(vp.tbl[[#This Row],[SDate]])</f>
        <v>5</v>
      </c>
      <c r="AJ1357" s="5">
        <f>IFERROR(vp.tbl[[#This Row],[Sulf]]*vp.tbl[[#This Row],[Net Dens]],"")</f>
        <v>0</v>
      </c>
      <c r="AK1357" s="5">
        <f>IFERROR(vp.tbl[[#This Row],[Dens]]*vp.tbl[[#This Row],[VolumeM3]],"")</f>
        <v>24940.780000000002</v>
      </c>
      <c r="AL1357" s="5">
        <f>IFERROR(vp.tbl[[#This Row],[VP]]*vp.tbl[[#This Row],[VolumeM3]],"")</f>
        <v>3884.9400000000005</v>
      </c>
      <c r="AM1357" s="4">
        <f>IFERROR((vp.tbl[[#This Row],[VP]]-INDEX(crudeBD.lkup.complete[Mean_VP],MATCH(vp.tbl[[#This Row],[Crude_Breakdown]],crudeBD.lkup.complete[Crude Breakdown],0)))^2,"")</f>
        <v>2.1881581496784919</v>
      </c>
      <c r="AN1357" s="4">
        <f>IFERROR((vp.tbl[[#This Row],[Dens]]-INDEX(crudeBD.lkup.complete[Mean_Dens],MATCH(vp.tbl[[#This Row],[Crude_Breakdown]],crudeBD.lkup.complete[Crude Breakdown],0)))^2,"")</f>
        <v>26.793171923783984</v>
      </c>
      <c r="AO1357" s="4">
        <f>IFERROR((vp.tbl[[#This Row],[Sulf]]-INDEX(crudeBD.lkup.complete[Mean_Sulf],MATCH(vp.tbl[[#This Row],[Crude_Breakdown]],crudeBD.lkup.complete[Crude Breakdown],0)))^2,"")</f>
        <v>0</v>
      </c>
      <c r="AP1357">
        <f>IF(AND(vp.tbl[[#This Row],[SDate]]&gt;=DATE(YEAR(vp.tbl[[#This Row],[SDate]]),5,1),vp.tbl[[#This Row],[SDate]]&lt;=DATE(YEAR(vp.tbl[[#This Row],[SDate]]),9,15)),1,0)</f>
        <v>1</v>
      </c>
      <c r="AQ1357" s="15">
        <f>IF(vp.tbl[[#This Row],[SDate]]&lt;DATE(2016,12,1),0,1)</f>
        <v>1</v>
      </c>
    </row>
    <row r="1358" spans="1:43" x14ac:dyDescent="0.25">
      <c r="A1358">
        <v>1357</v>
      </c>
      <c r="B1358" t="s">
        <v>272</v>
      </c>
      <c r="C1358" t="s">
        <v>280</v>
      </c>
      <c r="D1358" t="s">
        <v>281</v>
      </c>
      <c r="E1358">
        <v>330388</v>
      </c>
      <c r="F1358" s="1">
        <v>42872</v>
      </c>
      <c r="G1358" s="2">
        <v>120.6</v>
      </c>
      <c r="H1358" s="2">
        <v>0</v>
      </c>
      <c r="I1358" s="2">
        <v>0</v>
      </c>
      <c r="J1358" s="2">
        <v>16</v>
      </c>
      <c r="K1358" s="2">
        <v>12</v>
      </c>
      <c r="L1358" s="2">
        <v>655.7</v>
      </c>
      <c r="M1358" s="2">
        <v>655.7</v>
      </c>
      <c r="N1358" s="2">
        <f ca="1">INDEX(INDIRECT(_xlfn.CONCAT("weather.tbl[",N$1,"]")),MATCH(vp.tbl[[#This Row],[SDate]],weather.tbl[Date],0))</f>
        <v>7.0666666666666655</v>
      </c>
      <c r="O1358" s="2">
        <f ca="1">INDEX(INDIRECT(_xlfn.CONCAT("weather.tbl[",O$1,"]")),MATCH(vp.tbl[[#This Row],[SDate]],weather.tbl[Date],0))</f>
        <v>11.778571428571427</v>
      </c>
      <c r="P1358" s="2">
        <f ca="1">INDEX(INDIRECT(_xlfn.CONCAT("weather.tbl[",P$1,"]")),MATCH(vp.tbl[[#This Row],[SDate]],weather.tbl[Date],0))</f>
        <v>7</v>
      </c>
      <c r="Q1358" s="2">
        <f ca="1">INDEX(INDIRECT(_xlfn.CONCAT("weather.tbl[",Q$1,"]")),MATCH(vp.tbl[[#This Row],[SDate]],weather.tbl[Date],0))</f>
        <v>6.4</v>
      </c>
      <c r="R1358" s="2">
        <f ca="1">INDEX(INDIRECT(_xlfn.CONCAT("weather.tbl[",R$1,"]")),MATCH(vp.tbl[[#This Row],[SDate]],weather.tbl[Date],0))</f>
        <v>8</v>
      </c>
      <c r="S1358" s="2">
        <f ca="1">INDEX(INDIRECT(_xlfn.CONCAT("weather.tbl[",S$1,"]")),MATCH(vp.tbl[[#This Row],[SDate]],weather.tbl[Date],0))</f>
        <v>5.9</v>
      </c>
      <c r="T1358" s="2">
        <f ca="1">INDEX(INDIRECT(_xlfn.CONCAT("weather.tbl[",T$1,"]")),MATCH(vp.tbl[[#This Row],[SDate]],weather.tbl[Date],0))</f>
        <v>7.3</v>
      </c>
      <c r="U1358" s="2">
        <f ca="1">INDEX(INDIRECT(_xlfn.CONCAT("weather.tbl[",U$1,"]")),MATCH(vp.tbl[[#This Row],[SDate]],weather.tbl[Date],0))</f>
        <v>7.8</v>
      </c>
      <c r="V1358" s="2">
        <v>36.549999999999997</v>
      </c>
      <c r="W1358" t="s">
        <v>268</v>
      </c>
      <c r="X1358">
        <f>IF(OR(vp.tbl[[#This Row],[Sulf]]="",vp.tbl[[#This Row],[Dens]]=""),1,0)</f>
        <v>0</v>
      </c>
      <c r="Y1358">
        <f>IF(vp.tbl[[#This Row],[CrudeType]]="C5+",1,0)</f>
        <v>1</v>
      </c>
      <c r="Z1358">
        <f>IF(AND(vp.tbl[[#This Row],[CrudeType]]="Crude",vp.tbl[[#This Row],[Dens]]&lt;=825,vp.tbl[[#This Row],[Sulf]]&gt;0.5,vp.tbl[[#This Row],[Unknown]]=0),1,0)</f>
        <v>0</v>
      </c>
      <c r="AA1358">
        <f>IF(AND(vp.tbl[[#This Row],[CrudeType]]="Crude",vp.tbl[[#This Row],[Dens]]&lt;=825,vp.tbl[[#This Row],[Sulf]]&lt;=0.5,vp.tbl[[#This Row],[Unknown]]=0),1,0)</f>
        <v>0</v>
      </c>
      <c r="AB1358">
        <f>IF(AND(vp.tbl[[#This Row],[CrudeType]]="Crude",vp.tbl[[#This Row],[Dens]]&gt;825,vp.tbl[[#This Row],[Dens]]&lt;=870,vp.tbl[[#This Row],[Sulf]]&gt;0.5,vp.tbl[[#This Row],[Unknown]]=0),1,0)</f>
        <v>0</v>
      </c>
      <c r="AC1358">
        <f>IF(AND(vp.tbl[[#This Row],[CrudeType]]="Crude",vp.tbl[[#This Row],[Dens]]&gt;825,vp.tbl[[#This Row],[Dens]]&lt;=900,vp.tbl[[#This Row],[Sulf]]&lt;=0.5,vp.tbl[[#This Row],[Unknown]]=0),1,0)</f>
        <v>0</v>
      </c>
      <c r="AD1358">
        <f>IF(AND(vp.tbl[[#This Row],[CrudeType]]="Crude",vp.tbl[[#This Row],[Dens]]&gt;870,vp.tbl[[#This Row],[Dens]]&lt;=900,vp.tbl[[#This Row],[Sulf]]&gt;0.5,vp.tbl[[#This Row],[Unknown]]=0),1,0)</f>
        <v>0</v>
      </c>
      <c r="AE1358">
        <f>IF(AND(vp.tbl[[#This Row],[CrudeType]]="Crude",vp.tbl[[#This Row],[Dens]]&gt;900,vp.tbl[[#This Row],[Sulf]]&lt;=0.5,vp.tbl[[#This Row],[Unknown]]=0),1,0)</f>
        <v>0</v>
      </c>
      <c r="AF1358">
        <f>IF(AND(vp.tbl[[#This Row],[CrudeType]]="Crude",vp.tbl[[#This Row],[Dens]]&gt;900,vp.tbl[[#This Row],[Sulf]]&lt;=0.5,vp.tbl[[#This Row],[Unknown]]=0),1,0)</f>
        <v>0</v>
      </c>
      <c r="AG1358" t="str">
        <f>INDEX(vp.tbl[[#Headers],[Unknown]:[Heavy_SW]],MATCH(1,vp.tbl[[#This Row],[Unknown]:[Heavy_SW]],0))</f>
        <v>C5</v>
      </c>
      <c r="AH1358" t="e">
        <f>INDEX([1]!crudeBD.lkup[Number],MATCH(vp.tbl[[#This Row],[Crude_Breakdown]],[1]!crudeBD.lkup[Crude Breakdown],0))</f>
        <v>#REF!</v>
      </c>
      <c r="AI1358">
        <f>MONTH(vp.tbl[[#This Row],[SDate]])</f>
        <v>5</v>
      </c>
      <c r="AJ1358" s="5">
        <f>IFERROR(vp.tbl[[#This Row],[Sulf]]*vp.tbl[[#This Row],[Net Dens]],"")</f>
        <v>0</v>
      </c>
      <c r="AK1358" s="5">
        <f>IFERROR(vp.tbl[[#This Row],[Dens]]*vp.tbl[[#This Row],[VolumeM3]],"")</f>
        <v>23965.834999999999</v>
      </c>
      <c r="AL1358" s="5">
        <f>IFERROR(vp.tbl[[#This Row],[VP]]*vp.tbl[[#This Row],[VolumeM3]],"")</f>
        <v>4407.9299999999994</v>
      </c>
      <c r="AM1358" s="4">
        <f>IFERROR((vp.tbl[[#This Row],[VP]]-INDEX(crudeBD.lkup.complete[Mean_VP],MATCH(vp.tbl[[#This Row],[Crude_Breakdown]],crudeBD.lkup.complete[Crude Breakdown],0)))^2,"")</f>
        <v>303.48279451331598</v>
      </c>
      <c r="AN1358" s="4">
        <f>IFERROR((vp.tbl[[#This Row],[Dens]]-INDEX(crudeBD.lkup.complete[Mean_Dens],MATCH(vp.tbl[[#This Row],[Crude_Breakdown]],crudeBD.lkup.complete[Crude Breakdown],0)))^2,"")</f>
        <v>5.6463840449954033</v>
      </c>
      <c r="AO1358" s="4">
        <f>IFERROR((vp.tbl[[#This Row],[Sulf]]-INDEX(crudeBD.lkup.complete[Mean_Sulf],MATCH(vp.tbl[[#This Row],[Crude_Breakdown]],crudeBD.lkup.complete[Crude Breakdown],0)))^2,"")</f>
        <v>0</v>
      </c>
      <c r="AP1358">
        <f>IF(AND(vp.tbl[[#This Row],[SDate]]&gt;=DATE(YEAR(vp.tbl[[#This Row],[SDate]]),5,1),vp.tbl[[#This Row],[SDate]]&lt;=DATE(YEAR(vp.tbl[[#This Row],[SDate]]),9,15)),1,0)</f>
        <v>1</v>
      </c>
      <c r="AQ1358" s="15">
        <f>IF(vp.tbl[[#This Row],[SDate]]&lt;DATE(2016,12,1),0,1)</f>
        <v>1</v>
      </c>
    </row>
    <row r="1359" spans="1:43" x14ac:dyDescent="0.25">
      <c r="A1359">
        <v>1358</v>
      </c>
      <c r="B1359" t="s">
        <v>269</v>
      </c>
      <c r="C1359" t="s">
        <v>270</v>
      </c>
      <c r="D1359" t="s">
        <v>271</v>
      </c>
      <c r="E1359">
        <v>330400</v>
      </c>
      <c r="F1359" s="1">
        <v>42872</v>
      </c>
      <c r="G1359" s="2">
        <v>100.9</v>
      </c>
      <c r="H1359" s="2">
        <v>0</v>
      </c>
      <c r="I1359" s="2">
        <v>0</v>
      </c>
      <c r="J1359" s="2">
        <v>9</v>
      </c>
      <c r="K1359" s="2">
        <v>12</v>
      </c>
      <c r="L1359" s="2">
        <v>662.3</v>
      </c>
      <c r="M1359" s="2">
        <v>662.3</v>
      </c>
      <c r="N1359" s="2">
        <f ca="1">INDEX(INDIRECT(_xlfn.CONCAT("weather.tbl[",N$1,"]")),MATCH(vp.tbl[[#This Row],[SDate]],weather.tbl[Date],0))</f>
        <v>7.0666666666666655</v>
      </c>
      <c r="O1359" s="2">
        <f ca="1">INDEX(INDIRECT(_xlfn.CONCAT("weather.tbl[",O$1,"]")),MATCH(vp.tbl[[#This Row],[SDate]],weather.tbl[Date],0))</f>
        <v>11.778571428571427</v>
      </c>
      <c r="P1359" s="2">
        <f ca="1">INDEX(INDIRECT(_xlfn.CONCAT("weather.tbl[",P$1,"]")),MATCH(vp.tbl[[#This Row],[SDate]],weather.tbl[Date],0))</f>
        <v>7</v>
      </c>
      <c r="Q1359" s="2">
        <f ca="1">INDEX(INDIRECT(_xlfn.CONCAT("weather.tbl[",Q$1,"]")),MATCH(vp.tbl[[#This Row],[SDate]],weather.tbl[Date],0))</f>
        <v>6.4</v>
      </c>
      <c r="R1359" s="2">
        <f ca="1">INDEX(INDIRECT(_xlfn.CONCAT("weather.tbl[",R$1,"]")),MATCH(vp.tbl[[#This Row],[SDate]],weather.tbl[Date],0))</f>
        <v>8</v>
      </c>
      <c r="S1359" s="2">
        <f ca="1">INDEX(INDIRECT(_xlfn.CONCAT("weather.tbl[",S$1,"]")),MATCH(vp.tbl[[#This Row],[SDate]],weather.tbl[Date],0))</f>
        <v>5.9</v>
      </c>
      <c r="T1359" s="2">
        <f ca="1">INDEX(INDIRECT(_xlfn.CONCAT("weather.tbl[",T$1,"]")),MATCH(vp.tbl[[#This Row],[SDate]],weather.tbl[Date],0))</f>
        <v>7.3</v>
      </c>
      <c r="U1359" s="2">
        <f ca="1">INDEX(INDIRECT(_xlfn.CONCAT("weather.tbl[",U$1,"]")),MATCH(vp.tbl[[#This Row],[SDate]],weather.tbl[Date],0))</f>
        <v>7.8</v>
      </c>
      <c r="V1359" s="2">
        <v>35.33</v>
      </c>
      <c r="W1359" t="s">
        <v>268</v>
      </c>
      <c r="X1359">
        <f>IF(OR(vp.tbl[[#This Row],[Sulf]]="",vp.tbl[[#This Row],[Dens]]=""),1,0)</f>
        <v>0</v>
      </c>
      <c r="Y1359">
        <f>IF(vp.tbl[[#This Row],[CrudeType]]="C5+",1,0)</f>
        <v>1</v>
      </c>
      <c r="Z1359">
        <f>IF(AND(vp.tbl[[#This Row],[CrudeType]]="Crude",vp.tbl[[#This Row],[Dens]]&lt;=825,vp.tbl[[#This Row],[Sulf]]&gt;0.5,vp.tbl[[#This Row],[Unknown]]=0),1,0)</f>
        <v>0</v>
      </c>
      <c r="AA1359">
        <f>IF(AND(vp.tbl[[#This Row],[CrudeType]]="Crude",vp.tbl[[#This Row],[Dens]]&lt;=825,vp.tbl[[#This Row],[Sulf]]&lt;=0.5,vp.tbl[[#This Row],[Unknown]]=0),1,0)</f>
        <v>0</v>
      </c>
      <c r="AB1359">
        <f>IF(AND(vp.tbl[[#This Row],[CrudeType]]="Crude",vp.tbl[[#This Row],[Dens]]&gt;825,vp.tbl[[#This Row],[Dens]]&lt;=870,vp.tbl[[#This Row],[Sulf]]&gt;0.5,vp.tbl[[#This Row],[Unknown]]=0),1,0)</f>
        <v>0</v>
      </c>
      <c r="AC1359">
        <f>IF(AND(vp.tbl[[#This Row],[CrudeType]]="Crude",vp.tbl[[#This Row],[Dens]]&gt;825,vp.tbl[[#This Row],[Dens]]&lt;=900,vp.tbl[[#This Row],[Sulf]]&lt;=0.5,vp.tbl[[#This Row],[Unknown]]=0),1,0)</f>
        <v>0</v>
      </c>
      <c r="AD1359">
        <f>IF(AND(vp.tbl[[#This Row],[CrudeType]]="Crude",vp.tbl[[#This Row],[Dens]]&gt;870,vp.tbl[[#This Row],[Dens]]&lt;=900,vp.tbl[[#This Row],[Sulf]]&gt;0.5,vp.tbl[[#This Row],[Unknown]]=0),1,0)</f>
        <v>0</v>
      </c>
      <c r="AE1359">
        <f>IF(AND(vp.tbl[[#This Row],[CrudeType]]="Crude",vp.tbl[[#This Row],[Dens]]&gt;900,vp.tbl[[#This Row],[Sulf]]&lt;=0.5,vp.tbl[[#This Row],[Unknown]]=0),1,0)</f>
        <v>0</v>
      </c>
      <c r="AF1359">
        <f>IF(AND(vp.tbl[[#This Row],[CrudeType]]="Crude",vp.tbl[[#This Row],[Dens]]&gt;900,vp.tbl[[#This Row],[Sulf]]&lt;=0.5,vp.tbl[[#This Row],[Unknown]]=0),1,0)</f>
        <v>0</v>
      </c>
      <c r="AG1359" t="str">
        <f>INDEX(vp.tbl[[#Headers],[Unknown]:[Heavy_SW]],MATCH(1,vp.tbl[[#This Row],[Unknown]:[Heavy_SW]],0))</f>
        <v>C5</v>
      </c>
      <c r="AH1359" t="e">
        <f>INDEX([1]!crudeBD.lkup[Number],MATCH(vp.tbl[[#This Row],[Crude_Breakdown]],[1]!crudeBD.lkup[Crude Breakdown],0))</f>
        <v>#REF!</v>
      </c>
      <c r="AI1359">
        <f>MONTH(vp.tbl[[#This Row],[SDate]])</f>
        <v>5</v>
      </c>
      <c r="AJ1359" s="5">
        <f>IFERROR(vp.tbl[[#This Row],[Sulf]]*vp.tbl[[#This Row],[Net Dens]],"")</f>
        <v>0</v>
      </c>
      <c r="AK1359" s="5">
        <f>IFERROR(vp.tbl[[#This Row],[Dens]]*vp.tbl[[#This Row],[VolumeM3]],"")</f>
        <v>23399.058999999997</v>
      </c>
      <c r="AL1359" s="5">
        <f>IFERROR(vp.tbl[[#This Row],[VP]]*vp.tbl[[#This Row],[VolumeM3]],"")</f>
        <v>3564.797</v>
      </c>
      <c r="AM1359" s="4">
        <f>IFERROR((vp.tbl[[#This Row],[VP]]-INDEX(crudeBD.lkup.complete[Mean_VP],MATCH(vp.tbl[[#This Row],[Crude_Breakdown]],crudeBD.lkup.complete[Crude Breakdown],0)))^2,"")</f>
        <v>5.1949460284662967</v>
      </c>
      <c r="AN1359" s="4">
        <f>IFERROR((vp.tbl[[#This Row],[Dens]]-INDEX(crudeBD.lkup.complete[Mean_Dens],MATCH(vp.tbl[[#This Row],[Crude_Breakdown]],crudeBD.lkup.complete[Crude Breakdown],0)))^2,"")</f>
        <v>17.84038404499465</v>
      </c>
      <c r="AO1359" s="4">
        <f>IFERROR((vp.tbl[[#This Row],[Sulf]]-INDEX(crudeBD.lkup.complete[Mean_Sulf],MATCH(vp.tbl[[#This Row],[Crude_Breakdown]],crudeBD.lkup.complete[Crude Breakdown],0)))^2,"")</f>
        <v>0</v>
      </c>
      <c r="AP1359">
        <f>IF(AND(vp.tbl[[#This Row],[SDate]]&gt;=DATE(YEAR(vp.tbl[[#This Row],[SDate]]),5,1),vp.tbl[[#This Row],[SDate]]&lt;=DATE(YEAR(vp.tbl[[#This Row],[SDate]]),9,15)),1,0)</f>
        <v>1</v>
      </c>
      <c r="AQ1359" s="15">
        <f>IF(vp.tbl[[#This Row],[SDate]]&lt;DATE(2016,12,1),0,1)</f>
        <v>1</v>
      </c>
    </row>
    <row r="1360" spans="1:43" x14ac:dyDescent="0.25">
      <c r="A1360">
        <v>1359</v>
      </c>
      <c r="B1360" t="s">
        <v>272</v>
      </c>
      <c r="C1360" t="s">
        <v>282</v>
      </c>
      <c r="D1360" t="s">
        <v>283</v>
      </c>
      <c r="E1360">
        <v>330387</v>
      </c>
      <c r="F1360" s="1">
        <v>42872</v>
      </c>
      <c r="G1360" s="2">
        <v>107.5</v>
      </c>
      <c r="H1360" s="2">
        <v>0</v>
      </c>
      <c r="I1360" s="2">
        <v>0</v>
      </c>
      <c r="J1360" s="2">
        <v>13</v>
      </c>
      <c r="K1360" s="2">
        <v>12</v>
      </c>
      <c r="L1360" s="2">
        <v>639.70000000000005</v>
      </c>
      <c r="M1360" s="2">
        <v>639.70000000000005</v>
      </c>
      <c r="N1360" s="2">
        <f ca="1">INDEX(INDIRECT(_xlfn.CONCAT("weather.tbl[",N$1,"]")),MATCH(vp.tbl[[#This Row],[SDate]],weather.tbl[Date],0))</f>
        <v>7.0666666666666655</v>
      </c>
      <c r="O1360" s="2">
        <f ca="1">INDEX(INDIRECT(_xlfn.CONCAT("weather.tbl[",O$1,"]")),MATCH(vp.tbl[[#This Row],[SDate]],weather.tbl[Date],0))</f>
        <v>11.778571428571427</v>
      </c>
      <c r="P1360" s="2">
        <f ca="1">INDEX(INDIRECT(_xlfn.CONCAT("weather.tbl[",P$1,"]")),MATCH(vp.tbl[[#This Row],[SDate]],weather.tbl[Date],0))</f>
        <v>7</v>
      </c>
      <c r="Q1360" s="2">
        <f ca="1">INDEX(INDIRECT(_xlfn.CONCAT("weather.tbl[",Q$1,"]")),MATCH(vp.tbl[[#This Row],[SDate]],weather.tbl[Date],0))</f>
        <v>6.4</v>
      </c>
      <c r="R1360" s="2">
        <f ca="1">INDEX(INDIRECT(_xlfn.CONCAT("weather.tbl[",R$1,"]")),MATCH(vp.tbl[[#This Row],[SDate]],weather.tbl[Date],0))</f>
        <v>8</v>
      </c>
      <c r="S1360" s="2">
        <f ca="1">INDEX(INDIRECT(_xlfn.CONCAT("weather.tbl[",S$1,"]")),MATCH(vp.tbl[[#This Row],[SDate]],weather.tbl[Date],0))</f>
        <v>5.9</v>
      </c>
      <c r="T1360" s="2">
        <f ca="1">INDEX(INDIRECT(_xlfn.CONCAT("weather.tbl[",T$1,"]")),MATCH(vp.tbl[[#This Row],[SDate]],weather.tbl[Date],0))</f>
        <v>7.3</v>
      </c>
      <c r="U1360" s="2">
        <f ca="1">INDEX(INDIRECT(_xlfn.CONCAT("weather.tbl[",U$1,"]")),MATCH(vp.tbl[[#This Row],[SDate]],weather.tbl[Date],0))</f>
        <v>7.8</v>
      </c>
      <c r="V1360" s="2">
        <v>35.840000000000003</v>
      </c>
      <c r="W1360" t="s">
        <v>268</v>
      </c>
      <c r="X1360">
        <f>IF(OR(vp.tbl[[#This Row],[Sulf]]="",vp.tbl[[#This Row],[Dens]]=""),1,0)</f>
        <v>0</v>
      </c>
      <c r="Y1360">
        <f>IF(vp.tbl[[#This Row],[CrudeType]]="C5+",1,0)</f>
        <v>1</v>
      </c>
      <c r="Z1360">
        <f>IF(AND(vp.tbl[[#This Row],[CrudeType]]="Crude",vp.tbl[[#This Row],[Dens]]&lt;=825,vp.tbl[[#This Row],[Sulf]]&gt;0.5,vp.tbl[[#This Row],[Unknown]]=0),1,0)</f>
        <v>0</v>
      </c>
      <c r="AA1360">
        <f>IF(AND(vp.tbl[[#This Row],[CrudeType]]="Crude",vp.tbl[[#This Row],[Dens]]&lt;=825,vp.tbl[[#This Row],[Sulf]]&lt;=0.5,vp.tbl[[#This Row],[Unknown]]=0),1,0)</f>
        <v>0</v>
      </c>
      <c r="AB1360">
        <f>IF(AND(vp.tbl[[#This Row],[CrudeType]]="Crude",vp.tbl[[#This Row],[Dens]]&gt;825,vp.tbl[[#This Row],[Dens]]&lt;=870,vp.tbl[[#This Row],[Sulf]]&gt;0.5,vp.tbl[[#This Row],[Unknown]]=0),1,0)</f>
        <v>0</v>
      </c>
      <c r="AC1360">
        <f>IF(AND(vp.tbl[[#This Row],[CrudeType]]="Crude",vp.tbl[[#This Row],[Dens]]&gt;825,vp.tbl[[#This Row],[Dens]]&lt;=900,vp.tbl[[#This Row],[Sulf]]&lt;=0.5,vp.tbl[[#This Row],[Unknown]]=0),1,0)</f>
        <v>0</v>
      </c>
      <c r="AD1360">
        <f>IF(AND(vp.tbl[[#This Row],[CrudeType]]="Crude",vp.tbl[[#This Row],[Dens]]&gt;870,vp.tbl[[#This Row],[Dens]]&lt;=900,vp.tbl[[#This Row],[Sulf]]&gt;0.5,vp.tbl[[#This Row],[Unknown]]=0),1,0)</f>
        <v>0</v>
      </c>
      <c r="AE1360">
        <f>IF(AND(vp.tbl[[#This Row],[CrudeType]]="Crude",vp.tbl[[#This Row],[Dens]]&gt;900,vp.tbl[[#This Row],[Sulf]]&lt;=0.5,vp.tbl[[#This Row],[Unknown]]=0),1,0)</f>
        <v>0</v>
      </c>
      <c r="AF1360">
        <f>IF(AND(vp.tbl[[#This Row],[CrudeType]]="Crude",vp.tbl[[#This Row],[Dens]]&gt;900,vp.tbl[[#This Row],[Sulf]]&lt;=0.5,vp.tbl[[#This Row],[Unknown]]=0),1,0)</f>
        <v>0</v>
      </c>
      <c r="AG1360" t="str">
        <f>INDEX(vp.tbl[[#Headers],[Unknown]:[Heavy_SW]],MATCH(1,vp.tbl[[#This Row],[Unknown]:[Heavy_SW]],0))</f>
        <v>C5</v>
      </c>
      <c r="AH1360" t="e">
        <f>INDEX([1]!crudeBD.lkup[Number],MATCH(vp.tbl[[#This Row],[Crude_Breakdown]],[1]!crudeBD.lkup[Crude Breakdown],0))</f>
        <v>#REF!</v>
      </c>
      <c r="AI1360">
        <f>MONTH(vp.tbl[[#This Row],[SDate]])</f>
        <v>5</v>
      </c>
      <c r="AJ1360" s="5">
        <f>IFERROR(vp.tbl[[#This Row],[Sulf]]*vp.tbl[[#This Row],[Net Dens]],"")</f>
        <v>0</v>
      </c>
      <c r="AK1360" s="5">
        <f>IFERROR(vp.tbl[[#This Row],[Dens]]*vp.tbl[[#This Row],[VolumeM3]],"")</f>
        <v>22926.848000000005</v>
      </c>
      <c r="AL1360" s="5">
        <f>IFERROR(vp.tbl[[#This Row],[VP]]*vp.tbl[[#This Row],[VolumeM3]],"")</f>
        <v>3852.8</v>
      </c>
      <c r="AM1360" s="4">
        <f>IFERROR((vp.tbl[[#This Row],[VP]]-INDEX(crudeBD.lkup.complete[Mean_VP],MATCH(vp.tbl[[#This Row],[Crude_Breakdown]],crudeBD.lkup.complete[Crude Breakdown],0)))^2,"")</f>
        <v>18.668946028466788</v>
      </c>
      <c r="AN1360" s="4">
        <f>IFERROR((vp.tbl[[#This Row],[Dens]]-INDEX(crudeBD.lkup.complete[Mean_Dens],MATCH(vp.tbl[[#This Row],[Crude_Breakdown]],crudeBD.lkup.complete[Crude Breakdown],0)))^2,"")</f>
        <v>337.68517192378323</v>
      </c>
      <c r="AO1360" s="4">
        <f>IFERROR((vp.tbl[[#This Row],[Sulf]]-INDEX(crudeBD.lkup.complete[Mean_Sulf],MATCH(vp.tbl[[#This Row],[Crude_Breakdown]],crudeBD.lkup.complete[Crude Breakdown],0)))^2,"")</f>
        <v>0</v>
      </c>
      <c r="AP1360">
        <f>IF(AND(vp.tbl[[#This Row],[SDate]]&gt;=DATE(YEAR(vp.tbl[[#This Row],[SDate]]),5,1),vp.tbl[[#This Row],[SDate]]&lt;=DATE(YEAR(vp.tbl[[#This Row],[SDate]]),9,15)),1,0)</f>
        <v>1</v>
      </c>
      <c r="AQ1360" s="15">
        <f>IF(vp.tbl[[#This Row],[SDate]]&lt;DATE(2016,12,1),0,1)</f>
        <v>1</v>
      </c>
    </row>
    <row r="1361" spans="1:43" x14ac:dyDescent="0.25">
      <c r="A1361">
        <v>1360</v>
      </c>
      <c r="B1361" t="s">
        <v>284</v>
      </c>
      <c r="C1361" t="s">
        <v>266</v>
      </c>
      <c r="D1361" t="s">
        <v>267</v>
      </c>
      <c r="E1361">
        <v>330434</v>
      </c>
      <c r="F1361" s="1">
        <v>42872</v>
      </c>
      <c r="G1361" s="2">
        <v>103.9</v>
      </c>
      <c r="H1361" s="2">
        <v>0</v>
      </c>
      <c r="I1361" s="2">
        <v>0</v>
      </c>
      <c r="J1361" s="2">
        <v>13</v>
      </c>
      <c r="K1361" s="2">
        <v>12</v>
      </c>
      <c r="L1361" s="2">
        <v>657.7</v>
      </c>
      <c r="M1361" s="2">
        <v>657.7</v>
      </c>
      <c r="N1361" s="2">
        <f ca="1">INDEX(INDIRECT(_xlfn.CONCAT("weather.tbl[",N$1,"]")),MATCH(vp.tbl[[#This Row],[SDate]],weather.tbl[Date],0))</f>
        <v>7.0666666666666655</v>
      </c>
      <c r="O1361" s="2">
        <f ca="1">INDEX(INDIRECT(_xlfn.CONCAT("weather.tbl[",O$1,"]")),MATCH(vp.tbl[[#This Row],[SDate]],weather.tbl[Date],0))</f>
        <v>11.778571428571427</v>
      </c>
      <c r="P1361" s="2">
        <f ca="1">INDEX(INDIRECT(_xlfn.CONCAT("weather.tbl[",P$1,"]")),MATCH(vp.tbl[[#This Row],[SDate]],weather.tbl[Date],0))</f>
        <v>7</v>
      </c>
      <c r="Q1361" s="2">
        <f ca="1">INDEX(INDIRECT(_xlfn.CONCAT("weather.tbl[",Q$1,"]")),MATCH(vp.tbl[[#This Row],[SDate]],weather.tbl[Date],0))</f>
        <v>6.4</v>
      </c>
      <c r="R1361" s="2">
        <f ca="1">INDEX(INDIRECT(_xlfn.CONCAT("weather.tbl[",R$1,"]")),MATCH(vp.tbl[[#This Row],[SDate]],weather.tbl[Date],0))</f>
        <v>8</v>
      </c>
      <c r="S1361" s="2">
        <f ca="1">INDEX(INDIRECT(_xlfn.CONCAT("weather.tbl[",S$1,"]")),MATCH(vp.tbl[[#This Row],[SDate]],weather.tbl[Date],0))</f>
        <v>5.9</v>
      </c>
      <c r="T1361" s="2">
        <f ca="1">INDEX(INDIRECT(_xlfn.CONCAT("weather.tbl[",T$1,"]")),MATCH(vp.tbl[[#This Row],[SDate]],weather.tbl[Date],0))</f>
        <v>7.3</v>
      </c>
      <c r="U1361" s="2">
        <f ca="1">INDEX(INDIRECT(_xlfn.CONCAT("weather.tbl[",U$1,"]")),MATCH(vp.tbl[[#This Row],[SDate]],weather.tbl[Date],0))</f>
        <v>7.8</v>
      </c>
      <c r="V1361" s="2">
        <v>40.28</v>
      </c>
      <c r="W1361" t="s">
        <v>268</v>
      </c>
      <c r="X1361">
        <f>IF(OR(vp.tbl[[#This Row],[Sulf]]="",vp.tbl[[#This Row],[Dens]]=""),1,0)</f>
        <v>0</v>
      </c>
      <c r="Y1361">
        <f>IF(vp.tbl[[#This Row],[CrudeType]]="C5+",1,0)</f>
        <v>1</v>
      </c>
      <c r="Z1361">
        <f>IF(AND(vp.tbl[[#This Row],[CrudeType]]="Crude",vp.tbl[[#This Row],[Dens]]&lt;=825,vp.tbl[[#This Row],[Sulf]]&gt;0.5,vp.tbl[[#This Row],[Unknown]]=0),1,0)</f>
        <v>0</v>
      </c>
      <c r="AA1361">
        <f>IF(AND(vp.tbl[[#This Row],[CrudeType]]="Crude",vp.tbl[[#This Row],[Dens]]&lt;=825,vp.tbl[[#This Row],[Sulf]]&lt;=0.5,vp.tbl[[#This Row],[Unknown]]=0),1,0)</f>
        <v>0</v>
      </c>
      <c r="AB1361">
        <f>IF(AND(vp.tbl[[#This Row],[CrudeType]]="Crude",vp.tbl[[#This Row],[Dens]]&gt;825,vp.tbl[[#This Row],[Dens]]&lt;=870,vp.tbl[[#This Row],[Sulf]]&gt;0.5,vp.tbl[[#This Row],[Unknown]]=0),1,0)</f>
        <v>0</v>
      </c>
      <c r="AC1361">
        <f>IF(AND(vp.tbl[[#This Row],[CrudeType]]="Crude",vp.tbl[[#This Row],[Dens]]&gt;825,vp.tbl[[#This Row],[Dens]]&lt;=900,vp.tbl[[#This Row],[Sulf]]&lt;=0.5,vp.tbl[[#This Row],[Unknown]]=0),1,0)</f>
        <v>0</v>
      </c>
      <c r="AD1361">
        <f>IF(AND(vp.tbl[[#This Row],[CrudeType]]="Crude",vp.tbl[[#This Row],[Dens]]&gt;870,vp.tbl[[#This Row],[Dens]]&lt;=900,vp.tbl[[#This Row],[Sulf]]&gt;0.5,vp.tbl[[#This Row],[Unknown]]=0),1,0)</f>
        <v>0</v>
      </c>
      <c r="AE1361">
        <f>IF(AND(vp.tbl[[#This Row],[CrudeType]]="Crude",vp.tbl[[#This Row],[Dens]]&gt;900,vp.tbl[[#This Row],[Sulf]]&lt;=0.5,vp.tbl[[#This Row],[Unknown]]=0),1,0)</f>
        <v>0</v>
      </c>
      <c r="AF1361">
        <f>IF(AND(vp.tbl[[#This Row],[CrudeType]]="Crude",vp.tbl[[#This Row],[Dens]]&gt;900,vp.tbl[[#This Row],[Sulf]]&lt;=0.5,vp.tbl[[#This Row],[Unknown]]=0),1,0)</f>
        <v>0</v>
      </c>
      <c r="AG1361" t="str">
        <f>INDEX(vp.tbl[[#Headers],[Unknown]:[Heavy_SW]],MATCH(1,vp.tbl[[#This Row],[Unknown]:[Heavy_SW]],0))</f>
        <v>C5</v>
      </c>
      <c r="AH1361" t="e">
        <f>INDEX([1]!crudeBD.lkup[Number],MATCH(vp.tbl[[#This Row],[Crude_Breakdown]],[1]!crudeBD.lkup[Crude Breakdown],0))</f>
        <v>#REF!</v>
      </c>
      <c r="AI1361">
        <f>MONTH(vp.tbl[[#This Row],[SDate]])</f>
        <v>5</v>
      </c>
      <c r="AJ1361" s="5">
        <f>IFERROR(vp.tbl[[#This Row],[Sulf]]*vp.tbl[[#This Row],[Net Dens]],"")</f>
        <v>0</v>
      </c>
      <c r="AK1361" s="5">
        <f>IFERROR(vp.tbl[[#This Row],[Dens]]*vp.tbl[[#This Row],[VolumeM3]],"")</f>
        <v>26492.156000000003</v>
      </c>
      <c r="AL1361" s="5">
        <f>IFERROR(vp.tbl[[#This Row],[VP]]*vp.tbl[[#This Row],[VolumeM3]],"")</f>
        <v>4185.0920000000006</v>
      </c>
      <c r="AM1361" s="4">
        <f>IFERROR((vp.tbl[[#This Row],[VP]]-INDEX(crudeBD.lkup.complete[Mean_VP],MATCH(vp.tbl[[#This Row],[Crude_Breakdown]],crudeBD.lkup.complete[Crude Breakdown],0)))^2,"")</f>
        <v>0.51949148301199644</v>
      </c>
      <c r="AN1361" s="4">
        <f>IFERROR((vp.tbl[[#This Row],[Dens]]-INDEX(crudeBD.lkup.complete[Mean_Dens],MATCH(vp.tbl[[#This Row],[Crude_Breakdown]],crudeBD.lkup.complete[Crude Breakdown],0)))^2,"")</f>
        <v>0.14153556014692295</v>
      </c>
      <c r="AO1361" s="4">
        <f>IFERROR((vp.tbl[[#This Row],[Sulf]]-INDEX(crudeBD.lkup.complete[Mean_Sulf],MATCH(vp.tbl[[#This Row],[Crude_Breakdown]],crudeBD.lkup.complete[Crude Breakdown],0)))^2,"")</f>
        <v>0</v>
      </c>
      <c r="AP1361">
        <f>IF(AND(vp.tbl[[#This Row],[SDate]]&gt;=DATE(YEAR(vp.tbl[[#This Row],[SDate]]),5,1),vp.tbl[[#This Row],[SDate]]&lt;=DATE(YEAR(vp.tbl[[#This Row],[SDate]]),9,15)),1,0)</f>
        <v>1</v>
      </c>
      <c r="AQ1361" s="15">
        <f>IF(vp.tbl[[#This Row],[SDate]]&lt;DATE(2016,12,1),0,1)</f>
        <v>1</v>
      </c>
    </row>
    <row r="1362" spans="1:43" x14ac:dyDescent="0.25">
      <c r="A1362">
        <v>1361</v>
      </c>
      <c r="B1362" t="s">
        <v>46</v>
      </c>
      <c r="C1362" t="s">
        <v>46</v>
      </c>
      <c r="D1362" t="s">
        <v>47</v>
      </c>
      <c r="F1362" s="1">
        <v>42856</v>
      </c>
      <c r="G1362" s="2">
        <v>59.8</v>
      </c>
      <c r="H1362" s="2"/>
      <c r="I1362" s="2">
        <v>2.25</v>
      </c>
      <c r="J1362" s="2"/>
      <c r="K1362" s="2"/>
      <c r="L1362" s="2">
        <v>868.5</v>
      </c>
      <c r="M1362" s="2">
        <v>868.5</v>
      </c>
      <c r="N1362" s="2">
        <f ca="1">INDEX(INDIRECT(_xlfn.CONCAT("weather.tbl[",N$1,"]")),MATCH(vp.tbl[[#This Row],[SDate]],weather.tbl[Date],0))</f>
        <v>9.8000000000000025</v>
      </c>
      <c r="O1362" s="2">
        <f ca="1">INDEX(INDIRECT(_xlfn.CONCAT("weather.tbl[",O$1,"]")),MATCH(vp.tbl[[#This Row],[SDate]],weather.tbl[Date],0))</f>
        <v>5.5333333333333341</v>
      </c>
      <c r="P1362" s="2">
        <f ca="1">INDEX(INDIRECT(_xlfn.CONCAT("weather.tbl[",P$1,"]")),MATCH(vp.tbl[[#This Row],[SDate]],weather.tbl[Date],0))</f>
        <v>9.4</v>
      </c>
      <c r="Q1362" s="2">
        <f ca="1">INDEX(INDIRECT(_xlfn.CONCAT("weather.tbl[",Q$1,"]")),MATCH(vp.tbl[[#This Row],[SDate]],weather.tbl[Date],0))</f>
        <v>10.8</v>
      </c>
      <c r="R1362" s="2">
        <f ca="1">INDEX(INDIRECT(_xlfn.CONCAT("weather.tbl[",R$1,"]")),MATCH(vp.tbl[[#This Row],[SDate]],weather.tbl[Date],0))</f>
        <v>9.3000000000000007</v>
      </c>
      <c r="S1362" s="2">
        <f ca="1">INDEX(INDIRECT(_xlfn.CONCAT("weather.tbl[",S$1,"]")),MATCH(vp.tbl[[#This Row],[SDate]],weather.tbl[Date],0))</f>
        <v>8.9</v>
      </c>
      <c r="T1362" s="2">
        <f ca="1">INDEX(INDIRECT(_xlfn.CONCAT("weather.tbl[",T$1,"]")),MATCH(vp.tbl[[#This Row],[SDate]],weather.tbl[Date],0))</f>
        <v>10.6</v>
      </c>
      <c r="U1362" s="2">
        <f ca="1">INDEX(INDIRECT(_xlfn.CONCAT("weather.tbl[",U$1,"]")),MATCH(vp.tbl[[#This Row],[SDate]],weather.tbl[Date],0))</f>
        <v>9.8000000000000007</v>
      </c>
      <c r="V1362" s="2">
        <v>115996.79399999999</v>
      </c>
      <c r="W1362" t="s">
        <v>48</v>
      </c>
      <c r="X1362">
        <f>IF(OR(vp.tbl[[#This Row],[Sulf]]="",vp.tbl[[#This Row],[Dens]]=""),1,0)</f>
        <v>0</v>
      </c>
      <c r="Y1362">
        <f>IF(vp.tbl[[#This Row],[CrudeType]]="C5+",1,0)</f>
        <v>0</v>
      </c>
      <c r="Z1362">
        <f>IF(AND(vp.tbl[[#This Row],[CrudeType]]="Crude",vp.tbl[[#This Row],[Dens]]&lt;=825,vp.tbl[[#This Row],[Sulf]]&gt;0.5,vp.tbl[[#This Row],[Unknown]]=0),1,0)</f>
        <v>0</v>
      </c>
      <c r="AA1362">
        <f>IF(AND(vp.tbl[[#This Row],[CrudeType]]="Crude",vp.tbl[[#This Row],[Dens]]&lt;=825,vp.tbl[[#This Row],[Sulf]]&lt;=0.5,vp.tbl[[#This Row],[Unknown]]=0),1,0)</f>
        <v>0</v>
      </c>
      <c r="AB1362">
        <f>IF(AND(vp.tbl[[#This Row],[CrudeType]]="Crude",vp.tbl[[#This Row],[Dens]]&gt;825,vp.tbl[[#This Row],[Dens]]&lt;=870,vp.tbl[[#This Row],[Sulf]]&gt;0.5,vp.tbl[[#This Row],[Unknown]]=0),1,0)</f>
        <v>1</v>
      </c>
      <c r="AC1362">
        <f>IF(AND(vp.tbl[[#This Row],[CrudeType]]="Crude",vp.tbl[[#This Row],[Dens]]&gt;825,vp.tbl[[#This Row],[Dens]]&lt;=900,vp.tbl[[#This Row],[Sulf]]&lt;=0.5,vp.tbl[[#This Row],[Unknown]]=0),1,0)</f>
        <v>0</v>
      </c>
      <c r="AD1362">
        <f>IF(AND(vp.tbl[[#This Row],[CrudeType]]="Crude",vp.tbl[[#This Row],[Dens]]&gt;870,vp.tbl[[#This Row],[Dens]]&lt;=900,vp.tbl[[#This Row],[Sulf]]&gt;0.5,vp.tbl[[#This Row],[Unknown]]=0),1,0)</f>
        <v>0</v>
      </c>
      <c r="AE1362">
        <f>IF(AND(vp.tbl[[#This Row],[CrudeType]]="Crude",vp.tbl[[#This Row],[Dens]]&gt;900,vp.tbl[[#This Row],[Sulf]]&lt;=0.5,vp.tbl[[#This Row],[Unknown]]=0),1,0)</f>
        <v>0</v>
      </c>
      <c r="AF1362">
        <f>IF(AND(vp.tbl[[#This Row],[CrudeType]]="Crude",vp.tbl[[#This Row],[Dens]]&gt;900,vp.tbl[[#This Row],[Sulf]]&lt;=0.5,vp.tbl[[#This Row],[Unknown]]=0),1,0)</f>
        <v>0</v>
      </c>
      <c r="AG1362" t="str">
        <f>INDEX(vp.tbl[[#Headers],[Unknown]:[Heavy_SW]],MATCH(1,vp.tbl[[#This Row],[Unknown]:[Heavy_SW]],0))</f>
        <v>Medium_LSB</v>
      </c>
      <c r="AH1362" t="e">
        <f>INDEX([1]!crudeBD.lkup[Number],MATCH(vp.tbl[[#This Row],[Crude_Breakdown]],[1]!crudeBD.lkup[Crude Breakdown],0))</f>
        <v>#REF!</v>
      </c>
      <c r="AI1362">
        <f>MONTH(vp.tbl[[#This Row],[SDate]])</f>
        <v>5</v>
      </c>
      <c r="AJ1362" s="5">
        <f>IFERROR(vp.tbl[[#This Row],[Sulf]]*vp.tbl[[#This Row],[Net Dens]],"")</f>
        <v>226672235.07525</v>
      </c>
      <c r="AK1362" s="5">
        <f>IFERROR(vp.tbl[[#This Row],[Dens]]*vp.tbl[[#This Row],[VolumeM3]],"")</f>
        <v>100743215.589</v>
      </c>
      <c r="AL1362" s="5">
        <f>IFERROR(vp.tbl[[#This Row],[VP]]*vp.tbl[[#This Row],[VolumeM3]],"")</f>
        <v>6936608.2811999992</v>
      </c>
      <c r="AM1362" s="4">
        <f>IFERROR((vp.tbl[[#This Row],[VP]]-INDEX(crudeBD.lkup.complete[Mean_VP],MATCH(vp.tbl[[#This Row],[Crude_Breakdown]],crudeBD.lkup.complete[Crude Breakdown],0)))^2,"")</f>
        <v>415.08337064508754</v>
      </c>
      <c r="AN1362" s="4">
        <f>IFERROR((vp.tbl[[#This Row],[Dens]]-INDEX(crudeBD.lkup.complete[Mean_Dens],MATCH(vp.tbl[[#This Row],[Crude_Breakdown]],crudeBD.lkup.complete[Crude Breakdown],0)))^2,"")</f>
        <v>538.61948965170404</v>
      </c>
      <c r="AO1362" s="4">
        <f>IFERROR((vp.tbl[[#This Row],[Sulf]]-INDEX(crudeBD.lkup.complete[Mean_Sulf],MATCH(vp.tbl[[#This Row],[Crude_Breakdown]],crudeBD.lkup.complete[Crude Breakdown],0)))^2,"")</f>
        <v>0.63213652631191575</v>
      </c>
      <c r="AP1362">
        <f>IF(AND(vp.tbl[[#This Row],[SDate]]&gt;=DATE(YEAR(vp.tbl[[#This Row],[SDate]]),5,1),vp.tbl[[#This Row],[SDate]]&lt;=DATE(YEAR(vp.tbl[[#This Row],[SDate]]),9,15)),1,0)</f>
        <v>1</v>
      </c>
      <c r="AQ1362" s="15">
        <f>IF(vp.tbl[[#This Row],[SDate]]&lt;DATE(2016,12,1),0,1)</f>
        <v>1</v>
      </c>
    </row>
    <row r="1363" spans="1:43" x14ac:dyDescent="0.25">
      <c r="A1363">
        <v>1362</v>
      </c>
      <c r="B1363" t="s">
        <v>60</v>
      </c>
      <c r="C1363" t="s">
        <v>60</v>
      </c>
      <c r="D1363" t="s">
        <v>61</v>
      </c>
      <c r="E1363" t="s">
        <v>289</v>
      </c>
      <c r="F1363" s="1">
        <v>42856</v>
      </c>
      <c r="G1363" s="2">
        <v>90.1</v>
      </c>
      <c r="H1363" s="2"/>
      <c r="I1363" s="2">
        <v>1.0900000000000001</v>
      </c>
      <c r="J1363" s="2"/>
      <c r="K1363" s="2"/>
      <c r="L1363" s="2">
        <v>829.6</v>
      </c>
      <c r="M1363" s="2">
        <v>829.6</v>
      </c>
      <c r="N1363" s="2">
        <f ca="1">INDEX(INDIRECT(_xlfn.CONCAT("weather.tbl[",N$1,"]")),MATCH(vp.tbl[[#This Row],[SDate]],weather.tbl[Date],0))</f>
        <v>9.8000000000000025</v>
      </c>
      <c r="O1363" s="2">
        <f ca="1">INDEX(INDIRECT(_xlfn.CONCAT("weather.tbl[",O$1,"]")),MATCH(vp.tbl[[#This Row],[SDate]],weather.tbl[Date],0))</f>
        <v>5.5333333333333341</v>
      </c>
      <c r="P1363" s="2">
        <f ca="1">INDEX(INDIRECT(_xlfn.CONCAT("weather.tbl[",P$1,"]")),MATCH(vp.tbl[[#This Row],[SDate]],weather.tbl[Date],0))</f>
        <v>9.4</v>
      </c>
      <c r="Q1363" s="2">
        <f ca="1">INDEX(INDIRECT(_xlfn.CONCAT("weather.tbl[",Q$1,"]")),MATCH(vp.tbl[[#This Row],[SDate]],weather.tbl[Date],0))</f>
        <v>10.8</v>
      </c>
      <c r="R1363" s="2">
        <f ca="1">INDEX(INDIRECT(_xlfn.CONCAT("weather.tbl[",R$1,"]")),MATCH(vp.tbl[[#This Row],[SDate]],weather.tbl[Date],0))</f>
        <v>9.3000000000000007</v>
      </c>
      <c r="S1363" s="2">
        <f ca="1">INDEX(INDIRECT(_xlfn.CONCAT("weather.tbl[",S$1,"]")),MATCH(vp.tbl[[#This Row],[SDate]],weather.tbl[Date],0))</f>
        <v>8.9</v>
      </c>
      <c r="T1363" s="2">
        <f ca="1">INDEX(INDIRECT(_xlfn.CONCAT("weather.tbl[",T$1,"]")),MATCH(vp.tbl[[#This Row],[SDate]],weather.tbl[Date],0))</f>
        <v>10.6</v>
      </c>
      <c r="U1363" s="2">
        <f ca="1">INDEX(INDIRECT(_xlfn.CONCAT("weather.tbl[",U$1,"]")),MATCH(vp.tbl[[#This Row],[SDate]],weather.tbl[Date],0))</f>
        <v>9.8000000000000007</v>
      </c>
      <c r="V1363" s="2">
        <v>118292.008</v>
      </c>
      <c r="W1363" t="s">
        <v>48</v>
      </c>
      <c r="X1363">
        <f>IF(OR(vp.tbl[[#This Row],[Sulf]]="",vp.tbl[[#This Row],[Dens]]=""),1,0)</f>
        <v>0</v>
      </c>
      <c r="Y1363">
        <f>IF(vp.tbl[[#This Row],[CrudeType]]="C5+",1,0)</f>
        <v>0</v>
      </c>
      <c r="Z1363">
        <f>IF(AND(vp.tbl[[#This Row],[CrudeType]]="Crude",vp.tbl[[#This Row],[Dens]]&lt;=825,vp.tbl[[#This Row],[Sulf]]&gt;0.5,vp.tbl[[#This Row],[Unknown]]=0),1,0)</f>
        <v>0</v>
      </c>
      <c r="AA1363">
        <f>IF(AND(vp.tbl[[#This Row],[CrudeType]]="Crude",vp.tbl[[#This Row],[Dens]]&lt;=825,vp.tbl[[#This Row],[Sulf]]&lt;=0.5,vp.tbl[[#This Row],[Unknown]]=0),1,0)</f>
        <v>0</v>
      </c>
      <c r="AB1363">
        <f>IF(AND(vp.tbl[[#This Row],[CrudeType]]="Crude",vp.tbl[[#This Row],[Dens]]&gt;825,vp.tbl[[#This Row],[Dens]]&lt;=870,vp.tbl[[#This Row],[Sulf]]&gt;0.5,vp.tbl[[#This Row],[Unknown]]=0),1,0)</f>
        <v>1</v>
      </c>
      <c r="AC1363">
        <f>IF(AND(vp.tbl[[#This Row],[CrudeType]]="Crude",vp.tbl[[#This Row],[Dens]]&gt;825,vp.tbl[[#This Row],[Dens]]&lt;=900,vp.tbl[[#This Row],[Sulf]]&lt;=0.5,vp.tbl[[#This Row],[Unknown]]=0),1,0)</f>
        <v>0</v>
      </c>
      <c r="AD1363">
        <f>IF(AND(vp.tbl[[#This Row],[CrudeType]]="Crude",vp.tbl[[#This Row],[Dens]]&gt;870,vp.tbl[[#This Row],[Dens]]&lt;=900,vp.tbl[[#This Row],[Sulf]]&gt;0.5,vp.tbl[[#This Row],[Unknown]]=0),1,0)</f>
        <v>0</v>
      </c>
      <c r="AE1363">
        <f>IF(AND(vp.tbl[[#This Row],[CrudeType]]="Crude",vp.tbl[[#This Row],[Dens]]&gt;900,vp.tbl[[#This Row],[Sulf]]&lt;=0.5,vp.tbl[[#This Row],[Unknown]]=0),1,0)</f>
        <v>0</v>
      </c>
      <c r="AF1363">
        <f>IF(AND(vp.tbl[[#This Row],[CrudeType]]="Crude",vp.tbl[[#This Row],[Dens]]&gt;900,vp.tbl[[#This Row],[Sulf]]&lt;=0.5,vp.tbl[[#This Row],[Unknown]]=0),1,0)</f>
        <v>0</v>
      </c>
      <c r="AG1363" t="str">
        <f>INDEX(vp.tbl[[#Headers],[Unknown]:[Heavy_SW]],MATCH(1,vp.tbl[[#This Row],[Unknown]:[Heavy_SW]],0))</f>
        <v>Medium_LSB</v>
      </c>
      <c r="AH1363" t="e">
        <f>INDEX([1]!crudeBD.lkup[Number],MATCH(vp.tbl[[#This Row],[Crude_Breakdown]],[1]!crudeBD.lkup[Crude Breakdown],0))</f>
        <v>#REF!</v>
      </c>
      <c r="AI1363">
        <f>MONTH(vp.tbl[[#This Row],[SDate]])</f>
        <v>5</v>
      </c>
      <c r="AJ1363" s="5">
        <f>IFERROR(vp.tbl[[#This Row],[Sulf]]*vp.tbl[[#This Row],[Net Dens]],"")</f>
        <v>106967204.32211202</v>
      </c>
      <c r="AK1363" s="5">
        <f>IFERROR(vp.tbl[[#This Row],[Dens]]*vp.tbl[[#This Row],[VolumeM3]],"")</f>
        <v>98135049.836800009</v>
      </c>
      <c r="AL1363" s="5">
        <f>IFERROR(vp.tbl[[#This Row],[VP]]*vp.tbl[[#This Row],[VolumeM3]],"")</f>
        <v>10658109.920799999</v>
      </c>
      <c r="AM1363" s="4">
        <f>IFERROR((vp.tbl[[#This Row],[VP]]-INDEX(crudeBD.lkup.complete[Mean_VP],MATCH(vp.tbl[[#This Row],[Crude_Breakdown]],crudeBD.lkup.complete[Crude Breakdown],0)))^2,"")</f>
        <v>98.533517480532581</v>
      </c>
      <c r="AN1363" s="4">
        <f>IFERROR((vp.tbl[[#This Row],[Dens]]-INDEX(crudeBD.lkup.complete[Mean_Dens],MATCH(vp.tbl[[#This Row],[Crude_Breakdown]],crudeBD.lkup.complete[Crude Breakdown],0)))^2,"")</f>
        <v>246.23330230985462</v>
      </c>
      <c r="AO1363" s="4">
        <f>IFERROR((vp.tbl[[#This Row],[Sulf]]-INDEX(crudeBD.lkup.complete[Mean_Sulf],MATCH(vp.tbl[[#This Row],[Crude_Breakdown]],crudeBD.lkup.complete[Crude Breakdown],0)))^2,"")</f>
        <v>0.13317380327394446</v>
      </c>
      <c r="AP1363">
        <f>IF(AND(vp.tbl[[#This Row],[SDate]]&gt;=DATE(YEAR(vp.tbl[[#This Row],[SDate]]),5,1),vp.tbl[[#This Row],[SDate]]&lt;=DATE(YEAR(vp.tbl[[#This Row],[SDate]]),9,15)),1,0)</f>
        <v>1</v>
      </c>
      <c r="AQ1363" s="15">
        <f>IF(vp.tbl[[#This Row],[SDate]]&lt;DATE(2016,12,1),0,1)</f>
        <v>1</v>
      </c>
    </row>
    <row r="1364" spans="1:43" x14ac:dyDescent="0.25">
      <c r="A1364">
        <v>1363</v>
      </c>
      <c r="B1364" t="s">
        <v>60</v>
      </c>
      <c r="C1364" t="s">
        <v>60</v>
      </c>
      <c r="D1364" t="s">
        <v>61</v>
      </c>
      <c r="E1364" t="s">
        <v>290</v>
      </c>
      <c r="F1364" s="1">
        <v>42856</v>
      </c>
      <c r="G1364" s="2">
        <v>70</v>
      </c>
      <c r="H1364" s="2"/>
      <c r="I1364" s="2">
        <v>1.0900000000000001</v>
      </c>
      <c r="J1364" s="2"/>
      <c r="K1364" s="2"/>
      <c r="L1364" s="2">
        <v>838.1</v>
      </c>
      <c r="M1364" s="2">
        <v>838.1</v>
      </c>
      <c r="N1364" s="2">
        <f ca="1">INDEX(INDIRECT(_xlfn.CONCAT("weather.tbl[",N$1,"]")),MATCH(vp.tbl[[#This Row],[SDate]],weather.tbl[Date],0))</f>
        <v>9.8000000000000025</v>
      </c>
      <c r="O1364" s="2">
        <f ca="1">INDEX(INDIRECT(_xlfn.CONCAT("weather.tbl[",O$1,"]")),MATCH(vp.tbl[[#This Row],[SDate]],weather.tbl[Date],0))</f>
        <v>5.5333333333333341</v>
      </c>
      <c r="P1364" s="2">
        <f ca="1">INDEX(INDIRECT(_xlfn.CONCAT("weather.tbl[",P$1,"]")),MATCH(vp.tbl[[#This Row],[SDate]],weather.tbl[Date],0))</f>
        <v>9.4</v>
      </c>
      <c r="Q1364" s="2">
        <f ca="1">INDEX(INDIRECT(_xlfn.CONCAT("weather.tbl[",Q$1,"]")),MATCH(vp.tbl[[#This Row],[SDate]],weather.tbl[Date],0))</f>
        <v>10.8</v>
      </c>
      <c r="R1364" s="2">
        <f ca="1">INDEX(INDIRECT(_xlfn.CONCAT("weather.tbl[",R$1,"]")),MATCH(vp.tbl[[#This Row],[SDate]],weather.tbl[Date],0))</f>
        <v>9.3000000000000007</v>
      </c>
      <c r="S1364" s="2">
        <f ca="1">INDEX(INDIRECT(_xlfn.CONCAT("weather.tbl[",S$1,"]")),MATCH(vp.tbl[[#This Row],[SDate]],weather.tbl[Date],0))</f>
        <v>8.9</v>
      </c>
      <c r="T1364" s="2">
        <f ca="1">INDEX(INDIRECT(_xlfn.CONCAT("weather.tbl[",T$1,"]")),MATCH(vp.tbl[[#This Row],[SDate]],weather.tbl[Date],0))</f>
        <v>10.6</v>
      </c>
      <c r="U1364" s="2">
        <f ca="1">INDEX(INDIRECT(_xlfn.CONCAT("weather.tbl[",U$1,"]")),MATCH(vp.tbl[[#This Row],[SDate]],weather.tbl[Date],0))</f>
        <v>9.8000000000000007</v>
      </c>
      <c r="V1364" s="2">
        <v>118292.008</v>
      </c>
      <c r="W1364" t="s">
        <v>48</v>
      </c>
      <c r="X1364">
        <f>IF(OR(vp.tbl[[#This Row],[Sulf]]="",vp.tbl[[#This Row],[Dens]]=""),1,0)</f>
        <v>0</v>
      </c>
      <c r="Y1364">
        <f>IF(vp.tbl[[#This Row],[CrudeType]]="C5+",1,0)</f>
        <v>0</v>
      </c>
      <c r="Z1364">
        <f>IF(AND(vp.tbl[[#This Row],[CrudeType]]="Crude",vp.tbl[[#This Row],[Dens]]&lt;=825,vp.tbl[[#This Row],[Sulf]]&gt;0.5,vp.tbl[[#This Row],[Unknown]]=0),1,0)</f>
        <v>0</v>
      </c>
      <c r="AA1364">
        <f>IF(AND(vp.tbl[[#This Row],[CrudeType]]="Crude",vp.tbl[[#This Row],[Dens]]&lt;=825,vp.tbl[[#This Row],[Sulf]]&lt;=0.5,vp.tbl[[#This Row],[Unknown]]=0),1,0)</f>
        <v>0</v>
      </c>
      <c r="AB1364">
        <f>IF(AND(vp.tbl[[#This Row],[CrudeType]]="Crude",vp.tbl[[#This Row],[Dens]]&gt;825,vp.tbl[[#This Row],[Dens]]&lt;=870,vp.tbl[[#This Row],[Sulf]]&gt;0.5,vp.tbl[[#This Row],[Unknown]]=0),1,0)</f>
        <v>1</v>
      </c>
      <c r="AC1364">
        <f>IF(AND(vp.tbl[[#This Row],[CrudeType]]="Crude",vp.tbl[[#This Row],[Dens]]&gt;825,vp.tbl[[#This Row],[Dens]]&lt;=900,vp.tbl[[#This Row],[Sulf]]&lt;=0.5,vp.tbl[[#This Row],[Unknown]]=0),1,0)</f>
        <v>0</v>
      </c>
      <c r="AD1364">
        <f>IF(AND(vp.tbl[[#This Row],[CrudeType]]="Crude",vp.tbl[[#This Row],[Dens]]&gt;870,vp.tbl[[#This Row],[Dens]]&lt;=900,vp.tbl[[#This Row],[Sulf]]&gt;0.5,vp.tbl[[#This Row],[Unknown]]=0),1,0)</f>
        <v>0</v>
      </c>
      <c r="AE1364">
        <f>IF(AND(vp.tbl[[#This Row],[CrudeType]]="Crude",vp.tbl[[#This Row],[Dens]]&gt;900,vp.tbl[[#This Row],[Sulf]]&lt;=0.5,vp.tbl[[#This Row],[Unknown]]=0),1,0)</f>
        <v>0</v>
      </c>
      <c r="AF1364">
        <f>IF(AND(vp.tbl[[#This Row],[CrudeType]]="Crude",vp.tbl[[#This Row],[Dens]]&gt;900,vp.tbl[[#This Row],[Sulf]]&lt;=0.5,vp.tbl[[#This Row],[Unknown]]=0),1,0)</f>
        <v>0</v>
      </c>
      <c r="AG1364" t="str">
        <f>INDEX(vp.tbl[[#Headers],[Unknown]:[Heavy_SW]],MATCH(1,vp.tbl[[#This Row],[Unknown]:[Heavy_SW]],0))</f>
        <v>Medium_LSB</v>
      </c>
      <c r="AH1364" t="e">
        <f>INDEX([1]!crudeBD.lkup[Number],MATCH(vp.tbl[[#This Row],[Crude_Breakdown]],[1]!crudeBD.lkup[Crude Breakdown],0))</f>
        <v>#REF!</v>
      </c>
      <c r="AI1364">
        <f>MONTH(vp.tbl[[#This Row],[SDate]])</f>
        <v>5</v>
      </c>
      <c r="AJ1364" s="5">
        <f>IFERROR(vp.tbl[[#This Row],[Sulf]]*vp.tbl[[#This Row],[Net Dens]],"")</f>
        <v>108063179.776232</v>
      </c>
      <c r="AK1364" s="5">
        <f>IFERROR(vp.tbl[[#This Row],[Dens]]*vp.tbl[[#This Row],[VolumeM3]],"")</f>
        <v>99140531.904799998</v>
      </c>
      <c r="AL1364" s="5">
        <f>IFERROR(vp.tbl[[#This Row],[VP]]*vp.tbl[[#This Row],[VolumeM3]],"")</f>
        <v>8280440.5600000005</v>
      </c>
      <c r="AM1364" s="4">
        <f>IFERROR((vp.tbl[[#This Row],[VP]]-INDEX(crudeBD.lkup.complete[Mean_VP],MATCH(vp.tbl[[#This Row],[Crude_Breakdown]],crudeBD.lkup.complete[Crude Breakdown],0)))^2,"")</f>
        <v>103.50203393622742</v>
      </c>
      <c r="AN1364" s="4">
        <f>IFERROR((vp.tbl[[#This Row],[Dens]]-INDEX(crudeBD.lkup.complete[Mean_Dens],MATCH(vp.tbl[[#This Row],[Crude_Breakdown]],crudeBD.lkup.complete[Crude Breakdown],0)))^2,"")</f>
        <v>51.722314968099596</v>
      </c>
      <c r="AO1364" s="4">
        <f>IFERROR((vp.tbl[[#This Row],[Sulf]]-INDEX(crudeBD.lkup.complete[Mean_Sulf],MATCH(vp.tbl[[#This Row],[Crude_Breakdown]],crudeBD.lkup.complete[Crude Breakdown],0)))^2,"")</f>
        <v>0.13317380327394446</v>
      </c>
      <c r="AP1364">
        <f>IF(AND(vp.tbl[[#This Row],[SDate]]&gt;=DATE(YEAR(vp.tbl[[#This Row],[SDate]]),5,1),vp.tbl[[#This Row],[SDate]]&lt;=DATE(YEAR(vp.tbl[[#This Row],[SDate]]),9,15)),1,0)</f>
        <v>1</v>
      </c>
      <c r="AQ1364" s="15">
        <f>IF(vp.tbl[[#This Row],[SDate]]&lt;DATE(2016,12,1),0,1)</f>
        <v>1</v>
      </c>
    </row>
    <row r="1365" spans="1:43" x14ac:dyDescent="0.25">
      <c r="A1365">
        <v>1364</v>
      </c>
      <c r="B1365" t="s">
        <v>49</v>
      </c>
      <c r="C1365" t="s">
        <v>49</v>
      </c>
      <c r="D1365" t="s">
        <v>59</v>
      </c>
      <c r="F1365" s="1">
        <v>42856</v>
      </c>
      <c r="G1365" s="2">
        <v>78.3</v>
      </c>
      <c r="H1365" s="2"/>
      <c r="I1365" s="2">
        <v>1.43</v>
      </c>
      <c r="J1365" s="2"/>
      <c r="K1365" s="2"/>
      <c r="L1365" s="2">
        <v>845</v>
      </c>
      <c r="M1365" s="2">
        <v>845</v>
      </c>
      <c r="N1365" s="2">
        <f ca="1">INDEX(INDIRECT(_xlfn.CONCAT("weather.tbl[",N$1,"]")),MATCH(vp.tbl[[#This Row],[SDate]],weather.tbl[Date],0))</f>
        <v>9.8000000000000025</v>
      </c>
      <c r="O1365" s="2">
        <f ca="1">INDEX(INDIRECT(_xlfn.CONCAT("weather.tbl[",O$1,"]")),MATCH(vp.tbl[[#This Row],[SDate]],weather.tbl[Date],0))</f>
        <v>5.5333333333333341</v>
      </c>
      <c r="P1365" s="2">
        <f ca="1">INDEX(INDIRECT(_xlfn.CONCAT("weather.tbl[",P$1,"]")),MATCH(vp.tbl[[#This Row],[SDate]],weather.tbl[Date],0))</f>
        <v>9.4</v>
      </c>
      <c r="Q1365" s="2">
        <f ca="1">INDEX(INDIRECT(_xlfn.CONCAT("weather.tbl[",Q$1,"]")),MATCH(vp.tbl[[#This Row],[SDate]],weather.tbl[Date],0))</f>
        <v>10.8</v>
      </c>
      <c r="R1365" s="2">
        <f ca="1">INDEX(INDIRECT(_xlfn.CONCAT("weather.tbl[",R$1,"]")),MATCH(vp.tbl[[#This Row],[SDate]],weather.tbl[Date],0))</f>
        <v>9.3000000000000007</v>
      </c>
      <c r="S1365" s="2">
        <f ca="1">INDEX(INDIRECT(_xlfn.CONCAT("weather.tbl[",S$1,"]")),MATCH(vp.tbl[[#This Row],[SDate]],weather.tbl[Date],0))</f>
        <v>8.9</v>
      </c>
      <c r="T1365" s="2">
        <f ca="1">INDEX(INDIRECT(_xlfn.CONCAT("weather.tbl[",T$1,"]")),MATCH(vp.tbl[[#This Row],[SDate]],weather.tbl[Date],0))</f>
        <v>10.6</v>
      </c>
      <c r="U1365" s="2">
        <f ca="1">INDEX(INDIRECT(_xlfn.CONCAT("weather.tbl[",U$1,"]")),MATCH(vp.tbl[[#This Row],[SDate]],weather.tbl[Date],0))</f>
        <v>9.8000000000000007</v>
      </c>
      <c r="V1365" s="2">
        <v>1309.8610000000001</v>
      </c>
      <c r="W1365" t="s">
        <v>48</v>
      </c>
      <c r="X1365">
        <f>IF(OR(vp.tbl[[#This Row],[Sulf]]="",vp.tbl[[#This Row],[Dens]]=""),1,0)</f>
        <v>0</v>
      </c>
      <c r="Y1365">
        <f>IF(vp.tbl[[#This Row],[CrudeType]]="C5+",1,0)</f>
        <v>0</v>
      </c>
      <c r="Z1365">
        <f>IF(AND(vp.tbl[[#This Row],[CrudeType]]="Crude",vp.tbl[[#This Row],[Dens]]&lt;=825,vp.tbl[[#This Row],[Sulf]]&gt;0.5,vp.tbl[[#This Row],[Unknown]]=0),1,0)</f>
        <v>0</v>
      </c>
      <c r="AA1365">
        <f>IF(AND(vp.tbl[[#This Row],[CrudeType]]="Crude",vp.tbl[[#This Row],[Dens]]&lt;=825,vp.tbl[[#This Row],[Sulf]]&lt;=0.5,vp.tbl[[#This Row],[Unknown]]=0),1,0)</f>
        <v>0</v>
      </c>
      <c r="AB1365">
        <f>IF(AND(vp.tbl[[#This Row],[CrudeType]]="Crude",vp.tbl[[#This Row],[Dens]]&gt;825,vp.tbl[[#This Row],[Dens]]&lt;=870,vp.tbl[[#This Row],[Sulf]]&gt;0.5,vp.tbl[[#This Row],[Unknown]]=0),1,0)</f>
        <v>1</v>
      </c>
      <c r="AC1365">
        <f>IF(AND(vp.tbl[[#This Row],[CrudeType]]="Crude",vp.tbl[[#This Row],[Dens]]&gt;825,vp.tbl[[#This Row],[Dens]]&lt;=900,vp.tbl[[#This Row],[Sulf]]&lt;=0.5,vp.tbl[[#This Row],[Unknown]]=0),1,0)</f>
        <v>0</v>
      </c>
      <c r="AD1365">
        <f>IF(AND(vp.tbl[[#This Row],[CrudeType]]="Crude",vp.tbl[[#This Row],[Dens]]&gt;870,vp.tbl[[#This Row],[Dens]]&lt;=900,vp.tbl[[#This Row],[Sulf]]&gt;0.5,vp.tbl[[#This Row],[Unknown]]=0),1,0)</f>
        <v>0</v>
      </c>
      <c r="AE1365">
        <f>IF(AND(vp.tbl[[#This Row],[CrudeType]]="Crude",vp.tbl[[#This Row],[Dens]]&gt;900,vp.tbl[[#This Row],[Sulf]]&lt;=0.5,vp.tbl[[#This Row],[Unknown]]=0),1,0)</f>
        <v>0</v>
      </c>
      <c r="AF1365">
        <f>IF(AND(vp.tbl[[#This Row],[CrudeType]]="Crude",vp.tbl[[#This Row],[Dens]]&gt;900,vp.tbl[[#This Row],[Sulf]]&lt;=0.5,vp.tbl[[#This Row],[Unknown]]=0),1,0)</f>
        <v>0</v>
      </c>
      <c r="AG1365" t="str">
        <f>INDEX(vp.tbl[[#Headers],[Unknown]:[Heavy_SW]],MATCH(1,vp.tbl[[#This Row],[Unknown]:[Heavy_SW]],0))</f>
        <v>Medium_LSB</v>
      </c>
      <c r="AH1365" t="e">
        <f>INDEX([1]!crudeBD.lkup[Number],MATCH(vp.tbl[[#This Row],[Crude_Breakdown]],[1]!crudeBD.lkup[Crude Breakdown],0))</f>
        <v>#REF!</v>
      </c>
      <c r="AI1365">
        <f>MONTH(vp.tbl[[#This Row],[SDate]])</f>
        <v>5</v>
      </c>
      <c r="AJ1365" s="5">
        <f>IFERROR(vp.tbl[[#This Row],[Sulf]]*vp.tbl[[#This Row],[Net Dens]],"")</f>
        <v>1582770.5393500002</v>
      </c>
      <c r="AK1365" s="5">
        <f>IFERROR(vp.tbl[[#This Row],[Dens]]*vp.tbl[[#This Row],[VolumeM3]],"")</f>
        <v>1106832.5450000002</v>
      </c>
      <c r="AL1365" s="5">
        <f>IFERROR(vp.tbl[[#This Row],[VP]]*vp.tbl[[#This Row],[VolumeM3]],"")</f>
        <v>102562.11630000001</v>
      </c>
      <c r="AM1365" s="4">
        <f>IFERROR((vp.tbl[[#This Row],[VP]]-INDEX(crudeBD.lkup.complete[Mean_VP],MATCH(vp.tbl[[#This Row],[Crude_Breakdown]],crudeBD.lkup.complete[Crude Breakdown],0)))^2,"")</f>
        <v>3.5103579868609525</v>
      </c>
      <c r="AN1365" s="4">
        <f>IFERROR((vp.tbl[[#This Row],[Dens]]-INDEX(crudeBD.lkup.complete[Mean_Dens],MATCH(vp.tbl[[#This Row],[Crude_Breakdown]],crudeBD.lkup.complete[Crude Breakdown],0)))^2,"")</f>
        <v>8.5160537733762753E-2</v>
      </c>
      <c r="AO1365" s="4">
        <f>IFERROR((vp.tbl[[#This Row],[Sulf]]-INDEX(crudeBD.lkup.complete[Mean_Sulf],MATCH(vp.tbl[[#This Row],[Crude_Breakdown]],crudeBD.lkup.complete[Crude Breakdown],0)))^2,"")</f>
        <v>6.2149795748781933E-4</v>
      </c>
      <c r="AP1365">
        <f>IF(AND(vp.tbl[[#This Row],[SDate]]&gt;=DATE(YEAR(vp.tbl[[#This Row],[SDate]]),5,1),vp.tbl[[#This Row],[SDate]]&lt;=DATE(YEAR(vp.tbl[[#This Row],[SDate]]),9,15)),1,0)</f>
        <v>1</v>
      </c>
      <c r="AQ1365" s="15">
        <f>IF(vp.tbl[[#This Row],[SDate]]&lt;DATE(2016,12,1),0,1)</f>
        <v>1</v>
      </c>
    </row>
    <row r="1366" spans="1:43" x14ac:dyDescent="0.25">
      <c r="A1366">
        <v>1365</v>
      </c>
      <c r="B1366" t="s">
        <v>49</v>
      </c>
      <c r="C1366" t="s">
        <v>49</v>
      </c>
      <c r="D1366" t="s">
        <v>90</v>
      </c>
      <c r="F1366" s="1">
        <v>42856</v>
      </c>
      <c r="G1366" s="2">
        <v>66</v>
      </c>
      <c r="H1366" s="2"/>
      <c r="I1366" s="2">
        <v>1.28</v>
      </c>
      <c r="J1366" s="2"/>
      <c r="K1366" s="2"/>
      <c r="L1366" s="2">
        <v>844.9</v>
      </c>
      <c r="M1366" s="2">
        <v>844.9</v>
      </c>
      <c r="N1366" s="2">
        <f ca="1">INDEX(INDIRECT(_xlfn.CONCAT("weather.tbl[",N$1,"]")),MATCH(vp.tbl[[#This Row],[SDate]],weather.tbl[Date],0))</f>
        <v>9.8000000000000025</v>
      </c>
      <c r="O1366" s="2">
        <f ca="1">INDEX(INDIRECT(_xlfn.CONCAT("weather.tbl[",O$1,"]")),MATCH(vp.tbl[[#This Row],[SDate]],weather.tbl[Date],0))</f>
        <v>5.5333333333333341</v>
      </c>
      <c r="P1366" s="2">
        <f ca="1">INDEX(INDIRECT(_xlfn.CONCAT("weather.tbl[",P$1,"]")),MATCH(vp.tbl[[#This Row],[SDate]],weather.tbl[Date],0))</f>
        <v>9.4</v>
      </c>
      <c r="Q1366" s="2">
        <f ca="1">INDEX(INDIRECT(_xlfn.CONCAT("weather.tbl[",Q$1,"]")),MATCH(vp.tbl[[#This Row],[SDate]],weather.tbl[Date],0))</f>
        <v>10.8</v>
      </c>
      <c r="R1366" s="2">
        <f ca="1">INDEX(INDIRECT(_xlfn.CONCAT("weather.tbl[",R$1,"]")),MATCH(vp.tbl[[#This Row],[SDate]],weather.tbl[Date],0))</f>
        <v>9.3000000000000007</v>
      </c>
      <c r="S1366" s="2">
        <f ca="1">INDEX(INDIRECT(_xlfn.CONCAT("weather.tbl[",S$1,"]")),MATCH(vp.tbl[[#This Row],[SDate]],weather.tbl[Date],0))</f>
        <v>8.9</v>
      </c>
      <c r="T1366" s="2">
        <f ca="1">INDEX(INDIRECT(_xlfn.CONCAT("weather.tbl[",T$1,"]")),MATCH(vp.tbl[[#This Row],[SDate]],weather.tbl[Date],0))</f>
        <v>10.6</v>
      </c>
      <c r="U1366" s="2">
        <f ca="1">INDEX(INDIRECT(_xlfn.CONCAT("weather.tbl[",U$1,"]")),MATCH(vp.tbl[[#This Row],[SDate]],weather.tbl[Date],0))</f>
        <v>9.8000000000000007</v>
      </c>
      <c r="V1366" s="2">
        <v>4681.2809999999999</v>
      </c>
      <c r="W1366" t="s">
        <v>48</v>
      </c>
      <c r="X1366">
        <f>IF(OR(vp.tbl[[#This Row],[Sulf]]="",vp.tbl[[#This Row],[Dens]]=""),1,0)</f>
        <v>0</v>
      </c>
      <c r="Y1366">
        <f>IF(vp.tbl[[#This Row],[CrudeType]]="C5+",1,0)</f>
        <v>0</v>
      </c>
      <c r="Z1366">
        <f>IF(AND(vp.tbl[[#This Row],[CrudeType]]="Crude",vp.tbl[[#This Row],[Dens]]&lt;=825,vp.tbl[[#This Row],[Sulf]]&gt;0.5,vp.tbl[[#This Row],[Unknown]]=0),1,0)</f>
        <v>0</v>
      </c>
      <c r="AA1366">
        <f>IF(AND(vp.tbl[[#This Row],[CrudeType]]="Crude",vp.tbl[[#This Row],[Dens]]&lt;=825,vp.tbl[[#This Row],[Sulf]]&lt;=0.5,vp.tbl[[#This Row],[Unknown]]=0),1,0)</f>
        <v>0</v>
      </c>
      <c r="AB1366">
        <f>IF(AND(vp.tbl[[#This Row],[CrudeType]]="Crude",vp.tbl[[#This Row],[Dens]]&gt;825,vp.tbl[[#This Row],[Dens]]&lt;=870,vp.tbl[[#This Row],[Sulf]]&gt;0.5,vp.tbl[[#This Row],[Unknown]]=0),1,0)</f>
        <v>1</v>
      </c>
      <c r="AC1366">
        <f>IF(AND(vp.tbl[[#This Row],[CrudeType]]="Crude",vp.tbl[[#This Row],[Dens]]&gt;825,vp.tbl[[#This Row],[Dens]]&lt;=900,vp.tbl[[#This Row],[Sulf]]&lt;=0.5,vp.tbl[[#This Row],[Unknown]]=0),1,0)</f>
        <v>0</v>
      </c>
      <c r="AD1366">
        <f>IF(AND(vp.tbl[[#This Row],[CrudeType]]="Crude",vp.tbl[[#This Row],[Dens]]&gt;870,vp.tbl[[#This Row],[Dens]]&lt;=900,vp.tbl[[#This Row],[Sulf]]&gt;0.5,vp.tbl[[#This Row],[Unknown]]=0),1,0)</f>
        <v>0</v>
      </c>
      <c r="AE1366">
        <f>IF(AND(vp.tbl[[#This Row],[CrudeType]]="Crude",vp.tbl[[#This Row],[Dens]]&gt;900,vp.tbl[[#This Row],[Sulf]]&lt;=0.5,vp.tbl[[#This Row],[Unknown]]=0),1,0)</f>
        <v>0</v>
      </c>
      <c r="AF1366">
        <f>IF(AND(vp.tbl[[#This Row],[CrudeType]]="Crude",vp.tbl[[#This Row],[Dens]]&gt;900,vp.tbl[[#This Row],[Sulf]]&lt;=0.5,vp.tbl[[#This Row],[Unknown]]=0),1,0)</f>
        <v>0</v>
      </c>
      <c r="AG1366" t="str">
        <f>INDEX(vp.tbl[[#Headers],[Unknown]:[Heavy_SW]],MATCH(1,vp.tbl[[#This Row],[Unknown]:[Heavy_SW]],0))</f>
        <v>Medium_LSB</v>
      </c>
      <c r="AH1366" t="e">
        <f>INDEX([1]!crudeBD.lkup[Number],MATCH(vp.tbl[[#This Row],[Crude_Breakdown]],[1]!crudeBD.lkup[Crude Breakdown],0))</f>
        <v>#REF!</v>
      </c>
      <c r="AI1366">
        <f>MONTH(vp.tbl[[#This Row],[SDate]])</f>
        <v>5</v>
      </c>
      <c r="AJ1366" s="5">
        <f>IFERROR(vp.tbl[[#This Row],[Sulf]]*vp.tbl[[#This Row],[Net Dens]],"")</f>
        <v>5062674.3256320003</v>
      </c>
      <c r="AK1366" s="5">
        <f>IFERROR(vp.tbl[[#This Row],[Dens]]*vp.tbl[[#This Row],[VolumeM3]],"")</f>
        <v>3955214.3169</v>
      </c>
      <c r="AL1366" s="5">
        <f>IFERROR(vp.tbl[[#This Row],[VP]]*vp.tbl[[#This Row],[VolumeM3]],"")</f>
        <v>308964.54599999997</v>
      </c>
      <c r="AM1366" s="4">
        <f>IFERROR((vp.tbl[[#This Row],[VP]]-INDEX(crudeBD.lkup.complete[Mean_VP],MATCH(vp.tbl[[#This Row],[Crude_Breakdown]],crudeBD.lkup.complete[Crude Breakdown],0)))^2,"")</f>
        <v>200.890793429898</v>
      </c>
      <c r="AN1366" s="4">
        <f>IFERROR((vp.tbl[[#This Row],[Dens]]-INDEX(crudeBD.lkup.complete[Mean_Dens],MATCH(vp.tbl[[#This Row],[Crude_Breakdown]],crudeBD.lkup.complete[Crude Breakdown],0)))^2,"")</f>
        <v>0.15352509469560896</v>
      </c>
      <c r="AO1366" s="4">
        <f>IFERROR((vp.tbl[[#This Row],[Sulf]]-INDEX(crudeBD.lkup.complete[Mean_Sulf],MATCH(vp.tbl[[#This Row],[Crude_Breakdown]],crudeBD.lkup.complete[Crude Breakdown],0)))^2,"")</f>
        <v>3.0600456185336352E-2</v>
      </c>
      <c r="AP1366">
        <f>IF(AND(vp.tbl[[#This Row],[SDate]]&gt;=DATE(YEAR(vp.tbl[[#This Row],[SDate]]),5,1),vp.tbl[[#This Row],[SDate]]&lt;=DATE(YEAR(vp.tbl[[#This Row],[SDate]]),9,15)),1,0)</f>
        <v>1</v>
      </c>
      <c r="AQ1366" s="15">
        <f>IF(vp.tbl[[#This Row],[SDate]]&lt;DATE(2016,12,1),0,1)</f>
        <v>1</v>
      </c>
    </row>
    <row r="1367" spans="1:43" x14ac:dyDescent="0.25">
      <c r="A1367">
        <v>1366</v>
      </c>
      <c r="B1367" t="s">
        <v>51</v>
      </c>
      <c r="C1367" t="s">
        <v>51</v>
      </c>
      <c r="D1367" t="s">
        <v>95</v>
      </c>
      <c r="F1367" s="1">
        <v>42856</v>
      </c>
      <c r="G1367" s="2">
        <v>70.2</v>
      </c>
      <c r="H1367" s="2"/>
      <c r="I1367" s="2">
        <v>1.19</v>
      </c>
      <c r="J1367" s="2"/>
      <c r="K1367" s="2"/>
      <c r="L1367" s="2">
        <v>842</v>
      </c>
      <c r="M1367" s="2">
        <v>842</v>
      </c>
      <c r="N1367" s="2">
        <f ca="1">INDEX(INDIRECT(_xlfn.CONCAT("weather.tbl[",N$1,"]")),MATCH(vp.tbl[[#This Row],[SDate]],weather.tbl[Date],0))</f>
        <v>9.8000000000000025</v>
      </c>
      <c r="O1367" s="2">
        <f ca="1">INDEX(INDIRECT(_xlfn.CONCAT("weather.tbl[",O$1,"]")),MATCH(vp.tbl[[#This Row],[SDate]],weather.tbl[Date],0))</f>
        <v>5.5333333333333341</v>
      </c>
      <c r="P1367" s="2">
        <f ca="1">INDEX(INDIRECT(_xlfn.CONCAT("weather.tbl[",P$1,"]")),MATCH(vp.tbl[[#This Row],[SDate]],weather.tbl[Date],0))</f>
        <v>9.4</v>
      </c>
      <c r="Q1367" s="2">
        <f ca="1">INDEX(INDIRECT(_xlfn.CONCAT("weather.tbl[",Q$1,"]")),MATCH(vp.tbl[[#This Row],[SDate]],weather.tbl[Date],0))</f>
        <v>10.8</v>
      </c>
      <c r="R1367" s="2">
        <f ca="1">INDEX(INDIRECT(_xlfn.CONCAT("weather.tbl[",R$1,"]")),MATCH(vp.tbl[[#This Row],[SDate]],weather.tbl[Date],0))</f>
        <v>9.3000000000000007</v>
      </c>
      <c r="S1367" s="2">
        <f ca="1">INDEX(INDIRECT(_xlfn.CONCAT("weather.tbl[",S$1,"]")),MATCH(vp.tbl[[#This Row],[SDate]],weather.tbl[Date],0))</f>
        <v>8.9</v>
      </c>
      <c r="T1367" s="2">
        <f ca="1">INDEX(INDIRECT(_xlfn.CONCAT("weather.tbl[",T$1,"]")),MATCH(vp.tbl[[#This Row],[SDate]],weather.tbl[Date],0))</f>
        <v>10.6</v>
      </c>
      <c r="U1367" s="2">
        <f ca="1">INDEX(INDIRECT(_xlfn.CONCAT("weather.tbl[",U$1,"]")),MATCH(vp.tbl[[#This Row],[SDate]],weather.tbl[Date],0))</f>
        <v>9.8000000000000007</v>
      </c>
      <c r="V1367" s="2">
        <v>5507.5879999999997</v>
      </c>
      <c r="W1367" t="s">
        <v>48</v>
      </c>
      <c r="X1367">
        <f>IF(OR(vp.tbl[[#This Row],[Sulf]]="",vp.tbl[[#This Row],[Dens]]=""),1,0)</f>
        <v>0</v>
      </c>
      <c r="Y1367">
        <f>IF(vp.tbl[[#This Row],[CrudeType]]="C5+",1,0)</f>
        <v>0</v>
      </c>
      <c r="Z1367">
        <f>IF(AND(vp.tbl[[#This Row],[CrudeType]]="Crude",vp.tbl[[#This Row],[Dens]]&lt;=825,vp.tbl[[#This Row],[Sulf]]&gt;0.5,vp.tbl[[#This Row],[Unknown]]=0),1,0)</f>
        <v>0</v>
      </c>
      <c r="AA1367">
        <f>IF(AND(vp.tbl[[#This Row],[CrudeType]]="Crude",vp.tbl[[#This Row],[Dens]]&lt;=825,vp.tbl[[#This Row],[Sulf]]&lt;=0.5,vp.tbl[[#This Row],[Unknown]]=0),1,0)</f>
        <v>0</v>
      </c>
      <c r="AB1367">
        <f>IF(AND(vp.tbl[[#This Row],[CrudeType]]="Crude",vp.tbl[[#This Row],[Dens]]&gt;825,vp.tbl[[#This Row],[Dens]]&lt;=870,vp.tbl[[#This Row],[Sulf]]&gt;0.5,vp.tbl[[#This Row],[Unknown]]=0),1,0)</f>
        <v>1</v>
      </c>
      <c r="AC1367">
        <f>IF(AND(vp.tbl[[#This Row],[CrudeType]]="Crude",vp.tbl[[#This Row],[Dens]]&gt;825,vp.tbl[[#This Row],[Dens]]&lt;=900,vp.tbl[[#This Row],[Sulf]]&lt;=0.5,vp.tbl[[#This Row],[Unknown]]=0),1,0)</f>
        <v>0</v>
      </c>
      <c r="AD1367">
        <f>IF(AND(vp.tbl[[#This Row],[CrudeType]]="Crude",vp.tbl[[#This Row],[Dens]]&gt;870,vp.tbl[[#This Row],[Dens]]&lt;=900,vp.tbl[[#This Row],[Sulf]]&gt;0.5,vp.tbl[[#This Row],[Unknown]]=0),1,0)</f>
        <v>0</v>
      </c>
      <c r="AE1367">
        <f>IF(AND(vp.tbl[[#This Row],[CrudeType]]="Crude",vp.tbl[[#This Row],[Dens]]&gt;900,vp.tbl[[#This Row],[Sulf]]&lt;=0.5,vp.tbl[[#This Row],[Unknown]]=0),1,0)</f>
        <v>0</v>
      </c>
      <c r="AF1367">
        <f>IF(AND(vp.tbl[[#This Row],[CrudeType]]="Crude",vp.tbl[[#This Row],[Dens]]&gt;900,vp.tbl[[#This Row],[Sulf]]&lt;=0.5,vp.tbl[[#This Row],[Unknown]]=0),1,0)</f>
        <v>0</v>
      </c>
      <c r="AG1367" t="str">
        <f>INDEX(vp.tbl[[#Headers],[Unknown]:[Heavy_SW]],MATCH(1,vp.tbl[[#This Row],[Unknown]:[Heavy_SW]],0))</f>
        <v>Medium_LSB</v>
      </c>
      <c r="AH1367" t="e">
        <f>INDEX([1]!crudeBD.lkup[Number],MATCH(vp.tbl[[#This Row],[Crude_Breakdown]],[1]!crudeBD.lkup[Crude Breakdown],0))</f>
        <v>#REF!</v>
      </c>
      <c r="AI1367">
        <f>MONTH(vp.tbl[[#This Row],[SDate]])</f>
        <v>5</v>
      </c>
      <c r="AJ1367" s="5">
        <f>IFERROR(vp.tbl[[#This Row],[Sulf]]*vp.tbl[[#This Row],[Net Dens]],"")</f>
        <v>5518493.0242399992</v>
      </c>
      <c r="AK1367" s="5">
        <f>IFERROR(vp.tbl[[#This Row],[Dens]]*vp.tbl[[#This Row],[VolumeM3]],"")</f>
        <v>4637389.0959999999</v>
      </c>
      <c r="AL1367" s="5">
        <f>IFERROR(vp.tbl[[#This Row],[VP]]*vp.tbl[[#This Row],[VolumeM3]],"")</f>
        <v>386632.6776</v>
      </c>
      <c r="AM1367" s="4">
        <f>IFERROR((vp.tbl[[#This Row],[VP]]-INDEX(crudeBD.lkup.complete[Mean_VP],MATCH(vp.tbl[[#This Row],[Crude_Breakdown]],crudeBD.lkup.complete[Crude Breakdown],0)))^2,"")</f>
        <v>99.472595961543831</v>
      </c>
      <c r="AN1367" s="4">
        <f>IFERROR((vp.tbl[[#This Row],[Dens]]-INDEX(crudeBD.lkup.complete[Mean_Dens],MATCH(vp.tbl[[#This Row],[Crude_Breakdown]],crudeBD.lkup.complete[Crude Breakdown],0)))^2,"")</f>
        <v>10.836097246588615</v>
      </c>
      <c r="AO1367" s="4">
        <f>IFERROR((vp.tbl[[#This Row],[Sulf]]-INDEX(crudeBD.lkup.complete[Mean_Sulf],MATCH(vp.tbl[[#This Row],[Crude_Breakdown]],crudeBD.lkup.complete[Crude Breakdown],0)))^2,"")</f>
        <v>7.0187831122045519E-2</v>
      </c>
      <c r="AP1367">
        <f>IF(AND(vp.tbl[[#This Row],[SDate]]&gt;=DATE(YEAR(vp.tbl[[#This Row],[SDate]]),5,1),vp.tbl[[#This Row],[SDate]]&lt;=DATE(YEAR(vp.tbl[[#This Row],[SDate]]),9,15)),1,0)</f>
        <v>1</v>
      </c>
      <c r="AQ1367" s="15">
        <f>IF(vp.tbl[[#This Row],[SDate]]&lt;DATE(2016,12,1),0,1)</f>
        <v>1</v>
      </c>
    </row>
    <row r="1368" spans="1:43" x14ac:dyDescent="0.25">
      <c r="A1368">
        <v>1367</v>
      </c>
      <c r="B1368" t="s">
        <v>51</v>
      </c>
      <c r="C1368" t="s">
        <v>51</v>
      </c>
      <c r="D1368" t="s">
        <v>72</v>
      </c>
      <c r="F1368" s="1">
        <v>42857</v>
      </c>
      <c r="G1368" s="2">
        <v>84.1</v>
      </c>
      <c r="H1368" s="2"/>
      <c r="I1368" s="2">
        <v>1.06</v>
      </c>
      <c r="J1368" s="2"/>
      <c r="K1368" s="2"/>
      <c r="L1368" s="2">
        <v>827.7</v>
      </c>
      <c r="M1368" s="2">
        <v>827.7</v>
      </c>
      <c r="N1368" s="2">
        <f ca="1">INDEX(INDIRECT(_xlfn.CONCAT("weather.tbl[",N$1,"]")),MATCH(vp.tbl[[#This Row],[SDate]],weather.tbl[Date],0))</f>
        <v>9.3500000000000014</v>
      </c>
      <c r="O1368" s="2">
        <f ca="1">INDEX(INDIRECT(_xlfn.CONCAT("weather.tbl[",O$1,"]")),MATCH(vp.tbl[[#This Row],[SDate]],weather.tbl[Date],0))</f>
        <v>6.7214285714285733</v>
      </c>
      <c r="P1368" s="2">
        <f ca="1">INDEX(INDIRECT(_xlfn.CONCAT("weather.tbl[",P$1,"]")),MATCH(vp.tbl[[#This Row],[SDate]],weather.tbl[Date],0))</f>
        <v>9.5</v>
      </c>
      <c r="Q1368" s="2">
        <f ca="1">INDEX(INDIRECT(_xlfn.CONCAT("weather.tbl[",Q$1,"]")),MATCH(vp.tbl[[#This Row],[SDate]],weather.tbl[Date],0))</f>
        <v>10.5</v>
      </c>
      <c r="R1368" s="2">
        <f ca="1">INDEX(INDIRECT(_xlfn.CONCAT("weather.tbl[",R$1,"]")),MATCH(vp.tbl[[#This Row],[SDate]],weather.tbl[Date],0))</f>
        <v>9.3000000000000007</v>
      </c>
      <c r="S1368" s="2">
        <f ca="1">INDEX(INDIRECT(_xlfn.CONCAT("weather.tbl[",S$1,"]")),MATCH(vp.tbl[[#This Row],[SDate]],weather.tbl[Date],0))</f>
        <v>8.9</v>
      </c>
      <c r="T1368" s="2">
        <f ca="1">INDEX(INDIRECT(_xlfn.CONCAT("weather.tbl[",T$1,"]")),MATCH(vp.tbl[[#This Row],[SDate]],weather.tbl[Date],0))</f>
        <v>9.1</v>
      </c>
      <c r="U1368" s="2">
        <f ca="1">INDEX(INDIRECT(_xlfn.CONCAT("weather.tbl[",U$1,"]")),MATCH(vp.tbl[[#This Row],[SDate]],weather.tbl[Date],0))</f>
        <v>8.8000000000000007</v>
      </c>
      <c r="V1368" s="2">
        <v>14195.075000000001</v>
      </c>
      <c r="W1368" t="s">
        <v>48</v>
      </c>
      <c r="X1368">
        <f>IF(OR(vp.tbl[[#This Row],[Sulf]]="",vp.tbl[[#This Row],[Dens]]=""),1,0)</f>
        <v>0</v>
      </c>
      <c r="Y1368">
        <f>IF(vp.tbl[[#This Row],[CrudeType]]="C5+",1,0)</f>
        <v>0</v>
      </c>
      <c r="Z1368">
        <f>IF(AND(vp.tbl[[#This Row],[CrudeType]]="Crude",vp.tbl[[#This Row],[Dens]]&lt;=825,vp.tbl[[#This Row],[Sulf]]&gt;0.5,vp.tbl[[#This Row],[Unknown]]=0),1,0)</f>
        <v>0</v>
      </c>
      <c r="AA1368">
        <f>IF(AND(vp.tbl[[#This Row],[CrudeType]]="Crude",vp.tbl[[#This Row],[Dens]]&lt;=825,vp.tbl[[#This Row],[Sulf]]&lt;=0.5,vp.tbl[[#This Row],[Unknown]]=0),1,0)</f>
        <v>0</v>
      </c>
      <c r="AB1368">
        <f>IF(AND(vp.tbl[[#This Row],[CrudeType]]="Crude",vp.tbl[[#This Row],[Dens]]&gt;825,vp.tbl[[#This Row],[Dens]]&lt;=870,vp.tbl[[#This Row],[Sulf]]&gt;0.5,vp.tbl[[#This Row],[Unknown]]=0),1,0)</f>
        <v>1</v>
      </c>
      <c r="AC1368">
        <f>IF(AND(vp.tbl[[#This Row],[CrudeType]]="Crude",vp.tbl[[#This Row],[Dens]]&gt;825,vp.tbl[[#This Row],[Dens]]&lt;=900,vp.tbl[[#This Row],[Sulf]]&lt;=0.5,vp.tbl[[#This Row],[Unknown]]=0),1,0)</f>
        <v>0</v>
      </c>
      <c r="AD1368">
        <f>IF(AND(vp.tbl[[#This Row],[CrudeType]]="Crude",vp.tbl[[#This Row],[Dens]]&gt;870,vp.tbl[[#This Row],[Dens]]&lt;=900,vp.tbl[[#This Row],[Sulf]]&gt;0.5,vp.tbl[[#This Row],[Unknown]]=0),1,0)</f>
        <v>0</v>
      </c>
      <c r="AE1368">
        <f>IF(AND(vp.tbl[[#This Row],[CrudeType]]="Crude",vp.tbl[[#This Row],[Dens]]&gt;900,vp.tbl[[#This Row],[Sulf]]&lt;=0.5,vp.tbl[[#This Row],[Unknown]]=0),1,0)</f>
        <v>0</v>
      </c>
      <c r="AF1368">
        <f>IF(AND(vp.tbl[[#This Row],[CrudeType]]="Crude",vp.tbl[[#This Row],[Dens]]&gt;900,vp.tbl[[#This Row],[Sulf]]&lt;=0.5,vp.tbl[[#This Row],[Unknown]]=0),1,0)</f>
        <v>0</v>
      </c>
      <c r="AG1368" t="str">
        <f>INDEX(vp.tbl[[#Headers],[Unknown]:[Heavy_SW]],MATCH(1,vp.tbl[[#This Row],[Unknown]:[Heavy_SW]],0))</f>
        <v>Medium_LSB</v>
      </c>
      <c r="AH1368" t="e">
        <f>INDEX([1]!crudeBD.lkup[Number],MATCH(vp.tbl[[#This Row],[Crude_Breakdown]],[1]!crudeBD.lkup[Crude Breakdown],0))</f>
        <v>#REF!</v>
      </c>
      <c r="AI1368">
        <f>MONTH(vp.tbl[[#This Row],[SDate]])</f>
        <v>5</v>
      </c>
      <c r="AJ1368" s="5">
        <f>IFERROR(vp.tbl[[#This Row],[Sulf]]*vp.tbl[[#This Row],[Net Dens]],"")</f>
        <v>12454219.392150002</v>
      </c>
      <c r="AK1368" s="5">
        <f>IFERROR(vp.tbl[[#This Row],[Dens]]*vp.tbl[[#This Row],[VolumeM3]],"")</f>
        <v>11749263.577500001</v>
      </c>
      <c r="AL1368" s="5">
        <f>IFERROR(vp.tbl[[#This Row],[VP]]*vp.tbl[[#This Row],[VolumeM3]],"")</f>
        <v>1193805.8074999999</v>
      </c>
      <c r="AM1368" s="4">
        <f>IFERROR((vp.tbl[[#This Row],[VP]]-INDEX(crudeBD.lkup.complete[Mean_VP],MATCH(vp.tbl[[#This Row],[Crude_Breakdown]],crudeBD.lkup.complete[Crude Breakdown],0)))^2,"")</f>
        <v>15.416656721038541</v>
      </c>
      <c r="AN1368" s="4">
        <f>IFERROR((vp.tbl[[#This Row],[Dens]]-INDEX(crudeBD.lkup.complete[Mean_Dens],MATCH(vp.tbl[[#This Row],[Crude_Breakdown]],crudeBD.lkup.complete[Crude Breakdown],0)))^2,"")</f>
        <v>309.4722288921285</v>
      </c>
      <c r="AO1368" s="4">
        <f>IFERROR((vp.tbl[[#This Row],[Sulf]]-INDEX(crudeBD.lkup.complete[Mean_Sulf],MATCH(vp.tbl[[#This Row],[Crude_Breakdown]],crudeBD.lkup.complete[Crude Breakdown],0)))^2,"")</f>
        <v>0.15596959491951418</v>
      </c>
      <c r="AP1368">
        <f>IF(AND(vp.tbl[[#This Row],[SDate]]&gt;=DATE(YEAR(vp.tbl[[#This Row],[SDate]]),5,1),vp.tbl[[#This Row],[SDate]]&lt;=DATE(YEAR(vp.tbl[[#This Row],[SDate]]),9,15)),1,0)</f>
        <v>1</v>
      </c>
      <c r="AQ1368" s="15">
        <f>IF(vp.tbl[[#This Row],[SDate]]&lt;DATE(2016,12,1),0,1)</f>
        <v>1</v>
      </c>
    </row>
    <row r="1369" spans="1:43" x14ac:dyDescent="0.25">
      <c r="A1369">
        <v>1368</v>
      </c>
      <c r="B1369" t="s">
        <v>68</v>
      </c>
      <c r="C1369" t="s">
        <v>68</v>
      </c>
      <c r="D1369" t="s">
        <v>69</v>
      </c>
      <c r="F1369" s="1">
        <v>42857</v>
      </c>
      <c r="G1369" s="2">
        <v>70.900000000000006</v>
      </c>
      <c r="H1369" s="2"/>
      <c r="I1369" s="2">
        <v>1.61</v>
      </c>
      <c r="J1369" s="2"/>
      <c r="K1369" s="2"/>
      <c r="L1369" s="2">
        <v>856.1</v>
      </c>
      <c r="M1369" s="2">
        <v>856.1</v>
      </c>
      <c r="N1369" s="2">
        <f ca="1">INDEX(INDIRECT(_xlfn.CONCAT("weather.tbl[",N$1,"]")),MATCH(vp.tbl[[#This Row],[SDate]],weather.tbl[Date],0))</f>
        <v>9.3500000000000014</v>
      </c>
      <c r="O1369" s="2">
        <f ca="1">INDEX(INDIRECT(_xlfn.CONCAT("weather.tbl[",O$1,"]")),MATCH(vp.tbl[[#This Row],[SDate]],weather.tbl[Date],0))</f>
        <v>6.7214285714285733</v>
      </c>
      <c r="P1369" s="2">
        <f ca="1">INDEX(INDIRECT(_xlfn.CONCAT("weather.tbl[",P$1,"]")),MATCH(vp.tbl[[#This Row],[SDate]],weather.tbl[Date],0))</f>
        <v>9.5</v>
      </c>
      <c r="Q1369" s="2">
        <f ca="1">INDEX(INDIRECT(_xlfn.CONCAT("weather.tbl[",Q$1,"]")),MATCH(vp.tbl[[#This Row],[SDate]],weather.tbl[Date],0))</f>
        <v>10.5</v>
      </c>
      <c r="R1369" s="2">
        <f ca="1">INDEX(INDIRECT(_xlfn.CONCAT("weather.tbl[",R$1,"]")),MATCH(vp.tbl[[#This Row],[SDate]],weather.tbl[Date],0))</f>
        <v>9.3000000000000007</v>
      </c>
      <c r="S1369" s="2">
        <f ca="1">INDEX(INDIRECT(_xlfn.CONCAT("weather.tbl[",S$1,"]")),MATCH(vp.tbl[[#This Row],[SDate]],weather.tbl[Date],0))</f>
        <v>8.9</v>
      </c>
      <c r="T1369" s="2">
        <f ca="1">INDEX(INDIRECT(_xlfn.CONCAT("weather.tbl[",T$1,"]")),MATCH(vp.tbl[[#This Row],[SDate]],weather.tbl[Date],0))</f>
        <v>9.1</v>
      </c>
      <c r="U1369" s="2">
        <f ca="1">INDEX(INDIRECT(_xlfn.CONCAT("weather.tbl[",U$1,"]")),MATCH(vp.tbl[[#This Row],[SDate]],weather.tbl[Date],0))</f>
        <v>8.8000000000000007</v>
      </c>
      <c r="V1369" s="2">
        <v>1702.229</v>
      </c>
      <c r="W1369" t="s">
        <v>48</v>
      </c>
      <c r="X1369">
        <f>IF(OR(vp.tbl[[#This Row],[Sulf]]="",vp.tbl[[#This Row],[Dens]]=""),1,0)</f>
        <v>0</v>
      </c>
      <c r="Y1369">
        <f>IF(vp.tbl[[#This Row],[CrudeType]]="C5+",1,0)</f>
        <v>0</v>
      </c>
      <c r="Z1369">
        <f>IF(AND(vp.tbl[[#This Row],[CrudeType]]="Crude",vp.tbl[[#This Row],[Dens]]&lt;=825,vp.tbl[[#This Row],[Sulf]]&gt;0.5,vp.tbl[[#This Row],[Unknown]]=0),1,0)</f>
        <v>0</v>
      </c>
      <c r="AA1369">
        <f>IF(AND(vp.tbl[[#This Row],[CrudeType]]="Crude",vp.tbl[[#This Row],[Dens]]&lt;=825,vp.tbl[[#This Row],[Sulf]]&lt;=0.5,vp.tbl[[#This Row],[Unknown]]=0),1,0)</f>
        <v>0</v>
      </c>
      <c r="AB1369">
        <f>IF(AND(vp.tbl[[#This Row],[CrudeType]]="Crude",vp.tbl[[#This Row],[Dens]]&gt;825,vp.tbl[[#This Row],[Dens]]&lt;=870,vp.tbl[[#This Row],[Sulf]]&gt;0.5,vp.tbl[[#This Row],[Unknown]]=0),1,0)</f>
        <v>1</v>
      </c>
      <c r="AC1369">
        <f>IF(AND(vp.tbl[[#This Row],[CrudeType]]="Crude",vp.tbl[[#This Row],[Dens]]&gt;825,vp.tbl[[#This Row],[Dens]]&lt;=900,vp.tbl[[#This Row],[Sulf]]&lt;=0.5,vp.tbl[[#This Row],[Unknown]]=0),1,0)</f>
        <v>0</v>
      </c>
      <c r="AD1369">
        <f>IF(AND(vp.tbl[[#This Row],[CrudeType]]="Crude",vp.tbl[[#This Row],[Dens]]&gt;870,vp.tbl[[#This Row],[Dens]]&lt;=900,vp.tbl[[#This Row],[Sulf]]&gt;0.5,vp.tbl[[#This Row],[Unknown]]=0),1,0)</f>
        <v>0</v>
      </c>
      <c r="AE1369">
        <f>IF(AND(vp.tbl[[#This Row],[CrudeType]]="Crude",vp.tbl[[#This Row],[Dens]]&gt;900,vp.tbl[[#This Row],[Sulf]]&lt;=0.5,vp.tbl[[#This Row],[Unknown]]=0),1,0)</f>
        <v>0</v>
      </c>
      <c r="AF1369">
        <f>IF(AND(vp.tbl[[#This Row],[CrudeType]]="Crude",vp.tbl[[#This Row],[Dens]]&gt;900,vp.tbl[[#This Row],[Sulf]]&lt;=0.5,vp.tbl[[#This Row],[Unknown]]=0),1,0)</f>
        <v>0</v>
      </c>
      <c r="AG1369" t="str">
        <f>INDEX(vp.tbl[[#Headers],[Unknown]:[Heavy_SW]],MATCH(1,vp.tbl[[#This Row],[Unknown]:[Heavy_SW]],0))</f>
        <v>Medium_LSB</v>
      </c>
      <c r="AH1369" t="e">
        <f>INDEX([1]!crudeBD.lkup[Number],MATCH(vp.tbl[[#This Row],[Crude_Breakdown]],[1]!crudeBD.lkup[Crude Breakdown],0))</f>
        <v>#REF!</v>
      </c>
      <c r="AI1369">
        <f>MONTH(vp.tbl[[#This Row],[SDate]])</f>
        <v>5</v>
      </c>
      <c r="AJ1369" s="5">
        <f>IFERROR(vp.tbl[[#This Row],[Sulf]]*vp.tbl[[#This Row],[Net Dens]],"")</f>
        <v>2346217.9775090003</v>
      </c>
      <c r="AK1369" s="5">
        <f>IFERROR(vp.tbl[[#This Row],[Dens]]*vp.tbl[[#This Row],[VolumeM3]],"")</f>
        <v>1457278.2469000001</v>
      </c>
      <c r="AL1369" s="5">
        <f>IFERROR(vp.tbl[[#This Row],[VP]]*vp.tbl[[#This Row],[VolumeM3]],"")</f>
        <v>120688.03610000001</v>
      </c>
      <c r="AM1369" s="4">
        <f>IFERROR((vp.tbl[[#This Row],[VP]]-INDEX(crudeBD.lkup.complete[Mean_VP],MATCH(vp.tbl[[#This Row],[Crude_Breakdown]],crudeBD.lkup.complete[Crude Breakdown],0)))^2,"")</f>
        <v>85.999563050151423</v>
      </c>
      <c r="AN1369" s="4">
        <f>IFERROR((vp.tbl[[#This Row],[Dens]]-INDEX(crudeBD.lkup.complete[Mean_Dens],MATCH(vp.tbl[[#This Row],[Crude_Breakdown]],crudeBD.lkup.complete[Crude Breakdown],0)))^2,"")</f>
        <v>116.81669471497131</v>
      </c>
      <c r="AO1369" s="4">
        <f>IFERROR((vp.tbl[[#This Row],[Sulf]]-INDEX(crudeBD.lkup.complete[Mean_Sulf],MATCH(vp.tbl[[#This Row],[Crude_Breakdown]],crudeBD.lkup.complete[Crude Breakdown],0)))^2,"")</f>
        <v>2.4046748084069591E-2</v>
      </c>
      <c r="AP1369">
        <f>IF(AND(vp.tbl[[#This Row],[SDate]]&gt;=DATE(YEAR(vp.tbl[[#This Row],[SDate]]),5,1),vp.tbl[[#This Row],[SDate]]&lt;=DATE(YEAR(vp.tbl[[#This Row],[SDate]]),9,15)),1,0)</f>
        <v>1</v>
      </c>
      <c r="AQ1369" s="15">
        <f>IF(vp.tbl[[#This Row],[SDate]]&lt;DATE(2016,12,1),0,1)</f>
        <v>1</v>
      </c>
    </row>
    <row r="1370" spans="1:43" x14ac:dyDescent="0.25">
      <c r="A1370">
        <v>1369</v>
      </c>
      <c r="B1370" t="s">
        <v>291</v>
      </c>
      <c r="C1370" t="s">
        <v>291</v>
      </c>
      <c r="D1370" t="s">
        <v>109</v>
      </c>
      <c r="F1370" s="1">
        <v>42857</v>
      </c>
      <c r="G1370" s="2">
        <v>85.5</v>
      </c>
      <c r="H1370" s="2"/>
      <c r="I1370" s="2">
        <v>0.77</v>
      </c>
      <c r="J1370" s="2"/>
      <c r="K1370" s="2"/>
      <c r="L1370" s="2">
        <v>834.6</v>
      </c>
      <c r="M1370" s="2">
        <v>834.6</v>
      </c>
      <c r="N1370" s="2">
        <f ca="1">INDEX(INDIRECT(_xlfn.CONCAT("weather.tbl[",N$1,"]")),MATCH(vp.tbl[[#This Row],[SDate]],weather.tbl[Date],0))</f>
        <v>9.3500000000000014</v>
      </c>
      <c r="O1370" s="2">
        <f ca="1">INDEX(INDIRECT(_xlfn.CONCAT("weather.tbl[",O$1,"]")),MATCH(vp.tbl[[#This Row],[SDate]],weather.tbl[Date],0))</f>
        <v>6.7214285714285733</v>
      </c>
      <c r="P1370" s="2">
        <f ca="1">INDEX(INDIRECT(_xlfn.CONCAT("weather.tbl[",P$1,"]")),MATCH(vp.tbl[[#This Row],[SDate]],weather.tbl[Date],0))</f>
        <v>9.5</v>
      </c>
      <c r="Q1370" s="2">
        <f ca="1">INDEX(INDIRECT(_xlfn.CONCAT("weather.tbl[",Q$1,"]")),MATCH(vp.tbl[[#This Row],[SDate]],weather.tbl[Date],0))</f>
        <v>10.5</v>
      </c>
      <c r="R1370" s="2">
        <f ca="1">INDEX(INDIRECT(_xlfn.CONCAT("weather.tbl[",R$1,"]")),MATCH(vp.tbl[[#This Row],[SDate]],weather.tbl[Date],0))</f>
        <v>9.3000000000000007</v>
      </c>
      <c r="S1370" s="2">
        <f ca="1">INDEX(INDIRECT(_xlfn.CONCAT("weather.tbl[",S$1,"]")),MATCH(vp.tbl[[#This Row],[SDate]],weather.tbl[Date],0))</f>
        <v>8.9</v>
      </c>
      <c r="T1370" s="2">
        <f ca="1">INDEX(INDIRECT(_xlfn.CONCAT("weather.tbl[",T$1,"]")),MATCH(vp.tbl[[#This Row],[SDate]],weather.tbl[Date],0))</f>
        <v>9.1</v>
      </c>
      <c r="U1370" s="2">
        <f ca="1">INDEX(INDIRECT(_xlfn.CONCAT("weather.tbl[",U$1,"]")),MATCH(vp.tbl[[#This Row],[SDate]],weather.tbl[Date],0))</f>
        <v>8.8000000000000007</v>
      </c>
      <c r="V1370" s="2">
        <v>13057.414000000001</v>
      </c>
      <c r="W1370" t="s">
        <v>48</v>
      </c>
      <c r="X1370">
        <f>IF(OR(vp.tbl[[#This Row],[Sulf]]="",vp.tbl[[#This Row],[Dens]]=""),1,0)</f>
        <v>0</v>
      </c>
      <c r="Y1370">
        <f>IF(vp.tbl[[#This Row],[CrudeType]]="C5+",1,0)</f>
        <v>0</v>
      </c>
      <c r="Z1370">
        <f>IF(AND(vp.tbl[[#This Row],[CrudeType]]="Crude",vp.tbl[[#This Row],[Dens]]&lt;=825,vp.tbl[[#This Row],[Sulf]]&gt;0.5,vp.tbl[[#This Row],[Unknown]]=0),1,0)</f>
        <v>0</v>
      </c>
      <c r="AA1370">
        <f>IF(AND(vp.tbl[[#This Row],[CrudeType]]="Crude",vp.tbl[[#This Row],[Dens]]&lt;=825,vp.tbl[[#This Row],[Sulf]]&lt;=0.5,vp.tbl[[#This Row],[Unknown]]=0),1,0)</f>
        <v>0</v>
      </c>
      <c r="AB1370">
        <f>IF(AND(vp.tbl[[#This Row],[CrudeType]]="Crude",vp.tbl[[#This Row],[Dens]]&gt;825,vp.tbl[[#This Row],[Dens]]&lt;=870,vp.tbl[[#This Row],[Sulf]]&gt;0.5,vp.tbl[[#This Row],[Unknown]]=0),1,0)</f>
        <v>1</v>
      </c>
      <c r="AC1370">
        <f>IF(AND(vp.tbl[[#This Row],[CrudeType]]="Crude",vp.tbl[[#This Row],[Dens]]&gt;825,vp.tbl[[#This Row],[Dens]]&lt;=900,vp.tbl[[#This Row],[Sulf]]&lt;=0.5,vp.tbl[[#This Row],[Unknown]]=0),1,0)</f>
        <v>0</v>
      </c>
      <c r="AD1370">
        <f>IF(AND(vp.tbl[[#This Row],[CrudeType]]="Crude",vp.tbl[[#This Row],[Dens]]&gt;870,vp.tbl[[#This Row],[Dens]]&lt;=900,vp.tbl[[#This Row],[Sulf]]&gt;0.5,vp.tbl[[#This Row],[Unknown]]=0),1,0)</f>
        <v>0</v>
      </c>
      <c r="AE1370">
        <f>IF(AND(vp.tbl[[#This Row],[CrudeType]]="Crude",vp.tbl[[#This Row],[Dens]]&gt;900,vp.tbl[[#This Row],[Sulf]]&lt;=0.5,vp.tbl[[#This Row],[Unknown]]=0),1,0)</f>
        <v>0</v>
      </c>
      <c r="AF1370">
        <f>IF(AND(vp.tbl[[#This Row],[CrudeType]]="Crude",vp.tbl[[#This Row],[Dens]]&gt;900,vp.tbl[[#This Row],[Sulf]]&lt;=0.5,vp.tbl[[#This Row],[Unknown]]=0),1,0)</f>
        <v>0</v>
      </c>
      <c r="AG1370" t="str">
        <f>INDEX(vp.tbl[[#Headers],[Unknown]:[Heavy_SW]],MATCH(1,vp.tbl[[#This Row],[Unknown]:[Heavy_SW]],0))</f>
        <v>Medium_LSB</v>
      </c>
      <c r="AH1370" t="e">
        <f>INDEX([1]!crudeBD.lkup[Number],MATCH(vp.tbl[[#This Row],[Crude_Breakdown]],[1]!crudeBD.lkup[Crude Breakdown],0))</f>
        <v>#REF!</v>
      </c>
      <c r="AI1370">
        <f>MONTH(vp.tbl[[#This Row],[SDate]])</f>
        <v>5</v>
      </c>
      <c r="AJ1370" s="5">
        <f>IFERROR(vp.tbl[[#This Row],[Sulf]]*vp.tbl[[#This Row],[Net Dens]],"")</f>
        <v>8391242.6477880012</v>
      </c>
      <c r="AK1370" s="5">
        <f>IFERROR(vp.tbl[[#This Row],[Dens]]*vp.tbl[[#This Row],[VolumeM3]],"")</f>
        <v>10897717.724400001</v>
      </c>
      <c r="AL1370" s="5">
        <f>IFERROR(vp.tbl[[#This Row],[VP]]*vp.tbl[[#This Row],[VolumeM3]],"")</f>
        <v>1116408.8970000001</v>
      </c>
      <c r="AM1370" s="4">
        <f>IFERROR((vp.tbl[[#This Row],[VP]]-INDEX(crudeBD.lkup.complete[Mean_VP],MATCH(vp.tbl[[#This Row],[Crude_Breakdown]],crudeBD.lkup.complete[Crude Breakdown],0)))^2,"")</f>
        <v>28.370590898253877</v>
      </c>
      <c r="AN1370" s="4">
        <f>IFERROR((vp.tbl[[#This Row],[Dens]]-INDEX(crudeBD.lkup.complete[Mean_Dens],MATCH(vp.tbl[[#This Row],[Crude_Breakdown]],crudeBD.lkup.complete[Crude Breakdown],0)))^2,"")</f>
        <v>114.31507446176343</v>
      </c>
      <c r="AO1370" s="4">
        <f>IFERROR((vp.tbl[[#This Row],[Sulf]]-INDEX(crudeBD.lkup.complete[Mean_Sulf],MATCH(vp.tbl[[#This Row],[Crude_Breakdown]],crudeBD.lkup.complete[Crude Breakdown],0)))^2,"")</f>
        <v>0.46912891416002139</v>
      </c>
      <c r="AP1370">
        <f>IF(AND(vp.tbl[[#This Row],[SDate]]&gt;=DATE(YEAR(vp.tbl[[#This Row],[SDate]]),5,1),vp.tbl[[#This Row],[SDate]]&lt;=DATE(YEAR(vp.tbl[[#This Row],[SDate]]),9,15)),1,0)</f>
        <v>1</v>
      </c>
      <c r="AQ1370" s="15">
        <f>IF(vp.tbl[[#This Row],[SDate]]&lt;DATE(2016,12,1),0,1)</f>
        <v>1</v>
      </c>
    </row>
    <row r="1371" spans="1:43" x14ac:dyDescent="0.25">
      <c r="A1371">
        <v>1370</v>
      </c>
      <c r="B1371" t="s">
        <v>51</v>
      </c>
      <c r="C1371" t="s">
        <v>51</v>
      </c>
      <c r="D1371" t="s">
        <v>66</v>
      </c>
      <c r="F1371" s="1">
        <v>42857</v>
      </c>
      <c r="G1371" s="2">
        <v>92.2</v>
      </c>
      <c r="H1371" s="2"/>
      <c r="I1371" s="2">
        <v>1.79</v>
      </c>
      <c r="J1371" s="2"/>
      <c r="K1371" s="2"/>
      <c r="L1371" s="2">
        <v>824.3</v>
      </c>
      <c r="M1371" s="2">
        <v>824.3</v>
      </c>
      <c r="N1371" s="2">
        <f ca="1">INDEX(INDIRECT(_xlfn.CONCAT("weather.tbl[",N$1,"]")),MATCH(vp.tbl[[#This Row],[SDate]],weather.tbl[Date],0))</f>
        <v>9.3500000000000014</v>
      </c>
      <c r="O1371" s="2">
        <f ca="1">INDEX(INDIRECT(_xlfn.CONCAT("weather.tbl[",O$1,"]")),MATCH(vp.tbl[[#This Row],[SDate]],weather.tbl[Date],0))</f>
        <v>6.7214285714285733</v>
      </c>
      <c r="P1371" s="2">
        <f ca="1">INDEX(INDIRECT(_xlfn.CONCAT("weather.tbl[",P$1,"]")),MATCH(vp.tbl[[#This Row],[SDate]],weather.tbl[Date],0))</f>
        <v>9.5</v>
      </c>
      <c r="Q1371" s="2">
        <f ca="1">INDEX(INDIRECT(_xlfn.CONCAT("weather.tbl[",Q$1,"]")),MATCH(vp.tbl[[#This Row],[SDate]],weather.tbl[Date],0))</f>
        <v>10.5</v>
      </c>
      <c r="R1371" s="2">
        <f ca="1">INDEX(INDIRECT(_xlfn.CONCAT("weather.tbl[",R$1,"]")),MATCH(vp.tbl[[#This Row],[SDate]],weather.tbl[Date],0))</f>
        <v>9.3000000000000007</v>
      </c>
      <c r="S1371" s="2">
        <f ca="1">INDEX(INDIRECT(_xlfn.CONCAT("weather.tbl[",S$1,"]")),MATCH(vp.tbl[[#This Row],[SDate]],weather.tbl[Date],0))</f>
        <v>8.9</v>
      </c>
      <c r="T1371" s="2">
        <f ca="1">INDEX(INDIRECT(_xlfn.CONCAT("weather.tbl[",T$1,"]")),MATCH(vp.tbl[[#This Row],[SDate]],weather.tbl[Date],0))</f>
        <v>9.1</v>
      </c>
      <c r="U1371" s="2">
        <f ca="1">INDEX(INDIRECT(_xlfn.CONCAT("weather.tbl[",U$1,"]")),MATCH(vp.tbl[[#This Row],[SDate]],weather.tbl[Date],0))</f>
        <v>8.8000000000000007</v>
      </c>
      <c r="V1371" s="2">
        <v>5197.7240000000002</v>
      </c>
      <c r="W1371" t="s">
        <v>48</v>
      </c>
      <c r="X1371">
        <f>IF(OR(vp.tbl[[#This Row],[Sulf]]="",vp.tbl[[#This Row],[Dens]]=""),1,0)</f>
        <v>0</v>
      </c>
      <c r="Y1371">
        <f>IF(vp.tbl[[#This Row],[CrudeType]]="C5+",1,0)</f>
        <v>0</v>
      </c>
      <c r="Z1371">
        <f>IF(AND(vp.tbl[[#This Row],[CrudeType]]="Crude",vp.tbl[[#This Row],[Dens]]&lt;=825,vp.tbl[[#This Row],[Sulf]]&gt;0.5,vp.tbl[[#This Row],[Unknown]]=0),1,0)</f>
        <v>1</v>
      </c>
      <c r="AA1371">
        <f>IF(AND(vp.tbl[[#This Row],[CrudeType]]="Crude",vp.tbl[[#This Row],[Dens]]&lt;=825,vp.tbl[[#This Row],[Sulf]]&lt;=0.5,vp.tbl[[#This Row],[Unknown]]=0),1,0)</f>
        <v>0</v>
      </c>
      <c r="AB1371">
        <f>IF(AND(vp.tbl[[#This Row],[CrudeType]]="Crude",vp.tbl[[#This Row],[Dens]]&gt;825,vp.tbl[[#This Row],[Dens]]&lt;=870,vp.tbl[[#This Row],[Sulf]]&gt;0.5,vp.tbl[[#This Row],[Unknown]]=0),1,0)</f>
        <v>0</v>
      </c>
      <c r="AC1371">
        <f>IF(AND(vp.tbl[[#This Row],[CrudeType]]="Crude",vp.tbl[[#This Row],[Dens]]&gt;825,vp.tbl[[#This Row],[Dens]]&lt;=900,vp.tbl[[#This Row],[Sulf]]&lt;=0.5,vp.tbl[[#This Row],[Unknown]]=0),1,0)</f>
        <v>0</v>
      </c>
      <c r="AD1371">
        <f>IF(AND(vp.tbl[[#This Row],[CrudeType]]="Crude",vp.tbl[[#This Row],[Dens]]&gt;870,vp.tbl[[#This Row],[Dens]]&lt;=900,vp.tbl[[#This Row],[Sulf]]&gt;0.5,vp.tbl[[#This Row],[Unknown]]=0),1,0)</f>
        <v>0</v>
      </c>
      <c r="AE1371">
        <f>IF(AND(vp.tbl[[#This Row],[CrudeType]]="Crude",vp.tbl[[#This Row],[Dens]]&gt;900,vp.tbl[[#This Row],[Sulf]]&lt;=0.5,vp.tbl[[#This Row],[Unknown]]=0),1,0)</f>
        <v>0</v>
      </c>
      <c r="AF1371">
        <f>IF(AND(vp.tbl[[#This Row],[CrudeType]]="Crude",vp.tbl[[#This Row],[Dens]]&gt;900,vp.tbl[[#This Row],[Sulf]]&lt;=0.5,vp.tbl[[#This Row],[Unknown]]=0),1,0)</f>
        <v>0</v>
      </c>
      <c r="AG1371" t="str">
        <f>INDEX(vp.tbl[[#Headers],[Unknown]:[Heavy_SW]],MATCH(1,vp.tbl[[#This Row],[Unknown]:[Heavy_SW]],0))</f>
        <v>Light_LSB</v>
      </c>
      <c r="AH1371" t="e">
        <f>INDEX([1]!crudeBD.lkup[Number],MATCH(vp.tbl[[#This Row],[Crude_Breakdown]],[1]!crudeBD.lkup[Crude Breakdown],0))</f>
        <v>#REF!</v>
      </c>
      <c r="AI1371">
        <f>MONTH(vp.tbl[[#This Row],[SDate]])</f>
        <v>5</v>
      </c>
      <c r="AJ1371" s="5">
        <f>IFERROR(vp.tbl[[#This Row],[Sulf]]*vp.tbl[[#This Row],[Net Dens]],"")</f>
        <v>7669226.1688279994</v>
      </c>
      <c r="AK1371" s="5">
        <f>IFERROR(vp.tbl[[#This Row],[Dens]]*vp.tbl[[#This Row],[VolumeM3]],"")</f>
        <v>4284483.8931999998</v>
      </c>
      <c r="AL1371" s="5">
        <f>IFERROR(vp.tbl[[#This Row],[VP]]*vp.tbl[[#This Row],[VolumeM3]],"")</f>
        <v>479230.15280000004</v>
      </c>
      <c r="AM1371" s="4">
        <f>IFERROR((vp.tbl[[#This Row],[VP]]-INDEX(crudeBD.lkup.complete[Mean_VP],MATCH(vp.tbl[[#This Row],[Crude_Breakdown]],crudeBD.lkup.complete[Crude Breakdown],0)))^2,"")</f>
        <v>0.42747331278559381</v>
      </c>
      <c r="AN1371" s="4">
        <f>IFERROR((vp.tbl[[#This Row],[Dens]]-INDEX(crudeBD.lkup.complete[Mean_Dens],MATCH(vp.tbl[[#This Row],[Crude_Breakdown]],crudeBD.lkup.complete[Crude Breakdown],0)))^2,"")</f>
        <v>33.445752015213131</v>
      </c>
      <c r="AO1371" s="4">
        <f>IFERROR((vp.tbl[[#This Row],[Sulf]]-INDEX(crudeBD.lkup.complete[Mean_Sulf],MATCH(vp.tbl[[#This Row],[Crude_Breakdown]],crudeBD.lkup.complete[Crude Breakdown],0)))^2,"")</f>
        <v>0.75173899485188111</v>
      </c>
      <c r="AP1371">
        <f>IF(AND(vp.tbl[[#This Row],[SDate]]&gt;=DATE(YEAR(vp.tbl[[#This Row],[SDate]]),5,1),vp.tbl[[#This Row],[SDate]]&lt;=DATE(YEAR(vp.tbl[[#This Row],[SDate]]),9,15)),1,0)</f>
        <v>1</v>
      </c>
      <c r="AQ1371" s="15">
        <f>IF(vp.tbl[[#This Row],[SDate]]&lt;DATE(2016,12,1),0,1)</f>
        <v>1</v>
      </c>
    </row>
    <row r="1372" spans="1:43" x14ac:dyDescent="0.25">
      <c r="A1372">
        <v>1371</v>
      </c>
      <c r="B1372" t="s">
        <v>96</v>
      </c>
      <c r="C1372" t="s">
        <v>96</v>
      </c>
      <c r="D1372" t="s">
        <v>97</v>
      </c>
      <c r="F1372" s="1">
        <v>42857</v>
      </c>
      <c r="G1372" s="2">
        <v>73.400000000000006</v>
      </c>
      <c r="H1372" s="2"/>
      <c r="I1372" s="2">
        <v>0.73</v>
      </c>
      <c r="J1372" s="2"/>
      <c r="K1372" s="2"/>
      <c r="L1372" s="2">
        <v>820.2</v>
      </c>
      <c r="M1372" s="2">
        <v>820.2</v>
      </c>
      <c r="N1372" s="2">
        <f ca="1">INDEX(INDIRECT(_xlfn.CONCAT("weather.tbl[",N$1,"]")),MATCH(vp.tbl[[#This Row],[SDate]],weather.tbl[Date],0))</f>
        <v>9.3500000000000014</v>
      </c>
      <c r="O1372" s="2">
        <f ca="1">INDEX(INDIRECT(_xlfn.CONCAT("weather.tbl[",O$1,"]")),MATCH(vp.tbl[[#This Row],[SDate]],weather.tbl[Date],0))</f>
        <v>6.7214285714285733</v>
      </c>
      <c r="P1372" s="2">
        <f ca="1">INDEX(INDIRECT(_xlfn.CONCAT("weather.tbl[",P$1,"]")),MATCH(vp.tbl[[#This Row],[SDate]],weather.tbl[Date],0))</f>
        <v>9.5</v>
      </c>
      <c r="Q1372" s="2">
        <f ca="1">INDEX(INDIRECT(_xlfn.CONCAT("weather.tbl[",Q$1,"]")),MATCH(vp.tbl[[#This Row],[SDate]],weather.tbl[Date],0))</f>
        <v>10.5</v>
      </c>
      <c r="R1372" s="2">
        <f ca="1">INDEX(INDIRECT(_xlfn.CONCAT("weather.tbl[",R$1,"]")),MATCH(vp.tbl[[#This Row],[SDate]],weather.tbl[Date],0))</f>
        <v>9.3000000000000007</v>
      </c>
      <c r="S1372" s="2">
        <f ca="1">INDEX(INDIRECT(_xlfn.CONCAT("weather.tbl[",S$1,"]")),MATCH(vp.tbl[[#This Row],[SDate]],weather.tbl[Date],0))</f>
        <v>8.9</v>
      </c>
      <c r="T1372" s="2">
        <f ca="1">INDEX(INDIRECT(_xlfn.CONCAT("weather.tbl[",T$1,"]")),MATCH(vp.tbl[[#This Row],[SDate]],weather.tbl[Date],0))</f>
        <v>9.1</v>
      </c>
      <c r="U1372" s="2">
        <f ca="1">INDEX(INDIRECT(_xlfn.CONCAT("weather.tbl[",U$1,"]")),MATCH(vp.tbl[[#This Row],[SDate]],weather.tbl[Date],0))</f>
        <v>8.8000000000000007</v>
      </c>
      <c r="V1372" s="2">
        <v>7702.1589999999997</v>
      </c>
      <c r="W1372" t="s">
        <v>48</v>
      </c>
      <c r="X1372">
        <f>IF(OR(vp.tbl[[#This Row],[Sulf]]="",vp.tbl[[#This Row],[Dens]]=""),1,0)</f>
        <v>0</v>
      </c>
      <c r="Y1372">
        <f>IF(vp.tbl[[#This Row],[CrudeType]]="C5+",1,0)</f>
        <v>0</v>
      </c>
      <c r="Z1372">
        <f>IF(AND(vp.tbl[[#This Row],[CrudeType]]="Crude",vp.tbl[[#This Row],[Dens]]&lt;=825,vp.tbl[[#This Row],[Sulf]]&gt;0.5,vp.tbl[[#This Row],[Unknown]]=0),1,0)</f>
        <v>1</v>
      </c>
      <c r="AA1372">
        <f>IF(AND(vp.tbl[[#This Row],[CrudeType]]="Crude",vp.tbl[[#This Row],[Dens]]&lt;=825,vp.tbl[[#This Row],[Sulf]]&lt;=0.5,vp.tbl[[#This Row],[Unknown]]=0),1,0)</f>
        <v>0</v>
      </c>
      <c r="AB1372">
        <f>IF(AND(vp.tbl[[#This Row],[CrudeType]]="Crude",vp.tbl[[#This Row],[Dens]]&gt;825,vp.tbl[[#This Row],[Dens]]&lt;=870,vp.tbl[[#This Row],[Sulf]]&gt;0.5,vp.tbl[[#This Row],[Unknown]]=0),1,0)</f>
        <v>0</v>
      </c>
      <c r="AC1372">
        <f>IF(AND(vp.tbl[[#This Row],[CrudeType]]="Crude",vp.tbl[[#This Row],[Dens]]&gt;825,vp.tbl[[#This Row],[Dens]]&lt;=900,vp.tbl[[#This Row],[Sulf]]&lt;=0.5,vp.tbl[[#This Row],[Unknown]]=0),1,0)</f>
        <v>0</v>
      </c>
      <c r="AD1372">
        <f>IF(AND(vp.tbl[[#This Row],[CrudeType]]="Crude",vp.tbl[[#This Row],[Dens]]&gt;870,vp.tbl[[#This Row],[Dens]]&lt;=900,vp.tbl[[#This Row],[Sulf]]&gt;0.5,vp.tbl[[#This Row],[Unknown]]=0),1,0)</f>
        <v>0</v>
      </c>
      <c r="AE1372">
        <f>IF(AND(vp.tbl[[#This Row],[CrudeType]]="Crude",vp.tbl[[#This Row],[Dens]]&gt;900,vp.tbl[[#This Row],[Sulf]]&lt;=0.5,vp.tbl[[#This Row],[Unknown]]=0),1,0)</f>
        <v>0</v>
      </c>
      <c r="AF1372">
        <f>IF(AND(vp.tbl[[#This Row],[CrudeType]]="Crude",vp.tbl[[#This Row],[Dens]]&gt;900,vp.tbl[[#This Row],[Sulf]]&lt;=0.5,vp.tbl[[#This Row],[Unknown]]=0),1,0)</f>
        <v>0</v>
      </c>
      <c r="AG1372" t="str">
        <f>INDEX(vp.tbl[[#Headers],[Unknown]:[Heavy_SW]],MATCH(1,vp.tbl[[#This Row],[Unknown]:[Heavy_SW]],0))</f>
        <v>Light_LSB</v>
      </c>
      <c r="AH1372" t="e">
        <f>INDEX([1]!crudeBD.lkup[Number],MATCH(vp.tbl[[#This Row],[Crude_Breakdown]],[1]!crudeBD.lkup[Crude Breakdown],0))</f>
        <v>#REF!</v>
      </c>
      <c r="AI1372">
        <f>MONTH(vp.tbl[[#This Row],[SDate]])</f>
        <v>5</v>
      </c>
      <c r="AJ1372" s="5">
        <f>IFERROR(vp.tbl[[#This Row],[Sulf]]*vp.tbl[[#This Row],[Net Dens]],"")</f>
        <v>4611636.8926140005</v>
      </c>
      <c r="AK1372" s="5">
        <f>IFERROR(vp.tbl[[#This Row],[Dens]]*vp.tbl[[#This Row],[VolumeM3]],"")</f>
        <v>6317310.8118000003</v>
      </c>
      <c r="AL1372" s="5">
        <f>IFERROR(vp.tbl[[#This Row],[VP]]*vp.tbl[[#This Row],[VolumeM3]],"")</f>
        <v>565338.4706</v>
      </c>
      <c r="AM1372" s="4">
        <f>IFERROR((vp.tbl[[#This Row],[VP]]-INDEX(crudeBD.lkup.complete[Mean_VP],MATCH(vp.tbl[[#This Row],[Crude_Breakdown]],crudeBD.lkup.complete[Crude Breakdown],0)))^2,"")</f>
        <v>329.2840506323742</v>
      </c>
      <c r="AN1372" s="4">
        <f>IFERROR((vp.tbl[[#This Row],[Dens]]-INDEX(crudeBD.lkup.complete[Mean_Dens],MATCH(vp.tbl[[#This Row],[Crude_Breakdown]],crudeBD.lkup.complete[Crude Breakdown],0)))^2,"")</f>
        <v>2.833264042702643</v>
      </c>
      <c r="AO1372" s="4">
        <f>IFERROR((vp.tbl[[#This Row],[Sulf]]-INDEX(crudeBD.lkup.complete[Mean_Sulf],MATCH(vp.tbl[[#This Row],[Crude_Breakdown]],crudeBD.lkup.complete[Crude Breakdown],0)))^2,"")</f>
        <v>3.7237871827825515E-2</v>
      </c>
      <c r="AP1372">
        <f>IF(AND(vp.tbl[[#This Row],[SDate]]&gt;=DATE(YEAR(vp.tbl[[#This Row],[SDate]]),5,1),vp.tbl[[#This Row],[SDate]]&lt;=DATE(YEAR(vp.tbl[[#This Row],[SDate]]),9,15)),1,0)</f>
        <v>1</v>
      </c>
      <c r="AQ1372" s="15">
        <f>IF(vp.tbl[[#This Row],[SDate]]&lt;DATE(2016,12,1),0,1)</f>
        <v>1</v>
      </c>
    </row>
    <row r="1373" spans="1:43" x14ac:dyDescent="0.25">
      <c r="A1373">
        <v>1372</v>
      </c>
      <c r="B1373" t="s">
        <v>62</v>
      </c>
      <c r="C1373" t="s">
        <v>62</v>
      </c>
      <c r="D1373" t="s">
        <v>63</v>
      </c>
      <c r="F1373" s="1">
        <v>42857</v>
      </c>
      <c r="G1373" s="2">
        <v>77.3</v>
      </c>
      <c r="H1373" s="2"/>
      <c r="I1373" s="2">
        <v>0.8</v>
      </c>
      <c r="J1373" s="2"/>
      <c r="K1373" s="2"/>
      <c r="L1373" s="2">
        <v>819.4</v>
      </c>
      <c r="M1373" s="2">
        <v>819.4</v>
      </c>
      <c r="N1373" s="2">
        <f ca="1">INDEX(INDIRECT(_xlfn.CONCAT("weather.tbl[",N$1,"]")),MATCH(vp.tbl[[#This Row],[SDate]],weather.tbl[Date],0))</f>
        <v>9.3500000000000014</v>
      </c>
      <c r="O1373" s="2">
        <f ca="1">INDEX(INDIRECT(_xlfn.CONCAT("weather.tbl[",O$1,"]")),MATCH(vp.tbl[[#This Row],[SDate]],weather.tbl[Date],0))</f>
        <v>6.7214285714285733</v>
      </c>
      <c r="P1373" s="2">
        <f ca="1">INDEX(INDIRECT(_xlfn.CONCAT("weather.tbl[",P$1,"]")),MATCH(vp.tbl[[#This Row],[SDate]],weather.tbl[Date],0))</f>
        <v>9.5</v>
      </c>
      <c r="Q1373" s="2">
        <f ca="1">INDEX(INDIRECT(_xlfn.CONCAT("weather.tbl[",Q$1,"]")),MATCH(vp.tbl[[#This Row],[SDate]],weather.tbl[Date],0))</f>
        <v>10.5</v>
      </c>
      <c r="R1373" s="2">
        <f ca="1">INDEX(INDIRECT(_xlfn.CONCAT("weather.tbl[",R$1,"]")),MATCH(vp.tbl[[#This Row],[SDate]],weather.tbl[Date],0))</f>
        <v>9.3000000000000007</v>
      </c>
      <c r="S1373" s="2">
        <f ca="1">INDEX(INDIRECT(_xlfn.CONCAT("weather.tbl[",S$1,"]")),MATCH(vp.tbl[[#This Row],[SDate]],weather.tbl[Date],0))</f>
        <v>8.9</v>
      </c>
      <c r="T1373" s="2">
        <f ca="1">INDEX(INDIRECT(_xlfn.CONCAT("weather.tbl[",T$1,"]")),MATCH(vp.tbl[[#This Row],[SDate]],weather.tbl[Date],0))</f>
        <v>9.1</v>
      </c>
      <c r="U1373" s="2">
        <f ca="1">INDEX(INDIRECT(_xlfn.CONCAT("weather.tbl[",U$1,"]")),MATCH(vp.tbl[[#This Row],[SDate]],weather.tbl[Date],0))</f>
        <v>8.8000000000000007</v>
      </c>
      <c r="V1373" s="2">
        <v>9174.1849999999995</v>
      </c>
      <c r="W1373" t="s">
        <v>48</v>
      </c>
      <c r="X1373">
        <f>IF(OR(vp.tbl[[#This Row],[Sulf]]="",vp.tbl[[#This Row],[Dens]]=""),1,0)</f>
        <v>0</v>
      </c>
      <c r="Y1373">
        <f>IF(vp.tbl[[#This Row],[CrudeType]]="C5+",1,0)</f>
        <v>0</v>
      </c>
      <c r="Z1373">
        <f>IF(AND(vp.tbl[[#This Row],[CrudeType]]="Crude",vp.tbl[[#This Row],[Dens]]&lt;=825,vp.tbl[[#This Row],[Sulf]]&gt;0.5,vp.tbl[[#This Row],[Unknown]]=0),1,0)</f>
        <v>1</v>
      </c>
      <c r="AA1373">
        <f>IF(AND(vp.tbl[[#This Row],[CrudeType]]="Crude",vp.tbl[[#This Row],[Dens]]&lt;=825,vp.tbl[[#This Row],[Sulf]]&lt;=0.5,vp.tbl[[#This Row],[Unknown]]=0),1,0)</f>
        <v>0</v>
      </c>
      <c r="AB1373">
        <f>IF(AND(vp.tbl[[#This Row],[CrudeType]]="Crude",vp.tbl[[#This Row],[Dens]]&gt;825,vp.tbl[[#This Row],[Dens]]&lt;=870,vp.tbl[[#This Row],[Sulf]]&gt;0.5,vp.tbl[[#This Row],[Unknown]]=0),1,0)</f>
        <v>0</v>
      </c>
      <c r="AC1373">
        <f>IF(AND(vp.tbl[[#This Row],[CrudeType]]="Crude",vp.tbl[[#This Row],[Dens]]&gt;825,vp.tbl[[#This Row],[Dens]]&lt;=900,vp.tbl[[#This Row],[Sulf]]&lt;=0.5,vp.tbl[[#This Row],[Unknown]]=0),1,0)</f>
        <v>0</v>
      </c>
      <c r="AD1373">
        <f>IF(AND(vp.tbl[[#This Row],[CrudeType]]="Crude",vp.tbl[[#This Row],[Dens]]&gt;870,vp.tbl[[#This Row],[Dens]]&lt;=900,vp.tbl[[#This Row],[Sulf]]&gt;0.5,vp.tbl[[#This Row],[Unknown]]=0),1,0)</f>
        <v>0</v>
      </c>
      <c r="AE1373">
        <f>IF(AND(vp.tbl[[#This Row],[CrudeType]]="Crude",vp.tbl[[#This Row],[Dens]]&gt;900,vp.tbl[[#This Row],[Sulf]]&lt;=0.5,vp.tbl[[#This Row],[Unknown]]=0),1,0)</f>
        <v>0</v>
      </c>
      <c r="AF1373">
        <f>IF(AND(vp.tbl[[#This Row],[CrudeType]]="Crude",vp.tbl[[#This Row],[Dens]]&gt;900,vp.tbl[[#This Row],[Sulf]]&lt;=0.5,vp.tbl[[#This Row],[Unknown]]=0),1,0)</f>
        <v>0</v>
      </c>
      <c r="AG1373" t="str">
        <f>INDEX(vp.tbl[[#Headers],[Unknown]:[Heavy_SW]],MATCH(1,vp.tbl[[#This Row],[Unknown]:[Heavy_SW]],0))</f>
        <v>Light_LSB</v>
      </c>
      <c r="AH1373" t="e">
        <f>INDEX([1]!crudeBD.lkup[Number],MATCH(vp.tbl[[#This Row],[Crude_Breakdown]],[1]!crudeBD.lkup[Crude Breakdown],0))</f>
        <v>#REF!</v>
      </c>
      <c r="AI1373">
        <f>MONTH(vp.tbl[[#This Row],[SDate]])</f>
        <v>5</v>
      </c>
      <c r="AJ1373" s="5">
        <f>IFERROR(vp.tbl[[#This Row],[Sulf]]*vp.tbl[[#This Row],[Net Dens]],"")</f>
        <v>6013861.7511999998</v>
      </c>
      <c r="AK1373" s="5">
        <f>IFERROR(vp.tbl[[#This Row],[Dens]]*vp.tbl[[#This Row],[VolumeM3]],"")</f>
        <v>7517327.1889999993</v>
      </c>
      <c r="AL1373" s="5">
        <f>IFERROR(vp.tbl[[#This Row],[VP]]*vp.tbl[[#This Row],[VolumeM3]],"")</f>
        <v>709164.50049999997</v>
      </c>
      <c r="AM1373" s="4">
        <f>IFERROR((vp.tbl[[#This Row],[VP]]-INDEX(crudeBD.lkup.complete[Mean_VP],MATCH(vp.tbl[[#This Row],[Crude_Breakdown]],crudeBD.lkup.complete[Crude Breakdown],0)))^2,"")</f>
        <v>202.9538032096938</v>
      </c>
      <c r="AN1373" s="4">
        <f>IFERROR((vp.tbl[[#This Row],[Dens]]-INDEX(crudeBD.lkup.complete[Mean_Dens],MATCH(vp.tbl[[#This Row],[Crude_Breakdown]],crudeBD.lkup.complete[Crude Breakdown],0)))^2,"")</f>
        <v>0.78009565782222201</v>
      </c>
      <c r="AO1373" s="4">
        <f>IFERROR((vp.tbl[[#This Row],[Sulf]]-INDEX(crudeBD.lkup.complete[Mean_Sulf],MATCH(vp.tbl[[#This Row],[Crude_Breakdown]],crudeBD.lkup.complete[Crude Breakdown],0)))^2,"")</f>
        <v>1.5121908253942369E-2</v>
      </c>
      <c r="AP1373">
        <f>IF(AND(vp.tbl[[#This Row],[SDate]]&gt;=DATE(YEAR(vp.tbl[[#This Row],[SDate]]),5,1),vp.tbl[[#This Row],[SDate]]&lt;=DATE(YEAR(vp.tbl[[#This Row],[SDate]]),9,15)),1,0)</f>
        <v>1</v>
      </c>
      <c r="AQ1373" s="15">
        <f>IF(vp.tbl[[#This Row],[SDate]]&lt;DATE(2016,12,1),0,1)</f>
        <v>1</v>
      </c>
    </row>
    <row r="1374" spans="1:43" x14ac:dyDescent="0.25">
      <c r="A1374">
        <v>1373</v>
      </c>
      <c r="B1374" t="s">
        <v>64</v>
      </c>
      <c r="C1374" t="s">
        <v>64</v>
      </c>
      <c r="D1374" t="s">
        <v>65</v>
      </c>
      <c r="F1374" s="1">
        <v>42857</v>
      </c>
      <c r="G1374" s="2">
        <v>44.8</v>
      </c>
      <c r="H1374" s="2"/>
      <c r="I1374" s="2">
        <v>2.0699999999999998</v>
      </c>
      <c r="J1374" s="2"/>
      <c r="K1374" s="2"/>
      <c r="L1374" s="2">
        <v>876.2</v>
      </c>
      <c r="M1374" s="2">
        <v>876.2</v>
      </c>
      <c r="N1374" s="2">
        <f ca="1">INDEX(INDIRECT(_xlfn.CONCAT("weather.tbl[",N$1,"]")),MATCH(vp.tbl[[#This Row],[SDate]],weather.tbl[Date],0))</f>
        <v>9.3500000000000014</v>
      </c>
      <c r="O1374" s="2">
        <f ca="1">INDEX(INDIRECT(_xlfn.CONCAT("weather.tbl[",O$1,"]")),MATCH(vp.tbl[[#This Row],[SDate]],weather.tbl[Date],0))</f>
        <v>6.7214285714285733</v>
      </c>
      <c r="P1374" s="2">
        <f ca="1">INDEX(INDIRECT(_xlfn.CONCAT("weather.tbl[",P$1,"]")),MATCH(vp.tbl[[#This Row],[SDate]],weather.tbl[Date],0))</f>
        <v>9.5</v>
      </c>
      <c r="Q1374" s="2">
        <f ca="1">INDEX(INDIRECT(_xlfn.CONCAT("weather.tbl[",Q$1,"]")),MATCH(vp.tbl[[#This Row],[SDate]],weather.tbl[Date],0))</f>
        <v>10.5</v>
      </c>
      <c r="R1374" s="2">
        <f ca="1">INDEX(INDIRECT(_xlfn.CONCAT("weather.tbl[",R$1,"]")),MATCH(vp.tbl[[#This Row],[SDate]],weather.tbl[Date],0))</f>
        <v>9.3000000000000007</v>
      </c>
      <c r="S1374" s="2">
        <f ca="1">INDEX(INDIRECT(_xlfn.CONCAT("weather.tbl[",S$1,"]")),MATCH(vp.tbl[[#This Row],[SDate]],weather.tbl[Date],0))</f>
        <v>8.9</v>
      </c>
      <c r="T1374" s="2">
        <f ca="1">INDEX(INDIRECT(_xlfn.CONCAT("weather.tbl[",T$1,"]")),MATCH(vp.tbl[[#This Row],[SDate]],weather.tbl[Date],0))</f>
        <v>9.1</v>
      </c>
      <c r="U1374" s="2">
        <f ca="1">INDEX(INDIRECT(_xlfn.CONCAT("weather.tbl[",U$1,"]")),MATCH(vp.tbl[[#This Row],[SDate]],weather.tbl[Date],0))</f>
        <v>8.8000000000000007</v>
      </c>
      <c r="V1374" s="2">
        <v>21822.753000000001</v>
      </c>
      <c r="W1374" t="s">
        <v>48</v>
      </c>
      <c r="X1374">
        <f>IF(OR(vp.tbl[[#This Row],[Sulf]]="",vp.tbl[[#This Row],[Dens]]=""),1,0)</f>
        <v>0</v>
      </c>
      <c r="Y1374">
        <f>IF(vp.tbl[[#This Row],[CrudeType]]="C5+",1,0)</f>
        <v>0</v>
      </c>
      <c r="Z1374">
        <f>IF(AND(vp.tbl[[#This Row],[CrudeType]]="Crude",vp.tbl[[#This Row],[Dens]]&lt;=825,vp.tbl[[#This Row],[Sulf]]&gt;0.5,vp.tbl[[#This Row],[Unknown]]=0),1,0)</f>
        <v>0</v>
      </c>
      <c r="AA1374">
        <f>IF(AND(vp.tbl[[#This Row],[CrudeType]]="Crude",vp.tbl[[#This Row],[Dens]]&lt;=825,vp.tbl[[#This Row],[Sulf]]&lt;=0.5,vp.tbl[[#This Row],[Unknown]]=0),1,0)</f>
        <v>0</v>
      </c>
      <c r="AB1374">
        <f>IF(AND(vp.tbl[[#This Row],[CrudeType]]="Crude",vp.tbl[[#This Row],[Dens]]&gt;825,vp.tbl[[#This Row],[Dens]]&lt;=870,vp.tbl[[#This Row],[Sulf]]&gt;0.5,vp.tbl[[#This Row],[Unknown]]=0),1,0)</f>
        <v>0</v>
      </c>
      <c r="AC1374">
        <f>IF(AND(vp.tbl[[#This Row],[CrudeType]]="Crude",vp.tbl[[#This Row],[Dens]]&gt;825,vp.tbl[[#This Row],[Dens]]&lt;=900,vp.tbl[[#This Row],[Sulf]]&lt;=0.5,vp.tbl[[#This Row],[Unknown]]=0),1,0)</f>
        <v>0</v>
      </c>
      <c r="AD1374">
        <f>IF(AND(vp.tbl[[#This Row],[CrudeType]]="Crude",vp.tbl[[#This Row],[Dens]]&gt;870,vp.tbl[[#This Row],[Dens]]&lt;=900,vp.tbl[[#This Row],[Sulf]]&gt;0.5,vp.tbl[[#This Row],[Unknown]]=0),1,0)</f>
        <v>1</v>
      </c>
      <c r="AE1374">
        <f>IF(AND(vp.tbl[[#This Row],[CrudeType]]="Crude",vp.tbl[[#This Row],[Dens]]&gt;900,vp.tbl[[#This Row],[Sulf]]&lt;=0.5,vp.tbl[[#This Row],[Unknown]]=0),1,0)</f>
        <v>0</v>
      </c>
      <c r="AF1374">
        <f>IF(AND(vp.tbl[[#This Row],[CrudeType]]="Crude",vp.tbl[[#This Row],[Dens]]&gt;900,vp.tbl[[#This Row],[Sulf]]&lt;=0.5,vp.tbl[[#This Row],[Unknown]]=0),1,0)</f>
        <v>0</v>
      </c>
      <c r="AG1374" t="str">
        <f>INDEX(vp.tbl[[#Headers],[Unknown]:[Heavy_SW]],MATCH(1,vp.tbl[[#This Row],[Unknown]:[Heavy_SW]],0))</f>
        <v>Midale</v>
      </c>
      <c r="AH1374" t="e">
        <f>INDEX([1]!crudeBD.lkup[Number],MATCH(vp.tbl[[#This Row],[Crude_Breakdown]],[1]!crudeBD.lkup[Crude Breakdown],0))</f>
        <v>#REF!</v>
      </c>
      <c r="AI1374">
        <f>MONTH(vp.tbl[[#This Row],[SDate]])</f>
        <v>5</v>
      </c>
      <c r="AJ1374" s="5">
        <f>IFERROR(vp.tbl[[#This Row],[Sulf]]*vp.tbl[[#This Row],[Net Dens]],"")</f>
        <v>39580669.089702003</v>
      </c>
      <c r="AK1374" s="5">
        <f>IFERROR(vp.tbl[[#This Row],[Dens]]*vp.tbl[[#This Row],[VolumeM3]],"")</f>
        <v>19121096.178600002</v>
      </c>
      <c r="AL1374" s="5">
        <f>IFERROR(vp.tbl[[#This Row],[VP]]*vp.tbl[[#This Row],[VolumeM3]],"")</f>
        <v>977659.33439999993</v>
      </c>
      <c r="AM1374" s="4">
        <f>IFERROR((vp.tbl[[#This Row],[VP]]-INDEX(crudeBD.lkup.complete[Mean_VP],MATCH(vp.tbl[[#This Row],[Crude_Breakdown]],crudeBD.lkup.complete[Crude Breakdown],0)))^2,"")</f>
        <v>549.35653968849761</v>
      </c>
      <c r="AN1374" s="4">
        <f>IFERROR((vp.tbl[[#This Row],[Dens]]-INDEX(crudeBD.lkup.complete[Mean_Dens],MATCH(vp.tbl[[#This Row],[Crude_Breakdown]],crudeBD.lkup.complete[Crude Breakdown],0)))^2,"")</f>
        <v>1.8280521673850594</v>
      </c>
      <c r="AO1374" s="4">
        <f>IFERROR((vp.tbl[[#This Row],[Sulf]]-INDEX(crudeBD.lkup.complete[Mean_Sulf],MATCH(vp.tbl[[#This Row],[Crude_Breakdown]],crudeBD.lkup.complete[Crude Breakdown],0)))^2,"")</f>
        <v>0.11925981021371665</v>
      </c>
      <c r="AP1374">
        <f>IF(AND(vp.tbl[[#This Row],[SDate]]&gt;=DATE(YEAR(vp.tbl[[#This Row],[SDate]]),5,1),vp.tbl[[#This Row],[SDate]]&lt;=DATE(YEAR(vp.tbl[[#This Row],[SDate]]),9,15)),1,0)</f>
        <v>1</v>
      </c>
      <c r="AQ1374" s="15">
        <f>IF(vp.tbl[[#This Row],[SDate]]&lt;DATE(2016,12,1),0,1)</f>
        <v>1</v>
      </c>
    </row>
    <row r="1375" spans="1:43" x14ac:dyDescent="0.25">
      <c r="A1375">
        <v>1374</v>
      </c>
      <c r="B1375" t="s">
        <v>49</v>
      </c>
      <c r="C1375" t="s">
        <v>49</v>
      </c>
      <c r="D1375" t="s">
        <v>70</v>
      </c>
      <c r="F1375" s="1">
        <v>42857</v>
      </c>
      <c r="G1375" s="2">
        <v>73.5</v>
      </c>
      <c r="H1375" s="2"/>
      <c r="I1375" s="2">
        <v>0.94</v>
      </c>
      <c r="J1375" s="2"/>
      <c r="K1375" s="2"/>
      <c r="L1375" s="2">
        <v>822.4</v>
      </c>
      <c r="M1375" s="2">
        <v>822.4</v>
      </c>
      <c r="N1375" s="2">
        <f ca="1">INDEX(INDIRECT(_xlfn.CONCAT("weather.tbl[",N$1,"]")),MATCH(vp.tbl[[#This Row],[SDate]],weather.tbl[Date],0))</f>
        <v>9.3500000000000014</v>
      </c>
      <c r="O1375" s="2">
        <f ca="1">INDEX(INDIRECT(_xlfn.CONCAT("weather.tbl[",O$1,"]")),MATCH(vp.tbl[[#This Row],[SDate]],weather.tbl[Date],0))</f>
        <v>6.7214285714285733</v>
      </c>
      <c r="P1375" s="2">
        <f ca="1">INDEX(INDIRECT(_xlfn.CONCAT("weather.tbl[",P$1,"]")),MATCH(vp.tbl[[#This Row],[SDate]],weather.tbl[Date],0))</f>
        <v>9.5</v>
      </c>
      <c r="Q1375" s="2">
        <f ca="1">INDEX(INDIRECT(_xlfn.CONCAT("weather.tbl[",Q$1,"]")),MATCH(vp.tbl[[#This Row],[SDate]],weather.tbl[Date],0))</f>
        <v>10.5</v>
      </c>
      <c r="R1375" s="2">
        <f ca="1">INDEX(INDIRECT(_xlfn.CONCAT("weather.tbl[",R$1,"]")),MATCH(vp.tbl[[#This Row],[SDate]],weather.tbl[Date],0))</f>
        <v>9.3000000000000007</v>
      </c>
      <c r="S1375" s="2">
        <f ca="1">INDEX(INDIRECT(_xlfn.CONCAT("weather.tbl[",S$1,"]")),MATCH(vp.tbl[[#This Row],[SDate]],weather.tbl[Date],0))</f>
        <v>8.9</v>
      </c>
      <c r="T1375" s="2">
        <f ca="1">INDEX(INDIRECT(_xlfn.CONCAT("weather.tbl[",T$1,"]")),MATCH(vp.tbl[[#This Row],[SDate]],weather.tbl[Date],0))</f>
        <v>9.1</v>
      </c>
      <c r="U1375" s="2">
        <f ca="1">INDEX(INDIRECT(_xlfn.CONCAT("weather.tbl[",U$1,"]")),MATCH(vp.tbl[[#This Row],[SDate]],weather.tbl[Date],0))</f>
        <v>8.8000000000000007</v>
      </c>
      <c r="V1375" s="2">
        <v>2413.8069999999998</v>
      </c>
      <c r="W1375" t="s">
        <v>48</v>
      </c>
      <c r="X1375">
        <f>IF(OR(vp.tbl[[#This Row],[Sulf]]="",vp.tbl[[#This Row],[Dens]]=""),1,0)</f>
        <v>0</v>
      </c>
      <c r="Y1375">
        <f>IF(vp.tbl[[#This Row],[CrudeType]]="C5+",1,0)</f>
        <v>0</v>
      </c>
      <c r="Z1375">
        <f>IF(AND(vp.tbl[[#This Row],[CrudeType]]="Crude",vp.tbl[[#This Row],[Dens]]&lt;=825,vp.tbl[[#This Row],[Sulf]]&gt;0.5,vp.tbl[[#This Row],[Unknown]]=0),1,0)</f>
        <v>1</v>
      </c>
      <c r="AA1375">
        <f>IF(AND(vp.tbl[[#This Row],[CrudeType]]="Crude",vp.tbl[[#This Row],[Dens]]&lt;=825,vp.tbl[[#This Row],[Sulf]]&lt;=0.5,vp.tbl[[#This Row],[Unknown]]=0),1,0)</f>
        <v>0</v>
      </c>
      <c r="AB1375">
        <f>IF(AND(vp.tbl[[#This Row],[CrudeType]]="Crude",vp.tbl[[#This Row],[Dens]]&gt;825,vp.tbl[[#This Row],[Dens]]&lt;=870,vp.tbl[[#This Row],[Sulf]]&gt;0.5,vp.tbl[[#This Row],[Unknown]]=0),1,0)</f>
        <v>0</v>
      </c>
      <c r="AC1375">
        <f>IF(AND(vp.tbl[[#This Row],[CrudeType]]="Crude",vp.tbl[[#This Row],[Dens]]&gt;825,vp.tbl[[#This Row],[Dens]]&lt;=900,vp.tbl[[#This Row],[Sulf]]&lt;=0.5,vp.tbl[[#This Row],[Unknown]]=0),1,0)</f>
        <v>0</v>
      </c>
      <c r="AD1375">
        <f>IF(AND(vp.tbl[[#This Row],[CrudeType]]="Crude",vp.tbl[[#This Row],[Dens]]&gt;870,vp.tbl[[#This Row],[Dens]]&lt;=900,vp.tbl[[#This Row],[Sulf]]&gt;0.5,vp.tbl[[#This Row],[Unknown]]=0),1,0)</f>
        <v>0</v>
      </c>
      <c r="AE1375">
        <f>IF(AND(vp.tbl[[#This Row],[CrudeType]]="Crude",vp.tbl[[#This Row],[Dens]]&gt;900,vp.tbl[[#This Row],[Sulf]]&lt;=0.5,vp.tbl[[#This Row],[Unknown]]=0),1,0)</f>
        <v>0</v>
      </c>
      <c r="AF1375">
        <f>IF(AND(vp.tbl[[#This Row],[CrudeType]]="Crude",vp.tbl[[#This Row],[Dens]]&gt;900,vp.tbl[[#This Row],[Sulf]]&lt;=0.5,vp.tbl[[#This Row],[Unknown]]=0),1,0)</f>
        <v>0</v>
      </c>
      <c r="AG1375" t="str">
        <f>INDEX(vp.tbl[[#Headers],[Unknown]:[Heavy_SW]],MATCH(1,vp.tbl[[#This Row],[Unknown]:[Heavy_SW]],0))</f>
        <v>Light_LSB</v>
      </c>
      <c r="AH1375" t="e">
        <f>INDEX([1]!crudeBD.lkup[Number],MATCH(vp.tbl[[#This Row],[Crude_Breakdown]],[1]!crudeBD.lkup[Crude Breakdown],0))</f>
        <v>#REF!</v>
      </c>
      <c r="AI1375">
        <f>MONTH(vp.tbl[[#This Row],[SDate]])</f>
        <v>5</v>
      </c>
      <c r="AJ1375" s="5">
        <f>IFERROR(vp.tbl[[#This Row],[Sulf]]*vp.tbl[[#This Row],[Net Dens]],"")</f>
        <v>1866007.9841919995</v>
      </c>
      <c r="AK1375" s="5">
        <f>IFERROR(vp.tbl[[#This Row],[Dens]]*vp.tbl[[#This Row],[VolumeM3]],"")</f>
        <v>1985114.8767999997</v>
      </c>
      <c r="AL1375" s="5">
        <f>IFERROR(vp.tbl[[#This Row],[VP]]*vp.tbl[[#This Row],[VolumeM3]],"")</f>
        <v>177414.81449999998</v>
      </c>
      <c r="AM1375" s="4">
        <f>IFERROR((vp.tbl[[#This Row],[VP]]-INDEX(crudeBD.lkup.complete[Mean_VP],MATCH(vp.tbl[[#This Row],[Crude_Breakdown]],crudeBD.lkup.complete[Crude Breakdown],0)))^2,"")</f>
        <v>325.66481351897232</v>
      </c>
      <c r="AN1375" s="4">
        <f>IFERROR((vp.tbl[[#This Row],[Dens]]-INDEX(crudeBD.lkup.complete[Mean_Dens],MATCH(vp.tbl[[#This Row],[Crude_Breakdown]],crudeBD.lkup.complete[Crude Breakdown],0)))^2,"")</f>
        <v>15.07947710112294</v>
      </c>
      <c r="AO1375" s="4">
        <f>IFERROR((vp.tbl[[#This Row],[Sulf]]-INDEX(crudeBD.lkup.complete[Mean_Sulf],MATCH(vp.tbl[[#This Row],[Crude_Breakdown]],crudeBD.lkup.complete[Crude Breakdown],0)))^2,"")</f>
        <v>2.8998110617612668E-4</v>
      </c>
      <c r="AP1375">
        <f>IF(AND(vp.tbl[[#This Row],[SDate]]&gt;=DATE(YEAR(vp.tbl[[#This Row],[SDate]]),5,1),vp.tbl[[#This Row],[SDate]]&lt;=DATE(YEAR(vp.tbl[[#This Row],[SDate]]),9,15)),1,0)</f>
        <v>1</v>
      </c>
      <c r="AQ1375" s="15">
        <f>IF(vp.tbl[[#This Row],[SDate]]&lt;DATE(2016,12,1),0,1)</f>
        <v>1</v>
      </c>
    </row>
    <row r="1376" spans="1:43" x14ac:dyDescent="0.25">
      <c r="A1376">
        <v>1375</v>
      </c>
      <c r="B1376" t="s">
        <v>49</v>
      </c>
      <c r="C1376" t="s">
        <v>49</v>
      </c>
      <c r="D1376" t="s">
        <v>81</v>
      </c>
      <c r="F1376" s="1">
        <v>42857</v>
      </c>
      <c r="G1376" s="2">
        <v>79.099999999999994</v>
      </c>
      <c r="H1376" s="2"/>
      <c r="I1376" s="2">
        <v>0.53</v>
      </c>
      <c r="J1376" s="2"/>
      <c r="K1376" s="2"/>
      <c r="L1376" s="2">
        <v>824.7</v>
      </c>
      <c r="M1376" s="2">
        <v>824.7</v>
      </c>
      <c r="N1376" s="2">
        <f ca="1">INDEX(INDIRECT(_xlfn.CONCAT("weather.tbl[",N$1,"]")),MATCH(vp.tbl[[#This Row],[SDate]],weather.tbl[Date],0))</f>
        <v>9.3500000000000014</v>
      </c>
      <c r="O1376" s="2">
        <f ca="1">INDEX(INDIRECT(_xlfn.CONCAT("weather.tbl[",O$1,"]")),MATCH(vp.tbl[[#This Row],[SDate]],weather.tbl[Date],0))</f>
        <v>6.7214285714285733</v>
      </c>
      <c r="P1376" s="2">
        <f ca="1">INDEX(INDIRECT(_xlfn.CONCAT("weather.tbl[",P$1,"]")),MATCH(vp.tbl[[#This Row],[SDate]],weather.tbl[Date],0))</f>
        <v>9.5</v>
      </c>
      <c r="Q1376" s="2">
        <f ca="1">INDEX(INDIRECT(_xlfn.CONCAT("weather.tbl[",Q$1,"]")),MATCH(vp.tbl[[#This Row],[SDate]],weather.tbl[Date],0))</f>
        <v>10.5</v>
      </c>
      <c r="R1376" s="2">
        <f ca="1">INDEX(INDIRECT(_xlfn.CONCAT("weather.tbl[",R$1,"]")),MATCH(vp.tbl[[#This Row],[SDate]],weather.tbl[Date],0))</f>
        <v>9.3000000000000007</v>
      </c>
      <c r="S1376" s="2">
        <f ca="1">INDEX(INDIRECT(_xlfn.CONCAT("weather.tbl[",S$1,"]")),MATCH(vp.tbl[[#This Row],[SDate]],weather.tbl[Date],0))</f>
        <v>8.9</v>
      </c>
      <c r="T1376" s="2">
        <f ca="1">INDEX(INDIRECT(_xlfn.CONCAT("weather.tbl[",T$1,"]")),MATCH(vp.tbl[[#This Row],[SDate]],weather.tbl[Date],0))</f>
        <v>9.1</v>
      </c>
      <c r="U1376" s="2">
        <f ca="1">INDEX(INDIRECT(_xlfn.CONCAT("weather.tbl[",U$1,"]")),MATCH(vp.tbl[[#This Row],[SDate]],weather.tbl[Date],0))</f>
        <v>8.8000000000000007</v>
      </c>
      <c r="V1376" s="2">
        <v>19932.741000000002</v>
      </c>
      <c r="W1376" t="s">
        <v>48</v>
      </c>
      <c r="X1376">
        <f>IF(OR(vp.tbl[[#This Row],[Sulf]]="",vp.tbl[[#This Row],[Dens]]=""),1,0)</f>
        <v>0</v>
      </c>
      <c r="Y1376">
        <f>IF(vp.tbl[[#This Row],[CrudeType]]="C5+",1,0)</f>
        <v>0</v>
      </c>
      <c r="Z1376">
        <f>IF(AND(vp.tbl[[#This Row],[CrudeType]]="Crude",vp.tbl[[#This Row],[Dens]]&lt;=825,vp.tbl[[#This Row],[Sulf]]&gt;0.5,vp.tbl[[#This Row],[Unknown]]=0),1,0)</f>
        <v>1</v>
      </c>
      <c r="AA1376">
        <f>IF(AND(vp.tbl[[#This Row],[CrudeType]]="Crude",vp.tbl[[#This Row],[Dens]]&lt;=825,vp.tbl[[#This Row],[Sulf]]&lt;=0.5,vp.tbl[[#This Row],[Unknown]]=0),1,0)</f>
        <v>0</v>
      </c>
      <c r="AB1376">
        <f>IF(AND(vp.tbl[[#This Row],[CrudeType]]="Crude",vp.tbl[[#This Row],[Dens]]&gt;825,vp.tbl[[#This Row],[Dens]]&lt;=870,vp.tbl[[#This Row],[Sulf]]&gt;0.5,vp.tbl[[#This Row],[Unknown]]=0),1,0)</f>
        <v>0</v>
      </c>
      <c r="AC1376">
        <f>IF(AND(vp.tbl[[#This Row],[CrudeType]]="Crude",vp.tbl[[#This Row],[Dens]]&gt;825,vp.tbl[[#This Row],[Dens]]&lt;=900,vp.tbl[[#This Row],[Sulf]]&lt;=0.5,vp.tbl[[#This Row],[Unknown]]=0),1,0)</f>
        <v>0</v>
      </c>
      <c r="AD1376">
        <f>IF(AND(vp.tbl[[#This Row],[CrudeType]]="Crude",vp.tbl[[#This Row],[Dens]]&gt;870,vp.tbl[[#This Row],[Dens]]&lt;=900,vp.tbl[[#This Row],[Sulf]]&gt;0.5,vp.tbl[[#This Row],[Unknown]]=0),1,0)</f>
        <v>0</v>
      </c>
      <c r="AE1376">
        <f>IF(AND(vp.tbl[[#This Row],[CrudeType]]="Crude",vp.tbl[[#This Row],[Dens]]&gt;900,vp.tbl[[#This Row],[Sulf]]&lt;=0.5,vp.tbl[[#This Row],[Unknown]]=0),1,0)</f>
        <v>0</v>
      </c>
      <c r="AF1376">
        <f>IF(AND(vp.tbl[[#This Row],[CrudeType]]="Crude",vp.tbl[[#This Row],[Dens]]&gt;900,vp.tbl[[#This Row],[Sulf]]&lt;=0.5,vp.tbl[[#This Row],[Unknown]]=0),1,0)</f>
        <v>0</v>
      </c>
      <c r="AG1376" t="str">
        <f>INDEX(vp.tbl[[#Headers],[Unknown]:[Heavy_SW]],MATCH(1,vp.tbl[[#This Row],[Unknown]:[Heavy_SW]],0))</f>
        <v>Light_LSB</v>
      </c>
      <c r="AH1376" t="e">
        <f>INDEX([1]!crudeBD.lkup[Number],MATCH(vp.tbl[[#This Row],[Crude_Breakdown]],[1]!crudeBD.lkup[Crude Breakdown],0))</f>
        <v>#REF!</v>
      </c>
      <c r="AI1376">
        <f>MONTH(vp.tbl[[#This Row],[SDate]])</f>
        <v>5</v>
      </c>
      <c r="AJ1376" s="5">
        <f>IFERROR(vp.tbl[[#This Row],[Sulf]]*vp.tbl[[#This Row],[Net Dens]],"")</f>
        <v>8712421.6964310016</v>
      </c>
      <c r="AK1376" s="5">
        <f>IFERROR(vp.tbl[[#This Row],[Dens]]*vp.tbl[[#This Row],[VolumeM3]],"")</f>
        <v>16438531.502700003</v>
      </c>
      <c r="AL1376" s="5">
        <f>IFERROR(vp.tbl[[#This Row],[VP]]*vp.tbl[[#This Row],[VolumeM3]],"")</f>
        <v>1576679.8131000001</v>
      </c>
      <c r="AM1376" s="4">
        <f>IFERROR((vp.tbl[[#This Row],[VP]]-INDEX(crudeBD.lkup.complete[Mean_VP],MATCH(vp.tbl[[#This Row],[Crude_Breakdown]],crudeBD.lkup.complete[Crude Breakdown],0)))^2,"")</f>
        <v>154.90753516845666</v>
      </c>
      <c r="AN1376" s="4">
        <f>IFERROR((vp.tbl[[#This Row],[Dens]]-INDEX(crudeBD.lkup.complete[Mean_Dens],MATCH(vp.tbl[[#This Row],[Crude_Breakdown]],crudeBD.lkup.complete[Crude Breakdown],0)))^2,"")</f>
        <v>38.232336207654335</v>
      </c>
      <c r="AO1376" s="4">
        <f>IFERROR((vp.tbl[[#This Row],[Sulf]]-INDEX(crudeBD.lkup.complete[Mean_Sulf],MATCH(vp.tbl[[#This Row],[Crude_Breakdown]],crudeBD.lkup.complete[Crude Breakdown],0)))^2,"")</f>
        <v>0.15442633918177728</v>
      </c>
      <c r="AP1376">
        <f>IF(AND(vp.tbl[[#This Row],[SDate]]&gt;=DATE(YEAR(vp.tbl[[#This Row],[SDate]]),5,1),vp.tbl[[#This Row],[SDate]]&lt;=DATE(YEAR(vp.tbl[[#This Row],[SDate]]),9,15)),1,0)</f>
        <v>1</v>
      </c>
      <c r="AQ1376" s="15">
        <f>IF(vp.tbl[[#This Row],[SDate]]&lt;DATE(2016,12,1),0,1)</f>
        <v>1</v>
      </c>
    </row>
    <row r="1377" spans="1:43" x14ac:dyDescent="0.25">
      <c r="A1377">
        <v>1376</v>
      </c>
      <c r="B1377" t="s">
        <v>49</v>
      </c>
      <c r="C1377" t="s">
        <v>49</v>
      </c>
      <c r="D1377" t="s">
        <v>80</v>
      </c>
      <c r="F1377" s="1">
        <v>42857</v>
      </c>
      <c r="G1377" s="2">
        <v>86.1</v>
      </c>
      <c r="H1377" s="2"/>
      <c r="I1377" s="2">
        <v>0.76</v>
      </c>
      <c r="J1377" s="2"/>
      <c r="K1377" s="2"/>
      <c r="L1377" s="2">
        <v>818.3</v>
      </c>
      <c r="M1377" s="2">
        <v>818.3</v>
      </c>
      <c r="N1377" s="2">
        <f ca="1">INDEX(INDIRECT(_xlfn.CONCAT("weather.tbl[",N$1,"]")),MATCH(vp.tbl[[#This Row],[SDate]],weather.tbl[Date],0))</f>
        <v>9.3500000000000014</v>
      </c>
      <c r="O1377" s="2">
        <f ca="1">INDEX(INDIRECT(_xlfn.CONCAT("weather.tbl[",O$1,"]")),MATCH(vp.tbl[[#This Row],[SDate]],weather.tbl[Date],0))</f>
        <v>6.7214285714285733</v>
      </c>
      <c r="P1377" s="2">
        <f ca="1">INDEX(INDIRECT(_xlfn.CONCAT("weather.tbl[",P$1,"]")),MATCH(vp.tbl[[#This Row],[SDate]],weather.tbl[Date],0))</f>
        <v>9.5</v>
      </c>
      <c r="Q1377" s="2">
        <f ca="1">INDEX(INDIRECT(_xlfn.CONCAT("weather.tbl[",Q$1,"]")),MATCH(vp.tbl[[#This Row],[SDate]],weather.tbl[Date],0))</f>
        <v>10.5</v>
      </c>
      <c r="R1377" s="2">
        <f ca="1">INDEX(INDIRECT(_xlfn.CONCAT("weather.tbl[",R$1,"]")),MATCH(vp.tbl[[#This Row],[SDate]],weather.tbl[Date],0))</f>
        <v>9.3000000000000007</v>
      </c>
      <c r="S1377" s="2">
        <f ca="1">INDEX(INDIRECT(_xlfn.CONCAT("weather.tbl[",S$1,"]")),MATCH(vp.tbl[[#This Row],[SDate]],weather.tbl[Date],0))</f>
        <v>8.9</v>
      </c>
      <c r="T1377" s="2">
        <f ca="1">INDEX(INDIRECT(_xlfn.CONCAT("weather.tbl[",T$1,"]")),MATCH(vp.tbl[[#This Row],[SDate]],weather.tbl[Date],0))</f>
        <v>9.1</v>
      </c>
      <c r="U1377" s="2">
        <f ca="1">INDEX(INDIRECT(_xlfn.CONCAT("weather.tbl[",U$1,"]")),MATCH(vp.tbl[[#This Row],[SDate]],weather.tbl[Date],0))</f>
        <v>8.8000000000000007</v>
      </c>
      <c r="V1377" s="2">
        <v>22699.566999999999</v>
      </c>
      <c r="W1377" t="s">
        <v>48</v>
      </c>
      <c r="X1377">
        <f>IF(OR(vp.tbl[[#This Row],[Sulf]]="",vp.tbl[[#This Row],[Dens]]=""),1,0)</f>
        <v>0</v>
      </c>
      <c r="Y1377">
        <f>IF(vp.tbl[[#This Row],[CrudeType]]="C5+",1,0)</f>
        <v>0</v>
      </c>
      <c r="Z1377">
        <f>IF(AND(vp.tbl[[#This Row],[CrudeType]]="Crude",vp.tbl[[#This Row],[Dens]]&lt;=825,vp.tbl[[#This Row],[Sulf]]&gt;0.5,vp.tbl[[#This Row],[Unknown]]=0),1,0)</f>
        <v>1</v>
      </c>
      <c r="AA1377">
        <f>IF(AND(vp.tbl[[#This Row],[CrudeType]]="Crude",vp.tbl[[#This Row],[Dens]]&lt;=825,vp.tbl[[#This Row],[Sulf]]&lt;=0.5,vp.tbl[[#This Row],[Unknown]]=0),1,0)</f>
        <v>0</v>
      </c>
      <c r="AB1377">
        <f>IF(AND(vp.tbl[[#This Row],[CrudeType]]="Crude",vp.tbl[[#This Row],[Dens]]&gt;825,vp.tbl[[#This Row],[Dens]]&lt;=870,vp.tbl[[#This Row],[Sulf]]&gt;0.5,vp.tbl[[#This Row],[Unknown]]=0),1,0)</f>
        <v>0</v>
      </c>
      <c r="AC1377">
        <f>IF(AND(vp.tbl[[#This Row],[CrudeType]]="Crude",vp.tbl[[#This Row],[Dens]]&gt;825,vp.tbl[[#This Row],[Dens]]&lt;=900,vp.tbl[[#This Row],[Sulf]]&lt;=0.5,vp.tbl[[#This Row],[Unknown]]=0),1,0)</f>
        <v>0</v>
      </c>
      <c r="AD1377">
        <f>IF(AND(vp.tbl[[#This Row],[CrudeType]]="Crude",vp.tbl[[#This Row],[Dens]]&gt;870,vp.tbl[[#This Row],[Dens]]&lt;=900,vp.tbl[[#This Row],[Sulf]]&gt;0.5,vp.tbl[[#This Row],[Unknown]]=0),1,0)</f>
        <v>0</v>
      </c>
      <c r="AE1377">
        <f>IF(AND(vp.tbl[[#This Row],[CrudeType]]="Crude",vp.tbl[[#This Row],[Dens]]&gt;900,vp.tbl[[#This Row],[Sulf]]&lt;=0.5,vp.tbl[[#This Row],[Unknown]]=0),1,0)</f>
        <v>0</v>
      </c>
      <c r="AF1377">
        <f>IF(AND(vp.tbl[[#This Row],[CrudeType]]="Crude",vp.tbl[[#This Row],[Dens]]&gt;900,vp.tbl[[#This Row],[Sulf]]&lt;=0.5,vp.tbl[[#This Row],[Unknown]]=0),1,0)</f>
        <v>0</v>
      </c>
      <c r="AG1377" t="str">
        <f>INDEX(vp.tbl[[#Headers],[Unknown]:[Heavy_SW]],MATCH(1,vp.tbl[[#This Row],[Unknown]:[Heavy_SW]],0))</f>
        <v>Light_LSB</v>
      </c>
      <c r="AH1377" t="e">
        <f>INDEX([1]!crudeBD.lkup[Number],MATCH(vp.tbl[[#This Row],[Crude_Breakdown]],[1]!crudeBD.lkup[Crude Breakdown],0))</f>
        <v>#REF!</v>
      </c>
      <c r="AI1377">
        <f>MONTH(vp.tbl[[#This Row],[SDate]])</f>
        <v>5</v>
      </c>
      <c r="AJ1377" s="5">
        <f>IFERROR(vp.tbl[[#This Row],[Sulf]]*vp.tbl[[#This Row],[Net Dens]],"")</f>
        <v>14117042.313835997</v>
      </c>
      <c r="AK1377" s="5">
        <f>IFERROR(vp.tbl[[#This Row],[Dens]]*vp.tbl[[#This Row],[VolumeM3]],"")</f>
        <v>18575055.676099997</v>
      </c>
      <c r="AL1377" s="5">
        <f>IFERROR(vp.tbl[[#This Row],[VP]]*vp.tbl[[#This Row],[VolumeM3]],"")</f>
        <v>1954432.7186999999</v>
      </c>
      <c r="AM1377" s="4">
        <f>IFERROR((vp.tbl[[#This Row],[VP]]-INDEX(crudeBD.lkup.complete[Mean_VP],MATCH(vp.tbl[[#This Row],[Crude_Breakdown]],crudeBD.lkup.complete[Crude Breakdown],0)))^2,"")</f>
        <v>29.660937230311806</v>
      </c>
      <c r="AN1377" s="4">
        <f>IFERROR((vp.tbl[[#This Row],[Dens]]-INDEX(crudeBD.lkup.complete[Mean_Dens],MATCH(vp.tbl[[#This Row],[Crude_Breakdown]],crudeBD.lkup.complete[Crude Breakdown],0)))^2,"")</f>
        <v>4.698912861196889E-2</v>
      </c>
      <c r="AO1377" s="4">
        <f>IFERROR((vp.tbl[[#This Row],[Sulf]]-INDEX(crudeBD.lkup.complete[Mean_Sulf],MATCH(vp.tbl[[#This Row],[Crude_Breakdown]],crudeBD.lkup.complete[Crude Breakdown],0)))^2,"")</f>
        <v>2.6559601724732734E-2</v>
      </c>
      <c r="AP1377">
        <f>IF(AND(vp.tbl[[#This Row],[SDate]]&gt;=DATE(YEAR(vp.tbl[[#This Row],[SDate]]),5,1),vp.tbl[[#This Row],[SDate]]&lt;=DATE(YEAR(vp.tbl[[#This Row],[SDate]]),9,15)),1,0)</f>
        <v>1</v>
      </c>
      <c r="AQ1377" s="15">
        <f>IF(vp.tbl[[#This Row],[SDate]]&lt;DATE(2016,12,1),0,1)</f>
        <v>1</v>
      </c>
    </row>
    <row r="1378" spans="1:43" x14ac:dyDescent="0.25">
      <c r="A1378">
        <v>1377</v>
      </c>
      <c r="B1378" t="s">
        <v>49</v>
      </c>
      <c r="C1378" t="s">
        <v>49</v>
      </c>
      <c r="D1378" t="s">
        <v>100</v>
      </c>
      <c r="F1378" s="1">
        <v>42857</v>
      </c>
      <c r="G1378" s="2">
        <v>85</v>
      </c>
      <c r="H1378" s="2"/>
      <c r="I1378" s="2">
        <v>0.75</v>
      </c>
      <c r="J1378" s="2"/>
      <c r="K1378" s="2"/>
      <c r="L1378" s="2">
        <v>821</v>
      </c>
      <c r="M1378" s="2">
        <v>821</v>
      </c>
      <c r="N1378" s="2">
        <f ca="1">INDEX(INDIRECT(_xlfn.CONCAT("weather.tbl[",N$1,"]")),MATCH(vp.tbl[[#This Row],[SDate]],weather.tbl[Date],0))</f>
        <v>9.3500000000000014</v>
      </c>
      <c r="O1378" s="2">
        <f ca="1">INDEX(INDIRECT(_xlfn.CONCAT("weather.tbl[",O$1,"]")),MATCH(vp.tbl[[#This Row],[SDate]],weather.tbl[Date],0))</f>
        <v>6.7214285714285733</v>
      </c>
      <c r="P1378" s="2">
        <f ca="1">INDEX(INDIRECT(_xlfn.CONCAT("weather.tbl[",P$1,"]")),MATCH(vp.tbl[[#This Row],[SDate]],weather.tbl[Date],0))</f>
        <v>9.5</v>
      </c>
      <c r="Q1378" s="2">
        <f ca="1">INDEX(INDIRECT(_xlfn.CONCAT("weather.tbl[",Q$1,"]")),MATCH(vp.tbl[[#This Row],[SDate]],weather.tbl[Date],0))</f>
        <v>10.5</v>
      </c>
      <c r="R1378" s="2">
        <f ca="1">INDEX(INDIRECT(_xlfn.CONCAT("weather.tbl[",R$1,"]")),MATCH(vp.tbl[[#This Row],[SDate]],weather.tbl[Date],0))</f>
        <v>9.3000000000000007</v>
      </c>
      <c r="S1378" s="2">
        <f ca="1">INDEX(INDIRECT(_xlfn.CONCAT("weather.tbl[",S$1,"]")),MATCH(vp.tbl[[#This Row],[SDate]],weather.tbl[Date],0))</f>
        <v>8.9</v>
      </c>
      <c r="T1378" s="2">
        <f ca="1">INDEX(INDIRECT(_xlfn.CONCAT("weather.tbl[",T$1,"]")),MATCH(vp.tbl[[#This Row],[SDate]],weather.tbl[Date],0))</f>
        <v>9.1</v>
      </c>
      <c r="U1378" s="2">
        <f ca="1">INDEX(INDIRECT(_xlfn.CONCAT("weather.tbl[",U$1,"]")),MATCH(vp.tbl[[#This Row],[SDate]],weather.tbl[Date],0))</f>
        <v>8.8000000000000007</v>
      </c>
      <c r="V1378" s="2">
        <v>12872.544</v>
      </c>
      <c r="W1378" t="s">
        <v>48</v>
      </c>
      <c r="X1378">
        <f>IF(OR(vp.tbl[[#This Row],[Sulf]]="",vp.tbl[[#This Row],[Dens]]=""),1,0)</f>
        <v>0</v>
      </c>
      <c r="Y1378">
        <f>IF(vp.tbl[[#This Row],[CrudeType]]="C5+",1,0)</f>
        <v>0</v>
      </c>
      <c r="Z1378">
        <f>IF(AND(vp.tbl[[#This Row],[CrudeType]]="Crude",vp.tbl[[#This Row],[Dens]]&lt;=825,vp.tbl[[#This Row],[Sulf]]&gt;0.5,vp.tbl[[#This Row],[Unknown]]=0),1,0)</f>
        <v>1</v>
      </c>
      <c r="AA1378">
        <f>IF(AND(vp.tbl[[#This Row],[CrudeType]]="Crude",vp.tbl[[#This Row],[Dens]]&lt;=825,vp.tbl[[#This Row],[Sulf]]&lt;=0.5,vp.tbl[[#This Row],[Unknown]]=0),1,0)</f>
        <v>0</v>
      </c>
      <c r="AB1378">
        <f>IF(AND(vp.tbl[[#This Row],[CrudeType]]="Crude",vp.tbl[[#This Row],[Dens]]&gt;825,vp.tbl[[#This Row],[Dens]]&lt;=870,vp.tbl[[#This Row],[Sulf]]&gt;0.5,vp.tbl[[#This Row],[Unknown]]=0),1,0)</f>
        <v>0</v>
      </c>
      <c r="AC1378">
        <f>IF(AND(vp.tbl[[#This Row],[CrudeType]]="Crude",vp.tbl[[#This Row],[Dens]]&gt;825,vp.tbl[[#This Row],[Dens]]&lt;=900,vp.tbl[[#This Row],[Sulf]]&lt;=0.5,vp.tbl[[#This Row],[Unknown]]=0),1,0)</f>
        <v>0</v>
      </c>
      <c r="AD1378">
        <f>IF(AND(vp.tbl[[#This Row],[CrudeType]]="Crude",vp.tbl[[#This Row],[Dens]]&gt;870,vp.tbl[[#This Row],[Dens]]&lt;=900,vp.tbl[[#This Row],[Sulf]]&gt;0.5,vp.tbl[[#This Row],[Unknown]]=0),1,0)</f>
        <v>0</v>
      </c>
      <c r="AE1378">
        <f>IF(AND(vp.tbl[[#This Row],[CrudeType]]="Crude",vp.tbl[[#This Row],[Dens]]&gt;900,vp.tbl[[#This Row],[Sulf]]&lt;=0.5,vp.tbl[[#This Row],[Unknown]]=0),1,0)</f>
        <v>0</v>
      </c>
      <c r="AF1378">
        <f>IF(AND(vp.tbl[[#This Row],[CrudeType]]="Crude",vp.tbl[[#This Row],[Dens]]&gt;900,vp.tbl[[#This Row],[Sulf]]&lt;=0.5,vp.tbl[[#This Row],[Unknown]]=0),1,0)</f>
        <v>0</v>
      </c>
      <c r="AG1378" t="str">
        <f>INDEX(vp.tbl[[#Headers],[Unknown]:[Heavy_SW]],MATCH(1,vp.tbl[[#This Row],[Unknown]:[Heavy_SW]],0))</f>
        <v>Light_LSB</v>
      </c>
      <c r="AH1378" t="e">
        <f>INDEX([1]!crudeBD.lkup[Number],MATCH(vp.tbl[[#This Row],[Crude_Breakdown]],[1]!crudeBD.lkup[Crude Breakdown],0))</f>
        <v>#REF!</v>
      </c>
      <c r="AI1378">
        <f>MONTH(vp.tbl[[#This Row],[SDate]])</f>
        <v>5</v>
      </c>
      <c r="AJ1378" s="5">
        <f>IFERROR(vp.tbl[[#This Row],[Sulf]]*vp.tbl[[#This Row],[Net Dens]],"")</f>
        <v>7926268.9680000003</v>
      </c>
      <c r="AK1378" s="5">
        <f>IFERROR(vp.tbl[[#This Row],[Dens]]*vp.tbl[[#This Row],[VolumeM3]],"")</f>
        <v>10568358.624</v>
      </c>
      <c r="AL1378" s="5">
        <f>IFERROR(vp.tbl[[#This Row],[VP]]*vp.tbl[[#This Row],[VolumeM3]],"")</f>
        <v>1094166.24</v>
      </c>
      <c r="AM1378" s="4">
        <f>IFERROR((vp.tbl[[#This Row],[VP]]-INDEX(crudeBD.lkup.complete[Mean_VP],MATCH(vp.tbl[[#This Row],[Crude_Breakdown]],crudeBD.lkup.complete[Crude Breakdown],0)))^2,"")</f>
        <v>42.852545477734495</v>
      </c>
      <c r="AN1378" s="4">
        <f>IFERROR((vp.tbl[[#This Row],[Dens]]-INDEX(crudeBD.lkup.complete[Mean_Dens],MATCH(vp.tbl[[#This Row],[Crude_Breakdown]],crudeBD.lkup.complete[Crude Breakdown],0)))^2,"")</f>
        <v>6.1664324275827171</v>
      </c>
      <c r="AO1378" s="4">
        <f>IFERROR((vp.tbl[[#This Row],[Sulf]]-INDEX(crudeBD.lkup.complete[Mean_Sulf],MATCH(vp.tbl[[#This Row],[Crude_Breakdown]],crudeBD.lkup.complete[Crude Breakdown],0)))^2,"")</f>
        <v>2.9919025092430326E-2</v>
      </c>
      <c r="AP1378">
        <f>IF(AND(vp.tbl[[#This Row],[SDate]]&gt;=DATE(YEAR(vp.tbl[[#This Row],[SDate]]),5,1),vp.tbl[[#This Row],[SDate]]&lt;=DATE(YEAR(vp.tbl[[#This Row],[SDate]]),9,15)),1,0)</f>
        <v>1</v>
      </c>
      <c r="AQ1378" s="15">
        <f>IF(vp.tbl[[#This Row],[SDate]]&lt;DATE(2016,12,1),0,1)</f>
        <v>1</v>
      </c>
    </row>
    <row r="1379" spans="1:43" x14ac:dyDescent="0.25">
      <c r="A1379">
        <v>1378</v>
      </c>
      <c r="B1379" t="s">
        <v>49</v>
      </c>
      <c r="C1379" t="s">
        <v>49</v>
      </c>
      <c r="D1379" t="s">
        <v>67</v>
      </c>
      <c r="F1379" s="1">
        <v>42857</v>
      </c>
      <c r="G1379" s="2">
        <v>85.5</v>
      </c>
      <c r="H1379" s="2"/>
      <c r="I1379" s="2">
        <v>0.63</v>
      </c>
      <c r="J1379" s="2"/>
      <c r="K1379" s="2"/>
      <c r="L1379" s="2">
        <v>821.3</v>
      </c>
      <c r="M1379" s="2">
        <v>821.3</v>
      </c>
      <c r="N1379" s="2">
        <f ca="1">INDEX(INDIRECT(_xlfn.CONCAT("weather.tbl[",N$1,"]")),MATCH(vp.tbl[[#This Row],[SDate]],weather.tbl[Date],0))</f>
        <v>9.3500000000000014</v>
      </c>
      <c r="O1379" s="2">
        <f ca="1">INDEX(INDIRECT(_xlfn.CONCAT("weather.tbl[",O$1,"]")),MATCH(vp.tbl[[#This Row],[SDate]],weather.tbl[Date],0))</f>
        <v>6.7214285714285733</v>
      </c>
      <c r="P1379" s="2">
        <f ca="1">INDEX(INDIRECT(_xlfn.CONCAT("weather.tbl[",P$1,"]")),MATCH(vp.tbl[[#This Row],[SDate]],weather.tbl[Date],0))</f>
        <v>9.5</v>
      </c>
      <c r="Q1379" s="2">
        <f ca="1">INDEX(INDIRECT(_xlfn.CONCAT("weather.tbl[",Q$1,"]")),MATCH(vp.tbl[[#This Row],[SDate]],weather.tbl[Date],0))</f>
        <v>10.5</v>
      </c>
      <c r="R1379" s="2">
        <f ca="1">INDEX(INDIRECT(_xlfn.CONCAT("weather.tbl[",R$1,"]")),MATCH(vp.tbl[[#This Row],[SDate]],weather.tbl[Date],0))</f>
        <v>9.3000000000000007</v>
      </c>
      <c r="S1379" s="2">
        <f ca="1">INDEX(INDIRECT(_xlfn.CONCAT("weather.tbl[",S$1,"]")),MATCH(vp.tbl[[#This Row],[SDate]],weather.tbl[Date],0))</f>
        <v>8.9</v>
      </c>
      <c r="T1379" s="2">
        <f ca="1">INDEX(INDIRECT(_xlfn.CONCAT("weather.tbl[",T$1,"]")),MATCH(vp.tbl[[#This Row],[SDate]],weather.tbl[Date],0))</f>
        <v>9.1</v>
      </c>
      <c r="U1379" s="2">
        <f ca="1">INDEX(INDIRECT(_xlfn.CONCAT("weather.tbl[",U$1,"]")),MATCH(vp.tbl[[#This Row],[SDate]],weather.tbl[Date],0))</f>
        <v>8.8000000000000007</v>
      </c>
      <c r="V1379" s="2">
        <v>152210.65299999999</v>
      </c>
      <c r="W1379" t="s">
        <v>48</v>
      </c>
      <c r="X1379">
        <f>IF(OR(vp.tbl[[#This Row],[Sulf]]="",vp.tbl[[#This Row],[Dens]]=""),1,0)</f>
        <v>0</v>
      </c>
      <c r="Y1379">
        <f>IF(vp.tbl[[#This Row],[CrudeType]]="C5+",1,0)</f>
        <v>0</v>
      </c>
      <c r="Z1379">
        <f>IF(AND(vp.tbl[[#This Row],[CrudeType]]="Crude",vp.tbl[[#This Row],[Dens]]&lt;=825,vp.tbl[[#This Row],[Sulf]]&gt;0.5,vp.tbl[[#This Row],[Unknown]]=0),1,0)</f>
        <v>1</v>
      </c>
      <c r="AA1379">
        <f>IF(AND(vp.tbl[[#This Row],[CrudeType]]="Crude",vp.tbl[[#This Row],[Dens]]&lt;=825,vp.tbl[[#This Row],[Sulf]]&lt;=0.5,vp.tbl[[#This Row],[Unknown]]=0),1,0)</f>
        <v>0</v>
      </c>
      <c r="AB1379">
        <f>IF(AND(vp.tbl[[#This Row],[CrudeType]]="Crude",vp.tbl[[#This Row],[Dens]]&gt;825,vp.tbl[[#This Row],[Dens]]&lt;=870,vp.tbl[[#This Row],[Sulf]]&gt;0.5,vp.tbl[[#This Row],[Unknown]]=0),1,0)</f>
        <v>0</v>
      </c>
      <c r="AC1379">
        <f>IF(AND(vp.tbl[[#This Row],[CrudeType]]="Crude",vp.tbl[[#This Row],[Dens]]&gt;825,vp.tbl[[#This Row],[Dens]]&lt;=900,vp.tbl[[#This Row],[Sulf]]&lt;=0.5,vp.tbl[[#This Row],[Unknown]]=0),1,0)</f>
        <v>0</v>
      </c>
      <c r="AD1379">
        <f>IF(AND(vp.tbl[[#This Row],[CrudeType]]="Crude",vp.tbl[[#This Row],[Dens]]&gt;870,vp.tbl[[#This Row],[Dens]]&lt;=900,vp.tbl[[#This Row],[Sulf]]&gt;0.5,vp.tbl[[#This Row],[Unknown]]=0),1,0)</f>
        <v>0</v>
      </c>
      <c r="AE1379">
        <f>IF(AND(vp.tbl[[#This Row],[CrudeType]]="Crude",vp.tbl[[#This Row],[Dens]]&gt;900,vp.tbl[[#This Row],[Sulf]]&lt;=0.5,vp.tbl[[#This Row],[Unknown]]=0),1,0)</f>
        <v>0</v>
      </c>
      <c r="AF1379">
        <f>IF(AND(vp.tbl[[#This Row],[CrudeType]]="Crude",vp.tbl[[#This Row],[Dens]]&gt;900,vp.tbl[[#This Row],[Sulf]]&lt;=0.5,vp.tbl[[#This Row],[Unknown]]=0),1,0)</f>
        <v>0</v>
      </c>
      <c r="AG1379" t="str">
        <f>INDEX(vp.tbl[[#Headers],[Unknown]:[Heavy_SW]],MATCH(1,vp.tbl[[#This Row],[Unknown]:[Heavy_SW]],0))</f>
        <v>Light_LSB</v>
      </c>
      <c r="AH1379" t="e">
        <f>INDEX([1]!crudeBD.lkup[Number],MATCH(vp.tbl[[#This Row],[Crude_Breakdown]],[1]!crudeBD.lkup[Crude Breakdown],0))</f>
        <v>#REF!</v>
      </c>
      <c r="AI1379">
        <f>MONTH(vp.tbl[[#This Row],[SDate]])</f>
        <v>5</v>
      </c>
      <c r="AJ1379" s="5">
        <f>IFERROR(vp.tbl[[#This Row],[Sulf]]*vp.tbl[[#This Row],[Net Dens]],"")</f>
        <v>78756683.864606991</v>
      </c>
      <c r="AK1379" s="5">
        <f>IFERROR(vp.tbl[[#This Row],[Dens]]*vp.tbl[[#This Row],[VolumeM3]],"")</f>
        <v>125010609.30889998</v>
      </c>
      <c r="AL1379" s="5">
        <f>IFERROR(vp.tbl[[#This Row],[VP]]*vp.tbl[[#This Row],[VolumeM3]],"")</f>
        <v>13014010.831499999</v>
      </c>
      <c r="AM1379" s="4">
        <f>IFERROR((vp.tbl[[#This Row],[VP]]-INDEX(crudeBD.lkup.complete[Mean_VP],MATCH(vp.tbl[[#This Row],[Crude_Breakdown]],crudeBD.lkup.complete[Crude Breakdown],0)))^2,"")</f>
        <v>36.556359910724154</v>
      </c>
      <c r="AN1379" s="4">
        <f>IFERROR((vp.tbl[[#This Row],[Dens]]-INDEX(crudeBD.lkup.complete[Mean_Dens],MATCH(vp.tbl[[#This Row],[Crude_Breakdown]],crudeBD.lkup.complete[Crude Breakdown],0)))^2,"")</f>
        <v>7.74637057191255</v>
      </c>
      <c r="AO1379" s="4">
        <f>IFERROR((vp.tbl[[#This Row],[Sulf]]-INDEX(crudeBD.lkup.complete[Mean_Sulf],MATCH(vp.tbl[[#This Row],[Crude_Breakdown]],crudeBD.lkup.complete[Crude Breakdown],0)))^2,"")</f>
        <v>8.5832105504801401E-2</v>
      </c>
      <c r="AP1379">
        <f>IF(AND(vp.tbl[[#This Row],[SDate]]&gt;=DATE(YEAR(vp.tbl[[#This Row],[SDate]]),5,1),vp.tbl[[#This Row],[SDate]]&lt;=DATE(YEAR(vp.tbl[[#This Row],[SDate]]),9,15)),1,0)</f>
        <v>1</v>
      </c>
      <c r="AQ1379" s="15">
        <f>IF(vp.tbl[[#This Row],[SDate]]&lt;DATE(2016,12,1),0,1)</f>
        <v>1</v>
      </c>
    </row>
    <row r="1380" spans="1:43" x14ac:dyDescent="0.25">
      <c r="A1380">
        <v>1379</v>
      </c>
      <c r="B1380" t="s">
        <v>62</v>
      </c>
      <c r="C1380" t="s">
        <v>62</v>
      </c>
      <c r="D1380" t="s">
        <v>87</v>
      </c>
      <c r="F1380" s="1">
        <v>42857</v>
      </c>
      <c r="G1380" s="2">
        <v>80.7</v>
      </c>
      <c r="H1380" s="2"/>
      <c r="I1380" s="2">
        <v>0.26</v>
      </c>
      <c r="J1380" s="2"/>
      <c r="K1380" s="2"/>
      <c r="L1380" s="2">
        <v>811.6</v>
      </c>
      <c r="M1380" s="2">
        <v>811.6</v>
      </c>
      <c r="N1380" s="2">
        <f ca="1">INDEX(INDIRECT(_xlfn.CONCAT("weather.tbl[",N$1,"]")),MATCH(vp.tbl[[#This Row],[SDate]],weather.tbl[Date],0))</f>
        <v>9.3500000000000014</v>
      </c>
      <c r="O1380" s="2">
        <f ca="1">INDEX(INDIRECT(_xlfn.CONCAT("weather.tbl[",O$1,"]")),MATCH(vp.tbl[[#This Row],[SDate]],weather.tbl[Date],0))</f>
        <v>6.7214285714285733</v>
      </c>
      <c r="P1380" s="2">
        <f ca="1">INDEX(INDIRECT(_xlfn.CONCAT("weather.tbl[",P$1,"]")),MATCH(vp.tbl[[#This Row],[SDate]],weather.tbl[Date],0))</f>
        <v>9.5</v>
      </c>
      <c r="Q1380" s="2">
        <f ca="1">INDEX(INDIRECT(_xlfn.CONCAT("weather.tbl[",Q$1,"]")),MATCH(vp.tbl[[#This Row],[SDate]],weather.tbl[Date],0))</f>
        <v>10.5</v>
      </c>
      <c r="R1380" s="2">
        <f ca="1">INDEX(INDIRECT(_xlfn.CONCAT("weather.tbl[",R$1,"]")),MATCH(vp.tbl[[#This Row],[SDate]],weather.tbl[Date],0))</f>
        <v>9.3000000000000007</v>
      </c>
      <c r="S1380" s="2">
        <f ca="1">INDEX(INDIRECT(_xlfn.CONCAT("weather.tbl[",S$1,"]")),MATCH(vp.tbl[[#This Row],[SDate]],weather.tbl[Date],0))</f>
        <v>8.9</v>
      </c>
      <c r="T1380" s="2">
        <f ca="1">INDEX(INDIRECT(_xlfn.CONCAT("weather.tbl[",T$1,"]")),MATCH(vp.tbl[[#This Row],[SDate]],weather.tbl[Date],0))</f>
        <v>9.1</v>
      </c>
      <c r="U1380" s="2">
        <f ca="1">INDEX(INDIRECT(_xlfn.CONCAT("weather.tbl[",U$1,"]")),MATCH(vp.tbl[[#This Row],[SDate]],weather.tbl[Date],0))</f>
        <v>8.8000000000000007</v>
      </c>
      <c r="V1380" s="2">
        <v>3329.3429999999998</v>
      </c>
      <c r="W1380" t="s">
        <v>48</v>
      </c>
      <c r="X1380">
        <f>IF(OR(vp.tbl[[#This Row],[Sulf]]="",vp.tbl[[#This Row],[Dens]]=""),1,0)</f>
        <v>0</v>
      </c>
      <c r="Y1380">
        <f>IF(vp.tbl[[#This Row],[CrudeType]]="C5+",1,0)</f>
        <v>0</v>
      </c>
      <c r="Z1380">
        <f>IF(AND(vp.tbl[[#This Row],[CrudeType]]="Crude",vp.tbl[[#This Row],[Dens]]&lt;=825,vp.tbl[[#This Row],[Sulf]]&gt;0.5,vp.tbl[[#This Row],[Unknown]]=0),1,0)</f>
        <v>0</v>
      </c>
      <c r="AA1380">
        <f>IF(AND(vp.tbl[[#This Row],[CrudeType]]="Crude",vp.tbl[[#This Row],[Dens]]&lt;=825,vp.tbl[[#This Row],[Sulf]]&lt;=0.5,vp.tbl[[#This Row],[Unknown]]=0),1,0)</f>
        <v>1</v>
      </c>
      <c r="AB1380">
        <f>IF(AND(vp.tbl[[#This Row],[CrudeType]]="Crude",vp.tbl[[#This Row],[Dens]]&gt;825,vp.tbl[[#This Row],[Dens]]&lt;=870,vp.tbl[[#This Row],[Sulf]]&gt;0.5,vp.tbl[[#This Row],[Unknown]]=0),1,0)</f>
        <v>0</v>
      </c>
      <c r="AC1380">
        <f>IF(AND(vp.tbl[[#This Row],[CrudeType]]="Crude",vp.tbl[[#This Row],[Dens]]&gt;825,vp.tbl[[#This Row],[Dens]]&lt;=900,vp.tbl[[#This Row],[Sulf]]&lt;=0.5,vp.tbl[[#This Row],[Unknown]]=0),1,0)</f>
        <v>0</v>
      </c>
      <c r="AD1380">
        <f>IF(AND(vp.tbl[[#This Row],[CrudeType]]="Crude",vp.tbl[[#This Row],[Dens]]&gt;870,vp.tbl[[#This Row],[Dens]]&lt;=900,vp.tbl[[#This Row],[Sulf]]&gt;0.5,vp.tbl[[#This Row],[Unknown]]=0),1,0)</f>
        <v>0</v>
      </c>
      <c r="AE1380">
        <f>IF(AND(vp.tbl[[#This Row],[CrudeType]]="Crude",vp.tbl[[#This Row],[Dens]]&gt;900,vp.tbl[[#This Row],[Sulf]]&lt;=0.5,vp.tbl[[#This Row],[Unknown]]=0),1,0)</f>
        <v>0</v>
      </c>
      <c r="AF1380">
        <f>IF(AND(vp.tbl[[#This Row],[CrudeType]]="Crude",vp.tbl[[#This Row],[Dens]]&gt;900,vp.tbl[[#This Row],[Sulf]]&lt;=0.5,vp.tbl[[#This Row],[Unknown]]=0),1,0)</f>
        <v>0</v>
      </c>
      <c r="AG1380" t="str">
        <f>INDEX(vp.tbl[[#Headers],[Unknown]:[Heavy_SW]],MATCH(1,vp.tbl[[#This Row],[Unknown]:[Heavy_SW]],0))</f>
        <v>Light_SW</v>
      </c>
      <c r="AH1380" t="e">
        <f>INDEX([1]!crudeBD.lkup[Number],MATCH(vp.tbl[[#This Row],[Crude_Breakdown]],[1]!crudeBD.lkup[Crude Breakdown],0))</f>
        <v>#REF!</v>
      </c>
      <c r="AI1380">
        <f>MONTH(vp.tbl[[#This Row],[SDate]])</f>
        <v>5</v>
      </c>
      <c r="AJ1380" s="5">
        <f>IFERROR(vp.tbl[[#This Row],[Sulf]]*vp.tbl[[#This Row],[Net Dens]],"")</f>
        <v>702544.64248799998</v>
      </c>
      <c r="AK1380" s="5">
        <f>IFERROR(vp.tbl[[#This Row],[Dens]]*vp.tbl[[#This Row],[VolumeM3]],"")</f>
        <v>2702094.7788</v>
      </c>
      <c r="AL1380" s="5">
        <f>IFERROR(vp.tbl[[#This Row],[VP]]*vp.tbl[[#This Row],[VolumeM3]],"")</f>
        <v>268677.98009999999</v>
      </c>
      <c r="AM1380" s="4">
        <f>IFERROR((vp.tbl[[#This Row],[VP]]-INDEX(crudeBD.lkup.complete[Mean_VP],MATCH(vp.tbl[[#This Row],[Crude_Breakdown]],crudeBD.lkup.complete[Crude Breakdown],0)))^2,"")</f>
        <v>140.42993215408632</v>
      </c>
      <c r="AN1380" s="4">
        <f>IFERROR((vp.tbl[[#This Row],[Dens]]-INDEX(crudeBD.lkup.complete[Mean_Dens],MATCH(vp.tbl[[#This Row],[Crude_Breakdown]],crudeBD.lkup.complete[Crude Breakdown],0)))^2,"")</f>
        <v>10.814243708192773</v>
      </c>
      <c r="AO1380" s="4">
        <f>IFERROR((vp.tbl[[#This Row],[Sulf]]-INDEX(crudeBD.lkup.complete[Mean_Sulf],MATCH(vp.tbl[[#This Row],[Crude_Breakdown]],crudeBD.lkup.complete[Crude Breakdown],0)))^2,"")</f>
        <v>5.644515043280923E-4</v>
      </c>
      <c r="AP1380">
        <f>IF(AND(vp.tbl[[#This Row],[SDate]]&gt;=DATE(YEAR(vp.tbl[[#This Row],[SDate]]),5,1),vp.tbl[[#This Row],[SDate]]&lt;=DATE(YEAR(vp.tbl[[#This Row],[SDate]]),9,15)),1,0)</f>
        <v>1</v>
      </c>
      <c r="AQ1380" s="15">
        <f>IF(vp.tbl[[#This Row],[SDate]]&lt;DATE(2016,12,1),0,1)</f>
        <v>1</v>
      </c>
    </row>
    <row r="1381" spans="1:43" x14ac:dyDescent="0.25">
      <c r="A1381">
        <v>1380</v>
      </c>
      <c r="B1381" t="s">
        <v>62</v>
      </c>
      <c r="C1381" t="s">
        <v>62</v>
      </c>
      <c r="D1381" t="s">
        <v>83</v>
      </c>
      <c r="F1381" s="1">
        <v>42857</v>
      </c>
      <c r="G1381" s="2">
        <v>77.900000000000006</v>
      </c>
      <c r="H1381" s="2"/>
      <c r="I1381" s="2">
        <v>0.19</v>
      </c>
      <c r="J1381" s="2"/>
      <c r="K1381" s="2"/>
      <c r="L1381" s="2">
        <v>809.7</v>
      </c>
      <c r="M1381" s="2">
        <v>809.7</v>
      </c>
      <c r="N1381" s="2">
        <f ca="1">INDEX(INDIRECT(_xlfn.CONCAT("weather.tbl[",N$1,"]")),MATCH(vp.tbl[[#This Row],[SDate]],weather.tbl[Date],0))</f>
        <v>9.3500000000000014</v>
      </c>
      <c r="O1381" s="2">
        <f ca="1">INDEX(INDIRECT(_xlfn.CONCAT("weather.tbl[",O$1,"]")),MATCH(vp.tbl[[#This Row],[SDate]],weather.tbl[Date],0))</f>
        <v>6.7214285714285733</v>
      </c>
      <c r="P1381" s="2">
        <f ca="1">INDEX(INDIRECT(_xlfn.CONCAT("weather.tbl[",P$1,"]")),MATCH(vp.tbl[[#This Row],[SDate]],weather.tbl[Date],0))</f>
        <v>9.5</v>
      </c>
      <c r="Q1381" s="2">
        <f ca="1">INDEX(INDIRECT(_xlfn.CONCAT("weather.tbl[",Q$1,"]")),MATCH(vp.tbl[[#This Row],[SDate]],weather.tbl[Date],0))</f>
        <v>10.5</v>
      </c>
      <c r="R1381" s="2">
        <f ca="1">INDEX(INDIRECT(_xlfn.CONCAT("weather.tbl[",R$1,"]")),MATCH(vp.tbl[[#This Row],[SDate]],weather.tbl[Date],0))</f>
        <v>9.3000000000000007</v>
      </c>
      <c r="S1381" s="2">
        <f ca="1">INDEX(INDIRECT(_xlfn.CONCAT("weather.tbl[",S$1,"]")),MATCH(vp.tbl[[#This Row],[SDate]],weather.tbl[Date],0))</f>
        <v>8.9</v>
      </c>
      <c r="T1381" s="2">
        <f ca="1">INDEX(INDIRECT(_xlfn.CONCAT("weather.tbl[",T$1,"]")),MATCH(vp.tbl[[#This Row],[SDate]],weather.tbl[Date],0))</f>
        <v>9.1</v>
      </c>
      <c r="U1381" s="2">
        <f ca="1">INDEX(INDIRECT(_xlfn.CONCAT("weather.tbl[",U$1,"]")),MATCH(vp.tbl[[#This Row],[SDate]],weather.tbl[Date],0))</f>
        <v>8.8000000000000007</v>
      </c>
      <c r="V1381" s="2">
        <v>8729.3289999999997</v>
      </c>
      <c r="W1381" t="s">
        <v>48</v>
      </c>
      <c r="X1381">
        <f>IF(OR(vp.tbl[[#This Row],[Sulf]]="",vp.tbl[[#This Row],[Dens]]=""),1,0)</f>
        <v>0</v>
      </c>
      <c r="Y1381">
        <f>IF(vp.tbl[[#This Row],[CrudeType]]="C5+",1,0)</f>
        <v>0</v>
      </c>
      <c r="Z1381">
        <f>IF(AND(vp.tbl[[#This Row],[CrudeType]]="Crude",vp.tbl[[#This Row],[Dens]]&lt;=825,vp.tbl[[#This Row],[Sulf]]&gt;0.5,vp.tbl[[#This Row],[Unknown]]=0),1,0)</f>
        <v>0</v>
      </c>
      <c r="AA1381">
        <f>IF(AND(vp.tbl[[#This Row],[CrudeType]]="Crude",vp.tbl[[#This Row],[Dens]]&lt;=825,vp.tbl[[#This Row],[Sulf]]&lt;=0.5,vp.tbl[[#This Row],[Unknown]]=0),1,0)</f>
        <v>1</v>
      </c>
      <c r="AB1381">
        <f>IF(AND(vp.tbl[[#This Row],[CrudeType]]="Crude",vp.tbl[[#This Row],[Dens]]&gt;825,vp.tbl[[#This Row],[Dens]]&lt;=870,vp.tbl[[#This Row],[Sulf]]&gt;0.5,vp.tbl[[#This Row],[Unknown]]=0),1,0)</f>
        <v>0</v>
      </c>
      <c r="AC1381">
        <f>IF(AND(vp.tbl[[#This Row],[CrudeType]]="Crude",vp.tbl[[#This Row],[Dens]]&gt;825,vp.tbl[[#This Row],[Dens]]&lt;=900,vp.tbl[[#This Row],[Sulf]]&lt;=0.5,vp.tbl[[#This Row],[Unknown]]=0),1,0)</f>
        <v>0</v>
      </c>
      <c r="AD1381">
        <f>IF(AND(vp.tbl[[#This Row],[CrudeType]]="Crude",vp.tbl[[#This Row],[Dens]]&gt;870,vp.tbl[[#This Row],[Dens]]&lt;=900,vp.tbl[[#This Row],[Sulf]]&gt;0.5,vp.tbl[[#This Row],[Unknown]]=0),1,0)</f>
        <v>0</v>
      </c>
      <c r="AE1381">
        <f>IF(AND(vp.tbl[[#This Row],[CrudeType]]="Crude",vp.tbl[[#This Row],[Dens]]&gt;900,vp.tbl[[#This Row],[Sulf]]&lt;=0.5,vp.tbl[[#This Row],[Unknown]]=0),1,0)</f>
        <v>0</v>
      </c>
      <c r="AF1381">
        <f>IF(AND(vp.tbl[[#This Row],[CrudeType]]="Crude",vp.tbl[[#This Row],[Dens]]&gt;900,vp.tbl[[#This Row],[Sulf]]&lt;=0.5,vp.tbl[[#This Row],[Unknown]]=0),1,0)</f>
        <v>0</v>
      </c>
      <c r="AG1381" t="str">
        <f>INDEX(vp.tbl[[#Headers],[Unknown]:[Heavy_SW]],MATCH(1,vp.tbl[[#This Row],[Unknown]:[Heavy_SW]],0))</f>
        <v>Light_SW</v>
      </c>
      <c r="AH1381" t="e">
        <f>INDEX([1]!crudeBD.lkup[Number],MATCH(vp.tbl[[#This Row],[Crude_Breakdown]],[1]!crudeBD.lkup[Crude Breakdown],0))</f>
        <v>#REF!</v>
      </c>
      <c r="AI1381">
        <f>MONTH(vp.tbl[[#This Row],[SDate]])</f>
        <v>5</v>
      </c>
      <c r="AJ1381" s="5">
        <f>IFERROR(vp.tbl[[#This Row],[Sulf]]*vp.tbl[[#This Row],[Net Dens]],"")</f>
        <v>1342946.1613469999</v>
      </c>
      <c r="AK1381" s="5">
        <f>IFERROR(vp.tbl[[#This Row],[Dens]]*vp.tbl[[#This Row],[VolumeM3]],"")</f>
        <v>7068137.6913000001</v>
      </c>
      <c r="AL1381" s="5">
        <f>IFERROR(vp.tbl[[#This Row],[VP]]*vp.tbl[[#This Row],[VolumeM3]],"")</f>
        <v>680014.7291</v>
      </c>
      <c r="AM1381" s="4">
        <f>IFERROR((vp.tbl[[#This Row],[VP]]-INDEX(crudeBD.lkup.complete[Mean_VP],MATCH(vp.tbl[[#This Row],[Crude_Breakdown]],crudeBD.lkup.complete[Crude Breakdown],0)))^2,"")</f>
        <v>214.63168825164703</v>
      </c>
      <c r="AN1381" s="4">
        <f>IFERROR((vp.tbl[[#This Row],[Dens]]-INDEX(crudeBD.lkup.complete[Mean_Dens],MATCH(vp.tbl[[#This Row],[Crude_Breakdown]],crudeBD.lkup.complete[Crude Breakdown],0)))^2,"")</f>
        <v>1.9279370879828619</v>
      </c>
      <c r="AO1381" s="4">
        <f>IFERROR((vp.tbl[[#This Row],[Sulf]]-INDEX(crudeBD.lkup.complete[Mean_Sulf],MATCH(vp.tbl[[#This Row],[Crude_Breakdown]],crudeBD.lkup.complete[Crude Breakdown],0)))^2,"")</f>
        <v>2.1383051628646554E-3</v>
      </c>
      <c r="AP1381">
        <f>IF(AND(vp.tbl[[#This Row],[SDate]]&gt;=DATE(YEAR(vp.tbl[[#This Row],[SDate]]),5,1),vp.tbl[[#This Row],[SDate]]&lt;=DATE(YEAR(vp.tbl[[#This Row],[SDate]]),9,15)),1,0)</f>
        <v>1</v>
      </c>
      <c r="AQ1381" s="15">
        <f>IF(vp.tbl[[#This Row],[SDate]]&lt;DATE(2016,12,1),0,1)</f>
        <v>1</v>
      </c>
    </row>
    <row r="1382" spans="1:43" x14ac:dyDescent="0.25">
      <c r="A1382">
        <v>1381</v>
      </c>
      <c r="B1382" t="s">
        <v>68</v>
      </c>
      <c r="C1382" t="s">
        <v>68</v>
      </c>
      <c r="D1382" t="s">
        <v>110</v>
      </c>
      <c r="F1382" s="1">
        <v>42857</v>
      </c>
      <c r="G1382" s="2">
        <v>64.8</v>
      </c>
      <c r="H1382" s="2"/>
      <c r="I1382" s="2">
        <v>1.45</v>
      </c>
      <c r="J1382" s="2"/>
      <c r="K1382" s="2"/>
      <c r="L1382" s="2">
        <v>854</v>
      </c>
      <c r="M1382" s="2">
        <v>854</v>
      </c>
      <c r="N1382" s="2">
        <f ca="1">INDEX(INDIRECT(_xlfn.CONCAT("weather.tbl[",N$1,"]")),MATCH(vp.tbl[[#This Row],[SDate]],weather.tbl[Date],0))</f>
        <v>9.3500000000000014</v>
      </c>
      <c r="O1382" s="2">
        <f ca="1">INDEX(INDIRECT(_xlfn.CONCAT("weather.tbl[",O$1,"]")),MATCH(vp.tbl[[#This Row],[SDate]],weather.tbl[Date],0))</f>
        <v>6.7214285714285733</v>
      </c>
      <c r="P1382" s="2">
        <f ca="1">INDEX(INDIRECT(_xlfn.CONCAT("weather.tbl[",P$1,"]")),MATCH(vp.tbl[[#This Row],[SDate]],weather.tbl[Date],0))</f>
        <v>9.5</v>
      </c>
      <c r="Q1382" s="2">
        <f ca="1">INDEX(INDIRECT(_xlfn.CONCAT("weather.tbl[",Q$1,"]")),MATCH(vp.tbl[[#This Row],[SDate]],weather.tbl[Date],0))</f>
        <v>10.5</v>
      </c>
      <c r="R1382" s="2">
        <f ca="1">INDEX(INDIRECT(_xlfn.CONCAT("weather.tbl[",R$1,"]")),MATCH(vp.tbl[[#This Row],[SDate]],weather.tbl[Date],0))</f>
        <v>9.3000000000000007</v>
      </c>
      <c r="S1382" s="2">
        <f ca="1">INDEX(INDIRECT(_xlfn.CONCAT("weather.tbl[",S$1,"]")),MATCH(vp.tbl[[#This Row],[SDate]],weather.tbl[Date],0))</f>
        <v>8.9</v>
      </c>
      <c r="T1382" s="2">
        <f ca="1">INDEX(INDIRECT(_xlfn.CONCAT("weather.tbl[",T$1,"]")),MATCH(vp.tbl[[#This Row],[SDate]],weather.tbl[Date],0))</f>
        <v>9.1</v>
      </c>
      <c r="U1382" s="2">
        <f ca="1">INDEX(INDIRECT(_xlfn.CONCAT("weather.tbl[",U$1,"]")),MATCH(vp.tbl[[#This Row],[SDate]],weather.tbl[Date],0))</f>
        <v>8.8000000000000007</v>
      </c>
      <c r="V1382" s="2">
        <v>3812.1930000000002</v>
      </c>
      <c r="W1382" t="s">
        <v>48</v>
      </c>
      <c r="X1382">
        <f>IF(OR(vp.tbl[[#This Row],[Sulf]]="",vp.tbl[[#This Row],[Dens]]=""),1,0)</f>
        <v>0</v>
      </c>
      <c r="Y1382">
        <f>IF(vp.tbl[[#This Row],[CrudeType]]="C5+",1,0)</f>
        <v>0</v>
      </c>
      <c r="Z1382">
        <f>IF(AND(vp.tbl[[#This Row],[CrudeType]]="Crude",vp.tbl[[#This Row],[Dens]]&lt;=825,vp.tbl[[#This Row],[Sulf]]&gt;0.5,vp.tbl[[#This Row],[Unknown]]=0),1,0)</f>
        <v>0</v>
      </c>
      <c r="AA1382">
        <f>IF(AND(vp.tbl[[#This Row],[CrudeType]]="Crude",vp.tbl[[#This Row],[Dens]]&lt;=825,vp.tbl[[#This Row],[Sulf]]&lt;=0.5,vp.tbl[[#This Row],[Unknown]]=0),1,0)</f>
        <v>0</v>
      </c>
      <c r="AB1382">
        <f>IF(AND(vp.tbl[[#This Row],[CrudeType]]="Crude",vp.tbl[[#This Row],[Dens]]&gt;825,vp.tbl[[#This Row],[Dens]]&lt;=870,vp.tbl[[#This Row],[Sulf]]&gt;0.5,vp.tbl[[#This Row],[Unknown]]=0),1,0)</f>
        <v>1</v>
      </c>
      <c r="AC1382">
        <f>IF(AND(vp.tbl[[#This Row],[CrudeType]]="Crude",vp.tbl[[#This Row],[Dens]]&gt;825,vp.tbl[[#This Row],[Dens]]&lt;=900,vp.tbl[[#This Row],[Sulf]]&lt;=0.5,vp.tbl[[#This Row],[Unknown]]=0),1,0)</f>
        <v>0</v>
      </c>
      <c r="AD1382">
        <f>IF(AND(vp.tbl[[#This Row],[CrudeType]]="Crude",vp.tbl[[#This Row],[Dens]]&gt;870,vp.tbl[[#This Row],[Dens]]&lt;=900,vp.tbl[[#This Row],[Sulf]]&gt;0.5,vp.tbl[[#This Row],[Unknown]]=0),1,0)</f>
        <v>0</v>
      </c>
      <c r="AE1382">
        <f>IF(AND(vp.tbl[[#This Row],[CrudeType]]="Crude",vp.tbl[[#This Row],[Dens]]&gt;900,vp.tbl[[#This Row],[Sulf]]&lt;=0.5,vp.tbl[[#This Row],[Unknown]]=0),1,0)</f>
        <v>0</v>
      </c>
      <c r="AF1382">
        <f>IF(AND(vp.tbl[[#This Row],[CrudeType]]="Crude",vp.tbl[[#This Row],[Dens]]&gt;900,vp.tbl[[#This Row],[Sulf]]&lt;=0.5,vp.tbl[[#This Row],[Unknown]]=0),1,0)</f>
        <v>0</v>
      </c>
      <c r="AG1382" t="str">
        <f>INDEX(vp.tbl[[#Headers],[Unknown]:[Heavy_SW]],MATCH(1,vp.tbl[[#This Row],[Unknown]:[Heavy_SW]],0))</f>
        <v>Medium_LSB</v>
      </c>
      <c r="AH1382" t="e">
        <f>INDEX([1]!crudeBD.lkup[Number],MATCH(vp.tbl[[#This Row],[Crude_Breakdown]],[1]!crudeBD.lkup[Crude Breakdown],0))</f>
        <v>#REF!</v>
      </c>
      <c r="AI1382">
        <f>MONTH(vp.tbl[[#This Row],[SDate]])</f>
        <v>5</v>
      </c>
      <c r="AJ1382" s="5">
        <f>IFERROR(vp.tbl[[#This Row],[Sulf]]*vp.tbl[[#This Row],[Net Dens]],"")</f>
        <v>4720638.5919000003</v>
      </c>
      <c r="AK1382" s="5">
        <f>IFERROR(vp.tbl[[#This Row],[Dens]]*vp.tbl[[#This Row],[VolumeM3]],"")</f>
        <v>3255612.8220000002</v>
      </c>
      <c r="AL1382" s="5">
        <f>IFERROR(vp.tbl[[#This Row],[VP]]*vp.tbl[[#This Row],[VolumeM3]],"")</f>
        <v>247030.10639999999</v>
      </c>
      <c r="AM1382" s="4">
        <f>IFERROR((vp.tbl[[#This Row],[VP]]-INDEX(crudeBD.lkup.complete[Mean_VP],MATCH(vp.tbl[[#This Row],[Crude_Breakdown]],crudeBD.lkup.complete[Crude Breakdown],0)))^2,"")</f>
        <v>236.34742127799927</v>
      </c>
      <c r="AN1382" s="4">
        <f>IFERROR((vp.tbl[[#This Row],[Dens]]-INDEX(crudeBD.lkup.complete[Mean_Dens],MATCH(vp.tbl[[#This Row],[Crude_Breakdown]],crudeBD.lkup.complete[Crude Breakdown],0)))^2,"")</f>
        <v>75.832350411169202</v>
      </c>
      <c r="AO1382" s="4">
        <f>IFERROR((vp.tbl[[#This Row],[Sulf]]-INDEX(crudeBD.lkup.complete[Mean_Sulf],MATCH(vp.tbl[[#This Row],[Crude_Breakdown]],crudeBD.lkup.complete[Crude Breakdown],0)))^2,"")</f>
        <v>2.4303527108010561E-5</v>
      </c>
      <c r="AP1382">
        <f>IF(AND(vp.tbl[[#This Row],[SDate]]&gt;=DATE(YEAR(vp.tbl[[#This Row],[SDate]]),5,1),vp.tbl[[#This Row],[SDate]]&lt;=DATE(YEAR(vp.tbl[[#This Row],[SDate]]),9,15)),1,0)</f>
        <v>1</v>
      </c>
      <c r="AQ1382" s="15">
        <f>IF(vp.tbl[[#This Row],[SDate]]&lt;DATE(2016,12,1),0,1)</f>
        <v>1</v>
      </c>
    </row>
    <row r="1383" spans="1:43" x14ac:dyDescent="0.25">
      <c r="A1383">
        <v>1382</v>
      </c>
      <c r="B1383" t="s">
        <v>68</v>
      </c>
      <c r="C1383" t="s">
        <v>68</v>
      </c>
      <c r="D1383" t="s">
        <v>98</v>
      </c>
      <c r="F1383" s="1">
        <v>42857</v>
      </c>
      <c r="G1383" s="2">
        <v>59.5</v>
      </c>
      <c r="H1383" s="2"/>
      <c r="I1383" s="2">
        <v>1.32</v>
      </c>
      <c r="J1383" s="2"/>
      <c r="K1383" s="2"/>
      <c r="L1383" s="2">
        <v>850</v>
      </c>
      <c r="M1383" s="2">
        <v>850</v>
      </c>
      <c r="N1383" s="2">
        <f ca="1">INDEX(INDIRECT(_xlfn.CONCAT("weather.tbl[",N$1,"]")),MATCH(vp.tbl[[#This Row],[SDate]],weather.tbl[Date],0))</f>
        <v>9.3500000000000014</v>
      </c>
      <c r="O1383" s="2">
        <f ca="1">INDEX(INDIRECT(_xlfn.CONCAT("weather.tbl[",O$1,"]")),MATCH(vp.tbl[[#This Row],[SDate]],weather.tbl[Date],0))</f>
        <v>6.7214285714285733</v>
      </c>
      <c r="P1383" s="2">
        <f ca="1">INDEX(INDIRECT(_xlfn.CONCAT("weather.tbl[",P$1,"]")),MATCH(vp.tbl[[#This Row],[SDate]],weather.tbl[Date],0))</f>
        <v>9.5</v>
      </c>
      <c r="Q1383" s="2">
        <f ca="1">INDEX(INDIRECT(_xlfn.CONCAT("weather.tbl[",Q$1,"]")),MATCH(vp.tbl[[#This Row],[SDate]],weather.tbl[Date],0))</f>
        <v>10.5</v>
      </c>
      <c r="R1383" s="2">
        <f ca="1">INDEX(INDIRECT(_xlfn.CONCAT("weather.tbl[",R$1,"]")),MATCH(vp.tbl[[#This Row],[SDate]],weather.tbl[Date],0))</f>
        <v>9.3000000000000007</v>
      </c>
      <c r="S1383" s="2">
        <f ca="1">INDEX(INDIRECT(_xlfn.CONCAT("weather.tbl[",S$1,"]")),MATCH(vp.tbl[[#This Row],[SDate]],weather.tbl[Date],0))</f>
        <v>8.9</v>
      </c>
      <c r="T1383" s="2">
        <f ca="1">INDEX(INDIRECT(_xlfn.CONCAT("weather.tbl[",T$1,"]")),MATCH(vp.tbl[[#This Row],[SDate]],weather.tbl[Date],0))</f>
        <v>9.1</v>
      </c>
      <c r="U1383" s="2">
        <f ca="1">INDEX(INDIRECT(_xlfn.CONCAT("weather.tbl[",U$1,"]")),MATCH(vp.tbl[[#This Row],[SDate]],weather.tbl[Date],0))</f>
        <v>8.8000000000000007</v>
      </c>
      <c r="V1383" s="2">
        <v>4675.3909999999996</v>
      </c>
      <c r="W1383" t="s">
        <v>48</v>
      </c>
      <c r="X1383">
        <f>IF(OR(vp.tbl[[#This Row],[Sulf]]="",vp.tbl[[#This Row],[Dens]]=""),1,0)</f>
        <v>0</v>
      </c>
      <c r="Y1383">
        <f>IF(vp.tbl[[#This Row],[CrudeType]]="C5+",1,0)</f>
        <v>0</v>
      </c>
      <c r="Z1383">
        <f>IF(AND(vp.tbl[[#This Row],[CrudeType]]="Crude",vp.tbl[[#This Row],[Dens]]&lt;=825,vp.tbl[[#This Row],[Sulf]]&gt;0.5,vp.tbl[[#This Row],[Unknown]]=0),1,0)</f>
        <v>0</v>
      </c>
      <c r="AA1383">
        <f>IF(AND(vp.tbl[[#This Row],[CrudeType]]="Crude",vp.tbl[[#This Row],[Dens]]&lt;=825,vp.tbl[[#This Row],[Sulf]]&lt;=0.5,vp.tbl[[#This Row],[Unknown]]=0),1,0)</f>
        <v>0</v>
      </c>
      <c r="AB1383">
        <f>IF(AND(vp.tbl[[#This Row],[CrudeType]]="Crude",vp.tbl[[#This Row],[Dens]]&gt;825,vp.tbl[[#This Row],[Dens]]&lt;=870,vp.tbl[[#This Row],[Sulf]]&gt;0.5,vp.tbl[[#This Row],[Unknown]]=0),1,0)</f>
        <v>1</v>
      </c>
      <c r="AC1383">
        <f>IF(AND(vp.tbl[[#This Row],[CrudeType]]="Crude",vp.tbl[[#This Row],[Dens]]&gt;825,vp.tbl[[#This Row],[Dens]]&lt;=900,vp.tbl[[#This Row],[Sulf]]&lt;=0.5,vp.tbl[[#This Row],[Unknown]]=0),1,0)</f>
        <v>0</v>
      </c>
      <c r="AD1383">
        <f>IF(AND(vp.tbl[[#This Row],[CrudeType]]="Crude",vp.tbl[[#This Row],[Dens]]&gt;870,vp.tbl[[#This Row],[Dens]]&lt;=900,vp.tbl[[#This Row],[Sulf]]&gt;0.5,vp.tbl[[#This Row],[Unknown]]=0),1,0)</f>
        <v>0</v>
      </c>
      <c r="AE1383">
        <f>IF(AND(vp.tbl[[#This Row],[CrudeType]]="Crude",vp.tbl[[#This Row],[Dens]]&gt;900,vp.tbl[[#This Row],[Sulf]]&lt;=0.5,vp.tbl[[#This Row],[Unknown]]=0),1,0)</f>
        <v>0</v>
      </c>
      <c r="AF1383">
        <f>IF(AND(vp.tbl[[#This Row],[CrudeType]]="Crude",vp.tbl[[#This Row],[Dens]]&gt;900,vp.tbl[[#This Row],[Sulf]]&lt;=0.5,vp.tbl[[#This Row],[Unknown]]=0),1,0)</f>
        <v>0</v>
      </c>
      <c r="AG1383" t="str">
        <f>INDEX(vp.tbl[[#Headers],[Unknown]:[Heavy_SW]],MATCH(1,vp.tbl[[#This Row],[Unknown]:[Heavy_SW]],0))</f>
        <v>Medium_LSB</v>
      </c>
      <c r="AH1383" t="e">
        <f>INDEX([1]!crudeBD.lkup[Number],MATCH(vp.tbl[[#This Row],[Crude_Breakdown]],[1]!crudeBD.lkup[Crude Breakdown],0))</f>
        <v>#REF!</v>
      </c>
      <c r="AI1383">
        <f>MONTH(vp.tbl[[#This Row],[SDate]])</f>
        <v>5</v>
      </c>
      <c r="AJ1383" s="5">
        <f>IFERROR(vp.tbl[[#This Row],[Sulf]]*vp.tbl[[#This Row],[Net Dens]],"")</f>
        <v>5245788.7019999996</v>
      </c>
      <c r="AK1383" s="5">
        <f>IFERROR(vp.tbl[[#This Row],[Dens]]*vp.tbl[[#This Row],[VolumeM3]],"")</f>
        <v>3974082.3499999996</v>
      </c>
      <c r="AL1383" s="5">
        <f>IFERROR(vp.tbl[[#This Row],[VP]]*vp.tbl[[#This Row],[VolumeM3]],"")</f>
        <v>278185.76449999999</v>
      </c>
      <c r="AM1383" s="4">
        <f>IFERROR((vp.tbl[[#This Row],[VP]]-INDEX(crudeBD.lkup.complete[Mean_VP],MATCH(vp.tbl[[#This Row],[Crude_Breakdown]],crudeBD.lkup.complete[Crude Breakdown],0)))^2,"")</f>
        <v>427.39752760711269</v>
      </c>
      <c r="AN1383" s="4">
        <f>IFERROR((vp.tbl[[#This Row],[Dens]]-INDEX(crudeBD.lkup.complete[Mean_Dens],MATCH(vp.tbl[[#This Row],[Crude_Breakdown]],crudeBD.lkup.complete[Crude Breakdown],0)))^2,"")</f>
        <v>22.166932689642344</v>
      </c>
      <c r="AO1383" s="4">
        <f>IFERROR((vp.tbl[[#This Row],[Sulf]]-INDEX(crudeBD.lkup.complete[Mean_Sulf],MATCH(vp.tbl[[#This Row],[Crude_Breakdown]],crudeBD.lkup.complete[Crude Breakdown],0)))^2,"")</f>
        <v>1.8206067324576733E-2</v>
      </c>
      <c r="AP1383">
        <f>IF(AND(vp.tbl[[#This Row],[SDate]]&gt;=DATE(YEAR(vp.tbl[[#This Row],[SDate]]),5,1),vp.tbl[[#This Row],[SDate]]&lt;=DATE(YEAR(vp.tbl[[#This Row],[SDate]]),9,15)),1,0)</f>
        <v>1</v>
      </c>
      <c r="AQ1383" s="15">
        <f>IF(vp.tbl[[#This Row],[SDate]]&lt;DATE(2016,12,1),0,1)</f>
        <v>1</v>
      </c>
    </row>
    <row r="1384" spans="1:43" x14ac:dyDescent="0.25">
      <c r="A1384">
        <v>1383</v>
      </c>
      <c r="B1384" t="s">
        <v>49</v>
      </c>
      <c r="C1384" t="s">
        <v>49</v>
      </c>
      <c r="D1384" t="s">
        <v>89</v>
      </c>
      <c r="F1384" s="1">
        <v>42857</v>
      </c>
      <c r="G1384" s="2">
        <v>87.6</v>
      </c>
      <c r="H1384" s="2"/>
      <c r="I1384" s="2">
        <v>0.68</v>
      </c>
      <c r="J1384" s="2"/>
      <c r="K1384" s="2"/>
      <c r="L1384" s="2">
        <v>818.3</v>
      </c>
      <c r="M1384" s="2">
        <v>818.3</v>
      </c>
      <c r="N1384" s="2">
        <f ca="1">INDEX(INDIRECT(_xlfn.CONCAT("weather.tbl[",N$1,"]")),MATCH(vp.tbl[[#This Row],[SDate]],weather.tbl[Date],0))</f>
        <v>9.3500000000000014</v>
      </c>
      <c r="O1384" s="2">
        <f ca="1">INDEX(INDIRECT(_xlfn.CONCAT("weather.tbl[",O$1,"]")),MATCH(vp.tbl[[#This Row],[SDate]],weather.tbl[Date],0))</f>
        <v>6.7214285714285733</v>
      </c>
      <c r="P1384" s="2">
        <f ca="1">INDEX(INDIRECT(_xlfn.CONCAT("weather.tbl[",P$1,"]")),MATCH(vp.tbl[[#This Row],[SDate]],weather.tbl[Date],0))</f>
        <v>9.5</v>
      </c>
      <c r="Q1384" s="2">
        <f ca="1">INDEX(INDIRECT(_xlfn.CONCAT("weather.tbl[",Q$1,"]")),MATCH(vp.tbl[[#This Row],[SDate]],weather.tbl[Date],0))</f>
        <v>10.5</v>
      </c>
      <c r="R1384" s="2">
        <f ca="1">INDEX(INDIRECT(_xlfn.CONCAT("weather.tbl[",R$1,"]")),MATCH(vp.tbl[[#This Row],[SDate]],weather.tbl[Date],0))</f>
        <v>9.3000000000000007</v>
      </c>
      <c r="S1384" s="2">
        <f ca="1">INDEX(INDIRECT(_xlfn.CONCAT("weather.tbl[",S$1,"]")),MATCH(vp.tbl[[#This Row],[SDate]],weather.tbl[Date],0))</f>
        <v>8.9</v>
      </c>
      <c r="T1384" s="2">
        <f ca="1">INDEX(INDIRECT(_xlfn.CONCAT("weather.tbl[",T$1,"]")),MATCH(vp.tbl[[#This Row],[SDate]],weather.tbl[Date],0))</f>
        <v>9.1</v>
      </c>
      <c r="U1384" s="2">
        <f ca="1">INDEX(INDIRECT(_xlfn.CONCAT("weather.tbl[",U$1,"]")),MATCH(vp.tbl[[#This Row],[SDate]],weather.tbl[Date],0))</f>
        <v>8.8000000000000007</v>
      </c>
      <c r="V1384" s="2">
        <v>6839.1149999999998</v>
      </c>
      <c r="W1384" t="s">
        <v>48</v>
      </c>
      <c r="X1384">
        <f>IF(OR(vp.tbl[[#This Row],[Sulf]]="",vp.tbl[[#This Row],[Dens]]=""),1,0)</f>
        <v>0</v>
      </c>
      <c r="Y1384">
        <f>IF(vp.tbl[[#This Row],[CrudeType]]="C5+",1,0)</f>
        <v>0</v>
      </c>
      <c r="Z1384">
        <f>IF(AND(vp.tbl[[#This Row],[CrudeType]]="Crude",vp.tbl[[#This Row],[Dens]]&lt;=825,vp.tbl[[#This Row],[Sulf]]&gt;0.5,vp.tbl[[#This Row],[Unknown]]=0),1,0)</f>
        <v>1</v>
      </c>
      <c r="AA1384">
        <f>IF(AND(vp.tbl[[#This Row],[CrudeType]]="Crude",vp.tbl[[#This Row],[Dens]]&lt;=825,vp.tbl[[#This Row],[Sulf]]&lt;=0.5,vp.tbl[[#This Row],[Unknown]]=0),1,0)</f>
        <v>0</v>
      </c>
      <c r="AB1384">
        <f>IF(AND(vp.tbl[[#This Row],[CrudeType]]="Crude",vp.tbl[[#This Row],[Dens]]&gt;825,vp.tbl[[#This Row],[Dens]]&lt;=870,vp.tbl[[#This Row],[Sulf]]&gt;0.5,vp.tbl[[#This Row],[Unknown]]=0),1,0)</f>
        <v>0</v>
      </c>
      <c r="AC1384">
        <f>IF(AND(vp.tbl[[#This Row],[CrudeType]]="Crude",vp.tbl[[#This Row],[Dens]]&gt;825,vp.tbl[[#This Row],[Dens]]&lt;=900,vp.tbl[[#This Row],[Sulf]]&lt;=0.5,vp.tbl[[#This Row],[Unknown]]=0),1,0)</f>
        <v>0</v>
      </c>
      <c r="AD1384">
        <f>IF(AND(vp.tbl[[#This Row],[CrudeType]]="Crude",vp.tbl[[#This Row],[Dens]]&gt;870,vp.tbl[[#This Row],[Dens]]&lt;=900,vp.tbl[[#This Row],[Sulf]]&gt;0.5,vp.tbl[[#This Row],[Unknown]]=0),1,0)</f>
        <v>0</v>
      </c>
      <c r="AE1384">
        <f>IF(AND(vp.tbl[[#This Row],[CrudeType]]="Crude",vp.tbl[[#This Row],[Dens]]&gt;900,vp.tbl[[#This Row],[Sulf]]&lt;=0.5,vp.tbl[[#This Row],[Unknown]]=0),1,0)</f>
        <v>0</v>
      </c>
      <c r="AF1384">
        <f>IF(AND(vp.tbl[[#This Row],[CrudeType]]="Crude",vp.tbl[[#This Row],[Dens]]&gt;900,vp.tbl[[#This Row],[Sulf]]&lt;=0.5,vp.tbl[[#This Row],[Unknown]]=0),1,0)</f>
        <v>0</v>
      </c>
      <c r="AG1384" t="str">
        <f>INDEX(vp.tbl[[#Headers],[Unknown]:[Heavy_SW]],MATCH(1,vp.tbl[[#This Row],[Unknown]:[Heavy_SW]],0))</f>
        <v>Light_LSB</v>
      </c>
      <c r="AH1384" t="e">
        <f>INDEX([1]!crudeBD.lkup[Number],MATCH(vp.tbl[[#This Row],[Crude_Breakdown]],[1]!crudeBD.lkup[Crude Breakdown],0))</f>
        <v>#REF!</v>
      </c>
      <c r="AI1384">
        <f>MONTH(vp.tbl[[#This Row],[SDate]])</f>
        <v>5</v>
      </c>
      <c r="AJ1384" s="5">
        <f>IFERROR(vp.tbl[[#This Row],[Sulf]]*vp.tbl[[#This Row],[Net Dens]],"")</f>
        <v>3805584.5070600002</v>
      </c>
      <c r="AK1384" s="5">
        <f>IFERROR(vp.tbl[[#This Row],[Dens]]*vp.tbl[[#This Row],[VolumeM3]],"")</f>
        <v>5596447.8044999996</v>
      </c>
      <c r="AL1384" s="5">
        <f>IFERROR(vp.tbl[[#This Row],[VP]]*vp.tbl[[#This Row],[VolumeM3]],"")</f>
        <v>599106.47399999993</v>
      </c>
      <c r="AM1384" s="4">
        <f>IFERROR((vp.tbl[[#This Row],[VP]]-INDEX(crudeBD.lkup.complete[Mean_VP],MATCH(vp.tbl[[#This Row],[Crude_Breakdown]],crudeBD.lkup.complete[Crude Breakdown],0)))^2,"")</f>
        <v>15.572380529280766</v>
      </c>
      <c r="AN1384" s="4">
        <f>IFERROR((vp.tbl[[#This Row],[Dens]]-INDEX(crudeBD.lkup.complete[Mean_Dens],MATCH(vp.tbl[[#This Row],[Crude_Breakdown]],crudeBD.lkup.complete[Crude Breakdown],0)))^2,"")</f>
        <v>4.698912861196889E-2</v>
      </c>
      <c r="AO1384" s="4">
        <f>IFERROR((vp.tbl[[#This Row],[Sulf]]-INDEX(crudeBD.lkup.complete[Mean_Sulf],MATCH(vp.tbl[[#This Row],[Crude_Breakdown]],crudeBD.lkup.complete[Crude Breakdown],0)))^2,"")</f>
        <v>5.9034988666313432E-2</v>
      </c>
      <c r="AP1384">
        <f>IF(AND(vp.tbl[[#This Row],[SDate]]&gt;=DATE(YEAR(vp.tbl[[#This Row],[SDate]]),5,1),vp.tbl[[#This Row],[SDate]]&lt;=DATE(YEAR(vp.tbl[[#This Row],[SDate]]),9,15)),1,0)</f>
        <v>1</v>
      </c>
      <c r="AQ1384" s="15">
        <f>IF(vp.tbl[[#This Row],[SDate]]&lt;DATE(2016,12,1),0,1)</f>
        <v>1</v>
      </c>
    </row>
    <row r="1385" spans="1:43" x14ac:dyDescent="0.25">
      <c r="A1385">
        <v>1384</v>
      </c>
      <c r="B1385" t="s">
        <v>51</v>
      </c>
      <c r="C1385" t="s">
        <v>51</v>
      </c>
      <c r="D1385" t="s">
        <v>52</v>
      </c>
      <c r="F1385" s="1">
        <v>42858</v>
      </c>
      <c r="G1385" s="2">
        <v>72.7</v>
      </c>
      <c r="H1385" s="2"/>
      <c r="I1385" s="2">
        <v>2.4</v>
      </c>
      <c r="J1385" s="2"/>
      <c r="K1385" s="2"/>
      <c r="L1385" s="2">
        <v>870.9</v>
      </c>
      <c r="M1385" s="2">
        <v>870.9</v>
      </c>
      <c r="N1385" s="2">
        <f ca="1">INDEX(INDIRECT(_xlfn.CONCAT("weather.tbl[",N$1,"]")),MATCH(vp.tbl[[#This Row],[SDate]],weather.tbl[Date],0))</f>
        <v>9.5333333333333332</v>
      </c>
      <c r="O1385" s="2">
        <f ca="1">INDEX(INDIRECT(_xlfn.CONCAT("weather.tbl[",O$1,"]")),MATCH(vp.tbl[[#This Row],[SDate]],weather.tbl[Date],0))</f>
        <v>7.8952380952380965</v>
      </c>
      <c r="P1385" s="2">
        <f ca="1">INDEX(INDIRECT(_xlfn.CONCAT("weather.tbl[",P$1,"]")),MATCH(vp.tbl[[#This Row],[SDate]],weather.tbl[Date],0))</f>
        <v>9.5</v>
      </c>
      <c r="Q1385" s="2">
        <f ca="1">INDEX(INDIRECT(_xlfn.CONCAT("weather.tbl[",Q$1,"]")),MATCH(vp.tbl[[#This Row],[SDate]],weather.tbl[Date],0))</f>
        <v>9</v>
      </c>
      <c r="R1385" s="2">
        <f ca="1">INDEX(INDIRECT(_xlfn.CONCAT("weather.tbl[",R$1,"]")),MATCH(vp.tbl[[#This Row],[SDate]],weather.tbl[Date],0))</f>
        <v>10</v>
      </c>
      <c r="S1385" s="2">
        <f ca="1">INDEX(INDIRECT(_xlfn.CONCAT("weather.tbl[",S$1,"]")),MATCH(vp.tbl[[#This Row],[SDate]],weather.tbl[Date],0))</f>
        <v>9.4</v>
      </c>
      <c r="T1385" s="2">
        <f ca="1">INDEX(INDIRECT(_xlfn.CONCAT("weather.tbl[",T$1,"]")),MATCH(vp.tbl[[#This Row],[SDate]],weather.tbl[Date],0))</f>
        <v>10</v>
      </c>
      <c r="U1385" s="2">
        <f ca="1">INDEX(INDIRECT(_xlfn.CONCAT("weather.tbl[",U$1,"]")),MATCH(vp.tbl[[#This Row],[SDate]],weather.tbl[Date],0))</f>
        <v>9.3000000000000007</v>
      </c>
      <c r="V1385" s="2">
        <v>7049.7860000000001</v>
      </c>
      <c r="W1385" t="s">
        <v>48</v>
      </c>
      <c r="X1385">
        <f>IF(OR(vp.tbl[[#This Row],[Sulf]]="",vp.tbl[[#This Row],[Dens]]=""),1,0)</f>
        <v>0</v>
      </c>
      <c r="Y1385">
        <f>IF(vp.tbl[[#This Row],[CrudeType]]="C5+",1,0)</f>
        <v>0</v>
      </c>
      <c r="Z1385">
        <f>IF(AND(vp.tbl[[#This Row],[CrudeType]]="Crude",vp.tbl[[#This Row],[Dens]]&lt;=825,vp.tbl[[#This Row],[Sulf]]&gt;0.5,vp.tbl[[#This Row],[Unknown]]=0),1,0)</f>
        <v>0</v>
      </c>
      <c r="AA1385">
        <f>IF(AND(vp.tbl[[#This Row],[CrudeType]]="Crude",vp.tbl[[#This Row],[Dens]]&lt;=825,vp.tbl[[#This Row],[Sulf]]&lt;=0.5,vp.tbl[[#This Row],[Unknown]]=0),1,0)</f>
        <v>0</v>
      </c>
      <c r="AB1385">
        <f>IF(AND(vp.tbl[[#This Row],[CrudeType]]="Crude",vp.tbl[[#This Row],[Dens]]&gt;825,vp.tbl[[#This Row],[Dens]]&lt;=870,vp.tbl[[#This Row],[Sulf]]&gt;0.5,vp.tbl[[#This Row],[Unknown]]=0),1,0)</f>
        <v>0</v>
      </c>
      <c r="AC1385">
        <f>IF(AND(vp.tbl[[#This Row],[CrudeType]]="Crude",vp.tbl[[#This Row],[Dens]]&gt;825,vp.tbl[[#This Row],[Dens]]&lt;=900,vp.tbl[[#This Row],[Sulf]]&lt;=0.5,vp.tbl[[#This Row],[Unknown]]=0),1,0)</f>
        <v>0</v>
      </c>
      <c r="AD1385">
        <f>IF(AND(vp.tbl[[#This Row],[CrudeType]]="Crude",vp.tbl[[#This Row],[Dens]]&gt;870,vp.tbl[[#This Row],[Dens]]&lt;=900,vp.tbl[[#This Row],[Sulf]]&gt;0.5,vp.tbl[[#This Row],[Unknown]]=0),1,0)</f>
        <v>1</v>
      </c>
      <c r="AE1385">
        <f>IF(AND(vp.tbl[[#This Row],[CrudeType]]="Crude",vp.tbl[[#This Row],[Dens]]&gt;900,vp.tbl[[#This Row],[Sulf]]&lt;=0.5,vp.tbl[[#This Row],[Unknown]]=0),1,0)</f>
        <v>0</v>
      </c>
      <c r="AF1385">
        <f>IF(AND(vp.tbl[[#This Row],[CrudeType]]="Crude",vp.tbl[[#This Row],[Dens]]&gt;900,vp.tbl[[#This Row],[Sulf]]&lt;=0.5,vp.tbl[[#This Row],[Unknown]]=0),1,0)</f>
        <v>0</v>
      </c>
      <c r="AG1385" t="str">
        <f>INDEX(vp.tbl[[#Headers],[Unknown]:[Heavy_SW]],MATCH(1,vp.tbl[[#This Row],[Unknown]:[Heavy_SW]],0))</f>
        <v>Midale</v>
      </c>
      <c r="AH1385" t="e">
        <f>INDEX([1]!crudeBD.lkup[Number],MATCH(vp.tbl[[#This Row],[Crude_Breakdown]],[1]!crudeBD.lkup[Crude Breakdown],0))</f>
        <v>#REF!</v>
      </c>
      <c r="AI1385">
        <f>MONTH(vp.tbl[[#This Row],[SDate]])</f>
        <v>5</v>
      </c>
      <c r="AJ1385" s="5">
        <f>IFERROR(vp.tbl[[#This Row],[Sulf]]*vp.tbl[[#This Row],[Net Dens]],"")</f>
        <v>14735180.705759998</v>
      </c>
      <c r="AK1385" s="5">
        <f>IFERROR(vp.tbl[[#This Row],[Dens]]*vp.tbl[[#This Row],[VolumeM3]],"")</f>
        <v>6139658.6273999996</v>
      </c>
      <c r="AL1385" s="5">
        <f>IFERROR(vp.tbl[[#This Row],[VP]]*vp.tbl[[#This Row],[VolumeM3]],"")</f>
        <v>512519.44220000005</v>
      </c>
      <c r="AM1385" s="4">
        <f>IFERROR((vp.tbl[[#This Row],[VP]]-INDEX(crudeBD.lkup.complete[Mean_VP],MATCH(vp.tbl[[#This Row],[Crude_Breakdown]],crudeBD.lkup.complete[Crude Breakdown],0)))^2,"")</f>
        <v>19.906265715894072</v>
      </c>
      <c r="AN1385" s="4">
        <f>IFERROR((vp.tbl[[#This Row],[Dens]]-INDEX(crudeBD.lkup.complete[Mean_Dens],MATCH(vp.tbl[[#This Row],[Crude_Breakdown]],crudeBD.lkup.complete[Crude Breakdown],0)))^2,"")</f>
        <v>44.249832989300081</v>
      </c>
      <c r="AO1385" s="4">
        <f>IFERROR((vp.tbl[[#This Row],[Sulf]]-INDEX(crudeBD.lkup.complete[Mean_Sulf],MATCH(vp.tbl[[#This Row],[Crude_Breakdown]],crudeBD.lkup.complete[Crude Breakdown],0)))^2,"")</f>
        <v>2.3531980275845577E-4</v>
      </c>
      <c r="AP1385">
        <f>IF(AND(vp.tbl[[#This Row],[SDate]]&gt;=DATE(YEAR(vp.tbl[[#This Row],[SDate]]),5,1),vp.tbl[[#This Row],[SDate]]&lt;=DATE(YEAR(vp.tbl[[#This Row],[SDate]]),9,15)),1,0)</f>
        <v>1</v>
      </c>
      <c r="AQ1385" s="15">
        <f>IF(vp.tbl[[#This Row],[SDate]]&lt;DATE(2016,12,1),0,1)</f>
        <v>1</v>
      </c>
    </row>
    <row r="1386" spans="1:43" x14ac:dyDescent="0.25">
      <c r="A1386">
        <v>1385</v>
      </c>
      <c r="B1386" t="s">
        <v>111</v>
      </c>
      <c r="C1386" t="s">
        <v>111</v>
      </c>
      <c r="D1386" t="s">
        <v>112</v>
      </c>
      <c r="F1386" s="1">
        <v>42858</v>
      </c>
      <c r="G1386" s="2">
        <v>76.099999999999994</v>
      </c>
      <c r="H1386" s="2"/>
      <c r="I1386" s="2">
        <v>1.77</v>
      </c>
      <c r="J1386" s="2"/>
      <c r="K1386" s="2"/>
      <c r="L1386" s="2">
        <v>856.5</v>
      </c>
      <c r="M1386" s="2">
        <v>856.5</v>
      </c>
      <c r="N1386" s="2">
        <f ca="1">INDEX(INDIRECT(_xlfn.CONCAT("weather.tbl[",N$1,"]")),MATCH(vp.tbl[[#This Row],[SDate]],weather.tbl[Date],0))</f>
        <v>9.5333333333333332</v>
      </c>
      <c r="O1386" s="2">
        <f ca="1">INDEX(INDIRECT(_xlfn.CONCAT("weather.tbl[",O$1,"]")),MATCH(vp.tbl[[#This Row],[SDate]],weather.tbl[Date],0))</f>
        <v>7.8952380952380965</v>
      </c>
      <c r="P1386" s="2">
        <f ca="1">INDEX(INDIRECT(_xlfn.CONCAT("weather.tbl[",P$1,"]")),MATCH(vp.tbl[[#This Row],[SDate]],weather.tbl[Date],0))</f>
        <v>9.5</v>
      </c>
      <c r="Q1386" s="2">
        <f ca="1">INDEX(INDIRECT(_xlfn.CONCAT("weather.tbl[",Q$1,"]")),MATCH(vp.tbl[[#This Row],[SDate]],weather.tbl[Date],0))</f>
        <v>9</v>
      </c>
      <c r="R1386" s="2">
        <f ca="1">INDEX(INDIRECT(_xlfn.CONCAT("weather.tbl[",R$1,"]")),MATCH(vp.tbl[[#This Row],[SDate]],weather.tbl[Date],0))</f>
        <v>10</v>
      </c>
      <c r="S1386" s="2">
        <f ca="1">INDEX(INDIRECT(_xlfn.CONCAT("weather.tbl[",S$1,"]")),MATCH(vp.tbl[[#This Row],[SDate]],weather.tbl[Date],0))</f>
        <v>9.4</v>
      </c>
      <c r="T1386" s="2">
        <f ca="1">INDEX(INDIRECT(_xlfn.CONCAT("weather.tbl[",T$1,"]")),MATCH(vp.tbl[[#This Row],[SDate]],weather.tbl[Date],0))</f>
        <v>10</v>
      </c>
      <c r="U1386" s="2">
        <f ca="1">INDEX(INDIRECT(_xlfn.CONCAT("weather.tbl[",U$1,"]")),MATCH(vp.tbl[[#This Row],[SDate]],weather.tbl[Date],0))</f>
        <v>9.3000000000000007</v>
      </c>
      <c r="V1386" s="2">
        <v>8074.473</v>
      </c>
      <c r="W1386" t="s">
        <v>48</v>
      </c>
      <c r="X1386">
        <f>IF(OR(vp.tbl[[#This Row],[Sulf]]="",vp.tbl[[#This Row],[Dens]]=""),1,0)</f>
        <v>0</v>
      </c>
      <c r="Y1386">
        <f>IF(vp.tbl[[#This Row],[CrudeType]]="C5+",1,0)</f>
        <v>0</v>
      </c>
      <c r="Z1386">
        <f>IF(AND(vp.tbl[[#This Row],[CrudeType]]="Crude",vp.tbl[[#This Row],[Dens]]&lt;=825,vp.tbl[[#This Row],[Sulf]]&gt;0.5,vp.tbl[[#This Row],[Unknown]]=0),1,0)</f>
        <v>0</v>
      </c>
      <c r="AA1386">
        <f>IF(AND(vp.tbl[[#This Row],[CrudeType]]="Crude",vp.tbl[[#This Row],[Dens]]&lt;=825,vp.tbl[[#This Row],[Sulf]]&lt;=0.5,vp.tbl[[#This Row],[Unknown]]=0),1,0)</f>
        <v>0</v>
      </c>
      <c r="AB1386">
        <f>IF(AND(vp.tbl[[#This Row],[CrudeType]]="Crude",vp.tbl[[#This Row],[Dens]]&gt;825,vp.tbl[[#This Row],[Dens]]&lt;=870,vp.tbl[[#This Row],[Sulf]]&gt;0.5,vp.tbl[[#This Row],[Unknown]]=0),1,0)</f>
        <v>1</v>
      </c>
      <c r="AC1386">
        <f>IF(AND(vp.tbl[[#This Row],[CrudeType]]="Crude",vp.tbl[[#This Row],[Dens]]&gt;825,vp.tbl[[#This Row],[Dens]]&lt;=900,vp.tbl[[#This Row],[Sulf]]&lt;=0.5,vp.tbl[[#This Row],[Unknown]]=0),1,0)</f>
        <v>0</v>
      </c>
      <c r="AD1386">
        <f>IF(AND(vp.tbl[[#This Row],[CrudeType]]="Crude",vp.tbl[[#This Row],[Dens]]&gt;870,vp.tbl[[#This Row],[Dens]]&lt;=900,vp.tbl[[#This Row],[Sulf]]&gt;0.5,vp.tbl[[#This Row],[Unknown]]=0),1,0)</f>
        <v>0</v>
      </c>
      <c r="AE1386">
        <f>IF(AND(vp.tbl[[#This Row],[CrudeType]]="Crude",vp.tbl[[#This Row],[Dens]]&gt;900,vp.tbl[[#This Row],[Sulf]]&lt;=0.5,vp.tbl[[#This Row],[Unknown]]=0),1,0)</f>
        <v>0</v>
      </c>
      <c r="AF1386">
        <f>IF(AND(vp.tbl[[#This Row],[CrudeType]]="Crude",vp.tbl[[#This Row],[Dens]]&gt;900,vp.tbl[[#This Row],[Sulf]]&lt;=0.5,vp.tbl[[#This Row],[Unknown]]=0),1,0)</f>
        <v>0</v>
      </c>
      <c r="AG1386" t="str">
        <f>INDEX(vp.tbl[[#Headers],[Unknown]:[Heavy_SW]],MATCH(1,vp.tbl[[#This Row],[Unknown]:[Heavy_SW]],0))</f>
        <v>Medium_LSB</v>
      </c>
      <c r="AH1386" t="e">
        <f>INDEX([1]!crudeBD.lkup[Number],MATCH(vp.tbl[[#This Row],[Crude_Breakdown]],[1]!crudeBD.lkup[Crude Breakdown],0))</f>
        <v>#REF!</v>
      </c>
      <c r="AI1386">
        <f>MONTH(vp.tbl[[#This Row],[SDate]])</f>
        <v>5</v>
      </c>
      <c r="AJ1386" s="5">
        <f>IFERROR(vp.tbl[[#This Row],[Sulf]]*vp.tbl[[#This Row],[Net Dens]],"")</f>
        <v>12240941.440365</v>
      </c>
      <c r="AK1386" s="5">
        <f>IFERROR(vp.tbl[[#This Row],[Dens]]*vp.tbl[[#This Row],[VolumeM3]],"")</f>
        <v>6915786.1244999999</v>
      </c>
      <c r="AL1386" s="5">
        <f>IFERROR(vp.tbl[[#This Row],[VP]]*vp.tbl[[#This Row],[VolumeM3]],"")</f>
        <v>614467.39529999997</v>
      </c>
      <c r="AM1386" s="4">
        <f>IFERROR((vp.tbl[[#This Row],[VP]]-INDEX(crudeBD.lkup.complete[Mean_VP],MATCH(vp.tbl[[#This Row],[Crude_Breakdown]],crudeBD.lkup.complete[Crude Breakdown],0)))^2,"")</f>
        <v>16.594175708379812</v>
      </c>
      <c r="AN1386" s="4">
        <f>IFERROR((vp.tbl[[#This Row],[Dens]]-INDEX(crudeBD.lkup.complete[Mean_Dens],MATCH(vp.tbl[[#This Row],[Crude_Breakdown]],crudeBD.lkup.complete[Crude Breakdown],0)))^2,"")</f>
        <v>125.62323648712349</v>
      </c>
      <c r="AO1386" s="4">
        <f>IFERROR((vp.tbl[[#This Row],[Sulf]]-INDEX(crudeBD.lkup.complete[Mean_Sulf],MATCH(vp.tbl[[#This Row],[Crude_Breakdown]],crudeBD.lkup.complete[Crude Breakdown],0)))^2,"")</f>
        <v>9.9269192641031123E-2</v>
      </c>
      <c r="AP1386">
        <f>IF(AND(vp.tbl[[#This Row],[SDate]]&gt;=DATE(YEAR(vp.tbl[[#This Row],[SDate]]),5,1),vp.tbl[[#This Row],[SDate]]&lt;=DATE(YEAR(vp.tbl[[#This Row],[SDate]]),9,15)),1,0)</f>
        <v>1</v>
      </c>
      <c r="AQ1386" s="15">
        <f>IF(vp.tbl[[#This Row],[SDate]]&lt;DATE(2016,12,1),0,1)</f>
        <v>1</v>
      </c>
    </row>
    <row r="1387" spans="1:43" x14ac:dyDescent="0.25">
      <c r="A1387">
        <v>1386</v>
      </c>
      <c r="B1387" t="s">
        <v>111</v>
      </c>
      <c r="C1387" t="s">
        <v>111</v>
      </c>
      <c r="D1387" t="s">
        <v>234</v>
      </c>
      <c r="F1387" s="1">
        <v>42858</v>
      </c>
      <c r="G1387" s="2">
        <v>68.099999999999994</v>
      </c>
      <c r="H1387" s="2"/>
      <c r="I1387" s="2">
        <v>2.75</v>
      </c>
      <c r="J1387" s="2"/>
      <c r="K1387" s="2"/>
      <c r="L1387" s="2">
        <v>886.6</v>
      </c>
      <c r="M1387" s="2">
        <v>886.6</v>
      </c>
      <c r="N1387" s="2">
        <f ca="1">INDEX(INDIRECT(_xlfn.CONCAT("weather.tbl[",N$1,"]")),MATCH(vp.tbl[[#This Row],[SDate]],weather.tbl[Date],0))</f>
        <v>9.5333333333333332</v>
      </c>
      <c r="O1387" s="2">
        <f ca="1">INDEX(INDIRECT(_xlfn.CONCAT("weather.tbl[",O$1,"]")),MATCH(vp.tbl[[#This Row],[SDate]],weather.tbl[Date],0))</f>
        <v>7.8952380952380965</v>
      </c>
      <c r="P1387" s="2">
        <f ca="1">INDEX(INDIRECT(_xlfn.CONCAT("weather.tbl[",P$1,"]")),MATCH(vp.tbl[[#This Row],[SDate]],weather.tbl[Date],0))</f>
        <v>9.5</v>
      </c>
      <c r="Q1387" s="2">
        <f ca="1">INDEX(INDIRECT(_xlfn.CONCAT("weather.tbl[",Q$1,"]")),MATCH(vp.tbl[[#This Row],[SDate]],weather.tbl[Date],0))</f>
        <v>9</v>
      </c>
      <c r="R1387" s="2">
        <f ca="1">INDEX(INDIRECT(_xlfn.CONCAT("weather.tbl[",R$1,"]")),MATCH(vp.tbl[[#This Row],[SDate]],weather.tbl[Date],0))</f>
        <v>10</v>
      </c>
      <c r="S1387" s="2">
        <f ca="1">INDEX(INDIRECT(_xlfn.CONCAT("weather.tbl[",S$1,"]")),MATCH(vp.tbl[[#This Row],[SDate]],weather.tbl[Date],0))</f>
        <v>9.4</v>
      </c>
      <c r="T1387" s="2">
        <f ca="1">INDEX(INDIRECT(_xlfn.CONCAT("weather.tbl[",T$1,"]")),MATCH(vp.tbl[[#This Row],[SDate]],weather.tbl[Date],0))</f>
        <v>10</v>
      </c>
      <c r="U1387" s="2">
        <f ca="1">INDEX(INDIRECT(_xlfn.CONCAT("weather.tbl[",U$1,"]")),MATCH(vp.tbl[[#This Row],[SDate]],weather.tbl[Date],0))</f>
        <v>9.3000000000000007</v>
      </c>
      <c r="V1387" s="2">
        <v>2844.9769999999999</v>
      </c>
      <c r="W1387" t="s">
        <v>48</v>
      </c>
      <c r="X1387">
        <f>IF(OR(vp.tbl[[#This Row],[Sulf]]="",vp.tbl[[#This Row],[Dens]]=""),1,0)</f>
        <v>0</v>
      </c>
      <c r="Y1387">
        <f>IF(vp.tbl[[#This Row],[CrudeType]]="C5+",1,0)</f>
        <v>0</v>
      </c>
      <c r="Z1387">
        <f>IF(AND(vp.tbl[[#This Row],[CrudeType]]="Crude",vp.tbl[[#This Row],[Dens]]&lt;=825,vp.tbl[[#This Row],[Sulf]]&gt;0.5,vp.tbl[[#This Row],[Unknown]]=0),1,0)</f>
        <v>0</v>
      </c>
      <c r="AA1387">
        <f>IF(AND(vp.tbl[[#This Row],[CrudeType]]="Crude",vp.tbl[[#This Row],[Dens]]&lt;=825,vp.tbl[[#This Row],[Sulf]]&lt;=0.5,vp.tbl[[#This Row],[Unknown]]=0),1,0)</f>
        <v>0</v>
      </c>
      <c r="AB1387">
        <f>IF(AND(vp.tbl[[#This Row],[CrudeType]]="Crude",vp.tbl[[#This Row],[Dens]]&gt;825,vp.tbl[[#This Row],[Dens]]&lt;=870,vp.tbl[[#This Row],[Sulf]]&gt;0.5,vp.tbl[[#This Row],[Unknown]]=0),1,0)</f>
        <v>0</v>
      </c>
      <c r="AC1387">
        <f>IF(AND(vp.tbl[[#This Row],[CrudeType]]="Crude",vp.tbl[[#This Row],[Dens]]&gt;825,vp.tbl[[#This Row],[Dens]]&lt;=900,vp.tbl[[#This Row],[Sulf]]&lt;=0.5,vp.tbl[[#This Row],[Unknown]]=0),1,0)</f>
        <v>0</v>
      </c>
      <c r="AD1387">
        <f>IF(AND(vp.tbl[[#This Row],[CrudeType]]="Crude",vp.tbl[[#This Row],[Dens]]&gt;870,vp.tbl[[#This Row],[Dens]]&lt;=900,vp.tbl[[#This Row],[Sulf]]&gt;0.5,vp.tbl[[#This Row],[Unknown]]=0),1,0)</f>
        <v>1</v>
      </c>
      <c r="AE1387">
        <f>IF(AND(vp.tbl[[#This Row],[CrudeType]]="Crude",vp.tbl[[#This Row],[Dens]]&gt;900,vp.tbl[[#This Row],[Sulf]]&lt;=0.5,vp.tbl[[#This Row],[Unknown]]=0),1,0)</f>
        <v>0</v>
      </c>
      <c r="AF1387">
        <f>IF(AND(vp.tbl[[#This Row],[CrudeType]]="Crude",vp.tbl[[#This Row],[Dens]]&gt;900,vp.tbl[[#This Row],[Sulf]]&lt;=0.5,vp.tbl[[#This Row],[Unknown]]=0),1,0)</f>
        <v>0</v>
      </c>
      <c r="AG1387" t="str">
        <f>INDEX(vp.tbl[[#Headers],[Unknown]:[Heavy_SW]],MATCH(1,vp.tbl[[#This Row],[Unknown]:[Heavy_SW]],0))</f>
        <v>Midale</v>
      </c>
      <c r="AH1387" t="e">
        <f>INDEX([1]!crudeBD.lkup[Number],MATCH(vp.tbl[[#This Row],[Crude_Breakdown]],[1]!crudeBD.lkup[Crude Breakdown],0))</f>
        <v>#REF!</v>
      </c>
      <c r="AI1387">
        <f>MONTH(vp.tbl[[#This Row],[SDate]])</f>
        <v>5</v>
      </c>
      <c r="AJ1387" s="5">
        <f>IFERROR(vp.tbl[[#This Row],[Sulf]]*vp.tbl[[#This Row],[Net Dens]],"")</f>
        <v>6936480.6725500003</v>
      </c>
      <c r="AK1387" s="5">
        <f>IFERROR(vp.tbl[[#This Row],[Dens]]*vp.tbl[[#This Row],[VolumeM3]],"")</f>
        <v>2522356.6082000001</v>
      </c>
      <c r="AL1387" s="5">
        <f>IFERROR(vp.tbl[[#This Row],[VP]]*vp.tbl[[#This Row],[VolumeM3]],"")</f>
        <v>193742.93369999997</v>
      </c>
      <c r="AM1387" s="4">
        <f>IFERROR((vp.tbl[[#This Row],[VP]]-INDEX(crudeBD.lkup.complete[Mean_VP],MATCH(vp.tbl[[#This Row],[Crude_Breakdown]],crudeBD.lkup.complete[Crude Breakdown],0)))^2,"")</f>
        <v>1.9142428222936336E-2</v>
      </c>
      <c r="AN1387" s="4">
        <f>IFERROR((vp.tbl[[#This Row],[Dens]]-INDEX(crudeBD.lkup.complete[Mean_Dens],MATCH(vp.tbl[[#This Row],[Crude_Breakdown]],crudeBD.lkup.complete[Crude Breakdown],0)))^2,"")</f>
        <v>81.865312441364495</v>
      </c>
      <c r="AO1387" s="4">
        <f>IFERROR((vp.tbl[[#This Row],[Sulf]]-INDEX(crudeBD.lkup.complete[Mean_Sulf],MATCH(vp.tbl[[#This Row],[Crude_Breakdown]],crudeBD.lkup.complete[Crude Breakdown],0)))^2,"")</f>
        <v>0.11199722391234837</v>
      </c>
      <c r="AP1387">
        <f>IF(AND(vp.tbl[[#This Row],[SDate]]&gt;=DATE(YEAR(vp.tbl[[#This Row],[SDate]]),5,1),vp.tbl[[#This Row],[SDate]]&lt;=DATE(YEAR(vp.tbl[[#This Row],[SDate]]),9,15)),1,0)</f>
        <v>1</v>
      </c>
      <c r="AQ1387" s="15">
        <f>IF(vp.tbl[[#This Row],[SDate]]&lt;DATE(2016,12,1),0,1)</f>
        <v>1</v>
      </c>
    </row>
    <row r="1388" spans="1:43" x14ac:dyDescent="0.25">
      <c r="A1388">
        <v>1387</v>
      </c>
      <c r="B1388" t="s">
        <v>292</v>
      </c>
      <c r="C1388" t="s">
        <v>292</v>
      </c>
      <c r="D1388" t="s">
        <v>94</v>
      </c>
      <c r="F1388" s="1">
        <v>42858</v>
      </c>
      <c r="G1388" s="2">
        <v>71.400000000000006</v>
      </c>
      <c r="H1388" s="2"/>
      <c r="I1388" s="2">
        <v>1.96</v>
      </c>
      <c r="J1388" s="2"/>
      <c r="K1388" s="2"/>
      <c r="L1388" s="2">
        <v>864</v>
      </c>
      <c r="M1388" s="2">
        <v>864</v>
      </c>
      <c r="N1388" s="2">
        <f ca="1">INDEX(INDIRECT(_xlfn.CONCAT("weather.tbl[",N$1,"]")),MATCH(vp.tbl[[#This Row],[SDate]],weather.tbl[Date],0))</f>
        <v>9.5333333333333332</v>
      </c>
      <c r="O1388" s="2">
        <f ca="1">INDEX(INDIRECT(_xlfn.CONCAT("weather.tbl[",O$1,"]")),MATCH(vp.tbl[[#This Row],[SDate]],weather.tbl[Date],0))</f>
        <v>7.8952380952380965</v>
      </c>
      <c r="P1388" s="2">
        <f ca="1">INDEX(INDIRECT(_xlfn.CONCAT("weather.tbl[",P$1,"]")),MATCH(vp.tbl[[#This Row],[SDate]],weather.tbl[Date],0))</f>
        <v>9.5</v>
      </c>
      <c r="Q1388" s="2">
        <f ca="1">INDEX(INDIRECT(_xlfn.CONCAT("weather.tbl[",Q$1,"]")),MATCH(vp.tbl[[#This Row],[SDate]],weather.tbl[Date],0))</f>
        <v>9</v>
      </c>
      <c r="R1388" s="2">
        <f ca="1">INDEX(INDIRECT(_xlfn.CONCAT("weather.tbl[",R$1,"]")),MATCH(vp.tbl[[#This Row],[SDate]],weather.tbl[Date],0))</f>
        <v>10</v>
      </c>
      <c r="S1388" s="2">
        <f ca="1">INDEX(INDIRECT(_xlfn.CONCAT("weather.tbl[",S$1,"]")),MATCH(vp.tbl[[#This Row],[SDate]],weather.tbl[Date],0))</f>
        <v>9.4</v>
      </c>
      <c r="T1388" s="2">
        <f ca="1">INDEX(INDIRECT(_xlfn.CONCAT("weather.tbl[",T$1,"]")),MATCH(vp.tbl[[#This Row],[SDate]],weather.tbl[Date],0))</f>
        <v>10</v>
      </c>
      <c r="U1388" s="2">
        <f ca="1">INDEX(INDIRECT(_xlfn.CONCAT("weather.tbl[",U$1,"]")),MATCH(vp.tbl[[#This Row],[SDate]],weather.tbl[Date],0))</f>
        <v>9.3000000000000007</v>
      </c>
      <c r="V1388" s="2">
        <v>4763.951</v>
      </c>
      <c r="W1388" t="s">
        <v>48</v>
      </c>
      <c r="X1388">
        <f>IF(OR(vp.tbl[[#This Row],[Sulf]]="",vp.tbl[[#This Row],[Dens]]=""),1,0)</f>
        <v>0</v>
      </c>
      <c r="Y1388">
        <f>IF(vp.tbl[[#This Row],[CrudeType]]="C5+",1,0)</f>
        <v>0</v>
      </c>
      <c r="Z1388">
        <f>IF(AND(vp.tbl[[#This Row],[CrudeType]]="Crude",vp.tbl[[#This Row],[Dens]]&lt;=825,vp.tbl[[#This Row],[Sulf]]&gt;0.5,vp.tbl[[#This Row],[Unknown]]=0),1,0)</f>
        <v>0</v>
      </c>
      <c r="AA1388">
        <f>IF(AND(vp.tbl[[#This Row],[CrudeType]]="Crude",vp.tbl[[#This Row],[Dens]]&lt;=825,vp.tbl[[#This Row],[Sulf]]&lt;=0.5,vp.tbl[[#This Row],[Unknown]]=0),1,0)</f>
        <v>0</v>
      </c>
      <c r="AB1388">
        <f>IF(AND(vp.tbl[[#This Row],[CrudeType]]="Crude",vp.tbl[[#This Row],[Dens]]&gt;825,vp.tbl[[#This Row],[Dens]]&lt;=870,vp.tbl[[#This Row],[Sulf]]&gt;0.5,vp.tbl[[#This Row],[Unknown]]=0),1,0)</f>
        <v>1</v>
      </c>
      <c r="AC1388">
        <f>IF(AND(vp.tbl[[#This Row],[CrudeType]]="Crude",vp.tbl[[#This Row],[Dens]]&gt;825,vp.tbl[[#This Row],[Dens]]&lt;=900,vp.tbl[[#This Row],[Sulf]]&lt;=0.5,vp.tbl[[#This Row],[Unknown]]=0),1,0)</f>
        <v>0</v>
      </c>
      <c r="AD1388">
        <f>IF(AND(vp.tbl[[#This Row],[CrudeType]]="Crude",vp.tbl[[#This Row],[Dens]]&gt;870,vp.tbl[[#This Row],[Dens]]&lt;=900,vp.tbl[[#This Row],[Sulf]]&gt;0.5,vp.tbl[[#This Row],[Unknown]]=0),1,0)</f>
        <v>0</v>
      </c>
      <c r="AE1388">
        <f>IF(AND(vp.tbl[[#This Row],[CrudeType]]="Crude",vp.tbl[[#This Row],[Dens]]&gt;900,vp.tbl[[#This Row],[Sulf]]&lt;=0.5,vp.tbl[[#This Row],[Unknown]]=0),1,0)</f>
        <v>0</v>
      </c>
      <c r="AF1388">
        <f>IF(AND(vp.tbl[[#This Row],[CrudeType]]="Crude",vp.tbl[[#This Row],[Dens]]&gt;900,vp.tbl[[#This Row],[Sulf]]&lt;=0.5,vp.tbl[[#This Row],[Unknown]]=0),1,0)</f>
        <v>0</v>
      </c>
      <c r="AG1388" t="str">
        <f>INDEX(vp.tbl[[#Headers],[Unknown]:[Heavy_SW]],MATCH(1,vp.tbl[[#This Row],[Unknown]:[Heavy_SW]],0))</f>
        <v>Medium_LSB</v>
      </c>
      <c r="AH1388" t="e">
        <f>INDEX([1]!crudeBD.lkup[Number],MATCH(vp.tbl[[#This Row],[Crude_Breakdown]],[1]!crudeBD.lkup[Crude Breakdown],0))</f>
        <v>#REF!</v>
      </c>
      <c r="AI1388">
        <f>MONTH(vp.tbl[[#This Row],[SDate]])</f>
        <v>5</v>
      </c>
      <c r="AJ1388" s="5">
        <f>IFERROR(vp.tbl[[#This Row],[Sulf]]*vp.tbl[[#This Row],[Net Dens]],"")</f>
        <v>8067465.1814399995</v>
      </c>
      <c r="AK1388" s="5">
        <f>IFERROR(vp.tbl[[#This Row],[Dens]]*vp.tbl[[#This Row],[VolumeM3]],"")</f>
        <v>4116053.6639999999</v>
      </c>
      <c r="AL1388" s="5">
        <f>IFERROR(vp.tbl[[#This Row],[VP]]*vp.tbl[[#This Row],[VolumeM3]],"")</f>
        <v>340146.10140000004</v>
      </c>
      <c r="AM1388" s="4">
        <f>IFERROR((vp.tbl[[#This Row],[VP]]-INDEX(crudeBD.lkup.complete[Mean_VP],MATCH(vp.tbl[[#This Row],[Crude_Breakdown]],crudeBD.lkup.complete[Crude Breakdown],0)))^2,"")</f>
        <v>76.975968113442605</v>
      </c>
      <c r="AN1388" s="4">
        <f>IFERROR((vp.tbl[[#This Row],[Dens]]-INDEX(crudeBD.lkup.complete[Mean_Dens],MATCH(vp.tbl[[#This Row],[Crude_Breakdown]],crudeBD.lkup.complete[Crude Breakdown],0)))^2,"")</f>
        <v>349.99589471498638</v>
      </c>
      <c r="AO1388" s="4">
        <f>IFERROR((vp.tbl[[#This Row],[Sulf]]-INDEX(crudeBD.lkup.complete[Mean_Sulf],MATCH(vp.tbl[[#This Row],[Crude_Breakdown]],crudeBD.lkup.complete[Crude Breakdown],0)))^2,"")</f>
        <v>0.25509584555242293</v>
      </c>
      <c r="AP1388">
        <f>IF(AND(vp.tbl[[#This Row],[SDate]]&gt;=DATE(YEAR(vp.tbl[[#This Row],[SDate]]),5,1),vp.tbl[[#This Row],[SDate]]&lt;=DATE(YEAR(vp.tbl[[#This Row],[SDate]]),9,15)),1,0)</f>
        <v>1</v>
      </c>
      <c r="AQ1388" s="15">
        <f>IF(vp.tbl[[#This Row],[SDate]]&lt;DATE(2016,12,1),0,1)</f>
        <v>1</v>
      </c>
    </row>
    <row r="1389" spans="1:43" x14ac:dyDescent="0.25">
      <c r="A1389">
        <v>1388</v>
      </c>
      <c r="B1389" t="s">
        <v>49</v>
      </c>
      <c r="C1389" t="s">
        <v>49</v>
      </c>
      <c r="D1389" t="s">
        <v>78</v>
      </c>
      <c r="F1389" s="1">
        <v>42858</v>
      </c>
      <c r="G1389" s="2">
        <v>78.599999999999994</v>
      </c>
      <c r="H1389" s="2"/>
      <c r="I1389" s="2">
        <v>0.24</v>
      </c>
      <c r="J1389" s="2"/>
      <c r="K1389" s="2"/>
      <c r="L1389" s="2">
        <v>805.2</v>
      </c>
      <c r="M1389" s="2">
        <v>805.2</v>
      </c>
      <c r="N1389" s="2">
        <f ca="1">INDEX(INDIRECT(_xlfn.CONCAT("weather.tbl[",N$1,"]")),MATCH(vp.tbl[[#This Row],[SDate]],weather.tbl[Date],0))</f>
        <v>9.5333333333333332</v>
      </c>
      <c r="O1389" s="2">
        <f ca="1">INDEX(INDIRECT(_xlfn.CONCAT("weather.tbl[",O$1,"]")),MATCH(vp.tbl[[#This Row],[SDate]],weather.tbl[Date],0))</f>
        <v>7.8952380952380965</v>
      </c>
      <c r="P1389" s="2">
        <f ca="1">INDEX(INDIRECT(_xlfn.CONCAT("weather.tbl[",P$1,"]")),MATCH(vp.tbl[[#This Row],[SDate]],weather.tbl[Date],0))</f>
        <v>9.5</v>
      </c>
      <c r="Q1389" s="2">
        <f ca="1">INDEX(INDIRECT(_xlfn.CONCAT("weather.tbl[",Q$1,"]")),MATCH(vp.tbl[[#This Row],[SDate]],weather.tbl[Date],0))</f>
        <v>9</v>
      </c>
      <c r="R1389" s="2">
        <f ca="1">INDEX(INDIRECT(_xlfn.CONCAT("weather.tbl[",R$1,"]")),MATCH(vp.tbl[[#This Row],[SDate]],weather.tbl[Date],0))</f>
        <v>10</v>
      </c>
      <c r="S1389" s="2">
        <f ca="1">INDEX(INDIRECT(_xlfn.CONCAT("weather.tbl[",S$1,"]")),MATCH(vp.tbl[[#This Row],[SDate]],weather.tbl[Date],0))</f>
        <v>9.4</v>
      </c>
      <c r="T1389" s="2">
        <f ca="1">INDEX(INDIRECT(_xlfn.CONCAT("weather.tbl[",T$1,"]")),MATCH(vp.tbl[[#This Row],[SDate]],weather.tbl[Date],0))</f>
        <v>10</v>
      </c>
      <c r="U1389" s="2">
        <f ca="1">INDEX(INDIRECT(_xlfn.CONCAT("weather.tbl[",U$1,"]")),MATCH(vp.tbl[[#This Row],[SDate]],weather.tbl[Date],0))</f>
        <v>9.3000000000000007</v>
      </c>
      <c r="V1389" s="2">
        <v>20016.702000000001</v>
      </c>
      <c r="W1389" t="s">
        <v>48</v>
      </c>
      <c r="X1389">
        <f>IF(OR(vp.tbl[[#This Row],[Sulf]]="",vp.tbl[[#This Row],[Dens]]=""),1,0)</f>
        <v>0</v>
      </c>
      <c r="Y1389">
        <f>IF(vp.tbl[[#This Row],[CrudeType]]="C5+",1,0)</f>
        <v>0</v>
      </c>
      <c r="Z1389">
        <f>IF(AND(vp.tbl[[#This Row],[CrudeType]]="Crude",vp.tbl[[#This Row],[Dens]]&lt;=825,vp.tbl[[#This Row],[Sulf]]&gt;0.5,vp.tbl[[#This Row],[Unknown]]=0),1,0)</f>
        <v>0</v>
      </c>
      <c r="AA1389">
        <f>IF(AND(vp.tbl[[#This Row],[CrudeType]]="Crude",vp.tbl[[#This Row],[Dens]]&lt;=825,vp.tbl[[#This Row],[Sulf]]&lt;=0.5,vp.tbl[[#This Row],[Unknown]]=0),1,0)</f>
        <v>1</v>
      </c>
      <c r="AB1389">
        <f>IF(AND(vp.tbl[[#This Row],[CrudeType]]="Crude",vp.tbl[[#This Row],[Dens]]&gt;825,vp.tbl[[#This Row],[Dens]]&lt;=870,vp.tbl[[#This Row],[Sulf]]&gt;0.5,vp.tbl[[#This Row],[Unknown]]=0),1,0)</f>
        <v>0</v>
      </c>
      <c r="AC1389">
        <f>IF(AND(vp.tbl[[#This Row],[CrudeType]]="Crude",vp.tbl[[#This Row],[Dens]]&gt;825,vp.tbl[[#This Row],[Dens]]&lt;=900,vp.tbl[[#This Row],[Sulf]]&lt;=0.5,vp.tbl[[#This Row],[Unknown]]=0),1,0)</f>
        <v>0</v>
      </c>
      <c r="AD1389">
        <f>IF(AND(vp.tbl[[#This Row],[CrudeType]]="Crude",vp.tbl[[#This Row],[Dens]]&gt;870,vp.tbl[[#This Row],[Dens]]&lt;=900,vp.tbl[[#This Row],[Sulf]]&gt;0.5,vp.tbl[[#This Row],[Unknown]]=0),1,0)</f>
        <v>0</v>
      </c>
      <c r="AE1389">
        <f>IF(AND(vp.tbl[[#This Row],[CrudeType]]="Crude",vp.tbl[[#This Row],[Dens]]&gt;900,vp.tbl[[#This Row],[Sulf]]&lt;=0.5,vp.tbl[[#This Row],[Unknown]]=0),1,0)</f>
        <v>0</v>
      </c>
      <c r="AF1389">
        <f>IF(AND(vp.tbl[[#This Row],[CrudeType]]="Crude",vp.tbl[[#This Row],[Dens]]&gt;900,vp.tbl[[#This Row],[Sulf]]&lt;=0.5,vp.tbl[[#This Row],[Unknown]]=0),1,0)</f>
        <v>0</v>
      </c>
      <c r="AG1389" t="str">
        <f>INDEX(vp.tbl[[#Headers],[Unknown]:[Heavy_SW]],MATCH(1,vp.tbl[[#This Row],[Unknown]:[Heavy_SW]],0))</f>
        <v>Light_SW</v>
      </c>
      <c r="AH1389" t="e">
        <f>INDEX([1]!crudeBD.lkup[Number],MATCH(vp.tbl[[#This Row],[Crude_Breakdown]],[1]!crudeBD.lkup[Crude Breakdown],0))</f>
        <v>#REF!</v>
      </c>
      <c r="AI1389">
        <f>MONTH(vp.tbl[[#This Row],[SDate]])</f>
        <v>5</v>
      </c>
      <c r="AJ1389" s="5">
        <f>IFERROR(vp.tbl[[#This Row],[Sulf]]*vp.tbl[[#This Row],[Net Dens]],"")</f>
        <v>3868187.6280960003</v>
      </c>
      <c r="AK1389" s="5">
        <f>IFERROR(vp.tbl[[#This Row],[Dens]]*vp.tbl[[#This Row],[VolumeM3]],"")</f>
        <v>16117448.450400002</v>
      </c>
      <c r="AL1389" s="5">
        <f>IFERROR(vp.tbl[[#This Row],[VP]]*vp.tbl[[#This Row],[VolumeM3]],"")</f>
        <v>1573312.7771999999</v>
      </c>
      <c r="AM1389" s="4">
        <f>IFERROR((vp.tbl[[#This Row],[VP]]-INDEX(crudeBD.lkup.complete[Mean_VP],MATCH(vp.tbl[[#This Row],[Crude_Breakdown]],crudeBD.lkup.complete[Crude Breakdown],0)))^2,"")</f>
        <v>194.61124922725716</v>
      </c>
      <c r="AN1389" s="4">
        <f>IFERROR((vp.tbl[[#This Row],[Dens]]-INDEX(crudeBD.lkup.complete[Mean_Dens],MATCH(vp.tbl[[#This Row],[Crude_Breakdown]],crudeBD.lkup.complete[Crude Breakdown],0)))^2,"")</f>
        <v>9.6814214085379788</v>
      </c>
      <c r="AO1389" s="4">
        <f>IFERROR((vp.tbl[[#This Row],[Sulf]]-INDEX(crudeBD.lkup.complete[Mean_Sulf],MATCH(vp.tbl[[#This Row],[Crude_Breakdown]],crudeBD.lkup.complete[Crude Breakdown],0)))^2,"")</f>
        <v>1.4123978195681499E-5</v>
      </c>
      <c r="AP1389">
        <f>IF(AND(vp.tbl[[#This Row],[SDate]]&gt;=DATE(YEAR(vp.tbl[[#This Row],[SDate]]),5,1),vp.tbl[[#This Row],[SDate]]&lt;=DATE(YEAR(vp.tbl[[#This Row],[SDate]]),9,15)),1,0)</f>
        <v>1</v>
      </c>
      <c r="AQ1389" s="15">
        <f>IF(vp.tbl[[#This Row],[SDate]]&lt;DATE(2016,12,1),0,1)</f>
        <v>1</v>
      </c>
    </row>
    <row r="1390" spans="1:43" x14ac:dyDescent="0.25">
      <c r="A1390">
        <v>1389</v>
      </c>
      <c r="B1390" t="s">
        <v>49</v>
      </c>
      <c r="C1390" t="s">
        <v>49</v>
      </c>
      <c r="D1390" t="s">
        <v>92</v>
      </c>
      <c r="F1390" s="1">
        <v>42858</v>
      </c>
      <c r="G1390" s="2">
        <v>70.900000000000006</v>
      </c>
      <c r="H1390" s="2"/>
      <c r="I1390" s="2">
        <v>0.64</v>
      </c>
      <c r="J1390" s="2"/>
      <c r="K1390" s="2"/>
      <c r="L1390" s="2">
        <v>825.4</v>
      </c>
      <c r="M1390" s="2">
        <v>825.4</v>
      </c>
      <c r="N1390" s="2">
        <f ca="1">INDEX(INDIRECT(_xlfn.CONCAT("weather.tbl[",N$1,"]")),MATCH(vp.tbl[[#This Row],[SDate]],weather.tbl[Date],0))</f>
        <v>9.5333333333333332</v>
      </c>
      <c r="O1390" s="2">
        <f ca="1">INDEX(INDIRECT(_xlfn.CONCAT("weather.tbl[",O$1,"]")),MATCH(vp.tbl[[#This Row],[SDate]],weather.tbl[Date],0))</f>
        <v>7.8952380952380965</v>
      </c>
      <c r="P1390" s="2">
        <f ca="1">INDEX(INDIRECT(_xlfn.CONCAT("weather.tbl[",P$1,"]")),MATCH(vp.tbl[[#This Row],[SDate]],weather.tbl[Date],0))</f>
        <v>9.5</v>
      </c>
      <c r="Q1390" s="2">
        <f ca="1">INDEX(INDIRECT(_xlfn.CONCAT("weather.tbl[",Q$1,"]")),MATCH(vp.tbl[[#This Row],[SDate]],weather.tbl[Date],0))</f>
        <v>9</v>
      </c>
      <c r="R1390" s="2">
        <f ca="1">INDEX(INDIRECT(_xlfn.CONCAT("weather.tbl[",R$1,"]")),MATCH(vp.tbl[[#This Row],[SDate]],weather.tbl[Date],0))</f>
        <v>10</v>
      </c>
      <c r="S1390" s="2">
        <f ca="1">INDEX(INDIRECT(_xlfn.CONCAT("weather.tbl[",S$1,"]")),MATCH(vp.tbl[[#This Row],[SDate]],weather.tbl[Date],0))</f>
        <v>9.4</v>
      </c>
      <c r="T1390" s="2">
        <f ca="1">INDEX(INDIRECT(_xlfn.CONCAT("weather.tbl[",T$1,"]")),MATCH(vp.tbl[[#This Row],[SDate]],weather.tbl[Date],0))</f>
        <v>10</v>
      </c>
      <c r="U1390" s="2">
        <f ca="1">INDEX(INDIRECT(_xlfn.CONCAT("weather.tbl[",U$1,"]")),MATCH(vp.tbl[[#This Row],[SDate]],weather.tbl[Date],0))</f>
        <v>9.3000000000000007</v>
      </c>
      <c r="V1390" s="2">
        <v>24656.244999999999</v>
      </c>
      <c r="W1390" t="s">
        <v>48</v>
      </c>
      <c r="X1390">
        <f>IF(OR(vp.tbl[[#This Row],[Sulf]]="",vp.tbl[[#This Row],[Dens]]=""),1,0)</f>
        <v>0</v>
      </c>
      <c r="Y1390">
        <f>IF(vp.tbl[[#This Row],[CrudeType]]="C5+",1,0)</f>
        <v>0</v>
      </c>
      <c r="Z1390">
        <f>IF(AND(vp.tbl[[#This Row],[CrudeType]]="Crude",vp.tbl[[#This Row],[Dens]]&lt;=825,vp.tbl[[#This Row],[Sulf]]&gt;0.5,vp.tbl[[#This Row],[Unknown]]=0),1,0)</f>
        <v>0</v>
      </c>
      <c r="AA1390">
        <f>IF(AND(vp.tbl[[#This Row],[CrudeType]]="Crude",vp.tbl[[#This Row],[Dens]]&lt;=825,vp.tbl[[#This Row],[Sulf]]&lt;=0.5,vp.tbl[[#This Row],[Unknown]]=0),1,0)</f>
        <v>0</v>
      </c>
      <c r="AB1390">
        <f>IF(AND(vp.tbl[[#This Row],[CrudeType]]="Crude",vp.tbl[[#This Row],[Dens]]&gt;825,vp.tbl[[#This Row],[Dens]]&lt;=870,vp.tbl[[#This Row],[Sulf]]&gt;0.5,vp.tbl[[#This Row],[Unknown]]=0),1,0)</f>
        <v>1</v>
      </c>
      <c r="AC1390">
        <f>IF(AND(vp.tbl[[#This Row],[CrudeType]]="Crude",vp.tbl[[#This Row],[Dens]]&gt;825,vp.tbl[[#This Row],[Dens]]&lt;=900,vp.tbl[[#This Row],[Sulf]]&lt;=0.5,vp.tbl[[#This Row],[Unknown]]=0),1,0)</f>
        <v>0</v>
      </c>
      <c r="AD1390">
        <f>IF(AND(vp.tbl[[#This Row],[CrudeType]]="Crude",vp.tbl[[#This Row],[Dens]]&gt;870,vp.tbl[[#This Row],[Dens]]&lt;=900,vp.tbl[[#This Row],[Sulf]]&gt;0.5,vp.tbl[[#This Row],[Unknown]]=0),1,0)</f>
        <v>0</v>
      </c>
      <c r="AE1390">
        <f>IF(AND(vp.tbl[[#This Row],[CrudeType]]="Crude",vp.tbl[[#This Row],[Dens]]&gt;900,vp.tbl[[#This Row],[Sulf]]&lt;=0.5,vp.tbl[[#This Row],[Unknown]]=0),1,0)</f>
        <v>0</v>
      </c>
      <c r="AF1390">
        <f>IF(AND(vp.tbl[[#This Row],[CrudeType]]="Crude",vp.tbl[[#This Row],[Dens]]&gt;900,vp.tbl[[#This Row],[Sulf]]&lt;=0.5,vp.tbl[[#This Row],[Unknown]]=0),1,0)</f>
        <v>0</v>
      </c>
      <c r="AG1390" t="str">
        <f>INDEX(vp.tbl[[#Headers],[Unknown]:[Heavy_SW]],MATCH(1,vp.tbl[[#This Row],[Unknown]:[Heavy_SW]],0))</f>
        <v>Medium_LSB</v>
      </c>
      <c r="AH1390" t="e">
        <f>INDEX([1]!crudeBD.lkup[Number],MATCH(vp.tbl[[#This Row],[Crude_Breakdown]],[1]!crudeBD.lkup[Crude Breakdown],0))</f>
        <v>#REF!</v>
      </c>
      <c r="AI1390">
        <f>MONTH(vp.tbl[[#This Row],[SDate]])</f>
        <v>5</v>
      </c>
      <c r="AJ1390" s="5">
        <f>IFERROR(vp.tbl[[#This Row],[Sulf]]*vp.tbl[[#This Row],[Net Dens]],"")</f>
        <v>13024809.358720001</v>
      </c>
      <c r="AK1390" s="5">
        <f>IFERROR(vp.tbl[[#This Row],[Dens]]*vp.tbl[[#This Row],[VolumeM3]],"")</f>
        <v>20351264.623</v>
      </c>
      <c r="AL1390" s="5">
        <f>IFERROR(vp.tbl[[#This Row],[VP]]*vp.tbl[[#This Row],[VolumeM3]],"")</f>
        <v>1748127.7705000001</v>
      </c>
      <c r="AM1390" s="4">
        <f>IFERROR((vp.tbl[[#This Row],[VP]]-INDEX(crudeBD.lkup.complete[Mean_VP],MATCH(vp.tbl[[#This Row],[Crude_Breakdown]],crudeBD.lkup.complete[Crude Breakdown],0)))^2,"")</f>
        <v>85.999563050151423</v>
      </c>
      <c r="AN1390" s="4">
        <f>IFERROR((vp.tbl[[#This Row],[Dens]]-INDEX(crudeBD.lkup.complete[Mean_Dens],MATCH(vp.tbl[[#This Row],[Crude_Breakdown]],crudeBD.lkup.complete[Crude Breakdown],0)))^2,"")</f>
        <v>395.68461370225305</v>
      </c>
      <c r="AO1390" s="4">
        <f>IFERROR((vp.tbl[[#This Row],[Sulf]]-INDEX(crudeBD.lkup.complete[Mean_Sulf],MATCH(vp.tbl[[#This Row],[Crude_Breakdown]],crudeBD.lkup.complete[Crude Breakdown],0)))^2,"")</f>
        <v>0.66411067795749013</v>
      </c>
      <c r="AP1390">
        <f>IF(AND(vp.tbl[[#This Row],[SDate]]&gt;=DATE(YEAR(vp.tbl[[#This Row],[SDate]]),5,1),vp.tbl[[#This Row],[SDate]]&lt;=DATE(YEAR(vp.tbl[[#This Row],[SDate]]),9,15)),1,0)</f>
        <v>1</v>
      </c>
      <c r="AQ1390" s="15">
        <f>IF(vp.tbl[[#This Row],[SDate]]&lt;DATE(2016,12,1),0,1)</f>
        <v>1</v>
      </c>
    </row>
    <row r="1391" spans="1:43" x14ac:dyDescent="0.25">
      <c r="A1391">
        <v>1390</v>
      </c>
      <c r="B1391" t="s">
        <v>49</v>
      </c>
      <c r="C1391" t="s">
        <v>49</v>
      </c>
      <c r="D1391" t="s">
        <v>50</v>
      </c>
      <c r="F1391" s="1">
        <v>42858</v>
      </c>
      <c r="G1391" s="2">
        <v>64.099999999999994</v>
      </c>
      <c r="H1391" s="2"/>
      <c r="I1391" s="2">
        <v>2.75</v>
      </c>
      <c r="J1391" s="2"/>
      <c r="K1391" s="2"/>
      <c r="L1391" s="2">
        <v>869.5</v>
      </c>
      <c r="M1391" s="2">
        <v>869.5</v>
      </c>
      <c r="N1391" s="2">
        <f ca="1">INDEX(INDIRECT(_xlfn.CONCAT("weather.tbl[",N$1,"]")),MATCH(vp.tbl[[#This Row],[SDate]],weather.tbl[Date],0))</f>
        <v>9.5333333333333332</v>
      </c>
      <c r="O1391" s="2">
        <f ca="1">INDEX(INDIRECT(_xlfn.CONCAT("weather.tbl[",O$1,"]")),MATCH(vp.tbl[[#This Row],[SDate]],weather.tbl[Date],0))</f>
        <v>7.8952380952380965</v>
      </c>
      <c r="P1391" s="2">
        <f ca="1">INDEX(INDIRECT(_xlfn.CONCAT("weather.tbl[",P$1,"]")),MATCH(vp.tbl[[#This Row],[SDate]],weather.tbl[Date],0))</f>
        <v>9.5</v>
      </c>
      <c r="Q1391" s="2">
        <f ca="1">INDEX(INDIRECT(_xlfn.CONCAT("weather.tbl[",Q$1,"]")),MATCH(vp.tbl[[#This Row],[SDate]],weather.tbl[Date],0))</f>
        <v>9</v>
      </c>
      <c r="R1391" s="2">
        <f ca="1">INDEX(INDIRECT(_xlfn.CONCAT("weather.tbl[",R$1,"]")),MATCH(vp.tbl[[#This Row],[SDate]],weather.tbl[Date],0))</f>
        <v>10</v>
      </c>
      <c r="S1391" s="2">
        <f ca="1">INDEX(INDIRECT(_xlfn.CONCAT("weather.tbl[",S$1,"]")),MATCH(vp.tbl[[#This Row],[SDate]],weather.tbl[Date],0))</f>
        <v>9.4</v>
      </c>
      <c r="T1391" s="2">
        <f ca="1">INDEX(INDIRECT(_xlfn.CONCAT("weather.tbl[",T$1,"]")),MATCH(vp.tbl[[#This Row],[SDate]],weather.tbl[Date],0))</f>
        <v>10</v>
      </c>
      <c r="U1391" s="2">
        <f ca="1">INDEX(INDIRECT(_xlfn.CONCAT("weather.tbl[",U$1,"]")),MATCH(vp.tbl[[#This Row],[SDate]],weather.tbl[Date],0))</f>
        <v>9.3000000000000007</v>
      </c>
      <c r="V1391" s="2">
        <v>5265.8419999999996</v>
      </c>
      <c r="W1391" t="s">
        <v>48</v>
      </c>
      <c r="X1391">
        <f>IF(OR(vp.tbl[[#This Row],[Sulf]]="",vp.tbl[[#This Row],[Dens]]=""),1,0)</f>
        <v>0</v>
      </c>
      <c r="Y1391">
        <f>IF(vp.tbl[[#This Row],[CrudeType]]="C5+",1,0)</f>
        <v>0</v>
      </c>
      <c r="Z1391">
        <f>IF(AND(vp.tbl[[#This Row],[CrudeType]]="Crude",vp.tbl[[#This Row],[Dens]]&lt;=825,vp.tbl[[#This Row],[Sulf]]&gt;0.5,vp.tbl[[#This Row],[Unknown]]=0),1,0)</f>
        <v>0</v>
      </c>
      <c r="AA1391">
        <f>IF(AND(vp.tbl[[#This Row],[CrudeType]]="Crude",vp.tbl[[#This Row],[Dens]]&lt;=825,vp.tbl[[#This Row],[Sulf]]&lt;=0.5,vp.tbl[[#This Row],[Unknown]]=0),1,0)</f>
        <v>0</v>
      </c>
      <c r="AB1391">
        <f>IF(AND(vp.tbl[[#This Row],[CrudeType]]="Crude",vp.tbl[[#This Row],[Dens]]&gt;825,vp.tbl[[#This Row],[Dens]]&lt;=870,vp.tbl[[#This Row],[Sulf]]&gt;0.5,vp.tbl[[#This Row],[Unknown]]=0),1,0)</f>
        <v>1</v>
      </c>
      <c r="AC1391">
        <f>IF(AND(vp.tbl[[#This Row],[CrudeType]]="Crude",vp.tbl[[#This Row],[Dens]]&gt;825,vp.tbl[[#This Row],[Dens]]&lt;=900,vp.tbl[[#This Row],[Sulf]]&lt;=0.5,vp.tbl[[#This Row],[Unknown]]=0),1,0)</f>
        <v>0</v>
      </c>
      <c r="AD1391">
        <f>IF(AND(vp.tbl[[#This Row],[CrudeType]]="Crude",vp.tbl[[#This Row],[Dens]]&gt;870,vp.tbl[[#This Row],[Dens]]&lt;=900,vp.tbl[[#This Row],[Sulf]]&gt;0.5,vp.tbl[[#This Row],[Unknown]]=0),1,0)</f>
        <v>0</v>
      </c>
      <c r="AE1391">
        <f>IF(AND(vp.tbl[[#This Row],[CrudeType]]="Crude",vp.tbl[[#This Row],[Dens]]&gt;900,vp.tbl[[#This Row],[Sulf]]&lt;=0.5,vp.tbl[[#This Row],[Unknown]]=0),1,0)</f>
        <v>0</v>
      </c>
      <c r="AF1391">
        <f>IF(AND(vp.tbl[[#This Row],[CrudeType]]="Crude",vp.tbl[[#This Row],[Dens]]&gt;900,vp.tbl[[#This Row],[Sulf]]&lt;=0.5,vp.tbl[[#This Row],[Unknown]]=0),1,0)</f>
        <v>0</v>
      </c>
      <c r="AG1391" t="str">
        <f>INDEX(vp.tbl[[#Headers],[Unknown]:[Heavy_SW]],MATCH(1,vp.tbl[[#This Row],[Unknown]:[Heavy_SW]],0))</f>
        <v>Medium_LSB</v>
      </c>
      <c r="AH1391" t="e">
        <f>INDEX([1]!crudeBD.lkup[Number],MATCH(vp.tbl[[#This Row],[Crude_Breakdown]],[1]!crudeBD.lkup[Crude Breakdown],0))</f>
        <v>#REF!</v>
      </c>
      <c r="AI1391">
        <f>MONTH(vp.tbl[[#This Row],[SDate]])</f>
        <v>5</v>
      </c>
      <c r="AJ1391" s="5">
        <f>IFERROR(vp.tbl[[#This Row],[Sulf]]*vp.tbl[[#This Row],[Net Dens]],"")</f>
        <v>12591286.45225</v>
      </c>
      <c r="AK1391" s="5">
        <f>IFERROR(vp.tbl[[#This Row],[Dens]]*vp.tbl[[#This Row],[VolumeM3]],"")</f>
        <v>4578649.6189999999</v>
      </c>
      <c r="AL1391" s="5">
        <f>IFERROR(vp.tbl[[#This Row],[VP]]*vp.tbl[[#This Row],[VolumeM3]],"")</f>
        <v>337540.47219999996</v>
      </c>
      <c r="AM1391" s="4">
        <f>IFERROR((vp.tbl[[#This Row],[VP]]-INDEX(crudeBD.lkup.complete[Mean_VP],MATCH(vp.tbl[[#This Row],[Crude_Breakdown]],crudeBD.lkup.complete[Crude Breakdown],0)))^2,"")</f>
        <v>258.3604541893917</v>
      </c>
      <c r="AN1391" s="4">
        <f>IFERROR((vp.tbl[[#This Row],[Dens]]-INDEX(crudeBD.lkup.complete[Mean_Dens],MATCH(vp.tbl[[#This Row],[Crude_Breakdown]],crudeBD.lkup.complete[Crude Breakdown],0)))^2,"")</f>
        <v>586.03584408208576</v>
      </c>
      <c r="AO1391" s="4">
        <f>IFERROR((vp.tbl[[#This Row],[Sulf]]-INDEX(crudeBD.lkup.complete[Mean_Sulf],MATCH(vp.tbl[[#This Row],[Crude_Breakdown]],crudeBD.lkup.complete[Crude Breakdown],0)))^2,"")</f>
        <v>1.6772066655524207</v>
      </c>
      <c r="AP1391">
        <f>IF(AND(vp.tbl[[#This Row],[SDate]]&gt;=DATE(YEAR(vp.tbl[[#This Row],[SDate]]),5,1),vp.tbl[[#This Row],[SDate]]&lt;=DATE(YEAR(vp.tbl[[#This Row],[SDate]]),9,15)),1,0)</f>
        <v>1</v>
      </c>
      <c r="AQ1391" s="15">
        <f>IF(vp.tbl[[#This Row],[SDate]]&lt;DATE(2016,12,1),0,1)</f>
        <v>1</v>
      </c>
    </row>
    <row r="1392" spans="1:43" x14ac:dyDescent="0.25">
      <c r="A1392">
        <v>1391</v>
      </c>
      <c r="B1392" t="s">
        <v>51</v>
      </c>
      <c r="C1392" t="s">
        <v>51</v>
      </c>
      <c r="D1392" t="s">
        <v>58</v>
      </c>
      <c r="F1392" s="1">
        <v>42858</v>
      </c>
      <c r="G1392" s="2">
        <v>93</v>
      </c>
      <c r="H1392" s="2"/>
      <c r="I1392" s="2">
        <v>1.51</v>
      </c>
      <c r="J1392" s="2"/>
      <c r="K1392" s="2"/>
      <c r="L1392" s="2">
        <v>824.4</v>
      </c>
      <c r="M1392" s="2">
        <v>824.4</v>
      </c>
      <c r="N1392" s="2">
        <f ca="1">INDEX(INDIRECT(_xlfn.CONCAT("weather.tbl[",N$1,"]")),MATCH(vp.tbl[[#This Row],[SDate]],weather.tbl[Date],0))</f>
        <v>9.5333333333333332</v>
      </c>
      <c r="O1392" s="2">
        <f ca="1">INDEX(INDIRECT(_xlfn.CONCAT("weather.tbl[",O$1,"]")),MATCH(vp.tbl[[#This Row],[SDate]],weather.tbl[Date],0))</f>
        <v>7.8952380952380965</v>
      </c>
      <c r="P1392" s="2">
        <f ca="1">INDEX(INDIRECT(_xlfn.CONCAT("weather.tbl[",P$1,"]")),MATCH(vp.tbl[[#This Row],[SDate]],weather.tbl[Date],0))</f>
        <v>9.5</v>
      </c>
      <c r="Q1392" s="2">
        <f ca="1">INDEX(INDIRECT(_xlfn.CONCAT("weather.tbl[",Q$1,"]")),MATCH(vp.tbl[[#This Row],[SDate]],weather.tbl[Date],0))</f>
        <v>9</v>
      </c>
      <c r="R1392" s="2">
        <f ca="1">INDEX(INDIRECT(_xlfn.CONCAT("weather.tbl[",R$1,"]")),MATCH(vp.tbl[[#This Row],[SDate]],weather.tbl[Date],0))</f>
        <v>10</v>
      </c>
      <c r="S1392" s="2">
        <f ca="1">INDEX(INDIRECT(_xlfn.CONCAT("weather.tbl[",S$1,"]")),MATCH(vp.tbl[[#This Row],[SDate]],weather.tbl[Date],0))</f>
        <v>9.4</v>
      </c>
      <c r="T1392" s="2">
        <f ca="1">INDEX(INDIRECT(_xlfn.CONCAT("weather.tbl[",T$1,"]")),MATCH(vp.tbl[[#This Row],[SDate]],weather.tbl[Date],0))</f>
        <v>10</v>
      </c>
      <c r="U1392" s="2">
        <f ca="1">INDEX(INDIRECT(_xlfn.CONCAT("weather.tbl[",U$1,"]")),MATCH(vp.tbl[[#This Row],[SDate]],weather.tbl[Date],0))</f>
        <v>9.3000000000000007</v>
      </c>
      <c r="V1392" s="2">
        <v>5887.6930000000002</v>
      </c>
      <c r="W1392" t="s">
        <v>48</v>
      </c>
      <c r="X1392">
        <f>IF(OR(vp.tbl[[#This Row],[Sulf]]="",vp.tbl[[#This Row],[Dens]]=""),1,0)</f>
        <v>0</v>
      </c>
      <c r="Y1392">
        <f>IF(vp.tbl[[#This Row],[CrudeType]]="C5+",1,0)</f>
        <v>0</v>
      </c>
      <c r="Z1392">
        <f>IF(AND(vp.tbl[[#This Row],[CrudeType]]="Crude",vp.tbl[[#This Row],[Dens]]&lt;=825,vp.tbl[[#This Row],[Sulf]]&gt;0.5,vp.tbl[[#This Row],[Unknown]]=0),1,0)</f>
        <v>1</v>
      </c>
      <c r="AA1392">
        <f>IF(AND(vp.tbl[[#This Row],[CrudeType]]="Crude",vp.tbl[[#This Row],[Dens]]&lt;=825,vp.tbl[[#This Row],[Sulf]]&lt;=0.5,vp.tbl[[#This Row],[Unknown]]=0),1,0)</f>
        <v>0</v>
      </c>
      <c r="AB1392">
        <f>IF(AND(vp.tbl[[#This Row],[CrudeType]]="Crude",vp.tbl[[#This Row],[Dens]]&gt;825,vp.tbl[[#This Row],[Dens]]&lt;=870,vp.tbl[[#This Row],[Sulf]]&gt;0.5,vp.tbl[[#This Row],[Unknown]]=0),1,0)</f>
        <v>0</v>
      </c>
      <c r="AC1392">
        <f>IF(AND(vp.tbl[[#This Row],[CrudeType]]="Crude",vp.tbl[[#This Row],[Dens]]&gt;825,vp.tbl[[#This Row],[Dens]]&lt;=900,vp.tbl[[#This Row],[Sulf]]&lt;=0.5,vp.tbl[[#This Row],[Unknown]]=0),1,0)</f>
        <v>0</v>
      </c>
      <c r="AD1392">
        <f>IF(AND(vp.tbl[[#This Row],[CrudeType]]="Crude",vp.tbl[[#This Row],[Dens]]&gt;870,vp.tbl[[#This Row],[Dens]]&lt;=900,vp.tbl[[#This Row],[Sulf]]&gt;0.5,vp.tbl[[#This Row],[Unknown]]=0),1,0)</f>
        <v>0</v>
      </c>
      <c r="AE1392">
        <f>IF(AND(vp.tbl[[#This Row],[CrudeType]]="Crude",vp.tbl[[#This Row],[Dens]]&gt;900,vp.tbl[[#This Row],[Sulf]]&lt;=0.5,vp.tbl[[#This Row],[Unknown]]=0),1,0)</f>
        <v>0</v>
      </c>
      <c r="AF1392">
        <f>IF(AND(vp.tbl[[#This Row],[CrudeType]]="Crude",vp.tbl[[#This Row],[Dens]]&gt;900,vp.tbl[[#This Row],[Sulf]]&lt;=0.5,vp.tbl[[#This Row],[Unknown]]=0),1,0)</f>
        <v>0</v>
      </c>
      <c r="AG1392" t="str">
        <f>INDEX(vp.tbl[[#Headers],[Unknown]:[Heavy_SW]],MATCH(1,vp.tbl[[#This Row],[Unknown]:[Heavy_SW]],0))</f>
        <v>Light_LSB</v>
      </c>
      <c r="AH1392" t="e">
        <f>INDEX([1]!crudeBD.lkup[Number],MATCH(vp.tbl[[#This Row],[Crude_Breakdown]],[1]!crudeBD.lkup[Crude Breakdown],0))</f>
        <v>#REF!</v>
      </c>
      <c r="AI1392">
        <f>MONTH(vp.tbl[[#This Row],[SDate]])</f>
        <v>5</v>
      </c>
      <c r="AJ1392" s="5">
        <f>IFERROR(vp.tbl[[#This Row],[Sulf]]*vp.tbl[[#This Row],[Net Dens]],"")</f>
        <v>7329259.3048919998</v>
      </c>
      <c r="AK1392" s="5">
        <f>IFERROR(vp.tbl[[#This Row],[Dens]]*vp.tbl[[#This Row],[VolumeM3]],"")</f>
        <v>4853814.1091999998</v>
      </c>
      <c r="AL1392" s="5">
        <f>IFERROR(vp.tbl[[#This Row],[VP]]*vp.tbl[[#This Row],[VolumeM3]],"")</f>
        <v>547555.44900000002</v>
      </c>
      <c r="AM1392" s="4">
        <f>IFERROR((vp.tbl[[#This Row],[VP]]-INDEX(crudeBD.lkup.complete[Mean_VP],MATCH(vp.tbl[[#This Row],[Crude_Breakdown]],crudeBD.lkup.complete[Crude Breakdown],0)))^2,"")</f>
        <v>2.1135764055690456</v>
      </c>
      <c r="AN1392" s="4">
        <f>IFERROR((vp.tbl[[#This Row],[Dens]]-INDEX(crudeBD.lkup.complete[Mean_Dens],MATCH(vp.tbl[[#This Row],[Crude_Breakdown]],crudeBD.lkup.complete[Crude Breakdown],0)))^2,"")</f>
        <v>34.612398063323418</v>
      </c>
      <c r="AO1392" s="4">
        <f>IFERROR((vp.tbl[[#This Row],[Sulf]]-INDEX(crudeBD.lkup.complete[Mean_Sulf],MATCH(vp.tbl[[#This Row],[Crude_Breakdown]],crudeBD.lkup.complete[Crude Breakdown],0)))^2,"")</f>
        <v>0.34460284914741357</v>
      </c>
      <c r="AP1392">
        <f>IF(AND(vp.tbl[[#This Row],[SDate]]&gt;=DATE(YEAR(vp.tbl[[#This Row],[SDate]]),5,1),vp.tbl[[#This Row],[SDate]]&lt;=DATE(YEAR(vp.tbl[[#This Row],[SDate]]),9,15)),1,0)</f>
        <v>1</v>
      </c>
      <c r="AQ1392" s="15">
        <f>IF(vp.tbl[[#This Row],[SDate]]&lt;DATE(2016,12,1),0,1)</f>
        <v>1</v>
      </c>
    </row>
    <row r="1393" spans="1:43" x14ac:dyDescent="0.25">
      <c r="A1393">
        <v>1392</v>
      </c>
      <c r="B1393" t="s">
        <v>292</v>
      </c>
      <c r="C1393" t="s">
        <v>292</v>
      </c>
      <c r="D1393" t="s">
        <v>57</v>
      </c>
      <c r="F1393" s="1">
        <v>42858</v>
      </c>
      <c r="G1393" s="2">
        <v>79.3</v>
      </c>
      <c r="H1393" s="2"/>
      <c r="I1393" s="2">
        <v>1.78</v>
      </c>
      <c r="J1393" s="2"/>
      <c r="K1393" s="2"/>
      <c r="L1393" s="2">
        <v>847.3</v>
      </c>
      <c r="M1393" s="2">
        <v>847.3</v>
      </c>
      <c r="N1393" s="2">
        <f ca="1">INDEX(INDIRECT(_xlfn.CONCAT("weather.tbl[",N$1,"]")),MATCH(vp.tbl[[#This Row],[SDate]],weather.tbl[Date],0))</f>
        <v>9.5333333333333332</v>
      </c>
      <c r="O1393" s="2">
        <f ca="1">INDEX(INDIRECT(_xlfn.CONCAT("weather.tbl[",O$1,"]")),MATCH(vp.tbl[[#This Row],[SDate]],weather.tbl[Date],0))</f>
        <v>7.8952380952380965</v>
      </c>
      <c r="P1393" s="2">
        <f ca="1">INDEX(INDIRECT(_xlfn.CONCAT("weather.tbl[",P$1,"]")),MATCH(vp.tbl[[#This Row],[SDate]],weather.tbl[Date],0))</f>
        <v>9.5</v>
      </c>
      <c r="Q1393" s="2">
        <f ca="1">INDEX(INDIRECT(_xlfn.CONCAT("weather.tbl[",Q$1,"]")),MATCH(vp.tbl[[#This Row],[SDate]],weather.tbl[Date],0))</f>
        <v>9</v>
      </c>
      <c r="R1393" s="2">
        <f ca="1">INDEX(INDIRECT(_xlfn.CONCAT("weather.tbl[",R$1,"]")),MATCH(vp.tbl[[#This Row],[SDate]],weather.tbl[Date],0))</f>
        <v>10</v>
      </c>
      <c r="S1393" s="2">
        <f ca="1">INDEX(INDIRECT(_xlfn.CONCAT("weather.tbl[",S$1,"]")),MATCH(vp.tbl[[#This Row],[SDate]],weather.tbl[Date],0))</f>
        <v>9.4</v>
      </c>
      <c r="T1393" s="2">
        <f ca="1">INDEX(INDIRECT(_xlfn.CONCAT("weather.tbl[",T$1,"]")),MATCH(vp.tbl[[#This Row],[SDate]],weather.tbl[Date],0))</f>
        <v>10</v>
      </c>
      <c r="U1393" s="2">
        <f ca="1">INDEX(INDIRECT(_xlfn.CONCAT("weather.tbl[",U$1,"]")),MATCH(vp.tbl[[#This Row],[SDate]],weather.tbl[Date],0))</f>
        <v>9.3000000000000007</v>
      </c>
      <c r="V1393" s="2">
        <v>3038.6930000000002</v>
      </c>
      <c r="W1393" t="s">
        <v>48</v>
      </c>
      <c r="X1393">
        <f>IF(OR(vp.tbl[[#This Row],[Sulf]]="",vp.tbl[[#This Row],[Dens]]=""),1,0)</f>
        <v>0</v>
      </c>
      <c r="Y1393">
        <f>IF(vp.tbl[[#This Row],[CrudeType]]="C5+",1,0)</f>
        <v>0</v>
      </c>
      <c r="Z1393">
        <f>IF(AND(vp.tbl[[#This Row],[CrudeType]]="Crude",vp.tbl[[#This Row],[Dens]]&lt;=825,vp.tbl[[#This Row],[Sulf]]&gt;0.5,vp.tbl[[#This Row],[Unknown]]=0),1,0)</f>
        <v>0</v>
      </c>
      <c r="AA1393">
        <f>IF(AND(vp.tbl[[#This Row],[CrudeType]]="Crude",vp.tbl[[#This Row],[Dens]]&lt;=825,vp.tbl[[#This Row],[Sulf]]&lt;=0.5,vp.tbl[[#This Row],[Unknown]]=0),1,0)</f>
        <v>0</v>
      </c>
      <c r="AB1393">
        <f>IF(AND(vp.tbl[[#This Row],[CrudeType]]="Crude",vp.tbl[[#This Row],[Dens]]&gt;825,vp.tbl[[#This Row],[Dens]]&lt;=870,vp.tbl[[#This Row],[Sulf]]&gt;0.5,vp.tbl[[#This Row],[Unknown]]=0),1,0)</f>
        <v>1</v>
      </c>
      <c r="AC1393">
        <f>IF(AND(vp.tbl[[#This Row],[CrudeType]]="Crude",vp.tbl[[#This Row],[Dens]]&gt;825,vp.tbl[[#This Row],[Dens]]&lt;=900,vp.tbl[[#This Row],[Sulf]]&lt;=0.5,vp.tbl[[#This Row],[Unknown]]=0),1,0)</f>
        <v>0</v>
      </c>
      <c r="AD1393">
        <f>IF(AND(vp.tbl[[#This Row],[CrudeType]]="Crude",vp.tbl[[#This Row],[Dens]]&gt;870,vp.tbl[[#This Row],[Dens]]&lt;=900,vp.tbl[[#This Row],[Sulf]]&gt;0.5,vp.tbl[[#This Row],[Unknown]]=0),1,0)</f>
        <v>0</v>
      </c>
      <c r="AE1393">
        <f>IF(AND(vp.tbl[[#This Row],[CrudeType]]="Crude",vp.tbl[[#This Row],[Dens]]&gt;900,vp.tbl[[#This Row],[Sulf]]&lt;=0.5,vp.tbl[[#This Row],[Unknown]]=0),1,0)</f>
        <v>0</v>
      </c>
      <c r="AF1393">
        <f>IF(AND(vp.tbl[[#This Row],[CrudeType]]="Crude",vp.tbl[[#This Row],[Dens]]&gt;900,vp.tbl[[#This Row],[Sulf]]&lt;=0.5,vp.tbl[[#This Row],[Unknown]]=0),1,0)</f>
        <v>0</v>
      </c>
      <c r="AG1393" t="str">
        <f>INDEX(vp.tbl[[#Headers],[Unknown]:[Heavy_SW]],MATCH(1,vp.tbl[[#This Row],[Unknown]:[Heavy_SW]],0))</f>
        <v>Medium_LSB</v>
      </c>
      <c r="AH1393" t="e">
        <f>INDEX([1]!crudeBD.lkup[Number],MATCH(vp.tbl[[#This Row],[Crude_Breakdown]],[1]!crudeBD.lkup[Crude Breakdown],0))</f>
        <v>#REF!</v>
      </c>
      <c r="AI1393">
        <f>MONTH(vp.tbl[[#This Row],[SDate]])</f>
        <v>5</v>
      </c>
      <c r="AJ1393" s="5">
        <f>IFERROR(vp.tbl[[#This Row],[Sulf]]*vp.tbl[[#This Row],[Net Dens]],"")</f>
        <v>4582938.5504419999</v>
      </c>
      <c r="AK1393" s="5">
        <f>IFERROR(vp.tbl[[#This Row],[Dens]]*vp.tbl[[#This Row],[VolumeM3]],"")</f>
        <v>2574684.5789000001</v>
      </c>
      <c r="AL1393" s="5">
        <f>IFERROR(vp.tbl[[#This Row],[VP]]*vp.tbl[[#This Row],[VolumeM3]],"")</f>
        <v>240968.35490000001</v>
      </c>
      <c r="AM1393" s="4">
        <f>IFERROR((vp.tbl[[#This Row],[VP]]-INDEX(crudeBD.lkup.complete[Mean_VP],MATCH(vp.tbl[[#This Row],[Crude_Breakdown]],crudeBD.lkup.complete[Crude Breakdown],0)))^2,"")</f>
        <v>0.76316811344329893</v>
      </c>
      <c r="AN1393" s="4">
        <f>IFERROR((vp.tbl[[#This Row],[Dens]]-INDEX(crudeBD.lkup.complete[Mean_Dens],MATCH(vp.tbl[[#This Row],[Crude_Breakdown]],crudeBD.lkup.complete[Crude Breakdown],0)))^2,"")</f>
        <v>4.0327757276115275</v>
      </c>
      <c r="AO1393" s="4">
        <f>IFERROR((vp.tbl[[#This Row],[Sulf]]-INDEX(crudeBD.lkup.complete[Mean_Sulf],MATCH(vp.tbl[[#This Row],[Crude_Breakdown]],crudeBD.lkup.complete[Crude Breakdown],0)))^2,"")</f>
        <v>0.10567059542584123</v>
      </c>
      <c r="AP1393">
        <f>IF(AND(vp.tbl[[#This Row],[SDate]]&gt;=DATE(YEAR(vp.tbl[[#This Row],[SDate]]),5,1),vp.tbl[[#This Row],[SDate]]&lt;=DATE(YEAR(vp.tbl[[#This Row],[SDate]]),9,15)),1,0)</f>
        <v>1</v>
      </c>
      <c r="AQ1393" s="15">
        <f>IF(vp.tbl[[#This Row],[SDate]]&lt;DATE(2016,12,1),0,1)</f>
        <v>1</v>
      </c>
    </row>
    <row r="1394" spans="1:43" x14ac:dyDescent="0.25">
      <c r="A1394">
        <v>1393</v>
      </c>
      <c r="B1394" t="s">
        <v>62</v>
      </c>
      <c r="C1394" t="s">
        <v>62</v>
      </c>
      <c r="D1394" t="s">
        <v>79</v>
      </c>
      <c r="F1394" s="1">
        <v>42858</v>
      </c>
      <c r="G1394" s="2">
        <v>79</v>
      </c>
      <c r="H1394" s="2"/>
      <c r="I1394" s="2">
        <v>0.35</v>
      </c>
      <c r="J1394" s="2"/>
      <c r="K1394" s="2"/>
      <c r="L1394" s="2">
        <v>808.1</v>
      </c>
      <c r="M1394" s="2">
        <v>808.1</v>
      </c>
      <c r="N1394" s="2">
        <f ca="1">INDEX(INDIRECT(_xlfn.CONCAT("weather.tbl[",N$1,"]")),MATCH(vp.tbl[[#This Row],[SDate]],weather.tbl[Date],0))</f>
        <v>9.5333333333333332</v>
      </c>
      <c r="O1394" s="2">
        <f ca="1">INDEX(INDIRECT(_xlfn.CONCAT("weather.tbl[",O$1,"]")),MATCH(vp.tbl[[#This Row],[SDate]],weather.tbl[Date],0))</f>
        <v>7.8952380952380965</v>
      </c>
      <c r="P1394" s="2">
        <f ca="1">INDEX(INDIRECT(_xlfn.CONCAT("weather.tbl[",P$1,"]")),MATCH(vp.tbl[[#This Row],[SDate]],weather.tbl[Date],0))</f>
        <v>9.5</v>
      </c>
      <c r="Q1394" s="2">
        <f ca="1">INDEX(INDIRECT(_xlfn.CONCAT("weather.tbl[",Q$1,"]")),MATCH(vp.tbl[[#This Row],[SDate]],weather.tbl[Date],0))</f>
        <v>9</v>
      </c>
      <c r="R1394" s="2">
        <f ca="1">INDEX(INDIRECT(_xlfn.CONCAT("weather.tbl[",R$1,"]")),MATCH(vp.tbl[[#This Row],[SDate]],weather.tbl[Date],0))</f>
        <v>10</v>
      </c>
      <c r="S1394" s="2">
        <f ca="1">INDEX(INDIRECT(_xlfn.CONCAT("weather.tbl[",S$1,"]")),MATCH(vp.tbl[[#This Row],[SDate]],weather.tbl[Date],0))</f>
        <v>9.4</v>
      </c>
      <c r="T1394" s="2">
        <f ca="1">INDEX(INDIRECT(_xlfn.CONCAT("weather.tbl[",T$1,"]")),MATCH(vp.tbl[[#This Row],[SDate]],weather.tbl[Date],0))</f>
        <v>10</v>
      </c>
      <c r="U1394" s="2">
        <f ca="1">INDEX(INDIRECT(_xlfn.CONCAT("weather.tbl[",U$1,"]")),MATCH(vp.tbl[[#This Row],[SDate]],weather.tbl[Date],0))</f>
        <v>9.3000000000000007</v>
      </c>
      <c r="V1394" s="2">
        <v>12983.781000000001</v>
      </c>
      <c r="W1394" t="s">
        <v>48</v>
      </c>
      <c r="X1394">
        <f>IF(OR(vp.tbl[[#This Row],[Sulf]]="",vp.tbl[[#This Row],[Dens]]=""),1,0)</f>
        <v>0</v>
      </c>
      <c r="Y1394">
        <f>IF(vp.tbl[[#This Row],[CrudeType]]="C5+",1,0)</f>
        <v>0</v>
      </c>
      <c r="Z1394">
        <f>IF(AND(vp.tbl[[#This Row],[CrudeType]]="Crude",vp.tbl[[#This Row],[Dens]]&lt;=825,vp.tbl[[#This Row],[Sulf]]&gt;0.5,vp.tbl[[#This Row],[Unknown]]=0),1,0)</f>
        <v>0</v>
      </c>
      <c r="AA1394">
        <f>IF(AND(vp.tbl[[#This Row],[CrudeType]]="Crude",vp.tbl[[#This Row],[Dens]]&lt;=825,vp.tbl[[#This Row],[Sulf]]&lt;=0.5,vp.tbl[[#This Row],[Unknown]]=0),1,0)</f>
        <v>1</v>
      </c>
      <c r="AB1394">
        <f>IF(AND(vp.tbl[[#This Row],[CrudeType]]="Crude",vp.tbl[[#This Row],[Dens]]&gt;825,vp.tbl[[#This Row],[Dens]]&lt;=870,vp.tbl[[#This Row],[Sulf]]&gt;0.5,vp.tbl[[#This Row],[Unknown]]=0),1,0)</f>
        <v>0</v>
      </c>
      <c r="AC1394">
        <f>IF(AND(vp.tbl[[#This Row],[CrudeType]]="Crude",vp.tbl[[#This Row],[Dens]]&gt;825,vp.tbl[[#This Row],[Dens]]&lt;=900,vp.tbl[[#This Row],[Sulf]]&lt;=0.5,vp.tbl[[#This Row],[Unknown]]=0),1,0)</f>
        <v>0</v>
      </c>
      <c r="AD1394">
        <f>IF(AND(vp.tbl[[#This Row],[CrudeType]]="Crude",vp.tbl[[#This Row],[Dens]]&gt;870,vp.tbl[[#This Row],[Dens]]&lt;=900,vp.tbl[[#This Row],[Sulf]]&gt;0.5,vp.tbl[[#This Row],[Unknown]]=0),1,0)</f>
        <v>0</v>
      </c>
      <c r="AE1394">
        <f>IF(AND(vp.tbl[[#This Row],[CrudeType]]="Crude",vp.tbl[[#This Row],[Dens]]&gt;900,vp.tbl[[#This Row],[Sulf]]&lt;=0.5,vp.tbl[[#This Row],[Unknown]]=0),1,0)</f>
        <v>0</v>
      </c>
      <c r="AF1394">
        <f>IF(AND(vp.tbl[[#This Row],[CrudeType]]="Crude",vp.tbl[[#This Row],[Dens]]&gt;900,vp.tbl[[#This Row],[Sulf]]&lt;=0.5,vp.tbl[[#This Row],[Unknown]]=0),1,0)</f>
        <v>0</v>
      </c>
      <c r="AG1394" t="str">
        <f>INDEX(vp.tbl[[#Headers],[Unknown]:[Heavy_SW]],MATCH(1,vp.tbl[[#This Row],[Unknown]:[Heavy_SW]],0))</f>
        <v>Light_SW</v>
      </c>
      <c r="AH1394" t="e">
        <f>INDEX([1]!crudeBD.lkup[Number],MATCH(vp.tbl[[#This Row],[Crude_Breakdown]],[1]!crudeBD.lkup[Crude Breakdown],0))</f>
        <v>#REF!</v>
      </c>
      <c r="AI1394">
        <f>MONTH(vp.tbl[[#This Row],[SDate]])</f>
        <v>5</v>
      </c>
      <c r="AJ1394" s="5">
        <f>IFERROR(vp.tbl[[#This Row],[Sulf]]*vp.tbl[[#This Row],[Net Dens]],"")</f>
        <v>3672267.6991349999</v>
      </c>
      <c r="AK1394" s="5">
        <f>IFERROR(vp.tbl[[#This Row],[Dens]]*vp.tbl[[#This Row],[VolumeM3]],"")</f>
        <v>10492193.426100001</v>
      </c>
      <c r="AL1394" s="5">
        <f>IFERROR(vp.tbl[[#This Row],[VP]]*vp.tbl[[#This Row],[VolumeM3]],"")</f>
        <v>1025718.699</v>
      </c>
      <c r="AM1394" s="4">
        <f>IFERROR((vp.tbl[[#This Row],[VP]]-INDEX(crudeBD.lkup.complete[Mean_VP],MATCH(vp.tbl[[#This Row],[Crude_Breakdown]],crudeBD.lkup.complete[Crude Breakdown],0)))^2,"")</f>
        <v>183.61099835617688</v>
      </c>
      <c r="AN1394" s="4">
        <f>IFERROR((vp.tbl[[#This Row],[Dens]]-INDEX(crudeBD.lkup.complete[Mean_Dens],MATCH(vp.tbl[[#This Row],[Crude_Breakdown]],crudeBD.lkup.complete[Crude Breakdown],0)))^2,"")</f>
        <v>4.473151306913524E-2</v>
      </c>
      <c r="AO1394" s="4">
        <f>IFERROR((vp.tbl[[#This Row],[Sulf]]-INDEX(crudeBD.lkup.complete[Mean_Sulf],MATCH(vp.tbl[[#This Row],[Crude_Breakdown]],crudeBD.lkup.complete[Crude Breakdown],0)))^2,"")</f>
        <v>1.2940925371923933E-2</v>
      </c>
      <c r="AP1394">
        <f>IF(AND(vp.tbl[[#This Row],[SDate]]&gt;=DATE(YEAR(vp.tbl[[#This Row],[SDate]]),5,1),vp.tbl[[#This Row],[SDate]]&lt;=DATE(YEAR(vp.tbl[[#This Row],[SDate]]),9,15)),1,0)</f>
        <v>1</v>
      </c>
      <c r="AQ1394" s="15">
        <f>IF(vp.tbl[[#This Row],[SDate]]&lt;DATE(2016,12,1),0,1)</f>
        <v>1</v>
      </c>
    </row>
    <row r="1395" spans="1:43" x14ac:dyDescent="0.25">
      <c r="A1395">
        <v>1394</v>
      </c>
      <c r="B1395" t="s">
        <v>51</v>
      </c>
      <c r="C1395" t="s">
        <v>51</v>
      </c>
      <c r="D1395" t="s">
        <v>71</v>
      </c>
      <c r="F1395" s="1">
        <v>42858</v>
      </c>
      <c r="G1395" s="2">
        <v>84.9</v>
      </c>
      <c r="H1395" s="2"/>
      <c r="I1395" s="2">
        <v>1.58</v>
      </c>
      <c r="J1395" s="2"/>
      <c r="K1395" s="2"/>
      <c r="L1395" s="2">
        <v>821.3</v>
      </c>
      <c r="M1395" s="2">
        <v>821.3</v>
      </c>
      <c r="N1395" s="2">
        <f ca="1">INDEX(INDIRECT(_xlfn.CONCAT("weather.tbl[",N$1,"]")),MATCH(vp.tbl[[#This Row],[SDate]],weather.tbl[Date],0))</f>
        <v>9.5333333333333332</v>
      </c>
      <c r="O1395" s="2">
        <f ca="1">INDEX(INDIRECT(_xlfn.CONCAT("weather.tbl[",O$1,"]")),MATCH(vp.tbl[[#This Row],[SDate]],weather.tbl[Date],0))</f>
        <v>7.8952380952380965</v>
      </c>
      <c r="P1395" s="2">
        <f ca="1">INDEX(INDIRECT(_xlfn.CONCAT("weather.tbl[",P$1,"]")),MATCH(vp.tbl[[#This Row],[SDate]],weather.tbl[Date],0))</f>
        <v>9.5</v>
      </c>
      <c r="Q1395" s="2">
        <f ca="1">INDEX(INDIRECT(_xlfn.CONCAT("weather.tbl[",Q$1,"]")),MATCH(vp.tbl[[#This Row],[SDate]],weather.tbl[Date],0))</f>
        <v>9</v>
      </c>
      <c r="R1395" s="2">
        <f ca="1">INDEX(INDIRECT(_xlfn.CONCAT("weather.tbl[",R$1,"]")),MATCH(vp.tbl[[#This Row],[SDate]],weather.tbl[Date],0))</f>
        <v>10</v>
      </c>
      <c r="S1395" s="2">
        <f ca="1">INDEX(INDIRECT(_xlfn.CONCAT("weather.tbl[",S$1,"]")),MATCH(vp.tbl[[#This Row],[SDate]],weather.tbl[Date],0))</f>
        <v>9.4</v>
      </c>
      <c r="T1395" s="2">
        <f ca="1">INDEX(INDIRECT(_xlfn.CONCAT("weather.tbl[",T$1,"]")),MATCH(vp.tbl[[#This Row],[SDate]],weather.tbl[Date],0))</f>
        <v>10</v>
      </c>
      <c r="U1395" s="2">
        <f ca="1">INDEX(INDIRECT(_xlfn.CONCAT("weather.tbl[",U$1,"]")),MATCH(vp.tbl[[#This Row],[SDate]],weather.tbl[Date],0))</f>
        <v>9.3000000000000007</v>
      </c>
      <c r="V1395" s="2">
        <v>9610.1779999999999</v>
      </c>
      <c r="W1395" t="s">
        <v>48</v>
      </c>
      <c r="X1395">
        <f>IF(OR(vp.tbl[[#This Row],[Sulf]]="",vp.tbl[[#This Row],[Dens]]=""),1,0)</f>
        <v>0</v>
      </c>
      <c r="Y1395">
        <f>IF(vp.tbl[[#This Row],[CrudeType]]="C5+",1,0)</f>
        <v>0</v>
      </c>
      <c r="Z1395">
        <f>IF(AND(vp.tbl[[#This Row],[CrudeType]]="Crude",vp.tbl[[#This Row],[Dens]]&lt;=825,vp.tbl[[#This Row],[Sulf]]&gt;0.5,vp.tbl[[#This Row],[Unknown]]=0),1,0)</f>
        <v>1</v>
      </c>
      <c r="AA1395">
        <f>IF(AND(vp.tbl[[#This Row],[CrudeType]]="Crude",vp.tbl[[#This Row],[Dens]]&lt;=825,vp.tbl[[#This Row],[Sulf]]&lt;=0.5,vp.tbl[[#This Row],[Unknown]]=0),1,0)</f>
        <v>0</v>
      </c>
      <c r="AB1395">
        <f>IF(AND(vp.tbl[[#This Row],[CrudeType]]="Crude",vp.tbl[[#This Row],[Dens]]&gt;825,vp.tbl[[#This Row],[Dens]]&lt;=870,vp.tbl[[#This Row],[Sulf]]&gt;0.5,vp.tbl[[#This Row],[Unknown]]=0),1,0)</f>
        <v>0</v>
      </c>
      <c r="AC1395">
        <f>IF(AND(vp.tbl[[#This Row],[CrudeType]]="Crude",vp.tbl[[#This Row],[Dens]]&gt;825,vp.tbl[[#This Row],[Dens]]&lt;=900,vp.tbl[[#This Row],[Sulf]]&lt;=0.5,vp.tbl[[#This Row],[Unknown]]=0),1,0)</f>
        <v>0</v>
      </c>
      <c r="AD1395">
        <f>IF(AND(vp.tbl[[#This Row],[CrudeType]]="Crude",vp.tbl[[#This Row],[Dens]]&gt;870,vp.tbl[[#This Row],[Dens]]&lt;=900,vp.tbl[[#This Row],[Sulf]]&gt;0.5,vp.tbl[[#This Row],[Unknown]]=0),1,0)</f>
        <v>0</v>
      </c>
      <c r="AE1395">
        <f>IF(AND(vp.tbl[[#This Row],[CrudeType]]="Crude",vp.tbl[[#This Row],[Dens]]&gt;900,vp.tbl[[#This Row],[Sulf]]&lt;=0.5,vp.tbl[[#This Row],[Unknown]]=0),1,0)</f>
        <v>0</v>
      </c>
      <c r="AF1395">
        <f>IF(AND(vp.tbl[[#This Row],[CrudeType]]="Crude",vp.tbl[[#This Row],[Dens]]&gt;900,vp.tbl[[#This Row],[Sulf]]&lt;=0.5,vp.tbl[[#This Row],[Unknown]]=0),1,0)</f>
        <v>0</v>
      </c>
      <c r="AG1395" t="str">
        <f>INDEX(vp.tbl[[#Headers],[Unknown]:[Heavy_SW]],MATCH(1,vp.tbl[[#This Row],[Unknown]:[Heavy_SW]],0))</f>
        <v>Light_LSB</v>
      </c>
      <c r="AH1395" t="e">
        <f>INDEX([1]!crudeBD.lkup[Number],MATCH(vp.tbl[[#This Row],[Crude_Breakdown]],[1]!crudeBD.lkup[Crude Breakdown],0))</f>
        <v>#REF!</v>
      </c>
      <c r="AI1395">
        <f>MONTH(vp.tbl[[#This Row],[SDate]])</f>
        <v>5</v>
      </c>
      <c r="AJ1395" s="5">
        <f>IFERROR(vp.tbl[[#This Row],[Sulf]]*vp.tbl[[#This Row],[Net Dens]],"")</f>
        <v>12470685.922412001</v>
      </c>
      <c r="AK1395" s="5">
        <f>IFERROR(vp.tbl[[#This Row],[Dens]]*vp.tbl[[#This Row],[VolumeM3]],"")</f>
        <v>7892839.1913999999</v>
      </c>
      <c r="AL1395" s="5">
        <f>IFERROR(vp.tbl[[#This Row],[VP]]*vp.tbl[[#This Row],[VolumeM3]],"")</f>
        <v>815904.11220000009</v>
      </c>
      <c r="AM1395" s="4">
        <f>IFERROR((vp.tbl[[#This Row],[VP]]-INDEX(crudeBD.lkup.complete[Mean_VP],MATCH(vp.tbl[[#This Row],[Crude_Breakdown]],crudeBD.lkup.complete[Crude Breakdown],0)))^2,"")</f>
        <v>44.171782591136484</v>
      </c>
      <c r="AN1395" s="4">
        <f>IFERROR((vp.tbl[[#This Row],[Dens]]-INDEX(crudeBD.lkup.complete[Mean_Dens],MATCH(vp.tbl[[#This Row],[Crude_Breakdown]],crudeBD.lkup.complete[Crude Breakdown],0)))^2,"")</f>
        <v>7.74637057191255</v>
      </c>
      <c r="AO1395" s="4">
        <f>IFERROR((vp.tbl[[#This Row],[Sulf]]-INDEX(crudeBD.lkup.complete[Mean_Sulf],MATCH(vp.tbl[[#This Row],[Crude_Breakdown]],crudeBD.lkup.complete[Crude Breakdown],0)))^2,"")</f>
        <v>0.43168688557353052</v>
      </c>
      <c r="AP1395">
        <f>IF(AND(vp.tbl[[#This Row],[SDate]]&gt;=DATE(YEAR(vp.tbl[[#This Row],[SDate]]),5,1),vp.tbl[[#This Row],[SDate]]&lt;=DATE(YEAR(vp.tbl[[#This Row],[SDate]]),9,15)),1,0)</f>
        <v>1</v>
      </c>
      <c r="AQ1395" s="15">
        <f>IF(vp.tbl[[#This Row],[SDate]]&lt;DATE(2016,12,1),0,1)</f>
        <v>1</v>
      </c>
    </row>
    <row r="1396" spans="1:43" x14ac:dyDescent="0.25">
      <c r="A1396">
        <v>1395</v>
      </c>
      <c r="B1396" t="s">
        <v>291</v>
      </c>
      <c r="C1396" t="s">
        <v>291</v>
      </c>
      <c r="D1396" t="s">
        <v>155</v>
      </c>
      <c r="F1396" s="1">
        <v>42860</v>
      </c>
      <c r="G1396" s="2">
        <v>66.099999999999994</v>
      </c>
      <c r="H1396" s="2"/>
      <c r="I1396" s="2">
        <v>0.87</v>
      </c>
      <c r="J1396" s="2"/>
      <c r="K1396" s="2"/>
      <c r="L1396" s="2">
        <v>833.7</v>
      </c>
      <c r="M1396" s="2">
        <v>833.7</v>
      </c>
      <c r="N1396" s="2">
        <f ca="1">INDEX(INDIRECT(_xlfn.CONCAT("weather.tbl[",N$1,"]")),MATCH(vp.tbl[[#This Row],[SDate]],weather.tbl[Date],0))</f>
        <v>17.383333333333333</v>
      </c>
      <c r="O1396" s="2">
        <f ca="1">INDEX(INDIRECT(_xlfn.CONCAT("weather.tbl[",O$1,"]")),MATCH(vp.tbl[[#This Row],[SDate]],weather.tbl[Date],0))</f>
        <v>11.080952380952382</v>
      </c>
      <c r="P1396" s="2">
        <f ca="1">INDEX(INDIRECT(_xlfn.CONCAT("weather.tbl[",P$1,"]")),MATCH(vp.tbl[[#This Row],[SDate]],weather.tbl[Date],0))</f>
        <v>17.8</v>
      </c>
      <c r="Q1396" s="2">
        <f ca="1">INDEX(INDIRECT(_xlfn.CONCAT("weather.tbl[",Q$1,"]")),MATCH(vp.tbl[[#This Row],[SDate]],weather.tbl[Date],0))</f>
        <v>16.899999999999999</v>
      </c>
      <c r="R1396" s="2">
        <f ca="1">INDEX(INDIRECT(_xlfn.CONCAT("weather.tbl[",R$1,"]")),MATCH(vp.tbl[[#This Row],[SDate]],weather.tbl[Date],0))</f>
        <v>17.8</v>
      </c>
      <c r="S1396" s="2">
        <f ca="1">INDEX(INDIRECT(_xlfn.CONCAT("weather.tbl[",S$1,"]")),MATCH(vp.tbl[[#This Row],[SDate]],weather.tbl[Date],0))</f>
        <v>17.3</v>
      </c>
      <c r="T1396" s="2">
        <f ca="1">INDEX(INDIRECT(_xlfn.CONCAT("weather.tbl[",T$1,"]")),MATCH(vp.tbl[[#This Row],[SDate]],weather.tbl[Date],0))</f>
        <v>15.7</v>
      </c>
      <c r="U1396" s="2">
        <f ca="1">INDEX(INDIRECT(_xlfn.CONCAT("weather.tbl[",U$1,"]")),MATCH(vp.tbl[[#This Row],[SDate]],weather.tbl[Date],0))</f>
        <v>18.8</v>
      </c>
      <c r="V1396" s="2">
        <v>397.38</v>
      </c>
      <c r="W1396" t="s">
        <v>48</v>
      </c>
      <c r="X1396">
        <f>IF(OR(vp.tbl[[#This Row],[Sulf]]="",vp.tbl[[#This Row],[Dens]]=""),1,0)</f>
        <v>0</v>
      </c>
      <c r="Y1396">
        <f>IF(vp.tbl[[#This Row],[CrudeType]]="C5+",1,0)</f>
        <v>0</v>
      </c>
      <c r="Z1396">
        <f>IF(AND(vp.tbl[[#This Row],[CrudeType]]="Crude",vp.tbl[[#This Row],[Dens]]&lt;=825,vp.tbl[[#This Row],[Sulf]]&gt;0.5,vp.tbl[[#This Row],[Unknown]]=0),1,0)</f>
        <v>0</v>
      </c>
      <c r="AA1396">
        <f>IF(AND(vp.tbl[[#This Row],[CrudeType]]="Crude",vp.tbl[[#This Row],[Dens]]&lt;=825,vp.tbl[[#This Row],[Sulf]]&lt;=0.5,vp.tbl[[#This Row],[Unknown]]=0),1,0)</f>
        <v>0</v>
      </c>
      <c r="AB1396">
        <f>IF(AND(vp.tbl[[#This Row],[CrudeType]]="Crude",vp.tbl[[#This Row],[Dens]]&gt;825,vp.tbl[[#This Row],[Dens]]&lt;=870,vp.tbl[[#This Row],[Sulf]]&gt;0.5,vp.tbl[[#This Row],[Unknown]]=0),1,0)</f>
        <v>1</v>
      </c>
      <c r="AC1396">
        <f>IF(AND(vp.tbl[[#This Row],[CrudeType]]="Crude",vp.tbl[[#This Row],[Dens]]&gt;825,vp.tbl[[#This Row],[Dens]]&lt;=900,vp.tbl[[#This Row],[Sulf]]&lt;=0.5,vp.tbl[[#This Row],[Unknown]]=0),1,0)</f>
        <v>0</v>
      </c>
      <c r="AD1396">
        <f>IF(AND(vp.tbl[[#This Row],[CrudeType]]="Crude",vp.tbl[[#This Row],[Dens]]&gt;870,vp.tbl[[#This Row],[Dens]]&lt;=900,vp.tbl[[#This Row],[Sulf]]&gt;0.5,vp.tbl[[#This Row],[Unknown]]=0),1,0)</f>
        <v>0</v>
      </c>
      <c r="AE1396">
        <f>IF(AND(vp.tbl[[#This Row],[CrudeType]]="Crude",vp.tbl[[#This Row],[Dens]]&gt;900,vp.tbl[[#This Row],[Sulf]]&lt;=0.5,vp.tbl[[#This Row],[Unknown]]=0),1,0)</f>
        <v>0</v>
      </c>
      <c r="AF1396">
        <f>IF(AND(vp.tbl[[#This Row],[CrudeType]]="Crude",vp.tbl[[#This Row],[Dens]]&gt;900,vp.tbl[[#This Row],[Sulf]]&lt;=0.5,vp.tbl[[#This Row],[Unknown]]=0),1,0)</f>
        <v>0</v>
      </c>
      <c r="AG1396" t="str">
        <f>INDEX(vp.tbl[[#Headers],[Unknown]:[Heavy_SW]],MATCH(1,vp.tbl[[#This Row],[Unknown]:[Heavy_SW]],0))</f>
        <v>Medium_LSB</v>
      </c>
      <c r="AH1396" t="e">
        <f>INDEX([1]!crudeBD.lkup[Number],MATCH(vp.tbl[[#This Row],[Crude_Breakdown]],[1]!crudeBD.lkup[Crude Breakdown],0))</f>
        <v>#REF!</v>
      </c>
      <c r="AI1396">
        <f>MONTH(vp.tbl[[#This Row],[SDate]])</f>
        <v>5</v>
      </c>
      <c r="AJ1396" s="5">
        <f>IFERROR(vp.tbl[[#This Row],[Sulf]]*vp.tbl[[#This Row],[Net Dens]],"")</f>
        <v>288227.26422000001</v>
      </c>
      <c r="AK1396" s="5">
        <f>IFERROR(vp.tbl[[#This Row],[Dens]]*vp.tbl[[#This Row],[VolumeM3]],"")</f>
        <v>331295.70600000001</v>
      </c>
      <c r="AL1396" s="5">
        <f>IFERROR(vp.tbl[[#This Row],[VP]]*vp.tbl[[#This Row],[VolumeM3]],"")</f>
        <v>26266.817999999996</v>
      </c>
      <c r="AM1396" s="4">
        <f>IFERROR((vp.tbl[[#This Row],[VP]]-INDEX(crudeBD.lkup.complete[Mean_VP],MATCH(vp.tbl[[#This Row],[Crude_Breakdown]],crudeBD.lkup.complete[Crude Breakdown],0)))^2,"")</f>
        <v>198.06607444255641</v>
      </c>
      <c r="AN1396" s="4">
        <f>IFERROR((vp.tbl[[#This Row],[Dens]]-INDEX(crudeBD.lkup.complete[Mean_Dens],MATCH(vp.tbl[[#This Row],[Crude_Breakdown]],crudeBD.lkup.complete[Crude Breakdown],0)))^2,"")</f>
        <v>134.37035547441931</v>
      </c>
      <c r="AO1396" s="4">
        <f>IFERROR((vp.tbl[[#This Row],[Sulf]]-INDEX(crudeBD.lkup.complete[Mean_Sulf],MATCH(vp.tbl[[#This Row],[Crude_Breakdown]],crudeBD.lkup.complete[Crude Breakdown],0)))^2,"")</f>
        <v>0.3421429420081224</v>
      </c>
      <c r="AP1396">
        <f>IF(AND(vp.tbl[[#This Row],[SDate]]&gt;=DATE(YEAR(vp.tbl[[#This Row],[SDate]]),5,1),vp.tbl[[#This Row],[SDate]]&lt;=DATE(YEAR(vp.tbl[[#This Row],[SDate]]),9,15)),1,0)</f>
        <v>1</v>
      </c>
      <c r="AQ1396" s="15">
        <f>IF(vp.tbl[[#This Row],[SDate]]&lt;DATE(2016,12,1),0,1)</f>
        <v>1</v>
      </c>
    </row>
    <row r="1397" spans="1:43" x14ac:dyDescent="0.25">
      <c r="A1397">
        <v>1396</v>
      </c>
      <c r="B1397" t="s">
        <v>49</v>
      </c>
      <c r="C1397" t="s">
        <v>49</v>
      </c>
      <c r="D1397" t="s">
        <v>293</v>
      </c>
      <c r="F1397" s="1">
        <v>42860</v>
      </c>
      <c r="G1397" s="2">
        <v>68.099999999999994</v>
      </c>
      <c r="H1397" s="2"/>
      <c r="I1397" s="2">
        <v>1.28</v>
      </c>
      <c r="J1397" s="2"/>
      <c r="K1397" s="2"/>
      <c r="L1397" s="2">
        <v>840.1</v>
      </c>
      <c r="M1397" s="2">
        <v>840.1</v>
      </c>
      <c r="N1397" s="2">
        <f ca="1">INDEX(INDIRECT(_xlfn.CONCAT("weather.tbl[",N$1,"]")),MATCH(vp.tbl[[#This Row],[SDate]],weather.tbl[Date],0))</f>
        <v>17.383333333333333</v>
      </c>
      <c r="O1397" s="2">
        <f ca="1">INDEX(INDIRECT(_xlfn.CONCAT("weather.tbl[",O$1,"]")),MATCH(vp.tbl[[#This Row],[SDate]],weather.tbl[Date],0))</f>
        <v>11.080952380952382</v>
      </c>
      <c r="P1397" s="2">
        <f ca="1">INDEX(INDIRECT(_xlfn.CONCAT("weather.tbl[",P$1,"]")),MATCH(vp.tbl[[#This Row],[SDate]],weather.tbl[Date],0))</f>
        <v>17.8</v>
      </c>
      <c r="Q1397" s="2">
        <f ca="1">INDEX(INDIRECT(_xlfn.CONCAT("weather.tbl[",Q$1,"]")),MATCH(vp.tbl[[#This Row],[SDate]],weather.tbl[Date],0))</f>
        <v>16.899999999999999</v>
      </c>
      <c r="R1397" s="2">
        <f ca="1">INDEX(INDIRECT(_xlfn.CONCAT("weather.tbl[",R$1,"]")),MATCH(vp.tbl[[#This Row],[SDate]],weather.tbl[Date],0))</f>
        <v>17.8</v>
      </c>
      <c r="S1397" s="2">
        <f ca="1">INDEX(INDIRECT(_xlfn.CONCAT("weather.tbl[",S$1,"]")),MATCH(vp.tbl[[#This Row],[SDate]],weather.tbl[Date],0))</f>
        <v>17.3</v>
      </c>
      <c r="T1397" s="2">
        <f ca="1">INDEX(INDIRECT(_xlfn.CONCAT("weather.tbl[",T$1,"]")),MATCH(vp.tbl[[#This Row],[SDate]],weather.tbl[Date],0))</f>
        <v>15.7</v>
      </c>
      <c r="U1397" s="2">
        <f ca="1">INDEX(INDIRECT(_xlfn.CONCAT("weather.tbl[",U$1,"]")),MATCH(vp.tbl[[#This Row],[SDate]],weather.tbl[Date],0))</f>
        <v>18.8</v>
      </c>
      <c r="V1397" s="2">
        <v>418.40699999999998</v>
      </c>
      <c r="W1397" t="s">
        <v>48</v>
      </c>
      <c r="X1397">
        <f>IF(OR(vp.tbl[[#This Row],[Sulf]]="",vp.tbl[[#This Row],[Dens]]=""),1,0)</f>
        <v>0</v>
      </c>
      <c r="Y1397">
        <f>IF(vp.tbl[[#This Row],[CrudeType]]="C5+",1,0)</f>
        <v>0</v>
      </c>
      <c r="Z1397">
        <f>IF(AND(vp.tbl[[#This Row],[CrudeType]]="Crude",vp.tbl[[#This Row],[Dens]]&lt;=825,vp.tbl[[#This Row],[Sulf]]&gt;0.5,vp.tbl[[#This Row],[Unknown]]=0),1,0)</f>
        <v>0</v>
      </c>
      <c r="AA1397">
        <f>IF(AND(vp.tbl[[#This Row],[CrudeType]]="Crude",vp.tbl[[#This Row],[Dens]]&lt;=825,vp.tbl[[#This Row],[Sulf]]&lt;=0.5,vp.tbl[[#This Row],[Unknown]]=0),1,0)</f>
        <v>0</v>
      </c>
      <c r="AB1397">
        <f>IF(AND(vp.tbl[[#This Row],[CrudeType]]="Crude",vp.tbl[[#This Row],[Dens]]&gt;825,vp.tbl[[#This Row],[Dens]]&lt;=870,vp.tbl[[#This Row],[Sulf]]&gt;0.5,vp.tbl[[#This Row],[Unknown]]=0),1,0)</f>
        <v>1</v>
      </c>
      <c r="AC1397">
        <f>IF(AND(vp.tbl[[#This Row],[CrudeType]]="Crude",vp.tbl[[#This Row],[Dens]]&gt;825,vp.tbl[[#This Row],[Dens]]&lt;=900,vp.tbl[[#This Row],[Sulf]]&lt;=0.5,vp.tbl[[#This Row],[Unknown]]=0),1,0)</f>
        <v>0</v>
      </c>
      <c r="AD1397">
        <f>IF(AND(vp.tbl[[#This Row],[CrudeType]]="Crude",vp.tbl[[#This Row],[Dens]]&gt;870,vp.tbl[[#This Row],[Dens]]&lt;=900,vp.tbl[[#This Row],[Sulf]]&gt;0.5,vp.tbl[[#This Row],[Unknown]]=0),1,0)</f>
        <v>0</v>
      </c>
      <c r="AE1397">
        <f>IF(AND(vp.tbl[[#This Row],[CrudeType]]="Crude",vp.tbl[[#This Row],[Dens]]&gt;900,vp.tbl[[#This Row],[Sulf]]&lt;=0.5,vp.tbl[[#This Row],[Unknown]]=0),1,0)</f>
        <v>0</v>
      </c>
      <c r="AF1397">
        <f>IF(AND(vp.tbl[[#This Row],[CrudeType]]="Crude",vp.tbl[[#This Row],[Dens]]&gt;900,vp.tbl[[#This Row],[Sulf]]&lt;=0.5,vp.tbl[[#This Row],[Unknown]]=0),1,0)</f>
        <v>0</v>
      </c>
      <c r="AG1397" t="str">
        <f>INDEX(vp.tbl[[#Headers],[Unknown]:[Heavy_SW]],MATCH(1,vp.tbl[[#This Row],[Unknown]:[Heavy_SW]],0))</f>
        <v>Medium_LSB</v>
      </c>
      <c r="AH1397" t="e">
        <f>INDEX([1]!crudeBD.lkup[Number],MATCH(vp.tbl[[#This Row],[Crude_Breakdown]],[1]!crudeBD.lkup[Crude Breakdown],0))</f>
        <v>#REF!</v>
      </c>
      <c r="AI1397">
        <f>MONTH(vp.tbl[[#This Row],[SDate]])</f>
        <v>5</v>
      </c>
      <c r="AJ1397" s="5">
        <f>IFERROR(vp.tbl[[#This Row],[Sulf]]*vp.tbl[[#This Row],[Net Dens]],"")</f>
        <v>449924.76249600004</v>
      </c>
      <c r="AK1397" s="5">
        <f>IFERROR(vp.tbl[[#This Row],[Dens]]*vp.tbl[[#This Row],[VolumeM3]],"")</f>
        <v>351503.72070000001</v>
      </c>
      <c r="AL1397" s="5">
        <f>IFERROR(vp.tbl[[#This Row],[VP]]*vp.tbl[[#This Row],[VolumeM3]],"")</f>
        <v>28493.516699999996</v>
      </c>
      <c r="AM1397" s="4">
        <f>IFERROR((vp.tbl[[#This Row],[VP]]-INDEX(crudeBD.lkup.complete[Mean_VP],MATCH(vp.tbl[[#This Row],[Crude_Breakdown]],crudeBD.lkup.complete[Crude Breakdown],0)))^2,"")</f>
        <v>145.7716946957211</v>
      </c>
      <c r="AN1397" s="4">
        <f>IFERROR((vp.tbl[[#This Row],[Dens]]-INDEX(crudeBD.lkup.complete[Mean_Dens],MATCH(vp.tbl[[#This Row],[Crude_Breakdown]],crudeBD.lkup.complete[Crude Breakdown],0)))^2,"")</f>
        <v>26.955023828863119</v>
      </c>
      <c r="AO1397" s="4">
        <f>IFERROR((vp.tbl[[#This Row],[Sulf]]-INDEX(crudeBD.lkup.complete[Mean_Sulf],MATCH(vp.tbl[[#This Row],[Crude_Breakdown]],crudeBD.lkup.complete[Crude Breakdown],0)))^2,"")</f>
        <v>3.0600456185336352E-2</v>
      </c>
      <c r="AP1397">
        <f>IF(AND(vp.tbl[[#This Row],[SDate]]&gt;=DATE(YEAR(vp.tbl[[#This Row],[SDate]]),5,1),vp.tbl[[#This Row],[SDate]]&lt;=DATE(YEAR(vp.tbl[[#This Row],[SDate]]),9,15)),1,0)</f>
        <v>1</v>
      </c>
      <c r="AQ1397" s="15">
        <f>IF(vp.tbl[[#This Row],[SDate]]&lt;DATE(2016,12,1),0,1)</f>
        <v>1</v>
      </c>
    </row>
    <row r="1398" spans="1:43" x14ac:dyDescent="0.25">
      <c r="A1398">
        <v>1397</v>
      </c>
      <c r="B1398" t="s">
        <v>292</v>
      </c>
      <c r="C1398" t="s">
        <v>292</v>
      </c>
      <c r="D1398" t="s">
        <v>190</v>
      </c>
      <c r="F1398" s="1">
        <v>42860</v>
      </c>
      <c r="G1398" s="2">
        <v>58.7</v>
      </c>
      <c r="H1398" s="2"/>
      <c r="I1398" s="2">
        <v>0.84</v>
      </c>
      <c r="J1398" s="2"/>
      <c r="K1398" s="2"/>
      <c r="L1398" s="2">
        <v>835.4</v>
      </c>
      <c r="M1398" s="2">
        <v>835.4</v>
      </c>
      <c r="N1398" s="2">
        <f ca="1">INDEX(INDIRECT(_xlfn.CONCAT("weather.tbl[",N$1,"]")),MATCH(vp.tbl[[#This Row],[SDate]],weather.tbl[Date],0))</f>
        <v>17.383333333333333</v>
      </c>
      <c r="O1398" s="2">
        <f ca="1">INDEX(INDIRECT(_xlfn.CONCAT("weather.tbl[",O$1,"]")),MATCH(vp.tbl[[#This Row],[SDate]],weather.tbl[Date],0))</f>
        <v>11.080952380952382</v>
      </c>
      <c r="P1398" s="2">
        <f ca="1">INDEX(INDIRECT(_xlfn.CONCAT("weather.tbl[",P$1,"]")),MATCH(vp.tbl[[#This Row],[SDate]],weather.tbl[Date],0))</f>
        <v>17.8</v>
      </c>
      <c r="Q1398" s="2">
        <f ca="1">INDEX(INDIRECT(_xlfn.CONCAT("weather.tbl[",Q$1,"]")),MATCH(vp.tbl[[#This Row],[SDate]],weather.tbl[Date],0))</f>
        <v>16.899999999999999</v>
      </c>
      <c r="R1398" s="2">
        <f ca="1">INDEX(INDIRECT(_xlfn.CONCAT("weather.tbl[",R$1,"]")),MATCH(vp.tbl[[#This Row],[SDate]],weather.tbl[Date],0))</f>
        <v>17.8</v>
      </c>
      <c r="S1398" s="2">
        <f ca="1">INDEX(INDIRECT(_xlfn.CONCAT("weather.tbl[",S$1,"]")),MATCH(vp.tbl[[#This Row],[SDate]],weather.tbl[Date],0))</f>
        <v>17.3</v>
      </c>
      <c r="T1398" s="2">
        <f ca="1">INDEX(INDIRECT(_xlfn.CONCAT("weather.tbl[",T$1,"]")),MATCH(vp.tbl[[#This Row],[SDate]],weather.tbl[Date],0))</f>
        <v>15.7</v>
      </c>
      <c r="U1398" s="2">
        <f ca="1">INDEX(INDIRECT(_xlfn.CONCAT("weather.tbl[",U$1,"]")),MATCH(vp.tbl[[#This Row],[SDate]],weather.tbl[Date],0))</f>
        <v>18.8</v>
      </c>
      <c r="V1398" s="2">
        <v>115.97199999999999</v>
      </c>
      <c r="W1398" t="s">
        <v>48</v>
      </c>
      <c r="X1398">
        <f>IF(OR(vp.tbl[[#This Row],[Sulf]]="",vp.tbl[[#This Row],[Dens]]=""),1,0)</f>
        <v>0</v>
      </c>
      <c r="Y1398">
        <f>IF(vp.tbl[[#This Row],[CrudeType]]="C5+",1,0)</f>
        <v>0</v>
      </c>
      <c r="Z1398">
        <f>IF(AND(vp.tbl[[#This Row],[CrudeType]]="Crude",vp.tbl[[#This Row],[Dens]]&lt;=825,vp.tbl[[#This Row],[Sulf]]&gt;0.5,vp.tbl[[#This Row],[Unknown]]=0),1,0)</f>
        <v>0</v>
      </c>
      <c r="AA1398">
        <f>IF(AND(vp.tbl[[#This Row],[CrudeType]]="Crude",vp.tbl[[#This Row],[Dens]]&lt;=825,vp.tbl[[#This Row],[Sulf]]&lt;=0.5,vp.tbl[[#This Row],[Unknown]]=0),1,0)</f>
        <v>0</v>
      </c>
      <c r="AB1398">
        <f>IF(AND(vp.tbl[[#This Row],[CrudeType]]="Crude",vp.tbl[[#This Row],[Dens]]&gt;825,vp.tbl[[#This Row],[Dens]]&lt;=870,vp.tbl[[#This Row],[Sulf]]&gt;0.5,vp.tbl[[#This Row],[Unknown]]=0),1,0)</f>
        <v>1</v>
      </c>
      <c r="AC1398">
        <f>IF(AND(vp.tbl[[#This Row],[CrudeType]]="Crude",vp.tbl[[#This Row],[Dens]]&gt;825,vp.tbl[[#This Row],[Dens]]&lt;=900,vp.tbl[[#This Row],[Sulf]]&lt;=0.5,vp.tbl[[#This Row],[Unknown]]=0),1,0)</f>
        <v>0</v>
      </c>
      <c r="AD1398">
        <f>IF(AND(vp.tbl[[#This Row],[CrudeType]]="Crude",vp.tbl[[#This Row],[Dens]]&gt;870,vp.tbl[[#This Row],[Dens]]&lt;=900,vp.tbl[[#This Row],[Sulf]]&gt;0.5,vp.tbl[[#This Row],[Unknown]]=0),1,0)</f>
        <v>0</v>
      </c>
      <c r="AE1398">
        <f>IF(AND(vp.tbl[[#This Row],[CrudeType]]="Crude",vp.tbl[[#This Row],[Dens]]&gt;900,vp.tbl[[#This Row],[Sulf]]&lt;=0.5,vp.tbl[[#This Row],[Unknown]]=0),1,0)</f>
        <v>0</v>
      </c>
      <c r="AF1398">
        <f>IF(AND(vp.tbl[[#This Row],[CrudeType]]="Crude",vp.tbl[[#This Row],[Dens]]&gt;900,vp.tbl[[#This Row],[Sulf]]&lt;=0.5,vp.tbl[[#This Row],[Unknown]]=0),1,0)</f>
        <v>0</v>
      </c>
      <c r="AG1398" t="str">
        <f>INDEX(vp.tbl[[#Headers],[Unknown]:[Heavy_SW]],MATCH(1,vp.tbl[[#This Row],[Unknown]:[Heavy_SW]],0))</f>
        <v>Medium_LSB</v>
      </c>
      <c r="AH1398" t="e">
        <f>INDEX([1]!crudeBD.lkup[Number],MATCH(vp.tbl[[#This Row],[Crude_Breakdown]],[1]!crudeBD.lkup[Crude Breakdown],0))</f>
        <v>#REF!</v>
      </c>
      <c r="AI1398">
        <f>MONTH(vp.tbl[[#This Row],[SDate]])</f>
        <v>5</v>
      </c>
      <c r="AJ1398" s="5">
        <f>IFERROR(vp.tbl[[#This Row],[Sulf]]*vp.tbl[[#This Row],[Net Dens]],"")</f>
        <v>81381.727392000001</v>
      </c>
      <c r="AK1398" s="5">
        <f>IFERROR(vp.tbl[[#This Row],[Dens]]*vp.tbl[[#This Row],[VolumeM3]],"")</f>
        <v>96883.008799999996</v>
      </c>
      <c r="AL1398" s="5">
        <f>IFERROR(vp.tbl[[#This Row],[VP]]*vp.tbl[[#This Row],[VolumeM3]],"")</f>
        <v>6807.5564000000004</v>
      </c>
      <c r="AM1398" s="4">
        <f>IFERROR((vp.tbl[[#This Row],[VP]]-INDEX(crudeBD.lkup.complete[Mean_VP],MATCH(vp.tbl[[#This Row],[Crude_Breakdown]],crudeBD.lkup.complete[Crude Breakdown],0)))^2,"")</f>
        <v>461.11527950584673</v>
      </c>
      <c r="AN1398" s="4">
        <f>IFERROR((vp.tbl[[#This Row],[Dens]]-INDEX(crudeBD.lkup.complete[Mean_Dens],MATCH(vp.tbl[[#This Row],[Crude_Breakdown]],crudeBD.lkup.complete[Crude Breakdown],0)))^2,"")</f>
        <v>97.848158006069738</v>
      </c>
      <c r="AO1398" s="4">
        <f>IFERROR((vp.tbl[[#This Row],[Sulf]]-INDEX(crudeBD.lkup.complete[Mean_Sulf],MATCH(vp.tbl[[#This Row],[Crude_Breakdown]],crudeBD.lkup.complete[Crude Breakdown],0)))^2,"")</f>
        <v>0.37813873365369216</v>
      </c>
      <c r="AP1398">
        <f>IF(AND(vp.tbl[[#This Row],[SDate]]&gt;=DATE(YEAR(vp.tbl[[#This Row],[SDate]]),5,1),vp.tbl[[#This Row],[SDate]]&lt;=DATE(YEAR(vp.tbl[[#This Row],[SDate]]),9,15)),1,0)</f>
        <v>1</v>
      </c>
      <c r="AQ1398" s="15">
        <f>IF(vp.tbl[[#This Row],[SDate]]&lt;DATE(2016,12,1),0,1)</f>
        <v>1</v>
      </c>
    </row>
    <row r="1399" spans="1:43" x14ac:dyDescent="0.25">
      <c r="A1399">
        <v>1398</v>
      </c>
      <c r="B1399" t="s">
        <v>49</v>
      </c>
      <c r="C1399" t="s">
        <v>49</v>
      </c>
      <c r="D1399" t="s">
        <v>187</v>
      </c>
      <c r="F1399" s="1">
        <v>42860</v>
      </c>
      <c r="G1399" s="2">
        <v>47.7</v>
      </c>
      <c r="H1399" s="2"/>
      <c r="I1399" s="2">
        <v>0.88</v>
      </c>
      <c r="J1399" s="2"/>
      <c r="K1399" s="2"/>
      <c r="L1399" s="2">
        <v>839.4</v>
      </c>
      <c r="M1399" s="2">
        <v>839.4</v>
      </c>
      <c r="N1399" s="2">
        <f ca="1">INDEX(INDIRECT(_xlfn.CONCAT("weather.tbl[",N$1,"]")),MATCH(vp.tbl[[#This Row],[SDate]],weather.tbl[Date],0))</f>
        <v>17.383333333333333</v>
      </c>
      <c r="O1399" s="2">
        <f ca="1">INDEX(INDIRECT(_xlfn.CONCAT("weather.tbl[",O$1,"]")),MATCH(vp.tbl[[#This Row],[SDate]],weather.tbl[Date],0))</f>
        <v>11.080952380952382</v>
      </c>
      <c r="P1399" s="2">
        <f ca="1">INDEX(INDIRECT(_xlfn.CONCAT("weather.tbl[",P$1,"]")),MATCH(vp.tbl[[#This Row],[SDate]],weather.tbl[Date],0))</f>
        <v>17.8</v>
      </c>
      <c r="Q1399" s="2">
        <f ca="1">INDEX(INDIRECT(_xlfn.CONCAT("weather.tbl[",Q$1,"]")),MATCH(vp.tbl[[#This Row],[SDate]],weather.tbl[Date],0))</f>
        <v>16.899999999999999</v>
      </c>
      <c r="R1399" s="2">
        <f ca="1">INDEX(INDIRECT(_xlfn.CONCAT("weather.tbl[",R$1,"]")),MATCH(vp.tbl[[#This Row],[SDate]],weather.tbl[Date],0))</f>
        <v>17.8</v>
      </c>
      <c r="S1399" s="2">
        <f ca="1">INDEX(INDIRECT(_xlfn.CONCAT("weather.tbl[",S$1,"]")),MATCH(vp.tbl[[#This Row],[SDate]],weather.tbl[Date],0))</f>
        <v>17.3</v>
      </c>
      <c r="T1399" s="2">
        <f ca="1">INDEX(INDIRECT(_xlfn.CONCAT("weather.tbl[",T$1,"]")),MATCH(vp.tbl[[#This Row],[SDate]],weather.tbl[Date],0))</f>
        <v>15.7</v>
      </c>
      <c r="U1399" s="2">
        <f ca="1">INDEX(INDIRECT(_xlfn.CONCAT("weather.tbl[",U$1,"]")),MATCH(vp.tbl[[#This Row],[SDate]],weather.tbl[Date],0))</f>
        <v>18.8</v>
      </c>
      <c r="V1399" s="2">
        <v>394.49599999999998</v>
      </c>
      <c r="W1399" t="s">
        <v>48</v>
      </c>
      <c r="X1399">
        <f>IF(OR(vp.tbl[[#This Row],[Sulf]]="",vp.tbl[[#This Row],[Dens]]=""),1,0)</f>
        <v>0</v>
      </c>
      <c r="Y1399">
        <f>IF(vp.tbl[[#This Row],[CrudeType]]="C5+",1,0)</f>
        <v>0</v>
      </c>
      <c r="Z1399">
        <f>IF(AND(vp.tbl[[#This Row],[CrudeType]]="Crude",vp.tbl[[#This Row],[Dens]]&lt;=825,vp.tbl[[#This Row],[Sulf]]&gt;0.5,vp.tbl[[#This Row],[Unknown]]=0),1,0)</f>
        <v>0</v>
      </c>
      <c r="AA1399">
        <f>IF(AND(vp.tbl[[#This Row],[CrudeType]]="Crude",vp.tbl[[#This Row],[Dens]]&lt;=825,vp.tbl[[#This Row],[Sulf]]&lt;=0.5,vp.tbl[[#This Row],[Unknown]]=0),1,0)</f>
        <v>0</v>
      </c>
      <c r="AB1399">
        <f>IF(AND(vp.tbl[[#This Row],[CrudeType]]="Crude",vp.tbl[[#This Row],[Dens]]&gt;825,vp.tbl[[#This Row],[Dens]]&lt;=870,vp.tbl[[#This Row],[Sulf]]&gt;0.5,vp.tbl[[#This Row],[Unknown]]=0),1,0)</f>
        <v>1</v>
      </c>
      <c r="AC1399">
        <f>IF(AND(vp.tbl[[#This Row],[CrudeType]]="Crude",vp.tbl[[#This Row],[Dens]]&gt;825,vp.tbl[[#This Row],[Dens]]&lt;=900,vp.tbl[[#This Row],[Sulf]]&lt;=0.5,vp.tbl[[#This Row],[Unknown]]=0),1,0)</f>
        <v>0</v>
      </c>
      <c r="AD1399">
        <f>IF(AND(vp.tbl[[#This Row],[CrudeType]]="Crude",vp.tbl[[#This Row],[Dens]]&gt;870,vp.tbl[[#This Row],[Dens]]&lt;=900,vp.tbl[[#This Row],[Sulf]]&gt;0.5,vp.tbl[[#This Row],[Unknown]]=0),1,0)</f>
        <v>0</v>
      </c>
      <c r="AE1399">
        <f>IF(AND(vp.tbl[[#This Row],[CrudeType]]="Crude",vp.tbl[[#This Row],[Dens]]&gt;900,vp.tbl[[#This Row],[Sulf]]&lt;=0.5,vp.tbl[[#This Row],[Unknown]]=0),1,0)</f>
        <v>0</v>
      </c>
      <c r="AF1399">
        <f>IF(AND(vp.tbl[[#This Row],[CrudeType]]="Crude",vp.tbl[[#This Row],[Dens]]&gt;900,vp.tbl[[#This Row],[Sulf]]&lt;=0.5,vp.tbl[[#This Row],[Unknown]]=0),1,0)</f>
        <v>0</v>
      </c>
      <c r="AG1399" t="str">
        <f>INDEX(vp.tbl[[#Headers],[Unknown]:[Heavy_SW]],MATCH(1,vp.tbl[[#This Row],[Unknown]:[Heavy_SW]],0))</f>
        <v>Medium_LSB</v>
      </c>
      <c r="AH1399" t="e">
        <f>INDEX([1]!crudeBD.lkup[Number],MATCH(vp.tbl[[#This Row],[Crude_Breakdown]],[1]!crudeBD.lkup[Crude Breakdown],0))</f>
        <v>#REF!</v>
      </c>
      <c r="AI1399">
        <f>MONTH(vp.tbl[[#This Row],[SDate]])</f>
        <v>5</v>
      </c>
      <c r="AJ1399" s="5">
        <f>IFERROR(vp.tbl[[#This Row],[Sulf]]*vp.tbl[[#This Row],[Net Dens]],"")</f>
        <v>291403.14931200002</v>
      </c>
      <c r="AK1399" s="5">
        <f>IFERROR(vp.tbl[[#This Row],[Dens]]*vp.tbl[[#This Row],[VolumeM3]],"")</f>
        <v>331139.9424</v>
      </c>
      <c r="AL1399" s="5">
        <f>IFERROR(vp.tbl[[#This Row],[VP]]*vp.tbl[[#This Row],[VolumeM3]],"")</f>
        <v>18817.459200000001</v>
      </c>
      <c r="AM1399" s="4">
        <f>IFERROR((vp.tbl[[#This Row],[VP]]-INDEX(crudeBD.lkup.complete[Mean_VP],MATCH(vp.tbl[[#This Row],[Crude_Breakdown]],crudeBD.lkup.complete[Crude Breakdown],0)))^2,"")</f>
        <v>1054.5343681134407</v>
      </c>
      <c r="AN1399" s="4">
        <f>IFERROR((vp.tbl[[#This Row],[Dens]]-INDEX(crudeBD.lkup.complete[Mean_Dens],MATCH(vp.tbl[[#This Row],[Crude_Breakdown]],crudeBD.lkup.complete[Crude Breakdown],0)))^2,"")</f>
        <v>34.713575727596421</v>
      </c>
      <c r="AO1399" s="4">
        <f>IFERROR((vp.tbl[[#This Row],[Sulf]]-INDEX(crudeBD.lkup.complete[Mean_Sulf],MATCH(vp.tbl[[#This Row],[Crude_Breakdown]],crudeBD.lkup.complete[Crude Breakdown],0)))^2,"")</f>
        <v>0.33054434479293249</v>
      </c>
      <c r="AP1399">
        <f>IF(AND(vp.tbl[[#This Row],[SDate]]&gt;=DATE(YEAR(vp.tbl[[#This Row],[SDate]]),5,1),vp.tbl[[#This Row],[SDate]]&lt;=DATE(YEAR(vp.tbl[[#This Row],[SDate]]),9,15)),1,0)</f>
        <v>1</v>
      </c>
      <c r="AQ1399" s="15">
        <f>IF(vp.tbl[[#This Row],[SDate]]&lt;DATE(2016,12,1),0,1)</f>
        <v>1</v>
      </c>
    </row>
    <row r="1400" spans="1:43" x14ac:dyDescent="0.25">
      <c r="A1400">
        <v>1399</v>
      </c>
      <c r="B1400" t="s">
        <v>49</v>
      </c>
      <c r="C1400" t="s">
        <v>49</v>
      </c>
      <c r="D1400" t="s">
        <v>186</v>
      </c>
      <c r="F1400" s="1">
        <v>42860</v>
      </c>
      <c r="G1400" s="2">
        <v>67.5</v>
      </c>
      <c r="H1400" s="2"/>
      <c r="I1400" s="2">
        <v>0.93</v>
      </c>
      <c r="J1400" s="2"/>
      <c r="K1400" s="2"/>
      <c r="L1400" s="2">
        <v>835.6</v>
      </c>
      <c r="M1400" s="2">
        <v>835.6</v>
      </c>
      <c r="N1400" s="2">
        <f ca="1">INDEX(INDIRECT(_xlfn.CONCAT("weather.tbl[",N$1,"]")),MATCH(vp.tbl[[#This Row],[SDate]],weather.tbl[Date],0))</f>
        <v>17.383333333333333</v>
      </c>
      <c r="O1400" s="2">
        <f ca="1">INDEX(INDIRECT(_xlfn.CONCAT("weather.tbl[",O$1,"]")),MATCH(vp.tbl[[#This Row],[SDate]],weather.tbl[Date],0))</f>
        <v>11.080952380952382</v>
      </c>
      <c r="P1400" s="2">
        <f ca="1">INDEX(INDIRECT(_xlfn.CONCAT("weather.tbl[",P$1,"]")),MATCH(vp.tbl[[#This Row],[SDate]],weather.tbl[Date],0))</f>
        <v>17.8</v>
      </c>
      <c r="Q1400" s="2">
        <f ca="1">INDEX(INDIRECT(_xlfn.CONCAT("weather.tbl[",Q$1,"]")),MATCH(vp.tbl[[#This Row],[SDate]],weather.tbl[Date],0))</f>
        <v>16.899999999999999</v>
      </c>
      <c r="R1400" s="2">
        <f ca="1">INDEX(INDIRECT(_xlfn.CONCAT("weather.tbl[",R$1,"]")),MATCH(vp.tbl[[#This Row],[SDate]],weather.tbl[Date],0))</f>
        <v>17.8</v>
      </c>
      <c r="S1400" s="2">
        <f ca="1">INDEX(INDIRECT(_xlfn.CONCAT("weather.tbl[",S$1,"]")),MATCH(vp.tbl[[#This Row],[SDate]],weather.tbl[Date],0))</f>
        <v>17.3</v>
      </c>
      <c r="T1400" s="2">
        <f ca="1">INDEX(INDIRECT(_xlfn.CONCAT("weather.tbl[",T$1,"]")),MATCH(vp.tbl[[#This Row],[SDate]],weather.tbl[Date],0))</f>
        <v>15.7</v>
      </c>
      <c r="U1400" s="2">
        <f ca="1">INDEX(INDIRECT(_xlfn.CONCAT("weather.tbl[",U$1,"]")),MATCH(vp.tbl[[#This Row],[SDate]],weather.tbl[Date],0))</f>
        <v>18.8</v>
      </c>
      <c r="V1400" s="2">
        <v>1407.4760000000001</v>
      </c>
      <c r="W1400" t="s">
        <v>48</v>
      </c>
      <c r="X1400">
        <f>IF(OR(vp.tbl[[#This Row],[Sulf]]="",vp.tbl[[#This Row],[Dens]]=""),1,0)</f>
        <v>0</v>
      </c>
      <c r="Y1400">
        <f>IF(vp.tbl[[#This Row],[CrudeType]]="C5+",1,0)</f>
        <v>0</v>
      </c>
      <c r="Z1400">
        <f>IF(AND(vp.tbl[[#This Row],[CrudeType]]="Crude",vp.tbl[[#This Row],[Dens]]&lt;=825,vp.tbl[[#This Row],[Sulf]]&gt;0.5,vp.tbl[[#This Row],[Unknown]]=0),1,0)</f>
        <v>0</v>
      </c>
      <c r="AA1400">
        <f>IF(AND(vp.tbl[[#This Row],[CrudeType]]="Crude",vp.tbl[[#This Row],[Dens]]&lt;=825,vp.tbl[[#This Row],[Sulf]]&lt;=0.5,vp.tbl[[#This Row],[Unknown]]=0),1,0)</f>
        <v>0</v>
      </c>
      <c r="AB1400">
        <f>IF(AND(vp.tbl[[#This Row],[CrudeType]]="Crude",vp.tbl[[#This Row],[Dens]]&gt;825,vp.tbl[[#This Row],[Dens]]&lt;=870,vp.tbl[[#This Row],[Sulf]]&gt;0.5,vp.tbl[[#This Row],[Unknown]]=0),1,0)</f>
        <v>1</v>
      </c>
      <c r="AC1400">
        <f>IF(AND(vp.tbl[[#This Row],[CrudeType]]="Crude",vp.tbl[[#This Row],[Dens]]&gt;825,vp.tbl[[#This Row],[Dens]]&lt;=900,vp.tbl[[#This Row],[Sulf]]&lt;=0.5,vp.tbl[[#This Row],[Unknown]]=0),1,0)</f>
        <v>0</v>
      </c>
      <c r="AD1400">
        <f>IF(AND(vp.tbl[[#This Row],[CrudeType]]="Crude",vp.tbl[[#This Row],[Dens]]&gt;870,vp.tbl[[#This Row],[Dens]]&lt;=900,vp.tbl[[#This Row],[Sulf]]&gt;0.5,vp.tbl[[#This Row],[Unknown]]=0),1,0)</f>
        <v>0</v>
      </c>
      <c r="AE1400">
        <f>IF(AND(vp.tbl[[#This Row],[CrudeType]]="Crude",vp.tbl[[#This Row],[Dens]]&gt;900,vp.tbl[[#This Row],[Sulf]]&lt;=0.5,vp.tbl[[#This Row],[Unknown]]=0),1,0)</f>
        <v>0</v>
      </c>
      <c r="AF1400">
        <f>IF(AND(vp.tbl[[#This Row],[CrudeType]]="Crude",vp.tbl[[#This Row],[Dens]]&gt;900,vp.tbl[[#This Row],[Sulf]]&lt;=0.5,vp.tbl[[#This Row],[Unknown]]=0),1,0)</f>
        <v>0</v>
      </c>
      <c r="AG1400" t="str">
        <f>INDEX(vp.tbl[[#Headers],[Unknown]:[Heavy_SW]],MATCH(1,vp.tbl[[#This Row],[Unknown]:[Heavy_SW]],0))</f>
        <v>Medium_LSB</v>
      </c>
      <c r="AH1400" t="e">
        <f>INDEX([1]!crudeBD.lkup[Number],MATCH(vp.tbl[[#This Row],[Crude_Breakdown]],[1]!crudeBD.lkup[Crude Breakdown],0))</f>
        <v>#REF!</v>
      </c>
      <c r="AI1400">
        <f>MONTH(vp.tbl[[#This Row],[SDate]])</f>
        <v>5</v>
      </c>
      <c r="AJ1400" s="5">
        <f>IFERROR(vp.tbl[[#This Row],[Sulf]]*vp.tbl[[#This Row],[Net Dens]],"")</f>
        <v>1093760.8594080003</v>
      </c>
      <c r="AK1400" s="5">
        <f>IFERROR(vp.tbl[[#This Row],[Dens]]*vp.tbl[[#This Row],[VolumeM3]],"")</f>
        <v>1176086.9456000002</v>
      </c>
      <c r="AL1400" s="5">
        <f>IFERROR(vp.tbl[[#This Row],[VP]]*vp.tbl[[#This Row],[VolumeM3]],"")</f>
        <v>95004.63</v>
      </c>
      <c r="AM1400" s="4">
        <f>IFERROR((vp.tbl[[#This Row],[VP]]-INDEX(crudeBD.lkup.complete[Mean_VP],MATCH(vp.tbl[[#This Row],[Crude_Breakdown]],crudeBD.lkup.complete[Crude Breakdown],0)))^2,"")</f>
        <v>160.62000861977154</v>
      </c>
      <c r="AN1400" s="4">
        <f>IFERROR((vp.tbl[[#This Row],[Dens]]-INDEX(crudeBD.lkup.complete[Mean_Dens],MATCH(vp.tbl[[#This Row],[Crude_Breakdown]],crudeBD.lkup.complete[Crude Breakdown],0)))^2,"")</f>
        <v>93.931428892145192</v>
      </c>
      <c r="AO1400" s="4">
        <f>IFERROR((vp.tbl[[#This Row],[Sulf]]-INDEX(crudeBD.lkup.complete[Mean_Sulf],MATCH(vp.tbl[[#This Row],[Crude_Breakdown]],crudeBD.lkup.complete[Crude Breakdown],0)))^2,"")</f>
        <v>0.27555135871698294</v>
      </c>
      <c r="AP1400">
        <f>IF(AND(vp.tbl[[#This Row],[SDate]]&gt;=DATE(YEAR(vp.tbl[[#This Row],[SDate]]),5,1),vp.tbl[[#This Row],[SDate]]&lt;=DATE(YEAR(vp.tbl[[#This Row],[SDate]]),9,15)),1,0)</f>
        <v>1</v>
      </c>
      <c r="AQ1400" s="15">
        <f>IF(vp.tbl[[#This Row],[SDate]]&lt;DATE(2016,12,1),0,1)</f>
        <v>1</v>
      </c>
    </row>
    <row r="1401" spans="1:43" x14ac:dyDescent="0.25">
      <c r="A1401">
        <v>1400</v>
      </c>
      <c r="B1401" t="s">
        <v>51</v>
      </c>
      <c r="C1401" t="s">
        <v>51</v>
      </c>
      <c r="D1401" t="s">
        <v>294</v>
      </c>
      <c r="F1401" s="1">
        <v>42861</v>
      </c>
      <c r="G1401" s="2">
        <v>55.9</v>
      </c>
      <c r="H1401" s="2"/>
      <c r="I1401" s="2">
        <v>2.06</v>
      </c>
      <c r="J1401" s="2"/>
      <c r="K1401" s="2"/>
      <c r="L1401" s="2">
        <v>874.3</v>
      </c>
      <c r="M1401" s="2">
        <v>874.3</v>
      </c>
      <c r="N1401" s="2">
        <f ca="1">INDEX(INDIRECT(_xlfn.CONCAT("weather.tbl[",N$1,"]")),MATCH(vp.tbl[[#This Row],[SDate]],weather.tbl[Date],0))</f>
        <v>18.116666666666667</v>
      </c>
      <c r="O1401" s="2">
        <f ca="1">INDEX(INDIRECT(_xlfn.CONCAT("weather.tbl[",O$1,"]")),MATCH(vp.tbl[[#This Row],[SDate]],weather.tbl[Date],0))</f>
        <v>12.52857142857143</v>
      </c>
      <c r="P1401" s="2">
        <f ca="1">INDEX(INDIRECT(_xlfn.CONCAT("weather.tbl[",P$1,"]")),MATCH(vp.tbl[[#This Row],[SDate]],weather.tbl[Date],0))</f>
        <v>18.8</v>
      </c>
      <c r="Q1401" s="2">
        <f ca="1">INDEX(INDIRECT(_xlfn.CONCAT("weather.tbl[",Q$1,"]")),MATCH(vp.tbl[[#This Row],[SDate]],weather.tbl[Date],0))</f>
        <v>19.8</v>
      </c>
      <c r="R1401" s="2">
        <f ca="1">INDEX(INDIRECT(_xlfn.CONCAT("weather.tbl[",R$1,"]")),MATCH(vp.tbl[[#This Row],[SDate]],weather.tbl[Date],0))</f>
        <v>16.8</v>
      </c>
      <c r="S1401" s="2">
        <f ca="1">INDEX(INDIRECT(_xlfn.CONCAT("weather.tbl[",S$1,"]")),MATCH(vp.tbl[[#This Row],[SDate]],weather.tbl[Date],0))</f>
        <v>20.7</v>
      </c>
      <c r="T1401" s="2">
        <f ca="1">INDEX(INDIRECT(_xlfn.CONCAT("weather.tbl[",T$1,"]")),MATCH(vp.tbl[[#This Row],[SDate]],weather.tbl[Date],0))</f>
        <v>15.8</v>
      </c>
      <c r="U1401" s="2">
        <f ca="1">INDEX(INDIRECT(_xlfn.CONCAT("weather.tbl[",U$1,"]")),MATCH(vp.tbl[[#This Row],[SDate]],weather.tbl[Date],0))</f>
        <v>16.8</v>
      </c>
      <c r="V1401" s="2">
        <v>2097.0050000000001</v>
      </c>
      <c r="W1401" t="s">
        <v>48</v>
      </c>
      <c r="X1401">
        <f>IF(OR(vp.tbl[[#This Row],[Sulf]]="",vp.tbl[[#This Row],[Dens]]=""),1,0)</f>
        <v>0</v>
      </c>
      <c r="Y1401">
        <f>IF(vp.tbl[[#This Row],[CrudeType]]="C5+",1,0)</f>
        <v>0</v>
      </c>
      <c r="Z1401">
        <f>IF(AND(vp.tbl[[#This Row],[CrudeType]]="Crude",vp.tbl[[#This Row],[Dens]]&lt;=825,vp.tbl[[#This Row],[Sulf]]&gt;0.5,vp.tbl[[#This Row],[Unknown]]=0),1,0)</f>
        <v>0</v>
      </c>
      <c r="AA1401">
        <f>IF(AND(vp.tbl[[#This Row],[CrudeType]]="Crude",vp.tbl[[#This Row],[Dens]]&lt;=825,vp.tbl[[#This Row],[Sulf]]&lt;=0.5,vp.tbl[[#This Row],[Unknown]]=0),1,0)</f>
        <v>0</v>
      </c>
      <c r="AB1401">
        <f>IF(AND(vp.tbl[[#This Row],[CrudeType]]="Crude",vp.tbl[[#This Row],[Dens]]&gt;825,vp.tbl[[#This Row],[Dens]]&lt;=870,vp.tbl[[#This Row],[Sulf]]&gt;0.5,vp.tbl[[#This Row],[Unknown]]=0),1,0)</f>
        <v>0</v>
      </c>
      <c r="AC1401">
        <f>IF(AND(vp.tbl[[#This Row],[CrudeType]]="Crude",vp.tbl[[#This Row],[Dens]]&gt;825,vp.tbl[[#This Row],[Dens]]&lt;=900,vp.tbl[[#This Row],[Sulf]]&lt;=0.5,vp.tbl[[#This Row],[Unknown]]=0),1,0)</f>
        <v>0</v>
      </c>
      <c r="AD1401">
        <f>IF(AND(vp.tbl[[#This Row],[CrudeType]]="Crude",vp.tbl[[#This Row],[Dens]]&gt;870,vp.tbl[[#This Row],[Dens]]&lt;=900,vp.tbl[[#This Row],[Sulf]]&gt;0.5,vp.tbl[[#This Row],[Unknown]]=0),1,0)</f>
        <v>1</v>
      </c>
      <c r="AE1401">
        <f>IF(AND(vp.tbl[[#This Row],[CrudeType]]="Crude",vp.tbl[[#This Row],[Dens]]&gt;900,vp.tbl[[#This Row],[Sulf]]&lt;=0.5,vp.tbl[[#This Row],[Unknown]]=0),1,0)</f>
        <v>0</v>
      </c>
      <c r="AF1401">
        <f>IF(AND(vp.tbl[[#This Row],[CrudeType]]="Crude",vp.tbl[[#This Row],[Dens]]&gt;900,vp.tbl[[#This Row],[Sulf]]&lt;=0.5,vp.tbl[[#This Row],[Unknown]]=0),1,0)</f>
        <v>0</v>
      </c>
      <c r="AG1401" t="str">
        <f>INDEX(vp.tbl[[#Headers],[Unknown]:[Heavy_SW]],MATCH(1,vp.tbl[[#This Row],[Unknown]:[Heavy_SW]],0))</f>
        <v>Midale</v>
      </c>
      <c r="AH1401" t="e">
        <f>INDEX([1]!crudeBD.lkup[Number],MATCH(vp.tbl[[#This Row],[Crude_Breakdown]],[1]!crudeBD.lkup[Crude Breakdown],0))</f>
        <v>#REF!</v>
      </c>
      <c r="AI1401">
        <f>MONTH(vp.tbl[[#This Row],[SDate]])</f>
        <v>5</v>
      </c>
      <c r="AJ1401" s="5">
        <f>IFERROR(vp.tbl[[#This Row],[Sulf]]*vp.tbl[[#This Row],[Net Dens]],"")</f>
        <v>3776827.6312899999</v>
      </c>
      <c r="AK1401" s="5">
        <f>IFERROR(vp.tbl[[#This Row],[Dens]]*vp.tbl[[#This Row],[VolumeM3]],"")</f>
        <v>1833411.4715</v>
      </c>
      <c r="AL1401" s="5">
        <f>IFERROR(vp.tbl[[#This Row],[VP]]*vp.tbl[[#This Row],[VolumeM3]],"")</f>
        <v>117222.57950000001</v>
      </c>
      <c r="AM1401" s="4">
        <f>IFERROR((vp.tbl[[#This Row],[VP]]-INDEX(crudeBD.lkup.complete[Mean_VP],MATCH(vp.tbl[[#This Row],[Crude_Breakdown]],crudeBD.lkup.complete[Crude Breakdown],0)))^2,"")</f>
        <v>152.2350328391822</v>
      </c>
      <c r="AN1401" s="4">
        <f>IFERROR((vp.tbl[[#This Row],[Dens]]-INDEX(crudeBD.lkup.complete[Mean_Dens],MATCH(vp.tbl[[#This Row],[Crude_Breakdown]],crudeBD.lkup.complete[Crude Breakdown],0)))^2,"")</f>
        <v>10.575860386562409</v>
      </c>
      <c r="AO1401" s="4">
        <f>IFERROR((vp.tbl[[#This Row],[Sulf]]-INDEX(crudeBD.lkup.complete[Mean_Sulf],MATCH(vp.tbl[[#This Row],[Crude_Breakdown]],crudeBD.lkup.complete[Crude Breakdown],0)))^2,"")</f>
        <v>0.12626661295344249</v>
      </c>
      <c r="AP1401">
        <f>IF(AND(vp.tbl[[#This Row],[SDate]]&gt;=DATE(YEAR(vp.tbl[[#This Row],[SDate]]),5,1),vp.tbl[[#This Row],[SDate]]&lt;=DATE(YEAR(vp.tbl[[#This Row],[SDate]]),9,15)),1,0)</f>
        <v>1</v>
      </c>
      <c r="AQ1401" s="15">
        <f>IF(vp.tbl[[#This Row],[SDate]]&lt;DATE(2016,12,1),0,1)</f>
        <v>1</v>
      </c>
    </row>
    <row r="1402" spans="1:43" x14ac:dyDescent="0.25">
      <c r="A1402">
        <v>1401</v>
      </c>
      <c r="B1402" t="s">
        <v>49</v>
      </c>
      <c r="C1402" t="s">
        <v>49</v>
      </c>
      <c r="D1402" t="s">
        <v>174</v>
      </c>
      <c r="F1402" s="1">
        <v>42861</v>
      </c>
      <c r="G1402" s="2">
        <v>82</v>
      </c>
      <c r="H1402" s="2"/>
      <c r="I1402" s="2">
        <v>1.08</v>
      </c>
      <c r="J1402" s="2"/>
      <c r="K1402" s="2"/>
      <c r="L1402" s="2">
        <v>839.4</v>
      </c>
      <c r="M1402" s="2">
        <v>839.4</v>
      </c>
      <c r="N1402" s="2">
        <f ca="1">INDEX(INDIRECT(_xlfn.CONCAT("weather.tbl[",N$1,"]")),MATCH(vp.tbl[[#This Row],[SDate]],weather.tbl[Date],0))</f>
        <v>18.116666666666667</v>
      </c>
      <c r="O1402" s="2">
        <f ca="1">INDEX(INDIRECT(_xlfn.CONCAT("weather.tbl[",O$1,"]")),MATCH(vp.tbl[[#This Row],[SDate]],weather.tbl[Date],0))</f>
        <v>12.52857142857143</v>
      </c>
      <c r="P1402" s="2">
        <f ca="1">INDEX(INDIRECT(_xlfn.CONCAT("weather.tbl[",P$1,"]")),MATCH(vp.tbl[[#This Row],[SDate]],weather.tbl[Date],0))</f>
        <v>18.8</v>
      </c>
      <c r="Q1402" s="2">
        <f ca="1">INDEX(INDIRECT(_xlfn.CONCAT("weather.tbl[",Q$1,"]")),MATCH(vp.tbl[[#This Row],[SDate]],weather.tbl[Date],0))</f>
        <v>19.8</v>
      </c>
      <c r="R1402" s="2">
        <f ca="1">INDEX(INDIRECT(_xlfn.CONCAT("weather.tbl[",R$1,"]")),MATCH(vp.tbl[[#This Row],[SDate]],weather.tbl[Date],0))</f>
        <v>16.8</v>
      </c>
      <c r="S1402" s="2">
        <f ca="1">INDEX(INDIRECT(_xlfn.CONCAT("weather.tbl[",S$1,"]")),MATCH(vp.tbl[[#This Row],[SDate]],weather.tbl[Date],0))</f>
        <v>20.7</v>
      </c>
      <c r="T1402" s="2">
        <f ca="1">INDEX(INDIRECT(_xlfn.CONCAT("weather.tbl[",T$1,"]")),MATCH(vp.tbl[[#This Row],[SDate]],weather.tbl[Date],0))</f>
        <v>15.8</v>
      </c>
      <c r="U1402" s="2">
        <f ca="1">INDEX(INDIRECT(_xlfn.CONCAT("weather.tbl[",U$1,"]")),MATCH(vp.tbl[[#This Row],[SDate]],weather.tbl[Date],0))</f>
        <v>16.8</v>
      </c>
      <c r="V1402" s="2">
        <v>1061.461</v>
      </c>
      <c r="W1402" t="s">
        <v>48</v>
      </c>
      <c r="X1402">
        <f>IF(OR(vp.tbl[[#This Row],[Sulf]]="",vp.tbl[[#This Row],[Dens]]=""),1,0)</f>
        <v>0</v>
      </c>
      <c r="Y1402">
        <f>IF(vp.tbl[[#This Row],[CrudeType]]="C5+",1,0)</f>
        <v>0</v>
      </c>
      <c r="Z1402">
        <f>IF(AND(vp.tbl[[#This Row],[CrudeType]]="Crude",vp.tbl[[#This Row],[Dens]]&lt;=825,vp.tbl[[#This Row],[Sulf]]&gt;0.5,vp.tbl[[#This Row],[Unknown]]=0),1,0)</f>
        <v>0</v>
      </c>
      <c r="AA1402">
        <f>IF(AND(vp.tbl[[#This Row],[CrudeType]]="Crude",vp.tbl[[#This Row],[Dens]]&lt;=825,vp.tbl[[#This Row],[Sulf]]&lt;=0.5,vp.tbl[[#This Row],[Unknown]]=0),1,0)</f>
        <v>0</v>
      </c>
      <c r="AB1402">
        <f>IF(AND(vp.tbl[[#This Row],[CrudeType]]="Crude",vp.tbl[[#This Row],[Dens]]&gt;825,vp.tbl[[#This Row],[Dens]]&lt;=870,vp.tbl[[#This Row],[Sulf]]&gt;0.5,vp.tbl[[#This Row],[Unknown]]=0),1,0)</f>
        <v>1</v>
      </c>
      <c r="AC1402">
        <f>IF(AND(vp.tbl[[#This Row],[CrudeType]]="Crude",vp.tbl[[#This Row],[Dens]]&gt;825,vp.tbl[[#This Row],[Dens]]&lt;=900,vp.tbl[[#This Row],[Sulf]]&lt;=0.5,vp.tbl[[#This Row],[Unknown]]=0),1,0)</f>
        <v>0</v>
      </c>
      <c r="AD1402">
        <f>IF(AND(vp.tbl[[#This Row],[CrudeType]]="Crude",vp.tbl[[#This Row],[Dens]]&gt;870,vp.tbl[[#This Row],[Dens]]&lt;=900,vp.tbl[[#This Row],[Sulf]]&gt;0.5,vp.tbl[[#This Row],[Unknown]]=0),1,0)</f>
        <v>0</v>
      </c>
      <c r="AE1402">
        <f>IF(AND(vp.tbl[[#This Row],[CrudeType]]="Crude",vp.tbl[[#This Row],[Dens]]&gt;900,vp.tbl[[#This Row],[Sulf]]&lt;=0.5,vp.tbl[[#This Row],[Unknown]]=0),1,0)</f>
        <v>0</v>
      </c>
      <c r="AF1402">
        <f>IF(AND(vp.tbl[[#This Row],[CrudeType]]="Crude",vp.tbl[[#This Row],[Dens]]&gt;900,vp.tbl[[#This Row],[Sulf]]&lt;=0.5,vp.tbl[[#This Row],[Unknown]]=0),1,0)</f>
        <v>0</v>
      </c>
      <c r="AG1402" t="str">
        <f>INDEX(vp.tbl[[#Headers],[Unknown]:[Heavy_SW]],MATCH(1,vp.tbl[[#This Row],[Unknown]:[Heavy_SW]],0))</f>
        <v>Medium_LSB</v>
      </c>
      <c r="AH1402" t="e">
        <f>INDEX([1]!crudeBD.lkup[Number],MATCH(vp.tbl[[#This Row],[Crude_Breakdown]],[1]!crudeBD.lkup[Crude Breakdown],0))</f>
        <v>#REF!</v>
      </c>
      <c r="AI1402">
        <f>MONTH(vp.tbl[[#This Row],[SDate]])</f>
        <v>5</v>
      </c>
      <c r="AJ1402" s="5">
        <f>IFERROR(vp.tbl[[#This Row],[Sulf]]*vp.tbl[[#This Row],[Net Dens]],"")</f>
        <v>962269.59247200005</v>
      </c>
      <c r="AK1402" s="5">
        <f>IFERROR(vp.tbl[[#This Row],[Dens]]*vp.tbl[[#This Row],[VolumeM3]],"")</f>
        <v>890990.36340000003</v>
      </c>
      <c r="AL1402" s="5">
        <f>IFERROR(vp.tbl[[#This Row],[VP]]*vp.tbl[[#This Row],[VolumeM3]],"")</f>
        <v>87039.801999999996</v>
      </c>
      <c r="AM1402" s="4">
        <f>IFERROR((vp.tbl[[#This Row],[VP]]-INDEX(crudeBD.lkup.complete[Mean_VP],MATCH(vp.tbl[[#This Row],[Crude_Breakdown]],crudeBD.lkup.complete[Crude Breakdown],0)))^2,"")</f>
        <v>3.335755455215645</v>
      </c>
      <c r="AN1402" s="4">
        <f>IFERROR((vp.tbl[[#This Row],[Dens]]-INDEX(crudeBD.lkup.complete[Mean_Dens],MATCH(vp.tbl[[#This Row],[Crude_Breakdown]],crudeBD.lkup.complete[Crude Breakdown],0)))^2,"")</f>
        <v>34.713575727596421</v>
      </c>
      <c r="AO1402" s="4">
        <f>IFERROR((vp.tbl[[#This Row],[Sulf]]-INDEX(crudeBD.lkup.complete[Mean_Sulf],MATCH(vp.tbl[[#This Row],[Crude_Breakdown]],crudeBD.lkup.complete[Crude Breakdown],0)))^2,"")</f>
        <v>0.14057240048913436</v>
      </c>
      <c r="AP1402">
        <f>IF(AND(vp.tbl[[#This Row],[SDate]]&gt;=DATE(YEAR(vp.tbl[[#This Row],[SDate]]),5,1),vp.tbl[[#This Row],[SDate]]&lt;=DATE(YEAR(vp.tbl[[#This Row],[SDate]]),9,15)),1,0)</f>
        <v>1</v>
      </c>
      <c r="AQ1402" s="15">
        <f>IF(vp.tbl[[#This Row],[SDate]]&lt;DATE(2016,12,1),0,1)</f>
        <v>1</v>
      </c>
    </row>
    <row r="1403" spans="1:43" x14ac:dyDescent="0.25">
      <c r="A1403">
        <v>1402</v>
      </c>
      <c r="B1403" t="s">
        <v>51</v>
      </c>
      <c r="C1403" t="s">
        <v>51</v>
      </c>
      <c r="D1403" t="s">
        <v>177</v>
      </c>
      <c r="F1403" s="1">
        <v>42861</v>
      </c>
      <c r="G1403" s="2">
        <v>77.3</v>
      </c>
      <c r="H1403" s="2"/>
      <c r="I1403" s="2">
        <v>1.33</v>
      </c>
      <c r="J1403" s="2"/>
      <c r="K1403" s="2"/>
      <c r="L1403" s="2">
        <v>850.1</v>
      </c>
      <c r="M1403" s="2">
        <v>850.1</v>
      </c>
      <c r="N1403" s="2">
        <f ca="1">INDEX(INDIRECT(_xlfn.CONCAT("weather.tbl[",N$1,"]")),MATCH(vp.tbl[[#This Row],[SDate]],weather.tbl[Date],0))</f>
        <v>18.116666666666667</v>
      </c>
      <c r="O1403" s="2">
        <f ca="1">INDEX(INDIRECT(_xlfn.CONCAT("weather.tbl[",O$1,"]")),MATCH(vp.tbl[[#This Row],[SDate]],weather.tbl[Date],0))</f>
        <v>12.52857142857143</v>
      </c>
      <c r="P1403" s="2">
        <f ca="1">INDEX(INDIRECT(_xlfn.CONCAT("weather.tbl[",P$1,"]")),MATCH(vp.tbl[[#This Row],[SDate]],weather.tbl[Date],0))</f>
        <v>18.8</v>
      </c>
      <c r="Q1403" s="2">
        <f ca="1">INDEX(INDIRECT(_xlfn.CONCAT("weather.tbl[",Q$1,"]")),MATCH(vp.tbl[[#This Row],[SDate]],weather.tbl[Date],0))</f>
        <v>19.8</v>
      </c>
      <c r="R1403" s="2">
        <f ca="1">INDEX(INDIRECT(_xlfn.CONCAT("weather.tbl[",R$1,"]")),MATCH(vp.tbl[[#This Row],[SDate]],weather.tbl[Date],0))</f>
        <v>16.8</v>
      </c>
      <c r="S1403" s="2">
        <f ca="1">INDEX(INDIRECT(_xlfn.CONCAT("weather.tbl[",S$1,"]")),MATCH(vp.tbl[[#This Row],[SDate]],weather.tbl[Date],0))</f>
        <v>20.7</v>
      </c>
      <c r="T1403" s="2">
        <f ca="1">INDEX(INDIRECT(_xlfn.CONCAT("weather.tbl[",T$1,"]")),MATCH(vp.tbl[[#This Row],[SDate]],weather.tbl[Date],0))</f>
        <v>15.8</v>
      </c>
      <c r="U1403" s="2">
        <f ca="1">INDEX(INDIRECT(_xlfn.CONCAT("weather.tbl[",U$1,"]")),MATCH(vp.tbl[[#This Row],[SDate]],weather.tbl[Date],0))</f>
        <v>16.8</v>
      </c>
      <c r="V1403" s="2">
        <v>243.32300000000001</v>
      </c>
      <c r="W1403" t="s">
        <v>48</v>
      </c>
      <c r="X1403">
        <f>IF(OR(vp.tbl[[#This Row],[Sulf]]="",vp.tbl[[#This Row],[Dens]]=""),1,0)</f>
        <v>0</v>
      </c>
      <c r="Y1403">
        <f>IF(vp.tbl[[#This Row],[CrudeType]]="C5+",1,0)</f>
        <v>0</v>
      </c>
      <c r="Z1403">
        <f>IF(AND(vp.tbl[[#This Row],[CrudeType]]="Crude",vp.tbl[[#This Row],[Dens]]&lt;=825,vp.tbl[[#This Row],[Sulf]]&gt;0.5,vp.tbl[[#This Row],[Unknown]]=0),1,0)</f>
        <v>0</v>
      </c>
      <c r="AA1403">
        <f>IF(AND(vp.tbl[[#This Row],[CrudeType]]="Crude",vp.tbl[[#This Row],[Dens]]&lt;=825,vp.tbl[[#This Row],[Sulf]]&lt;=0.5,vp.tbl[[#This Row],[Unknown]]=0),1,0)</f>
        <v>0</v>
      </c>
      <c r="AB1403">
        <f>IF(AND(vp.tbl[[#This Row],[CrudeType]]="Crude",vp.tbl[[#This Row],[Dens]]&gt;825,vp.tbl[[#This Row],[Dens]]&lt;=870,vp.tbl[[#This Row],[Sulf]]&gt;0.5,vp.tbl[[#This Row],[Unknown]]=0),1,0)</f>
        <v>1</v>
      </c>
      <c r="AC1403">
        <f>IF(AND(vp.tbl[[#This Row],[CrudeType]]="Crude",vp.tbl[[#This Row],[Dens]]&gt;825,vp.tbl[[#This Row],[Dens]]&lt;=900,vp.tbl[[#This Row],[Sulf]]&lt;=0.5,vp.tbl[[#This Row],[Unknown]]=0),1,0)</f>
        <v>0</v>
      </c>
      <c r="AD1403">
        <f>IF(AND(vp.tbl[[#This Row],[CrudeType]]="Crude",vp.tbl[[#This Row],[Dens]]&gt;870,vp.tbl[[#This Row],[Dens]]&lt;=900,vp.tbl[[#This Row],[Sulf]]&gt;0.5,vp.tbl[[#This Row],[Unknown]]=0),1,0)</f>
        <v>0</v>
      </c>
      <c r="AE1403">
        <f>IF(AND(vp.tbl[[#This Row],[CrudeType]]="Crude",vp.tbl[[#This Row],[Dens]]&gt;900,vp.tbl[[#This Row],[Sulf]]&lt;=0.5,vp.tbl[[#This Row],[Unknown]]=0),1,0)</f>
        <v>0</v>
      </c>
      <c r="AF1403">
        <f>IF(AND(vp.tbl[[#This Row],[CrudeType]]="Crude",vp.tbl[[#This Row],[Dens]]&gt;900,vp.tbl[[#This Row],[Sulf]]&lt;=0.5,vp.tbl[[#This Row],[Unknown]]=0),1,0)</f>
        <v>0</v>
      </c>
      <c r="AG1403" t="str">
        <f>INDEX(vp.tbl[[#Headers],[Unknown]:[Heavy_SW]],MATCH(1,vp.tbl[[#This Row],[Unknown]:[Heavy_SW]],0))</f>
        <v>Medium_LSB</v>
      </c>
      <c r="AH1403" t="e">
        <f>INDEX([1]!crudeBD.lkup[Number],MATCH(vp.tbl[[#This Row],[Crude_Breakdown]],[1]!crudeBD.lkup[Crude Breakdown],0))</f>
        <v>#REF!</v>
      </c>
      <c r="AI1403">
        <f>MONTH(vp.tbl[[#This Row],[SDate]])</f>
        <v>5</v>
      </c>
      <c r="AJ1403" s="5">
        <f>IFERROR(vp.tbl[[#This Row],[Sulf]]*vp.tbl[[#This Row],[Net Dens]],"")</f>
        <v>275109.01345900004</v>
      </c>
      <c r="AK1403" s="5">
        <f>IFERROR(vp.tbl[[#This Row],[Dens]]*vp.tbl[[#This Row],[VolumeM3]],"")</f>
        <v>206848.8823</v>
      </c>
      <c r="AL1403" s="5">
        <f>IFERROR(vp.tbl[[#This Row],[VP]]*vp.tbl[[#This Row],[VolumeM3]],"")</f>
        <v>18808.867900000001</v>
      </c>
      <c r="AM1403" s="4">
        <f>IFERROR((vp.tbl[[#This Row],[VP]]-INDEX(crudeBD.lkup.complete[Mean_VP],MATCH(vp.tbl[[#This Row],[Crude_Breakdown]],crudeBD.lkup.complete[Crude Breakdown],0)))^2,"")</f>
        <v>8.2575478602786063</v>
      </c>
      <c r="AN1403" s="4">
        <f>IFERROR((vp.tbl[[#This Row],[Dens]]-INDEX(crudeBD.lkup.complete[Mean_Dens],MATCH(vp.tbl[[#This Row],[Crude_Breakdown]],crudeBD.lkup.complete[Crude Breakdown],0)))^2,"")</f>
        <v>23.118568132680736</v>
      </c>
      <c r="AO1403" s="4">
        <f>IFERROR((vp.tbl[[#This Row],[Sulf]]-INDEX(crudeBD.lkup.complete[Mean_Sulf],MATCH(vp.tbl[[#This Row],[Crude_Breakdown]],crudeBD.lkup.complete[Crude Breakdown],0)))^2,"")</f>
        <v>1.5607470109386829E-2</v>
      </c>
      <c r="AP1403">
        <f>IF(AND(vp.tbl[[#This Row],[SDate]]&gt;=DATE(YEAR(vp.tbl[[#This Row],[SDate]]),5,1),vp.tbl[[#This Row],[SDate]]&lt;=DATE(YEAR(vp.tbl[[#This Row],[SDate]]),9,15)),1,0)</f>
        <v>1</v>
      </c>
      <c r="AQ1403" s="15">
        <f>IF(vp.tbl[[#This Row],[SDate]]&lt;DATE(2016,12,1),0,1)</f>
        <v>1</v>
      </c>
    </row>
    <row r="1404" spans="1:43" x14ac:dyDescent="0.25">
      <c r="A1404">
        <v>1403</v>
      </c>
      <c r="B1404" t="s">
        <v>183</v>
      </c>
      <c r="C1404" t="s">
        <v>183</v>
      </c>
      <c r="D1404" t="s">
        <v>295</v>
      </c>
      <c r="F1404" s="1">
        <v>42861</v>
      </c>
      <c r="G1404" s="2">
        <v>36.4</v>
      </c>
      <c r="H1404" s="2"/>
      <c r="I1404" s="2">
        <v>1.04</v>
      </c>
      <c r="J1404" s="2"/>
      <c r="K1404" s="2"/>
      <c r="L1404" s="2">
        <v>846.3</v>
      </c>
      <c r="M1404" s="2">
        <v>846.3</v>
      </c>
      <c r="N1404" s="2">
        <f ca="1">INDEX(INDIRECT(_xlfn.CONCAT("weather.tbl[",N$1,"]")),MATCH(vp.tbl[[#This Row],[SDate]],weather.tbl[Date],0))</f>
        <v>18.116666666666667</v>
      </c>
      <c r="O1404" s="2">
        <f ca="1">INDEX(INDIRECT(_xlfn.CONCAT("weather.tbl[",O$1,"]")),MATCH(vp.tbl[[#This Row],[SDate]],weather.tbl[Date],0))</f>
        <v>12.52857142857143</v>
      </c>
      <c r="P1404" s="2">
        <f ca="1">INDEX(INDIRECT(_xlfn.CONCAT("weather.tbl[",P$1,"]")),MATCH(vp.tbl[[#This Row],[SDate]],weather.tbl[Date],0))</f>
        <v>18.8</v>
      </c>
      <c r="Q1404" s="2">
        <f ca="1">INDEX(INDIRECT(_xlfn.CONCAT("weather.tbl[",Q$1,"]")),MATCH(vp.tbl[[#This Row],[SDate]],weather.tbl[Date],0))</f>
        <v>19.8</v>
      </c>
      <c r="R1404" s="2">
        <f ca="1">INDEX(INDIRECT(_xlfn.CONCAT("weather.tbl[",R$1,"]")),MATCH(vp.tbl[[#This Row],[SDate]],weather.tbl[Date],0))</f>
        <v>16.8</v>
      </c>
      <c r="S1404" s="2">
        <f ca="1">INDEX(INDIRECT(_xlfn.CONCAT("weather.tbl[",S$1,"]")),MATCH(vp.tbl[[#This Row],[SDate]],weather.tbl[Date],0))</f>
        <v>20.7</v>
      </c>
      <c r="T1404" s="2">
        <f ca="1">INDEX(INDIRECT(_xlfn.CONCAT("weather.tbl[",T$1,"]")),MATCH(vp.tbl[[#This Row],[SDate]],weather.tbl[Date],0))</f>
        <v>15.8</v>
      </c>
      <c r="U1404" s="2">
        <f ca="1">INDEX(INDIRECT(_xlfn.CONCAT("weather.tbl[",U$1,"]")),MATCH(vp.tbl[[#This Row],[SDate]],weather.tbl[Date],0))</f>
        <v>16.8</v>
      </c>
      <c r="V1404" s="2">
        <v>43.16</v>
      </c>
      <c r="W1404" t="s">
        <v>48</v>
      </c>
      <c r="X1404">
        <f>IF(OR(vp.tbl[[#This Row],[Sulf]]="",vp.tbl[[#This Row],[Dens]]=""),1,0)</f>
        <v>0</v>
      </c>
      <c r="Y1404">
        <f>IF(vp.tbl[[#This Row],[CrudeType]]="C5+",1,0)</f>
        <v>0</v>
      </c>
      <c r="Z1404">
        <f>IF(AND(vp.tbl[[#This Row],[CrudeType]]="Crude",vp.tbl[[#This Row],[Dens]]&lt;=825,vp.tbl[[#This Row],[Sulf]]&gt;0.5,vp.tbl[[#This Row],[Unknown]]=0),1,0)</f>
        <v>0</v>
      </c>
      <c r="AA1404">
        <f>IF(AND(vp.tbl[[#This Row],[CrudeType]]="Crude",vp.tbl[[#This Row],[Dens]]&lt;=825,vp.tbl[[#This Row],[Sulf]]&lt;=0.5,vp.tbl[[#This Row],[Unknown]]=0),1,0)</f>
        <v>0</v>
      </c>
      <c r="AB1404">
        <f>IF(AND(vp.tbl[[#This Row],[CrudeType]]="Crude",vp.tbl[[#This Row],[Dens]]&gt;825,vp.tbl[[#This Row],[Dens]]&lt;=870,vp.tbl[[#This Row],[Sulf]]&gt;0.5,vp.tbl[[#This Row],[Unknown]]=0),1,0)</f>
        <v>1</v>
      </c>
      <c r="AC1404">
        <f>IF(AND(vp.tbl[[#This Row],[CrudeType]]="Crude",vp.tbl[[#This Row],[Dens]]&gt;825,vp.tbl[[#This Row],[Dens]]&lt;=900,vp.tbl[[#This Row],[Sulf]]&lt;=0.5,vp.tbl[[#This Row],[Unknown]]=0),1,0)</f>
        <v>0</v>
      </c>
      <c r="AD1404">
        <f>IF(AND(vp.tbl[[#This Row],[CrudeType]]="Crude",vp.tbl[[#This Row],[Dens]]&gt;870,vp.tbl[[#This Row],[Dens]]&lt;=900,vp.tbl[[#This Row],[Sulf]]&gt;0.5,vp.tbl[[#This Row],[Unknown]]=0),1,0)</f>
        <v>0</v>
      </c>
      <c r="AE1404">
        <f>IF(AND(vp.tbl[[#This Row],[CrudeType]]="Crude",vp.tbl[[#This Row],[Dens]]&gt;900,vp.tbl[[#This Row],[Sulf]]&lt;=0.5,vp.tbl[[#This Row],[Unknown]]=0),1,0)</f>
        <v>0</v>
      </c>
      <c r="AF1404">
        <f>IF(AND(vp.tbl[[#This Row],[CrudeType]]="Crude",vp.tbl[[#This Row],[Dens]]&gt;900,vp.tbl[[#This Row],[Sulf]]&lt;=0.5,vp.tbl[[#This Row],[Unknown]]=0),1,0)</f>
        <v>0</v>
      </c>
      <c r="AG1404" t="str">
        <f>INDEX(vp.tbl[[#Headers],[Unknown]:[Heavy_SW]],MATCH(1,vp.tbl[[#This Row],[Unknown]:[Heavy_SW]],0))</f>
        <v>Medium_LSB</v>
      </c>
      <c r="AH1404" t="e">
        <f>INDEX([1]!crudeBD.lkup[Number],MATCH(vp.tbl[[#This Row],[Crude_Breakdown]],[1]!crudeBD.lkup[Crude Breakdown],0))</f>
        <v>#REF!</v>
      </c>
      <c r="AI1404">
        <f>MONTH(vp.tbl[[#This Row],[SDate]])</f>
        <v>5</v>
      </c>
      <c r="AJ1404" s="5">
        <f>IFERROR(vp.tbl[[#This Row],[Sulf]]*vp.tbl[[#This Row],[Net Dens]],"")</f>
        <v>37987.36032</v>
      </c>
      <c r="AK1404" s="5">
        <f>IFERROR(vp.tbl[[#This Row],[Dens]]*vp.tbl[[#This Row],[VolumeM3]],"")</f>
        <v>36526.307999999997</v>
      </c>
      <c r="AL1404" s="5">
        <f>IFERROR(vp.tbl[[#This Row],[VP]]*vp.tbl[[#This Row],[VolumeM3]],"")</f>
        <v>1571.0239999999999</v>
      </c>
      <c r="AM1404" s="4">
        <f>IFERROR((vp.tbl[[#This Row],[VP]]-INDEX(crudeBD.lkup.complete[Mean_VP],MATCH(vp.tbl[[#This Row],[Crude_Breakdown]],crudeBD.lkup.complete[Crude Breakdown],0)))^2,"")</f>
        <v>1916.1276136830604</v>
      </c>
      <c r="AN1404" s="4">
        <f>IFERROR((vp.tbl[[#This Row],[Dens]]-INDEX(crudeBD.lkup.complete[Mean_Dens],MATCH(vp.tbl[[#This Row],[Crude_Breakdown]],crudeBD.lkup.complete[Crude Breakdown],0)))^2,"")</f>
        <v>1.016421297229902</v>
      </c>
      <c r="AO1404" s="4">
        <f>IFERROR((vp.tbl[[#This Row],[Sulf]]-INDEX(crudeBD.lkup.complete[Mean_Sulf],MATCH(vp.tbl[[#This Row],[Crude_Breakdown]],crudeBD.lkup.complete[Crude Breakdown],0)))^2,"")</f>
        <v>0.17216678934989402</v>
      </c>
      <c r="AP1404">
        <f>IF(AND(vp.tbl[[#This Row],[SDate]]&gt;=DATE(YEAR(vp.tbl[[#This Row],[SDate]]),5,1),vp.tbl[[#This Row],[SDate]]&lt;=DATE(YEAR(vp.tbl[[#This Row],[SDate]]),9,15)),1,0)</f>
        <v>1</v>
      </c>
      <c r="AQ1404" s="15">
        <f>IF(vp.tbl[[#This Row],[SDate]]&lt;DATE(2016,12,1),0,1)</f>
        <v>1</v>
      </c>
    </row>
    <row r="1405" spans="1:43" x14ac:dyDescent="0.25">
      <c r="A1405">
        <v>1404</v>
      </c>
      <c r="B1405" t="s">
        <v>292</v>
      </c>
      <c r="C1405" t="s">
        <v>292</v>
      </c>
      <c r="D1405" t="s">
        <v>296</v>
      </c>
      <c r="F1405" s="1">
        <v>42861</v>
      </c>
      <c r="G1405" s="2">
        <v>70.7</v>
      </c>
      <c r="H1405" s="2"/>
      <c r="I1405" s="2">
        <v>0.96</v>
      </c>
      <c r="J1405" s="2"/>
      <c r="K1405" s="2"/>
      <c r="L1405" s="2">
        <v>835.4</v>
      </c>
      <c r="M1405" s="2">
        <v>835.4</v>
      </c>
      <c r="N1405" s="2">
        <f ca="1">INDEX(INDIRECT(_xlfn.CONCAT("weather.tbl[",N$1,"]")),MATCH(vp.tbl[[#This Row],[SDate]],weather.tbl[Date],0))</f>
        <v>18.116666666666667</v>
      </c>
      <c r="O1405" s="2">
        <f ca="1">INDEX(INDIRECT(_xlfn.CONCAT("weather.tbl[",O$1,"]")),MATCH(vp.tbl[[#This Row],[SDate]],weather.tbl[Date],0))</f>
        <v>12.52857142857143</v>
      </c>
      <c r="P1405" s="2">
        <f ca="1">INDEX(INDIRECT(_xlfn.CONCAT("weather.tbl[",P$1,"]")),MATCH(vp.tbl[[#This Row],[SDate]],weather.tbl[Date],0))</f>
        <v>18.8</v>
      </c>
      <c r="Q1405" s="2">
        <f ca="1">INDEX(INDIRECT(_xlfn.CONCAT("weather.tbl[",Q$1,"]")),MATCH(vp.tbl[[#This Row],[SDate]],weather.tbl[Date],0))</f>
        <v>19.8</v>
      </c>
      <c r="R1405" s="2">
        <f ca="1">INDEX(INDIRECT(_xlfn.CONCAT("weather.tbl[",R$1,"]")),MATCH(vp.tbl[[#This Row],[SDate]],weather.tbl[Date],0))</f>
        <v>16.8</v>
      </c>
      <c r="S1405" s="2">
        <f ca="1">INDEX(INDIRECT(_xlfn.CONCAT("weather.tbl[",S$1,"]")),MATCH(vp.tbl[[#This Row],[SDate]],weather.tbl[Date],0))</f>
        <v>20.7</v>
      </c>
      <c r="T1405" s="2">
        <f ca="1">INDEX(INDIRECT(_xlfn.CONCAT("weather.tbl[",T$1,"]")),MATCH(vp.tbl[[#This Row],[SDate]],weather.tbl[Date],0))</f>
        <v>15.8</v>
      </c>
      <c r="U1405" s="2">
        <f ca="1">INDEX(INDIRECT(_xlfn.CONCAT("weather.tbl[",U$1,"]")),MATCH(vp.tbl[[#This Row],[SDate]],weather.tbl[Date],0))</f>
        <v>16.8</v>
      </c>
      <c r="V1405" s="2">
        <v>2752.261</v>
      </c>
      <c r="W1405" t="s">
        <v>48</v>
      </c>
      <c r="X1405">
        <f>IF(OR(vp.tbl[[#This Row],[Sulf]]="",vp.tbl[[#This Row],[Dens]]=""),1,0)</f>
        <v>0</v>
      </c>
      <c r="Y1405">
        <f>IF(vp.tbl[[#This Row],[CrudeType]]="C5+",1,0)</f>
        <v>0</v>
      </c>
      <c r="Z1405">
        <f>IF(AND(vp.tbl[[#This Row],[CrudeType]]="Crude",vp.tbl[[#This Row],[Dens]]&lt;=825,vp.tbl[[#This Row],[Sulf]]&gt;0.5,vp.tbl[[#This Row],[Unknown]]=0),1,0)</f>
        <v>0</v>
      </c>
      <c r="AA1405">
        <f>IF(AND(vp.tbl[[#This Row],[CrudeType]]="Crude",vp.tbl[[#This Row],[Dens]]&lt;=825,vp.tbl[[#This Row],[Sulf]]&lt;=0.5,vp.tbl[[#This Row],[Unknown]]=0),1,0)</f>
        <v>0</v>
      </c>
      <c r="AB1405">
        <f>IF(AND(vp.tbl[[#This Row],[CrudeType]]="Crude",vp.tbl[[#This Row],[Dens]]&gt;825,vp.tbl[[#This Row],[Dens]]&lt;=870,vp.tbl[[#This Row],[Sulf]]&gt;0.5,vp.tbl[[#This Row],[Unknown]]=0),1,0)</f>
        <v>1</v>
      </c>
      <c r="AC1405">
        <f>IF(AND(vp.tbl[[#This Row],[CrudeType]]="Crude",vp.tbl[[#This Row],[Dens]]&gt;825,vp.tbl[[#This Row],[Dens]]&lt;=900,vp.tbl[[#This Row],[Sulf]]&lt;=0.5,vp.tbl[[#This Row],[Unknown]]=0),1,0)</f>
        <v>0</v>
      </c>
      <c r="AD1405">
        <f>IF(AND(vp.tbl[[#This Row],[CrudeType]]="Crude",vp.tbl[[#This Row],[Dens]]&gt;870,vp.tbl[[#This Row],[Dens]]&lt;=900,vp.tbl[[#This Row],[Sulf]]&gt;0.5,vp.tbl[[#This Row],[Unknown]]=0),1,0)</f>
        <v>0</v>
      </c>
      <c r="AE1405">
        <f>IF(AND(vp.tbl[[#This Row],[CrudeType]]="Crude",vp.tbl[[#This Row],[Dens]]&gt;900,vp.tbl[[#This Row],[Sulf]]&lt;=0.5,vp.tbl[[#This Row],[Unknown]]=0),1,0)</f>
        <v>0</v>
      </c>
      <c r="AF1405">
        <f>IF(AND(vp.tbl[[#This Row],[CrudeType]]="Crude",vp.tbl[[#This Row],[Dens]]&gt;900,vp.tbl[[#This Row],[Sulf]]&lt;=0.5,vp.tbl[[#This Row],[Unknown]]=0),1,0)</f>
        <v>0</v>
      </c>
      <c r="AG1405" t="str">
        <f>INDEX(vp.tbl[[#Headers],[Unknown]:[Heavy_SW]],MATCH(1,vp.tbl[[#This Row],[Unknown]:[Heavy_SW]],0))</f>
        <v>Medium_LSB</v>
      </c>
      <c r="AH1405" t="e">
        <f>INDEX([1]!crudeBD.lkup[Number],MATCH(vp.tbl[[#This Row],[Crude_Breakdown]],[1]!crudeBD.lkup[Crude Breakdown],0))</f>
        <v>#REF!</v>
      </c>
      <c r="AI1405">
        <f>MONTH(vp.tbl[[#This Row],[SDate]])</f>
        <v>5</v>
      </c>
      <c r="AJ1405" s="5">
        <f>IFERROR(vp.tbl[[#This Row],[Sulf]]*vp.tbl[[#This Row],[Net Dens]],"")</f>
        <v>2207269.2858239999</v>
      </c>
      <c r="AK1405" s="5">
        <f>IFERROR(vp.tbl[[#This Row],[Dens]]*vp.tbl[[#This Row],[VolumeM3]],"")</f>
        <v>2299238.8393999999</v>
      </c>
      <c r="AL1405" s="5">
        <f>IFERROR(vp.tbl[[#This Row],[VP]]*vp.tbl[[#This Row],[VolumeM3]],"")</f>
        <v>194584.85270000002</v>
      </c>
      <c r="AM1405" s="4">
        <f>IFERROR((vp.tbl[[#This Row],[VP]]-INDEX(crudeBD.lkup.complete[Mean_VP],MATCH(vp.tbl[[#This Row],[Crude_Breakdown]],crudeBD.lkup.complete[Crude Breakdown],0)))^2,"")</f>
        <v>89.74900102483501</v>
      </c>
      <c r="AN1405" s="4">
        <f>IFERROR((vp.tbl[[#This Row],[Dens]]-INDEX(crudeBD.lkup.complete[Mean_Dens],MATCH(vp.tbl[[#This Row],[Crude_Breakdown]],crudeBD.lkup.complete[Crude Breakdown],0)))^2,"")</f>
        <v>97.848158006069738</v>
      </c>
      <c r="AO1405" s="4">
        <f>IFERROR((vp.tbl[[#This Row],[Sulf]]-INDEX(crudeBD.lkup.complete[Mean_Sulf],MATCH(vp.tbl[[#This Row],[Crude_Breakdown]],crudeBD.lkup.complete[Crude Breakdown],0)))^2,"")</f>
        <v>0.2449555670714133</v>
      </c>
      <c r="AP1405">
        <f>IF(AND(vp.tbl[[#This Row],[SDate]]&gt;=DATE(YEAR(vp.tbl[[#This Row],[SDate]]),5,1),vp.tbl[[#This Row],[SDate]]&lt;=DATE(YEAR(vp.tbl[[#This Row],[SDate]]),9,15)),1,0)</f>
        <v>1</v>
      </c>
      <c r="AQ1405" s="15">
        <f>IF(vp.tbl[[#This Row],[SDate]]&lt;DATE(2016,12,1),0,1)</f>
        <v>1</v>
      </c>
    </row>
    <row r="1406" spans="1:43" x14ac:dyDescent="0.25">
      <c r="A1406">
        <v>1405</v>
      </c>
      <c r="B1406" t="s">
        <v>51</v>
      </c>
      <c r="C1406" t="s">
        <v>51</v>
      </c>
      <c r="D1406" t="s">
        <v>254</v>
      </c>
      <c r="F1406" s="1">
        <v>42861</v>
      </c>
      <c r="G1406" s="2">
        <v>55.8</v>
      </c>
      <c r="H1406" s="2"/>
      <c r="I1406" s="2">
        <v>1.03</v>
      </c>
      <c r="J1406" s="2"/>
      <c r="K1406" s="2"/>
      <c r="L1406" s="2">
        <v>853.9</v>
      </c>
      <c r="M1406" s="2">
        <v>853.9</v>
      </c>
      <c r="N1406" s="2">
        <f ca="1">INDEX(INDIRECT(_xlfn.CONCAT("weather.tbl[",N$1,"]")),MATCH(vp.tbl[[#This Row],[SDate]],weather.tbl[Date],0))</f>
        <v>18.116666666666667</v>
      </c>
      <c r="O1406" s="2">
        <f ca="1">INDEX(INDIRECT(_xlfn.CONCAT("weather.tbl[",O$1,"]")),MATCH(vp.tbl[[#This Row],[SDate]],weather.tbl[Date],0))</f>
        <v>12.52857142857143</v>
      </c>
      <c r="P1406" s="2">
        <f ca="1">INDEX(INDIRECT(_xlfn.CONCAT("weather.tbl[",P$1,"]")),MATCH(vp.tbl[[#This Row],[SDate]],weather.tbl[Date],0))</f>
        <v>18.8</v>
      </c>
      <c r="Q1406" s="2">
        <f ca="1">INDEX(INDIRECT(_xlfn.CONCAT("weather.tbl[",Q$1,"]")),MATCH(vp.tbl[[#This Row],[SDate]],weather.tbl[Date],0))</f>
        <v>19.8</v>
      </c>
      <c r="R1406" s="2">
        <f ca="1">INDEX(INDIRECT(_xlfn.CONCAT("weather.tbl[",R$1,"]")),MATCH(vp.tbl[[#This Row],[SDate]],weather.tbl[Date],0))</f>
        <v>16.8</v>
      </c>
      <c r="S1406" s="2">
        <f ca="1">INDEX(INDIRECT(_xlfn.CONCAT("weather.tbl[",S$1,"]")),MATCH(vp.tbl[[#This Row],[SDate]],weather.tbl[Date],0))</f>
        <v>20.7</v>
      </c>
      <c r="T1406" s="2">
        <f ca="1">INDEX(INDIRECT(_xlfn.CONCAT("weather.tbl[",T$1,"]")),MATCH(vp.tbl[[#This Row],[SDate]],weather.tbl[Date],0))</f>
        <v>15.8</v>
      </c>
      <c r="U1406" s="2">
        <f ca="1">INDEX(INDIRECT(_xlfn.CONCAT("weather.tbl[",U$1,"]")),MATCH(vp.tbl[[#This Row],[SDate]],weather.tbl[Date],0))</f>
        <v>16.8</v>
      </c>
      <c r="V1406" s="2">
        <v>686.84799999999996</v>
      </c>
      <c r="W1406" t="s">
        <v>48</v>
      </c>
      <c r="X1406">
        <f>IF(OR(vp.tbl[[#This Row],[Sulf]]="",vp.tbl[[#This Row],[Dens]]=""),1,0)</f>
        <v>0</v>
      </c>
      <c r="Y1406">
        <f>IF(vp.tbl[[#This Row],[CrudeType]]="C5+",1,0)</f>
        <v>0</v>
      </c>
      <c r="Z1406">
        <f>IF(AND(vp.tbl[[#This Row],[CrudeType]]="Crude",vp.tbl[[#This Row],[Dens]]&lt;=825,vp.tbl[[#This Row],[Sulf]]&gt;0.5,vp.tbl[[#This Row],[Unknown]]=0),1,0)</f>
        <v>0</v>
      </c>
      <c r="AA1406">
        <f>IF(AND(vp.tbl[[#This Row],[CrudeType]]="Crude",vp.tbl[[#This Row],[Dens]]&lt;=825,vp.tbl[[#This Row],[Sulf]]&lt;=0.5,vp.tbl[[#This Row],[Unknown]]=0),1,0)</f>
        <v>0</v>
      </c>
      <c r="AB1406">
        <f>IF(AND(vp.tbl[[#This Row],[CrudeType]]="Crude",vp.tbl[[#This Row],[Dens]]&gt;825,vp.tbl[[#This Row],[Dens]]&lt;=870,vp.tbl[[#This Row],[Sulf]]&gt;0.5,vp.tbl[[#This Row],[Unknown]]=0),1,0)</f>
        <v>1</v>
      </c>
      <c r="AC1406">
        <f>IF(AND(vp.tbl[[#This Row],[CrudeType]]="Crude",vp.tbl[[#This Row],[Dens]]&gt;825,vp.tbl[[#This Row],[Dens]]&lt;=900,vp.tbl[[#This Row],[Sulf]]&lt;=0.5,vp.tbl[[#This Row],[Unknown]]=0),1,0)</f>
        <v>0</v>
      </c>
      <c r="AD1406">
        <f>IF(AND(vp.tbl[[#This Row],[CrudeType]]="Crude",vp.tbl[[#This Row],[Dens]]&gt;870,vp.tbl[[#This Row],[Dens]]&lt;=900,vp.tbl[[#This Row],[Sulf]]&gt;0.5,vp.tbl[[#This Row],[Unknown]]=0),1,0)</f>
        <v>0</v>
      </c>
      <c r="AE1406">
        <f>IF(AND(vp.tbl[[#This Row],[CrudeType]]="Crude",vp.tbl[[#This Row],[Dens]]&gt;900,vp.tbl[[#This Row],[Sulf]]&lt;=0.5,vp.tbl[[#This Row],[Unknown]]=0),1,0)</f>
        <v>0</v>
      </c>
      <c r="AF1406">
        <f>IF(AND(vp.tbl[[#This Row],[CrudeType]]="Crude",vp.tbl[[#This Row],[Dens]]&gt;900,vp.tbl[[#This Row],[Sulf]]&lt;=0.5,vp.tbl[[#This Row],[Unknown]]=0),1,0)</f>
        <v>0</v>
      </c>
      <c r="AG1406" t="str">
        <f>INDEX(vp.tbl[[#Headers],[Unknown]:[Heavy_SW]],MATCH(1,vp.tbl[[#This Row],[Unknown]:[Heavy_SW]],0))</f>
        <v>Medium_LSB</v>
      </c>
      <c r="AH1406" t="e">
        <f>INDEX([1]!crudeBD.lkup[Number],MATCH(vp.tbl[[#This Row],[Crude_Breakdown]],[1]!crudeBD.lkup[Crude Breakdown],0))</f>
        <v>#REF!</v>
      </c>
      <c r="AI1406">
        <f>MONTH(vp.tbl[[#This Row],[SDate]])</f>
        <v>5</v>
      </c>
      <c r="AJ1406" s="5">
        <f>IFERROR(vp.tbl[[#This Row],[Sulf]]*vp.tbl[[#This Row],[Net Dens]],"")</f>
        <v>604094.49241599999</v>
      </c>
      <c r="AK1406" s="5">
        <f>IFERROR(vp.tbl[[#This Row],[Dens]]*vp.tbl[[#This Row],[VolumeM3]],"")</f>
        <v>586499.50719999999</v>
      </c>
      <c r="AL1406" s="5">
        <f>IFERROR(vp.tbl[[#This Row],[VP]]*vp.tbl[[#This Row],[VolumeM3]],"")</f>
        <v>38326.118399999992</v>
      </c>
      <c r="AM1406" s="4">
        <f>IFERROR((vp.tbl[[#This Row],[VP]]-INDEX(crudeBD.lkup.complete[Mean_VP],MATCH(vp.tbl[[#This Row],[Crude_Breakdown]],crudeBD.lkup.complete[Crude Breakdown],0)))^2,"")</f>
        <v>594.0721301387581</v>
      </c>
      <c r="AN1406" s="4">
        <f>IFERROR((vp.tbl[[#This Row],[Dens]]-INDEX(crudeBD.lkup.complete[Mean_Dens],MATCH(vp.tbl[[#This Row],[Crude_Breakdown]],crudeBD.lkup.complete[Crude Breakdown],0)))^2,"")</f>
        <v>74.100714968130646</v>
      </c>
      <c r="AO1406" s="4">
        <f>IFERROR((vp.tbl[[#This Row],[Sulf]]-INDEX(crudeBD.lkup.complete[Mean_Sulf],MATCH(vp.tbl[[#This Row],[Crude_Breakdown]],crudeBD.lkup.complete[Crude Breakdown],0)))^2,"")</f>
        <v>0.18056538656508392</v>
      </c>
      <c r="AP1406">
        <f>IF(AND(vp.tbl[[#This Row],[SDate]]&gt;=DATE(YEAR(vp.tbl[[#This Row],[SDate]]),5,1),vp.tbl[[#This Row],[SDate]]&lt;=DATE(YEAR(vp.tbl[[#This Row],[SDate]]),9,15)),1,0)</f>
        <v>1</v>
      </c>
      <c r="AQ1406" s="15">
        <f>IF(vp.tbl[[#This Row],[SDate]]&lt;DATE(2016,12,1),0,1)</f>
        <v>1</v>
      </c>
    </row>
    <row r="1407" spans="1:43" x14ac:dyDescent="0.25">
      <c r="A1407">
        <v>1406</v>
      </c>
      <c r="B1407" t="s">
        <v>51</v>
      </c>
      <c r="C1407" t="s">
        <v>51</v>
      </c>
      <c r="D1407" t="s">
        <v>297</v>
      </c>
      <c r="F1407" s="1">
        <v>42861</v>
      </c>
      <c r="G1407" s="2">
        <v>73.400000000000006</v>
      </c>
      <c r="H1407" s="2"/>
      <c r="I1407" s="2">
        <v>1.47</v>
      </c>
      <c r="J1407" s="2"/>
      <c r="K1407" s="2"/>
      <c r="L1407" s="2">
        <v>848.2</v>
      </c>
      <c r="M1407" s="2">
        <v>848.2</v>
      </c>
      <c r="N1407" s="2">
        <f ca="1">INDEX(INDIRECT(_xlfn.CONCAT("weather.tbl[",N$1,"]")),MATCH(vp.tbl[[#This Row],[SDate]],weather.tbl[Date],0))</f>
        <v>18.116666666666667</v>
      </c>
      <c r="O1407" s="2">
        <f ca="1">INDEX(INDIRECT(_xlfn.CONCAT("weather.tbl[",O$1,"]")),MATCH(vp.tbl[[#This Row],[SDate]],weather.tbl[Date],0))</f>
        <v>12.52857142857143</v>
      </c>
      <c r="P1407" s="2">
        <f ca="1">INDEX(INDIRECT(_xlfn.CONCAT("weather.tbl[",P$1,"]")),MATCH(vp.tbl[[#This Row],[SDate]],weather.tbl[Date],0))</f>
        <v>18.8</v>
      </c>
      <c r="Q1407" s="2">
        <f ca="1">INDEX(INDIRECT(_xlfn.CONCAT("weather.tbl[",Q$1,"]")),MATCH(vp.tbl[[#This Row],[SDate]],weather.tbl[Date],0))</f>
        <v>19.8</v>
      </c>
      <c r="R1407" s="2">
        <f ca="1">INDEX(INDIRECT(_xlfn.CONCAT("weather.tbl[",R$1,"]")),MATCH(vp.tbl[[#This Row],[SDate]],weather.tbl[Date],0))</f>
        <v>16.8</v>
      </c>
      <c r="S1407" s="2">
        <f ca="1">INDEX(INDIRECT(_xlfn.CONCAT("weather.tbl[",S$1,"]")),MATCH(vp.tbl[[#This Row],[SDate]],weather.tbl[Date],0))</f>
        <v>20.7</v>
      </c>
      <c r="T1407" s="2">
        <f ca="1">INDEX(INDIRECT(_xlfn.CONCAT("weather.tbl[",T$1,"]")),MATCH(vp.tbl[[#This Row],[SDate]],weather.tbl[Date],0))</f>
        <v>15.8</v>
      </c>
      <c r="U1407" s="2">
        <f ca="1">INDEX(INDIRECT(_xlfn.CONCAT("weather.tbl[",U$1,"]")),MATCH(vp.tbl[[#This Row],[SDate]],weather.tbl[Date],0))</f>
        <v>16.8</v>
      </c>
      <c r="V1407" s="2">
        <v>1569.5509999999999</v>
      </c>
      <c r="W1407" t="s">
        <v>48</v>
      </c>
      <c r="X1407">
        <f>IF(OR(vp.tbl[[#This Row],[Sulf]]="",vp.tbl[[#This Row],[Dens]]=""),1,0)</f>
        <v>0</v>
      </c>
      <c r="Y1407">
        <f>IF(vp.tbl[[#This Row],[CrudeType]]="C5+",1,0)</f>
        <v>0</v>
      </c>
      <c r="Z1407">
        <f>IF(AND(vp.tbl[[#This Row],[CrudeType]]="Crude",vp.tbl[[#This Row],[Dens]]&lt;=825,vp.tbl[[#This Row],[Sulf]]&gt;0.5,vp.tbl[[#This Row],[Unknown]]=0),1,0)</f>
        <v>0</v>
      </c>
      <c r="AA1407">
        <f>IF(AND(vp.tbl[[#This Row],[CrudeType]]="Crude",vp.tbl[[#This Row],[Dens]]&lt;=825,vp.tbl[[#This Row],[Sulf]]&lt;=0.5,vp.tbl[[#This Row],[Unknown]]=0),1,0)</f>
        <v>0</v>
      </c>
      <c r="AB1407">
        <f>IF(AND(vp.tbl[[#This Row],[CrudeType]]="Crude",vp.tbl[[#This Row],[Dens]]&gt;825,vp.tbl[[#This Row],[Dens]]&lt;=870,vp.tbl[[#This Row],[Sulf]]&gt;0.5,vp.tbl[[#This Row],[Unknown]]=0),1,0)</f>
        <v>1</v>
      </c>
      <c r="AC1407">
        <f>IF(AND(vp.tbl[[#This Row],[CrudeType]]="Crude",vp.tbl[[#This Row],[Dens]]&gt;825,vp.tbl[[#This Row],[Dens]]&lt;=900,vp.tbl[[#This Row],[Sulf]]&lt;=0.5,vp.tbl[[#This Row],[Unknown]]=0),1,0)</f>
        <v>0</v>
      </c>
      <c r="AD1407">
        <f>IF(AND(vp.tbl[[#This Row],[CrudeType]]="Crude",vp.tbl[[#This Row],[Dens]]&gt;870,vp.tbl[[#This Row],[Dens]]&lt;=900,vp.tbl[[#This Row],[Sulf]]&gt;0.5,vp.tbl[[#This Row],[Unknown]]=0),1,0)</f>
        <v>0</v>
      </c>
      <c r="AE1407">
        <f>IF(AND(vp.tbl[[#This Row],[CrudeType]]="Crude",vp.tbl[[#This Row],[Dens]]&gt;900,vp.tbl[[#This Row],[Sulf]]&lt;=0.5,vp.tbl[[#This Row],[Unknown]]=0),1,0)</f>
        <v>0</v>
      </c>
      <c r="AF1407">
        <f>IF(AND(vp.tbl[[#This Row],[CrudeType]]="Crude",vp.tbl[[#This Row],[Dens]]&gt;900,vp.tbl[[#This Row],[Sulf]]&lt;=0.5,vp.tbl[[#This Row],[Unknown]]=0),1,0)</f>
        <v>0</v>
      </c>
      <c r="AG1407" t="str">
        <f>INDEX(vp.tbl[[#Headers],[Unknown]:[Heavy_SW]],MATCH(1,vp.tbl[[#This Row],[Unknown]:[Heavy_SW]],0))</f>
        <v>Medium_LSB</v>
      </c>
      <c r="AH1407" t="e">
        <f>INDEX([1]!crudeBD.lkup[Number],MATCH(vp.tbl[[#This Row],[Crude_Breakdown]],[1]!crudeBD.lkup[Crude Breakdown],0))</f>
        <v>#REF!</v>
      </c>
      <c r="AI1407">
        <f>MONTH(vp.tbl[[#This Row],[SDate]])</f>
        <v>5</v>
      </c>
      <c r="AJ1407" s="5">
        <f>IFERROR(vp.tbl[[#This Row],[Sulf]]*vp.tbl[[#This Row],[Net Dens]],"")</f>
        <v>1957000.9425539998</v>
      </c>
      <c r="AK1407" s="5">
        <f>IFERROR(vp.tbl[[#This Row],[Dens]]*vp.tbl[[#This Row],[VolumeM3]],"")</f>
        <v>1331293.1581999999</v>
      </c>
      <c r="AL1407" s="5">
        <f>IFERROR(vp.tbl[[#This Row],[VP]]*vp.tbl[[#This Row],[VolumeM3]],"")</f>
        <v>115205.04340000001</v>
      </c>
      <c r="AM1407" s="4">
        <f>IFERROR((vp.tbl[[#This Row],[VP]]-INDEX(crudeBD.lkup.complete[Mean_VP],MATCH(vp.tbl[[#This Row],[Crude_Breakdown]],crudeBD.lkup.complete[Crude Breakdown],0)))^2,"")</f>
        <v>45.881588366607339</v>
      </c>
      <c r="AN1407" s="4">
        <f>IFERROR((vp.tbl[[#This Row],[Dens]]-INDEX(crudeBD.lkup.complete[Mean_Dens],MATCH(vp.tbl[[#This Row],[Crude_Breakdown]],crudeBD.lkup.complete[Crude Breakdown],0)))^2,"")</f>
        <v>8.4574947149555193</v>
      </c>
      <c r="AO1407" s="4">
        <f>IFERROR((vp.tbl[[#This Row],[Sulf]]-INDEX(crudeBD.lkup.complete[Mean_Sulf],MATCH(vp.tbl[[#This Row],[Crude_Breakdown]],crudeBD.lkup.complete[Crude Breakdown],0)))^2,"")</f>
        <v>2.2710909672820322E-4</v>
      </c>
      <c r="AP1407">
        <f>IF(AND(vp.tbl[[#This Row],[SDate]]&gt;=DATE(YEAR(vp.tbl[[#This Row],[SDate]]),5,1),vp.tbl[[#This Row],[SDate]]&lt;=DATE(YEAR(vp.tbl[[#This Row],[SDate]]),9,15)),1,0)</f>
        <v>1</v>
      </c>
      <c r="AQ1407" s="15">
        <f>IF(vp.tbl[[#This Row],[SDate]]&lt;DATE(2016,12,1),0,1)</f>
        <v>1</v>
      </c>
    </row>
    <row r="1408" spans="1:43" x14ac:dyDescent="0.25">
      <c r="A1408">
        <v>1407</v>
      </c>
      <c r="B1408" t="s">
        <v>51</v>
      </c>
      <c r="C1408" t="s">
        <v>51</v>
      </c>
      <c r="D1408" t="s">
        <v>298</v>
      </c>
      <c r="F1408" s="1">
        <v>42861</v>
      </c>
      <c r="G1408" s="2">
        <v>57.5</v>
      </c>
      <c r="H1408" s="2"/>
      <c r="I1408" s="2">
        <v>1.02</v>
      </c>
      <c r="J1408" s="2"/>
      <c r="K1408" s="2"/>
      <c r="L1408" s="2">
        <v>841.5</v>
      </c>
      <c r="M1408" s="2">
        <v>841.5</v>
      </c>
      <c r="N1408" s="2">
        <f ca="1">INDEX(INDIRECT(_xlfn.CONCAT("weather.tbl[",N$1,"]")),MATCH(vp.tbl[[#This Row],[SDate]],weather.tbl[Date],0))</f>
        <v>18.116666666666667</v>
      </c>
      <c r="O1408" s="2">
        <f ca="1">INDEX(INDIRECT(_xlfn.CONCAT("weather.tbl[",O$1,"]")),MATCH(vp.tbl[[#This Row],[SDate]],weather.tbl[Date],0))</f>
        <v>12.52857142857143</v>
      </c>
      <c r="P1408" s="2">
        <f ca="1">INDEX(INDIRECT(_xlfn.CONCAT("weather.tbl[",P$1,"]")),MATCH(vp.tbl[[#This Row],[SDate]],weather.tbl[Date],0))</f>
        <v>18.8</v>
      </c>
      <c r="Q1408" s="2">
        <f ca="1">INDEX(INDIRECT(_xlfn.CONCAT("weather.tbl[",Q$1,"]")),MATCH(vp.tbl[[#This Row],[SDate]],weather.tbl[Date],0))</f>
        <v>19.8</v>
      </c>
      <c r="R1408" s="2">
        <f ca="1">INDEX(INDIRECT(_xlfn.CONCAT("weather.tbl[",R$1,"]")),MATCH(vp.tbl[[#This Row],[SDate]],weather.tbl[Date],0))</f>
        <v>16.8</v>
      </c>
      <c r="S1408" s="2">
        <f ca="1">INDEX(INDIRECT(_xlfn.CONCAT("weather.tbl[",S$1,"]")),MATCH(vp.tbl[[#This Row],[SDate]],weather.tbl[Date],0))</f>
        <v>20.7</v>
      </c>
      <c r="T1408" s="2">
        <f ca="1">INDEX(INDIRECT(_xlfn.CONCAT("weather.tbl[",T$1,"]")),MATCH(vp.tbl[[#This Row],[SDate]],weather.tbl[Date],0))</f>
        <v>15.8</v>
      </c>
      <c r="U1408" s="2">
        <f ca="1">INDEX(INDIRECT(_xlfn.CONCAT("weather.tbl[",U$1,"]")),MATCH(vp.tbl[[#This Row],[SDate]],weather.tbl[Date],0))</f>
        <v>16.8</v>
      </c>
      <c r="V1408" s="2">
        <v>69.022999999999996</v>
      </c>
      <c r="W1408" t="s">
        <v>48</v>
      </c>
      <c r="X1408">
        <f>IF(OR(vp.tbl[[#This Row],[Sulf]]="",vp.tbl[[#This Row],[Dens]]=""),1,0)</f>
        <v>0</v>
      </c>
      <c r="Y1408">
        <f>IF(vp.tbl[[#This Row],[CrudeType]]="C5+",1,0)</f>
        <v>0</v>
      </c>
      <c r="Z1408">
        <f>IF(AND(vp.tbl[[#This Row],[CrudeType]]="Crude",vp.tbl[[#This Row],[Dens]]&lt;=825,vp.tbl[[#This Row],[Sulf]]&gt;0.5,vp.tbl[[#This Row],[Unknown]]=0),1,0)</f>
        <v>0</v>
      </c>
      <c r="AA1408">
        <f>IF(AND(vp.tbl[[#This Row],[CrudeType]]="Crude",vp.tbl[[#This Row],[Dens]]&lt;=825,vp.tbl[[#This Row],[Sulf]]&lt;=0.5,vp.tbl[[#This Row],[Unknown]]=0),1,0)</f>
        <v>0</v>
      </c>
      <c r="AB1408">
        <f>IF(AND(vp.tbl[[#This Row],[CrudeType]]="Crude",vp.tbl[[#This Row],[Dens]]&gt;825,vp.tbl[[#This Row],[Dens]]&lt;=870,vp.tbl[[#This Row],[Sulf]]&gt;0.5,vp.tbl[[#This Row],[Unknown]]=0),1,0)</f>
        <v>1</v>
      </c>
      <c r="AC1408">
        <f>IF(AND(vp.tbl[[#This Row],[CrudeType]]="Crude",vp.tbl[[#This Row],[Dens]]&gt;825,vp.tbl[[#This Row],[Dens]]&lt;=900,vp.tbl[[#This Row],[Sulf]]&lt;=0.5,vp.tbl[[#This Row],[Unknown]]=0),1,0)</f>
        <v>0</v>
      </c>
      <c r="AD1408">
        <f>IF(AND(vp.tbl[[#This Row],[CrudeType]]="Crude",vp.tbl[[#This Row],[Dens]]&gt;870,vp.tbl[[#This Row],[Dens]]&lt;=900,vp.tbl[[#This Row],[Sulf]]&gt;0.5,vp.tbl[[#This Row],[Unknown]]=0),1,0)</f>
        <v>0</v>
      </c>
      <c r="AE1408">
        <f>IF(AND(vp.tbl[[#This Row],[CrudeType]]="Crude",vp.tbl[[#This Row],[Dens]]&gt;900,vp.tbl[[#This Row],[Sulf]]&lt;=0.5,vp.tbl[[#This Row],[Unknown]]=0),1,0)</f>
        <v>0</v>
      </c>
      <c r="AF1408">
        <f>IF(AND(vp.tbl[[#This Row],[CrudeType]]="Crude",vp.tbl[[#This Row],[Dens]]&gt;900,vp.tbl[[#This Row],[Sulf]]&lt;=0.5,vp.tbl[[#This Row],[Unknown]]=0),1,0)</f>
        <v>0</v>
      </c>
      <c r="AG1408" t="str">
        <f>INDEX(vp.tbl[[#Headers],[Unknown]:[Heavy_SW]],MATCH(1,vp.tbl[[#This Row],[Unknown]:[Heavy_SW]],0))</f>
        <v>Medium_LSB</v>
      </c>
      <c r="AH1408" t="e">
        <f>INDEX([1]!crudeBD.lkup[Number],MATCH(vp.tbl[[#This Row],[Crude_Breakdown]],[1]!crudeBD.lkup[Crude Breakdown],0))</f>
        <v>#REF!</v>
      </c>
      <c r="AI1408">
        <f>MONTH(vp.tbl[[#This Row],[SDate]])</f>
        <v>5</v>
      </c>
      <c r="AJ1408" s="5">
        <f>IFERROR(vp.tbl[[#This Row],[Sulf]]*vp.tbl[[#This Row],[Net Dens]],"")</f>
        <v>59244.511589999995</v>
      </c>
      <c r="AK1408" s="5">
        <f>IFERROR(vp.tbl[[#This Row],[Dens]]*vp.tbl[[#This Row],[VolumeM3]],"")</f>
        <v>58082.854499999994</v>
      </c>
      <c r="AL1408" s="5">
        <f>IFERROR(vp.tbl[[#This Row],[VP]]*vp.tbl[[#This Row],[VolumeM3]],"")</f>
        <v>3968.8224999999998</v>
      </c>
      <c r="AM1408" s="4">
        <f>IFERROR((vp.tbl[[#This Row],[VP]]-INDEX(crudeBD.lkup.complete[Mean_VP],MATCH(vp.tbl[[#This Row],[Crude_Breakdown]],crudeBD.lkup.complete[Crude Breakdown],0)))^2,"")</f>
        <v>514.09190735394805</v>
      </c>
      <c r="AN1408" s="4">
        <f>IFERROR((vp.tbl[[#This Row],[Dens]]-INDEX(crudeBD.lkup.complete[Mean_Dens],MATCH(vp.tbl[[#This Row],[Crude_Breakdown]],crudeBD.lkup.complete[Crude Breakdown],0)))^2,"")</f>
        <v>14.377920031397757</v>
      </c>
      <c r="AO1408" s="4">
        <f>IFERROR((vp.tbl[[#This Row],[Sulf]]-INDEX(crudeBD.lkup.complete[Mean_Sulf],MATCH(vp.tbl[[#This Row],[Crude_Breakdown]],crudeBD.lkup.complete[Crude Breakdown],0)))^2,"")</f>
        <v>0.18916398378027383</v>
      </c>
      <c r="AP1408">
        <f>IF(AND(vp.tbl[[#This Row],[SDate]]&gt;=DATE(YEAR(vp.tbl[[#This Row],[SDate]]),5,1),vp.tbl[[#This Row],[SDate]]&lt;=DATE(YEAR(vp.tbl[[#This Row],[SDate]]),9,15)),1,0)</f>
        <v>1</v>
      </c>
      <c r="AQ1408" s="15">
        <f>IF(vp.tbl[[#This Row],[SDate]]&lt;DATE(2016,12,1),0,1)</f>
        <v>1</v>
      </c>
    </row>
    <row r="1409" spans="1:43" x14ac:dyDescent="0.25">
      <c r="A1409">
        <v>1408</v>
      </c>
      <c r="B1409" t="s">
        <v>49</v>
      </c>
      <c r="C1409" t="s">
        <v>49</v>
      </c>
      <c r="D1409" t="s">
        <v>150</v>
      </c>
      <c r="F1409" s="1">
        <v>42861</v>
      </c>
      <c r="G1409" s="2">
        <v>67.5</v>
      </c>
      <c r="H1409" s="2"/>
      <c r="I1409" s="2">
        <v>1.03</v>
      </c>
      <c r="J1409" s="2"/>
      <c r="K1409" s="2"/>
      <c r="L1409" s="2">
        <v>841</v>
      </c>
      <c r="M1409" s="2">
        <v>841</v>
      </c>
      <c r="N1409" s="2">
        <f ca="1">INDEX(INDIRECT(_xlfn.CONCAT("weather.tbl[",N$1,"]")),MATCH(vp.tbl[[#This Row],[SDate]],weather.tbl[Date],0))</f>
        <v>18.116666666666667</v>
      </c>
      <c r="O1409" s="2">
        <f ca="1">INDEX(INDIRECT(_xlfn.CONCAT("weather.tbl[",O$1,"]")),MATCH(vp.tbl[[#This Row],[SDate]],weather.tbl[Date],0))</f>
        <v>12.52857142857143</v>
      </c>
      <c r="P1409" s="2">
        <f ca="1">INDEX(INDIRECT(_xlfn.CONCAT("weather.tbl[",P$1,"]")),MATCH(vp.tbl[[#This Row],[SDate]],weather.tbl[Date],0))</f>
        <v>18.8</v>
      </c>
      <c r="Q1409" s="2">
        <f ca="1">INDEX(INDIRECT(_xlfn.CONCAT("weather.tbl[",Q$1,"]")),MATCH(vp.tbl[[#This Row],[SDate]],weather.tbl[Date],0))</f>
        <v>19.8</v>
      </c>
      <c r="R1409" s="2">
        <f ca="1">INDEX(INDIRECT(_xlfn.CONCAT("weather.tbl[",R$1,"]")),MATCH(vp.tbl[[#This Row],[SDate]],weather.tbl[Date],0))</f>
        <v>16.8</v>
      </c>
      <c r="S1409" s="2">
        <f ca="1">INDEX(INDIRECT(_xlfn.CONCAT("weather.tbl[",S$1,"]")),MATCH(vp.tbl[[#This Row],[SDate]],weather.tbl[Date],0))</f>
        <v>20.7</v>
      </c>
      <c r="T1409" s="2">
        <f ca="1">INDEX(INDIRECT(_xlfn.CONCAT("weather.tbl[",T$1,"]")),MATCH(vp.tbl[[#This Row],[SDate]],weather.tbl[Date],0))</f>
        <v>15.8</v>
      </c>
      <c r="U1409" s="2">
        <f ca="1">INDEX(INDIRECT(_xlfn.CONCAT("weather.tbl[",U$1,"]")),MATCH(vp.tbl[[#This Row],[SDate]],weather.tbl[Date],0))</f>
        <v>16.8</v>
      </c>
      <c r="V1409" s="2">
        <v>1341.8330000000001</v>
      </c>
      <c r="W1409" t="s">
        <v>48</v>
      </c>
      <c r="X1409">
        <f>IF(OR(vp.tbl[[#This Row],[Sulf]]="",vp.tbl[[#This Row],[Dens]]=""),1,0)</f>
        <v>0</v>
      </c>
      <c r="Y1409">
        <f>IF(vp.tbl[[#This Row],[CrudeType]]="C5+",1,0)</f>
        <v>0</v>
      </c>
      <c r="Z1409">
        <f>IF(AND(vp.tbl[[#This Row],[CrudeType]]="Crude",vp.tbl[[#This Row],[Dens]]&lt;=825,vp.tbl[[#This Row],[Sulf]]&gt;0.5,vp.tbl[[#This Row],[Unknown]]=0),1,0)</f>
        <v>0</v>
      </c>
      <c r="AA1409">
        <f>IF(AND(vp.tbl[[#This Row],[CrudeType]]="Crude",vp.tbl[[#This Row],[Dens]]&lt;=825,vp.tbl[[#This Row],[Sulf]]&lt;=0.5,vp.tbl[[#This Row],[Unknown]]=0),1,0)</f>
        <v>0</v>
      </c>
      <c r="AB1409">
        <f>IF(AND(vp.tbl[[#This Row],[CrudeType]]="Crude",vp.tbl[[#This Row],[Dens]]&gt;825,vp.tbl[[#This Row],[Dens]]&lt;=870,vp.tbl[[#This Row],[Sulf]]&gt;0.5,vp.tbl[[#This Row],[Unknown]]=0),1,0)</f>
        <v>1</v>
      </c>
      <c r="AC1409">
        <f>IF(AND(vp.tbl[[#This Row],[CrudeType]]="Crude",vp.tbl[[#This Row],[Dens]]&gt;825,vp.tbl[[#This Row],[Dens]]&lt;=900,vp.tbl[[#This Row],[Sulf]]&lt;=0.5,vp.tbl[[#This Row],[Unknown]]=0),1,0)</f>
        <v>0</v>
      </c>
      <c r="AD1409">
        <f>IF(AND(vp.tbl[[#This Row],[CrudeType]]="Crude",vp.tbl[[#This Row],[Dens]]&gt;870,vp.tbl[[#This Row],[Dens]]&lt;=900,vp.tbl[[#This Row],[Sulf]]&gt;0.5,vp.tbl[[#This Row],[Unknown]]=0),1,0)</f>
        <v>0</v>
      </c>
      <c r="AE1409">
        <f>IF(AND(vp.tbl[[#This Row],[CrudeType]]="Crude",vp.tbl[[#This Row],[Dens]]&gt;900,vp.tbl[[#This Row],[Sulf]]&lt;=0.5,vp.tbl[[#This Row],[Unknown]]=0),1,0)</f>
        <v>0</v>
      </c>
      <c r="AF1409">
        <f>IF(AND(vp.tbl[[#This Row],[CrudeType]]="Crude",vp.tbl[[#This Row],[Dens]]&gt;900,vp.tbl[[#This Row],[Sulf]]&lt;=0.5,vp.tbl[[#This Row],[Unknown]]=0),1,0)</f>
        <v>0</v>
      </c>
      <c r="AG1409" t="str">
        <f>INDEX(vp.tbl[[#Headers],[Unknown]:[Heavy_SW]],MATCH(1,vp.tbl[[#This Row],[Unknown]:[Heavy_SW]],0))</f>
        <v>Medium_LSB</v>
      </c>
      <c r="AH1409" t="e">
        <f>INDEX([1]!crudeBD.lkup[Number],MATCH(vp.tbl[[#This Row],[Crude_Breakdown]],[1]!crudeBD.lkup[Crude Breakdown],0))</f>
        <v>#REF!</v>
      </c>
      <c r="AI1409">
        <f>MONTH(vp.tbl[[#This Row],[SDate]])</f>
        <v>5</v>
      </c>
      <c r="AJ1409" s="5">
        <f>IFERROR(vp.tbl[[#This Row],[Sulf]]*vp.tbl[[#This Row],[Net Dens]],"")</f>
        <v>1162335.9995900001</v>
      </c>
      <c r="AK1409" s="5">
        <f>IFERROR(vp.tbl[[#This Row],[Dens]]*vp.tbl[[#This Row],[VolumeM3]],"")</f>
        <v>1128481.5530000001</v>
      </c>
      <c r="AL1409" s="5">
        <f>IFERROR(vp.tbl[[#This Row],[VP]]*vp.tbl[[#This Row],[VolumeM3]],"")</f>
        <v>90573.727500000008</v>
      </c>
      <c r="AM1409" s="4">
        <f>IFERROR((vp.tbl[[#This Row],[VP]]-INDEX(crudeBD.lkup.complete[Mean_VP],MATCH(vp.tbl[[#This Row],[Crude_Breakdown]],crudeBD.lkup.complete[Crude Breakdown],0)))^2,"")</f>
        <v>160.62000861977154</v>
      </c>
      <c r="AN1409" s="4">
        <f>IFERROR((vp.tbl[[#This Row],[Dens]]-INDEX(crudeBD.lkup.complete[Mean_Dens],MATCH(vp.tbl[[#This Row],[Crude_Breakdown]],crudeBD.lkup.complete[Crude Breakdown],0)))^2,"")</f>
        <v>18.419742816206899</v>
      </c>
      <c r="AO1409" s="4">
        <f>IFERROR((vp.tbl[[#This Row],[Sulf]]-INDEX(crudeBD.lkup.complete[Mean_Sulf],MATCH(vp.tbl[[#This Row],[Crude_Breakdown]],crudeBD.lkup.complete[Crude Breakdown],0)))^2,"")</f>
        <v>0.18056538656508392</v>
      </c>
      <c r="AP1409">
        <f>IF(AND(vp.tbl[[#This Row],[SDate]]&gt;=DATE(YEAR(vp.tbl[[#This Row],[SDate]]),5,1),vp.tbl[[#This Row],[SDate]]&lt;=DATE(YEAR(vp.tbl[[#This Row],[SDate]]),9,15)),1,0)</f>
        <v>1</v>
      </c>
      <c r="AQ1409" s="15">
        <f>IF(vp.tbl[[#This Row],[SDate]]&lt;DATE(2016,12,1),0,1)</f>
        <v>1</v>
      </c>
    </row>
    <row r="1410" spans="1:43" x14ac:dyDescent="0.25">
      <c r="A1410">
        <v>1409</v>
      </c>
      <c r="B1410" t="s">
        <v>49</v>
      </c>
      <c r="C1410" t="s">
        <v>49</v>
      </c>
      <c r="D1410" t="s">
        <v>299</v>
      </c>
      <c r="F1410" s="1">
        <v>42861</v>
      </c>
      <c r="G1410" s="2">
        <v>63.1</v>
      </c>
      <c r="H1410" s="2"/>
      <c r="I1410" s="2">
        <v>0.9</v>
      </c>
      <c r="J1410" s="2"/>
      <c r="K1410" s="2"/>
      <c r="L1410" s="2">
        <v>839</v>
      </c>
      <c r="M1410" s="2">
        <v>839</v>
      </c>
      <c r="N1410" s="2">
        <f ca="1">INDEX(INDIRECT(_xlfn.CONCAT("weather.tbl[",N$1,"]")),MATCH(vp.tbl[[#This Row],[SDate]],weather.tbl[Date],0))</f>
        <v>18.116666666666667</v>
      </c>
      <c r="O1410" s="2">
        <f ca="1">INDEX(INDIRECT(_xlfn.CONCAT("weather.tbl[",O$1,"]")),MATCH(vp.tbl[[#This Row],[SDate]],weather.tbl[Date],0))</f>
        <v>12.52857142857143</v>
      </c>
      <c r="P1410" s="2">
        <f ca="1">INDEX(INDIRECT(_xlfn.CONCAT("weather.tbl[",P$1,"]")),MATCH(vp.tbl[[#This Row],[SDate]],weather.tbl[Date],0))</f>
        <v>18.8</v>
      </c>
      <c r="Q1410" s="2">
        <f ca="1">INDEX(INDIRECT(_xlfn.CONCAT("weather.tbl[",Q$1,"]")),MATCH(vp.tbl[[#This Row],[SDate]],weather.tbl[Date],0))</f>
        <v>19.8</v>
      </c>
      <c r="R1410" s="2">
        <f ca="1">INDEX(INDIRECT(_xlfn.CONCAT("weather.tbl[",R$1,"]")),MATCH(vp.tbl[[#This Row],[SDate]],weather.tbl[Date],0))</f>
        <v>16.8</v>
      </c>
      <c r="S1410" s="2">
        <f ca="1">INDEX(INDIRECT(_xlfn.CONCAT("weather.tbl[",S$1,"]")),MATCH(vp.tbl[[#This Row],[SDate]],weather.tbl[Date],0))</f>
        <v>20.7</v>
      </c>
      <c r="T1410" s="2">
        <f ca="1">INDEX(INDIRECT(_xlfn.CONCAT("weather.tbl[",T$1,"]")),MATCH(vp.tbl[[#This Row],[SDate]],weather.tbl[Date],0))</f>
        <v>15.8</v>
      </c>
      <c r="U1410" s="2">
        <f ca="1">INDEX(INDIRECT(_xlfn.CONCAT("weather.tbl[",U$1,"]")),MATCH(vp.tbl[[#This Row],[SDate]],weather.tbl[Date],0))</f>
        <v>16.8</v>
      </c>
      <c r="V1410" s="2">
        <v>155.66900000000001</v>
      </c>
      <c r="W1410" t="s">
        <v>48</v>
      </c>
      <c r="X1410">
        <f>IF(OR(vp.tbl[[#This Row],[Sulf]]="",vp.tbl[[#This Row],[Dens]]=""),1,0)</f>
        <v>0</v>
      </c>
      <c r="Y1410">
        <f>IF(vp.tbl[[#This Row],[CrudeType]]="C5+",1,0)</f>
        <v>0</v>
      </c>
      <c r="Z1410">
        <f>IF(AND(vp.tbl[[#This Row],[CrudeType]]="Crude",vp.tbl[[#This Row],[Dens]]&lt;=825,vp.tbl[[#This Row],[Sulf]]&gt;0.5,vp.tbl[[#This Row],[Unknown]]=0),1,0)</f>
        <v>0</v>
      </c>
      <c r="AA1410">
        <f>IF(AND(vp.tbl[[#This Row],[CrudeType]]="Crude",vp.tbl[[#This Row],[Dens]]&lt;=825,vp.tbl[[#This Row],[Sulf]]&lt;=0.5,vp.tbl[[#This Row],[Unknown]]=0),1,0)</f>
        <v>0</v>
      </c>
      <c r="AB1410">
        <f>IF(AND(vp.tbl[[#This Row],[CrudeType]]="Crude",vp.tbl[[#This Row],[Dens]]&gt;825,vp.tbl[[#This Row],[Dens]]&lt;=870,vp.tbl[[#This Row],[Sulf]]&gt;0.5,vp.tbl[[#This Row],[Unknown]]=0),1,0)</f>
        <v>1</v>
      </c>
      <c r="AC1410">
        <f>IF(AND(vp.tbl[[#This Row],[CrudeType]]="Crude",vp.tbl[[#This Row],[Dens]]&gt;825,vp.tbl[[#This Row],[Dens]]&lt;=900,vp.tbl[[#This Row],[Sulf]]&lt;=0.5,vp.tbl[[#This Row],[Unknown]]=0),1,0)</f>
        <v>0</v>
      </c>
      <c r="AD1410">
        <f>IF(AND(vp.tbl[[#This Row],[CrudeType]]="Crude",vp.tbl[[#This Row],[Dens]]&gt;870,vp.tbl[[#This Row],[Dens]]&lt;=900,vp.tbl[[#This Row],[Sulf]]&gt;0.5,vp.tbl[[#This Row],[Unknown]]=0),1,0)</f>
        <v>0</v>
      </c>
      <c r="AE1410">
        <f>IF(AND(vp.tbl[[#This Row],[CrudeType]]="Crude",vp.tbl[[#This Row],[Dens]]&gt;900,vp.tbl[[#This Row],[Sulf]]&lt;=0.5,vp.tbl[[#This Row],[Unknown]]=0),1,0)</f>
        <v>0</v>
      </c>
      <c r="AF1410">
        <f>IF(AND(vp.tbl[[#This Row],[CrudeType]]="Crude",vp.tbl[[#This Row],[Dens]]&gt;900,vp.tbl[[#This Row],[Sulf]]&lt;=0.5,vp.tbl[[#This Row],[Unknown]]=0),1,0)</f>
        <v>0</v>
      </c>
      <c r="AG1410" t="str">
        <f>INDEX(vp.tbl[[#Headers],[Unknown]:[Heavy_SW]],MATCH(1,vp.tbl[[#This Row],[Unknown]:[Heavy_SW]],0))</f>
        <v>Medium_LSB</v>
      </c>
      <c r="AH1410" t="e">
        <f>INDEX([1]!crudeBD.lkup[Number],MATCH(vp.tbl[[#This Row],[Crude_Breakdown]],[1]!crudeBD.lkup[Crude Breakdown],0))</f>
        <v>#REF!</v>
      </c>
      <c r="AI1410">
        <f>MONTH(vp.tbl[[#This Row],[SDate]])</f>
        <v>5</v>
      </c>
      <c r="AJ1410" s="5">
        <f>IFERROR(vp.tbl[[#This Row],[Sulf]]*vp.tbl[[#This Row],[Net Dens]],"")</f>
        <v>117545.66190000001</v>
      </c>
      <c r="AK1410" s="5">
        <f>IFERROR(vp.tbl[[#This Row],[Dens]]*vp.tbl[[#This Row],[VolumeM3]],"")</f>
        <v>130606.29100000001</v>
      </c>
      <c r="AL1410" s="5">
        <f>IFERROR(vp.tbl[[#This Row],[VP]]*vp.tbl[[#This Row],[VolumeM3]],"")</f>
        <v>9822.7139000000006</v>
      </c>
      <c r="AM1410" s="4">
        <f>IFERROR((vp.tbl[[#This Row],[VP]]-INDEX(crudeBD.lkup.complete[Mean_VP],MATCH(vp.tbl[[#This Row],[Crude_Breakdown]],crudeBD.lkup.complete[Crude Breakdown],0)))^2,"")</f>
        <v>291.50764406280916</v>
      </c>
      <c r="AN1410" s="4">
        <f>IFERROR((vp.tbl[[#This Row],[Dens]]-INDEX(crudeBD.lkup.complete[Mean_Dens],MATCH(vp.tbl[[#This Row],[Crude_Breakdown]],crudeBD.lkup.complete[Crude Breakdown],0)))^2,"")</f>
        <v>39.587033955443466</v>
      </c>
      <c r="AO1410" s="4">
        <f>IFERROR((vp.tbl[[#This Row],[Sulf]]-INDEX(crudeBD.lkup.complete[Mean_Sulf],MATCH(vp.tbl[[#This Row],[Crude_Breakdown]],crudeBD.lkup.complete[Crude Breakdown],0)))^2,"")</f>
        <v>0.30794715036255266</v>
      </c>
      <c r="AP1410">
        <f>IF(AND(vp.tbl[[#This Row],[SDate]]&gt;=DATE(YEAR(vp.tbl[[#This Row],[SDate]]),5,1),vp.tbl[[#This Row],[SDate]]&lt;=DATE(YEAR(vp.tbl[[#This Row],[SDate]]),9,15)),1,0)</f>
        <v>1</v>
      </c>
      <c r="AQ1410" s="15">
        <f>IF(vp.tbl[[#This Row],[SDate]]&lt;DATE(2016,12,1),0,1)</f>
        <v>1</v>
      </c>
    </row>
    <row r="1411" spans="1:43" x14ac:dyDescent="0.25">
      <c r="A1411">
        <v>1410</v>
      </c>
      <c r="B1411" t="s">
        <v>68</v>
      </c>
      <c r="C1411" t="s">
        <v>68</v>
      </c>
      <c r="D1411" t="s">
        <v>300</v>
      </c>
      <c r="F1411" s="1">
        <v>42861</v>
      </c>
      <c r="G1411" s="2">
        <v>52.9</v>
      </c>
      <c r="H1411" s="2"/>
      <c r="I1411" s="2">
        <v>1.28</v>
      </c>
      <c r="J1411" s="2"/>
      <c r="K1411" s="2"/>
      <c r="L1411" s="2">
        <v>851.8</v>
      </c>
      <c r="M1411" s="2">
        <v>851.8</v>
      </c>
      <c r="N1411" s="2">
        <f ca="1">INDEX(INDIRECT(_xlfn.CONCAT("weather.tbl[",N$1,"]")),MATCH(vp.tbl[[#This Row],[SDate]],weather.tbl[Date],0))</f>
        <v>18.116666666666667</v>
      </c>
      <c r="O1411" s="2">
        <f ca="1">INDEX(INDIRECT(_xlfn.CONCAT("weather.tbl[",O$1,"]")),MATCH(vp.tbl[[#This Row],[SDate]],weather.tbl[Date],0))</f>
        <v>12.52857142857143</v>
      </c>
      <c r="P1411" s="2">
        <f ca="1">INDEX(INDIRECT(_xlfn.CONCAT("weather.tbl[",P$1,"]")),MATCH(vp.tbl[[#This Row],[SDate]],weather.tbl[Date],0))</f>
        <v>18.8</v>
      </c>
      <c r="Q1411" s="2">
        <f ca="1">INDEX(INDIRECT(_xlfn.CONCAT("weather.tbl[",Q$1,"]")),MATCH(vp.tbl[[#This Row],[SDate]],weather.tbl[Date],0))</f>
        <v>19.8</v>
      </c>
      <c r="R1411" s="2">
        <f ca="1">INDEX(INDIRECT(_xlfn.CONCAT("weather.tbl[",R$1,"]")),MATCH(vp.tbl[[#This Row],[SDate]],weather.tbl[Date],0))</f>
        <v>16.8</v>
      </c>
      <c r="S1411" s="2">
        <f ca="1">INDEX(INDIRECT(_xlfn.CONCAT("weather.tbl[",S$1,"]")),MATCH(vp.tbl[[#This Row],[SDate]],weather.tbl[Date],0))</f>
        <v>20.7</v>
      </c>
      <c r="T1411" s="2">
        <f ca="1">INDEX(INDIRECT(_xlfn.CONCAT("weather.tbl[",T$1,"]")),MATCH(vp.tbl[[#This Row],[SDate]],weather.tbl[Date],0))</f>
        <v>15.8</v>
      </c>
      <c r="U1411" s="2">
        <f ca="1">INDEX(INDIRECT(_xlfn.CONCAT("weather.tbl[",U$1,"]")),MATCH(vp.tbl[[#This Row],[SDate]],weather.tbl[Date],0))</f>
        <v>16.8</v>
      </c>
      <c r="V1411" s="2">
        <v>660.72799999999995</v>
      </c>
      <c r="W1411" t="s">
        <v>48</v>
      </c>
      <c r="X1411">
        <f>IF(OR(vp.tbl[[#This Row],[Sulf]]="",vp.tbl[[#This Row],[Dens]]=""),1,0)</f>
        <v>0</v>
      </c>
      <c r="Y1411">
        <f>IF(vp.tbl[[#This Row],[CrudeType]]="C5+",1,0)</f>
        <v>0</v>
      </c>
      <c r="Z1411">
        <f>IF(AND(vp.tbl[[#This Row],[CrudeType]]="Crude",vp.tbl[[#This Row],[Dens]]&lt;=825,vp.tbl[[#This Row],[Sulf]]&gt;0.5,vp.tbl[[#This Row],[Unknown]]=0),1,0)</f>
        <v>0</v>
      </c>
      <c r="AA1411">
        <f>IF(AND(vp.tbl[[#This Row],[CrudeType]]="Crude",vp.tbl[[#This Row],[Dens]]&lt;=825,vp.tbl[[#This Row],[Sulf]]&lt;=0.5,vp.tbl[[#This Row],[Unknown]]=0),1,0)</f>
        <v>0</v>
      </c>
      <c r="AB1411">
        <f>IF(AND(vp.tbl[[#This Row],[CrudeType]]="Crude",vp.tbl[[#This Row],[Dens]]&gt;825,vp.tbl[[#This Row],[Dens]]&lt;=870,vp.tbl[[#This Row],[Sulf]]&gt;0.5,vp.tbl[[#This Row],[Unknown]]=0),1,0)</f>
        <v>1</v>
      </c>
      <c r="AC1411">
        <f>IF(AND(vp.tbl[[#This Row],[CrudeType]]="Crude",vp.tbl[[#This Row],[Dens]]&gt;825,vp.tbl[[#This Row],[Dens]]&lt;=900,vp.tbl[[#This Row],[Sulf]]&lt;=0.5,vp.tbl[[#This Row],[Unknown]]=0),1,0)</f>
        <v>0</v>
      </c>
      <c r="AD1411">
        <f>IF(AND(vp.tbl[[#This Row],[CrudeType]]="Crude",vp.tbl[[#This Row],[Dens]]&gt;870,vp.tbl[[#This Row],[Dens]]&lt;=900,vp.tbl[[#This Row],[Sulf]]&gt;0.5,vp.tbl[[#This Row],[Unknown]]=0),1,0)</f>
        <v>0</v>
      </c>
      <c r="AE1411">
        <f>IF(AND(vp.tbl[[#This Row],[CrudeType]]="Crude",vp.tbl[[#This Row],[Dens]]&gt;900,vp.tbl[[#This Row],[Sulf]]&lt;=0.5,vp.tbl[[#This Row],[Unknown]]=0),1,0)</f>
        <v>0</v>
      </c>
      <c r="AF1411">
        <f>IF(AND(vp.tbl[[#This Row],[CrudeType]]="Crude",vp.tbl[[#This Row],[Dens]]&gt;900,vp.tbl[[#This Row],[Sulf]]&lt;=0.5,vp.tbl[[#This Row],[Unknown]]=0),1,0)</f>
        <v>0</v>
      </c>
      <c r="AG1411" t="str">
        <f>INDEX(vp.tbl[[#Headers],[Unknown]:[Heavy_SW]],MATCH(1,vp.tbl[[#This Row],[Unknown]:[Heavy_SW]],0))</f>
        <v>Medium_LSB</v>
      </c>
      <c r="AH1411" t="e">
        <f>INDEX([1]!crudeBD.lkup[Number],MATCH(vp.tbl[[#This Row],[Crude_Breakdown]],[1]!crudeBD.lkup[Crude Breakdown],0))</f>
        <v>#REF!</v>
      </c>
      <c r="AI1411">
        <f>MONTH(vp.tbl[[#This Row],[SDate]])</f>
        <v>5</v>
      </c>
      <c r="AJ1411" s="5">
        <f>IFERROR(vp.tbl[[#This Row],[Sulf]]*vp.tbl[[#This Row],[Net Dens]],"")</f>
        <v>720394.38131199987</v>
      </c>
      <c r="AK1411" s="5">
        <f>IFERROR(vp.tbl[[#This Row],[Dens]]*vp.tbl[[#This Row],[VolumeM3]],"")</f>
        <v>562808.11039999989</v>
      </c>
      <c r="AL1411" s="5">
        <f>IFERROR(vp.tbl[[#This Row],[VP]]*vp.tbl[[#This Row],[VolumeM3]],"")</f>
        <v>34952.511199999994</v>
      </c>
      <c r="AM1411" s="4">
        <f>IFERROR((vp.tbl[[#This Row],[VP]]-INDEX(crudeBD.lkup.complete[Mean_VP],MATCH(vp.tbl[[#This Row],[Crude_Breakdown]],crudeBD.lkup.complete[Crude Breakdown],0)))^2,"")</f>
        <v>743.84898077166929</v>
      </c>
      <c r="AN1411" s="4">
        <f>IFERROR((vp.tbl[[#This Row],[Dens]]-INDEX(crudeBD.lkup.complete[Mean_Dens],MATCH(vp.tbl[[#This Row],[Crude_Breakdown]],crudeBD.lkup.complete[Crude Breakdown],0)))^2,"")</f>
        <v>42.356370664328843</v>
      </c>
      <c r="AO1411" s="4">
        <f>IFERROR((vp.tbl[[#This Row],[Sulf]]-INDEX(crudeBD.lkup.complete[Mean_Sulf],MATCH(vp.tbl[[#This Row],[Crude_Breakdown]],crudeBD.lkup.complete[Crude Breakdown],0)))^2,"")</f>
        <v>3.0600456185336352E-2</v>
      </c>
      <c r="AP1411">
        <f>IF(AND(vp.tbl[[#This Row],[SDate]]&gt;=DATE(YEAR(vp.tbl[[#This Row],[SDate]]),5,1),vp.tbl[[#This Row],[SDate]]&lt;=DATE(YEAR(vp.tbl[[#This Row],[SDate]]),9,15)),1,0)</f>
        <v>1</v>
      </c>
      <c r="AQ1411" s="15">
        <f>IF(vp.tbl[[#This Row],[SDate]]&lt;DATE(2016,12,1),0,1)</f>
        <v>1</v>
      </c>
    </row>
    <row r="1412" spans="1:43" x14ac:dyDescent="0.25">
      <c r="A1412">
        <v>1411</v>
      </c>
      <c r="B1412" t="s">
        <v>51</v>
      </c>
      <c r="C1412" t="s">
        <v>51</v>
      </c>
      <c r="D1412" t="s">
        <v>301</v>
      </c>
      <c r="F1412" s="1">
        <v>42861</v>
      </c>
      <c r="G1412" s="2">
        <v>49</v>
      </c>
      <c r="H1412" s="2"/>
      <c r="I1412" s="2">
        <v>1.1499999999999999</v>
      </c>
      <c r="J1412" s="2"/>
      <c r="K1412" s="2"/>
      <c r="L1412" s="2">
        <v>852.1</v>
      </c>
      <c r="M1412" s="2">
        <v>852.1</v>
      </c>
      <c r="N1412" s="2">
        <f ca="1">INDEX(INDIRECT(_xlfn.CONCAT("weather.tbl[",N$1,"]")),MATCH(vp.tbl[[#This Row],[SDate]],weather.tbl[Date],0))</f>
        <v>18.116666666666667</v>
      </c>
      <c r="O1412" s="2">
        <f ca="1">INDEX(INDIRECT(_xlfn.CONCAT("weather.tbl[",O$1,"]")),MATCH(vp.tbl[[#This Row],[SDate]],weather.tbl[Date],0))</f>
        <v>12.52857142857143</v>
      </c>
      <c r="P1412" s="2">
        <f ca="1">INDEX(INDIRECT(_xlfn.CONCAT("weather.tbl[",P$1,"]")),MATCH(vp.tbl[[#This Row],[SDate]],weather.tbl[Date],0))</f>
        <v>18.8</v>
      </c>
      <c r="Q1412" s="2">
        <f ca="1">INDEX(INDIRECT(_xlfn.CONCAT("weather.tbl[",Q$1,"]")),MATCH(vp.tbl[[#This Row],[SDate]],weather.tbl[Date],0))</f>
        <v>19.8</v>
      </c>
      <c r="R1412" s="2">
        <f ca="1">INDEX(INDIRECT(_xlfn.CONCAT("weather.tbl[",R$1,"]")),MATCH(vp.tbl[[#This Row],[SDate]],weather.tbl[Date],0))</f>
        <v>16.8</v>
      </c>
      <c r="S1412" s="2">
        <f ca="1">INDEX(INDIRECT(_xlfn.CONCAT("weather.tbl[",S$1,"]")),MATCH(vp.tbl[[#This Row],[SDate]],weather.tbl[Date],0))</f>
        <v>20.7</v>
      </c>
      <c r="T1412" s="2">
        <f ca="1">INDEX(INDIRECT(_xlfn.CONCAT("weather.tbl[",T$1,"]")),MATCH(vp.tbl[[#This Row],[SDate]],weather.tbl[Date],0))</f>
        <v>15.8</v>
      </c>
      <c r="U1412" s="2">
        <f ca="1">INDEX(INDIRECT(_xlfn.CONCAT("weather.tbl[",U$1,"]")),MATCH(vp.tbl[[#This Row],[SDate]],weather.tbl[Date],0))</f>
        <v>16.8</v>
      </c>
      <c r="V1412" s="2">
        <v>338.42</v>
      </c>
      <c r="W1412" t="s">
        <v>48</v>
      </c>
      <c r="X1412">
        <f>IF(OR(vp.tbl[[#This Row],[Sulf]]="",vp.tbl[[#This Row],[Dens]]=""),1,0)</f>
        <v>0</v>
      </c>
      <c r="Y1412">
        <f>IF(vp.tbl[[#This Row],[CrudeType]]="C5+",1,0)</f>
        <v>0</v>
      </c>
      <c r="Z1412">
        <f>IF(AND(vp.tbl[[#This Row],[CrudeType]]="Crude",vp.tbl[[#This Row],[Dens]]&lt;=825,vp.tbl[[#This Row],[Sulf]]&gt;0.5,vp.tbl[[#This Row],[Unknown]]=0),1,0)</f>
        <v>0</v>
      </c>
      <c r="AA1412">
        <f>IF(AND(vp.tbl[[#This Row],[CrudeType]]="Crude",vp.tbl[[#This Row],[Dens]]&lt;=825,vp.tbl[[#This Row],[Sulf]]&lt;=0.5,vp.tbl[[#This Row],[Unknown]]=0),1,0)</f>
        <v>0</v>
      </c>
      <c r="AB1412">
        <f>IF(AND(vp.tbl[[#This Row],[CrudeType]]="Crude",vp.tbl[[#This Row],[Dens]]&gt;825,vp.tbl[[#This Row],[Dens]]&lt;=870,vp.tbl[[#This Row],[Sulf]]&gt;0.5,vp.tbl[[#This Row],[Unknown]]=0),1,0)</f>
        <v>1</v>
      </c>
      <c r="AC1412">
        <f>IF(AND(vp.tbl[[#This Row],[CrudeType]]="Crude",vp.tbl[[#This Row],[Dens]]&gt;825,vp.tbl[[#This Row],[Dens]]&lt;=900,vp.tbl[[#This Row],[Sulf]]&lt;=0.5,vp.tbl[[#This Row],[Unknown]]=0),1,0)</f>
        <v>0</v>
      </c>
      <c r="AD1412">
        <f>IF(AND(vp.tbl[[#This Row],[CrudeType]]="Crude",vp.tbl[[#This Row],[Dens]]&gt;870,vp.tbl[[#This Row],[Dens]]&lt;=900,vp.tbl[[#This Row],[Sulf]]&gt;0.5,vp.tbl[[#This Row],[Unknown]]=0),1,0)</f>
        <v>0</v>
      </c>
      <c r="AE1412">
        <f>IF(AND(vp.tbl[[#This Row],[CrudeType]]="Crude",vp.tbl[[#This Row],[Dens]]&gt;900,vp.tbl[[#This Row],[Sulf]]&lt;=0.5,vp.tbl[[#This Row],[Unknown]]=0),1,0)</f>
        <v>0</v>
      </c>
      <c r="AF1412">
        <f>IF(AND(vp.tbl[[#This Row],[CrudeType]]="Crude",vp.tbl[[#This Row],[Dens]]&gt;900,vp.tbl[[#This Row],[Sulf]]&lt;=0.5,vp.tbl[[#This Row],[Unknown]]=0),1,0)</f>
        <v>0</v>
      </c>
      <c r="AG1412" t="str">
        <f>INDEX(vp.tbl[[#Headers],[Unknown]:[Heavy_SW]],MATCH(1,vp.tbl[[#This Row],[Unknown]:[Heavy_SW]],0))</f>
        <v>Medium_LSB</v>
      </c>
      <c r="AH1412" t="e">
        <f>INDEX([1]!crudeBD.lkup[Number],MATCH(vp.tbl[[#This Row],[Crude_Breakdown]],[1]!crudeBD.lkup[Crude Breakdown],0))</f>
        <v>#REF!</v>
      </c>
      <c r="AI1412">
        <f>MONTH(vp.tbl[[#This Row],[SDate]])</f>
        <v>5</v>
      </c>
      <c r="AJ1412" s="5">
        <f>IFERROR(vp.tbl[[#This Row],[Sulf]]*vp.tbl[[#This Row],[Net Dens]],"")</f>
        <v>331622.83429999999</v>
      </c>
      <c r="AK1412" s="5">
        <f>IFERROR(vp.tbl[[#This Row],[Dens]]*vp.tbl[[#This Row],[VolumeM3]],"")</f>
        <v>288367.68200000003</v>
      </c>
      <c r="AL1412" s="5">
        <f>IFERROR(vp.tbl[[#This Row],[VP]]*vp.tbl[[#This Row],[VolumeM3]],"")</f>
        <v>16582.580000000002</v>
      </c>
      <c r="AM1412" s="4">
        <f>IFERROR((vp.tbl[[#This Row],[VP]]-INDEX(crudeBD.lkup.complete[Mean_VP],MATCH(vp.tbl[[#This Row],[Crude_Breakdown]],crudeBD.lkup.complete[Crude Breakdown],0)))^2,"")</f>
        <v>971.79302127799804</v>
      </c>
      <c r="AN1412" s="4">
        <f>IFERROR((vp.tbl[[#This Row],[Dens]]-INDEX(crudeBD.lkup.complete[Mean_Dens],MATCH(vp.tbl[[#This Row],[Crude_Breakdown]],crudeBD.lkup.complete[Crude Breakdown],0)))^2,"")</f>
        <v>46.351276993444259</v>
      </c>
      <c r="AO1412" s="4">
        <f>IFERROR((vp.tbl[[#This Row],[Sulf]]-INDEX(crudeBD.lkup.complete[Mean_Sulf],MATCH(vp.tbl[[#This Row],[Crude_Breakdown]],crudeBD.lkup.complete[Crude Breakdown],0)))^2,"")</f>
        <v>9.2982219982805162E-2</v>
      </c>
      <c r="AP1412">
        <f>IF(AND(vp.tbl[[#This Row],[SDate]]&gt;=DATE(YEAR(vp.tbl[[#This Row],[SDate]]),5,1),vp.tbl[[#This Row],[SDate]]&lt;=DATE(YEAR(vp.tbl[[#This Row],[SDate]]),9,15)),1,0)</f>
        <v>1</v>
      </c>
      <c r="AQ1412" s="15">
        <f>IF(vp.tbl[[#This Row],[SDate]]&lt;DATE(2016,12,1),0,1)</f>
        <v>1</v>
      </c>
    </row>
    <row r="1413" spans="1:43" x14ac:dyDescent="0.25">
      <c r="A1413">
        <v>1412</v>
      </c>
      <c r="B1413" t="s">
        <v>49</v>
      </c>
      <c r="C1413" t="s">
        <v>49</v>
      </c>
      <c r="D1413" t="s">
        <v>302</v>
      </c>
      <c r="F1413" s="1">
        <v>42861</v>
      </c>
      <c r="G1413" s="2">
        <v>63.2</v>
      </c>
      <c r="H1413" s="2"/>
      <c r="I1413" s="2">
        <v>1.1200000000000001</v>
      </c>
      <c r="J1413" s="2"/>
      <c r="K1413" s="2"/>
      <c r="L1413" s="2">
        <v>851.6</v>
      </c>
      <c r="M1413" s="2">
        <v>851.6</v>
      </c>
      <c r="N1413" s="2">
        <f ca="1">INDEX(INDIRECT(_xlfn.CONCAT("weather.tbl[",N$1,"]")),MATCH(vp.tbl[[#This Row],[SDate]],weather.tbl[Date],0))</f>
        <v>18.116666666666667</v>
      </c>
      <c r="O1413" s="2">
        <f ca="1">INDEX(INDIRECT(_xlfn.CONCAT("weather.tbl[",O$1,"]")),MATCH(vp.tbl[[#This Row],[SDate]],weather.tbl[Date],0))</f>
        <v>12.52857142857143</v>
      </c>
      <c r="P1413" s="2">
        <f ca="1">INDEX(INDIRECT(_xlfn.CONCAT("weather.tbl[",P$1,"]")),MATCH(vp.tbl[[#This Row],[SDate]],weather.tbl[Date],0))</f>
        <v>18.8</v>
      </c>
      <c r="Q1413" s="2">
        <f ca="1">INDEX(INDIRECT(_xlfn.CONCAT("weather.tbl[",Q$1,"]")),MATCH(vp.tbl[[#This Row],[SDate]],weather.tbl[Date],0))</f>
        <v>19.8</v>
      </c>
      <c r="R1413" s="2">
        <f ca="1">INDEX(INDIRECT(_xlfn.CONCAT("weather.tbl[",R$1,"]")),MATCH(vp.tbl[[#This Row],[SDate]],weather.tbl[Date],0))</f>
        <v>16.8</v>
      </c>
      <c r="S1413" s="2">
        <f ca="1">INDEX(INDIRECT(_xlfn.CONCAT("weather.tbl[",S$1,"]")),MATCH(vp.tbl[[#This Row],[SDate]],weather.tbl[Date],0))</f>
        <v>20.7</v>
      </c>
      <c r="T1413" s="2">
        <f ca="1">INDEX(INDIRECT(_xlfn.CONCAT("weather.tbl[",T$1,"]")),MATCH(vp.tbl[[#This Row],[SDate]],weather.tbl[Date],0))</f>
        <v>15.8</v>
      </c>
      <c r="U1413" s="2">
        <f ca="1">INDEX(INDIRECT(_xlfn.CONCAT("weather.tbl[",U$1,"]")),MATCH(vp.tbl[[#This Row],[SDate]],weather.tbl[Date],0))</f>
        <v>16.8</v>
      </c>
      <c r="V1413" s="2">
        <v>147.60900000000001</v>
      </c>
      <c r="W1413" t="s">
        <v>48</v>
      </c>
      <c r="X1413">
        <f>IF(OR(vp.tbl[[#This Row],[Sulf]]="",vp.tbl[[#This Row],[Dens]]=""),1,0)</f>
        <v>0</v>
      </c>
      <c r="Y1413">
        <f>IF(vp.tbl[[#This Row],[CrudeType]]="C5+",1,0)</f>
        <v>0</v>
      </c>
      <c r="Z1413">
        <f>IF(AND(vp.tbl[[#This Row],[CrudeType]]="Crude",vp.tbl[[#This Row],[Dens]]&lt;=825,vp.tbl[[#This Row],[Sulf]]&gt;0.5,vp.tbl[[#This Row],[Unknown]]=0),1,0)</f>
        <v>0</v>
      </c>
      <c r="AA1413">
        <f>IF(AND(vp.tbl[[#This Row],[CrudeType]]="Crude",vp.tbl[[#This Row],[Dens]]&lt;=825,vp.tbl[[#This Row],[Sulf]]&lt;=0.5,vp.tbl[[#This Row],[Unknown]]=0),1,0)</f>
        <v>0</v>
      </c>
      <c r="AB1413">
        <f>IF(AND(vp.tbl[[#This Row],[CrudeType]]="Crude",vp.tbl[[#This Row],[Dens]]&gt;825,vp.tbl[[#This Row],[Dens]]&lt;=870,vp.tbl[[#This Row],[Sulf]]&gt;0.5,vp.tbl[[#This Row],[Unknown]]=0),1,0)</f>
        <v>1</v>
      </c>
      <c r="AC1413">
        <f>IF(AND(vp.tbl[[#This Row],[CrudeType]]="Crude",vp.tbl[[#This Row],[Dens]]&gt;825,vp.tbl[[#This Row],[Dens]]&lt;=900,vp.tbl[[#This Row],[Sulf]]&lt;=0.5,vp.tbl[[#This Row],[Unknown]]=0),1,0)</f>
        <v>0</v>
      </c>
      <c r="AD1413">
        <f>IF(AND(vp.tbl[[#This Row],[CrudeType]]="Crude",vp.tbl[[#This Row],[Dens]]&gt;870,vp.tbl[[#This Row],[Dens]]&lt;=900,vp.tbl[[#This Row],[Sulf]]&gt;0.5,vp.tbl[[#This Row],[Unknown]]=0),1,0)</f>
        <v>0</v>
      </c>
      <c r="AE1413">
        <f>IF(AND(vp.tbl[[#This Row],[CrudeType]]="Crude",vp.tbl[[#This Row],[Dens]]&gt;900,vp.tbl[[#This Row],[Sulf]]&lt;=0.5,vp.tbl[[#This Row],[Unknown]]=0),1,0)</f>
        <v>0</v>
      </c>
      <c r="AF1413">
        <f>IF(AND(vp.tbl[[#This Row],[CrudeType]]="Crude",vp.tbl[[#This Row],[Dens]]&gt;900,vp.tbl[[#This Row],[Sulf]]&lt;=0.5,vp.tbl[[#This Row],[Unknown]]=0),1,0)</f>
        <v>0</v>
      </c>
      <c r="AG1413" t="str">
        <f>INDEX(vp.tbl[[#Headers],[Unknown]:[Heavy_SW]],MATCH(1,vp.tbl[[#This Row],[Unknown]:[Heavy_SW]],0))</f>
        <v>Medium_LSB</v>
      </c>
      <c r="AH1413" t="e">
        <f>INDEX([1]!crudeBD.lkup[Number],MATCH(vp.tbl[[#This Row],[Crude_Breakdown]],[1]!crudeBD.lkup[Crude Breakdown],0))</f>
        <v>#REF!</v>
      </c>
      <c r="AI1413">
        <f>MONTH(vp.tbl[[#This Row],[SDate]])</f>
        <v>5</v>
      </c>
      <c r="AJ1413" s="5">
        <f>IFERROR(vp.tbl[[#This Row],[Sulf]]*vp.tbl[[#This Row],[Net Dens]],"")</f>
        <v>140788.28332800002</v>
      </c>
      <c r="AK1413" s="5">
        <f>IFERROR(vp.tbl[[#This Row],[Dens]]*vp.tbl[[#This Row],[VolumeM3]],"")</f>
        <v>125703.82440000001</v>
      </c>
      <c r="AL1413" s="5">
        <f>IFERROR(vp.tbl[[#This Row],[VP]]*vp.tbl[[#This Row],[VolumeM3]],"")</f>
        <v>9328.8888000000006</v>
      </c>
      <c r="AM1413" s="4">
        <f>IFERROR((vp.tbl[[#This Row],[VP]]-INDEX(crudeBD.lkup.complete[Mean_VP],MATCH(vp.tbl[[#This Row],[Crude_Breakdown]],crudeBD.lkup.complete[Crude Breakdown],0)))^2,"")</f>
        <v>288.10292507546734</v>
      </c>
      <c r="AN1413" s="4">
        <f>IFERROR((vp.tbl[[#This Row],[Dens]]-INDEX(crudeBD.lkup.complete[Mean_Dens],MATCH(vp.tbl[[#This Row],[Crude_Breakdown]],crudeBD.lkup.complete[Crude Breakdown],0)))^2,"")</f>
        <v>39.793099778253378</v>
      </c>
      <c r="AO1413" s="4">
        <f>IFERROR((vp.tbl[[#This Row],[Sulf]]-INDEX(crudeBD.lkup.complete[Mean_Sulf],MATCH(vp.tbl[[#This Row],[Crude_Breakdown]],crudeBD.lkup.complete[Crude Breakdown],0)))^2,"")</f>
        <v>0.11217801162837474</v>
      </c>
      <c r="AP1413">
        <f>IF(AND(vp.tbl[[#This Row],[SDate]]&gt;=DATE(YEAR(vp.tbl[[#This Row],[SDate]]),5,1),vp.tbl[[#This Row],[SDate]]&lt;=DATE(YEAR(vp.tbl[[#This Row],[SDate]]),9,15)),1,0)</f>
        <v>1</v>
      </c>
      <c r="AQ1413" s="15">
        <f>IF(vp.tbl[[#This Row],[SDate]]&lt;DATE(2016,12,1),0,1)</f>
        <v>1</v>
      </c>
    </row>
    <row r="1414" spans="1:43" x14ac:dyDescent="0.25">
      <c r="A1414">
        <v>1413</v>
      </c>
      <c r="B1414" t="s">
        <v>178</v>
      </c>
      <c r="C1414" t="s">
        <v>178</v>
      </c>
      <c r="D1414" t="s">
        <v>303</v>
      </c>
      <c r="F1414" s="1">
        <v>42861</v>
      </c>
      <c r="G1414" s="2">
        <v>60</v>
      </c>
      <c r="H1414" s="2"/>
      <c r="I1414" s="2">
        <v>1.7</v>
      </c>
      <c r="J1414" s="2"/>
      <c r="K1414" s="2"/>
      <c r="L1414" s="2">
        <v>864.5</v>
      </c>
      <c r="M1414" s="2">
        <v>864.5</v>
      </c>
      <c r="N1414" s="2">
        <f ca="1">INDEX(INDIRECT(_xlfn.CONCAT("weather.tbl[",N$1,"]")),MATCH(vp.tbl[[#This Row],[SDate]],weather.tbl[Date],0))</f>
        <v>18.116666666666667</v>
      </c>
      <c r="O1414" s="2">
        <f ca="1">INDEX(INDIRECT(_xlfn.CONCAT("weather.tbl[",O$1,"]")),MATCH(vp.tbl[[#This Row],[SDate]],weather.tbl[Date],0))</f>
        <v>12.52857142857143</v>
      </c>
      <c r="P1414" s="2">
        <f ca="1">INDEX(INDIRECT(_xlfn.CONCAT("weather.tbl[",P$1,"]")),MATCH(vp.tbl[[#This Row],[SDate]],weather.tbl[Date],0))</f>
        <v>18.8</v>
      </c>
      <c r="Q1414" s="2">
        <f ca="1">INDEX(INDIRECT(_xlfn.CONCAT("weather.tbl[",Q$1,"]")),MATCH(vp.tbl[[#This Row],[SDate]],weather.tbl[Date],0))</f>
        <v>19.8</v>
      </c>
      <c r="R1414" s="2">
        <f ca="1">INDEX(INDIRECT(_xlfn.CONCAT("weather.tbl[",R$1,"]")),MATCH(vp.tbl[[#This Row],[SDate]],weather.tbl[Date],0))</f>
        <v>16.8</v>
      </c>
      <c r="S1414" s="2">
        <f ca="1">INDEX(INDIRECT(_xlfn.CONCAT("weather.tbl[",S$1,"]")),MATCH(vp.tbl[[#This Row],[SDate]],weather.tbl[Date],0))</f>
        <v>20.7</v>
      </c>
      <c r="T1414" s="2">
        <f ca="1">INDEX(INDIRECT(_xlfn.CONCAT("weather.tbl[",T$1,"]")),MATCH(vp.tbl[[#This Row],[SDate]],weather.tbl[Date],0))</f>
        <v>15.8</v>
      </c>
      <c r="U1414" s="2">
        <f ca="1">INDEX(INDIRECT(_xlfn.CONCAT("weather.tbl[",U$1,"]")),MATCH(vp.tbl[[#This Row],[SDate]],weather.tbl[Date],0))</f>
        <v>16.8</v>
      </c>
      <c r="V1414" s="2">
        <v>1269.43</v>
      </c>
      <c r="W1414" t="s">
        <v>48</v>
      </c>
      <c r="X1414">
        <f>IF(OR(vp.tbl[[#This Row],[Sulf]]="",vp.tbl[[#This Row],[Dens]]=""),1,0)</f>
        <v>0</v>
      </c>
      <c r="Y1414">
        <f>IF(vp.tbl[[#This Row],[CrudeType]]="C5+",1,0)</f>
        <v>0</v>
      </c>
      <c r="Z1414">
        <f>IF(AND(vp.tbl[[#This Row],[CrudeType]]="Crude",vp.tbl[[#This Row],[Dens]]&lt;=825,vp.tbl[[#This Row],[Sulf]]&gt;0.5,vp.tbl[[#This Row],[Unknown]]=0),1,0)</f>
        <v>0</v>
      </c>
      <c r="AA1414">
        <f>IF(AND(vp.tbl[[#This Row],[CrudeType]]="Crude",vp.tbl[[#This Row],[Dens]]&lt;=825,vp.tbl[[#This Row],[Sulf]]&lt;=0.5,vp.tbl[[#This Row],[Unknown]]=0),1,0)</f>
        <v>0</v>
      </c>
      <c r="AB1414">
        <f>IF(AND(vp.tbl[[#This Row],[CrudeType]]="Crude",vp.tbl[[#This Row],[Dens]]&gt;825,vp.tbl[[#This Row],[Dens]]&lt;=870,vp.tbl[[#This Row],[Sulf]]&gt;0.5,vp.tbl[[#This Row],[Unknown]]=0),1,0)</f>
        <v>1</v>
      </c>
      <c r="AC1414">
        <f>IF(AND(vp.tbl[[#This Row],[CrudeType]]="Crude",vp.tbl[[#This Row],[Dens]]&gt;825,vp.tbl[[#This Row],[Dens]]&lt;=900,vp.tbl[[#This Row],[Sulf]]&lt;=0.5,vp.tbl[[#This Row],[Unknown]]=0),1,0)</f>
        <v>0</v>
      </c>
      <c r="AD1414">
        <f>IF(AND(vp.tbl[[#This Row],[CrudeType]]="Crude",vp.tbl[[#This Row],[Dens]]&gt;870,vp.tbl[[#This Row],[Dens]]&lt;=900,vp.tbl[[#This Row],[Sulf]]&gt;0.5,vp.tbl[[#This Row],[Unknown]]=0),1,0)</f>
        <v>0</v>
      </c>
      <c r="AE1414">
        <f>IF(AND(vp.tbl[[#This Row],[CrudeType]]="Crude",vp.tbl[[#This Row],[Dens]]&gt;900,vp.tbl[[#This Row],[Sulf]]&lt;=0.5,vp.tbl[[#This Row],[Unknown]]=0),1,0)</f>
        <v>0</v>
      </c>
      <c r="AF1414">
        <f>IF(AND(vp.tbl[[#This Row],[CrudeType]]="Crude",vp.tbl[[#This Row],[Dens]]&gt;900,vp.tbl[[#This Row],[Sulf]]&lt;=0.5,vp.tbl[[#This Row],[Unknown]]=0),1,0)</f>
        <v>0</v>
      </c>
      <c r="AG1414" t="str">
        <f>INDEX(vp.tbl[[#Headers],[Unknown]:[Heavy_SW]],MATCH(1,vp.tbl[[#This Row],[Unknown]:[Heavy_SW]],0))</f>
        <v>Medium_LSB</v>
      </c>
      <c r="AH1414" t="e">
        <f>INDEX([1]!crudeBD.lkup[Number],MATCH(vp.tbl[[#This Row],[Crude_Breakdown]],[1]!crudeBD.lkup[Crude Breakdown],0))</f>
        <v>#REF!</v>
      </c>
      <c r="AI1414">
        <f>MONTH(vp.tbl[[#This Row],[SDate]])</f>
        <v>5</v>
      </c>
      <c r="AJ1414" s="5">
        <f>IFERROR(vp.tbl[[#This Row],[Sulf]]*vp.tbl[[#This Row],[Net Dens]],"")</f>
        <v>1865617.7995000002</v>
      </c>
      <c r="AK1414" s="5">
        <f>IFERROR(vp.tbl[[#This Row],[Dens]]*vp.tbl[[#This Row],[VolumeM3]],"")</f>
        <v>1097422.2350000001</v>
      </c>
      <c r="AL1414" s="5">
        <f>IFERROR(vp.tbl[[#This Row],[VP]]*vp.tbl[[#This Row],[VolumeM3]],"")</f>
        <v>76165.8</v>
      </c>
      <c r="AM1414" s="4">
        <f>IFERROR((vp.tbl[[#This Row],[VP]]-INDEX(crudeBD.lkup.complete[Mean_VP],MATCH(vp.tbl[[#This Row],[Crude_Breakdown]],crudeBD.lkup.complete[Crude Breakdown],0)))^2,"")</f>
        <v>406.97393267040388</v>
      </c>
      <c r="AN1414" s="4">
        <f>IFERROR((vp.tbl[[#This Row],[Dens]]-INDEX(crudeBD.lkup.complete[Mean_Dens],MATCH(vp.tbl[[#This Row],[Crude_Breakdown]],crudeBD.lkup.complete[Crude Breakdown],0)))^2,"")</f>
        <v>368.95407193017724</v>
      </c>
      <c r="AO1414" s="4">
        <f>IFERROR((vp.tbl[[#This Row],[Sulf]]-INDEX(crudeBD.lkup.complete[Mean_Sulf],MATCH(vp.tbl[[#This Row],[Crude_Breakdown]],crudeBD.lkup.complete[Crude Breakdown],0)))^2,"")</f>
        <v>6.0059373147360415E-2</v>
      </c>
      <c r="AP1414">
        <f>IF(AND(vp.tbl[[#This Row],[SDate]]&gt;=DATE(YEAR(vp.tbl[[#This Row],[SDate]]),5,1),vp.tbl[[#This Row],[SDate]]&lt;=DATE(YEAR(vp.tbl[[#This Row],[SDate]]),9,15)),1,0)</f>
        <v>1</v>
      </c>
      <c r="AQ1414" s="15">
        <f>IF(vp.tbl[[#This Row],[SDate]]&lt;DATE(2016,12,1),0,1)</f>
        <v>1</v>
      </c>
    </row>
    <row r="1415" spans="1:43" x14ac:dyDescent="0.25">
      <c r="A1415">
        <v>1414</v>
      </c>
      <c r="B1415" t="s">
        <v>51</v>
      </c>
      <c r="C1415" t="s">
        <v>51</v>
      </c>
      <c r="D1415" t="s">
        <v>180</v>
      </c>
      <c r="F1415" s="1">
        <v>42861</v>
      </c>
      <c r="G1415" s="2">
        <v>69.7</v>
      </c>
      <c r="H1415" s="2"/>
      <c r="I1415" s="2">
        <v>1.51</v>
      </c>
      <c r="J1415" s="2"/>
      <c r="K1415" s="2"/>
      <c r="L1415" s="2">
        <v>857.3</v>
      </c>
      <c r="M1415" s="2">
        <v>857.3</v>
      </c>
      <c r="N1415" s="2">
        <f ca="1">INDEX(INDIRECT(_xlfn.CONCAT("weather.tbl[",N$1,"]")),MATCH(vp.tbl[[#This Row],[SDate]],weather.tbl[Date],0))</f>
        <v>18.116666666666667</v>
      </c>
      <c r="O1415" s="2">
        <f ca="1">INDEX(INDIRECT(_xlfn.CONCAT("weather.tbl[",O$1,"]")),MATCH(vp.tbl[[#This Row],[SDate]],weather.tbl[Date],0))</f>
        <v>12.52857142857143</v>
      </c>
      <c r="P1415" s="2">
        <f ca="1">INDEX(INDIRECT(_xlfn.CONCAT("weather.tbl[",P$1,"]")),MATCH(vp.tbl[[#This Row],[SDate]],weather.tbl[Date],0))</f>
        <v>18.8</v>
      </c>
      <c r="Q1415" s="2">
        <f ca="1">INDEX(INDIRECT(_xlfn.CONCAT("weather.tbl[",Q$1,"]")),MATCH(vp.tbl[[#This Row],[SDate]],weather.tbl[Date],0))</f>
        <v>19.8</v>
      </c>
      <c r="R1415" s="2">
        <f ca="1">INDEX(INDIRECT(_xlfn.CONCAT("weather.tbl[",R$1,"]")),MATCH(vp.tbl[[#This Row],[SDate]],weather.tbl[Date],0))</f>
        <v>16.8</v>
      </c>
      <c r="S1415" s="2">
        <f ca="1">INDEX(INDIRECT(_xlfn.CONCAT("weather.tbl[",S$1,"]")),MATCH(vp.tbl[[#This Row],[SDate]],weather.tbl[Date],0))</f>
        <v>20.7</v>
      </c>
      <c r="T1415" s="2">
        <f ca="1">INDEX(INDIRECT(_xlfn.CONCAT("weather.tbl[",T$1,"]")),MATCH(vp.tbl[[#This Row],[SDate]],weather.tbl[Date],0))</f>
        <v>15.8</v>
      </c>
      <c r="U1415" s="2">
        <f ca="1">INDEX(INDIRECT(_xlfn.CONCAT("weather.tbl[",U$1,"]")),MATCH(vp.tbl[[#This Row],[SDate]],weather.tbl[Date],0))</f>
        <v>16.8</v>
      </c>
      <c r="V1415" s="2">
        <v>769.65700000000004</v>
      </c>
      <c r="W1415" t="s">
        <v>48</v>
      </c>
      <c r="X1415">
        <f>IF(OR(vp.tbl[[#This Row],[Sulf]]="",vp.tbl[[#This Row],[Dens]]=""),1,0)</f>
        <v>0</v>
      </c>
      <c r="Y1415">
        <f>IF(vp.tbl[[#This Row],[CrudeType]]="C5+",1,0)</f>
        <v>0</v>
      </c>
      <c r="Z1415">
        <f>IF(AND(vp.tbl[[#This Row],[CrudeType]]="Crude",vp.tbl[[#This Row],[Dens]]&lt;=825,vp.tbl[[#This Row],[Sulf]]&gt;0.5,vp.tbl[[#This Row],[Unknown]]=0),1,0)</f>
        <v>0</v>
      </c>
      <c r="AA1415">
        <f>IF(AND(vp.tbl[[#This Row],[CrudeType]]="Crude",vp.tbl[[#This Row],[Dens]]&lt;=825,vp.tbl[[#This Row],[Sulf]]&lt;=0.5,vp.tbl[[#This Row],[Unknown]]=0),1,0)</f>
        <v>0</v>
      </c>
      <c r="AB1415">
        <f>IF(AND(vp.tbl[[#This Row],[CrudeType]]="Crude",vp.tbl[[#This Row],[Dens]]&gt;825,vp.tbl[[#This Row],[Dens]]&lt;=870,vp.tbl[[#This Row],[Sulf]]&gt;0.5,vp.tbl[[#This Row],[Unknown]]=0),1,0)</f>
        <v>1</v>
      </c>
      <c r="AC1415">
        <f>IF(AND(vp.tbl[[#This Row],[CrudeType]]="Crude",vp.tbl[[#This Row],[Dens]]&gt;825,vp.tbl[[#This Row],[Dens]]&lt;=900,vp.tbl[[#This Row],[Sulf]]&lt;=0.5,vp.tbl[[#This Row],[Unknown]]=0),1,0)</f>
        <v>0</v>
      </c>
      <c r="AD1415">
        <f>IF(AND(vp.tbl[[#This Row],[CrudeType]]="Crude",vp.tbl[[#This Row],[Dens]]&gt;870,vp.tbl[[#This Row],[Dens]]&lt;=900,vp.tbl[[#This Row],[Sulf]]&gt;0.5,vp.tbl[[#This Row],[Unknown]]=0),1,0)</f>
        <v>0</v>
      </c>
      <c r="AE1415">
        <f>IF(AND(vp.tbl[[#This Row],[CrudeType]]="Crude",vp.tbl[[#This Row],[Dens]]&gt;900,vp.tbl[[#This Row],[Sulf]]&lt;=0.5,vp.tbl[[#This Row],[Unknown]]=0),1,0)</f>
        <v>0</v>
      </c>
      <c r="AF1415">
        <f>IF(AND(vp.tbl[[#This Row],[CrudeType]]="Crude",vp.tbl[[#This Row],[Dens]]&gt;900,vp.tbl[[#This Row],[Sulf]]&lt;=0.5,vp.tbl[[#This Row],[Unknown]]=0),1,0)</f>
        <v>0</v>
      </c>
      <c r="AG1415" t="str">
        <f>INDEX(vp.tbl[[#Headers],[Unknown]:[Heavy_SW]],MATCH(1,vp.tbl[[#This Row],[Unknown]:[Heavy_SW]],0))</f>
        <v>Medium_LSB</v>
      </c>
      <c r="AH1415" t="e">
        <f>INDEX([1]!crudeBD.lkup[Number],MATCH(vp.tbl[[#This Row],[Crude_Breakdown]],[1]!crudeBD.lkup[Crude Breakdown],0))</f>
        <v>#REF!</v>
      </c>
      <c r="AI1415">
        <f>MONTH(vp.tbl[[#This Row],[SDate]])</f>
        <v>5</v>
      </c>
      <c r="AJ1415" s="5">
        <f>IFERROR(vp.tbl[[#This Row],[Sulf]]*vp.tbl[[#This Row],[Net Dens]],"")</f>
        <v>996338.68861099996</v>
      </c>
      <c r="AK1415" s="5">
        <f>IFERROR(vp.tbl[[#This Row],[Dens]]*vp.tbl[[#This Row],[VolumeM3]],"")</f>
        <v>659826.94609999994</v>
      </c>
      <c r="AL1415" s="5">
        <f>IFERROR(vp.tbl[[#This Row],[VP]]*vp.tbl[[#This Row],[VolumeM3]],"")</f>
        <v>53645.092900000003</v>
      </c>
      <c r="AM1415" s="4">
        <f>IFERROR((vp.tbl[[#This Row],[VP]]-INDEX(crudeBD.lkup.complete[Mean_VP],MATCH(vp.tbl[[#This Row],[Crude_Breakdown]],crudeBD.lkup.complete[Crude Breakdown],0)))^2,"")</f>
        <v>109.69619089825265</v>
      </c>
      <c r="AN1415" s="4">
        <f>IFERROR((vp.tbl[[#This Row],[Dens]]-INDEX(crudeBD.lkup.complete[Mean_Dens],MATCH(vp.tbl[[#This Row],[Crude_Breakdown]],crudeBD.lkup.complete[Crude Breakdown],0)))^2,"")</f>
        <v>144.19632003142777</v>
      </c>
      <c r="AO1415" s="4">
        <f>IFERROR((vp.tbl[[#This Row],[Sulf]]-INDEX(crudeBD.lkup.complete[Mean_Sulf],MATCH(vp.tbl[[#This Row],[Crude_Breakdown]],crudeBD.lkup.complete[Crude Breakdown],0)))^2,"")</f>
        <v>3.0327202359685928E-3</v>
      </c>
      <c r="AP1415">
        <f>IF(AND(vp.tbl[[#This Row],[SDate]]&gt;=DATE(YEAR(vp.tbl[[#This Row],[SDate]]),5,1),vp.tbl[[#This Row],[SDate]]&lt;=DATE(YEAR(vp.tbl[[#This Row],[SDate]]),9,15)),1,0)</f>
        <v>1</v>
      </c>
      <c r="AQ1415" s="15">
        <f>IF(vp.tbl[[#This Row],[SDate]]&lt;DATE(2016,12,1),0,1)</f>
        <v>1</v>
      </c>
    </row>
    <row r="1416" spans="1:43" x14ac:dyDescent="0.25">
      <c r="A1416">
        <v>1415</v>
      </c>
      <c r="B1416" t="s">
        <v>178</v>
      </c>
      <c r="C1416" t="s">
        <v>178</v>
      </c>
      <c r="D1416" t="s">
        <v>181</v>
      </c>
      <c r="F1416" s="1">
        <v>42861</v>
      </c>
      <c r="G1416" s="2">
        <v>74.599999999999994</v>
      </c>
      <c r="H1416" s="2"/>
      <c r="I1416" s="2">
        <v>1.56</v>
      </c>
      <c r="J1416" s="2"/>
      <c r="K1416" s="2"/>
      <c r="L1416" s="2">
        <v>858.2</v>
      </c>
      <c r="M1416" s="2">
        <v>858.2</v>
      </c>
      <c r="N1416" s="2">
        <f ca="1">INDEX(INDIRECT(_xlfn.CONCAT("weather.tbl[",N$1,"]")),MATCH(vp.tbl[[#This Row],[SDate]],weather.tbl[Date],0))</f>
        <v>18.116666666666667</v>
      </c>
      <c r="O1416" s="2">
        <f ca="1">INDEX(INDIRECT(_xlfn.CONCAT("weather.tbl[",O$1,"]")),MATCH(vp.tbl[[#This Row],[SDate]],weather.tbl[Date],0))</f>
        <v>12.52857142857143</v>
      </c>
      <c r="P1416" s="2">
        <f ca="1">INDEX(INDIRECT(_xlfn.CONCAT("weather.tbl[",P$1,"]")),MATCH(vp.tbl[[#This Row],[SDate]],weather.tbl[Date],0))</f>
        <v>18.8</v>
      </c>
      <c r="Q1416" s="2">
        <f ca="1">INDEX(INDIRECT(_xlfn.CONCAT("weather.tbl[",Q$1,"]")),MATCH(vp.tbl[[#This Row],[SDate]],weather.tbl[Date],0))</f>
        <v>19.8</v>
      </c>
      <c r="R1416" s="2">
        <f ca="1">INDEX(INDIRECT(_xlfn.CONCAT("weather.tbl[",R$1,"]")),MATCH(vp.tbl[[#This Row],[SDate]],weather.tbl[Date],0))</f>
        <v>16.8</v>
      </c>
      <c r="S1416" s="2">
        <f ca="1">INDEX(INDIRECT(_xlfn.CONCAT("weather.tbl[",S$1,"]")),MATCH(vp.tbl[[#This Row],[SDate]],weather.tbl[Date],0))</f>
        <v>20.7</v>
      </c>
      <c r="T1416" s="2">
        <f ca="1">INDEX(INDIRECT(_xlfn.CONCAT("weather.tbl[",T$1,"]")),MATCH(vp.tbl[[#This Row],[SDate]],weather.tbl[Date],0))</f>
        <v>15.8</v>
      </c>
      <c r="U1416" s="2">
        <f ca="1">INDEX(INDIRECT(_xlfn.CONCAT("weather.tbl[",U$1,"]")),MATCH(vp.tbl[[#This Row],[SDate]],weather.tbl[Date],0))</f>
        <v>16.8</v>
      </c>
      <c r="V1416" s="2">
        <v>291.93099999999998</v>
      </c>
      <c r="W1416" t="s">
        <v>48</v>
      </c>
      <c r="X1416">
        <f>IF(OR(vp.tbl[[#This Row],[Sulf]]="",vp.tbl[[#This Row],[Dens]]=""),1,0)</f>
        <v>0</v>
      </c>
      <c r="Y1416">
        <f>IF(vp.tbl[[#This Row],[CrudeType]]="C5+",1,0)</f>
        <v>0</v>
      </c>
      <c r="Z1416">
        <f>IF(AND(vp.tbl[[#This Row],[CrudeType]]="Crude",vp.tbl[[#This Row],[Dens]]&lt;=825,vp.tbl[[#This Row],[Sulf]]&gt;0.5,vp.tbl[[#This Row],[Unknown]]=0),1,0)</f>
        <v>0</v>
      </c>
      <c r="AA1416">
        <f>IF(AND(vp.tbl[[#This Row],[CrudeType]]="Crude",vp.tbl[[#This Row],[Dens]]&lt;=825,vp.tbl[[#This Row],[Sulf]]&lt;=0.5,vp.tbl[[#This Row],[Unknown]]=0),1,0)</f>
        <v>0</v>
      </c>
      <c r="AB1416">
        <f>IF(AND(vp.tbl[[#This Row],[CrudeType]]="Crude",vp.tbl[[#This Row],[Dens]]&gt;825,vp.tbl[[#This Row],[Dens]]&lt;=870,vp.tbl[[#This Row],[Sulf]]&gt;0.5,vp.tbl[[#This Row],[Unknown]]=0),1,0)</f>
        <v>1</v>
      </c>
      <c r="AC1416">
        <f>IF(AND(vp.tbl[[#This Row],[CrudeType]]="Crude",vp.tbl[[#This Row],[Dens]]&gt;825,vp.tbl[[#This Row],[Dens]]&lt;=900,vp.tbl[[#This Row],[Sulf]]&lt;=0.5,vp.tbl[[#This Row],[Unknown]]=0),1,0)</f>
        <v>0</v>
      </c>
      <c r="AD1416">
        <f>IF(AND(vp.tbl[[#This Row],[CrudeType]]="Crude",vp.tbl[[#This Row],[Dens]]&gt;870,vp.tbl[[#This Row],[Dens]]&lt;=900,vp.tbl[[#This Row],[Sulf]]&gt;0.5,vp.tbl[[#This Row],[Unknown]]=0),1,0)</f>
        <v>0</v>
      </c>
      <c r="AE1416">
        <f>IF(AND(vp.tbl[[#This Row],[CrudeType]]="Crude",vp.tbl[[#This Row],[Dens]]&gt;900,vp.tbl[[#This Row],[Sulf]]&lt;=0.5,vp.tbl[[#This Row],[Unknown]]=0),1,0)</f>
        <v>0</v>
      </c>
      <c r="AF1416">
        <f>IF(AND(vp.tbl[[#This Row],[CrudeType]]="Crude",vp.tbl[[#This Row],[Dens]]&gt;900,vp.tbl[[#This Row],[Sulf]]&lt;=0.5,vp.tbl[[#This Row],[Unknown]]=0),1,0)</f>
        <v>0</v>
      </c>
      <c r="AG1416" t="str">
        <f>INDEX(vp.tbl[[#Headers],[Unknown]:[Heavy_SW]],MATCH(1,vp.tbl[[#This Row],[Unknown]:[Heavy_SW]],0))</f>
        <v>Medium_LSB</v>
      </c>
      <c r="AH1416" t="e">
        <f>INDEX([1]!crudeBD.lkup[Number],MATCH(vp.tbl[[#This Row],[Crude_Breakdown]],[1]!crudeBD.lkup[Crude Breakdown],0))</f>
        <v>#REF!</v>
      </c>
      <c r="AI1416">
        <f>MONTH(vp.tbl[[#This Row],[SDate]])</f>
        <v>5</v>
      </c>
      <c r="AJ1416" s="5">
        <f>IFERROR(vp.tbl[[#This Row],[Sulf]]*vp.tbl[[#This Row],[Net Dens]],"")</f>
        <v>390834.88735199999</v>
      </c>
      <c r="AK1416" s="5">
        <f>IFERROR(vp.tbl[[#This Row],[Dens]]*vp.tbl[[#This Row],[VolumeM3]],"")</f>
        <v>250535.18419999999</v>
      </c>
      <c r="AL1416" s="5">
        <f>IFERROR(vp.tbl[[#This Row],[VP]]*vp.tbl[[#This Row],[VolumeM3]],"")</f>
        <v>21778.052599999995</v>
      </c>
      <c r="AM1416" s="4">
        <f>IFERROR((vp.tbl[[#This Row],[VP]]-INDEX(crudeBD.lkup.complete[Mean_VP],MATCH(vp.tbl[[#This Row],[Crude_Breakdown]],crudeBD.lkup.complete[Crude Breakdown],0)))^2,"")</f>
        <v>31.0649605185063</v>
      </c>
      <c r="AN1416" s="4">
        <f>IFERROR((vp.tbl[[#This Row],[Dens]]-INDEX(crudeBD.lkup.complete[Mean_Dens],MATCH(vp.tbl[[#This Row],[Crude_Breakdown]],crudeBD.lkup.complete[Crude Breakdown],0)))^2,"")</f>
        <v>166.62103901877359</v>
      </c>
      <c r="AO1416" s="4">
        <f>IFERROR((vp.tbl[[#This Row],[Sulf]]-INDEX(crudeBD.lkup.complete[Mean_Sulf],MATCH(vp.tbl[[#This Row],[Crude_Breakdown]],crudeBD.lkup.complete[Crude Breakdown],0)))^2,"")</f>
        <v>1.1039734160019087E-2</v>
      </c>
      <c r="AP1416">
        <f>IF(AND(vp.tbl[[#This Row],[SDate]]&gt;=DATE(YEAR(vp.tbl[[#This Row],[SDate]]),5,1),vp.tbl[[#This Row],[SDate]]&lt;=DATE(YEAR(vp.tbl[[#This Row],[SDate]]),9,15)),1,0)</f>
        <v>1</v>
      </c>
      <c r="AQ1416" s="15">
        <f>IF(vp.tbl[[#This Row],[SDate]]&lt;DATE(2016,12,1),0,1)</f>
        <v>1</v>
      </c>
    </row>
    <row r="1417" spans="1:43" x14ac:dyDescent="0.25">
      <c r="A1417">
        <v>1416</v>
      </c>
      <c r="B1417" t="s">
        <v>51</v>
      </c>
      <c r="C1417" t="s">
        <v>51</v>
      </c>
      <c r="D1417" t="s">
        <v>304</v>
      </c>
      <c r="F1417" s="1">
        <v>42861</v>
      </c>
      <c r="G1417" s="2">
        <v>50.2</v>
      </c>
      <c r="H1417" s="2"/>
      <c r="I1417" s="2">
        <v>1.78</v>
      </c>
      <c r="J1417" s="2"/>
      <c r="K1417" s="2"/>
      <c r="L1417" s="2">
        <v>868</v>
      </c>
      <c r="M1417" s="2">
        <v>868</v>
      </c>
      <c r="N1417" s="2">
        <f ca="1">INDEX(INDIRECT(_xlfn.CONCAT("weather.tbl[",N$1,"]")),MATCH(vp.tbl[[#This Row],[SDate]],weather.tbl[Date],0))</f>
        <v>18.116666666666667</v>
      </c>
      <c r="O1417" s="2">
        <f ca="1">INDEX(INDIRECT(_xlfn.CONCAT("weather.tbl[",O$1,"]")),MATCH(vp.tbl[[#This Row],[SDate]],weather.tbl[Date],0))</f>
        <v>12.52857142857143</v>
      </c>
      <c r="P1417" s="2">
        <f ca="1">INDEX(INDIRECT(_xlfn.CONCAT("weather.tbl[",P$1,"]")),MATCH(vp.tbl[[#This Row],[SDate]],weather.tbl[Date],0))</f>
        <v>18.8</v>
      </c>
      <c r="Q1417" s="2">
        <f ca="1">INDEX(INDIRECT(_xlfn.CONCAT("weather.tbl[",Q$1,"]")),MATCH(vp.tbl[[#This Row],[SDate]],weather.tbl[Date],0))</f>
        <v>19.8</v>
      </c>
      <c r="R1417" s="2">
        <f ca="1">INDEX(INDIRECT(_xlfn.CONCAT("weather.tbl[",R$1,"]")),MATCH(vp.tbl[[#This Row],[SDate]],weather.tbl[Date],0))</f>
        <v>16.8</v>
      </c>
      <c r="S1417" s="2">
        <f ca="1">INDEX(INDIRECT(_xlfn.CONCAT("weather.tbl[",S$1,"]")),MATCH(vp.tbl[[#This Row],[SDate]],weather.tbl[Date],0))</f>
        <v>20.7</v>
      </c>
      <c r="T1417" s="2">
        <f ca="1">INDEX(INDIRECT(_xlfn.CONCAT("weather.tbl[",T$1,"]")),MATCH(vp.tbl[[#This Row],[SDate]],weather.tbl[Date],0))</f>
        <v>15.8</v>
      </c>
      <c r="U1417" s="2">
        <f ca="1">INDEX(INDIRECT(_xlfn.CONCAT("weather.tbl[",U$1,"]")),MATCH(vp.tbl[[#This Row],[SDate]],weather.tbl[Date],0))</f>
        <v>16.8</v>
      </c>
      <c r="V1417" s="2">
        <v>54.183999999999997</v>
      </c>
      <c r="W1417" t="s">
        <v>48</v>
      </c>
      <c r="X1417">
        <f>IF(OR(vp.tbl[[#This Row],[Sulf]]="",vp.tbl[[#This Row],[Dens]]=""),1,0)</f>
        <v>0</v>
      </c>
      <c r="Y1417">
        <f>IF(vp.tbl[[#This Row],[CrudeType]]="C5+",1,0)</f>
        <v>0</v>
      </c>
      <c r="Z1417">
        <f>IF(AND(vp.tbl[[#This Row],[CrudeType]]="Crude",vp.tbl[[#This Row],[Dens]]&lt;=825,vp.tbl[[#This Row],[Sulf]]&gt;0.5,vp.tbl[[#This Row],[Unknown]]=0),1,0)</f>
        <v>0</v>
      </c>
      <c r="AA1417">
        <f>IF(AND(vp.tbl[[#This Row],[CrudeType]]="Crude",vp.tbl[[#This Row],[Dens]]&lt;=825,vp.tbl[[#This Row],[Sulf]]&lt;=0.5,vp.tbl[[#This Row],[Unknown]]=0),1,0)</f>
        <v>0</v>
      </c>
      <c r="AB1417">
        <f>IF(AND(vp.tbl[[#This Row],[CrudeType]]="Crude",vp.tbl[[#This Row],[Dens]]&gt;825,vp.tbl[[#This Row],[Dens]]&lt;=870,vp.tbl[[#This Row],[Sulf]]&gt;0.5,vp.tbl[[#This Row],[Unknown]]=0),1,0)</f>
        <v>1</v>
      </c>
      <c r="AC1417">
        <f>IF(AND(vp.tbl[[#This Row],[CrudeType]]="Crude",vp.tbl[[#This Row],[Dens]]&gt;825,vp.tbl[[#This Row],[Dens]]&lt;=900,vp.tbl[[#This Row],[Sulf]]&lt;=0.5,vp.tbl[[#This Row],[Unknown]]=0),1,0)</f>
        <v>0</v>
      </c>
      <c r="AD1417">
        <f>IF(AND(vp.tbl[[#This Row],[CrudeType]]="Crude",vp.tbl[[#This Row],[Dens]]&gt;870,vp.tbl[[#This Row],[Dens]]&lt;=900,vp.tbl[[#This Row],[Sulf]]&gt;0.5,vp.tbl[[#This Row],[Unknown]]=0),1,0)</f>
        <v>0</v>
      </c>
      <c r="AE1417">
        <f>IF(AND(vp.tbl[[#This Row],[CrudeType]]="Crude",vp.tbl[[#This Row],[Dens]]&gt;900,vp.tbl[[#This Row],[Sulf]]&lt;=0.5,vp.tbl[[#This Row],[Unknown]]=0),1,0)</f>
        <v>0</v>
      </c>
      <c r="AF1417">
        <f>IF(AND(vp.tbl[[#This Row],[CrudeType]]="Crude",vp.tbl[[#This Row],[Dens]]&gt;900,vp.tbl[[#This Row],[Sulf]]&lt;=0.5,vp.tbl[[#This Row],[Unknown]]=0),1,0)</f>
        <v>0</v>
      </c>
      <c r="AG1417" t="str">
        <f>INDEX(vp.tbl[[#Headers],[Unknown]:[Heavy_SW]],MATCH(1,vp.tbl[[#This Row],[Unknown]:[Heavy_SW]],0))</f>
        <v>Medium_LSB</v>
      </c>
      <c r="AH1417" t="e">
        <f>INDEX([1]!crudeBD.lkup[Number],MATCH(vp.tbl[[#This Row],[Crude_Breakdown]],[1]!crudeBD.lkup[Crude Breakdown],0))</f>
        <v>#REF!</v>
      </c>
      <c r="AI1417">
        <f>MONTH(vp.tbl[[#This Row],[SDate]])</f>
        <v>5</v>
      </c>
      <c r="AJ1417" s="5">
        <f>IFERROR(vp.tbl[[#This Row],[Sulf]]*vp.tbl[[#This Row],[Net Dens]],"")</f>
        <v>83716.447360000006</v>
      </c>
      <c r="AK1417" s="5">
        <f>IFERROR(vp.tbl[[#This Row],[Dens]]*vp.tbl[[#This Row],[VolumeM3]],"")</f>
        <v>47031.712</v>
      </c>
      <c r="AL1417" s="5">
        <f>IFERROR(vp.tbl[[#This Row],[VP]]*vp.tbl[[#This Row],[VolumeM3]],"")</f>
        <v>2720.0367999999999</v>
      </c>
      <c r="AM1417" s="4">
        <f>IFERROR((vp.tbl[[#This Row],[VP]]-INDEX(crudeBD.lkup.complete[Mean_VP],MATCH(vp.tbl[[#This Row],[Crude_Breakdown]],crudeBD.lkup.complete[Crude Breakdown],0)))^2,"")</f>
        <v>898.41639342989663</v>
      </c>
      <c r="AN1417" s="4">
        <f>IFERROR((vp.tbl[[#This Row],[Dens]]-INDEX(crudeBD.lkup.complete[Mean_Dens],MATCH(vp.tbl[[#This Row],[Crude_Breakdown]],crudeBD.lkup.complete[Crude Breakdown],0)))^2,"")</f>
        <v>515.66131243651319</v>
      </c>
      <c r="AO1417" s="4">
        <f>IFERROR((vp.tbl[[#This Row],[Sulf]]-INDEX(crudeBD.lkup.complete[Mean_Sulf],MATCH(vp.tbl[[#This Row],[Crude_Breakdown]],crudeBD.lkup.complete[Crude Breakdown],0)))^2,"")</f>
        <v>0.10567059542584123</v>
      </c>
      <c r="AP1417">
        <f>IF(AND(vp.tbl[[#This Row],[SDate]]&gt;=DATE(YEAR(vp.tbl[[#This Row],[SDate]]),5,1),vp.tbl[[#This Row],[SDate]]&lt;=DATE(YEAR(vp.tbl[[#This Row],[SDate]]),9,15)),1,0)</f>
        <v>1</v>
      </c>
      <c r="AQ1417" s="15">
        <f>IF(vp.tbl[[#This Row],[SDate]]&lt;DATE(2016,12,1),0,1)</f>
        <v>1</v>
      </c>
    </row>
    <row r="1418" spans="1:43" x14ac:dyDescent="0.25">
      <c r="A1418">
        <v>1417</v>
      </c>
      <c r="B1418" t="s">
        <v>178</v>
      </c>
      <c r="C1418" t="s">
        <v>178</v>
      </c>
      <c r="D1418" t="s">
        <v>305</v>
      </c>
      <c r="F1418" s="1">
        <v>42861</v>
      </c>
      <c r="G1418" s="2">
        <v>78</v>
      </c>
      <c r="H1418" s="2"/>
      <c r="I1418" s="2">
        <v>1.4</v>
      </c>
      <c r="J1418" s="2"/>
      <c r="K1418" s="2"/>
      <c r="L1418" s="2">
        <v>854.6</v>
      </c>
      <c r="M1418" s="2">
        <v>854.6</v>
      </c>
      <c r="N1418" s="2">
        <f ca="1">INDEX(INDIRECT(_xlfn.CONCAT("weather.tbl[",N$1,"]")),MATCH(vp.tbl[[#This Row],[SDate]],weather.tbl[Date],0))</f>
        <v>18.116666666666667</v>
      </c>
      <c r="O1418" s="2">
        <f ca="1">INDEX(INDIRECT(_xlfn.CONCAT("weather.tbl[",O$1,"]")),MATCH(vp.tbl[[#This Row],[SDate]],weather.tbl[Date],0))</f>
        <v>12.52857142857143</v>
      </c>
      <c r="P1418" s="2">
        <f ca="1">INDEX(INDIRECT(_xlfn.CONCAT("weather.tbl[",P$1,"]")),MATCH(vp.tbl[[#This Row],[SDate]],weather.tbl[Date],0))</f>
        <v>18.8</v>
      </c>
      <c r="Q1418" s="2">
        <f ca="1">INDEX(INDIRECT(_xlfn.CONCAT("weather.tbl[",Q$1,"]")),MATCH(vp.tbl[[#This Row],[SDate]],weather.tbl[Date],0))</f>
        <v>19.8</v>
      </c>
      <c r="R1418" s="2">
        <f ca="1">INDEX(INDIRECT(_xlfn.CONCAT("weather.tbl[",R$1,"]")),MATCH(vp.tbl[[#This Row],[SDate]],weather.tbl[Date],0))</f>
        <v>16.8</v>
      </c>
      <c r="S1418" s="2">
        <f ca="1">INDEX(INDIRECT(_xlfn.CONCAT("weather.tbl[",S$1,"]")),MATCH(vp.tbl[[#This Row],[SDate]],weather.tbl[Date],0))</f>
        <v>20.7</v>
      </c>
      <c r="T1418" s="2">
        <f ca="1">INDEX(INDIRECT(_xlfn.CONCAT("weather.tbl[",T$1,"]")),MATCH(vp.tbl[[#This Row],[SDate]],weather.tbl[Date],0))</f>
        <v>15.8</v>
      </c>
      <c r="U1418" s="2">
        <f ca="1">INDEX(INDIRECT(_xlfn.CONCAT("weather.tbl[",U$1,"]")),MATCH(vp.tbl[[#This Row],[SDate]],weather.tbl[Date],0))</f>
        <v>16.8</v>
      </c>
      <c r="V1418" s="2">
        <v>137.41800000000001</v>
      </c>
      <c r="W1418" t="s">
        <v>48</v>
      </c>
      <c r="X1418">
        <f>IF(OR(vp.tbl[[#This Row],[Sulf]]="",vp.tbl[[#This Row],[Dens]]=""),1,0)</f>
        <v>0</v>
      </c>
      <c r="Y1418">
        <f>IF(vp.tbl[[#This Row],[CrudeType]]="C5+",1,0)</f>
        <v>0</v>
      </c>
      <c r="Z1418">
        <f>IF(AND(vp.tbl[[#This Row],[CrudeType]]="Crude",vp.tbl[[#This Row],[Dens]]&lt;=825,vp.tbl[[#This Row],[Sulf]]&gt;0.5,vp.tbl[[#This Row],[Unknown]]=0),1,0)</f>
        <v>0</v>
      </c>
      <c r="AA1418">
        <f>IF(AND(vp.tbl[[#This Row],[CrudeType]]="Crude",vp.tbl[[#This Row],[Dens]]&lt;=825,vp.tbl[[#This Row],[Sulf]]&lt;=0.5,vp.tbl[[#This Row],[Unknown]]=0),1,0)</f>
        <v>0</v>
      </c>
      <c r="AB1418">
        <f>IF(AND(vp.tbl[[#This Row],[CrudeType]]="Crude",vp.tbl[[#This Row],[Dens]]&gt;825,vp.tbl[[#This Row],[Dens]]&lt;=870,vp.tbl[[#This Row],[Sulf]]&gt;0.5,vp.tbl[[#This Row],[Unknown]]=0),1,0)</f>
        <v>1</v>
      </c>
      <c r="AC1418">
        <f>IF(AND(vp.tbl[[#This Row],[CrudeType]]="Crude",vp.tbl[[#This Row],[Dens]]&gt;825,vp.tbl[[#This Row],[Dens]]&lt;=900,vp.tbl[[#This Row],[Sulf]]&lt;=0.5,vp.tbl[[#This Row],[Unknown]]=0),1,0)</f>
        <v>0</v>
      </c>
      <c r="AD1418">
        <f>IF(AND(vp.tbl[[#This Row],[CrudeType]]="Crude",vp.tbl[[#This Row],[Dens]]&gt;870,vp.tbl[[#This Row],[Dens]]&lt;=900,vp.tbl[[#This Row],[Sulf]]&gt;0.5,vp.tbl[[#This Row],[Unknown]]=0),1,0)</f>
        <v>0</v>
      </c>
      <c r="AE1418">
        <f>IF(AND(vp.tbl[[#This Row],[CrudeType]]="Crude",vp.tbl[[#This Row],[Dens]]&gt;900,vp.tbl[[#This Row],[Sulf]]&lt;=0.5,vp.tbl[[#This Row],[Unknown]]=0),1,0)</f>
        <v>0</v>
      </c>
      <c r="AF1418">
        <f>IF(AND(vp.tbl[[#This Row],[CrudeType]]="Crude",vp.tbl[[#This Row],[Dens]]&gt;900,vp.tbl[[#This Row],[Sulf]]&lt;=0.5,vp.tbl[[#This Row],[Unknown]]=0),1,0)</f>
        <v>0</v>
      </c>
      <c r="AG1418" t="str">
        <f>INDEX(vp.tbl[[#Headers],[Unknown]:[Heavy_SW]],MATCH(1,vp.tbl[[#This Row],[Unknown]:[Heavy_SW]],0))</f>
        <v>Medium_LSB</v>
      </c>
      <c r="AH1418" t="e">
        <f>INDEX([1]!crudeBD.lkup[Number],MATCH(vp.tbl[[#This Row],[Crude_Breakdown]],[1]!crudeBD.lkup[Crude Breakdown],0))</f>
        <v>#REF!</v>
      </c>
      <c r="AI1418">
        <f>MONTH(vp.tbl[[#This Row],[SDate]])</f>
        <v>5</v>
      </c>
      <c r="AJ1418" s="5">
        <f>IFERROR(vp.tbl[[#This Row],[Sulf]]*vp.tbl[[#This Row],[Net Dens]],"")</f>
        <v>164412.39192000002</v>
      </c>
      <c r="AK1418" s="5">
        <f>IFERROR(vp.tbl[[#This Row],[Dens]]*vp.tbl[[#This Row],[VolumeM3]],"")</f>
        <v>117437.42280000001</v>
      </c>
      <c r="AL1418" s="5">
        <f>IFERROR(vp.tbl[[#This Row],[VP]]*vp.tbl[[#This Row],[VolumeM3]],"")</f>
        <v>10718.604000000001</v>
      </c>
      <c r="AM1418" s="4">
        <f>IFERROR((vp.tbl[[#This Row],[VP]]-INDEX(crudeBD.lkup.complete[Mean_VP],MATCH(vp.tbl[[#This Row],[Crude_Breakdown]],crudeBD.lkup.complete[Crude Breakdown],0)))^2,"")</f>
        <v>4.7245149488862364</v>
      </c>
      <c r="AN1418" s="4">
        <f>IFERROR((vp.tbl[[#This Row],[Dens]]-INDEX(crudeBD.lkup.complete[Mean_Dens],MATCH(vp.tbl[[#This Row],[Crude_Breakdown]],crudeBD.lkup.complete[Crude Breakdown],0)))^2,"")</f>
        <v>86.642163069398663</v>
      </c>
      <c r="AO1418" s="4">
        <f>IFERROR((vp.tbl[[#This Row],[Sulf]]-INDEX(crudeBD.lkup.complete[Mean_Sulf],MATCH(vp.tbl[[#This Row],[Crude_Breakdown]],crudeBD.lkup.complete[Crude Breakdown],0)))^2,"")</f>
        <v>3.0172896030575352E-3</v>
      </c>
      <c r="AP1418">
        <f>IF(AND(vp.tbl[[#This Row],[SDate]]&gt;=DATE(YEAR(vp.tbl[[#This Row],[SDate]]),5,1),vp.tbl[[#This Row],[SDate]]&lt;=DATE(YEAR(vp.tbl[[#This Row],[SDate]]),9,15)),1,0)</f>
        <v>1</v>
      </c>
      <c r="AQ1418" s="15">
        <f>IF(vp.tbl[[#This Row],[SDate]]&lt;DATE(2016,12,1),0,1)</f>
        <v>1</v>
      </c>
    </row>
    <row r="1419" spans="1:43" x14ac:dyDescent="0.25">
      <c r="A1419">
        <v>1418</v>
      </c>
      <c r="B1419" t="s">
        <v>183</v>
      </c>
      <c r="C1419" t="s">
        <v>183</v>
      </c>
      <c r="D1419" t="s">
        <v>184</v>
      </c>
      <c r="F1419" s="1">
        <v>42861</v>
      </c>
      <c r="G1419" s="2">
        <v>51</v>
      </c>
      <c r="H1419" s="2"/>
      <c r="I1419" s="2">
        <v>1.9</v>
      </c>
      <c r="J1419" s="2"/>
      <c r="K1419" s="2"/>
      <c r="L1419" s="2">
        <v>876.9</v>
      </c>
      <c r="M1419" s="2">
        <v>876.9</v>
      </c>
      <c r="N1419" s="2">
        <f ca="1">INDEX(INDIRECT(_xlfn.CONCAT("weather.tbl[",N$1,"]")),MATCH(vp.tbl[[#This Row],[SDate]],weather.tbl[Date],0))</f>
        <v>18.116666666666667</v>
      </c>
      <c r="O1419" s="2">
        <f ca="1">INDEX(INDIRECT(_xlfn.CONCAT("weather.tbl[",O$1,"]")),MATCH(vp.tbl[[#This Row],[SDate]],weather.tbl[Date],0))</f>
        <v>12.52857142857143</v>
      </c>
      <c r="P1419" s="2">
        <f ca="1">INDEX(INDIRECT(_xlfn.CONCAT("weather.tbl[",P$1,"]")),MATCH(vp.tbl[[#This Row],[SDate]],weather.tbl[Date],0))</f>
        <v>18.8</v>
      </c>
      <c r="Q1419" s="2">
        <f ca="1">INDEX(INDIRECT(_xlfn.CONCAT("weather.tbl[",Q$1,"]")),MATCH(vp.tbl[[#This Row],[SDate]],weather.tbl[Date],0))</f>
        <v>19.8</v>
      </c>
      <c r="R1419" s="2">
        <f ca="1">INDEX(INDIRECT(_xlfn.CONCAT("weather.tbl[",R$1,"]")),MATCH(vp.tbl[[#This Row],[SDate]],weather.tbl[Date],0))</f>
        <v>16.8</v>
      </c>
      <c r="S1419" s="2">
        <f ca="1">INDEX(INDIRECT(_xlfn.CONCAT("weather.tbl[",S$1,"]")),MATCH(vp.tbl[[#This Row],[SDate]],weather.tbl[Date],0))</f>
        <v>20.7</v>
      </c>
      <c r="T1419" s="2">
        <f ca="1">INDEX(INDIRECT(_xlfn.CONCAT("weather.tbl[",T$1,"]")),MATCH(vp.tbl[[#This Row],[SDate]],weather.tbl[Date],0))</f>
        <v>15.8</v>
      </c>
      <c r="U1419" s="2">
        <f ca="1">INDEX(INDIRECT(_xlfn.CONCAT("weather.tbl[",U$1,"]")),MATCH(vp.tbl[[#This Row],[SDate]],weather.tbl[Date],0))</f>
        <v>16.8</v>
      </c>
      <c r="V1419" s="2">
        <v>280.202</v>
      </c>
      <c r="W1419" t="s">
        <v>48</v>
      </c>
      <c r="X1419">
        <f>IF(OR(vp.tbl[[#This Row],[Sulf]]="",vp.tbl[[#This Row],[Dens]]=""),1,0)</f>
        <v>0</v>
      </c>
      <c r="Y1419">
        <f>IF(vp.tbl[[#This Row],[CrudeType]]="C5+",1,0)</f>
        <v>0</v>
      </c>
      <c r="Z1419">
        <f>IF(AND(vp.tbl[[#This Row],[CrudeType]]="Crude",vp.tbl[[#This Row],[Dens]]&lt;=825,vp.tbl[[#This Row],[Sulf]]&gt;0.5,vp.tbl[[#This Row],[Unknown]]=0),1,0)</f>
        <v>0</v>
      </c>
      <c r="AA1419">
        <f>IF(AND(vp.tbl[[#This Row],[CrudeType]]="Crude",vp.tbl[[#This Row],[Dens]]&lt;=825,vp.tbl[[#This Row],[Sulf]]&lt;=0.5,vp.tbl[[#This Row],[Unknown]]=0),1,0)</f>
        <v>0</v>
      </c>
      <c r="AB1419">
        <f>IF(AND(vp.tbl[[#This Row],[CrudeType]]="Crude",vp.tbl[[#This Row],[Dens]]&gt;825,vp.tbl[[#This Row],[Dens]]&lt;=870,vp.tbl[[#This Row],[Sulf]]&gt;0.5,vp.tbl[[#This Row],[Unknown]]=0),1,0)</f>
        <v>0</v>
      </c>
      <c r="AC1419">
        <f>IF(AND(vp.tbl[[#This Row],[CrudeType]]="Crude",vp.tbl[[#This Row],[Dens]]&gt;825,vp.tbl[[#This Row],[Dens]]&lt;=900,vp.tbl[[#This Row],[Sulf]]&lt;=0.5,vp.tbl[[#This Row],[Unknown]]=0),1,0)</f>
        <v>0</v>
      </c>
      <c r="AD1419">
        <f>IF(AND(vp.tbl[[#This Row],[CrudeType]]="Crude",vp.tbl[[#This Row],[Dens]]&gt;870,vp.tbl[[#This Row],[Dens]]&lt;=900,vp.tbl[[#This Row],[Sulf]]&gt;0.5,vp.tbl[[#This Row],[Unknown]]=0),1,0)</f>
        <v>1</v>
      </c>
      <c r="AE1419">
        <f>IF(AND(vp.tbl[[#This Row],[CrudeType]]="Crude",vp.tbl[[#This Row],[Dens]]&gt;900,vp.tbl[[#This Row],[Sulf]]&lt;=0.5,vp.tbl[[#This Row],[Unknown]]=0),1,0)</f>
        <v>0</v>
      </c>
      <c r="AF1419">
        <f>IF(AND(vp.tbl[[#This Row],[CrudeType]]="Crude",vp.tbl[[#This Row],[Dens]]&gt;900,vp.tbl[[#This Row],[Sulf]]&lt;=0.5,vp.tbl[[#This Row],[Unknown]]=0),1,0)</f>
        <v>0</v>
      </c>
      <c r="AG1419" t="str">
        <f>INDEX(vp.tbl[[#Headers],[Unknown]:[Heavy_SW]],MATCH(1,vp.tbl[[#This Row],[Unknown]:[Heavy_SW]],0))</f>
        <v>Midale</v>
      </c>
      <c r="AH1419" t="e">
        <f>INDEX([1]!crudeBD.lkup[Number],MATCH(vp.tbl[[#This Row],[Crude_Breakdown]],[1]!crudeBD.lkup[Crude Breakdown],0))</f>
        <v>#REF!</v>
      </c>
      <c r="AI1419">
        <f>MONTH(vp.tbl[[#This Row],[SDate]])</f>
        <v>5</v>
      </c>
      <c r="AJ1419" s="5">
        <f>IFERROR(vp.tbl[[#This Row],[Sulf]]*vp.tbl[[#This Row],[Net Dens]],"")</f>
        <v>466847.35421999992</v>
      </c>
      <c r="AK1419" s="5">
        <f>IFERROR(vp.tbl[[#This Row],[Dens]]*vp.tbl[[#This Row],[VolumeM3]],"")</f>
        <v>245709.13379999998</v>
      </c>
      <c r="AL1419" s="5">
        <f>IFERROR(vp.tbl[[#This Row],[VP]]*vp.tbl[[#This Row],[VolumeM3]],"")</f>
        <v>14290.302</v>
      </c>
      <c r="AM1419" s="4">
        <f>IFERROR((vp.tbl[[#This Row],[VP]]-INDEX(crudeBD.lkup.complete[Mean_VP],MATCH(vp.tbl[[#This Row],[Crude_Breakdown]],crudeBD.lkup.complete[Crude Breakdown],0)))^2,"")</f>
        <v>297.1609232501412</v>
      </c>
      <c r="AN1419" s="4">
        <f>IFERROR((vp.tbl[[#This Row],[Dens]]-INDEX(crudeBD.lkup.complete[Mean_Dens],MATCH(vp.tbl[[#This Row],[Crude_Breakdown]],crudeBD.lkup.complete[Crude Breakdown],0)))^2,"")</f>
        <v>0.42517545505686882</v>
      </c>
      <c r="AO1419" s="4">
        <f>IFERROR((vp.tbl[[#This Row],[Sulf]]-INDEX(crudeBD.lkup.complete[Mean_Sulf],MATCH(vp.tbl[[#This Row],[Crude_Breakdown]],crudeBD.lkup.complete[Crude Breakdown],0)))^2,"")</f>
        <v>0.26557545678905869</v>
      </c>
      <c r="AP1419">
        <f>IF(AND(vp.tbl[[#This Row],[SDate]]&gt;=DATE(YEAR(vp.tbl[[#This Row],[SDate]]),5,1),vp.tbl[[#This Row],[SDate]]&lt;=DATE(YEAR(vp.tbl[[#This Row],[SDate]]),9,15)),1,0)</f>
        <v>1</v>
      </c>
      <c r="AQ1419" s="15">
        <f>IF(vp.tbl[[#This Row],[SDate]]&lt;DATE(2016,12,1),0,1)</f>
        <v>1</v>
      </c>
    </row>
    <row r="1420" spans="1:43" x14ac:dyDescent="0.25">
      <c r="A1420">
        <v>1419</v>
      </c>
      <c r="B1420" t="s">
        <v>68</v>
      </c>
      <c r="C1420" t="s">
        <v>68</v>
      </c>
      <c r="D1420" t="s">
        <v>306</v>
      </c>
      <c r="F1420" s="1">
        <v>42861</v>
      </c>
      <c r="G1420" s="2">
        <v>50.4</v>
      </c>
      <c r="H1420" s="2"/>
      <c r="I1420" s="2">
        <v>1.73</v>
      </c>
      <c r="J1420" s="2"/>
      <c r="K1420" s="2"/>
      <c r="L1420" s="2">
        <v>864.8</v>
      </c>
      <c r="M1420" s="2">
        <v>864.8</v>
      </c>
      <c r="N1420" s="2">
        <f ca="1">INDEX(INDIRECT(_xlfn.CONCAT("weather.tbl[",N$1,"]")),MATCH(vp.tbl[[#This Row],[SDate]],weather.tbl[Date],0))</f>
        <v>18.116666666666667</v>
      </c>
      <c r="O1420" s="2">
        <f ca="1">INDEX(INDIRECT(_xlfn.CONCAT("weather.tbl[",O$1,"]")),MATCH(vp.tbl[[#This Row],[SDate]],weather.tbl[Date],0))</f>
        <v>12.52857142857143</v>
      </c>
      <c r="P1420" s="2">
        <f ca="1">INDEX(INDIRECT(_xlfn.CONCAT("weather.tbl[",P$1,"]")),MATCH(vp.tbl[[#This Row],[SDate]],weather.tbl[Date],0))</f>
        <v>18.8</v>
      </c>
      <c r="Q1420" s="2">
        <f ca="1">INDEX(INDIRECT(_xlfn.CONCAT("weather.tbl[",Q$1,"]")),MATCH(vp.tbl[[#This Row],[SDate]],weather.tbl[Date],0))</f>
        <v>19.8</v>
      </c>
      <c r="R1420" s="2">
        <f ca="1">INDEX(INDIRECT(_xlfn.CONCAT("weather.tbl[",R$1,"]")),MATCH(vp.tbl[[#This Row],[SDate]],weather.tbl[Date],0))</f>
        <v>16.8</v>
      </c>
      <c r="S1420" s="2">
        <f ca="1">INDEX(INDIRECT(_xlfn.CONCAT("weather.tbl[",S$1,"]")),MATCH(vp.tbl[[#This Row],[SDate]],weather.tbl[Date],0))</f>
        <v>20.7</v>
      </c>
      <c r="T1420" s="2">
        <f ca="1">INDEX(INDIRECT(_xlfn.CONCAT("weather.tbl[",T$1,"]")),MATCH(vp.tbl[[#This Row],[SDate]],weather.tbl[Date],0))</f>
        <v>15.8</v>
      </c>
      <c r="U1420" s="2">
        <f ca="1">INDEX(INDIRECT(_xlfn.CONCAT("weather.tbl[",U$1,"]")),MATCH(vp.tbl[[#This Row],[SDate]],weather.tbl[Date],0))</f>
        <v>16.8</v>
      </c>
      <c r="V1420" s="2">
        <v>104.145</v>
      </c>
      <c r="W1420" t="s">
        <v>48</v>
      </c>
      <c r="X1420">
        <f>IF(OR(vp.tbl[[#This Row],[Sulf]]="",vp.tbl[[#This Row],[Dens]]=""),1,0)</f>
        <v>0</v>
      </c>
      <c r="Y1420">
        <f>IF(vp.tbl[[#This Row],[CrudeType]]="C5+",1,0)</f>
        <v>0</v>
      </c>
      <c r="Z1420">
        <f>IF(AND(vp.tbl[[#This Row],[CrudeType]]="Crude",vp.tbl[[#This Row],[Dens]]&lt;=825,vp.tbl[[#This Row],[Sulf]]&gt;0.5,vp.tbl[[#This Row],[Unknown]]=0),1,0)</f>
        <v>0</v>
      </c>
      <c r="AA1420">
        <f>IF(AND(vp.tbl[[#This Row],[CrudeType]]="Crude",vp.tbl[[#This Row],[Dens]]&lt;=825,vp.tbl[[#This Row],[Sulf]]&lt;=0.5,vp.tbl[[#This Row],[Unknown]]=0),1,0)</f>
        <v>0</v>
      </c>
      <c r="AB1420">
        <f>IF(AND(vp.tbl[[#This Row],[CrudeType]]="Crude",vp.tbl[[#This Row],[Dens]]&gt;825,vp.tbl[[#This Row],[Dens]]&lt;=870,vp.tbl[[#This Row],[Sulf]]&gt;0.5,vp.tbl[[#This Row],[Unknown]]=0),1,0)</f>
        <v>1</v>
      </c>
      <c r="AC1420">
        <f>IF(AND(vp.tbl[[#This Row],[CrudeType]]="Crude",vp.tbl[[#This Row],[Dens]]&gt;825,vp.tbl[[#This Row],[Dens]]&lt;=900,vp.tbl[[#This Row],[Sulf]]&lt;=0.5,vp.tbl[[#This Row],[Unknown]]=0),1,0)</f>
        <v>0</v>
      </c>
      <c r="AD1420">
        <f>IF(AND(vp.tbl[[#This Row],[CrudeType]]="Crude",vp.tbl[[#This Row],[Dens]]&gt;870,vp.tbl[[#This Row],[Dens]]&lt;=900,vp.tbl[[#This Row],[Sulf]]&gt;0.5,vp.tbl[[#This Row],[Unknown]]=0),1,0)</f>
        <v>0</v>
      </c>
      <c r="AE1420">
        <f>IF(AND(vp.tbl[[#This Row],[CrudeType]]="Crude",vp.tbl[[#This Row],[Dens]]&gt;900,vp.tbl[[#This Row],[Sulf]]&lt;=0.5,vp.tbl[[#This Row],[Unknown]]=0),1,0)</f>
        <v>0</v>
      </c>
      <c r="AF1420">
        <f>IF(AND(vp.tbl[[#This Row],[CrudeType]]="Crude",vp.tbl[[#This Row],[Dens]]&gt;900,vp.tbl[[#This Row],[Sulf]]&lt;=0.5,vp.tbl[[#This Row],[Unknown]]=0),1,0)</f>
        <v>0</v>
      </c>
      <c r="AG1420" t="str">
        <f>INDEX(vp.tbl[[#Headers],[Unknown]:[Heavy_SW]],MATCH(1,vp.tbl[[#This Row],[Unknown]:[Heavy_SW]],0))</f>
        <v>Medium_LSB</v>
      </c>
      <c r="AH1420" t="e">
        <f>INDEX([1]!crudeBD.lkup[Number],MATCH(vp.tbl[[#This Row],[Crude_Breakdown]],[1]!crudeBD.lkup[Crude Breakdown],0))</f>
        <v>#REF!</v>
      </c>
      <c r="AI1420">
        <f>MONTH(vp.tbl[[#This Row],[SDate]])</f>
        <v>5</v>
      </c>
      <c r="AJ1420" s="5">
        <f>IFERROR(vp.tbl[[#This Row],[Sulf]]*vp.tbl[[#This Row],[Net Dens]],"")</f>
        <v>155811.75107999999</v>
      </c>
      <c r="AK1420" s="5">
        <f>IFERROR(vp.tbl[[#This Row],[Dens]]*vp.tbl[[#This Row],[VolumeM3]],"")</f>
        <v>90064.59599999999</v>
      </c>
      <c r="AL1420" s="5">
        <f>IFERROR(vp.tbl[[#This Row],[VP]]*vp.tbl[[#This Row],[VolumeM3]],"")</f>
        <v>5248.9079999999994</v>
      </c>
      <c r="AM1420" s="4">
        <f>IFERROR((vp.tbl[[#This Row],[VP]]-INDEX(crudeBD.lkup.complete[Mean_VP],MATCH(vp.tbl[[#This Row],[Crude_Breakdown]],crudeBD.lkup.complete[Crude Breakdown],0)))^2,"")</f>
        <v>886.46695545521345</v>
      </c>
      <c r="AN1420" s="4">
        <f>IFERROR((vp.tbl[[#This Row],[Dens]]-INDEX(crudeBD.lkup.complete[Mean_Dens],MATCH(vp.tbl[[#This Row],[Crude_Breakdown]],crudeBD.lkup.complete[Crude Breakdown],0)))^2,"")</f>
        <v>380.56897825928996</v>
      </c>
      <c r="AO1420" s="4">
        <f>IFERROR((vp.tbl[[#This Row],[Sulf]]-INDEX(crudeBD.lkup.complete[Mean_Sulf],MATCH(vp.tbl[[#This Row],[Crude_Breakdown]],crudeBD.lkup.complete[Crude Breakdown],0)))^2,"")</f>
        <v>7.5663581501790714E-2</v>
      </c>
      <c r="AP1420">
        <f>IF(AND(vp.tbl[[#This Row],[SDate]]&gt;=DATE(YEAR(vp.tbl[[#This Row],[SDate]]),5,1),vp.tbl[[#This Row],[SDate]]&lt;=DATE(YEAR(vp.tbl[[#This Row],[SDate]]),9,15)),1,0)</f>
        <v>1</v>
      </c>
      <c r="AQ1420" s="15">
        <f>IF(vp.tbl[[#This Row],[SDate]]&lt;DATE(2016,12,1),0,1)</f>
        <v>1</v>
      </c>
    </row>
    <row r="1421" spans="1:43" x14ac:dyDescent="0.25">
      <c r="A1421">
        <v>1420</v>
      </c>
      <c r="B1421" t="s">
        <v>229</v>
      </c>
      <c r="C1421" t="s">
        <v>229</v>
      </c>
      <c r="D1421" t="s">
        <v>230</v>
      </c>
      <c r="F1421" s="1">
        <v>42861</v>
      </c>
      <c r="G1421" s="2">
        <v>54.8</v>
      </c>
      <c r="H1421" s="2"/>
      <c r="I1421" s="2">
        <v>2.42</v>
      </c>
      <c r="J1421" s="2"/>
      <c r="K1421" s="2"/>
      <c r="L1421" s="2">
        <v>885.4</v>
      </c>
      <c r="M1421" s="2">
        <v>885.4</v>
      </c>
      <c r="N1421" s="2">
        <f ca="1">INDEX(INDIRECT(_xlfn.CONCAT("weather.tbl[",N$1,"]")),MATCH(vp.tbl[[#This Row],[SDate]],weather.tbl[Date],0))</f>
        <v>18.116666666666667</v>
      </c>
      <c r="O1421" s="2">
        <f ca="1">INDEX(INDIRECT(_xlfn.CONCAT("weather.tbl[",O$1,"]")),MATCH(vp.tbl[[#This Row],[SDate]],weather.tbl[Date],0))</f>
        <v>12.52857142857143</v>
      </c>
      <c r="P1421" s="2">
        <f ca="1">INDEX(INDIRECT(_xlfn.CONCAT("weather.tbl[",P$1,"]")),MATCH(vp.tbl[[#This Row],[SDate]],weather.tbl[Date],0))</f>
        <v>18.8</v>
      </c>
      <c r="Q1421" s="2">
        <f ca="1">INDEX(INDIRECT(_xlfn.CONCAT("weather.tbl[",Q$1,"]")),MATCH(vp.tbl[[#This Row],[SDate]],weather.tbl[Date],0))</f>
        <v>19.8</v>
      </c>
      <c r="R1421" s="2">
        <f ca="1">INDEX(INDIRECT(_xlfn.CONCAT("weather.tbl[",R$1,"]")),MATCH(vp.tbl[[#This Row],[SDate]],weather.tbl[Date],0))</f>
        <v>16.8</v>
      </c>
      <c r="S1421" s="2">
        <f ca="1">INDEX(INDIRECT(_xlfn.CONCAT("weather.tbl[",S$1,"]")),MATCH(vp.tbl[[#This Row],[SDate]],weather.tbl[Date],0))</f>
        <v>20.7</v>
      </c>
      <c r="T1421" s="2">
        <f ca="1">INDEX(INDIRECT(_xlfn.CONCAT("weather.tbl[",T$1,"]")),MATCH(vp.tbl[[#This Row],[SDate]],weather.tbl[Date],0))</f>
        <v>15.8</v>
      </c>
      <c r="U1421" s="2">
        <f ca="1">INDEX(INDIRECT(_xlfn.CONCAT("weather.tbl[",U$1,"]")),MATCH(vp.tbl[[#This Row],[SDate]],weather.tbl[Date],0))</f>
        <v>16.8</v>
      </c>
      <c r="V1421" s="2">
        <v>3970.3809999999999</v>
      </c>
      <c r="W1421" t="s">
        <v>48</v>
      </c>
      <c r="X1421">
        <f>IF(OR(vp.tbl[[#This Row],[Sulf]]="",vp.tbl[[#This Row],[Dens]]=""),1,0)</f>
        <v>0</v>
      </c>
      <c r="Y1421">
        <f>IF(vp.tbl[[#This Row],[CrudeType]]="C5+",1,0)</f>
        <v>0</v>
      </c>
      <c r="Z1421">
        <f>IF(AND(vp.tbl[[#This Row],[CrudeType]]="Crude",vp.tbl[[#This Row],[Dens]]&lt;=825,vp.tbl[[#This Row],[Sulf]]&gt;0.5,vp.tbl[[#This Row],[Unknown]]=0),1,0)</f>
        <v>0</v>
      </c>
      <c r="AA1421">
        <f>IF(AND(vp.tbl[[#This Row],[CrudeType]]="Crude",vp.tbl[[#This Row],[Dens]]&lt;=825,vp.tbl[[#This Row],[Sulf]]&lt;=0.5,vp.tbl[[#This Row],[Unknown]]=0),1,0)</f>
        <v>0</v>
      </c>
      <c r="AB1421">
        <f>IF(AND(vp.tbl[[#This Row],[CrudeType]]="Crude",vp.tbl[[#This Row],[Dens]]&gt;825,vp.tbl[[#This Row],[Dens]]&lt;=870,vp.tbl[[#This Row],[Sulf]]&gt;0.5,vp.tbl[[#This Row],[Unknown]]=0),1,0)</f>
        <v>0</v>
      </c>
      <c r="AC1421">
        <f>IF(AND(vp.tbl[[#This Row],[CrudeType]]="Crude",vp.tbl[[#This Row],[Dens]]&gt;825,vp.tbl[[#This Row],[Dens]]&lt;=900,vp.tbl[[#This Row],[Sulf]]&lt;=0.5,vp.tbl[[#This Row],[Unknown]]=0),1,0)</f>
        <v>0</v>
      </c>
      <c r="AD1421">
        <f>IF(AND(vp.tbl[[#This Row],[CrudeType]]="Crude",vp.tbl[[#This Row],[Dens]]&gt;870,vp.tbl[[#This Row],[Dens]]&lt;=900,vp.tbl[[#This Row],[Sulf]]&gt;0.5,vp.tbl[[#This Row],[Unknown]]=0),1,0)</f>
        <v>1</v>
      </c>
      <c r="AE1421">
        <f>IF(AND(vp.tbl[[#This Row],[CrudeType]]="Crude",vp.tbl[[#This Row],[Dens]]&gt;900,vp.tbl[[#This Row],[Sulf]]&lt;=0.5,vp.tbl[[#This Row],[Unknown]]=0),1,0)</f>
        <v>0</v>
      </c>
      <c r="AF1421">
        <f>IF(AND(vp.tbl[[#This Row],[CrudeType]]="Crude",vp.tbl[[#This Row],[Dens]]&gt;900,vp.tbl[[#This Row],[Sulf]]&lt;=0.5,vp.tbl[[#This Row],[Unknown]]=0),1,0)</f>
        <v>0</v>
      </c>
      <c r="AG1421" t="str">
        <f>INDEX(vp.tbl[[#Headers],[Unknown]:[Heavy_SW]],MATCH(1,vp.tbl[[#This Row],[Unknown]:[Heavy_SW]],0))</f>
        <v>Midale</v>
      </c>
      <c r="AH1421" t="e">
        <f>INDEX([1]!crudeBD.lkup[Number],MATCH(vp.tbl[[#This Row],[Crude_Breakdown]],[1]!crudeBD.lkup[Crude Breakdown],0))</f>
        <v>#REF!</v>
      </c>
      <c r="AI1421">
        <f>MONTH(vp.tbl[[#This Row],[SDate]])</f>
        <v>5</v>
      </c>
      <c r="AJ1421" s="5">
        <f>IFERROR(vp.tbl[[#This Row],[Sulf]]*vp.tbl[[#This Row],[Net Dens]],"")</f>
        <v>8507208.3165079989</v>
      </c>
      <c r="AK1421" s="5">
        <f>IFERROR(vp.tbl[[#This Row],[Dens]]*vp.tbl[[#This Row],[VolumeM3]],"")</f>
        <v>3515375.3373999996</v>
      </c>
      <c r="AL1421" s="5">
        <f>IFERROR(vp.tbl[[#This Row],[VP]]*vp.tbl[[#This Row],[VolumeM3]],"")</f>
        <v>217576.87879999998</v>
      </c>
      <c r="AM1421" s="4">
        <f>IFERROR((vp.tbl[[#This Row],[VP]]-INDEX(crudeBD.lkup.complete[Mean_VP],MATCH(vp.tbl[[#This Row],[Crude_Breakdown]],crudeBD.lkup.complete[Crude Breakdown],0)))^2,"")</f>
        <v>180.58941640082611</v>
      </c>
      <c r="AN1421" s="4">
        <f>IFERROR((vp.tbl[[#This Row],[Dens]]-INDEX(crudeBD.lkup.complete[Mean_Dens],MATCH(vp.tbl[[#This Row],[Crude_Breakdown]],crudeBD.lkup.complete[Crude Breakdown],0)))^2,"")</f>
        <v>61.590243948212311</v>
      </c>
      <c r="AO1421" s="4">
        <f>IFERROR((vp.tbl[[#This Row],[Sulf]]-INDEX(crudeBD.lkup.complete[Mean_Sulf],MATCH(vp.tbl[[#This Row],[Crude_Breakdown]],crudeBD.lkup.complete[Crude Breakdown],0)))^2,"")</f>
        <v>2.1714323306447433E-5</v>
      </c>
      <c r="AP1421">
        <f>IF(AND(vp.tbl[[#This Row],[SDate]]&gt;=DATE(YEAR(vp.tbl[[#This Row],[SDate]]),5,1),vp.tbl[[#This Row],[SDate]]&lt;=DATE(YEAR(vp.tbl[[#This Row],[SDate]]),9,15)),1,0)</f>
        <v>1</v>
      </c>
      <c r="AQ1421" s="15">
        <f>IF(vp.tbl[[#This Row],[SDate]]&lt;DATE(2016,12,1),0,1)</f>
        <v>1</v>
      </c>
    </row>
    <row r="1422" spans="1:43" x14ac:dyDescent="0.25">
      <c r="A1422">
        <v>1421</v>
      </c>
      <c r="B1422" t="s">
        <v>291</v>
      </c>
      <c r="C1422" t="s">
        <v>291</v>
      </c>
      <c r="D1422" t="s">
        <v>209</v>
      </c>
      <c r="F1422" s="1">
        <v>42861</v>
      </c>
      <c r="G1422" s="2">
        <v>66.3</v>
      </c>
      <c r="H1422" s="2"/>
      <c r="I1422" s="2">
        <v>1.84</v>
      </c>
      <c r="J1422" s="2"/>
      <c r="K1422" s="2"/>
      <c r="L1422" s="2">
        <v>851.7</v>
      </c>
      <c r="M1422" s="2">
        <v>851.7</v>
      </c>
      <c r="N1422" s="2">
        <f ca="1">INDEX(INDIRECT(_xlfn.CONCAT("weather.tbl[",N$1,"]")),MATCH(vp.tbl[[#This Row],[SDate]],weather.tbl[Date],0))</f>
        <v>18.116666666666667</v>
      </c>
      <c r="O1422" s="2">
        <f ca="1">INDEX(INDIRECT(_xlfn.CONCAT("weather.tbl[",O$1,"]")),MATCH(vp.tbl[[#This Row],[SDate]],weather.tbl[Date],0))</f>
        <v>12.52857142857143</v>
      </c>
      <c r="P1422" s="2">
        <f ca="1">INDEX(INDIRECT(_xlfn.CONCAT("weather.tbl[",P$1,"]")),MATCH(vp.tbl[[#This Row],[SDate]],weather.tbl[Date],0))</f>
        <v>18.8</v>
      </c>
      <c r="Q1422" s="2">
        <f ca="1">INDEX(INDIRECT(_xlfn.CONCAT("weather.tbl[",Q$1,"]")),MATCH(vp.tbl[[#This Row],[SDate]],weather.tbl[Date],0))</f>
        <v>19.8</v>
      </c>
      <c r="R1422" s="2">
        <f ca="1">INDEX(INDIRECT(_xlfn.CONCAT("weather.tbl[",R$1,"]")),MATCH(vp.tbl[[#This Row],[SDate]],weather.tbl[Date],0))</f>
        <v>16.8</v>
      </c>
      <c r="S1422" s="2">
        <f ca="1">INDEX(INDIRECT(_xlfn.CONCAT("weather.tbl[",S$1,"]")),MATCH(vp.tbl[[#This Row],[SDate]],weather.tbl[Date],0))</f>
        <v>20.7</v>
      </c>
      <c r="T1422" s="2">
        <f ca="1">INDEX(INDIRECT(_xlfn.CONCAT("weather.tbl[",T$1,"]")),MATCH(vp.tbl[[#This Row],[SDate]],weather.tbl[Date],0))</f>
        <v>15.8</v>
      </c>
      <c r="U1422" s="2">
        <f ca="1">INDEX(INDIRECT(_xlfn.CONCAT("weather.tbl[",U$1,"]")),MATCH(vp.tbl[[#This Row],[SDate]],weather.tbl[Date],0))</f>
        <v>16.8</v>
      </c>
      <c r="V1422" s="2">
        <v>686.66099999999994</v>
      </c>
      <c r="W1422" t="s">
        <v>48</v>
      </c>
      <c r="X1422">
        <f>IF(OR(vp.tbl[[#This Row],[Sulf]]="",vp.tbl[[#This Row],[Dens]]=""),1,0)</f>
        <v>0</v>
      </c>
      <c r="Y1422">
        <f>IF(vp.tbl[[#This Row],[CrudeType]]="C5+",1,0)</f>
        <v>0</v>
      </c>
      <c r="Z1422">
        <f>IF(AND(vp.tbl[[#This Row],[CrudeType]]="Crude",vp.tbl[[#This Row],[Dens]]&lt;=825,vp.tbl[[#This Row],[Sulf]]&gt;0.5,vp.tbl[[#This Row],[Unknown]]=0),1,0)</f>
        <v>0</v>
      </c>
      <c r="AA1422">
        <f>IF(AND(vp.tbl[[#This Row],[CrudeType]]="Crude",vp.tbl[[#This Row],[Dens]]&lt;=825,vp.tbl[[#This Row],[Sulf]]&lt;=0.5,vp.tbl[[#This Row],[Unknown]]=0),1,0)</f>
        <v>0</v>
      </c>
      <c r="AB1422">
        <f>IF(AND(vp.tbl[[#This Row],[CrudeType]]="Crude",vp.tbl[[#This Row],[Dens]]&gt;825,vp.tbl[[#This Row],[Dens]]&lt;=870,vp.tbl[[#This Row],[Sulf]]&gt;0.5,vp.tbl[[#This Row],[Unknown]]=0),1,0)</f>
        <v>1</v>
      </c>
      <c r="AC1422">
        <f>IF(AND(vp.tbl[[#This Row],[CrudeType]]="Crude",vp.tbl[[#This Row],[Dens]]&gt;825,vp.tbl[[#This Row],[Dens]]&lt;=900,vp.tbl[[#This Row],[Sulf]]&lt;=0.5,vp.tbl[[#This Row],[Unknown]]=0),1,0)</f>
        <v>0</v>
      </c>
      <c r="AD1422">
        <f>IF(AND(vp.tbl[[#This Row],[CrudeType]]="Crude",vp.tbl[[#This Row],[Dens]]&gt;870,vp.tbl[[#This Row],[Dens]]&lt;=900,vp.tbl[[#This Row],[Sulf]]&gt;0.5,vp.tbl[[#This Row],[Unknown]]=0),1,0)</f>
        <v>0</v>
      </c>
      <c r="AE1422">
        <f>IF(AND(vp.tbl[[#This Row],[CrudeType]]="Crude",vp.tbl[[#This Row],[Dens]]&gt;900,vp.tbl[[#This Row],[Sulf]]&lt;=0.5,vp.tbl[[#This Row],[Unknown]]=0),1,0)</f>
        <v>0</v>
      </c>
      <c r="AF1422">
        <f>IF(AND(vp.tbl[[#This Row],[CrudeType]]="Crude",vp.tbl[[#This Row],[Dens]]&gt;900,vp.tbl[[#This Row],[Sulf]]&lt;=0.5,vp.tbl[[#This Row],[Unknown]]=0),1,0)</f>
        <v>0</v>
      </c>
      <c r="AG1422" t="str">
        <f>INDEX(vp.tbl[[#Headers],[Unknown]:[Heavy_SW]],MATCH(1,vp.tbl[[#This Row],[Unknown]:[Heavy_SW]],0))</f>
        <v>Medium_LSB</v>
      </c>
      <c r="AH1422" t="e">
        <f>INDEX([1]!crudeBD.lkup[Number],MATCH(vp.tbl[[#This Row],[Crude_Breakdown]],[1]!crudeBD.lkup[Crude Breakdown],0))</f>
        <v>#REF!</v>
      </c>
      <c r="AI1422">
        <f>MONTH(vp.tbl[[#This Row],[SDate]])</f>
        <v>5</v>
      </c>
      <c r="AJ1422" s="5">
        <f>IFERROR(vp.tbl[[#This Row],[Sulf]]*vp.tbl[[#This Row],[Net Dens]],"")</f>
        <v>1076085.679608</v>
      </c>
      <c r="AK1422" s="5">
        <f>IFERROR(vp.tbl[[#This Row],[Dens]]*vp.tbl[[#This Row],[VolumeM3]],"")</f>
        <v>584829.17369999993</v>
      </c>
      <c r="AL1422" s="5">
        <f>IFERROR(vp.tbl[[#This Row],[VP]]*vp.tbl[[#This Row],[VolumeM3]],"")</f>
        <v>45525.624299999996</v>
      </c>
      <c r="AM1422" s="4">
        <f>IFERROR((vp.tbl[[#This Row],[VP]]-INDEX(crudeBD.lkup.complete[Mean_VP],MATCH(vp.tbl[[#This Row],[Crude_Breakdown]],crudeBD.lkup.complete[Crude Breakdown],0)))^2,"")</f>
        <v>192.47663646787279</v>
      </c>
      <c r="AN1422" s="4">
        <f>IFERROR((vp.tbl[[#This Row],[Dens]]-INDEX(crudeBD.lkup.complete[Mean_Dens],MATCH(vp.tbl[[#This Row],[Crude_Breakdown]],crudeBD.lkup.complete[Crude Breakdown],0)))^2,"")</f>
        <v>41.064735221291841</v>
      </c>
      <c r="AO1422" s="4">
        <f>IFERROR((vp.tbl[[#This Row],[Sulf]]-INDEX(crudeBD.lkup.complete[Mean_Sulf],MATCH(vp.tbl[[#This Row],[Crude_Breakdown]],crudeBD.lkup.complete[Crude Breakdown],0)))^2,"")</f>
        <v>0.14827901213470185</v>
      </c>
      <c r="AP1422">
        <f>IF(AND(vp.tbl[[#This Row],[SDate]]&gt;=DATE(YEAR(vp.tbl[[#This Row],[SDate]]),5,1),vp.tbl[[#This Row],[SDate]]&lt;=DATE(YEAR(vp.tbl[[#This Row],[SDate]]),9,15)),1,0)</f>
        <v>1</v>
      </c>
      <c r="AQ1422" s="15">
        <f>IF(vp.tbl[[#This Row],[SDate]]&lt;DATE(2016,12,1),0,1)</f>
        <v>1</v>
      </c>
    </row>
    <row r="1423" spans="1:43" x14ac:dyDescent="0.25">
      <c r="A1423">
        <v>1422</v>
      </c>
      <c r="B1423" t="s">
        <v>68</v>
      </c>
      <c r="C1423" t="s">
        <v>68</v>
      </c>
      <c r="D1423" t="s">
        <v>210</v>
      </c>
      <c r="F1423" s="1">
        <v>42861</v>
      </c>
      <c r="G1423" s="2">
        <v>75.400000000000006</v>
      </c>
      <c r="H1423" s="2"/>
      <c r="I1423" s="2">
        <v>1.82</v>
      </c>
      <c r="J1423" s="2"/>
      <c r="K1423" s="2"/>
      <c r="L1423" s="2">
        <v>864.7</v>
      </c>
      <c r="M1423" s="2">
        <v>864.7</v>
      </c>
      <c r="N1423" s="2">
        <f ca="1">INDEX(INDIRECT(_xlfn.CONCAT("weather.tbl[",N$1,"]")),MATCH(vp.tbl[[#This Row],[SDate]],weather.tbl[Date],0))</f>
        <v>18.116666666666667</v>
      </c>
      <c r="O1423" s="2">
        <f ca="1">INDEX(INDIRECT(_xlfn.CONCAT("weather.tbl[",O$1,"]")),MATCH(vp.tbl[[#This Row],[SDate]],weather.tbl[Date],0))</f>
        <v>12.52857142857143</v>
      </c>
      <c r="P1423" s="2">
        <f ca="1">INDEX(INDIRECT(_xlfn.CONCAT("weather.tbl[",P$1,"]")),MATCH(vp.tbl[[#This Row],[SDate]],weather.tbl[Date],0))</f>
        <v>18.8</v>
      </c>
      <c r="Q1423" s="2">
        <f ca="1">INDEX(INDIRECT(_xlfn.CONCAT("weather.tbl[",Q$1,"]")),MATCH(vp.tbl[[#This Row],[SDate]],weather.tbl[Date],0))</f>
        <v>19.8</v>
      </c>
      <c r="R1423" s="2">
        <f ca="1">INDEX(INDIRECT(_xlfn.CONCAT("weather.tbl[",R$1,"]")),MATCH(vp.tbl[[#This Row],[SDate]],weather.tbl[Date],0))</f>
        <v>16.8</v>
      </c>
      <c r="S1423" s="2">
        <f ca="1">INDEX(INDIRECT(_xlfn.CONCAT("weather.tbl[",S$1,"]")),MATCH(vp.tbl[[#This Row],[SDate]],weather.tbl[Date],0))</f>
        <v>20.7</v>
      </c>
      <c r="T1423" s="2">
        <f ca="1">INDEX(INDIRECT(_xlfn.CONCAT("weather.tbl[",T$1,"]")),MATCH(vp.tbl[[#This Row],[SDate]],weather.tbl[Date],0))</f>
        <v>15.8</v>
      </c>
      <c r="U1423" s="2">
        <f ca="1">INDEX(INDIRECT(_xlfn.CONCAT("weather.tbl[",U$1,"]")),MATCH(vp.tbl[[#This Row],[SDate]],weather.tbl[Date],0))</f>
        <v>16.8</v>
      </c>
      <c r="V1423" s="2">
        <v>445.84300000000002</v>
      </c>
      <c r="W1423" t="s">
        <v>48</v>
      </c>
      <c r="X1423">
        <f>IF(OR(vp.tbl[[#This Row],[Sulf]]="",vp.tbl[[#This Row],[Dens]]=""),1,0)</f>
        <v>0</v>
      </c>
      <c r="Y1423">
        <f>IF(vp.tbl[[#This Row],[CrudeType]]="C5+",1,0)</f>
        <v>0</v>
      </c>
      <c r="Z1423">
        <f>IF(AND(vp.tbl[[#This Row],[CrudeType]]="Crude",vp.tbl[[#This Row],[Dens]]&lt;=825,vp.tbl[[#This Row],[Sulf]]&gt;0.5,vp.tbl[[#This Row],[Unknown]]=0),1,0)</f>
        <v>0</v>
      </c>
      <c r="AA1423">
        <f>IF(AND(vp.tbl[[#This Row],[CrudeType]]="Crude",vp.tbl[[#This Row],[Dens]]&lt;=825,vp.tbl[[#This Row],[Sulf]]&lt;=0.5,vp.tbl[[#This Row],[Unknown]]=0),1,0)</f>
        <v>0</v>
      </c>
      <c r="AB1423">
        <f>IF(AND(vp.tbl[[#This Row],[CrudeType]]="Crude",vp.tbl[[#This Row],[Dens]]&gt;825,vp.tbl[[#This Row],[Dens]]&lt;=870,vp.tbl[[#This Row],[Sulf]]&gt;0.5,vp.tbl[[#This Row],[Unknown]]=0),1,0)</f>
        <v>1</v>
      </c>
      <c r="AC1423">
        <f>IF(AND(vp.tbl[[#This Row],[CrudeType]]="Crude",vp.tbl[[#This Row],[Dens]]&gt;825,vp.tbl[[#This Row],[Dens]]&lt;=900,vp.tbl[[#This Row],[Sulf]]&lt;=0.5,vp.tbl[[#This Row],[Unknown]]=0),1,0)</f>
        <v>0</v>
      </c>
      <c r="AD1423">
        <f>IF(AND(vp.tbl[[#This Row],[CrudeType]]="Crude",vp.tbl[[#This Row],[Dens]]&gt;870,vp.tbl[[#This Row],[Dens]]&lt;=900,vp.tbl[[#This Row],[Sulf]]&gt;0.5,vp.tbl[[#This Row],[Unknown]]=0),1,0)</f>
        <v>0</v>
      </c>
      <c r="AE1423">
        <f>IF(AND(vp.tbl[[#This Row],[CrudeType]]="Crude",vp.tbl[[#This Row],[Dens]]&gt;900,vp.tbl[[#This Row],[Sulf]]&lt;=0.5,vp.tbl[[#This Row],[Unknown]]=0),1,0)</f>
        <v>0</v>
      </c>
      <c r="AF1423">
        <f>IF(AND(vp.tbl[[#This Row],[CrudeType]]="Crude",vp.tbl[[#This Row],[Dens]]&gt;900,vp.tbl[[#This Row],[Sulf]]&lt;=0.5,vp.tbl[[#This Row],[Unknown]]=0),1,0)</f>
        <v>0</v>
      </c>
      <c r="AG1423" t="str">
        <f>INDEX(vp.tbl[[#Headers],[Unknown]:[Heavy_SW]],MATCH(1,vp.tbl[[#This Row],[Unknown]:[Heavy_SW]],0))</f>
        <v>Medium_LSB</v>
      </c>
      <c r="AH1423" t="e">
        <f>INDEX([1]!crudeBD.lkup[Number],MATCH(vp.tbl[[#This Row],[Crude_Breakdown]],[1]!crudeBD.lkup[Crude Breakdown],0))</f>
        <v>#REF!</v>
      </c>
      <c r="AI1423">
        <f>MONTH(vp.tbl[[#This Row],[SDate]])</f>
        <v>5</v>
      </c>
      <c r="AJ1423" s="5">
        <f>IFERROR(vp.tbl[[#This Row],[Sulf]]*vp.tbl[[#This Row],[Net Dens]],"")</f>
        <v>701647.20462200011</v>
      </c>
      <c r="AK1423" s="5">
        <f>IFERROR(vp.tbl[[#This Row],[Dens]]*vp.tbl[[#This Row],[VolumeM3]],"")</f>
        <v>385520.44210000004</v>
      </c>
      <c r="AL1423" s="5">
        <f>IFERROR(vp.tbl[[#This Row],[VP]]*vp.tbl[[#This Row],[VolumeM3]],"")</f>
        <v>33616.5622</v>
      </c>
      <c r="AM1423" s="4">
        <f>IFERROR((vp.tbl[[#This Row],[VP]]-INDEX(crudeBD.lkup.complete[Mean_VP],MATCH(vp.tbl[[#This Row],[Crude_Breakdown]],crudeBD.lkup.complete[Crude Breakdown],0)))^2,"")</f>
        <v>22.787208619772066</v>
      </c>
      <c r="AN1423" s="4">
        <f>IFERROR((vp.tbl[[#This Row],[Dens]]-INDEX(crudeBD.lkup.complete[Mean_Dens],MATCH(vp.tbl[[#This Row],[Crude_Breakdown]],crudeBD.lkup.complete[Crude Breakdown],0)))^2,"")</f>
        <v>376.67734281625536</v>
      </c>
      <c r="AO1423" s="4">
        <f>IFERROR((vp.tbl[[#This Row],[Sulf]]-INDEX(crudeBD.lkup.complete[Mean_Sulf],MATCH(vp.tbl[[#This Row],[Crude_Breakdown]],crudeBD.lkup.complete[Crude Breakdown],0)))^2,"")</f>
        <v>0.13327620656508166</v>
      </c>
      <c r="AP1423">
        <f>IF(AND(vp.tbl[[#This Row],[SDate]]&gt;=DATE(YEAR(vp.tbl[[#This Row],[SDate]]),5,1),vp.tbl[[#This Row],[SDate]]&lt;=DATE(YEAR(vp.tbl[[#This Row],[SDate]]),9,15)),1,0)</f>
        <v>1</v>
      </c>
      <c r="AQ1423" s="15">
        <f>IF(vp.tbl[[#This Row],[SDate]]&lt;DATE(2016,12,1),0,1)</f>
        <v>1</v>
      </c>
    </row>
    <row r="1424" spans="1:43" x14ac:dyDescent="0.25">
      <c r="A1424">
        <v>1423</v>
      </c>
      <c r="B1424" t="s">
        <v>119</v>
      </c>
      <c r="C1424" t="s">
        <v>119</v>
      </c>
      <c r="D1424" t="s">
        <v>261</v>
      </c>
      <c r="F1424" s="1">
        <v>42861</v>
      </c>
      <c r="G1424" s="2">
        <v>67.599999999999994</v>
      </c>
      <c r="H1424" s="2"/>
      <c r="I1424" s="2">
        <v>1.65</v>
      </c>
      <c r="J1424" s="2"/>
      <c r="K1424" s="2"/>
      <c r="L1424" s="2">
        <v>854</v>
      </c>
      <c r="M1424" s="2">
        <v>854</v>
      </c>
      <c r="N1424" s="2">
        <f ca="1">INDEX(INDIRECT(_xlfn.CONCAT("weather.tbl[",N$1,"]")),MATCH(vp.tbl[[#This Row],[SDate]],weather.tbl[Date],0))</f>
        <v>18.116666666666667</v>
      </c>
      <c r="O1424" s="2">
        <f ca="1">INDEX(INDIRECT(_xlfn.CONCAT("weather.tbl[",O$1,"]")),MATCH(vp.tbl[[#This Row],[SDate]],weather.tbl[Date],0))</f>
        <v>12.52857142857143</v>
      </c>
      <c r="P1424" s="2">
        <f ca="1">INDEX(INDIRECT(_xlfn.CONCAT("weather.tbl[",P$1,"]")),MATCH(vp.tbl[[#This Row],[SDate]],weather.tbl[Date],0))</f>
        <v>18.8</v>
      </c>
      <c r="Q1424" s="2">
        <f ca="1">INDEX(INDIRECT(_xlfn.CONCAT("weather.tbl[",Q$1,"]")),MATCH(vp.tbl[[#This Row],[SDate]],weather.tbl[Date],0))</f>
        <v>19.8</v>
      </c>
      <c r="R1424" s="2">
        <f ca="1">INDEX(INDIRECT(_xlfn.CONCAT("weather.tbl[",R$1,"]")),MATCH(vp.tbl[[#This Row],[SDate]],weather.tbl[Date],0))</f>
        <v>16.8</v>
      </c>
      <c r="S1424" s="2">
        <f ca="1">INDEX(INDIRECT(_xlfn.CONCAT("weather.tbl[",S$1,"]")),MATCH(vp.tbl[[#This Row],[SDate]],weather.tbl[Date],0))</f>
        <v>20.7</v>
      </c>
      <c r="T1424" s="2">
        <f ca="1">INDEX(INDIRECT(_xlfn.CONCAT("weather.tbl[",T$1,"]")),MATCH(vp.tbl[[#This Row],[SDate]],weather.tbl[Date],0))</f>
        <v>15.8</v>
      </c>
      <c r="U1424" s="2">
        <f ca="1">INDEX(INDIRECT(_xlfn.CONCAT("weather.tbl[",U$1,"]")),MATCH(vp.tbl[[#This Row],[SDate]],weather.tbl[Date],0))</f>
        <v>16.8</v>
      </c>
      <c r="V1424" s="2">
        <v>4221.9210000000003</v>
      </c>
      <c r="W1424" t="s">
        <v>48</v>
      </c>
      <c r="X1424">
        <f>IF(OR(vp.tbl[[#This Row],[Sulf]]="",vp.tbl[[#This Row],[Dens]]=""),1,0)</f>
        <v>0</v>
      </c>
      <c r="Y1424">
        <f>IF(vp.tbl[[#This Row],[CrudeType]]="C5+",1,0)</f>
        <v>0</v>
      </c>
      <c r="Z1424">
        <f>IF(AND(vp.tbl[[#This Row],[CrudeType]]="Crude",vp.tbl[[#This Row],[Dens]]&lt;=825,vp.tbl[[#This Row],[Sulf]]&gt;0.5,vp.tbl[[#This Row],[Unknown]]=0),1,0)</f>
        <v>0</v>
      </c>
      <c r="AA1424">
        <f>IF(AND(vp.tbl[[#This Row],[CrudeType]]="Crude",vp.tbl[[#This Row],[Dens]]&lt;=825,vp.tbl[[#This Row],[Sulf]]&lt;=0.5,vp.tbl[[#This Row],[Unknown]]=0),1,0)</f>
        <v>0</v>
      </c>
      <c r="AB1424">
        <f>IF(AND(vp.tbl[[#This Row],[CrudeType]]="Crude",vp.tbl[[#This Row],[Dens]]&gt;825,vp.tbl[[#This Row],[Dens]]&lt;=870,vp.tbl[[#This Row],[Sulf]]&gt;0.5,vp.tbl[[#This Row],[Unknown]]=0),1,0)</f>
        <v>1</v>
      </c>
      <c r="AC1424">
        <f>IF(AND(vp.tbl[[#This Row],[CrudeType]]="Crude",vp.tbl[[#This Row],[Dens]]&gt;825,vp.tbl[[#This Row],[Dens]]&lt;=900,vp.tbl[[#This Row],[Sulf]]&lt;=0.5,vp.tbl[[#This Row],[Unknown]]=0),1,0)</f>
        <v>0</v>
      </c>
      <c r="AD1424">
        <f>IF(AND(vp.tbl[[#This Row],[CrudeType]]="Crude",vp.tbl[[#This Row],[Dens]]&gt;870,vp.tbl[[#This Row],[Dens]]&lt;=900,vp.tbl[[#This Row],[Sulf]]&gt;0.5,vp.tbl[[#This Row],[Unknown]]=0),1,0)</f>
        <v>0</v>
      </c>
      <c r="AE1424">
        <f>IF(AND(vp.tbl[[#This Row],[CrudeType]]="Crude",vp.tbl[[#This Row],[Dens]]&gt;900,vp.tbl[[#This Row],[Sulf]]&lt;=0.5,vp.tbl[[#This Row],[Unknown]]=0),1,0)</f>
        <v>0</v>
      </c>
      <c r="AF1424">
        <f>IF(AND(vp.tbl[[#This Row],[CrudeType]]="Crude",vp.tbl[[#This Row],[Dens]]&gt;900,vp.tbl[[#This Row],[Sulf]]&lt;=0.5,vp.tbl[[#This Row],[Unknown]]=0),1,0)</f>
        <v>0</v>
      </c>
      <c r="AG1424" t="str">
        <f>INDEX(vp.tbl[[#Headers],[Unknown]:[Heavy_SW]],MATCH(1,vp.tbl[[#This Row],[Unknown]:[Heavy_SW]],0))</f>
        <v>Medium_LSB</v>
      </c>
      <c r="AH1424" t="e">
        <f>INDEX([1]!crudeBD.lkup[Number],MATCH(vp.tbl[[#This Row],[Crude_Breakdown]],[1]!crudeBD.lkup[Crude Breakdown],0))</f>
        <v>#REF!</v>
      </c>
      <c r="AI1424">
        <f>MONTH(vp.tbl[[#This Row],[SDate]])</f>
        <v>5</v>
      </c>
      <c r="AJ1424" s="5">
        <f>IFERROR(vp.tbl[[#This Row],[Sulf]]*vp.tbl[[#This Row],[Net Dens]],"")</f>
        <v>5949108.8811000008</v>
      </c>
      <c r="AK1424" s="5">
        <f>IFERROR(vp.tbl[[#This Row],[Dens]]*vp.tbl[[#This Row],[VolumeM3]],"")</f>
        <v>3605520.5340000005</v>
      </c>
      <c r="AL1424" s="5">
        <f>IFERROR(vp.tbl[[#This Row],[VP]]*vp.tbl[[#This Row],[VolumeM3]],"")</f>
        <v>285401.85959999997</v>
      </c>
      <c r="AM1424" s="4">
        <f>IFERROR((vp.tbl[[#This Row],[VP]]-INDEX(crudeBD.lkup.complete[Mean_VP],MATCH(vp.tbl[[#This Row],[Crude_Breakdown]],crudeBD.lkup.complete[Crude Breakdown],0)))^2,"")</f>
        <v>158.09528963242991</v>
      </c>
      <c r="AN1424" s="4">
        <f>IFERROR((vp.tbl[[#This Row],[Dens]]-INDEX(crudeBD.lkup.complete[Mean_Dens],MATCH(vp.tbl[[#This Row],[Crude_Breakdown]],crudeBD.lkup.complete[Crude Breakdown],0)))^2,"")</f>
        <v>75.832350411169202</v>
      </c>
      <c r="AO1424" s="4">
        <f>IFERROR((vp.tbl[[#This Row],[Sulf]]-INDEX(crudeBD.lkup.complete[Mean_Sulf],MATCH(vp.tbl[[#This Row],[Crude_Breakdown]],crudeBD.lkup.complete[Crude Breakdown],0)))^2,"")</f>
        <v>3.8052359223309913E-2</v>
      </c>
      <c r="AP1424">
        <f>IF(AND(vp.tbl[[#This Row],[SDate]]&gt;=DATE(YEAR(vp.tbl[[#This Row],[SDate]]),5,1),vp.tbl[[#This Row],[SDate]]&lt;=DATE(YEAR(vp.tbl[[#This Row],[SDate]]),9,15)),1,0)</f>
        <v>1</v>
      </c>
      <c r="AQ1424" s="15">
        <f>IF(vp.tbl[[#This Row],[SDate]]&lt;DATE(2016,12,1),0,1)</f>
        <v>1</v>
      </c>
    </row>
    <row r="1425" spans="1:43" x14ac:dyDescent="0.25">
      <c r="A1425">
        <v>1424</v>
      </c>
      <c r="B1425" t="s">
        <v>49</v>
      </c>
      <c r="C1425" t="s">
        <v>49</v>
      </c>
      <c r="D1425" t="s">
        <v>245</v>
      </c>
      <c r="F1425" s="1">
        <v>42861</v>
      </c>
      <c r="G1425" s="2">
        <v>66.099999999999994</v>
      </c>
      <c r="H1425" s="2"/>
      <c r="I1425" s="2">
        <v>1.82</v>
      </c>
      <c r="J1425" s="2"/>
      <c r="K1425" s="2"/>
      <c r="L1425" s="2">
        <v>862.9</v>
      </c>
      <c r="M1425" s="2">
        <v>862.9</v>
      </c>
      <c r="N1425" s="2">
        <f ca="1">INDEX(INDIRECT(_xlfn.CONCAT("weather.tbl[",N$1,"]")),MATCH(vp.tbl[[#This Row],[SDate]],weather.tbl[Date],0))</f>
        <v>18.116666666666667</v>
      </c>
      <c r="O1425" s="2">
        <f ca="1">INDEX(INDIRECT(_xlfn.CONCAT("weather.tbl[",O$1,"]")),MATCH(vp.tbl[[#This Row],[SDate]],weather.tbl[Date],0))</f>
        <v>12.52857142857143</v>
      </c>
      <c r="P1425" s="2">
        <f ca="1">INDEX(INDIRECT(_xlfn.CONCAT("weather.tbl[",P$1,"]")),MATCH(vp.tbl[[#This Row],[SDate]],weather.tbl[Date],0))</f>
        <v>18.8</v>
      </c>
      <c r="Q1425" s="2">
        <f ca="1">INDEX(INDIRECT(_xlfn.CONCAT("weather.tbl[",Q$1,"]")),MATCH(vp.tbl[[#This Row],[SDate]],weather.tbl[Date],0))</f>
        <v>19.8</v>
      </c>
      <c r="R1425" s="2">
        <f ca="1">INDEX(INDIRECT(_xlfn.CONCAT("weather.tbl[",R$1,"]")),MATCH(vp.tbl[[#This Row],[SDate]],weather.tbl[Date],0))</f>
        <v>16.8</v>
      </c>
      <c r="S1425" s="2">
        <f ca="1">INDEX(INDIRECT(_xlfn.CONCAT("weather.tbl[",S$1,"]")),MATCH(vp.tbl[[#This Row],[SDate]],weather.tbl[Date],0))</f>
        <v>20.7</v>
      </c>
      <c r="T1425" s="2">
        <f ca="1">INDEX(INDIRECT(_xlfn.CONCAT("weather.tbl[",T$1,"]")),MATCH(vp.tbl[[#This Row],[SDate]],weather.tbl[Date],0))</f>
        <v>15.8</v>
      </c>
      <c r="U1425" s="2">
        <f ca="1">INDEX(INDIRECT(_xlfn.CONCAT("weather.tbl[",U$1,"]")),MATCH(vp.tbl[[#This Row],[SDate]],weather.tbl[Date],0))</f>
        <v>16.8</v>
      </c>
      <c r="V1425" s="2">
        <v>2556.7440000000001</v>
      </c>
      <c r="W1425" t="s">
        <v>48</v>
      </c>
      <c r="X1425">
        <f>IF(OR(vp.tbl[[#This Row],[Sulf]]="",vp.tbl[[#This Row],[Dens]]=""),1,0)</f>
        <v>0</v>
      </c>
      <c r="Y1425">
        <f>IF(vp.tbl[[#This Row],[CrudeType]]="C5+",1,0)</f>
        <v>0</v>
      </c>
      <c r="Z1425">
        <f>IF(AND(vp.tbl[[#This Row],[CrudeType]]="Crude",vp.tbl[[#This Row],[Dens]]&lt;=825,vp.tbl[[#This Row],[Sulf]]&gt;0.5,vp.tbl[[#This Row],[Unknown]]=0),1,0)</f>
        <v>0</v>
      </c>
      <c r="AA1425">
        <f>IF(AND(vp.tbl[[#This Row],[CrudeType]]="Crude",vp.tbl[[#This Row],[Dens]]&lt;=825,vp.tbl[[#This Row],[Sulf]]&lt;=0.5,vp.tbl[[#This Row],[Unknown]]=0),1,0)</f>
        <v>0</v>
      </c>
      <c r="AB1425">
        <f>IF(AND(vp.tbl[[#This Row],[CrudeType]]="Crude",vp.tbl[[#This Row],[Dens]]&gt;825,vp.tbl[[#This Row],[Dens]]&lt;=870,vp.tbl[[#This Row],[Sulf]]&gt;0.5,vp.tbl[[#This Row],[Unknown]]=0),1,0)</f>
        <v>1</v>
      </c>
      <c r="AC1425">
        <f>IF(AND(vp.tbl[[#This Row],[CrudeType]]="Crude",vp.tbl[[#This Row],[Dens]]&gt;825,vp.tbl[[#This Row],[Dens]]&lt;=900,vp.tbl[[#This Row],[Sulf]]&lt;=0.5,vp.tbl[[#This Row],[Unknown]]=0),1,0)</f>
        <v>0</v>
      </c>
      <c r="AD1425">
        <f>IF(AND(vp.tbl[[#This Row],[CrudeType]]="Crude",vp.tbl[[#This Row],[Dens]]&gt;870,vp.tbl[[#This Row],[Dens]]&lt;=900,vp.tbl[[#This Row],[Sulf]]&gt;0.5,vp.tbl[[#This Row],[Unknown]]=0),1,0)</f>
        <v>0</v>
      </c>
      <c r="AE1425">
        <f>IF(AND(vp.tbl[[#This Row],[CrudeType]]="Crude",vp.tbl[[#This Row],[Dens]]&gt;900,vp.tbl[[#This Row],[Sulf]]&lt;=0.5,vp.tbl[[#This Row],[Unknown]]=0),1,0)</f>
        <v>0</v>
      </c>
      <c r="AF1425">
        <f>IF(AND(vp.tbl[[#This Row],[CrudeType]]="Crude",vp.tbl[[#This Row],[Dens]]&gt;900,vp.tbl[[#This Row],[Sulf]]&lt;=0.5,vp.tbl[[#This Row],[Unknown]]=0),1,0)</f>
        <v>0</v>
      </c>
      <c r="AG1425" t="str">
        <f>INDEX(vp.tbl[[#Headers],[Unknown]:[Heavy_SW]],MATCH(1,vp.tbl[[#This Row],[Unknown]:[Heavy_SW]],0))</f>
        <v>Medium_LSB</v>
      </c>
      <c r="AH1425" t="e">
        <f>INDEX([1]!crudeBD.lkup[Number],MATCH(vp.tbl[[#This Row],[Crude_Breakdown]],[1]!crudeBD.lkup[Crude Breakdown],0))</f>
        <v>#REF!</v>
      </c>
      <c r="AI1425">
        <f>MONTH(vp.tbl[[#This Row],[SDate]])</f>
        <v>5</v>
      </c>
      <c r="AJ1425" s="5">
        <f>IFERROR(vp.tbl[[#This Row],[Sulf]]*vp.tbl[[#This Row],[Net Dens]],"")</f>
        <v>4015310.2036320008</v>
      </c>
      <c r="AK1425" s="5">
        <f>IFERROR(vp.tbl[[#This Row],[Dens]]*vp.tbl[[#This Row],[VolumeM3]],"")</f>
        <v>2206214.3976000003</v>
      </c>
      <c r="AL1425" s="5">
        <f>IFERROR(vp.tbl[[#This Row],[VP]]*vp.tbl[[#This Row],[VolumeM3]],"")</f>
        <v>169000.77839999998</v>
      </c>
      <c r="AM1425" s="4">
        <f>IFERROR((vp.tbl[[#This Row],[VP]]-INDEX(crudeBD.lkup.complete[Mean_VP],MATCH(vp.tbl[[#This Row],[Crude_Breakdown]],crudeBD.lkup.complete[Crude Breakdown],0)))^2,"")</f>
        <v>198.06607444255641</v>
      </c>
      <c r="AN1425" s="4">
        <f>IFERROR((vp.tbl[[#This Row],[Dens]]-INDEX(crudeBD.lkup.complete[Mean_Dens],MATCH(vp.tbl[[#This Row],[Crude_Breakdown]],crudeBD.lkup.complete[Crude Breakdown],0)))^2,"")</f>
        <v>310.0479048415657</v>
      </c>
      <c r="AO1425" s="4">
        <f>IFERROR((vp.tbl[[#This Row],[Sulf]]-INDEX(crudeBD.lkup.complete[Mean_Sulf],MATCH(vp.tbl[[#This Row],[Crude_Breakdown]],crudeBD.lkup.complete[Crude Breakdown],0)))^2,"")</f>
        <v>0.13327620656508166</v>
      </c>
      <c r="AP1425">
        <f>IF(AND(vp.tbl[[#This Row],[SDate]]&gt;=DATE(YEAR(vp.tbl[[#This Row],[SDate]]),5,1),vp.tbl[[#This Row],[SDate]]&lt;=DATE(YEAR(vp.tbl[[#This Row],[SDate]]),9,15)),1,0)</f>
        <v>1</v>
      </c>
      <c r="AQ1425" s="15">
        <f>IF(vp.tbl[[#This Row],[SDate]]&lt;DATE(2016,12,1),0,1)</f>
        <v>1</v>
      </c>
    </row>
    <row r="1426" spans="1:43" x14ac:dyDescent="0.25">
      <c r="A1426">
        <v>1425</v>
      </c>
      <c r="B1426" t="s">
        <v>291</v>
      </c>
      <c r="C1426" t="s">
        <v>291</v>
      </c>
      <c r="D1426" t="s">
        <v>225</v>
      </c>
      <c r="F1426" s="1">
        <v>42861</v>
      </c>
      <c r="G1426" s="2">
        <v>66.5</v>
      </c>
      <c r="H1426" s="2"/>
      <c r="I1426" s="2">
        <v>1.92</v>
      </c>
      <c r="J1426" s="2"/>
      <c r="K1426" s="2"/>
      <c r="L1426" s="2">
        <v>868.5</v>
      </c>
      <c r="M1426" s="2">
        <v>868.5</v>
      </c>
      <c r="N1426" s="2">
        <f ca="1">INDEX(INDIRECT(_xlfn.CONCAT("weather.tbl[",N$1,"]")),MATCH(vp.tbl[[#This Row],[SDate]],weather.tbl[Date],0))</f>
        <v>18.116666666666667</v>
      </c>
      <c r="O1426" s="2">
        <f ca="1">INDEX(INDIRECT(_xlfn.CONCAT("weather.tbl[",O$1,"]")),MATCH(vp.tbl[[#This Row],[SDate]],weather.tbl[Date],0))</f>
        <v>12.52857142857143</v>
      </c>
      <c r="P1426" s="2">
        <f ca="1">INDEX(INDIRECT(_xlfn.CONCAT("weather.tbl[",P$1,"]")),MATCH(vp.tbl[[#This Row],[SDate]],weather.tbl[Date],0))</f>
        <v>18.8</v>
      </c>
      <c r="Q1426" s="2">
        <f ca="1">INDEX(INDIRECT(_xlfn.CONCAT("weather.tbl[",Q$1,"]")),MATCH(vp.tbl[[#This Row],[SDate]],weather.tbl[Date],0))</f>
        <v>19.8</v>
      </c>
      <c r="R1426" s="2">
        <f ca="1">INDEX(INDIRECT(_xlfn.CONCAT("weather.tbl[",R$1,"]")),MATCH(vp.tbl[[#This Row],[SDate]],weather.tbl[Date],0))</f>
        <v>16.8</v>
      </c>
      <c r="S1426" s="2">
        <f ca="1">INDEX(INDIRECT(_xlfn.CONCAT("weather.tbl[",S$1,"]")),MATCH(vp.tbl[[#This Row],[SDate]],weather.tbl[Date],0))</f>
        <v>20.7</v>
      </c>
      <c r="T1426" s="2">
        <f ca="1">INDEX(INDIRECT(_xlfn.CONCAT("weather.tbl[",T$1,"]")),MATCH(vp.tbl[[#This Row],[SDate]],weather.tbl[Date],0))</f>
        <v>15.8</v>
      </c>
      <c r="U1426" s="2">
        <f ca="1">INDEX(INDIRECT(_xlfn.CONCAT("weather.tbl[",U$1,"]")),MATCH(vp.tbl[[#This Row],[SDate]],weather.tbl[Date],0))</f>
        <v>16.8</v>
      </c>
      <c r="V1426" s="2">
        <v>368.13299999999998</v>
      </c>
      <c r="W1426" t="s">
        <v>48</v>
      </c>
      <c r="X1426">
        <f>IF(OR(vp.tbl[[#This Row],[Sulf]]="",vp.tbl[[#This Row],[Dens]]=""),1,0)</f>
        <v>0</v>
      </c>
      <c r="Y1426">
        <f>IF(vp.tbl[[#This Row],[CrudeType]]="C5+",1,0)</f>
        <v>0</v>
      </c>
      <c r="Z1426">
        <f>IF(AND(vp.tbl[[#This Row],[CrudeType]]="Crude",vp.tbl[[#This Row],[Dens]]&lt;=825,vp.tbl[[#This Row],[Sulf]]&gt;0.5,vp.tbl[[#This Row],[Unknown]]=0),1,0)</f>
        <v>0</v>
      </c>
      <c r="AA1426">
        <f>IF(AND(vp.tbl[[#This Row],[CrudeType]]="Crude",vp.tbl[[#This Row],[Dens]]&lt;=825,vp.tbl[[#This Row],[Sulf]]&lt;=0.5,vp.tbl[[#This Row],[Unknown]]=0),1,0)</f>
        <v>0</v>
      </c>
      <c r="AB1426">
        <f>IF(AND(vp.tbl[[#This Row],[CrudeType]]="Crude",vp.tbl[[#This Row],[Dens]]&gt;825,vp.tbl[[#This Row],[Dens]]&lt;=870,vp.tbl[[#This Row],[Sulf]]&gt;0.5,vp.tbl[[#This Row],[Unknown]]=0),1,0)</f>
        <v>1</v>
      </c>
      <c r="AC1426">
        <f>IF(AND(vp.tbl[[#This Row],[CrudeType]]="Crude",vp.tbl[[#This Row],[Dens]]&gt;825,vp.tbl[[#This Row],[Dens]]&lt;=900,vp.tbl[[#This Row],[Sulf]]&lt;=0.5,vp.tbl[[#This Row],[Unknown]]=0),1,0)</f>
        <v>0</v>
      </c>
      <c r="AD1426">
        <f>IF(AND(vp.tbl[[#This Row],[CrudeType]]="Crude",vp.tbl[[#This Row],[Dens]]&gt;870,vp.tbl[[#This Row],[Dens]]&lt;=900,vp.tbl[[#This Row],[Sulf]]&gt;0.5,vp.tbl[[#This Row],[Unknown]]=0),1,0)</f>
        <v>0</v>
      </c>
      <c r="AE1426">
        <f>IF(AND(vp.tbl[[#This Row],[CrudeType]]="Crude",vp.tbl[[#This Row],[Dens]]&gt;900,vp.tbl[[#This Row],[Sulf]]&lt;=0.5,vp.tbl[[#This Row],[Unknown]]=0),1,0)</f>
        <v>0</v>
      </c>
      <c r="AF1426">
        <f>IF(AND(vp.tbl[[#This Row],[CrudeType]]="Crude",vp.tbl[[#This Row],[Dens]]&gt;900,vp.tbl[[#This Row],[Sulf]]&lt;=0.5,vp.tbl[[#This Row],[Unknown]]=0),1,0)</f>
        <v>0</v>
      </c>
      <c r="AG1426" t="str">
        <f>INDEX(vp.tbl[[#Headers],[Unknown]:[Heavy_SW]],MATCH(1,vp.tbl[[#This Row],[Unknown]:[Heavy_SW]],0))</f>
        <v>Medium_LSB</v>
      </c>
      <c r="AH1426" t="e">
        <f>INDEX([1]!crudeBD.lkup[Number],MATCH(vp.tbl[[#This Row],[Crude_Breakdown]],[1]!crudeBD.lkup[Crude Breakdown],0))</f>
        <v>#REF!</v>
      </c>
      <c r="AI1426">
        <f>MONTH(vp.tbl[[#This Row],[SDate]])</f>
        <v>5</v>
      </c>
      <c r="AJ1426" s="5">
        <f>IFERROR(vp.tbl[[#This Row],[Sulf]]*vp.tbl[[#This Row],[Net Dens]],"")</f>
        <v>613869.14015999995</v>
      </c>
      <c r="AK1426" s="5">
        <f>IFERROR(vp.tbl[[#This Row],[Dens]]*vp.tbl[[#This Row],[VolumeM3]],"")</f>
        <v>319723.51049999997</v>
      </c>
      <c r="AL1426" s="5">
        <f>IFERROR(vp.tbl[[#This Row],[VP]]*vp.tbl[[#This Row],[VolumeM3]],"")</f>
        <v>24480.844499999999</v>
      </c>
      <c r="AM1426" s="4">
        <f>IFERROR((vp.tbl[[#This Row],[VP]]-INDEX(crudeBD.lkup.complete[Mean_VP],MATCH(vp.tbl[[#This Row],[Crude_Breakdown]],crudeBD.lkup.complete[Crude Breakdown],0)))^2,"")</f>
        <v>186.96719849318919</v>
      </c>
      <c r="AN1426" s="4">
        <f>IFERROR((vp.tbl[[#This Row],[Dens]]-INDEX(crudeBD.lkup.complete[Mean_Dens],MATCH(vp.tbl[[#This Row],[Crude_Breakdown]],crudeBD.lkup.complete[Crude Breakdown],0)))^2,"")</f>
        <v>538.61948965170404</v>
      </c>
      <c r="AO1426" s="4">
        <f>IFERROR((vp.tbl[[#This Row],[Sulf]]-INDEX(crudeBD.lkup.complete[Mean_Sulf],MATCH(vp.tbl[[#This Row],[Crude_Breakdown]],crudeBD.lkup.complete[Crude Breakdown],0)))^2,"")</f>
        <v>0.21629023441318251</v>
      </c>
      <c r="AP1426">
        <f>IF(AND(vp.tbl[[#This Row],[SDate]]&gt;=DATE(YEAR(vp.tbl[[#This Row],[SDate]]),5,1),vp.tbl[[#This Row],[SDate]]&lt;=DATE(YEAR(vp.tbl[[#This Row],[SDate]]),9,15)),1,0)</f>
        <v>1</v>
      </c>
      <c r="AQ1426" s="15">
        <f>IF(vp.tbl[[#This Row],[SDate]]&lt;DATE(2016,12,1),0,1)</f>
        <v>1</v>
      </c>
    </row>
    <row r="1427" spans="1:43" x14ac:dyDescent="0.25">
      <c r="A1427">
        <v>1426</v>
      </c>
      <c r="B1427" t="s">
        <v>183</v>
      </c>
      <c r="C1427" t="s">
        <v>183</v>
      </c>
      <c r="D1427" t="s">
        <v>307</v>
      </c>
      <c r="F1427" s="1">
        <v>42861</v>
      </c>
      <c r="G1427" s="2">
        <v>39</v>
      </c>
      <c r="H1427" s="2"/>
      <c r="I1427" s="2">
        <v>2.3199999999999998</v>
      </c>
      <c r="J1427" s="2"/>
      <c r="K1427" s="2"/>
      <c r="L1427" s="2">
        <v>888.5</v>
      </c>
      <c r="M1427" s="2">
        <v>888.5</v>
      </c>
      <c r="N1427" s="2">
        <f ca="1">INDEX(INDIRECT(_xlfn.CONCAT("weather.tbl[",N$1,"]")),MATCH(vp.tbl[[#This Row],[SDate]],weather.tbl[Date],0))</f>
        <v>18.116666666666667</v>
      </c>
      <c r="O1427" s="2">
        <f ca="1">INDEX(INDIRECT(_xlfn.CONCAT("weather.tbl[",O$1,"]")),MATCH(vp.tbl[[#This Row],[SDate]],weather.tbl[Date],0))</f>
        <v>12.52857142857143</v>
      </c>
      <c r="P1427" s="2">
        <f ca="1">INDEX(INDIRECT(_xlfn.CONCAT("weather.tbl[",P$1,"]")),MATCH(vp.tbl[[#This Row],[SDate]],weather.tbl[Date],0))</f>
        <v>18.8</v>
      </c>
      <c r="Q1427" s="2">
        <f ca="1">INDEX(INDIRECT(_xlfn.CONCAT("weather.tbl[",Q$1,"]")),MATCH(vp.tbl[[#This Row],[SDate]],weather.tbl[Date],0))</f>
        <v>19.8</v>
      </c>
      <c r="R1427" s="2">
        <f ca="1">INDEX(INDIRECT(_xlfn.CONCAT("weather.tbl[",R$1,"]")),MATCH(vp.tbl[[#This Row],[SDate]],weather.tbl[Date],0))</f>
        <v>16.8</v>
      </c>
      <c r="S1427" s="2">
        <f ca="1">INDEX(INDIRECT(_xlfn.CONCAT("weather.tbl[",S$1,"]")),MATCH(vp.tbl[[#This Row],[SDate]],weather.tbl[Date],0))</f>
        <v>20.7</v>
      </c>
      <c r="T1427" s="2">
        <f ca="1">INDEX(INDIRECT(_xlfn.CONCAT("weather.tbl[",T$1,"]")),MATCH(vp.tbl[[#This Row],[SDate]],weather.tbl[Date],0))</f>
        <v>15.8</v>
      </c>
      <c r="U1427" s="2">
        <f ca="1">INDEX(INDIRECT(_xlfn.CONCAT("weather.tbl[",U$1,"]")),MATCH(vp.tbl[[#This Row],[SDate]],weather.tbl[Date],0))</f>
        <v>16.8</v>
      </c>
      <c r="V1427" s="2">
        <v>195.81899999999999</v>
      </c>
      <c r="W1427" t="s">
        <v>48</v>
      </c>
      <c r="X1427">
        <f>IF(OR(vp.tbl[[#This Row],[Sulf]]="",vp.tbl[[#This Row],[Dens]]=""),1,0)</f>
        <v>0</v>
      </c>
      <c r="Y1427">
        <f>IF(vp.tbl[[#This Row],[CrudeType]]="C5+",1,0)</f>
        <v>0</v>
      </c>
      <c r="Z1427">
        <f>IF(AND(vp.tbl[[#This Row],[CrudeType]]="Crude",vp.tbl[[#This Row],[Dens]]&lt;=825,vp.tbl[[#This Row],[Sulf]]&gt;0.5,vp.tbl[[#This Row],[Unknown]]=0),1,0)</f>
        <v>0</v>
      </c>
      <c r="AA1427">
        <f>IF(AND(vp.tbl[[#This Row],[CrudeType]]="Crude",vp.tbl[[#This Row],[Dens]]&lt;=825,vp.tbl[[#This Row],[Sulf]]&lt;=0.5,vp.tbl[[#This Row],[Unknown]]=0),1,0)</f>
        <v>0</v>
      </c>
      <c r="AB1427">
        <f>IF(AND(vp.tbl[[#This Row],[CrudeType]]="Crude",vp.tbl[[#This Row],[Dens]]&gt;825,vp.tbl[[#This Row],[Dens]]&lt;=870,vp.tbl[[#This Row],[Sulf]]&gt;0.5,vp.tbl[[#This Row],[Unknown]]=0),1,0)</f>
        <v>0</v>
      </c>
      <c r="AC1427">
        <f>IF(AND(vp.tbl[[#This Row],[CrudeType]]="Crude",vp.tbl[[#This Row],[Dens]]&gt;825,vp.tbl[[#This Row],[Dens]]&lt;=900,vp.tbl[[#This Row],[Sulf]]&lt;=0.5,vp.tbl[[#This Row],[Unknown]]=0),1,0)</f>
        <v>0</v>
      </c>
      <c r="AD1427">
        <f>IF(AND(vp.tbl[[#This Row],[CrudeType]]="Crude",vp.tbl[[#This Row],[Dens]]&gt;870,vp.tbl[[#This Row],[Dens]]&lt;=900,vp.tbl[[#This Row],[Sulf]]&gt;0.5,vp.tbl[[#This Row],[Unknown]]=0),1,0)</f>
        <v>1</v>
      </c>
      <c r="AE1427">
        <f>IF(AND(vp.tbl[[#This Row],[CrudeType]]="Crude",vp.tbl[[#This Row],[Dens]]&gt;900,vp.tbl[[#This Row],[Sulf]]&lt;=0.5,vp.tbl[[#This Row],[Unknown]]=0),1,0)</f>
        <v>0</v>
      </c>
      <c r="AF1427">
        <f>IF(AND(vp.tbl[[#This Row],[CrudeType]]="Crude",vp.tbl[[#This Row],[Dens]]&gt;900,vp.tbl[[#This Row],[Sulf]]&lt;=0.5,vp.tbl[[#This Row],[Unknown]]=0),1,0)</f>
        <v>0</v>
      </c>
      <c r="AG1427" t="str">
        <f>INDEX(vp.tbl[[#Headers],[Unknown]:[Heavy_SW]],MATCH(1,vp.tbl[[#This Row],[Unknown]:[Heavy_SW]],0))</f>
        <v>Midale</v>
      </c>
      <c r="AH1427" t="e">
        <f>INDEX([1]!crudeBD.lkup[Number],MATCH(vp.tbl[[#This Row],[Crude_Breakdown]],[1]!crudeBD.lkup[Crude Breakdown],0))</f>
        <v>#REF!</v>
      </c>
      <c r="AI1427">
        <f>MONTH(vp.tbl[[#This Row],[SDate]])</f>
        <v>5</v>
      </c>
      <c r="AJ1427" s="5">
        <f>IFERROR(vp.tbl[[#This Row],[Sulf]]*vp.tbl[[#This Row],[Net Dens]],"")</f>
        <v>403645.6210799999</v>
      </c>
      <c r="AK1427" s="5">
        <f>IFERROR(vp.tbl[[#This Row],[Dens]]*vp.tbl[[#This Row],[VolumeM3]],"")</f>
        <v>173985.18149999998</v>
      </c>
      <c r="AL1427" s="5">
        <f>IFERROR(vp.tbl[[#This Row],[VP]]*vp.tbl[[#This Row],[VolumeM3]],"")</f>
        <v>7636.9409999999998</v>
      </c>
      <c r="AM1427" s="4">
        <f>IFERROR((vp.tbl[[#This Row],[VP]]-INDEX(crudeBD.lkup.complete[Mean_VP],MATCH(vp.tbl[[#This Row],[Crude_Breakdown]],crudeBD.lkup.complete[Crude Breakdown],0)))^2,"")</f>
        <v>854.88147119534699</v>
      </c>
      <c r="AN1427" s="4">
        <f>IFERROR((vp.tbl[[#This Row],[Dens]]-INDEX(crudeBD.lkup.complete[Mean_Dens],MATCH(vp.tbl[[#This Row],[Crude_Breakdown]],crudeBD.lkup.complete[Crude Breakdown],0)))^2,"")</f>
        <v>119.85750422218715</v>
      </c>
      <c r="AO1427" s="4">
        <f>IFERROR((vp.tbl[[#This Row],[Sulf]]-INDEX(crudeBD.lkup.complete[Mean_Sulf],MATCH(vp.tbl[[#This Row],[Crude_Breakdown]],crudeBD.lkup.complete[Crude Breakdown],0)))^2,"")</f>
        <v>9.0897417205665024E-3</v>
      </c>
      <c r="AP1427">
        <f>IF(AND(vp.tbl[[#This Row],[SDate]]&gt;=DATE(YEAR(vp.tbl[[#This Row],[SDate]]),5,1),vp.tbl[[#This Row],[SDate]]&lt;=DATE(YEAR(vp.tbl[[#This Row],[SDate]]),9,15)),1,0)</f>
        <v>1</v>
      </c>
      <c r="AQ1427" s="15">
        <f>IF(vp.tbl[[#This Row],[SDate]]&lt;DATE(2016,12,1),0,1)</f>
        <v>1</v>
      </c>
    </row>
    <row r="1428" spans="1:43" x14ac:dyDescent="0.25">
      <c r="A1428">
        <v>1427</v>
      </c>
      <c r="B1428" t="s">
        <v>68</v>
      </c>
      <c r="C1428" t="s">
        <v>68</v>
      </c>
      <c r="D1428" t="s">
        <v>123</v>
      </c>
      <c r="F1428" s="1">
        <v>42861</v>
      </c>
      <c r="G1428" s="2">
        <v>64.900000000000006</v>
      </c>
      <c r="H1428" s="2"/>
      <c r="I1428" s="2">
        <v>1.48</v>
      </c>
      <c r="J1428" s="2"/>
      <c r="K1428" s="2"/>
      <c r="L1428" s="2">
        <v>844.9</v>
      </c>
      <c r="M1428" s="2">
        <v>844.9</v>
      </c>
      <c r="N1428" s="2">
        <f ca="1">INDEX(INDIRECT(_xlfn.CONCAT("weather.tbl[",N$1,"]")),MATCH(vp.tbl[[#This Row],[SDate]],weather.tbl[Date],0))</f>
        <v>18.116666666666667</v>
      </c>
      <c r="O1428" s="2">
        <f ca="1">INDEX(INDIRECT(_xlfn.CONCAT("weather.tbl[",O$1,"]")),MATCH(vp.tbl[[#This Row],[SDate]],weather.tbl[Date],0))</f>
        <v>12.52857142857143</v>
      </c>
      <c r="P1428" s="2">
        <f ca="1">INDEX(INDIRECT(_xlfn.CONCAT("weather.tbl[",P$1,"]")),MATCH(vp.tbl[[#This Row],[SDate]],weather.tbl[Date],0))</f>
        <v>18.8</v>
      </c>
      <c r="Q1428" s="2">
        <f ca="1">INDEX(INDIRECT(_xlfn.CONCAT("weather.tbl[",Q$1,"]")),MATCH(vp.tbl[[#This Row],[SDate]],weather.tbl[Date],0))</f>
        <v>19.8</v>
      </c>
      <c r="R1428" s="2">
        <f ca="1">INDEX(INDIRECT(_xlfn.CONCAT("weather.tbl[",R$1,"]")),MATCH(vp.tbl[[#This Row],[SDate]],weather.tbl[Date],0))</f>
        <v>16.8</v>
      </c>
      <c r="S1428" s="2">
        <f ca="1">INDEX(INDIRECT(_xlfn.CONCAT("weather.tbl[",S$1,"]")),MATCH(vp.tbl[[#This Row],[SDate]],weather.tbl[Date],0))</f>
        <v>20.7</v>
      </c>
      <c r="T1428" s="2">
        <f ca="1">INDEX(INDIRECT(_xlfn.CONCAT("weather.tbl[",T$1,"]")),MATCH(vp.tbl[[#This Row],[SDate]],weather.tbl[Date],0))</f>
        <v>15.8</v>
      </c>
      <c r="U1428" s="2">
        <f ca="1">INDEX(INDIRECT(_xlfn.CONCAT("weather.tbl[",U$1,"]")),MATCH(vp.tbl[[#This Row],[SDate]],weather.tbl[Date],0))</f>
        <v>16.8</v>
      </c>
      <c r="V1428" s="2">
        <v>1064.97</v>
      </c>
      <c r="W1428" t="s">
        <v>48</v>
      </c>
      <c r="X1428">
        <f>IF(OR(vp.tbl[[#This Row],[Sulf]]="",vp.tbl[[#This Row],[Dens]]=""),1,0)</f>
        <v>0</v>
      </c>
      <c r="Y1428">
        <f>IF(vp.tbl[[#This Row],[CrudeType]]="C5+",1,0)</f>
        <v>0</v>
      </c>
      <c r="Z1428">
        <f>IF(AND(vp.tbl[[#This Row],[CrudeType]]="Crude",vp.tbl[[#This Row],[Dens]]&lt;=825,vp.tbl[[#This Row],[Sulf]]&gt;0.5,vp.tbl[[#This Row],[Unknown]]=0),1,0)</f>
        <v>0</v>
      </c>
      <c r="AA1428">
        <f>IF(AND(vp.tbl[[#This Row],[CrudeType]]="Crude",vp.tbl[[#This Row],[Dens]]&lt;=825,vp.tbl[[#This Row],[Sulf]]&lt;=0.5,vp.tbl[[#This Row],[Unknown]]=0),1,0)</f>
        <v>0</v>
      </c>
      <c r="AB1428">
        <f>IF(AND(vp.tbl[[#This Row],[CrudeType]]="Crude",vp.tbl[[#This Row],[Dens]]&gt;825,vp.tbl[[#This Row],[Dens]]&lt;=870,vp.tbl[[#This Row],[Sulf]]&gt;0.5,vp.tbl[[#This Row],[Unknown]]=0),1,0)</f>
        <v>1</v>
      </c>
      <c r="AC1428">
        <f>IF(AND(vp.tbl[[#This Row],[CrudeType]]="Crude",vp.tbl[[#This Row],[Dens]]&gt;825,vp.tbl[[#This Row],[Dens]]&lt;=900,vp.tbl[[#This Row],[Sulf]]&lt;=0.5,vp.tbl[[#This Row],[Unknown]]=0),1,0)</f>
        <v>0</v>
      </c>
      <c r="AD1428">
        <f>IF(AND(vp.tbl[[#This Row],[CrudeType]]="Crude",vp.tbl[[#This Row],[Dens]]&gt;870,vp.tbl[[#This Row],[Dens]]&lt;=900,vp.tbl[[#This Row],[Sulf]]&gt;0.5,vp.tbl[[#This Row],[Unknown]]=0),1,0)</f>
        <v>0</v>
      </c>
      <c r="AE1428">
        <f>IF(AND(vp.tbl[[#This Row],[CrudeType]]="Crude",vp.tbl[[#This Row],[Dens]]&gt;900,vp.tbl[[#This Row],[Sulf]]&lt;=0.5,vp.tbl[[#This Row],[Unknown]]=0),1,0)</f>
        <v>0</v>
      </c>
      <c r="AF1428">
        <f>IF(AND(vp.tbl[[#This Row],[CrudeType]]="Crude",vp.tbl[[#This Row],[Dens]]&gt;900,vp.tbl[[#This Row],[Sulf]]&lt;=0.5,vp.tbl[[#This Row],[Unknown]]=0),1,0)</f>
        <v>0</v>
      </c>
      <c r="AG1428" t="str">
        <f>INDEX(vp.tbl[[#Headers],[Unknown]:[Heavy_SW]],MATCH(1,vp.tbl[[#This Row],[Unknown]:[Heavy_SW]],0))</f>
        <v>Medium_LSB</v>
      </c>
      <c r="AH1428" t="e">
        <f>INDEX([1]!crudeBD.lkup[Number],MATCH(vp.tbl[[#This Row],[Crude_Breakdown]],[1]!crudeBD.lkup[Crude Breakdown],0))</f>
        <v>#REF!</v>
      </c>
      <c r="AI1428">
        <f>MONTH(vp.tbl[[#This Row],[SDate]])</f>
        <v>5</v>
      </c>
      <c r="AJ1428" s="5">
        <f>IFERROR(vp.tbl[[#This Row],[Sulf]]*vp.tbl[[#This Row],[Net Dens]],"")</f>
        <v>1331693.86644</v>
      </c>
      <c r="AK1428" s="5">
        <f>IFERROR(vp.tbl[[#This Row],[Dens]]*vp.tbl[[#This Row],[VolumeM3]],"")</f>
        <v>899793.15300000005</v>
      </c>
      <c r="AL1428" s="5">
        <f>IFERROR(vp.tbl[[#This Row],[VP]]*vp.tbl[[#This Row],[VolumeM3]],"")</f>
        <v>69116.553000000014</v>
      </c>
      <c r="AM1428" s="4">
        <f>IFERROR((vp.tbl[[#This Row],[VP]]-INDEX(crudeBD.lkup.complete[Mean_VP],MATCH(vp.tbl[[#This Row],[Crude_Breakdown]],crudeBD.lkup.complete[Crude Breakdown],0)))^2,"")</f>
        <v>233.28270229065726</v>
      </c>
      <c r="AN1428" s="4">
        <f>IFERROR((vp.tbl[[#This Row],[Dens]]-INDEX(crudeBD.lkup.complete[Mean_Dens],MATCH(vp.tbl[[#This Row],[Crude_Breakdown]],crudeBD.lkup.complete[Crude Breakdown],0)))^2,"")</f>
        <v>0.15352509469560896</v>
      </c>
      <c r="AO1428" s="4">
        <f>IFERROR((vp.tbl[[#This Row],[Sulf]]-INDEX(crudeBD.lkup.complete[Mean_Sulf],MATCH(vp.tbl[[#This Row],[Crude_Breakdown]],crudeBD.lkup.complete[Crude Breakdown],0)))^2,"")</f>
        <v>6.2851188153830004E-4</v>
      </c>
      <c r="AP1428">
        <f>IF(AND(vp.tbl[[#This Row],[SDate]]&gt;=DATE(YEAR(vp.tbl[[#This Row],[SDate]]),5,1),vp.tbl[[#This Row],[SDate]]&lt;=DATE(YEAR(vp.tbl[[#This Row],[SDate]]),9,15)),1,0)</f>
        <v>1</v>
      </c>
      <c r="AQ1428" s="15">
        <f>IF(vp.tbl[[#This Row],[SDate]]&lt;DATE(2016,12,1),0,1)</f>
        <v>1</v>
      </c>
    </row>
    <row r="1429" spans="1:43" x14ac:dyDescent="0.25">
      <c r="A1429">
        <v>1428</v>
      </c>
      <c r="B1429" t="s">
        <v>51</v>
      </c>
      <c r="C1429" t="s">
        <v>51</v>
      </c>
      <c r="D1429" t="s">
        <v>72</v>
      </c>
      <c r="F1429" s="1">
        <v>42863</v>
      </c>
      <c r="G1429" s="2">
        <v>88.6</v>
      </c>
      <c r="H1429" s="2"/>
      <c r="I1429" s="2">
        <v>1.06</v>
      </c>
      <c r="J1429" s="2"/>
      <c r="K1429" s="2"/>
      <c r="L1429" s="2">
        <v>826.9</v>
      </c>
      <c r="M1429" s="2">
        <v>826.9</v>
      </c>
      <c r="N1429" s="2">
        <f ca="1">INDEX(INDIRECT(_xlfn.CONCAT("weather.tbl[",N$1,"]")),MATCH(vp.tbl[[#This Row],[SDate]],weather.tbl[Date],0))</f>
        <v>10.516666666666667</v>
      </c>
      <c r="O1429" s="2">
        <f ca="1">INDEX(INDIRECT(_xlfn.CONCAT("weather.tbl[",O$1,"]")),MATCH(vp.tbl[[#This Row],[SDate]],weather.tbl[Date],0))</f>
        <v>13.452380952380953</v>
      </c>
      <c r="P1429" s="2">
        <f ca="1">INDEX(INDIRECT(_xlfn.CONCAT("weather.tbl[",P$1,"]")),MATCH(vp.tbl[[#This Row],[SDate]],weather.tbl[Date],0))</f>
        <v>11</v>
      </c>
      <c r="Q1429" s="2">
        <f ca="1">INDEX(INDIRECT(_xlfn.CONCAT("weather.tbl[",Q$1,"]")),MATCH(vp.tbl[[#This Row],[SDate]],weather.tbl[Date],0))</f>
        <v>9.1</v>
      </c>
      <c r="R1429" s="2">
        <f ca="1">INDEX(INDIRECT(_xlfn.CONCAT("weather.tbl[",R$1,"]")),MATCH(vp.tbl[[#This Row],[SDate]],weather.tbl[Date],0))</f>
        <v>12.3</v>
      </c>
      <c r="S1429" s="2">
        <f ca="1">INDEX(INDIRECT(_xlfn.CONCAT("weather.tbl[",S$1,"]")),MATCH(vp.tbl[[#This Row],[SDate]],weather.tbl[Date],0))</f>
        <v>8.5</v>
      </c>
      <c r="T1429" s="2">
        <f ca="1">INDEX(INDIRECT(_xlfn.CONCAT("weather.tbl[",T$1,"]")),MATCH(vp.tbl[[#This Row],[SDate]],weather.tbl[Date],0))</f>
        <v>11.7</v>
      </c>
      <c r="U1429" s="2">
        <f ca="1">INDEX(INDIRECT(_xlfn.CONCAT("weather.tbl[",U$1,"]")),MATCH(vp.tbl[[#This Row],[SDate]],weather.tbl[Date],0))</f>
        <v>10.5</v>
      </c>
      <c r="V1429" s="2">
        <v>14195.075000000001</v>
      </c>
      <c r="W1429" t="s">
        <v>48</v>
      </c>
      <c r="X1429">
        <f>IF(OR(vp.tbl[[#This Row],[Sulf]]="",vp.tbl[[#This Row],[Dens]]=""),1,0)</f>
        <v>0</v>
      </c>
      <c r="Y1429">
        <f>IF(vp.tbl[[#This Row],[CrudeType]]="C5+",1,0)</f>
        <v>0</v>
      </c>
      <c r="Z1429">
        <f>IF(AND(vp.tbl[[#This Row],[CrudeType]]="Crude",vp.tbl[[#This Row],[Dens]]&lt;=825,vp.tbl[[#This Row],[Sulf]]&gt;0.5,vp.tbl[[#This Row],[Unknown]]=0),1,0)</f>
        <v>0</v>
      </c>
      <c r="AA1429">
        <f>IF(AND(vp.tbl[[#This Row],[CrudeType]]="Crude",vp.tbl[[#This Row],[Dens]]&lt;=825,vp.tbl[[#This Row],[Sulf]]&lt;=0.5,vp.tbl[[#This Row],[Unknown]]=0),1,0)</f>
        <v>0</v>
      </c>
      <c r="AB1429">
        <f>IF(AND(vp.tbl[[#This Row],[CrudeType]]="Crude",vp.tbl[[#This Row],[Dens]]&gt;825,vp.tbl[[#This Row],[Dens]]&lt;=870,vp.tbl[[#This Row],[Sulf]]&gt;0.5,vp.tbl[[#This Row],[Unknown]]=0),1,0)</f>
        <v>1</v>
      </c>
      <c r="AC1429">
        <f>IF(AND(vp.tbl[[#This Row],[CrudeType]]="Crude",vp.tbl[[#This Row],[Dens]]&gt;825,vp.tbl[[#This Row],[Dens]]&lt;=900,vp.tbl[[#This Row],[Sulf]]&lt;=0.5,vp.tbl[[#This Row],[Unknown]]=0),1,0)</f>
        <v>0</v>
      </c>
      <c r="AD1429">
        <f>IF(AND(vp.tbl[[#This Row],[CrudeType]]="Crude",vp.tbl[[#This Row],[Dens]]&gt;870,vp.tbl[[#This Row],[Dens]]&lt;=900,vp.tbl[[#This Row],[Sulf]]&gt;0.5,vp.tbl[[#This Row],[Unknown]]=0),1,0)</f>
        <v>0</v>
      </c>
      <c r="AE1429">
        <f>IF(AND(vp.tbl[[#This Row],[CrudeType]]="Crude",vp.tbl[[#This Row],[Dens]]&gt;900,vp.tbl[[#This Row],[Sulf]]&lt;=0.5,vp.tbl[[#This Row],[Unknown]]=0),1,0)</f>
        <v>0</v>
      </c>
      <c r="AF1429">
        <f>IF(AND(vp.tbl[[#This Row],[CrudeType]]="Crude",vp.tbl[[#This Row],[Dens]]&gt;900,vp.tbl[[#This Row],[Sulf]]&lt;=0.5,vp.tbl[[#This Row],[Unknown]]=0),1,0)</f>
        <v>0</v>
      </c>
      <c r="AG1429" t="str">
        <f>INDEX(vp.tbl[[#Headers],[Unknown]:[Heavy_SW]],MATCH(1,vp.tbl[[#This Row],[Unknown]:[Heavy_SW]],0))</f>
        <v>Medium_LSB</v>
      </c>
      <c r="AH1429" t="e">
        <f>INDEX([1]!crudeBD.lkup[Number],MATCH(vp.tbl[[#This Row],[Crude_Breakdown]],[1]!crudeBD.lkup[Crude Breakdown],0))</f>
        <v>#REF!</v>
      </c>
      <c r="AI1429">
        <f>MONTH(vp.tbl[[#This Row],[SDate]])</f>
        <v>5</v>
      </c>
      <c r="AJ1429" s="5">
        <f>IFERROR(vp.tbl[[#This Row],[Sulf]]*vp.tbl[[#This Row],[Net Dens]],"")</f>
        <v>12442181.96855</v>
      </c>
      <c r="AK1429" s="5">
        <f>IFERROR(vp.tbl[[#This Row],[Dens]]*vp.tbl[[#This Row],[VolumeM3]],"")</f>
        <v>11737907.5175</v>
      </c>
      <c r="AL1429" s="5">
        <f>IFERROR(vp.tbl[[#This Row],[VP]]*vp.tbl[[#This Row],[VolumeM3]],"")</f>
        <v>1257683.645</v>
      </c>
      <c r="AM1429" s="4">
        <f>IFERROR((vp.tbl[[#This Row],[VP]]-INDEX(crudeBD.lkup.complete[Mean_VP],MATCH(vp.tbl[[#This Row],[Crude_Breakdown]],crudeBD.lkup.complete[Crude Breakdown],0)))^2,"")</f>
        <v>71.004302290659069</v>
      </c>
      <c r="AN1429" s="4">
        <f>IFERROR((vp.tbl[[#This Row],[Dens]]-INDEX(crudeBD.lkup.complete[Mean_Dens],MATCH(vp.tbl[[#This Row],[Crude_Breakdown]],crudeBD.lkup.complete[Crude Breakdown],0)))^2,"")</f>
        <v>338.25914534782555</v>
      </c>
      <c r="AO1429" s="4">
        <f>IFERROR((vp.tbl[[#This Row],[Sulf]]-INDEX(crudeBD.lkup.complete[Mean_Sulf],MATCH(vp.tbl[[#This Row],[Crude_Breakdown]],crudeBD.lkup.complete[Crude Breakdown],0)))^2,"")</f>
        <v>0.15596959491951418</v>
      </c>
      <c r="AP1429">
        <f>IF(AND(vp.tbl[[#This Row],[SDate]]&gt;=DATE(YEAR(vp.tbl[[#This Row],[SDate]]),5,1),vp.tbl[[#This Row],[SDate]]&lt;=DATE(YEAR(vp.tbl[[#This Row],[SDate]]),9,15)),1,0)</f>
        <v>1</v>
      </c>
      <c r="AQ1429" s="15">
        <f>IF(vp.tbl[[#This Row],[SDate]]&lt;DATE(2016,12,1),0,1)</f>
        <v>1</v>
      </c>
    </row>
    <row r="1430" spans="1:43" x14ac:dyDescent="0.25">
      <c r="A1430">
        <v>1429</v>
      </c>
      <c r="B1430" t="s">
        <v>60</v>
      </c>
      <c r="C1430" t="s">
        <v>60</v>
      </c>
      <c r="D1430" t="s">
        <v>61</v>
      </c>
      <c r="E1430" t="s">
        <v>289</v>
      </c>
      <c r="F1430" s="1">
        <v>42863</v>
      </c>
      <c r="G1430" s="2">
        <v>86.8</v>
      </c>
      <c r="H1430" s="2"/>
      <c r="I1430" s="2">
        <v>1.0900000000000001</v>
      </c>
      <c r="J1430" s="2"/>
      <c r="K1430" s="2"/>
      <c r="L1430" s="2">
        <v>826.5</v>
      </c>
      <c r="M1430" s="2">
        <v>826.5</v>
      </c>
      <c r="N1430" s="2">
        <f ca="1">INDEX(INDIRECT(_xlfn.CONCAT("weather.tbl[",N$1,"]")),MATCH(vp.tbl[[#This Row],[SDate]],weather.tbl[Date],0))</f>
        <v>10.516666666666667</v>
      </c>
      <c r="O1430" s="2">
        <f ca="1">INDEX(INDIRECT(_xlfn.CONCAT("weather.tbl[",O$1,"]")),MATCH(vp.tbl[[#This Row],[SDate]],weather.tbl[Date],0))</f>
        <v>13.452380952380953</v>
      </c>
      <c r="P1430" s="2">
        <f ca="1">INDEX(INDIRECT(_xlfn.CONCAT("weather.tbl[",P$1,"]")),MATCH(vp.tbl[[#This Row],[SDate]],weather.tbl[Date],0))</f>
        <v>11</v>
      </c>
      <c r="Q1430" s="2">
        <f ca="1">INDEX(INDIRECT(_xlfn.CONCAT("weather.tbl[",Q$1,"]")),MATCH(vp.tbl[[#This Row],[SDate]],weather.tbl[Date],0))</f>
        <v>9.1</v>
      </c>
      <c r="R1430" s="2">
        <f ca="1">INDEX(INDIRECT(_xlfn.CONCAT("weather.tbl[",R$1,"]")),MATCH(vp.tbl[[#This Row],[SDate]],weather.tbl[Date],0))</f>
        <v>12.3</v>
      </c>
      <c r="S1430" s="2">
        <f ca="1">INDEX(INDIRECT(_xlfn.CONCAT("weather.tbl[",S$1,"]")),MATCH(vp.tbl[[#This Row],[SDate]],weather.tbl[Date],0))</f>
        <v>8.5</v>
      </c>
      <c r="T1430" s="2">
        <f ca="1">INDEX(INDIRECT(_xlfn.CONCAT("weather.tbl[",T$1,"]")),MATCH(vp.tbl[[#This Row],[SDate]],weather.tbl[Date],0))</f>
        <v>11.7</v>
      </c>
      <c r="U1430" s="2">
        <f ca="1">INDEX(INDIRECT(_xlfn.CONCAT("weather.tbl[",U$1,"]")),MATCH(vp.tbl[[#This Row],[SDate]],weather.tbl[Date],0))</f>
        <v>10.5</v>
      </c>
      <c r="V1430" s="2">
        <v>118292.008</v>
      </c>
      <c r="W1430" t="s">
        <v>48</v>
      </c>
      <c r="X1430">
        <f>IF(OR(vp.tbl[[#This Row],[Sulf]]="",vp.tbl[[#This Row],[Dens]]=""),1,0)</f>
        <v>0</v>
      </c>
      <c r="Y1430">
        <f>IF(vp.tbl[[#This Row],[CrudeType]]="C5+",1,0)</f>
        <v>0</v>
      </c>
      <c r="Z1430">
        <f>IF(AND(vp.tbl[[#This Row],[CrudeType]]="Crude",vp.tbl[[#This Row],[Dens]]&lt;=825,vp.tbl[[#This Row],[Sulf]]&gt;0.5,vp.tbl[[#This Row],[Unknown]]=0),1,0)</f>
        <v>0</v>
      </c>
      <c r="AA1430">
        <f>IF(AND(vp.tbl[[#This Row],[CrudeType]]="Crude",vp.tbl[[#This Row],[Dens]]&lt;=825,vp.tbl[[#This Row],[Sulf]]&lt;=0.5,vp.tbl[[#This Row],[Unknown]]=0),1,0)</f>
        <v>0</v>
      </c>
      <c r="AB1430">
        <f>IF(AND(vp.tbl[[#This Row],[CrudeType]]="Crude",vp.tbl[[#This Row],[Dens]]&gt;825,vp.tbl[[#This Row],[Dens]]&lt;=870,vp.tbl[[#This Row],[Sulf]]&gt;0.5,vp.tbl[[#This Row],[Unknown]]=0),1,0)</f>
        <v>1</v>
      </c>
      <c r="AC1430">
        <f>IF(AND(vp.tbl[[#This Row],[CrudeType]]="Crude",vp.tbl[[#This Row],[Dens]]&gt;825,vp.tbl[[#This Row],[Dens]]&lt;=900,vp.tbl[[#This Row],[Sulf]]&lt;=0.5,vp.tbl[[#This Row],[Unknown]]=0),1,0)</f>
        <v>0</v>
      </c>
      <c r="AD1430">
        <f>IF(AND(vp.tbl[[#This Row],[CrudeType]]="Crude",vp.tbl[[#This Row],[Dens]]&gt;870,vp.tbl[[#This Row],[Dens]]&lt;=900,vp.tbl[[#This Row],[Sulf]]&gt;0.5,vp.tbl[[#This Row],[Unknown]]=0),1,0)</f>
        <v>0</v>
      </c>
      <c r="AE1430">
        <f>IF(AND(vp.tbl[[#This Row],[CrudeType]]="Crude",vp.tbl[[#This Row],[Dens]]&gt;900,vp.tbl[[#This Row],[Sulf]]&lt;=0.5,vp.tbl[[#This Row],[Unknown]]=0),1,0)</f>
        <v>0</v>
      </c>
      <c r="AF1430">
        <f>IF(AND(vp.tbl[[#This Row],[CrudeType]]="Crude",vp.tbl[[#This Row],[Dens]]&gt;900,vp.tbl[[#This Row],[Sulf]]&lt;=0.5,vp.tbl[[#This Row],[Unknown]]=0),1,0)</f>
        <v>0</v>
      </c>
      <c r="AG1430" t="str">
        <f>INDEX(vp.tbl[[#Headers],[Unknown]:[Heavy_SW]],MATCH(1,vp.tbl[[#This Row],[Unknown]:[Heavy_SW]],0))</f>
        <v>Medium_LSB</v>
      </c>
      <c r="AH1430" t="e">
        <f>INDEX([1]!crudeBD.lkup[Number],MATCH(vp.tbl[[#This Row],[Crude_Breakdown]],[1]!crudeBD.lkup[Crude Breakdown],0))</f>
        <v>#REF!</v>
      </c>
      <c r="AI1430">
        <f>MONTH(vp.tbl[[#This Row],[SDate]])</f>
        <v>5</v>
      </c>
      <c r="AJ1430" s="5">
        <f>IFERROR(vp.tbl[[#This Row],[Sulf]]*vp.tbl[[#This Row],[Net Dens]],"")</f>
        <v>106567495.62708001</v>
      </c>
      <c r="AK1430" s="5">
        <f>IFERROR(vp.tbl[[#This Row],[Dens]]*vp.tbl[[#This Row],[VolumeM3]],"")</f>
        <v>97768344.612000003</v>
      </c>
      <c r="AL1430" s="5">
        <f>IFERROR(vp.tbl[[#This Row],[VP]]*vp.tbl[[#This Row],[VolumeM3]],"")</f>
        <v>10267746.294399999</v>
      </c>
      <c r="AM1430" s="4">
        <f>IFERROR((vp.tbl[[#This Row],[VP]]-INDEX(crudeBD.lkup.complete[Mean_VP],MATCH(vp.tbl[[#This Row],[Crude_Breakdown]],crudeBD.lkup.complete[Crude Breakdown],0)))^2,"")</f>
        <v>43.909244062810899</v>
      </c>
      <c r="AN1430" s="4">
        <f>IFERROR((vp.tbl[[#This Row],[Dens]]-INDEX(crudeBD.lkup.complete[Mean_Dens],MATCH(vp.tbl[[#This Row],[Crude_Breakdown]],crudeBD.lkup.complete[Crude Breakdown],0)))^2,"")</f>
        <v>353.13260357567202</v>
      </c>
      <c r="AO1430" s="4">
        <f>IFERROR((vp.tbl[[#This Row],[Sulf]]-INDEX(crudeBD.lkup.complete[Mean_Sulf],MATCH(vp.tbl[[#This Row],[Crude_Breakdown]],crudeBD.lkup.complete[Crude Breakdown],0)))^2,"")</f>
        <v>0.13317380327394446</v>
      </c>
      <c r="AP1430">
        <f>IF(AND(vp.tbl[[#This Row],[SDate]]&gt;=DATE(YEAR(vp.tbl[[#This Row],[SDate]]),5,1),vp.tbl[[#This Row],[SDate]]&lt;=DATE(YEAR(vp.tbl[[#This Row],[SDate]]),9,15)),1,0)</f>
        <v>1</v>
      </c>
      <c r="AQ1430" s="15">
        <f>IF(vp.tbl[[#This Row],[SDate]]&lt;DATE(2016,12,1),0,1)</f>
        <v>1</v>
      </c>
    </row>
    <row r="1431" spans="1:43" x14ac:dyDescent="0.25">
      <c r="A1431">
        <v>1430</v>
      </c>
      <c r="B1431" t="s">
        <v>60</v>
      </c>
      <c r="C1431" t="s">
        <v>60</v>
      </c>
      <c r="D1431" t="s">
        <v>61</v>
      </c>
      <c r="E1431" t="s">
        <v>290</v>
      </c>
      <c r="F1431" s="1">
        <v>42863</v>
      </c>
      <c r="G1431" s="2">
        <v>74.2</v>
      </c>
      <c r="H1431" s="2"/>
      <c r="I1431" s="2">
        <v>1.0900000000000001</v>
      </c>
      <c r="J1431" s="2"/>
      <c r="K1431" s="2"/>
      <c r="L1431" s="2">
        <v>841.3</v>
      </c>
      <c r="M1431" s="2">
        <v>841.3</v>
      </c>
      <c r="N1431" s="2">
        <f ca="1">INDEX(INDIRECT(_xlfn.CONCAT("weather.tbl[",N$1,"]")),MATCH(vp.tbl[[#This Row],[SDate]],weather.tbl[Date],0))</f>
        <v>10.516666666666667</v>
      </c>
      <c r="O1431" s="2">
        <f ca="1">INDEX(INDIRECT(_xlfn.CONCAT("weather.tbl[",O$1,"]")),MATCH(vp.tbl[[#This Row],[SDate]],weather.tbl[Date],0))</f>
        <v>13.452380952380953</v>
      </c>
      <c r="P1431" s="2">
        <f ca="1">INDEX(INDIRECT(_xlfn.CONCAT("weather.tbl[",P$1,"]")),MATCH(vp.tbl[[#This Row],[SDate]],weather.tbl[Date],0))</f>
        <v>11</v>
      </c>
      <c r="Q1431" s="2">
        <f ca="1">INDEX(INDIRECT(_xlfn.CONCAT("weather.tbl[",Q$1,"]")),MATCH(vp.tbl[[#This Row],[SDate]],weather.tbl[Date],0))</f>
        <v>9.1</v>
      </c>
      <c r="R1431" s="2">
        <f ca="1">INDEX(INDIRECT(_xlfn.CONCAT("weather.tbl[",R$1,"]")),MATCH(vp.tbl[[#This Row],[SDate]],weather.tbl[Date],0))</f>
        <v>12.3</v>
      </c>
      <c r="S1431" s="2">
        <f ca="1">INDEX(INDIRECT(_xlfn.CONCAT("weather.tbl[",S$1,"]")),MATCH(vp.tbl[[#This Row],[SDate]],weather.tbl[Date],0))</f>
        <v>8.5</v>
      </c>
      <c r="T1431" s="2">
        <f ca="1">INDEX(INDIRECT(_xlfn.CONCAT("weather.tbl[",T$1,"]")),MATCH(vp.tbl[[#This Row],[SDate]],weather.tbl[Date],0))</f>
        <v>11.7</v>
      </c>
      <c r="U1431" s="2">
        <f ca="1">INDEX(INDIRECT(_xlfn.CONCAT("weather.tbl[",U$1,"]")),MATCH(vp.tbl[[#This Row],[SDate]],weather.tbl[Date],0))</f>
        <v>10.5</v>
      </c>
      <c r="V1431" s="2">
        <v>118292.008</v>
      </c>
      <c r="W1431" t="s">
        <v>48</v>
      </c>
      <c r="X1431">
        <f>IF(OR(vp.tbl[[#This Row],[Sulf]]="",vp.tbl[[#This Row],[Dens]]=""),1,0)</f>
        <v>0</v>
      </c>
      <c r="Y1431">
        <f>IF(vp.tbl[[#This Row],[CrudeType]]="C5+",1,0)</f>
        <v>0</v>
      </c>
      <c r="Z1431">
        <f>IF(AND(vp.tbl[[#This Row],[CrudeType]]="Crude",vp.tbl[[#This Row],[Dens]]&lt;=825,vp.tbl[[#This Row],[Sulf]]&gt;0.5,vp.tbl[[#This Row],[Unknown]]=0),1,0)</f>
        <v>0</v>
      </c>
      <c r="AA1431">
        <f>IF(AND(vp.tbl[[#This Row],[CrudeType]]="Crude",vp.tbl[[#This Row],[Dens]]&lt;=825,vp.tbl[[#This Row],[Sulf]]&lt;=0.5,vp.tbl[[#This Row],[Unknown]]=0),1,0)</f>
        <v>0</v>
      </c>
      <c r="AB1431">
        <f>IF(AND(vp.tbl[[#This Row],[CrudeType]]="Crude",vp.tbl[[#This Row],[Dens]]&gt;825,vp.tbl[[#This Row],[Dens]]&lt;=870,vp.tbl[[#This Row],[Sulf]]&gt;0.5,vp.tbl[[#This Row],[Unknown]]=0),1,0)</f>
        <v>1</v>
      </c>
      <c r="AC1431">
        <f>IF(AND(vp.tbl[[#This Row],[CrudeType]]="Crude",vp.tbl[[#This Row],[Dens]]&gt;825,vp.tbl[[#This Row],[Dens]]&lt;=900,vp.tbl[[#This Row],[Sulf]]&lt;=0.5,vp.tbl[[#This Row],[Unknown]]=0),1,0)</f>
        <v>0</v>
      </c>
      <c r="AD1431">
        <f>IF(AND(vp.tbl[[#This Row],[CrudeType]]="Crude",vp.tbl[[#This Row],[Dens]]&gt;870,vp.tbl[[#This Row],[Dens]]&lt;=900,vp.tbl[[#This Row],[Sulf]]&gt;0.5,vp.tbl[[#This Row],[Unknown]]=0),1,0)</f>
        <v>0</v>
      </c>
      <c r="AE1431">
        <f>IF(AND(vp.tbl[[#This Row],[CrudeType]]="Crude",vp.tbl[[#This Row],[Dens]]&gt;900,vp.tbl[[#This Row],[Sulf]]&lt;=0.5,vp.tbl[[#This Row],[Unknown]]=0),1,0)</f>
        <v>0</v>
      </c>
      <c r="AF1431">
        <f>IF(AND(vp.tbl[[#This Row],[CrudeType]]="Crude",vp.tbl[[#This Row],[Dens]]&gt;900,vp.tbl[[#This Row],[Sulf]]&lt;=0.5,vp.tbl[[#This Row],[Unknown]]=0),1,0)</f>
        <v>0</v>
      </c>
      <c r="AG1431" t="str">
        <f>INDEX(vp.tbl[[#Headers],[Unknown]:[Heavy_SW]],MATCH(1,vp.tbl[[#This Row],[Unknown]:[Heavy_SW]],0))</f>
        <v>Medium_LSB</v>
      </c>
      <c r="AH1431" t="e">
        <f>INDEX([1]!crudeBD.lkup[Number],MATCH(vp.tbl[[#This Row],[Crude_Breakdown]],[1]!crudeBD.lkup[Crude Breakdown],0))</f>
        <v>#REF!</v>
      </c>
      <c r="AI1431">
        <f>MONTH(vp.tbl[[#This Row],[SDate]])</f>
        <v>5</v>
      </c>
      <c r="AJ1431" s="5">
        <f>IFERROR(vp.tbl[[#This Row],[Sulf]]*vp.tbl[[#This Row],[Net Dens]],"")</f>
        <v>108475782.300136</v>
      </c>
      <c r="AK1431" s="5">
        <f>IFERROR(vp.tbl[[#This Row],[Dens]]*vp.tbl[[#This Row],[VolumeM3]],"")</f>
        <v>99519066.33039999</v>
      </c>
      <c r="AL1431" s="5">
        <f>IFERROR(vp.tbl[[#This Row],[VP]]*vp.tbl[[#This Row],[VolumeM3]],"")</f>
        <v>8777266.9935999997</v>
      </c>
      <c r="AM1431" s="4">
        <f>IFERROR((vp.tbl[[#This Row],[VP]]-INDEX(crudeBD.lkup.complete[Mean_VP],MATCH(vp.tbl[[#This Row],[Crude_Breakdown]],crudeBD.lkup.complete[Crude Breakdown],0)))^2,"")</f>
        <v>35.683836467873263</v>
      </c>
      <c r="AN1431" s="4">
        <f>IFERROR((vp.tbl[[#This Row],[Dens]]-INDEX(crudeBD.lkup.complete[Mean_Dens],MATCH(vp.tbl[[#This Row],[Crude_Breakdown]],crudeBD.lkup.complete[Crude Breakdown],0)))^2,"")</f>
        <v>15.934649145321776</v>
      </c>
      <c r="AO1431" s="4">
        <f>IFERROR((vp.tbl[[#This Row],[Sulf]]-INDEX(crudeBD.lkup.complete[Mean_Sulf],MATCH(vp.tbl[[#This Row],[Crude_Breakdown]],crudeBD.lkup.complete[Crude Breakdown],0)))^2,"")</f>
        <v>0.13317380327394446</v>
      </c>
      <c r="AP1431">
        <f>IF(AND(vp.tbl[[#This Row],[SDate]]&gt;=DATE(YEAR(vp.tbl[[#This Row],[SDate]]),5,1),vp.tbl[[#This Row],[SDate]]&lt;=DATE(YEAR(vp.tbl[[#This Row],[SDate]]),9,15)),1,0)</f>
        <v>1</v>
      </c>
      <c r="AQ1431" s="15">
        <f>IF(vp.tbl[[#This Row],[SDate]]&lt;DATE(2016,12,1),0,1)</f>
        <v>1</v>
      </c>
    </row>
    <row r="1432" spans="1:43" x14ac:dyDescent="0.25">
      <c r="A1432">
        <v>1431</v>
      </c>
      <c r="B1432" t="s">
        <v>51</v>
      </c>
      <c r="C1432" t="s">
        <v>51</v>
      </c>
      <c r="D1432" t="s">
        <v>95</v>
      </c>
      <c r="F1432" s="1">
        <v>42863</v>
      </c>
      <c r="G1432" s="2">
        <v>71.7</v>
      </c>
      <c r="H1432" s="2"/>
      <c r="I1432" s="2">
        <v>1.19</v>
      </c>
      <c r="J1432" s="2"/>
      <c r="K1432" s="2"/>
      <c r="L1432" s="2">
        <v>842.5</v>
      </c>
      <c r="M1432" s="2">
        <v>842.5</v>
      </c>
      <c r="N1432" s="2">
        <f ca="1">INDEX(INDIRECT(_xlfn.CONCAT("weather.tbl[",N$1,"]")),MATCH(vp.tbl[[#This Row],[SDate]],weather.tbl[Date],0))</f>
        <v>10.516666666666667</v>
      </c>
      <c r="O1432" s="2">
        <f ca="1">INDEX(INDIRECT(_xlfn.CONCAT("weather.tbl[",O$1,"]")),MATCH(vp.tbl[[#This Row],[SDate]],weather.tbl[Date],0))</f>
        <v>13.452380952380953</v>
      </c>
      <c r="P1432" s="2">
        <f ca="1">INDEX(INDIRECT(_xlfn.CONCAT("weather.tbl[",P$1,"]")),MATCH(vp.tbl[[#This Row],[SDate]],weather.tbl[Date],0))</f>
        <v>11</v>
      </c>
      <c r="Q1432" s="2">
        <f ca="1">INDEX(INDIRECT(_xlfn.CONCAT("weather.tbl[",Q$1,"]")),MATCH(vp.tbl[[#This Row],[SDate]],weather.tbl[Date],0))</f>
        <v>9.1</v>
      </c>
      <c r="R1432" s="2">
        <f ca="1">INDEX(INDIRECT(_xlfn.CONCAT("weather.tbl[",R$1,"]")),MATCH(vp.tbl[[#This Row],[SDate]],weather.tbl[Date],0))</f>
        <v>12.3</v>
      </c>
      <c r="S1432" s="2">
        <f ca="1">INDEX(INDIRECT(_xlfn.CONCAT("weather.tbl[",S$1,"]")),MATCH(vp.tbl[[#This Row],[SDate]],weather.tbl[Date],0))</f>
        <v>8.5</v>
      </c>
      <c r="T1432" s="2">
        <f ca="1">INDEX(INDIRECT(_xlfn.CONCAT("weather.tbl[",T$1,"]")),MATCH(vp.tbl[[#This Row],[SDate]],weather.tbl[Date],0))</f>
        <v>11.7</v>
      </c>
      <c r="U1432" s="2">
        <f ca="1">INDEX(INDIRECT(_xlfn.CONCAT("weather.tbl[",U$1,"]")),MATCH(vp.tbl[[#This Row],[SDate]],weather.tbl[Date],0))</f>
        <v>10.5</v>
      </c>
      <c r="V1432" s="2">
        <v>5507.5879999999997</v>
      </c>
      <c r="W1432" t="s">
        <v>48</v>
      </c>
      <c r="X1432">
        <f>IF(OR(vp.tbl[[#This Row],[Sulf]]="",vp.tbl[[#This Row],[Dens]]=""),1,0)</f>
        <v>0</v>
      </c>
      <c r="Y1432">
        <f>IF(vp.tbl[[#This Row],[CrudeType]]="C5+",1,0)</f>
        <v>0</v>
      </c>
      <c r="Z1432">
        <f>IF(AND(vp.tbl[[#This Row],[CrudeType]]="Crude",vp.tbl[[#This Row],[Dens]]&lt;=825,vp.tbl[[#This Row],[Sulf]]&gt;0.5,vp.tbl[[#This Row],[Unknown]]=0),1,0)</f>
        <v>0</v>
      </c>
      <c r="AA1432">
        <f>IF(AND(vp.tbl[[#This Row],[CrudeType]]="Crude",vp.tbl[[#This Row],[Dens]]&lt;=825,vp.tbl[[#This Row],[Sulf]]&lt;=0.5,vp.tbl[[#This Row],[Unknown]]=0),1,0)</f>
        <v>0</v>
      </c>
      <c r="AB1432">
        <f>IF(AND(vp.tbl[[#This Row],[CrudeType]]="Crude",vp.tbl[[#This Row],[Dens]]&gt;825,vp.tbl[[#This Row],[Dens]]&lt;=870,vp.tbl[[#This Row],[Sulf]]&gt;0.5,vp.tbl[[#This Row],[Unknown]]=0),1,0)</f>
        <v>1</v>
      </c>
      <c r="AC1432">
        <f>IF(AND(vp.tbl[[#This Row],[CrudeType]]="Crude",vp.tbl[[#This Row],[Dens]]&gt;825,vp.tbl[[#This Row],[Dens]]&lt;=900,vp.tbl[[#This Row],[Sulf]]&lt;=0.5,vp.tbl[[#This Row],[Unknown]]=0),1,0)</f>
        <v>0</v>
      </c>
      <c r="AD1432">
        <f>IF(AND(vp.tbl[[#This Row],[CrudeType]]="Crude",vp.tbl[[#This Row],[Dens]]&gt;870,vp.tbl[[#This Row],[Dens]]&lt;=900,vp.tbl[[#This Row],[Sulf]]&gt;0.5,vp.tbl[[#This Row],[Unknown]]=0),1,0)</f>
        <v>0</v>
      </c>
      <c r="AE1432">
        <f>IF(AND(vp.tbl[[#This Row],[CrudeType]]="Crude",vp.tbl[[#This Row],[Dens]]&gt;900,vp.tbl[[#This Row],[Sulf]]&lt;=0.5,vp.tbl[[#This Row],[Unknown]]=0),1,0)</f>
        <v>0</v>
      </c>
      <c r="AF1432">
        <f>IF(AND(vp.tbl[[#This Row],[CrudeType]]="Crude",vp.tbl[[#This Row],[Dens]]&gt;900,vp.tbl[[#This Row],[Sulf]]&lt;=0.5,vp.tbl[[#This Row],[Unknown]]=0),1,0)</f>
        <v>0</v>
      </c>
      <c r="AG1432" t="str">
        <f>INDEX(vp.tbl[[#Headers],[Unknown]:[Heavy_SW]],MATCH(1,vp.tbl[[#This Row],[Unknown]:[Heavy_SW]],0))</f>
        <v>Medium_LSB</v>
      </c>
      <c r="AH1432" t="e">
        <f>INDEX([1]!crudeBD.lkup[Number],MATCH(vp.tbl[[#This Row],[Crude_Breakdown]],[1]!crudeBD.lkup[Crude Breakdown],0))</f>
        <v>#REF!</v>
      </c>
      <c r="AI1432">
        <f>MONTH(vp.tbl[[#This Row],[SDate]])</f>
        <v>5</v>
      </c>
      <c r="AJ1432" s="5">
        <f>IFERROR(vp.tbl[[#This Row],[Sulf]]*vp.tbl[[#This Row],[Net Dens]],"")</f>
        <v>5521770.0390999997</v>
      </c>
      <c r="AK1432" s="5">
        <f>IFERROR(vp.tbl[[#This Row],[Dens]]*vp.tbl[[#This Row],[VolumeM3]],"")</f>
        <v>4640142.8899999997</v>
      </c>
      <c r="AL1432" s="5">
        <f>IFERROR(vp.tbl[[#This Row],[VP]]*vp.tbl[[#This Row],[VolumeM3]],"")</f>
        <v>394894.05959999998</v>
      </c>
      <c r="AM1432" s="4">
        <f>IFERROR((vp.tbl[[#This Row],[VP]]-INDEX(crudeBD.lkup.complete[Mean_VP],MATCH(vp.tbl[[#This Row],[Crude_Breakdown]],crudeBD.lkup.complete[Crude Breakdown],0)))^2,"")</f>
        <v>71.801811151417368</v>
      </c>
      <c r="AN1432" s="4">
        <f>IFERROR((vp.tbl[[#This Row],[Dens]]-INDEX(crudeBD.lkup.complete[Mean_Dens],MATCH(vp.tbl[[#This Row],[Crude_Breakdown]],crudeBD.lkup.complete[Crude Breakdown],0)))^2,"")</f>
        <v>7.7942744617794721</v>
      </c>
      <c r="AO1432" s="4">
        <f>IFERROR((vp.tbl[[#This Row],[Sulf]]-INDEX(crudeBD.lkup.complete[Mean_Sulf],MATCH(vp.tbl[[#This Row],[Crude_Breakdown]],crudeBD.lkup.complete[Crude Breakdown],0)))^2,"")</f>
        <v>7.0187831122045519E-2</v>
      </c>
      <c r="AP1432">
        <f>IF(AND(vp.tbl[[#This Row],[SDate]]&gt;=DATE(YEAR(vp.tbl[[#This Row],[SDate]]),5,1),vp.tbl[[#This Row],[SDate]]&lt;=DATE(YEAR(vp.tbl[[#This Row],[SDate]]),9,15)),1,0)</f>
        <v>1</v>
      </c>
      <c r="AQ1432" s="15">
        <f>IF(vp.tbl[[#This Row],[SDate]]&lt;DATE(2016,12,1),0,1)</f>
        <v>1</v>
      </c>
    </row>
    <row r="1433" spans="1:43" x14ac:dyDescent="0.25">
      <c r="A1433">
        <v>1432</v>
      </c>
      <c r="B1433" t="s">
        <v>49</v>
      </c>
      <c r="C1433" t="s">
        <v>49</v>
      </c>
      <c r="D1433" t="s">
        <v>90</v>
      </c>
      <c r="F1433" s="1">
        <v>42863</v>
      </c>
      <c r="G1433" s="2">
        <v>65.2</v>
      </c>
      <c r="H1433" s="2"/>
      <c r="I1433" s="2">
        <v>1.28</v>
      </c>
      <c r="J1433" s="2"/>
      <c r="K1433" s="2"/>
      <c r="L1433" s="2">
        <v>846.3</v>
      </c>
      <c r="M1433" s="2">
        <v>846.3</v>
      </c>
      <c r="N1433" s="2">
        <f ca="1">INDEX(INDIRECT(_xlfn.CONCAT("weather.tbl[",N$1,"]")),MATCH(vp.tbl[[#This Row],[SDate]],weather.tbl[Date],0))</f>
        <v>10.516666666666667</v>
      </c>
      <c r="O1433" s="2">
        <f ca="1">INDEX(INDIRECT(_xlfn.CONCAT("weather.tbl[",O$1,"]")),MATCH(vp.tbl[[#This Row],[SDate]],weather.tbl[Date],0))</f>
        <v>13.452380952380953</v>
      </c>
      <c r="P1433" s="2">
        <f ca="1">INDEX(INDIRECT(_xlfn.CONCAT("weather.tbl[",P$1,"]")),MATCH(vp.tbl[[#This Row],[SDate]],weather.tbl[Date],0))</f>
        <v>11</v>
      </c>
      <c r="Q1433" s="2">
        <f ca="1">INDEX(INDIRECT(_xlfn.CONCAT("weather.tbl[",Q$1,"]")),MATCH(vp.tbl[[#This Row],[SDate]],weather.tbl[Date],0))</f>
        <v>9.1</v>
      </c>
      <c r="R1433" s="2">
        <f ca="1">INDEX(INDIRECT(_xlfn.CONCAT("weather.tbl[",R$1,"]")),MATCH(vp.tbl[[#This Row],[SDate]],weather.tbl[Date],0))</f>
        <v>12.3</v>
      </c>
      <c r="S1433" s="2">
        <f ca="1">INDEX(INDIRECT(_xlfn.CONCAT("weather.tbl[",S$1,"]")),MATCH(vp.tbl[[#This Row],[SDate]],weather.tbl[Date],0))</f>
        <v>8.5</v>
      </c>
      <c r="T1433" s="2">
        <f ca="1">INDEX(INDIRECT(_xlfn.CONCAT("weather.tbl[",T$1,"]")),MATCH(vp.tbl[[#This Row],[SDate]],weather.tbl[Date],0))</f>
        <v>11.7</v>
      </c>
      <c r="U1433" s="2">
        <f ca="1">INDEX(INDIRECT(_xlfn.CONCAT("weather.tbl[",U$1,"]")),MATCH(vp.tbl[[#This Row],[SDate]],weather.tbl[Date],0))</f>
        <v>10.5</v>
      </c>
      <c r="V1433" s="2">
        <v>4681.2809999999999</v>
      </c>
      <c r="W1433" t="s">
        <v>48</v>
      </c>
      <c r="X1433">
        <f>IF(OR(vp.tbl[[#This Row],[Sulf]]="",vp.tbl[[#This Row],[Dens]]=""),1,0)</f>
        <v>0</v>
      </c>
      <c r="Y1433">
        <f>IF(vp.tbl[[#This Row],[CrudeType]]="C5+",1,0)</f>
        <v>0</v>
      </c>
      <c r="Z1433">
        <f>IF(AND(vp.tbl[[#This Row],[CrudeType]]="Crude",vp.tbl[[#This Row],[Dens]]&lt;=825,vp.tbl[[#This Row],[Sulf]]&gt;0.5,vp.tbl[[#This Row],[Unknown]]=0),1,0)</f>
        <v>0</v>
      </c>
      <c r="AA1433">
        <f>IF(AND(vp.tbl[[#This Row],[CrudeType]]="Crude",vp.tbl[[#This Row],[Dens]]&lt;=825,vp.tbl[[#This Row],[Sulf]]&lt;=0.5,vp.tbl[[#This Row],[Unknown]]=0),1,0)</f>
        <v>0</v>
      </c>
      <c r="AB1433">
        <f>IF(AND(vp.tbl[[#This Row],[CrudeType]]="Crude",vp.tbl[[#This Row],[Dens]]&gt;825,vp.tbl[[#This Row],[Dens]]&lt;=870,vp.tbl[[#This Row],[Sulf]]&gt;0.5,vp.tbl[[#This Row],[Unknown]]=0),1,0)</f>
        <v>1</v>
      </c>
      <c r="AC1433">
        <f>IF(AND(vp.tbl[[#This Row],[CrudeType]]="Crude",vp.tbl[[#This Row],[Dens]]&gt;825,vp.tbl[[#This Row],[Dens]]&lt;=900,vp.tbl[[#This Row],[Sulf]]&lt;=0.5,vp.tbl[[#This Row],[Unknown]]=0),1,0)</f>
        <v>0</v>
      </c>
      <c r="AD1433">
        <f>IF(AND(vp.tbl[[#This Row],[CrudeType]]="Crude",vp.tbl[[#This Row],[Dens]]&gt;870,vp.tbl[[#This Row],[Dens]]&lt;=900,vp.tbl[[#This Row],[Sulf]]&gt;0.5,vp.tbl[[#This Row],[Unknown]]=0),1,0)</f>
        <v>0</v>
      </c>
      <c r="AE1433">
        <f>IF(AND(vp.tbl[[#This Row],[CrudeType]]="Crude",vp.tbl[[#This Row],[Dens]]&gt;900,vp.tbl[[#This Row],[Sulf]]&lt;=0.5,vp.tbl[[#This Row],[Unknown]]=0),1,0)</f>
        <v>0</v>
      </c>
      <c r="AF1433">
        <f>IF(AND(vp.tbl[[#This Row],[CrudeType]]="Crude",vp.tbl[[#This Row],[Dens]]&gt;900,vp.tbl[[#This Row],[Sulf]]&lt;=0.5,vp.tbl[[#This Row],[Unknown]]=0),1,0)</f>
        <v>0</v>
      </c>
      <c r="AG1433" t="str">
        <f>INDEX(vp.tbl[[#Headers],[Unknown]:[Heavy_SW]],MATCH(1,vp.tbl[[#This Row],[Unknown]:[Heavy_SW]],0))</f>
        <v>Medium_LSB</v>
      </c>
      <c r="AH1433" t="e">
        <f>INDEX([1]!crudeBD.lkup[Number],MATCH(vp.tbl[[#This Row],[Crude_Breakdown]],[1]!crudeBD.lkup[Crude Breakdown],0))</f>
        <v>#REF!</v>
      </c>
      <c r="AI1433">
        <f>MONTH(vp.tbl[[#This Row],[SDate]])</f>
        <v>5</v>
      </c>
      <c r="AJ1433" s="5">
        <f>IFERROR(vp.tbl[[#This Row],[Sulf]]*vp.tbl[[#This Row],[Net Dens]],"")</f>
        <v>5071063.1811840003</v>
      </c>
      <c r="AK1433" s="5">
        <f>IFERROR(vp.tbl[[#This Row],[Dens]]*vp.tbl[[#This Row],[VolumeM3]],"")</f>
        <v>3961768.1102999998</v>
      </c>
      <c r="AL1433" s="5">
        <f>IFERROR(vp.tbl[[#This Row],[VP]]*vp.tbl[[#This Row],[VolumeM3]],"")</f>
        <v>305219.52120000002</v>
      </c>
      <c r="AM1433" s="4">
        <f>IFERROR((vp.tbl[[#This Row],[VP]]-INDEX(crudeBD.lkup.complete[Mean_VP],MATCH(vp.tbl[[#This Row],[Crude_Breakdown]],crudeBD.lkup.complete[Crude Breakdown],0)))^2,"")</f>
        <v>224.20854532863206</v>
      </c>
      <c r="AN1433" s="4">
        <f>IFERROR((vp.tbl[[#This Row],[Dens]]-INDEX(crudeBD.lkup.complete[Mean_Dens],MATCH(vp.tbl[[#This Row],[Crude_Breakdown]],crudeBD.lkup.complete[Crude Breakdown],0)))^2,"")</f>
        <v>1.016421297229902</v>
      </c>
      <c r="AO1433" s="4">
        <f>IFERROR((vp.tbl[[#This Row],[Sulf]]-INDEX(crudeBD.lkup.complete[Mean_Sulf],MATCH(vp.tbl[[#This Row],[Crude_Breakdown]],crudeBD.lkup.complete[Crude Breakdown],0)))^2,"")</f>
        <v>3.0600456185336352E-2</v>
      </c>
      <c r="AP1433">
        <f>IF(AND(vp.tbl[[#This Row],[SDate]]&gt;=DATE(YEAR(vp.tbl[[#This Row],[SDate]]),5,1),vp.tbl[[#This Row],[SDate]]&lt;=DATE(YEAR(vp.tbl[[#This Row],[SDate]]),9,15)),1,0)</f>
        <v>1</v>
      </c>
      <c r="AQ1433" s="15">
        <f>IF(vp.tbl[[#This Row],[SDate]]&lt;DATE(2016,12,1),0,1)</f>
        <v>1</v>
      </c>
    </row>
    <row r="1434" spans="1:43" x14ac:dyDescent="0.25">
      <c r="A1434">
        <v>1433</v>
      </c>
      <c r="B1434" t="s">
        <v>49</v>
      </c>
      <c r="C1434" t="s">
        <v>49</v>
      </c>
      <c r="D1434" t="s">
        <v>59</v>
      </c>
      <c r="F1434" s="1">
        <v>42863</v>
      </c>
      <c r="G1434" s="2">
        <v>77.2</v>
      </c>
      <c r="H1434" s="2"/>
      <c r="I1434" s="2">
        <v>1.43</v>
      </c>
      <c r="J1434" s="2"/>
      <c r="K1434" s="2"/>
      <c r="L1434" s="2">
        <v>845.6</v>
      </c>
      <c r="M1434" s="2">
        <v>845.6</v>
      </c>
      <c r="N1434" s="2">
        <f ca="1">INDEX(INDIRECT(_xlfn.CONCAT("weather.tbl[",N$1,"]")),MATCH(vp.tbl[[#This Row],[SDate]],weather.tbl[Date],0))</f>
        <v>10.516666666666667</v>
      </c>
      <c r="O1434" s="2">
        <f ca="1">INDEX(INDIRECT(_xlfn.CONCAT("weather.tbl[",O$1,"]")),MATCH(vp.tbl[[#This Row],[SDate]],weather.tbl[Date],0))</f>
        <v>13.452380952380953</v>
      </c>
      <c r="P1434" s="2">
        <f ca="1">INDEX(INDIRECT(_xlfn.CONCAT("weather.tbl[",P$1,"]")),MATCH(vp.tbl[[#This Row],[SDate]],weather.tbl[Date],0))</f>
        <v>11</v>
      </c>
      <c r="Q1434" s="2">
        <f ca="1">INDEX(INDIRECT(_xlfn.CONCAT("weather.tbl[",Q$1,"]")),MATCH(vp.tbl[[#This Row],[SDate]],weather.tbl[Date],0))</f>
        <v>9.1</v>
      </c>
      <c r="R1434" s="2">
        <f ca="1">INDEX(INDIRECT(_xlfn.CONCAT("weather.tbl[",R$1,"]")),MATCH(vp.tbl[[#This Row],[SDate]],weather.tbl[Date],0))</f>
        <v>12.3</v>
      </c>
      <c r="S1434" s="2">
        <f ca="1">INDEX(INDIRECT(_xlfn.CONCAT("weather.tbl[",S$1,"]")),MATCH(vp.tbl[[#This Row],[SDate]],weather.tbl[Date],0))</f>
        <v>8.5</v>
      </c>
      <c r="T1434" s="2">
        <f ca="1">INDEX(INDIRECT(_xlfn.CONCAT("weather.tbl[",T$1,"]")),MATCH(vp.tbl[[#This Row],[SDate]],weather.tbl[Date],0))</f>
        <v>11.7</v>
      </c>
      <c r="U1434" s="2">
        <f ca="1">INDEX(INDIRECT(_xlfn.CONCAT("weather.tbl[",U$1,"]")),MATCH(vp.tbl[[#This Row],[SDate]],weather.tbl[Date],0))</f>
        <v>10.5</v>
      </c>
      <c r="V1434" s="2">
        <v>1309.8610000000001</v>
      </c>
      <c r="W1434" t="s">
        <v>48</v>
      </c>
      <c r="X1434">
        <f>IF(OR(vp.tbl[[#This Row],[Sulf]]="",vp.tbl[[#This Row],[Dens]]=""),1,0)</f>
        <v>0</v>
      </c>
      <c r="Y1434">
        <f>IF(vp.tbl[[#This Row],[CrudeType]]="C5+",1,0)</f>
        <v>0</v>
      </c>
      <c r="Z1434">
        <f>IF(AND(vp.tbl[[#This Row],[CrudeType]]="Crude",vp.tbl[[#This Row],[Dens]]&lt;=825,vp.tbl[[#This Row],[Sulf]]&gt;0.5,vp.tbl[[#This Row],[Unknown]]=0),1,0)</f>
        <v>0</v>
      </c>
      <c r="AA1434">
        <f>IF(AND(vp.tbl[[#This Row],[CrudeType]]="Crude",vp.tbl[[#This Row],[Dens]]&lt;=825,vp.tbl[[#This Row],[Sulf]]&lt;=0.5,vp.tbl[[#This Row],[Unknown]]=0),1,0)</f>
        <v>0</v>
      </c>
      <c r="AB1434">
        <f>IF(AND(vp.tbl[[#This Row],[CrudeType]]="Crude",vp.tbl[[#This Row],[Dens]]&gt;825,vp.tbl[[#This Row],[Dens]]&lt;=870,vp.tbl[[#This Row],[Sulf]]&gt;0.5,vp.tbl[[#This Row],[Unknown]]=0),1,0)</f>
        <v>1</v>
      </c>
      <c r="AC1434">
        <f>IF(AND(vp.tbl[[#This Row],[CrudeType]]="Crude",vp.tbl[[#This Row],[Dens]]&gt;825,vp.tbl[[#This Row],[Dens]]&lt;=900,vp.tbl[[#This Row],[Sulf]]&lt;=0.5,vp.tbl[[#This Row],[Unknown]]=0),1,0)</f>
        <v>0</v>
      </c>
      <c r="AD1434">
        <f>IF(AND(vp.tbl[[#This Row],[CrudeType]]="Crude",vp.tbl[[#This Row],[Dens]]&gt;870,vp.tbl[[#This Row],[Dens]]&lt;=900,vp.tbl[[#This Row],[Sulf]]&gt;0.5,vp.tbl[[#This Row],[Unknown]]=0),1,0)</f>
        <v>0</v>
      </c>
      <c r="AE1434">
        <f>IF(AND(vp.tbl[[#This Row],[CrudeType]]="Crude",vp.tbl[[#This Row],[Dens]]&gt;900,vp.tbl[[#This Row],[Sulf]]&lt;=0.5,vp.tbl[[#This Row],[Unknown]]=0),1,0)</f>
        <v>0</v>
      </c>
      <c r="AF1434">
        <f>IF(AND(vp.tbl[[#This Row],[CrudeType]]="Crude",vp.tbl[[#This Row],[Dens]]&gt;900,vp.tbl[[#This Row],[Sulf]]&lt;=0.5,vp.tbl[[#This Row],[Unknown]]=0),1,0)</f>
        <v>0</v>
      </c>
      <c r="AG1434" t="str">
        <f>INDEX(vp.tbl[[#Headers],[Unknown]:[Heavy_SW]],MATCH(1,vp.tbl[[#This Row],[Unknown]:[Heavy_SW]],0))</f>
        <v>Medium_LSB</v>
      </c>
      <c r="AH1434" t="e">
        <f>INDEX([1]!crudeBD.lkup[Number],MATCH(vp.tbl[[#This Row],[Crude_Breakdown]],[1]!crudeBD.lkup[Crude Breakdown],0))</f>
        <v>#REF!</v>
      </c>
      <c r="AI1434">
        <f>MONTH(vp.tbl[[#This Row],[SDate]])</f>
        <v>5</v>
      </c>
      <c r="AJ1434" s="5">
        <f>IFERROR(vp.tbl[[#This Row],[Sulf]]*vp.tbl[[#This Row],[Net Dens]],"")</f>
        <v>1583894.4000879999</v>
      </c>
      <c r="AK1434" s="5">
        <f>IFERROR(vp.tbl[[#This Row],[Dens]]*vp.tbl[[#This Row],[VolumeM3]],"")</f>
        <v>1107618.4616</v>
      </c>
      <c r="AL1434" s="5">
        <f>IFERROR(vp.tbl[[#This Row],[VP]]*vp.tbl[[#This Row],[VolumeM3]],"")</f>
        <v>101121.26920000001</v>
      </c>
      <c r="AM1434" s="4">
        <f>IFERROR((vp.tbl[[#This Row],[VP]]-INDEX(crudeBD.lkup.complete[Mean_VP],MATCH(vp.tbl[[#This Row],[Crude_Breakdown]],crudeBD.lkup.complete[Crude Breakdown],0)))^2,"")</f>
        <v>8.842266847620337</v>
      </c>
      <c r="AN1434" s="4">
        <f>IFERROR((vp.tbl[[#This Row],[Dens]]-INDEX(crudeBD.lkup.complete[Mean_Dens],MATCH(vp.tbl[[#This Row],[Crude_Breakdown]],crudeBD.lkup.complete[Crude Breakdown],0)))^2,"")</f>
        <v>9.4973195962806456E-2</v>
      </c>
      <c r="AO1434" s="4">
        <f>IFERROR((vp.tbl[[#This Row],[Sulf]]-INDEX(crudeBD.lkup.complete[Mean_Sulf],MATCH(vp.tbl[[#This Row],[Crude_Breakdown]],crudeBD.lkup.complete[Crude Breakdown],0)))^2,"")</f>
        <v>6.2149795748781933E-4</v>
      </c>
      <c r="AP1434">
        <f>IF(AND(vp.tbl[[#This Row],[SDate]]&gt;=DATE(YEAR(vp.tbl[[#This Row],[SDate]]),5,1),vp.tbl[[#This Row],[SDate]]&lt;=DATE(YEAR(vp.tbl[[#This Row],[SDate]]),9,15)),1,0)</f>
        <v>1</v>
      </c>
      <c r="AQ1434" s="15">
        <f>IF(vp.tbl[[#This Row],[SDate]]&lt;DATE(2016,12,1),0,1)</f>
        <v>1</v>
      </c>
    </row>
    <row r="1435" spans="1:43" x14ac:dyDescent="0.25">
      <c r="A1435">
        <v>1434</v>
      </c>
      <c r="B1435" t="s">
        <v>62</v>
      </c>
      <c r="C1435" t="s">
        <v>62</v>
      </c>
      <c r="D1435" t="s">
        <v>79</v>
      </c>
      <c r="F1435" s="1">
        <v>42863</v>
      </c>
      <c r="G1435" s="2">
        <v>80.2</v>
      </c>
      <c r="H1435" s="2"/>
      <c r="I1435" s="2">
        <v>0.35</v>
      </c>
      <c r="J1435" s="2"/>
      <c r="K1435" s="2"/>
      <c r="L1435" s="2">
        <v>809.1</v>
      </c>
      <c r="M1435" s="2">
        <v>809.1</v>
      </c>
      <c r="N1435" s="2">
        <f ca="1">INDEX(INDIRECT(_xlfn.CONCAT("weather.tbl[",N$1,"]")),MATCH(vp.tbl[[#This Row],[SDate]],weather.tbl[Date],0))</f>
        <v>10.516666666666667</v>
      </c>
      <c r="O1435" s="2">
        <f ca="1">INDEX(INDIRECT(_xlfn.CONCAT("weather.tbl[",O$1,"]")),MATCH(vp.tbl[[#This Row],[SDate]],weather.tbl[Date],0))</f>
        <v>13.452380952380953</v>
      </c>
      <c r="P1435" s="2">
        <f ca="1">INDEX(INDIRECT(_xlfn.CONCAT("weather.tbl[",P$1,"]")),MATCH(vp.tbl[[#This Row],[SDate]],weather.tbl[Date],0))</f>
        <v>11</v>
      </c>
      <c r="Q1435" s="2">
        <f ca="1">INDEX(INDIRECT(_xlfn.CONCAT("weather.tbl[",Q$1,"]")),MATCH(vp.tbl[[#This Row],[SDate]],weather.tbl[Date],0))</f>
        <v>9.1</v>
      </c>
      <c r="R1435" s="2">
        <f ca="1">INDEX(INDIRECT(_xlfn.CONCAT("weather.tbl[",R$1,"]")),MATCH(vp.tbl[[#This Row],[SDate]],weather.tbl[Date],0))</f>
        <v>12.3</v>
      </c>
      <c r="S1435" s="2">
        <f ca="1">INDEX(INDIRECT(_xlfn.CONCAT("weather.tbl[",S$1,"]")),MATCH(vp.tbl[[#This Row],[SDate]],weather.tbl[Date],0))</f>
        <v>8.5</v>
      </c>
      <c r="T1435" s="2">
        <f ca="1">INDEX(INDIRECT(_xlfn.CONCAT("weather.tbl[",T$1,"]")),MATCH(vp.tbl[[#This Row],[SDate]],weather.tbl[Date],0))</f>
        <v>11.7</v>
      </c>
      <c r="U1435" s="2">
        <f ca="1">INDEX(INDIRECT(_xlfn.CONCAT("weather.tbl[",U$1,"]")),MATCH(vp.tbl[[#This Row],[SDate]],weather.tbl[Date],0))</f>
        <v>10.5</v>
      </c>
      <c r="V1435" s="2">
        <v>12983.781000000001</v>
      </c>
      <c r="W1435" t="s">
        <v>48</v>
      </c>
      <c r="X1435">
        <f>IF(OR(vp.tbl[[#This Row],[Sulf]]="",vp.tbl[[#This Row],[Dens]]=""),1,0)</f>
        <v>0</v>
      </c>
      <c r="Y1435">
        <f>IF(vp.tbl[[#This Row],[CrudeType]]="C5+",1,0)</f>
        <v>0</v>
      </c>
      <c r="Z1435">
        <f>IF(AND(vp.tbl[[#This Row],[CrudeType]]="Crude",vp.tbl[[#This Row],[Dens]]&lt;=825,vp.tbl[[#This Row],[Sulf]]&gt;0.5,vp.tbl[[#This Row],[Unknown]]=0),1,0)</f>
        <v>0</v>
      </c>
      <c r="AA1435">
        <f>IF(AND(vp.tbl[[#This Row],[CrudeType]]="Crude",vp.tbl[[#This Row],[Dens]]&lt;=825,vp.tbl[[#This Row],[Sulf]]&lt;=0.5,vp.tbl[[#This Row],[Unknown]]=0),1,0)</f>
        <v>1</v>
      </c>
      <c r="AB1435">
        <f>IF(AND(vp.tbl[[#This Row],[CrudeType]]="Crude",vp.tbl[[#This Row],[Dens]]&gt;825,vp.tbl[[#This Row],[Dens]]&lt;=870,vp.tbl[[#This Row],[Sulf]]&gt;0.5,vp.tbl[[#This Row],[Unknown]]=0),1,0)</f>
        <v>0</v>
      </c>
      <c r="AC1435">
        <f>IF(AND(vp.tbl[[#This Row],[CrudeType]]="Crude",vp.tbl[[#This Row],[Dens]]&gt;825,vp.tbl[[#This Row],[Dens]]&lt;=900,vp.tbl[[#This Row],[Sulf]]&lt;=0.5,vp.tbl[[#This Row],[Unknown]]=0),1,0)</f>
        <v>0</v>
      </c>
      <c r="AD1435">
        <f>IF(AND(vp.tbl[[#This Row],[CrudeType]]="Crude",vp.tbl[[#This Row],[Dens]]&gt;870,vp.tbl[[#This Row],[Dens]]&lt;=900,vp.tbl[[#This Row],[Sulf]]&gt;0.5,vp.tbl[[#This Row],[Unknown]]=0),1,0)</f>
        <v>0</v>
      </c>
      <c r="AE1435">
        <f>IF(AND(vp.tbl[[#This Row],[CrudeType]]="Crude",vp.tbl[[#This Row],[Dens]]&gt;900,vp.tbl[[#This Row],[Sulf]]&lt;=0.5,vp.tbl[[#This Row],[Unknown]]=0),1,0)</f>
        <v>0</v>
      </c>
      <c r="AF1435">
        <f>IF(AND(vp.tbl[[#This Row],[CrudeType]]="Crude",vp.tbl[[#This Row],[Dens]]&gt;900,vp.tbl[[#This Row],[Sulf]]&lt;=0.5,vp.tbl[[#This Row],[Unknown]]=0),1,0)</f>
        <v>0</v>
      </c>
      <c r="AG1435" t="str">
        <f>INDEX(vp.tbl[[#Headers],[Unknown]:[Heavy_SW]],MATCH(1,vp.tbl[[#This Row],[Unknown]:[Heavy_SW]],0))</f>
        <v>Light_SW</v>
      </c>
      <c r="AH1435" t="e">
        <f>INDEX([1]!crudeBD.lkup[Number],MATCH(vp.tbl[[#This Row],[Crude_Breakdown]],[1]!crudeBD.lkup[Crude Breakdown],0))</f>
        <v>#REF!</v>
      </c>
      <c r="AI1435">
        <f>MONTH(vp.tbl[[#This Row],[SDate]])</f>
        <v>5</v>
      </c>
      <c r="AJ1435" s="5">
        <f>IFERROR(vp.tbl[[#This Row],[Sulf]]*vp.tbl[[#This Row],[Net Dens]],"")</f>
        <v>3676812.0224849996</v>
      </c>
      <c r="AK1435" s="5">
        <f>IFERROR(vp.tbl[[#This Row],[Dens]]*vp.tbl[[#This Row],[VolumeM3]],"")</f>
        <v>10505177.2071</v>
      </c>
      <c r="AL1435" s="5">
        <f>IFERROR(vp.tbl[[#This Row],[VP]]*vp.tbl[[#This Row],[VolumeM3]],"")</f>
        <v>1041299.2362000002</v>
      </c>
      <c r="AM1435" s="4">
        <f>IFERROR((vp.tbl[[#This Row],[VP]]-INDEX(crudeBD.lkup.complete[Mean_VP],MATCH(vp.tbl[[#This Row],[Crude_Breakdown]],crudeBD.lkup.complete[Crude Breakdown],0)))^2,"")</f>
        <v>152.53024574293647</v>
      </c>
      <c r="AN1435" s="4">
        <f>IFERROR((vp.tbl[[#This Row],[Dens]]-INDEX(crudeBD.lkup.complete[Mean_Dens],MATCH(vp.tbl[[#This Row],[Crude_Breakdown]],crudeBD.lkup.complete[Crude Breakdown],0)))^2,"")</f>
        <v>0.6217349973901749</v>
      </c>
      <c r="AO1435" s="4">
        <f>IFERROR((vp.tbl[[#This Row],[Sulf]]-INDEX(crudeBD.lkup.complete[Mean_Sulf],MATCH(vp.tbl[[#This Row],[Crude_Breakdown]],crudeBD.lkup.complete[Crude Breakdown],0)))^2,"")</f>
        <v>1.2940925371923933E-2</v>
      </c>
      <c r="AP1435">
        <f>IF(AND(vp.tbl[[#This Row],[SDate]]&gt;=DATE(YEAR(vp.tbl[[#This Row],[SDate]]),5,1),vp.tbl[[#This Row],[SDate]]&lt;=DATE(YEAR(vp.tbl[[#This Row],[SDate]]),9,15)),1,0)</f>
        <v>1</v>
      </c>
      <c r="AQ1435" s="15">
        <f>IF(vp.tbl[[#This Row],[SDate]]&lt;DATE(2016,12,1),0,1)</f>
        <v>1</v>
      </c>
    </row>
    <row r="1436" spans="1:43" x14ac:dyDescent="0.25">
      <c r="A1436">
        <v>1435</v>
      </c>
      <c r="B1436" t="s">
        <v>62</v>
      </c>
      <c r="C1436" t="s">
        <v>62</v>
      </c>
      <c r="D1436" t="s">
        <v>83</v>
      </c>
      <c r="F1436" s="1">
        <v>42863</v>
      </c>
      <c r="G1436" s="2">
        <v>80.900000000000006</v>
      </c>
      <c r="H1436" s="2"/>
      <c r="I1436" s="2">
        <v>0.19</v>
      </c>
      <c r="J1436" s="2"/>
      <c r="K1436" s="2"/>
      <c r="L1436" s="2">
        <v>809.5</v>
      </c>
      <c r="M1436" s="2">
        <v>809.5</v>
      </c>
      <c r="N1436" s="2">
        <f ca="1">INDEX(INDIRECT(_xlfn.CONCAT("weather.tbl[",N$1,"]")),MATCH(vp.tbl[[#This Row],[SDate]],weather.tbl[Date],0))</f>
        <v>10.516666666666667</v>
      </c>
      <c r="O1436" s="2">
        <f ca="1">INDEX(INDIRECT(_xlfn.CONCAT("weather.tbl[",O$1,"]")),MATCH(vp.tbl[[#This Row],[SDate]],weather.tbl[Date],0))</f>
        <v>13.452380952380953</v>
      </c>
      <c r="P1436" s="2">
        <f ca="1">INDEX(INDIRECT(_xlfn.CONCAT("weather.tbl[",P$1,"]")),MATCH(vp.tbl[[#This Row],[SDate]],weather.tbl[Date],0))</f>
        <v>11</v>
      </c>
      <c r="Q1436" s="2">
        <f ca="1">INDEX(INDIRECT(_xlfn.CONCAT("weather.tbl[",Q$1,"]")),MATCH(vp.tbl[[#This Row],[SDate]],weather.tbl[Date],0))</f>
        <v>9.1</v>
      </c>
      <c r="R1436" s="2">
        <f ca="1">INDEX(INDIRECT(_xlfn.CONCAT("weather.tbl[",R$1,"]")),MATCH(vp.tbl[[#This Row],[SDate]],weather.tbl[Date],0))</f>
        <v>12.3</v>
      </c>
      <c r="S1436" s="2">
        <f ca="1">INDEX(INDIRECT(_xlfn.CONCAT("weather.tbl[",S$1,"]")),MATCH(vp.tbl[[#This Row],[SDate]],weather.tbl[Date],0))</f>
        <v>8.5</v>
      </c>
      <c r="T1436" s="2">
        <f ca="1">INDEX(INDIRECT(_xlfn.CONCAT("weather.tbl[",T$1,"]")),MATCH(vp.tbl[[#This Row],[SDate]],weather.tbl[Date],0))</f>
        <v>11.7</v>
      </c>
      <c r="U1436" s="2">
        <f ca="1">INDEX(INDIRECT(_xlfn.CONCAT("weather.tbl[",U$1,"]")),MATCH(vp.tbl[[#This Row],[SDate]],weather.tbl[Date],0))</f>
        <v>10.5</v>
      </c>
      <c r="V1436" s="2">
        <v>8729.3289999999997</v>
      </c>
      <c r="W1436" t="s">
        <v>48</v>
      </c>
      <c r="X1436">
        <f>IF(OR(vp.tbl[[#This Row],[Sulf]]="",vp.tbl[[#This Row],[Dens]]=""),1,0)</f>
        <v>0</v>
      </c>
      <c r="Y1436">
        <f>IF(vp.tbl[[#This Row],[CrudeType]]="C5+",1,0)</f>
        <v>0</v>
      </c>
      <c r="Z1436">
        <f>IF(AND(vp.tbl[[#This Row],[CrudeType]]="Crude",vp.tbl[[#This Row],[Dens]]&lt;=825,vp.tbl[[#This Row],[Sulf]]&gt;0.5,vp.tbl[[#This Row],[Unknown]]=0),1,0)</f>
        <v>0</v>
      </c>
      <c r="AA1436">
        <f>IF(AND(vp.tbl[[#This Row],[CrudeType]]="Crude",vp.tbl[[#This Row],[Dens]]&lt;=825,vp.tbl[[#This Row],[Sulf]]&lt;=0.5,vp.tbl[[#This Row],[Unknown]]=0),1,0)</f>
        <v>1</v>
      </c>
      <c r="AB1436">
        <f>IF(AND(vp.tbl[[#This Row],[CrudeType]]="Crude",vp.tbl[[#This Row],[Dens]]&gt;825,vp.tbl[[#This Row],[Dens]]&lt;=870,vp.tbl[[#This Row],[Sulf]]&gt;0.5,vp.tbl[[#This Row],[Unknown]]=0),1,0)</f>
        <v>0</v>
      </c>
      <c r="AC1436">
        <f>IF(AND(vp.tbl[[#This Row],[CrudeType]]="Crude",vp.tbl[[#This Row],[Dens]]&gt;825,vp.tbl[[#This Row],[Dens]]&lt;=900,vp.tbl[[#This Row],[Sulf]]&lt;=0.5,vp.tbl[[#This Row],[Unknown]]=0),1,0)</f>
        <v>0</v>
      </c>
      <c r="AD1436">
        <f>IF(AND(vp.tbl[[#This Row],[CrudeType]]="Crude",vp.tbl[[#This Row],[Dens]]&gt;870,vp.tbl[[#This Row],[Dens]]&lt;=900,vp.tbl[[#This Row],[Sulf]]&gt;0.5,vp.tbl[[#This Row],[Unknown]]=0),1,0)</f>
        <v>0</v>
      </c>
      <c r="AE1436">
        <f>IF(AND(vp.tbl[[#This Row],[CrudeType]]="Crude",vp.tbl[[#This Row],[Dens]]&gt;900,vp.tbl[[#This Row],[Sulf]]&lt;=0.5,vp.tbl[[#This Row],[Unknown]]=0),1,0)</f>
        <v>0</v>
      </c>
      <c r="AF1436">
        <f>IF(AND(vp.tbl[[#This Row],[CrudeType]]="Crude",vp.tbl[[#This Row],[Dens]]&gt;900,vp.tbl[[#This Row],[Sulf]]&lt;=0.5,vp.tbl[[#This Row],[Unknown]]=0),1,0)</f>
        <v>0</v>
      </c>
      <c r="AG1436" t="str">
        <f>INDEX(vp.tbl[[#Headers],[Unknown]:[Heavy_SW]],MATCH(1,vp.tbl[[#This Row],[Unknown]:[Heavy_SW]],0))</f>
        <v>Light_SW</v>
      </c>
      <c r="AH1436" t="e">
        <f>INDEX([1]!crudeBD.lkup[Number],MATCH(vp.tbl[[#This Row],[Crude_Breakdown]],[1]!crudeBD.lkup[Crude Breakdown],0))</f>
        <v>#REF!</v>
      </c>
      <c r="AI1436">
        <f>MONTH(vp.tbl[[#This Row],[SDate]])</f>
        <v>5</v>
      </c>
      <c r="AJ1436" s="5">
        <f>IFERROR(vp.tbl[[#This Row],[Sulf]]*vp.tbl[[#This Row],[Net Dens]],"")</f>
        <v>1342614.4468449999</v>
      </c>
      <c r="AK1436" s="5">
        <f>IFERROR(vp.tbl[[#This Row],[Dens]]*vp.tbl[[#This Row],[VolumeM3]],"")</f>
        <v>7066391.8254999993</v>
      </c>
      <c r="AL1436" s="5">
        <f>IFERROR(vp.tbl[[#This Row],[VP]]*vp.tbl[[#This Row],[VolumeM3]],"")</f>
        <v>706202.71610000008</v>
      </c>
      <c r="AM1436" s="4">
        <f>IFERROR((vp.tbl[[#This Row],[VP]]-INDEX(crudeBD.lkup.complete[Mean_VP],MATCH(vp.tbl[[#This Row],[Crude_Breakdown]],crudeBD.lkup.complete[Crude Breakdown],0)))^2,"")</f>
        <v>135.7298067185462</v>
      </c>
      <c r="AN1436" s="4">
        <f>IFERROR((vp.tbl[[#This Row],[Dens]]-INDEX(crudeBD.lkup.complete[Mean_Dens],MATCH(vp.tbl[[#This Row],[Crude_Breakdown]],crudeBD.lkup.complete[Crude Breakdown],0)))^2,"")</f>
        <v>1.4125363911185367</v>
      </c>
      <c r="AO1436" s="4">
        <f>IFERROR((vp.tbl[[#This Row],[Sulf]]-INDEX(crudeBD.lkup.complete[Mean_Sulf],MATCH(vp.tbl[[#This Row],[Crude_Breakdown]],crudeBD.lkup.complete[Crude Breakdown],0)))^2,"")</f>
        <v>2.1383051628646554E-3</v>
      </c>
      <c r="AP1436">
        <f>IF(AND(vp.tbl[[#This Row],[SDate]]&gt;=DATE(YEAR(vp.tbl[[#This Row],[SDate]]),5,1),vp.tbl[[#This Row],[SDate]]&lt;=DATE(YEAR(vp.tbl[[#This Row],[SDate]]),9,15)),1,0)</f>
        <v>1</v>
      </c>
      <c r="AQ1436" s="15">
        <f>IF(vp.tbl[[#This Row],[SDate]]&lt;DATE(2016,12,1),0,1)</f>
        <v>1</v>
      </c>
    </row>
    <row r="1437" spans="1:43" x14ac:dyDescent="0.25">
      <c r="A1437">
        <v>1436</v>
      </c>
      <c r="B1437" t="s">
        <v>62</v>
      </c>
      <c r="C1437" t="s">
        <v>62</v>
      </c>
      <c r="D1437" t="s">
        <v>87</v>
      </c>
      <c r="F1437" s="1">
        <v>42863</v>
      </c>
      <c r="G1437" s="2">
        <v>82.1</v>
      </c>
      <c r="H1437" s="2"/>
      <c r="I1437" s="2">
        <v>0.26</v>
      </c>
      <c r="J1437" s="2"/>
      <c r="K1437" s="2"/>
      <c r="L1437" s="2">
        <v>810.5</v>
      </c>
      <c r="M1437" s="2">
        <v>810.5</v>
      </c>
      <c r="N1437" s="2">
        <f ca="1">INDEX(INDIRECT(_xlfn.CONCAT("weather.tbl[",N$1,"]")),MATCH(vp.tbl[[#This Row],[SDate]],weather.tbl[Date],0))</f>
        <v>10.516666666666667</v>
      </c>
      <c r="O1437" s="2">
        <f ca="1">INDEX(INDIRECT(_xlfn.CONCAT("weather.tbl[",O$1,"]")),MATCH(vp.tbl[[#This Row],[SDate]],weather.tbl[Date],0))</f>
        <v>13.452380952380953</v>
      </c>
      <c r="P1437" s="2">
        <f ca="1">INDEX(INDIRECT(_xlfn.CONCAT("weather.tbl[",P$1,"]")),MATCH(vp.tbl[[#This Row],[SDate]],weather.tbl[Date],0))</f>
        <v>11</v>
      </c>
      <c r="Q1437" s="2">
        <f ca="1">INDEX(INDIRECT(_xlfn.CONCAT("weather.tbl[",Q$1,"]")),MATCH(vp.tbl[[#This Row],[SDate]],weather.tbl[Date],0))</f>
        <v>9.1</v>
      </c>
      <c r="R1437" s="2">
        <f ca="1">INDEX(INDIRECT(_xlfn.CONCAT("weather.tbl[",R$1,"]")),MATCH(vp.tbl[[#This Row],[SDate]],weather.tbl[Date],0))</f>
        <v>12.3</v>
      </c>
      <c r="S1437" s="2">
        <f ca="1">INDEX(INDIRECT(_xlfn.CONCAT("weather.tbl[",S$1,"]")),MATCH(vp.tbl[[#This Row],[SDate]],weather.tbl[Date],0))</f>
        <v>8.5</v>
      </c>
      <c r="T1437" s="2">
        <f ca="1">INDEX(INDIRECT(_xlfn.CONCAT("weather.tbl[",T$1,"]")),MATCH(vp.tbl[[#This Row],[SDate]],weather.tbl[Date],0))</f>
        <v>11.7</v>
      </c>
      <c r="U1437" s="2">
        <f ca="1">INDEX(INDIRECT(_xlfn.CONCAT("weather.tbl[",U$1,"]")),MATCH(vp.tbl[[#This Row],[SDate]],weather.tbl[Date],0))</f>
        <v>10.5</v>
      </c>
      <c r="V1437" s="2">
        <v>3329.3429999999998</v>
      </c>
      <c r="W1437" t="s">
        <v>48</v>
      </c>
      <c r="X1437">
        <f>IF(OR(vp.tbl[[#This Row],[Sulf]]="",vp.tbl[[#This Row],[Dens]]=""),1,0)</f>
        <v>0</v>
      </c>
      <c r="Y1437">
        <f>IF(vp.tbl[[#This Row],[CrudeType]]="C5+",1,0)</f>
        <v>0</v>
      </c>
      <c r="Z1437">
        <f>IF(AND(vp.tbl[[#This Row],[CrudeType]]="Crude",vp.tbl[[#This Row],[Dens]]&lt;=825,vp.tbl[[#This Row],[Sulf]]&gt;0.5,vp.tbl[[#This Row],[Unknown]]=0),1,0)</f>
        <v>0</v>
      </c>
      <c r="AA1437">
        <f>IF(AND(vp.tbl[[#This Row],[CrudeType]]="Crude",vp.tbl[[#This Row],[Dens]]&lt;=825,vp.tbl[[#This Row],[Sulf]]&lt;=0.5,vp.tbl[[#This Row],[Unknown]]=0),1,0)</f>
        <v>1</v>
      </c>
      <c r="AB1437">
        <f>IF(AND(vp.tbl[[#This Row],[CrudeType]]="Crude",vp.tbl[[#This Row],[Dens]]&gt;825,vp.tbl[[#This Row],[Dens]]&lt;=870,vp.tbl[[#This Row],[Sulf]]&gt;0.5,vp.tbl[[#This Row],[Unknown]]=0),1,0)</f>
        <v>0</v>
      </c>
      <c r="AC1437">
        <f>IF(AND(vp.tbl[[#This Row],[CrudeType]]="Crude",vp.tbl[[#This Row],[Dens]]&gt;825,vp.tbl[[#This Row],[Dens]]&lt;=900,vp.tbl[[#This Row],[Sulf]]&lt;=0.5,vp.tbl[[#This Row],[Unknown]]=0),1,0)</f>
        <v>0</v>
      </c>
      <c r="AD1437">
        <f>IF(AND(vp.tbl[[#This Row],[CrudeType]]="Crude",vp.tbl[[#This Row],[Dens]]&gt;870,vp.tbl[[#This Row],[Dens]]&lt;=900,vp.tbl[[#This Row],[Sulf]]&gt;0.5,vp.tbl[[#This Row],[Unknown]]=0),1,0)</f>
        <v>0</v>
      </c>
      <c r="AE1437">
        <f>IF(AND(vp.tbl[[#This Row],[CrudeType]]="Crude",vp.tbl[[#This Row],[Dens]]&gt;900,vp.tbl[[#This Row],[Sulf]]&lt;=0.5,vp.tbl[[#This Row],[Unknown]]=0),1,0)</f>
        <v>0</v>
      </c>
      <c r="AF1437">
        <f>IF(AND(vp.tbl[[#This Row],[CrudeType]]="Crude",vp.tbl[[#This Row],[Dens]]&gt;900,vp.tbl[[#This Row],[Sulf]]&lt;=0.5,vp.tbl[[#This Row],[Unknown]]=0),1,0)</f>
        <v>0</v>
      </c>
      <c r="AG1437" t="str">
        <f>INDEX(vp.tbl[[#Headers],[Unknown]:[Heavy_SW]],MATCH(1,vp.tbl[[#This Row],[Unknown]:[Heavy_SW]],0))</f>
        <v>Light_SW</v>
      </c>
      <c r="AH1437" t="e">
        <f>INDEX([1]!crudeBD.lkup[Number],MATCH(vp.tbl[[#This Row],[Crude_Breakdown]],[1]!crudeBD.lkup[Crude Breakdown],0))</f>
        <v>#REF!</v>
      </c>
      <c r="AI1437">
        <f>MONTH(vp.tbl[[#This Row],[SDate]])</f>
        <v>5</v>
      </c>
      <c r="AJ1437" s="5">
        <f>IFERROR(vp.tbl[[#This Row],[Sulf]]*vp.tbl[[#This Row],[Net Dens]],"")</f>
        <v>701592.45039000001</v>
      </c>
      <c r="AK1437" s="5">
        <f>IFERROR(vp.tbl[[#This Row],[Dens]]*vp.tbl[[#This Row],[VolumeM3]],"")</f>
        <v>2698432.5014999998</v>
      </c>
      <c r="AL1437" s="5">
        <f>IFERROR(vp.tbl[[#This Row],[VP]]*vp.tbl[[#This Row],[VolumeM3]],"")</f>
        <v>273339.06029999995</v>
      </c>
      <c r="AM1437" s="4">
        <f>IFERROR((vp.tbl[[#This Row],[VP]]-INDEX(crudeBD.lkup.complete[Mean_VP],MATCH(vp.tbl[[#This Row],[Crude_Breakdown]],crudeBD.lkup.complete[Crude Breakdown],0)))^2,"")</f>
        <v>109.20905410530611</v>
      </c>
      <c r="AN1437" s="4">
        <f>IFERROR((vp.tbl[[#This Row],[Dens]]-INDEX(crudeBD.lkup.complete[Mean_Dens],MATCH(vp.tbl[[#This Row],[Crude_Breakdown]],crudeBD.lkup.complete[Crude Breakdown],0)))^2,"")</f>
        <v>4.7895398754395311</v>
      </c>
      <c r="AO1437" s="4">
        <f>IFERROR((vp.tbl[[#This Row],[Sulf]]-INDEX(crudeBD.lkup.complete[Mean_Sulf],MATCH(vp.tbl[[#This Row],[Crude_Breakdown]],crudeBD.lkup.complete[Crude Breakdown],0)))^2,"")</f>
        <v>5.644515043280923E-4</v>
      </c>
      <c r="AP1437">
        <f>IF(AND(vp.tbl[[#This Row],[SDate]]&gt;=DATE(YEAR(vp.tbl[[#This Row],[SDate]]),5,1),vp.tbl[[#This Row],[SDate]]&lt;=DATE(YEAR(vp.tbl[[#This Row],[SDate]]),9,15)),1,0)</f>
        <v>1</v>
      </c>
      <c r="AQ1437" s="15">
        <f>IF(vp.tbl[[#This Row],[SDate]]&lt;DATE(2016,12,1),0,1)</f>
        <v>1</v>
      </c>
    </row>
    <row r="1438" spans="1:43" x14ac:dyDescent="0.25">
      <c r="A1438">
        <v>1437</v>
      </c>
      <c r="B1438" t="s">
        <v>49</v>
      </c>
      <c r="C1438" t="s">
        <v>49</v>
      </c>
      <c r="D1438" t="s">
        <v>67</v>
      </c>
      <c r="F1438" s="1">
        <v>42863</v>
      </c>
      <c r="G1438" s="2">
        <v>84.7</v>
      </c>
      <c r="H1438" s="2"/>
      <c r="I1438" s="2">
        <v>0.63</v>
      </c>
      <c r="J1438" s="2"/>
      <c r="K1438" s="2"/>
      <c r="L1438" s="2">
        <v>823.2</v>
      </c>
      <c r="M1438" s="2">
        <v>823.2</v>
      </c>
      <c r="N1438" s="2">
        <f ca="1">INDEX(INDIRECT(_xlfn.CONCAT("weather.tbl[",N$1,"]")),MATCH(vp.tbl[[#This Row],[SDate]],weather.tbl[Date],0))</f>
        <v>10.516666666666667</v>
      </c>
      <c r="O1438" s="2">
        <f ca="1">INDEX(INDIRECT(_xlfn.CONCAT("weather.tbl[",O$1,"]")),MATCH(vp.tbl[[#This Row],[SDate]],weather.tbl[Date],0))</f>
        <v>13.452380952380953</v>
      </c>
      <c r="P1438" s="2">
        <f ca="1">INDEX(INDIRECT(_xlfn.CONCAT("weather.tbl[",P$1,"]")),MATCH(vp.tbl[[#This Row],[SDate]],weather.tbl[Date],0))</f>
        <v>11</v>
      </c>
      <c r="Q1438" s="2">
        <f ca="1">INDEX(INDIRECT(_xlfn.CONCAT("weather.tbl[",Q$1,"]")),MATCH(vp.tbl[[#This Row],[SDate]],weather.tbl[Date],0))</f>
        <v>9.1</v>
      </c>
      <c r="R1438" s="2">
        <f ca="1">INDEX(INDIRECT(_xlfn.CONCAT("weather.tbl[",R$1,"]")),MATCH(vp.tbl[[#This Row],[SDate]],weather.tbl[Date],0))</f>
        <v>12.3</v>
      </c>
      <c r="S1438" s="2">
        <f ca="1">INDEX(INDIRECT(_xlfn.CONCAT("weather.tbl[",S$1,"]")),MATCH(vp.tbl[[#This Row],[SDate]],weather.tbl[Date],0))</f>
        <v>8.5</v>
      </c>
      <c r="T1438" s="2">
        <f ca="1">INDEX(INDIRECT(_xlfn.CONCAT("weather.tbl[",T$1,"]")),MATCH(vp.tbl[[#This Row],[SDate]],weather.tbl[Date],0))</f>
        <v>11.7</v>
      </c>
      <c r="U1438" s="2">
        <f ca="1">INDEX(INDIRECT(_xlfn.CONCAT("weather.tbl[",U$1,"]")),MATCH(vp.tbl[[#This Row],[SDate]],weather.tbl[Date],0))</f>
        <v>10.5</v>
      </c>
      <c r="V1438" s="2">
        <v>152210.65299999999</v>
      </c>
      <c r="W1438" t="s">
        <v>48</v>
      </c>
      <c r="X1438">
        <f>IF(OR(vp.tbl[[#This Row],[Sulf]]="",vp.tbl[[#This Row],[Dens]]=""),1,0)</f>
        <v>0</v>
      </c>
      <c r="Y1438">
        <f>IF(vp.tbl[[#This Row],[CrudeType]]="C5+",1,0)</f>
        <v>0</v>
      </c>
      <c r="Z1438">
        <f>IF(AND(vp.tbl[[#This Row],[CrudeType]]="Crude",vp.tbl[[#This Row],[Dens]]&lt;=825,vp.tbl[[#This Row],[Sulf]]&gt;0.5,vp.tbl[[#This Row],[Unknown]]=0),1,0)</f>
        <v>1</v>
      </c>
      <c r="AA1438">
        <f>IF(AND(vp.tbl[[#This Row],[CrudeType]]="Crude",vp.tbl[[#This Row],[Dens]]&lt;=825,vp.tbl[[#This Row],[Sulf]]&lt;=0.5,vp.tbl[[#This Row],[Unknown]]=0),1,0)</f>
        <v>0</v>
      </c>
      <c r="AB1438">
        <f>IF(AND(vp.tbl[[#This Row],[CrudeType]]="Crude",vp.tbl[[#This Row],[Dens]]&gt;825,vp.tbl[[#This Row],[Dens]]&lt;=870,vp.tbl[[#This Row],[Sulf]]&gt;0.5,vp.tbl[[#This Row],[Unknown]]=0),1,0)</f>
        <v>0</v>
      </c>
      <c r="AC1438">
        <f>IF(AND(vp.tbl[[#This Row],[CrudeType]]="Crude",vp.tbl[[#This Row],[Dens]]&gt;825,vp.tbl[[#This Row],[Dens]]&lt;=900,vp.tbl[[#This Row],[Sulf]]&lt;=0.5,vp.tbl[[#This Row],[Unknown]]=0),1,0)</f>
        <v>0</v>
      </c>
      <c r="AD1438">
        <f>IF(AND(vp.tbl[[#This Row],[CrudeType]]="Crude",vp.tbl[[#This Row],[Dens]]&gt;870,vp.tbl[[#This Row],[Dens]]&lt;=900,vp.tbl[[#This Row],[Sulf]]&gt;0.5,vp.tbl[[#This Row],[Unknown]]=0),1,0)</f>
        <v>0</v>
      </c>
      <c r="AE1438">
        <f>IF(AND(vp.tbl[[#This Row],[CrudeType]]="Crude",vp.tbl[[#This Row],[Dens]]&gt;900,vp.tbl[[#This Row],[Sulf]]&lt;=0.5,vp.tbl[[#This Row],[Unknown]]=0),1,0)</f>
        <v>0</v>
      </c>
      <c r="AF1438">
        <f>IF(AND(vp.tbl[[#This Row],[CrudeType]]="Crude",vp.tbl[[#This Row],[Dens]]&gt;900,vp.tbl[[#This Row],[Sulf]]&lt;=0.5,vp.tbl[[#This Row],[Unknown]]=0),1,0)</f>
        <v>0</v>
      </c>
      <c r="AG1438" t="str">
        <f>INDEX(vp.tbl[[#Headers],[Unknown]:[Heavy_SW]],MATCH(1,vp.tbl[[#This Row],[Unknown]:[Heavy_SW]],0))</f>
        <v>Light_LSB</v>
      </c>
      <c r="AH1438" t="e">
        <f>INDEX([1]!crudeBD.lkup[Number],MATCH(vp.tbl[[#This Row],[Crude_Breakdown]],[1]!crudeBD.lkup[Crude Breakdown],0))</f>
        <v>#REF!</v>
      </c>
      <c r="AI1438">
        <f>MONTH(vp.tbl[[#This Row],[SDate]])</f>
        <v>5</v>
      </c>
      <c r="AJ1438" s="5">
        <f>IFERROR(vp.tbl[[#This Row],[Sulf]]*vp.tbl[[#This Row],[Net Dens]],"")</f>
        <v>78938880.016248003</v>
      </c>
      <c r="AK1438" s="5">
        <f>IFERROR(vp.tbl[[#This Row],[Dens]]*vp.tbl[[#This Row],[VolumeM3]],"")</f>
        <v>125299809.54960001</v>
      </c>
      <c r="AL1438" s="5">
        <f>IFERROR(vp.tbl[[#This Row],[VP]]*vp.tbl[[#This Row],[VolumeM3]],"")</f>
        <v>12892242.3091</v>
      </c>
      <c r="AM1438" s="4">
        <f>IFERROR((vp.tbl[[#This Row],[VP]]-INDEX(crudeBD.lkup.complete[Mean_VP],MATCH(vp.tbl[[#This Row],[Crude_Breakdown]],crudeBD.lkup.complete[Crude Breakdown],0)))^2,"")</f>
        <v>46.870256817940657</v>
      </c>
      <c r="AN1438" s="4">
        <f>IFERROR((vp.tbl[[#This Row],[Dens]]-INDEX(crudeBD.lkup.complete[Mean_Dens],MATCH(vp.tbl[[#This Row],[Crude_Breakdown]],crudeBD.lkup.complete[Crude Breakdown],0)))^2,"")</f>
        <v>21.932645486003771</v>
      </c>
      <c r="AO1438" s="4">
        <f>IFERROR((vp.tbl[[#This Row],[Sulf]]-INDEX(crudeBD.lkup.complete[Mean_Sulf],MATCH(vp.tbl[[#This Row],[Crude_Breakdown]],crudeBD.lkup.complete[Crude Breakdown],0)))^2,"")</f>
        <v>8.5832105504801401E-2</v>
      </c>
      <c r="AP1438">
        <f>IF(AND(vp.tbl[[#This Row],[SDate]]&gt;=DATE(YEAR(vp.tbl[[#This Row],[SDate]]),5,1),vp.tbl[[#This Row],[SDate]]&lt;=DATE(YEAR(vp.tbl[[#This Row],[SDate]]),9,15)),1,0)</f>
        <v>1</v>
      </c>
      <c r="AQ1438" s="15">
        <f>IF(vp.tbl[[#This Row],[SDate]]&lt;DATE(2016,12,1),0,1)</f>
        <v>1</v>
      </c>
    </row>
    <row r="1439" spans="1:43" x14ac:dyDescent="0.25">
      <c r="A1439">
        <v>1438</v>
      </c>
      <c r="B1439" t="s">
        <v>49</v>
      </c>
      <c r="C1439" t="s">
        <v>49</v>
      </c>
      <c r="D1439" t="s">
        <v>100</v>
      </c>
      <c r="F1439" s="1">
        <v>42863</v>
      </c>
      <c r="G1439" s="2">
        <v>82.8</v>
      </c>
      <c r="H1439" s="2"/>
      <c r="I1439" s="2">
        <v>0.75</v>
      </c>
      <c r="J1439" s="2"/>
      <c r="K1439" s="2"/>
      <c r="L1439" s="2">
        <v>821.9</v>
      </c>
      <c r="M1439" s="2">
        <v>821.9</v>
      </c>
      <c r="N1439" s="2">
        <f ca="1">INDEX(INDIRECT(_xlfn.CONCAT("weather.tbl[",N$1,"]")),MATCH(vp.tbl[[#This Row],[SDate]],weather.tbl[Date],0))</f>
        <v>10.516666666666667</v>
      </c>
      <c r="O1439" s="2">
        <f ca="1">INDEX(INDIRECT(_xlfn.CONCAT("weather.tbl[",O$1,"]")),MATCH(vp.tbl[[#This Row],[SDate]],weather.tbl[Date],0))</f>
        <v>13.452380952380953</v>
      </c>
      <c r="P1439" s="2">
        <f ca="1">INDEX(INDIRECT(_xlfn.CONCAT("weather.tbl[",P$1,"]")),MATCH(vp.tbl[[#This Row],[SDate]],weather.tbl[Date],0))</f>
        <v>11</v>
      </c>
      <c r="Q1439" s="2">
        <f ca="1">INDEX(INDIRECT(_xlfn.CONCAT("weather.tbl[",Q$1,"]")),MATCH(vp.tbl[[#This Row],[SDate]],weather.tbl[Date],0))</f>
        <v>9.1</v>
      </c>
      <c r="R1439" s="2">
        <f ca="1">INDEX(INDIRECT(_xlfn.CONCAT("weather.tbl[",R$1,"]")),MATCH(vp.tbl[[#This Row],[SDate]],weather.tbl[Date],0))</f>
        <v>12.3</v>
      </c>
      <c r="S1439" s="2">
        <f ca="1">INDEX(INDIRECT(_xlfn.CONCAT("weather.tbl[",S$1,"]")),MATCH(vp.tbl[[#This Row],[SDate]],weather.tbl[Date],0))</f>
        <v>8.5</v>
      </c>
      <c r="T1439" s="2">
        <f ca="1">INDEX(INDIRECT(_xlfn.CONCAT("weather.tbl[",T$1,"]")),MATCH(vp.tbl[[#This Row],[SDate]],weather.tbl[Date],0))</f>
        <v>11.7</v>
      </c>
      <c r="U1439" s="2">
        <f ca="1">INDEX(INDIRECT(_xlfn.CONCAT("weather.tbl[",U$1,"]")),MATCH(vp.tbl[[#This Row],[SDate]],weather.tbl[Date],0))</f>
        <v>10.5</v>
      </c>
      <c r="V1439" s="2">
        <v>12872.544</v>
      </c>
      <c r="W1439" t="s">
        <v>48</v>
      </c>
      <c r="X1439">
        <f>IF(OR(vp.tbl[[#This Row],[Sulf]]="",vp.tbl[[#This Row],[Dens]]=""),1,0)</f>
        <v>0</v>
      </c>
      <c r="Y1439">
        <f>IF(vp.tbl[[#This Row],[CrudeType]]="C5+",1,0)</f>
        <v>0</v>
      </c>
      <c r="Z1439">
        <f>IF(AND(vp.tbl[[#This Row],[CrudeType]]="Crude",vp.tbl[[#This Row],[Dens]]&lt;=825,vp.tbl[[#This Row],[Sulf]]&gt;0.5,vp.tbl[[#This Row],[Unknown]]=0),1,0)</f>
        <v>1</v>
      </c>
      <c r="AA1439">
        <f>IF(AND(vp.tbl[[#This Row],[CrudeType]]="Crude",vp.tbl[[#This Row],[Dens]]&lt;=825,vp.tbl[[#This Row],[Sulf]]&lt;=0.5,vp.tbl[[#This Row],[Unknown]]=0),1,0)</f>
        <v>0</v>
      </c>
      <c r="AB1439">
        <f>IF(AND(vp.tbl[[#This Row],[CrudeType]]="Crude",vp.tbl[[#This Row],[Dens]]&gt;825,vp.tbl[[#This Row],[Dens]]&lt;=870,vp.tbl[[#This Row],[Sulf]]&gt;0.5,vp.tbl[[#This Row],[Unknown]]=0),1,0)</f>
        <v>0</v>
      </c>
      <c r="AC1439">
        <f>IF(AND(vp.tbl[[#This Row],[CrudeType]]="Crude",vp.tbl[[#This Row],[Dens]]&gt;825,vp.tbl[[#This Row],[Dens]]&lt;=900,vp.tbl[[#This Row],[Sulf]]&lt;=0.5,vp.tbl[[#This Row],[Unknown]]=0),1,0)</f>
        <v>0</v>
      </c>
      <c r="AD1439">
        <f>IF(AND(vp.tbl[[#This Row],[CrudeType]]="Crude",vp.tbl[[#This Row],[Dens]]&gt;870,vp.tbl[[#This Row],[Dens]]&lt;=900,vp.tbl[[#This Row],[Sulf]]&gt;0.5,vp.tbl[[#This Row],[Unknown]]=0),1,0)</f>
        <v>0</v>
      </c>
      <c r="AE1439">
        <f>IF(AND(vp.tbl[[#This Row],[CrudeType]]="Crude",vp.tbl[[#This Row],[Dens]]&gt;900,vp.tbl[[#This Row],[Sulf]]&lt;=0.5,vp.tbl[[#This Row],[Unknown]]=0),1,0)</f>
        <v>0</v>
      </c>
      <c r="AF1439">
        <f>IF(AND(vp.tbl[[#This Row],[CrudeType]]="Crude",vp.tbl[[#This Row],[Dens]]&gt;900,vp.tbl[[#This Row],[Sulf]]&lt;=0.5,vp.tbl[[#This Row],[Unknown]]=0),1,0)</f>
        <v>0</v>
      </c>
      <c r="AG1439" t="str">
        <f>INDEX(vp.tbl[[#Headers],[Unknown]:[Heavy_SW]],MATCH(1,vp.tbl[[#This Row],[Unknown]:[Heavy_SW]],0))</f>
        <v>Light_LSB</v>
      </c>
      <c r="AH1439" t="e">
        <f>INDEX([1]!crudeBD.lkup[Number],MATCH(vp.tbl[[#This Row],[Crude_Breakdown]],[1]!crudeBD.lkup[Crude Breakdown],0))</f>
        <v>#REF!</v>
      </c>
      <c r="AI1439">
        <f>MONTH(vp.tbl[[#This Row],[SDate]])</f>
        <v>5</v>
      </c>
      <c r="AJ1439" s="5">
        <f>IFERROR(vp.tbl[[#This Row],[Sulf]]*vp.tbl[[#This Row],[Net Dens]],"")</f>
        <v>7934957.9352000002</v>
      </c>
      <c r="AK1439" s="5">
        <f>IFERROR(vp.tbl[[#This Row],[Dens]]*vp.tbl[[#This Row],[VolumeM3]],"")</f>
        <v>10579943.9136</v>
      </c>
      <c r="AL1439" s="5">
        <f>IFERROR(vp.tbl[[#This Row],[VP]]*vp.tbl[[#This Row],[VolumeM3]],"")</f>
        <v>1065846.6432</v>
      </c>
      <c r="AM1439" s="4">
        <f>IFERROR((vp.tbl[[#This Row],[VP]]-INDEX(crudeBD.lkup.complete[Mean_VP],MATCH(vp.tbl[[#This Row],[Crude_Breakdown]],crudeBD.lkup.complete[Crude Breakdown],0)))^2,"")</f>
        <v>76.495761972580041</v>
      </c>
      <c r="AN1439" s="4">
        <f>IFERROR((vp.tbl[[#This Row],[Dens]]-INDEX(crudeBD.lkup.complete[Mean_Dens],MATCH(vp.tbl[[#This Row],[Crude_Breakdown]],crudeBD.lkup.complete[Crude Breakdown],0)))^2,"")</f>
        <v>11.44624686057282</v>
      </c>
      <c r="AO1439" s="4">
        <f>IFERROR((vp.tbl[[#This Row],[Sulf]]-INDEX(crudeBD.lkup.complete[Mean_Sulf],MATCH(vp.tbl[[#This Row],[Crude_Breakdown]],crudeBD.lkup.complete[Crude Breakdown],0)))^2,"")</f>
        <v>2.9919025092430326E-2</v>
      </c>
      <c r="AP1439">
        <f>IF(AND(vp.tbl[[#This Row],[SDate]]&gt;=DATE(YEAR(vp.tbl[[#This Row],[SDate]]),5,1),vp.tbl[[#This Row],[SDate]]&lt;=DATE(YEAR(vp.tbl[[#This Row],[SDate]]),9,15)),1,0)</f>
        <v>1</v>
      </c>
      <c r="AQ1439" s="15">
        <f>IF(vp.tbl[[#This Row],[SDate]]&lt;DATE(2016,12,1),0,1)</f>
        <v>1</v>
      </c>
    </row>
    <row r="1440" spans="1:43" x14ac:dyDescent="0.25">
      <c r="A1440">
        <v>1439</v>
      </c>
      <c r="B1440" t="s">
        <v>49</v>
      </c>
      <c r="C1440" t="s">
        <v>49</v>
      </c>
      <c r="D1440" t="s">
        <v>80</v>
      </c>
      <c r="F1440" s="1">
        <v>42863</v>
      </c>
      <c r="G1440" s="2">
        <v>84.4</v>
      </c>
      <c r="H1440" s="2"/>
      <c r="I1440" s="2">
        <v>0.76</v>
      </c>
      <c r="J1440" s="2"/>
      <c r="K1440" s="2"/>
      <c r="L1440" s="2">
        <v>824.4</v>
      </c>
      <c r="M1440" s="2">
        <v>824.4</v>
      </c>
      <c r="N1440" s="2">
        <f ca="1">INDEX(INDIRECT(_xlfn.CONCAT("weather.tbl[",N$1,"]")),MATCH(vp.tbl[[#This Row],[SDate]],weather.tbl[Date],0))</f>
        <v>10.516666666666667</v>
      </c>
      <c r="O1440" s="2">
        <f ca="1">INDEX(INDIRECT(_xlfn.CONCAT("weather.tbl[",O$1,"]")),MATCH(vp.tbl[[#This Row],[SDate]],weather.tbl[Date],0))</f>
        <v>13.452380952380953</v>
      </c>
      <c r="P1440" s="2">
        <f ca="1">INDEX(INDIRECT(_xlfn.CONCAT("weather.tbl[",P$1,"]")),MATCH(vp.tbl[[#This Row],[SDate]],weather.tbl[Date],0))</f>
        <v>11</v>
      </c>
      <c r="Q1440" s="2">
        <f ca="1">INDEX(INDIRECT(_xlfn.CONCAT("weather.tbl[",Q$1,"]")),MATCH(vp.tbl[[#This Row],[SDate]],weather.tbl[Date],0))</f>
        <v>9.1</v>
      </c>
      <c r="R1440" s="2">
        <f ca="1">INDEX(INDIRECT(_xlfn.CONCAT("weather.tbl[",R$1,"]")),MATCH(vp.tbl[[#This Row],[SDate]],weather.tbl[Date],0))</f>
        <v>12.3</v>
      </c>
      <c r="S1440" s="2">
        <f ca="1">INDEX(INDIRECT(_xlfn.CONCAT("weather.tbl[",S$1,"]")),MATCH(vp.tbl[[#This Row],[SDate]],weather.tbl[Date],0))</f>
        <v>8.5</v>
      </c>
      <c r="T1440" s="2">
        <f ca="1">INDEX(INDIRECT(_xlfn.CONCAT("weather.tbl[",T$1,"]")),MATCH(vp.tbl[[#This Row],[SDate]],weather.tbl[Date],0))</f>
        <v>11.7</v>
      </c>
      <c r="U1440" s="2">
        <f ca="1">INDEX(INDIRECT(_xlfn.CONCAT("weather.tbl[",U$1,"]")),MATCH(vp.tbl[[#This Row],[SDate]],weather.tbl[Date],0))</f>
        <v>10.5</v>
      </c>
      <c r="V1440" s="2">
        <v>22699.566999999999</v>
      </c>
      <c r="W1440" t="s">
        <v>48</v>
      </c>
      <c r="X1440">
        <f>IF(OR(vp.tbl[[#This Row],[Sulf]]="",vp.tbl[[#This Row],[Dens]]=""),1,0)</f>
        <v>0</v>
      </c>
      <c r="Y1440">
        <f>IF(vp.tbl[[#This Row],[CrudeType]]="C5+",1,0)</f>
        <v>0</v>
      </c>
      <c r="Z1440">
        <f>IF(AND(vp.tbl[[#This Row],[CrudeType]]="Crude",vp.tbl[[#This Row],[Dens]]&lt;=825,vp.tbl[[#This Row],[Sulf]]&gt;0.5,vp.tbl[[#This Row],[Unknown]]=0),1,0)</f>
        <v>1</v>
      </c>
      <c r="AA1440">
        <f>IF(AND(vp.tbl[[#This Row],[CrudeType]]="Crude",vp.tbl[[#This Row],[Dens]]&lt;=825,vp.tbl[[#This Row],[Sulf]]&lt;=0.5,vp.tbl[[#This Row],[Unknown]]=0),1,0)</f>
        <v>0</v>
      </c>
      <c r="AB1440">
        <f>IF(AND(vp.tbl[[#This Row],[CrudeType]]="Crude",vp.tbl[[#This Row],[Dens]]&gt;825,vp.tbl[[#This Row],[Dens]]&lt;=870,vp.tbl[[#This Row],[Sulf]]&gt;0.5,vp.tbl[[#This Row],[Unknown]]=0),1,0)</f>
        <v>0</v>
      </c>
      <c r="AC1440">
        <f>IF(AND(vp.tbl[[#This Row],[CrudeType]]="Crude",vp.tbl[[#This Row],[Dens]]&gt;825,vp.tbl[[#This Row],[Dens]]&lt;=900,vp.tbl[[#This Row],[Sulf]]&lt;=0.5,vp.tbl[[#This Row],[Unknown]]=0),1,0)</f>
        <v>0</v>
      </c>
      <c r="AD1440">
        <f>IF(AND(vp.tbl[[#This Row],[CrudeType]]="Crude",vp.tbl[[#This Row],[Dens]]&gt;870,vp.tbl[[#This Row],[Dens]]&lt;=900,vp.tbl[[#This Row],[Sulf]]&gt;0.5,vp.tbl[[#This Row],[Unknown]]=0),1,0)</f>
        <v>0</v>
      </c>
      <c r="AE1440">
        <f>IF(AND(vp.tbl[[#This Row],[CrudeType]]="Crude",vp.tbl[[#This Row],[Dens]]&gt;900,vp.tbl[[#This Row],[Sulf]]&lt;=0.5,vp.tbl[[#This Row],[Unknown]]=0),1,0)</f>
        <v>0</v>
      </c>
      <c r="AF1440">
        <f>IF(AND(vp.tbl[[#This Row],[CrudeType]]="Crude",vp.tbl[[#This Row],[Dens]]&gt;900,vp.tbl[[#This Row],[Sulf]]&lt;=0.5,vp.tbl[[#This Row],[Unknown]]=0),1,0)</f>
        <v>0</v>
      </c>
      <c r="AG1440" t="str">
        <f>INDEX(vp.tbl[[#Headers],[Unknown]:[Heavy_SW]],MATCH(1,vp.tbl[[#This Row],[Unknown]:[Heavy_SW]],0))</f>
        <v>Light_LSB</v>
      </c>
      <c r="AH1440" t="e">
        <f>INDEX([1]!crudeBD.lkup[Number],MATCH(vp.tbl[[#This Row],[Crude_Breakdown]],[1]!crudeBD.lkup[Crude Breakdown],0))</f>
        <v>#REF!</v>
      </c>
      <c r="AI1440">
        <f>MONTH(vp.tbl[[#This Row],[SDate]])</f>
        <v>5</v>
      </c>
      <c r="AJ1440" s="5">
        <f>IFERROR(vp.tbl[[#This Row],[Sulf]]*vp.tbl[[#This Row],[Net Dens]],"")</f>
        <v>14222277.506448001</v>
      </c>
      <c r="AK1440" s="5">
        <f>IFERROR(vp.tbl[[#This Row],[Dens]]*vp.tbl[[#This Row],[VolumeM3]],"")</f>
        <v>18713523.0348</v>
      </c>
      <c r="AL1440" s="5">
        <f>IFERROR(vp.tbl[[#This Row],[VP]]*vp.tbl[[#This Row],[VolumeM3]],"")</f>
        <v>1915843.4547999999</v>
      </c>
      <c r="AM1440" s="4">
        <f>IFERROR((vp.tbl[[#This Row],[VP]]-INDEX(crudeBD.lkup.complete[Mean_VP],MATCH(vp.tbl[[#This Row],[Crude_Breakdown]],crudeBD.lkup.complete[Crude Breakdown],0)))^2,"")</f>
        <v>51.067968158146819</v>
      </c>
      <c r="AN1440" s="4">
        <f>IFERROR((vp.tbl[[#This Row],[Dens]]-INDEX(crudeBD.lkup.complete[Mean_Dens],MATCH(vp.tbl[[#This Row],[Crude_Breakdown]],crudeBD.lkup.complete[Crude Breakdown],0)))^2,"")</f>
        <v>34.612398063323418</v>
      </c>
      <c r="AO1440" s="4">
        <f>IFERROR((vp.tbl[[#This Row],[Sulf]]-INDEX(crudeBD.lkup.complete[Mean_Sulf],MATCH(vp.tbl[[#This Row],[Crude_Breakdown]],crudeBD.lkup.complete[Crude Breakdown],0)))^2,"")</f>
        <v>2.6559601724732734E-2</v>
      </c>
      <c r="AP1440">
        <f>IF(AND(vp.tbl[[#This Row],[SDate]]&gt;=DATE(YEAR(vp.tbl[[#This Row],[SDate]]),5,1),vp.tbl[[#This Row],[SDate]]&lt;=DATE(YEAR(vp.tbl[[#This Row],[SDate]]),9,15)),1,0)</f>
        <v>1</v>
      </c>
      <c r="AQ1440" s="15">
        <f>IF(vp.tbl[[#This Row],[SDate]]&lt;DATE(2016,12,1),0,1)</f>
        <v>1</v>
      </c>
    </row>
    <row r="1441" spans="1:43" x14ac:dyDescent="0.25">
      <c r="A1441">
        <v>1440</v>
      </c>
      <c r="B1441" t="s">
        <v>68</v>
      </c>
      <c r="C1441" t="s">
        <v>68</v>
      </c>
      <c r="D1441" t="s">
        <v>98</v>
      </c>
      <c r="F1441" s="1">
        <v>42863</v>
      </c>
      <c r="G1441" s="2">
        <v>80.400000000000006</v>
      </c>
      <c r="H1441" s="2"/>
      <c r="I1441" s="2">
        <v>1.32</v>
      </c>
      <c r="J1441" s="2"/>
      <c r="K1441" s="2"/>
      <c r="L1441" s="2">
        <v>851.4</v>
      </c>
      <c r="M1441" s="2">
        <v>851.4</v>
      </c>
      <c r="N1441" s="2">
        <f ca="1">INDEX(INDIRECT(_xlfn.CONCAT("weather.tbl[",N$1,"]")),MATCH(vp.tbl[[#This Row],[SDate]],weather.tbl[Date],0))</f>
        <v>10.516666666666667</v>
      </c>
      <c r="O1441" s="2">
        <f ca="1">INDEX(INDIRECT(_xlfn.CONCAT("weather.tbl[",O$1,"]")),MATCH(vp.tbl[[#This Row],[SDate]],weather.tbl[Date],0))</f>
        <v>13.452380952380953</v>
      </c>
      <c r="P1441" s="2">
        <f ca="1">INDEX(INDIRECT(_xlfn.CONCAT("weather.tbl[",P$1,"]")),MATCH(vp.tbl[[#This Row],[SDate]],weather.tbl[Date],0))</f>
        <v>11</v>
      </c>
      <c r="Q1441" s="2">
        <f ca="1">INDEX(INDIRECT(_xlfn.CONCAT("weather.tbl[",Q$1,"]")),MATCH(vp.tbl[[#This Row],[SDate]],weather.tbl[Date],0))</f>
        <v>9.1</v>
      </c>
      <c r="R1441" s="2">
        <f ca="1">INDEX(INDIRECT(_xlfn.CONCAT("weather.tbl[",R$1,"]")),MATCH(vp.tbl[[#This Row],[SDate]],weather.tbl[Date],0))</f>
        <v>12.3</v>
      </c>
      <c r="S1441" s="2">
        <f ca="1">INDEX(INDIRECT(_xlfn.CONCAT("weather.tbl[",S$1,"]")),MATCH(vp.tbl[[#This Row],[SDate]],weather.tbl[Date],0))</f>
        <v>8.5</v>
      </c>
      <c r="T1441" s="2">
        <f ca="1">INDEX(INDIRECT(_xlfn.CONCAT("weather.tbl[",T$1,"]")),MATCH(vp.tbl[[#This Row],[SDate]],weather.tbl[Date],0))</f>
        <v>11.7</v>
      </c>
      <c r="U1441" s="2">
        <f ca="1">INDEX(INDIRECT(_xlfn.CONCAT("weather.tbl[",U$1,"]")),MATCH(vp.tbl[[#This Row],[SDate]],weather.tbl[Date],0))</f>
        <v>10.5</v>
      </c>
      <c r="V1441" s="2">
        <v>4675.3909999999996</v>
      </c>
      <c r="W1441" t="s">
        <v>48</v>
      </c>
      <c r="X1441">
        <f>IF(OR(vp.tbl[[#This Row],[Sulf]]="",vp.tbl[[#This Row],[Dens]]=""),1,0)</f>
        <v>0</v>
      </c>
      <c r="Y1441">
        <f>IF(vp.tbl[[#This Row],[CrudeType]]="C5+",1,0)</f>
        <v>0</v>
      </c>
      <c r="Z1441">
        <f>IF(AND(vp.tbl[[#This Row],[CrudeType]]="Crude",vp.tbl[[#This Row],[Dens]]&lt;=825,vp.tbl[[#This Row],[Sulf]]&gt;0.5,vp.tbl[[#This Row],[Unknown]]=0),1,0)</f>
        <v>0</v>
      </c>
      <c r="AA1441">
        <f>IF(AND(vp.tbl[[#This Row],[CrudeType]]="Crude",vp.tbl[[#This Row],[Dens]]&lt;=825,vp.tbl[[#This Row],[Sulf]]&lt;=0.5,vp.tbl[[#This Row],[Unknown]]=0),1,0)</f>
        <v>0</v>
      </c>
      <c r="AB1441">
        <f>IF(AND(vp.tbl[[#This Row],[CrudeType]]="Crude",vp.tbl[[#This Row],[Dens]]&gt;825,vp.tbl[[#This Row],[Dens]]&lt;=870,vp.tbl[[#This Row],[Sulf]]&gt;0.5,vp.tbl[[#This Row],[Unknown]]=0),1,0)</f>
        <v>1</v>
      </c>
      <c r="AC1441">
        <f>IF(AND(vp.tbl[[#This Row],[CrudeType]]="Crude",vp.tbl[[#This Row],[Dens]]&gt;825,vp.tbl[[#This Row],[Dens]]&lt;=900,vp.tbl[[#This Row],[Sulf]]&lt;=0.5,vp.tbl[[#This Row],[Unknown]]=0),1,0)</f>
        <v>0</v>
      </c>
      <c r="AD1441">
        <f>IF(AND(vp.tbl[[#This Row],[CrudeType]]="Crude",vp.tbl[[#This Row],[Dens]]&gt;870,vp.tbl[[#This Row],[Dens]]&lt;=900,vp.tbl[[#This Row],[Sulf]]&gt;0.5,vp.tbl[[#This Row],[Unknown]]=0),1,0)</f>
        <v>0</v>
      </c>
      <c r="AE1441">
        <f>IF(AND(vp.tbl[[#This Row],[CrudeType]]="Crude",vp.tbl[[#This Row],[Dens]]&gt;900,vp.tbl[[#This Row],[Sulf]]&lt;=0.5,vp.tbl[[#This Row],[Unknown]]=0),1,0)</f>
        <v>0</v>
      </c>
      <c r="AF1441">
        <f>IF(AND(vp.tbl[[#This Row],[CrudeType]]="Crude",vp.tbl[[#This Row],[Dens]]&gt;900,vp.tbl[[#This Row],[Sulf]]&lt;=0.5,vp.tbl[[#This Row],[Unknown]]=0),1,0)</f>
        <v>0</v>
      </c>
      <c r="AG1441" t="str">
        <f>INDEX(vp.tbl[[#Headers],[Unknown]:[Heavy_SW]],MATCH(1,vp.tbl[[#This Row],[Unknown]:[Heavy_SW]],0))</f>
        <v>Medium_LSB</v>
      </c>
      <c r="AH1441" t="e">
        <f>INDEX([1]!crudeBD.lkup[Number],MATCH(vp.tbl[[#This Row],[Crude_Breakdown]],[1]!crudeBD.lkup[Crude Breakdown],0))</f>
        <v>#REF!</v>
      </c>
      <c r="AI1441">
        <f>MONTH(vp.tbl[[#This Row],[SDate]])</f>
        <v>5</v>
      </c>
      <c r="AJ1441" s="5">
        <f>IFERROR(vp.tbl[[#This Row],[Sulf]]*vp.tbl[[#This Row],[Net Dens]],"")</f>
        <v>5254428.8245679997</v>
      </c>
      <c r="AK1441" s="5">
        <f>IFERROR(vp.tbl[[#This Row],[Dens]]*vp.tbl[[#This Row],[VolumeM3]],"")</f>
        <v>3980627.8973999997</v>
      </c>
      <c r="AL1441" s="5">
        <f>IFERROR(vp.tbl[[#This Row],[VP]]*vp.tbl[[#This Row],[VolumeM3]],"")</f>
        <v>375901.43640000001</v>
      </c>
      <c r="AM1441" s="4">
        <f>IFERROR((vp.tbl[[#This Row],[VP]]-INDEX(crudeBD.lkup.complete[Mean_VP],MATCH(vp.tbl[[#This Row],[Crude_Breakdown]],crudeBD.lkup.complete[Crude Breakdown],0)))^2,"")</f>
        <v>5.1259252683884045E-2</v>
      </c>
      <c r="AN1441" s="4">
        <f>IFERROR((vp.tbl[[#This Row],[Dens]]-INDEX(crudeBD.lkup.complete[Mean_Dens],MATCH(vp.tbl[[#This Row],[Crude_Breakdown]],crudeBD.lkup.complete[Crude Breakdown],0)))^2,"")</f>
        <v>37.309828892176469</v>
      </c>
      <c r="AO1441" s="4">
        <f>IFERROR((vp.tbl[[#This Row],[Sulf]]-INDEX(crudeBD.lkup.complete[Mean_Sulf],MATCH(vp.tbl[[#This Row],[Crude_Breakdown]],crudeBD.lkup.complete[Crude Breakdown],0)))^2,"")</f>
        <v>1.8206067324576733E-2</v>
      </c>
      <c r="AP1441">
        <f>IF(AND(vp.tbl[[#This Row],[SDate]]&gt;=DATE(YEAR(vp.tbl[[#This Row],[SDate]]),5,1),vp.tbl[[#This Row],[SDate]]&lt;=DATE(YEAR(vp.tbl[[#This Row],[SDate]]),9,15)),1,0)</f>
        <v>1</v>
      </c>
      <c r="AQ1441" s="15">
        <f>IF(vp.tbl[[#This Row],[SDate]]&lt;DATE(2016,12,1),0,1)</f>
        <v>1</v>
      </c>
    </row>
    <row r="1442" spans="1:43" x14ac:dyDescent="0.25">
      <c r="A1442">
        <v>1441</v>
      </c>
      <c r="B1442" t="s">
        <v>49</v>
      </c>
      <c r="C1442" t="s">
        <v>49</v>
      </c>
      <c r="D1442" t="s">
        <v>81</v>
      </c>
      <c r="F1442" s="1">
        <v>42863</v>
      </c>
      <c r="G1442" s="2">
        <v>73.7</v>
      </c>
      <c r="H1442" s="2"/>
      <c r="I1442" s="2">
        <v>0.53</v>
      </c>
      <c r="J1442" s="2"/>
      <c r="K1442" s="2"/>
      <c r="L1442" s="2">
        <v>823.8</v>
      </c>
      <c r="M1442" s="2">
        <v>823.8</v>
      </c>
      <c r="N1442" s="2">
        <f ca="1">INDEX(INDIRECT(_xlfn.CONCAT("weather.tbl[",N$1,"]")),MATCH(vp.tbl[[#This Row],[SDate]],weather.tbl[Date],0))</f>
        <v>10.516666666666667</v>
      </c>
      <c r="O1442" s="2">
        <f ca="1">INDEX(INDIRECT(_xlfn.CONCAT("weather.tbl[",O$1,"]")),MATCH(vp.tbl[[#This Row],[SDate]],weather.tbl[Date],0))</f>
        <v>13.452380952380953</v>
      </c>
      <c r="P1442" s="2">
        <f ca="1">INDEX(INDIRECT(_xlfn.CONCAT("weather.tbl[",P$1,"]")),MATCH(vp.tbl[[#This Row],[SDate]],weather.tbl[Date],0))</f>
        <v>11</v>
      </c>
      <c r="Q1442" s="2">
        <f ca="1">INDEX(INDIRECT(_xlfn.CONCAT("weather.tbl[",Q$1,"]")),MATCH(vp.tbl[[#This Row],[SDate]],weather.tbl[Date],0))</f>
        <v>9.1</v>
      </c>
      <c r="R1442" s="2">
        <f ca="1">INDEX(INDIRECT(_xlfn.CONCAT("weather.tbl[",R$1,"]")),MATCH(vp.tbl[[#This Row],[SDate]],weather.tbl[Date],0))</f>
        <v>12.3</v>
      </c>
      <c r="S1442" s="2">
        <f ca="1">INDEX(INDIRECT(_xlfn.CONCAT("weather.tbl[",S$1,"]")),MATCH(vp.tbl[[#This Row],[SDate]],weather.tbl[Date],0))</f>
        <v>8.5</v>
      </c>
      <c r="T1442" s="2">
        <f ca="1">INDEX(INDIRECT(_xlfn.CONCAT("weather.tbl[",T$1,"]")),MATCH(vp.tbl[[#This Row],[SDate]],weather.tbl[Date],0))</f>
        <v>11.7</v>
      </c>
      <c r="U1442" s="2">
        <f ca="1">INDEX(INDIRECT(_xlfn.CONCAT("weather.tbl[",U$1,"]")),MATCH(vp.tbl[[#This Row],[SDate]],weather.tbl[Date],0))</f>
        <v>10.5</v>
      </c>
      <c r="V1442" s="2">
        <v>19932.741000000002</v>
      </c>
      <c r="W1442" t="s">
        <v>48</v>
      </c>
      <c r="X1442">
        <f>IF(OR(vp.tbl[[#This Row],[Sulf]]="",vp.tbl[[#This Row],[Dens]]=""),1,0)</f>
        <v>0</v>
      </c>
      <c r="Y1442">
        <f>IF(vp.tbl[[#This Row],[CrudeType]]="C5+",1,0)</f>
        <v>0</v>
      </c>
      <c r="Z1442">
        <f>IF(AND(vp.tbl[[#This Row],[CrudeType]]="Crude",vp.tbl[[#This Row],[Dens]]&lt;=825,vp.tbl[[#This Row],[Sulf]]&gt;0.5,vp.tbl[[#This Row],[Unknown]]=0),1,0)</f>
        <v>1</v>
      </c>
      <c r="AA1442">
        <f>IF(AND(vp.tbl[[#This Row],[CrudeType]]="Crude",vp.tbl[[#This Row],[Dens]]&lt;=825,vp.tbl[[#This Row],[Sulf]]&lt;=0.5,vp.tbl[[#This Row],[Unknown]]=0),1,0)</f>
        <v>0</v>
      </c>
      <c r="AB1442">
        <f>IF(AND(vp.tbl[[#This Row],[CrudeType]]="Crude",vp.tbl[[#This Row],[Dens]]&gt;825,vp.tbl[[#This Row],[Dens]]&lt;=870,vp.tbl[[#This Row],[Sulf]]&gt;0.5,vp.tbl[[#This Row],[Unknown]]=0),1,0)</f>
        <v>0</v>
      </c>
      <c r="AC1442">
        <f>IF(AND(vp.tbl[[#This Row],[CrudeType]]="Crude",vp.tbl[[#This Row],[Dens]]&gt;825,vp.tbl[[#This Row],[Dens]]&lt;=900,vp.tbl[[#This Row],[Sulf]]&lt;=0.5,vp.tbl[[#This Row],[Unknown]]=0),1,0)</f>
        <v>0</v>
      </c>
      <c r="AD1442">
        <f>IF(AND(vp.tbl[[#This Row],[CrudeType]]="Crude",vp.tbl[[#This Row],[Dens]]&gt;870,vp.tbl[[#This Row],[Dens]]&lt;=900,vp.tbl[[#This Row],[Sulf]]&gt;0.5,vp.tbl[[#This Row],[Unknown]]=0),1,0)</f>
        <v>0</v>
      </c>
      <c r="AE1442">
        <f>IF(AND(vp.tbl[[#This Row],[CrudeType]]="Crude",vp.tbl[[#This Row],[Dens]]&gt;900,vp.tbl[[#This Row],[Sulf]]&lt;=0.5,vp.tbl[[#This Row],[Unknown]]=0),1,0)</f>
        <v>0</v>
      </c>
      <c r="AF1442">
        <f>IF(AND(vp.tbl[[#This Row],[CrudeType]]="Crude",vp.tbl[[#This Row],[Dens]]&gt;900,vp.tbl[[#This Row],[Sulf]]&lt;=0.5,vp.tbl[[#This Row],[Unknown]]=0),1,0)</f>
        <v>0</v>
      </c>
      <c r="AG1442" t="str">
        <f>INDEX(vp.tbl[[#Headers],[Unknown]:[Heavy_SW]],MATCH(1,vp.tbl[[#This Row],[Unknown]:[Heavy_SW]],0))</f>
        <v>Light_LSB</v>
      </c>
      <c r="AH1442" t="e">
        <f>INDEX([1]!crudeBD.lkup[Number],MATCH(vp.tbl[[#This Row],[Crude_Breakdown]],[1]!crudeBD.lkup[Crude Breakdown],0))</f>
        <v>#REF!</v>
      </c>
      <c r="AI1442">
        <f>MONTH(vp.tbl[[#This Row],[SDate]])</f>
        <v>5</v>
      </c>
      <c r="AJ1442" s="5">
        <f>IFERROR(vp.tbl[[#This Row],[Sulf]]*vp.tbl[[#This Row],[Net Dens]],"")</f>
        <v>8702913.7789740004</v>
      </c>
      <c r="AK1442" s="5">
        <f>IFERROR(vp.tbl[[#This Row],[Dens]]*vp.tbl[[#This Row],[VolumeM3]],"")</f>
        <v>16420592.035800001</v>
      </c>
      <c r="AL1442" s="5">
        <f>IFERROR(vp.tbl[[#This Row],[VP]]*vp.tbl[[#This Row],[VolumeM3]],"")</f>
        <v>1469043.0117000001</v>
      </c>
      <c r="AM1442" s="4">
        <f>IFERROR((vp.tbl[[#This Row],[VP]]-INDEX(crudeBD.lkup.complete[Mean_VP],MATCH(vp.tbl[[#This Row],[Crude_Breakdown]],crudeBD.lkup.complete[Crude Breakdown],0)))^2,"")</f>
        <v>318.48633929216805</v>
      </c>
      <c r="AN1442" s="4">
        <f>IFERROR((vp.tbl[[#This Row],[Dens]]-INDEX(crudeBD.lkup.complete[Mean_Dens],MATCH(vp.tbl[[#This Row],[Crude_Breakdown]],crudeBD.lkup.complete[Crude Breakdown],0)))^2,"")</f>
        <v>27.912521774663034</v>
      </c>
      <c r="AO1442" s="4">
        <f>IFERROR((vp.tbl[[#This Row],[Sulf]]-INDEX(crudeBD.lkup.complete[Mean_Sulf],MATCH(vp.tbl[[#This Row],[Crude_Breakdown]],crudeBD.lkup.complete[Crude Breakdown],0)))^2,"")</f>
        <v>0.15442633918177728</v>
      </c>
      <c r="AP1442">
        <f>IF(AND(vp.tbl[[#This Row],[SDate]]&gt;=DATE(YEAR(vp.tbl[[#This Row],[SDate]]),5,1),vp.tbl[[#This Row],[SDate]]&lt;=DATE(YEAR(vp.tbl[[#This Row],[SDate]]),9,15)),1,0)</f>
        <v>1</v>
      </c>
      <c r="AQ1442" s="15">
        <f>IF(vp.tbl[[#This Row],[SDate]]&lt;DATE(2016,12,1),0,1)</f>
        <v>1</v>
      </c>
    </row>
    <row r="1443" spans="1:43" x14ac:dyDescent="0.25">
      <c r="A1443">
        <v>1442</v>
      </c>
      <c r="B1443" t="s">
        <v>96</v>
      </c>
      <c r="C1443" t="s">
        <v>96</v>
      </c>
      <c r="D1443" t="s">
        <v>97</v>
      </c>
      <c r="F1443" s="1">
        <v>42863</v>
      </c>
      <c r="G1443" s="2">
        <v>77.599999999999994</v>
      </c>
      <c r="H1443" s="2"/>
      <c r="I1443" s="2">
        <v>0.73</v>
      </c>
      <c r="J1443" s="2"/>
      <c r="K1443" s="2"/>
      <c r="L1443" s="2">
        <v>819.2</v>
      </c>
      <c r="M1443" s="2">
        <v>819.2</v>
      </c>
      <c r="N1443" s="2">
        <f ca="1">INDEX(INDIRECT(_xlfn.CONCAT("weather.tbl[",N$1,"]")),MATCH(vp.tbl[[#This Row],[SDate]],weather.tbl[Date],0))</f>
        <v>10.516666666666667</v>
      </c>
      <c r="O1443" s="2">
        <f ca="1">INDEX(INDIRECT(_xlfn.CONCAT("weather.tbl[",O$1,"]")),MATCH(vp.tbl[[#This Row],[SDate]],weather.tbl[Date],0))</f>
        <v>13.452380952380953</v>
      </c>
      <c r="P1443" s="2">
        <f ca="1">INDEX(INDIRECT(_xlfn.CONCAT("weather.tbl[",P$1,"]")),MATCH(vp.tbl[[#This Row],[SDate]],weather.tbl[Date],0))</f>
        <v>11</v>
      </c>
      <c r="Q1443" s="2">
        <f ca="1">INDEX(INDIRECT(_xlfn.CONCAT("weather.tbl[",Q$1,"]")),MATCH(vp.tbl[[#This Row],[SDate]],weather.tbl[Date],0))</f>
        <v>9.1</v>
      </c>
      <c r="R1443" s="2">
        <f ca="1">INDEX(INDIRECT(_xlfn.CONCAT("weather.tbl[",R$1,"]")),MATCH(vp.tbl[[#This Row],[SDate]],weather.tbl[Date],0))</f>
        <v>12.3</v>
      </c>
      <c r="S1443" s="2">
        <f ca="1">INDEX(INDIRECT(_xlfn.CONCAT("weather.tbl[",S$1,"]")),MATCH(vp.tbl[[#This Row],[SDate]],weather.tbl[Date],0))</f>
        <v>8.5</v>
      </c>
      <c r="T1443" s="2">
        <f ca="1">INDEX(INDIRECT(_xlfn.CONCAT("weather.tbl[",T$1,"]")),MATCH(vp.tbl[[#This Row],[SDate]],weather.tbl[Date],0))</f>
        <v>11.7</v>
      </c>
      <c r="U1443" s="2">
        <f ca="1">INDEX(INDIRECT(_xlfn.CONCAT("weather.tbl[",U$1,"]")),MATCH(vp.tbl[[#This Row],[SDate]],weather.tbl[Date],0))</f>
        <v>10.5</v>
      </c>
      <c r="V1443" s="2">
        <v>7702.1589999999997</v>
      </c>
      <c r="W1443" t="s">
        <v>48</v>
      </c>
      <c r="X1443">
        <f>IF(OR(vp.tbl[[#This Row],[Sulf]]="",vp.tbl[[#This Row],[Dens]]=""),1,0)</f>
        <v>0</v>
      </c>
      <c r="Y1443">
        <f>IF(vp.tbl[[#This Row],[CrudeType]]="C5+",1,0)</f>
        <v>0</v>
      </c>
      <c r="Z1443">
        <f>IF(AND(vp.tbl[[#This Row],[CrudeType]]="Crude",vp.tbl[[#This Row],[Dens]]&lt;=825,vp.tbl[[#This Row],[Sulf]]&gt;0.5,vp.tbl[[#This Row],[Unknown]]=0),1,0)</f>
        <v>1</v>
      </c>
      <c r="AA1443">
        <f>IF(AND(vp.tbl[[#This Row],[CrudeType]]="Crude",vp.tbl[[#This Row],[Dens]]&lt;=825,vp.tbl[[#This Row],[Sulf]]&lt;=0.5,vp.tbl[[#This Row],[Unknown]]=0),1,0)</f>
        <v>0</v>
      </c>
      <c r="AB1443">
        <f>IF(AND(vp.tbl[[#This Row],[CrudeType]]="Crude",vp.tbl[[#This Row],[Dens]]&gt;825,vp.tbl[[#This Row],[Dens]]&lt;=870,vp.tbl[[#This Row],[Sulf]]&gt;0.5,vp.tbl[[#This Row],[Unknown]]=0),1,0)</f>
        <v>0</v>
      </c>
      <c r="AC1443">
        <f>IF(AND(vp.tbl[[#This Row],[CrudeType]]="Crude",vp.tbl[[#This Row],[Dens]]&gt;825,vp.tbl[[#This Row],[Dens]]&lt;=900,vp.tbl[[#This Row],[Sulf]]&lt;=0.5,vp.tbl[[#This Row],[Unknown]]=0),1,0)</f>
        <v>0</v>
      </c>
      <c r="AD1443">
        <f>IF(AND(vp.tbl[[#This Row],[CrudeType]]="Crude",vp.tbl[[#This Row],[Dens]]&gt;870,vp.tbl[[#This Row],[Dens]]&lt;=900,vp.tbl[[#This Row],[Sulf]]&gt;0.5,vp.tbl[[#This Row],[Unknown]]=0),1,0)</f>
        <v>0</v>
      </c>
      <c r="AE1443">
        <f>IF(AND(vp.tbl[[#This Row],[CrudeType]]="Crude",vp.tbl[[#This Row],[Dens]]&gt;900,vp.tbl[[#This Row],[Sulf]]&lt;=0.5,vp.tbl[[#This Row],[Unknown]]=0),1,0)</f>
        <v>0</v>
      </c>
      <c r="AF1443">
        <f>IF(AND(vp.tbl[[#This Row],[CrudeType]]="Crude",vp.tbl[[#This Row],[Dens]]&gt;900,vp.tbl[[#This Row],[Sulf]]&lt;=0.5,vp.tbl[[#This Row],[Unknown]]=0),1,0)</f>
        <v>0</v>
      </c>
      <c r="AG1443" t="str">
        <f>INDEX(vp.tbl[[#Headers],[Unknown]:[Heavy_SW]],MATCH(1,vp.tbl[[#This Row],[Unknown]:[Heavy_SW]],0))</f>
        <v>Light_LSB</v>
      </c>
      <c r="AH1443" t="e">
        <f>INDEX([1]!crudeBD.lkup[Number],MATCH(vp.tbl[[#This Row],[Crude_Breakdown]],[1]!crudeBD.lkup[Crude Breakdown],0))</f>
        <v>#REF!</v>
      </c>
      <c r="AI1443">
        <f>MONTH(vp.tbl[[#This Row],[SDate]])</f>
        <v>5</v>
      </c>
      <c r="AJ1443" s="5">
        <f>IFERROR(vp.tbl[[#This Row],[Sulf]]*vp.tbl[[#This Row],[Net Dens]],"")</f>
        <v>4606014.3165440001</v>
      </c>
      <c r="AK1443" s="5">
        <f>IFERROR(vp.tbl[[#This Row],[Dens]]*vp.tbl[[#This Row],[VolumeM3]],"")</f>
        <v>6309608.6528000003</v>
      </c>
      <c r="AL1443" s="5">
        <f>IFERROR(vp.tbl[[#This Row],[VP]]*vp.tbl[[#This Row],[VolumeM3]],"")</f>
        <v>597687.53839999996</v>
      </c>
      <c r="AM1443" s="4">
        <f>IFERROR((vp.tbl[[#This Row],[VP]]-INDEX(crudeBD.lkup.complete[Mean_VP],MATCH(vp.tbl[[#This Row],[Crude_Breakdown]],crudeBD.lkup.complete[Crude Breakdown],0)))^2,"")</f>
        <v>194.49609186948769</v>
      </c>
      <c r="AN1443" s="4">
        <f>IFERROR((vp.tbl[[#This Row],[Dens]]-INDEX(crudeBD.lkup.complete[Mean_Dens],MATCH(vp.tbl[[#This Row],[Crude_Breakdown]],crudeBD.lkup.complete[Crude Breakdown],0)))^2,"")</f>
        <v>0.46680356160226744</v>
      </c>
      <c r="AO1443" s="4">
        <f>IFERROR((vp.tbl[[#This Row],[Sulf]]-INDEX(crudeBD.lkup.complete[Mean_Sulf],MATCH(vp.tbl[[#This Row],[Crude_Breakdown]],crudeBD.lkup.complete[Crude Breakdown],0)))^2,"")</f>
        <v>3.7237871827825515E-2</v>
      </c>
      <c r="AP1443">
        <f>IF(AND(vp.tbl[[#This Row],[SDate]]&gt;=DATE(YEAR(vp.tbl[[#This Row],[SDate]]),5,1),vp.tbl[[#This Row],[SDate]]&lt;=DATE(YEAR(vp.tbl[[#This Row],[SDate]]),9,15)),1,0)</f>
        <v>1</v>
      </c>
      <c r="AQ1443" s="15">
        <f>IF(vp.tbl[[#This Row],[SDate]]&lt;DATE(2016,12,1),0,1)</f>
        <v>1</v>
      </c>
    </row>
    <row r="1444" spans="1:43" x14ac:dyDescent="0.25">
      <c r="A1444">
        <v>1443</v>
      </c>
      <c r="B1444" t="s">
        <v>51</v>
      </c>
      <c r="C1444" t="s">
        <v>51</v>
      </c>
      <c r="D1444" t="s">
        <v>66</v>
      </c>
      <c r="F1444" s="1">
        <v>42863</v>
      </c>
      <c r="G1444" s="2">
        <v>89.3</v>
      </c>
      <c r="H1444" s="2"/>
      <c r="I1444" s="2">
        <v>1.79</v>
      </c>
      <c r="J1444" s="2"/>
      <c r="K1444" s="2"/>
      <c r="L1444" s="2">
        <v>823.8</v>
      </c>
      <c r="M1444" s="2">
        <v>823.8</v>
      </c>
      <c r="N1444" s="2">
        <f ca="1">INDEX(INDIRECT(_xlfn.CONCAT("weather.tbl[",N$1,"]")),MATCH(vp.tbl[[#This Row],[SDate]],weather.tbl[Date],0))</f>
        <v>10.516666666666667</v>
      </c>
      <c r="O1444" s="2">
        <f ca="1">INDEX(INDIRECT(_xlfn.CONCAT("weather.tbl[",O$1,"]")),MATCH(vp.tbl[[#This Row],[SDate]],weather.tbl[Date],0))</f>
        <v>13.452380952380953</v>
      </c>
      <c r="P1444" s="2">
        <f ca="1">INDEX(INDIRECT(_xlfn.CONCAT("weather.tbl[",P$1,"]")),MATCH(vp.tbl[[#This Row],[SDate]],weather.tbl[Date],0))</f>
        <v>11</v>
      </c>
      <c r="Q1444" s="2">
        <f ca="1">INDEX(INDIRECT(_xlfn.CONCAT("weather.tbl[",Q$1,"]")),MATCH(vp.tbl[[#This Row],[SDate]],weather.tbl[Date],0))</f>
        <v>9.1</v>
      </c>
      <c r="R1444" s="2">
        <f ca="1">INDEX(INDIRECT(_xlfn.CONCAT("weather.tbl[",R$1,"]")),MATCH(vp.tbl[[#This Row],[SDate]],weather.tbl[Date],0))</f>
        <v>12.3</v>
      </c>
      <c r="S1444" s="2">
        <f ca="1">INDEX(INDIRECT(_xlfn.CONCAT("weather.tbl[",S$1,"]")),MATCH(vp.tbl[[#This Row],[SDate]],weather.tbl[Date],0))</f>
        <v>8.5</v>
      </c>
      <c r="T1444" s="2">
        <f ca="1">INDEX(INDIRECT(_xlfn.CONCAT("weather.tbl[",T$1,"]")),MATCH(vp.tbl[[#This Row],[SDate]],weather.tbl[Date],0))</f>
        <v>11.7</v>
      </c>
      <c r="U1444" s="2">
        <f ca="1">INDEX(INDIRECT(_xlfn.CONCAT("weather.tbl[",U$1,"]")),MATCH(vp.tbl[[#This Row],[SDate]],weather.tbl[Date],0))</f>
        <v>10.5</v>
      </c>
      <c r="V1444" s="2">
        <v>5197.7240000000002</v>
      </c>
      <c r="W1444" t="s">
        <v>48</v>
      </c>
      <c r="X1444">
        <f>IF(OR(vp.tbl[[#This Row],[Sulf]]="",vp.tbl[[#This Row],[Dens]]=""),1,0)</f>
        <v>0</v>
      </c>
      <c r="Y1444">
        <f>IF(vp.tbl[[#This Row],[CrudeType]]="C5+",1,0)</f>
        <v>0</v>
      </c>
      <c r="Z1444">
        <f>IF(AND(vp.tbl[[#This Row],[CrudeType]]="Crude",vp.tbl[[#This Row],[Dens]]&lt;=825,vp.tbl[[#This Row],[Sulf]]&gt;0.5,vp.tbl[[#This Row],[Unknown]]=0),1,0)</f>
        <v>1</v>
      </c>
      <c r="AA1444">
        <f>IF(AND(vp.tbl[[#This Row],[CrudeType]]="Crude",vp.tbl[[#This Row],[Dens]]&lt;=825,vp.tbl[[#This Row],[Sulf]]&lt;=0.5,vp.tbl[[#This Row],[Unknown]]=0),1,0)</f>
        <v>0</v>
      </c>
      <c r="AB1444">
        <f>IF(AND(vp.tbl[[#This Row],[CrudeType]]="Crude",vp.tbl[[#This Row],[Dens]]&gt;825,vp.tbl[[#This Row],[Dens]]&lt;=870,vp.tbl[[#This Row],[Sulf]]&gt;0.5,vp.tbl[[#This Row],[Unknown]]=0),1,0)</f>
        <v>0</v>
      </c>
      <c r="AC1444">
        <f>IF(AND(vp.tbl[[#This Row],[CrudeType]]="Crude",vp.tbl[[#This Row],[Dens]]&gt;825,vp.tbl[[#This Row],[Dens]]&lt;=900,vp.tbl[[#This Row],[Sulf]]&lt;=0.5,vp.tbl[[#This Row],[Unknown]]=0),1,0)</f>
        <v>0</v>
      </c>
      <c r="AD1444">
        <f>IF(AND(vp.tbl[[#This Row],[CrudeType]]="Crude",vp.tbl[[#This Row],[Dens]]&gt;870,vp.tbl[[#This Row],[Dens]]&lt;=900,vp.tbl[[#This Row],[Sulf]]&gt;0.5,vp.tbl[[#This Row],[Unknown]]=0),1,0)</f>
        <v>0</v>
      </c>
      <c r="AE1444">
        <f>IF(AND(vp.tbl[[#This Row],[CrudeType]]="Crude",vp.tbl[[#This Row],[Dens]]&gt;900,vp.tbl[[#This Row],[Sulf]]&lt;=0.5,vp.tbl[[#This Row],[Unknown]]=0),1,0)</f>
        <v>0</v>
      </c>
      <c r="AF1444">
        <f>IF(AND(vp.tbl[[#This Row],[CrudeType]]="Crude",vp.tbl[[#This Row],[Dens]]&gt;900,vp.tbl[[#This Row],[Sulf]]&lt;=0.5,vp.tbl[[#This Row],[Unknown]]=0),1,0)</f>
        <v>0</v>
      </c>
      <c r="AG1444" t="str">
        <f>INDEX(vp.tbl[[#Headers],[Unknown]:[Heavy_SW]],MATCH(1,vp.tbl[[#This Row],[Unknown]:[Heavy_SW]],0))</f>
        <v>Light_LSB</v>
      </c>
      <c r="AH1444" t="e">
        <f>INDEX([1]!crudeBD.lkup[Number],MATCH(vp.tbl[[#This Row],[Crude_Breakdown]],[1]!crudeBD.lkup[Crude Breakdown],0))</f>
        <v>#REF!</v>
      </c>
      <c r="AI1444">
        <f>MONTH(vp.tbl[[#This Row],[SDate]])</f>
        <v>5</v>
      </c>
      <c r="AJ1444" s="5">
        <f>IFERROR(vp.tbl[[#This Row],[Sulf]]*vp.tbl[[#This Row],[Net Dens]],"")</f>
        <v>7664574.205848</v>
      </c>
      <c r="AK1444" s="5">
        <f>IFERROR(vp.tbl[[#This Row],[Dens]]*vp.tbl[[#This Row],[VolumeM3]],"")</f>
        <v>4281885.0312000001</v>
      </c>
      <c r="AL1444" s="5">
        <f>IFERROR(vp.tbl[[#This Row],[VP]]*vp.tbl[[#This Row],[VolumeM3]],"")</f>
        <v>464156.75319999998</v>
      </c>
      <c r="AM1444" s="4">
        <f>IFERROR((vp.tbl[[#This Row],[VP]]-INDEX(crudeBD.lkup.complete[Mean_VP],MATCH(vp.tbl[[#This Row],[Crude_Breakdown]],crudeBD.lkup.complete[Crude Breakdown],0)))^2,"")</f>
        <v>5.0453496014455768</v>
      </c>
      <c r="AN1444" s="4">
        <f>IFERROR((vp.tbl[[#This Row],[Dens]]-INDEX(crudeBD.lkup.complete[Mean_Dens],MATCH(vp.tbl[[#This Row],[Crude_Breakdown]],crudeBD.lkup.complete[Crude Breakdown],0)))^2,"")</f>
        <v>27.912521774663034</v>
      </c>
      <c r="AO1444" s="4">
        <f>IFERROR((vp.tbl[[#This Row],[Sulf]]-INDEX(crudeBD.lkup.complete[Mean_Sulf],MATCH(vp.tbl[[#This Row],[Crude_Breakdown]],crudeBD.lkup.complete[Crude Breakdown],0)))^2,"")</f>
        <v>0.75173899485188111</v>
      </c>
      <c r="AP1444">
        <f>IF(AND(vp.tbl[[#This Row],[SDate]]&gt;=DATE(YEAR(vp.tbl[[#This Row],[SDate]]),5,1),vp.tbl[[#This Row],[SDate]]&lt;=DATE(YEAR(vp.tbl[[#This Row],[SDate]]),9,15)),1,0)</f>
        <v>1</v>
      </c>
      <c r="AQ1444" s="15">
        <f>IF(vp.tbl[[#This Row],[SDate]]&lt;DATE(2016,12,1),0,1)</f>
        <v>1</v>
      </c>
    </row>
    <row r="1445" spans="1:43" x14ac:dyDescent="0.25">
      <c r="A1445">
        <v>1444</v>
      </c>
      <c r="B1445" t="s">
        <v>291</v>
      </c>
      <c r="C1445" t="s">
        <v>291</v>
      </c>
      <c r="D1445" t="s">
        <v>109</v>
      </c>
      <c r="F1445" s="1">
        <v>42863</v>
      </c>
      <c r="G1445" s="2">
        <v>84.6</v>
      </c>
      <c r="H1445" s="2"/>
      <c r="I1445" s="2">
        <v>0.77</v>
      </c>
      <c r="J1445" s="2"/>
      <c r="K1445" s="2"/>
      <c r="L1445" s="2">
        <v>833.5</v>
      </c>
      <c r="M1445" s="2">
        <v>833.5</v>
      </c>
      <c r="N1445" s="2">
        <f ca="1">INDEX(INDIRECT(_xlfn.CONCAT("weather.tbl[",N$1,"]")),MATCH(vp.tbl[[#This Row],[SDate]],weather.tbl[Date],0))</f>
        <v>10.516666666666667</v>
      </c>
      <c r="O1445" s="2">
        <f ca="1">INDEX(INDIRECT(_xlfn.CONCAT("weather.tbl[",O$1,"]")),MATCH(vp.tbl[[#This Row],[SDate]],weather.tbl[Date],0))</f>
        <v>13.452380952380953</v>
      </c>
      <c r="P1445" s="2">
        <f ca="1">INDEX(INDIRECT(_xlfn.CONCAT("weather.tbl[",P$1,"]")),MATCH(vp.tbl[[#This Row],[SDate]],weather.tbl[Date],0))</f>
        <v>11</v>
      </c>
      <c r="Q1445" s="2">
        <f ca="1">INDEX(INDIRECT(_xlfn.CONCAT("weather.tbl[",Q$1,"]")),MATCH(vp.tbl[[#This Row],[SDate]],weather.tbl[Date],0))</f>
        <v>9.1</v>
      </c>
      <c r="R1445" s="2">
        <f ca="1">INDEX(INDIRECT(_xlfn.CONCAT("weather.tbl[",R$1,"]")),MATCH(vp.tbl[[#This Row],[SDate]],weather.tbl[Date],0))</f>
        <v>12.3</v>
      </c>
      <c r="S1445" s="2">
        <f ca="1">INDEX(INDIRECT(_xlfn.CONCAT("weather.tbl[",S$1,"]")),MATCH(vp.tbl[[#This Row],[SDate]],weather.tbl[Date],0))</f>
        <v>8.5</v>
      </c>
      <c r="T1445" s="2">
        <f ca="1">INDEX(INDIRECT(_xlfn.CONCAT("weather.tbl[",T$1,"]")),MATCH(vp.tbl[[#This Row],[SDate]],weather.tbl[Date],0))</f>
        <v>11.7</v>
      </c>
      <c r="U1445" s="2">
        <f ca="1">INDEX(INDIRECT(_xlfn.CONCAT("weather.tbl[",U$1,"]")),MATCH(vp.tbl[[#This Row],[SDate]],weather.tbl[Date],0))</f>
        <v>10.5</v>
      </c>
      <c r="V1445" s="2">
        <v>13057.414000000001</v>
      </c>
      <c r="W1445" t="s">
        <v>48</v>
      </c>
      <c r="X1445">
        <f>IF(OR(vp.tbl[[#This Row],[Sulf]]="",vp.tbl[[#This Row],[Dens]]=""),1,0)</f>
        <v>0</v>
      </c>
      <c r="Y1445">
        <f>IF(vp.tbl[[#This Row],[CrudeType]]="C5+",1,0)</f>
        <v>0</v>
      </c>
      <c r="Z1445">
        <f>IF(AND(vp.tbl[[#This Row],[CrudeType]]="Crude",vp.tbl[[#This Row],[Dens]]&lt;=825,vp.tbl[[#This Row],[Sulf]]&gt;0.5,vp.tbl[[#This Row],[Unknown]]=0),1,0)</f>
        <v>0</v>
      </c>
      <c r="AA1445">
        <f>IF(AND(vp.tbl[[#This Row],[CrudeType]]="Crude",vp.tbl[[#This Row],[Dens]]&lt;=825,vp.tbl[[#This Row],[Sulf]]&lt;=0.5,vp.tbl[[#This Row],[Unknown]]=0),1,0)</f>
        <v>0</v>
      </c>
      <c r="AB1445">
        <f>IF(AND(vp.tbl[[#This Row],[CrudeType]]="Crude",vp.tbl[[#This Row],[Dens]]&gt;825,vp.tbl[[#This Row],[Dens]]&lt;=870,vp.tbl[[#This Row],[Sulf]]&gt;0.5,vp.tbl[[#This Row],[Unknown]]=0),1,0)</f>
        <v>1</v>
      </c>
      <c r="AC1445">
        <f>IF(AND(vp.tbl[[#This Row],[CrudeType]]="Crude",vp.tbl[[#This Row],[Dens]]&gt;825,vp.tbl[[#This Row],[Dens]]&lt;=900,vp.tbl[[#This Row],[Sulf]]&lt;=0.5,vp.tbl[[#This Row],[Unknown]]=0),1,0)</f>
        <v>0</v>
      </c>
      <c r="AD1445">
        <f>IF(AND(vp.tbl[[#This Row],[CrudeType]]="Crude",vp.tbl[[#This Row],[Dens]]&gt;870,vp.tbl[[#This Row],[Dens]]&lt;=900,vp.tbl[[#This Row],[Sulf]]&gt;0.5,vp.tbl[[#This Row],[Unknown]]=0),1,0)</f>
        <v>0</v>
      </c>
      <c r="AE1445">
        <f>IF(AND(vp.tbl[[#This Row],[CrudeType]]="Crude",vp.tbl[[#This Row],[Dens]]&gt;900,vp.tbl[[#This Row],[Sulf]]&lt;=0.5,vp.tbl[[#This Row],[Unknown]]=0),1,0)</f>
        <v>0</v>
      </c>
      <c r="AF1445">
        <f>IF(AND(vp.tbl[[#This Row],[CrudeType]]="Crude",vp.tbl[[#This Row],[Dens]]&gt;900,vp.tbl[[#This Row],[Sulf]]&lt;=0.5,vp.tbl[[#This Row],[Unknown]]=0),1,0)</f>
        <v>0</v>
      </c>
      <c r="AG1445" t="str">
        <f>INDEX(vp.tbl[[#Headers],[Unknown]:[Heavy_SW]],MATCH(1,vp.tbl[[#This Row],[Unknown]:[Heavy_SW]],0))</f>
        <v>Medium_LSB</v>
      </c>
      <c r="AH1445" t="e">
        <f>INDEX([1]!crudeBD.lkup[Number],MATCH(vp.tbl[[#This Row],[Crude_Breakdown]],[1]!crudeBD.lkup[Crude Breakdown],0))</f>
        <v>#REF!</v>
      </c>
      <c r="AI1445">
        <f>MONTH(vp.tbl[[#This Row],[SDate]])</f>
        <v>5</v>
      </c>
      <c r="AJ1445" s="5">
        <f>IFERROR(vp.tbl[[#This Row],[Sulf]]*vp.tbl[[#This Row],[Net Dens]],"")</f>
        <v>8380183.0181300007</v>
      </c>
      <c r="AK1445" s="5">
        <f>IFERROR(vp.tbl[[#This Row],[Dens]]*vp.tbl[[#This Row],[VolumeM3]],"")</f>
        <v>10883354.569</v>
      </c>
      <c r="AL1445" s="5">
        <f>IFERROR(vp.tbl[[#This Row],[VP]]*vp.tbl[[#This Row],[VolumeM3]],"")</f>
        <v>1104657.2243999999</v>
      </c>
      <c r="AM1445" s="4">
        <f>IFERROR((vp.tbl[[#This Row],[VP]]-INDEX(crudeBD.lkup.complete[Mean_VP],MATCH(vp.tbl[[#This Row],[Crude_Breakdown]],crudeBD.lkup.complete[Crude Breakdown],0)))^2,"")</f>
        <v>19.593061784329709</v>
      </c>
      <c r="AN1445" s="4">
        <f>IFERROR((vp.tbl[[#This Row],[Dens]]-INDEX(crudeBD.lkup.complete[Mean_Dens],MATCH(vp.tbl[[#This Row],[Crude_Breakdown]],crudeBD.lkup.complete[Crude Breakdown],0)))^2,"")</f>
        <v>139.04708458834403</v>
      </c>
      <c r="AO1445" s="4">
        <f>IFERROR((vp.tbl[[#This Row],[Sulf]]-INDEX(crudeBD.lkup.complete[Mean_Sulf],MATCH(vp.tbl[[#This Row],[Crude_Breakdown]],crudeBD.lkup.complete[Crude Breakdown],0)))^2,"")</f>
        <v>0.46912891416002139</v>
      </c>
      <c r="AP1445">
        <f>IF(AND(vp.tbl[[#This Row],[SDate]]&gt;=DATE(YEAR(vp.tbl[[#This Row],[SDate]]),5,1),vp.tbl[[#This Row],[SDate]]&lt;=DATE(YEAR(vp.tbl[[#This Row],[SDate]]),9,15)),1,0)</f>
        <v>1</v>
      </c>
      <c r="AQ1445" s="15">
        <f>IF(vp.tbl[[#This Row],[SDate]]&lt;DATE(2016,12,1),0,1)</f>
        <v>1</v>
      </c>
    </row>
    <row r="1446" spans="1:43" x14ac:dyDescent="0.25">
      <c r="A1446">
        <v>1445</v>
      </c>
      <c r="B1446" t="s">
        <v>68</v>
      </c>
      <c r="C1446" t="s">
        <v>68</v>
      </c>
      <c r="D1446" t="s">
        <v>69</v>
      </c>
      <c r="F1446" s="1">
        <v>42863</v>
      </c>
      <c r="G1446" s="2">
        <v>69.599999999999994</v>
      </c>
      <c r="H1446" s="2"/>
      <c r="I1446" s="2">
        <v>1.61</v>
      </c>
      <c r="J1446" s="2"/>
      <c r="K1446" s="2"/>
      <c r="L1446" s="2">
        <v>863</v>
      </c>
      <c r="M1446" s="2">
        <v>863</v>
      </c>
      <c r="N1446" s="2">
        <f ca="1">INDEX(INDIRECT(_xlfn.CONCAT("weather.tbl[",N$1,"]")),MATCH(vp.tbl[[#This Row],[SDate]],weather.tbl[Date],0))</f>
        <v>10.516666666666667</v>
      </c>
      <c r="O1446" s="2">
        <f ca="1">INDEX(INDIRECT(_xlfn.CONCAT("weather.tbl[",O$1,"]")),MATCH(vp.tbl[[#This Row],[SDate]],weather.tbl[Date],0))</f>
        <v>13.452380952380953</v>
      </c>
      <c r="P1446" s="2">
        <f ca="1">INDEX(INDIRECT(_xlfn.CONCAT("weather.tbl[",P$1,"]")),MATCH(vp.tbl[[#This Row],[SDate]],weather.tbl[Date],0))</f>
        <v>11</v>
      </c>
      <c r="Q1446" s="2">
        <f ca="1">INDEX(INDIRECT(_xlfn.CONCAT("weather.tbl[",Q$1,"]")),MATCH(vp.tbl[[#This Row],[SDate]],weather.tbl[Date],0))</f>
        <v>9.1</v>
      </c>
      <c r="R1446" s="2">
        <f ca="1">INDEX(INDIRECT(_xlfn.CONCAT("weather.tbl[",R$1,"]")),MATCH(vp.tbl[[#This Row],[SDate]],weather.tbl[Date],0))</f>
        <v>12.3</v>
      </c>
      <c r="S1446" s="2">
        <f ca="1">INDEX(INDIRECT(_xlfn.CONCAT("weather.tbl[",S$1,"]")),MATCH(vp.tbl[[#This Row],[SDate]],weather.tbl[Date],0))</f>
        <v>8.5</v>
      </c>
      <c r="T1446" s="2">
        <f ca="1">INDEX(INDIRECT(_xlfn.CONCAT("weather.tbl[",T$1,"]")),MATCH(vp.tbl[[#This Row],[SDate]],weather.tbl[Date],0))</f>
        <v>11.7</v>
      </c>
      <c r="U1446" s="2">
        <f ca="1">INDEX(INDIRECT(_xlfn.CONCAT("weather.tbl[",U$1,"]")),MATCH(vp.tbl[[#This Row],[SDate]],weather.tbl[Date],0))</f>
        <v>10.5</v>
      </c>
      <c r="V1446" s="2">
        <v>1702.229</v>
      </c>
      <c r="W1446" t="s">
        <v>48</v>
      </c>
      <c r="X1446">
        <f>IF(OR(vp.tbl[[#This Row],[Sulf]]="",vp.tbl[[#This Row],[Dens]]=""),1,0)</f>
        <v>0</v>
      </c>
      <c r="Y1446">
        <f>IF(vp.tbl[[#This Row],[CrudeType]]="C5+",1,0)</f>
        <v>0</v>
      </c>
      <c r="Z1446">
        <f>IF(AND(vp.tbl[[#This Row],[CrudeType]]="Crude",vp.tbl[[#This Row],[Dens]]&lt;=825,vp.tbl[[#This Row],[Sulf]]&gt;0.5,vp.tbl[[#This Row],[Unknown]]=0),1,0)</f>
        <v>0</v>
      </c>
      <c r="AA1446">
        <f>IF(AND(vp.tbl[[#This Row],[CrudeType]]="Crude",vp.tbl[[#This Row],[Dens]]&lt;=825,vp.tbl[[#This Row],[Sulf]]&lt;=0.5,vp.tbl[[#This Row],[Unknown]]=0),1,0)</f>
        <v>0</v>
      </c>
      <c r="AB1446">
        <f>IF(AND(vp.tbl[[#This Row],[CrudeType]]="Crude",vp.tbl[[#This Row],[Dens]]&gt;825,vp.tbl[[#This Row],[Dens]]&lt;=870,vp.tbl[[#This Row],[Sulf]]&gt;0.5,vp.tbl[[#This Row],[Unknown]]=0),1,0)</f>
        <v>1</v>
      </c>
      <c r="AC1446">
        <f>IF(AND(vp.tbl[[#This Row],[CrudeType]]="Crude",vp.tbl[[#This Row],[Dens]]&gt;825,vp.tbl[[#This Row],[Dens]]&lt;=900,vp.tbl[[#This Row],[Sulf]]&lt;=0.5,vp.tbl[[#This Row],[Unknown]]=0),1,0)</f>
        <v>0</v>
      </c>
      <c r="AD1446">
        <f>IF(AND(vp.tbl[[#This Row],[CrudeType]]="Crude",vp.tbl[[#This Row],[Dens]]&gt;870,vp.tbl[[#This Row],[Dens]]&lt;=900,vp.tbl[[#This Row],[Sulf]]&gt;0.5,vp.tbl[[#This Row],[Unknown]]=0),1,0)</f>
        <v>0</v>
      </c>
      <c r="AE1446">
        <f>IF(AND(vp.tbl[[#This Row],[CrudeType]]="Crude",vp.tbl[[#This Row],[Dens]]&gt;900,vp.tbl[[#This Row],[Sulf]]&lt;=0.5,vp.tbl[[#This Row],[Unknown]]=0),1,0)</f>
        <v>0</v>
      </c>
      <c r="AF1446">
        <f>IF(AND(vp.tbl[[#This Row],[CrudeType]]="Crude",vp.tbl[[#This Row],[Dens]]&gt;900,vp.tbl[[#This Row],[Sulf]]&lt;=0.5,vp.tbl[[#This Row],[Unknown]]=0),1,0)</f>
        <v>0</v>
      </c>
      <c r="AG1446" t="str">
        <f>INDEX(vp.tbl[[#Headers],[Unknown]:[Heavy_SW]],MATCH(1,vp.tbl[[#This Row],[Unknown]:[Heavy_SW]],0))</f>
        <v>Medium_LSB</v>
      </c>
      <c r="AH1446" t="e">
        <f>INDEX([1]!crudeBD.lkup[Number],MATCH(vp.tbl[[#This Row],[Crude_Breakdown]],[1]!crudeBD.lkup[Crude Breakdown],0))</f>
        <v>#REF!</v>
      </c>
      <c r="AI1446">
        <f>MONTH(vp.tbl[[#This Row],[SDate]])</f>
        <v>5</v>
      </c>
      <c r="AJ1446" s="5">
        <f>IFERROR(vp.tbl[[#This Row],[Sulf]]*vp.tbl[[#This Row],[Net Dens]],"")</f>
        <v>2365128.0394700002</v>
      </c>
      <c r="AK1446" s="5">
        <f>IFERROR(vp.tbl[[#This Row],[Dens]]*vp.tbl[[#This Row],[VolumeM3]],"")</f>
        <v>1469023.6270000001</v>
      </c>
      <c r="AL1446" s="5">
        <f>IFERROR(vp.tbl[[#This Row],[VP]]*vp.tbl[[#This Row],[VolumeM3]],"")</f>
        <v>118475.1384</v>
      </c>
      <c r="AM1446" s="4">
        <f>IFERROR((vp.tbl[[#This Row],[VP]]-INDEX(crudeBD.lkup.complete[Mean_VP],MATCH(vp.tbl[[#This Row],[Crude_Breakdown]],crudeBD.lkup.complete[Crude Breakdown],0)))^2,"")</f>
        <v>111.80090988559459</v>
      </c>
      <c r="AN1446" s="4">
        <f>IFERROR((vp.tbl[[#This Row],[Dens]]-INDEX(crudeBD.lkup.complete[Mean_Dens],MATCH(vp.tbl[[#This Row],[Crude_Breakdown]],crudeBD.lkup.complete[Crude Breakdown],0)))^2,"")</f>
        <v>313.57954028460466</v>
      </c>
      <c r="AO1446" s="4">
        <f>IFERROR((vp.tbl[[#This Row],[Sulf]]-INDEX(crudeBD.lkup.complete[Mean_Sulf],MATCH(vp.tbl[[#This Row],[Crude_Breakdown]],crudeBD.lkup.complete[Crude Breakdown],0)))^2,"")</f>
        <v>2.4046748084069591E-2</v>
      </c>
      <c r="AP1446">
        <f>IF(AND(vp.tbl[[#This Row],[SDate]]&gt;=DATE(YEAR(vp.tbl[[#This Row],[SDate]]),5,1),vp.tbl[[#This Row],[SDate]]&lt;=DATE(YEAR(vp.tbl[[#This Row],[SDate]]),9,15)),1,0)</f>
        <v>1</v>
      </c>
      <c r="AQ1446" s="15">
        <f>IF(vp.tbl[[#This Row],[SDate]]&lt;DATE(2016,12,1),0,1)</f>
        <v>1</v>
      </c>
    </row>
    <row r="1447" spans="1:43" x14ac:dyDescent="0.25">
      <c r="A1447">
        <v>1446</v>
      </c>
      <c r="B1447" t="s">
        <v>49</v>
      </c>
      <c r="C1447" t="s">
        <v>49</v>
      </c>
      <c r="D1447" t="s">
        <v>89</v>
      </c>
      <c r="F1447" s="1">
        <v>42863</v>
      </c>
      <c r="G1447" s="2">
        <v>84.8</v>
      </c>
      <c r="H1447" s="2"/>
      <c r="I1447" s="2">
        <v>0.68</v>
      </c>
      <c r="J1447" s="2"/>
      <c r="K1447" s="2"/>
      <c r="L1447" s="2"/>
      <c r="M1447" s="2">
        <v>826.5</v>
      </c>
      <c r="N1447" s="2">
        <f ca="1">INDEX(INDIRECT(_xlfn.CONCAT("weather.tbl[",N$1,"]")),MATCH(vp.tbl[[#This Row],[SDate]],weather.tbl[Date],0))</f>
        <v>10.516666666666667</v>
      </c>
      <c r="O1447" s="2">
        <f ca="1">INDEX(INDIRECT(_xlfn.CONCAT("weather.tbl[",O$1,"]")),MATCH(vp.tbl[[#This Row],[SDate]],weather.tbl[Date],0))</f>
        <v>13.452380952380953</v>
      </c>
      <c r="P1447" s="2">
        <f ca="1">INDEX(INDIRECT(_xlfn.CONCAT("weather.tbl[",P$1,"]")),MATCH(vp.tbl[[#This Row],[SDate]],weather.tbl[Date],0))</f>
        <v>11</v>
      </c>
      <c r="Q1447" s="2">
        <f ca="1">INDEX(INDIRECT(_xlfn.CONCAT("weather.tbl[",Q$1,"]")),MATCH(vp.tbl[[#This Row],[SDate]],weather.tbl[Date],0))</f>
        <v>9.1</v>
      </c>
      <c r="R1447" s="2">
        <f ca="1">INDEX(INDIRECT(_xlfn.CONCAT("weather.tbl[",R$1,"]")),MATCH(vp.tbl[[#This Row],[SDate]],weather.tbl[Date],0))</f>
        <v>12.3</v>
      </c>
      <c r="S1447" s="2">
        <f ca="1">INDEX(INDIRECT(_xlfn.CONCAT("weather.tbl[",S$1,"]")),MATCH(vp.tbl[[#This Row],[SDate]],weather.tbl[Date],0))</f>
        <v>8.5</v>
      </c>
      <c r="T1447" s="2">
        <f ca="1">INDEX(INDIRECT(_xlfn.CONCAT("weather.tbl[",T$1,"]")),MATCH(vp.tbl[[#This Row],[SDate]],weather.tbl[Date],0))</f>
        <v>11.7</v>
      </c>
      <c r="U1447" s="2">
        <f ca="1">INDEX(INDIRECT(_xlfn.CONCAT("weather.tbl[",U$1,"]")),MATCH(vp.tbl[[#This Row],[SDate]],weather.tbl[Date],0))</f>
        <v>10.5</v>
      </c>
      <c r="V1447" s="2">
        <v>6839.1149999999998</v>
      </c>
      <c r="W1447" t="s">
        <v>48</v>
      </c>
      <c r="X1447">
        <f>IF(OR(vp.tbl[[#This Row],[Sulf]]="",vp.tbl[[#This Row],[Dens]]=""),1,0)</f>
        <v>0</v>
      </c>
      <c r="Y1447">
        <f>IF(vp.tbl[[#This Row],[CrudeType]]="C5+",1,0)</f>
        <v>0</v>
      </c>
      <c r="Z1447">
        <f>IF(AND(vp.tbl[[#This Row],[CrudeType]]="Crude",vp.tbl[[#This Row],[Dens]]&lt;=825,vp.tbl[[#This Row],[Sulf]]&gt;0.5,vp.tbl[[#This Row],[Unknown]]=0),1,0)</f>
        <v>0</v>
      </c>
      <c r="AA1447">
        <f>IF(AND(vp.tbl[[#This Row],[CrudeType]]="Crude",vp.tbl[[#This Row],[Dens]]&lt;=825,vp.tbl[[#This Row],[Sulf]]&lt;=0.5,vp.tbl[[#This Row],[Unknown]]=0),1,0)</f>
        <v>0</v>
      </c>
      <c r="AB1447">
        <f>IF(AND(vp.tbl[[#This Row],[CrudeType]]="Crude",vp.tbl[[#This Row],[Dens]]&gt;825,vp.tbl[[#This Row],[Dens]]&lt;=870,vp.tbl[[#This Row],[Sulf]]&gt;0.5,vp.tbl[[#This Row],[Unknown]]=0),1,0)</f>
        <v>1</v>
      </c>
      <c r="AC1447">
        <f>IF(AND(vp.tbl[[#This Row],[CrudeType]]="Crude",vp.tbl[[#This Row],[Dens]]&gt;825,vp.tbl[[#This Row],[Dens]]&lt;=900,vp.tbl[[#This Row],[Sulf]]&lt;=0.5,vp.tbl[[#This Row],[Unknown]]=0),1,0)</f>
        <v>0</v>
      </c>
      <c r="AD1447">
        <f>IF(AND(vp.tbl[[#This Row],[CrudeType]]="Crude",vp.tbl[[#This Row],[Dens]]&gt;870,vp.tbl[[#This Row],[Dens]]&lt;=900,vp.tbl[[#This Row],[Sulf]]&gt;0.5,vp.tbl[[#This Row],[Unknown]]=0),1,0)</f>
        <v>0</v>
      </c>
      <c r="AE1447">
        <f>IF(AND(vp.tbl[[#This Row],[CrudeType]]="Crude",vp.tbl[[#This Row],[Dens]]&gt;900,vp.tbl[[#This Row],[Sulf]]&lt;=0.5,vp.tbl[[#This Row],[Unknown]]=0),1,0)</f>
        <v>0</v>
      </c>
      <c r="AF1447">
        <f>IF(AND(vp.tbl[[#This Row],[CrudeType]]="Crude",vp.tbl[[#This Row],[Dens]]&gt;900,vp.tbl[[#This Row],[Sulf]]&lt;=0.5,vp.tbl[[#This Row],[Unknown]]=0),1,0)</f>
        <v>0</v>
      </c>
      <c r="AG1447" t="str">
        <f>INDEX(vp.tbl[[#Headers],[Unknown]:[Heavy_SW]],MATCH(1,vp.tbl[[#This Row],[Unknown]:[Heavy_SW]],0))</f>
        <v>Medium_LSB</v>
      </c>
      <c r="AH1447" t="e">
        <f>INDEX([1]!crudeBD.lkup[Number],MATCH(vp.tbl[[#This Row],[Crude_Breakdown]],[1]!crudeBD.lkup[Crude Breakdown],0))</f>
        <v>#REF!</v>
      </c>
      <c r="AI1447">
        <f>MONTH(vp.tbl[[#This Row],[SDate]])</f>
        <v>5</v>
      </c>
      <c r="AJ1447" s="5">
        <f>IFERROR(vp.tbl[[#This Row],[Sulf]]*vp.tbl[[#This Row],[Net Dens]],"")</f>
        <v>3843719.4123</v>
      </c>
      <c r="AK1447" s="5">
        <f>IFERROR(vp.tbl[[#This Row],[Dens]]*vp.tbl[[#This Row],[VolumeM3]],"")</f>
        <v>5652528.5474999994</v>
      </c>
      <c r="AL1447" s="5">
        <f>IFERROR(vp.tbl[[#This Row],[VP]]*vp.tbl[[#This Row],[VolumeM3]],"")</f>
        <v>579956.95199999993</v>
      </c>
      <c r="AM1447" s="4">
        <f>IFERROR((vp.tbl[[#This Row],[VP]]-INDEX(crudeBD.lkup.complete[Mean_VP],MATCH(vp.tbl[[#This Row],[Crude_Breakdown]],crudeBD.lkup.complete[Crude Breakdown],0)))^2,"")</f>
        <v>21.403623809646206</v>
      </c>
      <c r="AN1447" s="4">
        <f>IFERROR((vp.tbl[[#This Row],[Dens]]-INDEX(crudeBD.lkup.complete[Mean_Dens],MATCH(vp.tbl[[#This Row],[Crude_Breakdown]],crudeBD.lkup.complete[Crude Breakdown],0)))^2,"")</f>
        <v>353.13260357567202</v>
      </c>
      <c r="AO1447" s="4">
        <f>IFERROR((vp.tbl[[#This Row],[Sulf]]-INDEX(crudeBD.lkup.complete[Mean_Sulf],MATCH(vp.tbl[[#This Row],[Crude_Breakdown]],crudeBD.lkup.complete[Crude Breakdown],0)))^2,"")</f>
        <v>0.60051628909673049</v>
      </c>
      <c r="AP1447">
        <f>IF(AND(vp.tbl[[#This Row],[SDate]]&gt;=DATE(YEAR(vp.tbl[[#This Row],[SDate]]),5,1),vp.tbl[[#This Row],[SDate]]&lt;=DATE(YEAR(vp.tbl[[#This Row],[SDate]]),9,15)),1,0)</f>
        <v>1</v>
      </c>
      <c r="AQ1447" s="15">
        <f>IF(vp.tbl[[#This Row],[SDate]]&lt;DATE(2016,12,1),0,1)</f>
        <v>1</v>
      </c>
    </row>
    <row r="1448" spans="1:43" x14ac:dyDescent="0.25">
      <c r="A1448">
        <v>1447</v>
      </c>
      <c r="B1448" t="s">
        <v>49</v>
      </c>
      <c r="C1448" t="s">
        <v>49</v>
      </c>
      <c r="D1448" t="s">
        <v>50</v>
      </c>
      <c r="F1448" s="1">
        <v>42864</v>
      </c>
      <c r="G1448" s="2">
        <v>69.7</v>
      </c>
      <c r="H1448" s="2"/>
      <c r="I1448" s="2">
        <v>2.75</v>
      </c>
      <c r="J1448" s="2"/>
      <c r="K1448" s="2"/>
      <c r="L1448" s="2"/>
      <c r="M1448" s="2">
        <v>865</v>
      </c>
      <c r="N1448" s="2">
        <f ca="1">INDEX(INDIRECT(_xlfn.CONCAT("weather.tbl[",N$1,"]")),MATCH(vp.tbl[[#This Row],[SDate]],weather.tbl[Date],0))</f>
        <v>10.983333333333334</v>
      </c>
      <c r="O1448" s="2">
        <f ca="1">INDEX(INDIRECT(_xlfn.CONCAT("weather.tbl[",O$1,"]")),MATCH(vp.tbl[[#This Row],[SDate]],weather.tbl[Date],0))</f>
        <v>13.685714285714285</v>
      </c>
      <c r="P1448" s="2">
        <f ca="1">INDEX(INDIRECT(_xlfn.CONCAT("weather.tbl[",P$1,"]")),MATCH(vp.tbl[[#This Row],[SDate]],weather.tbl[Date],0))</f>
        <v>11.1</v>
      </c>
      <c r="Q1448" s="2">
        <f ca="1">INDEX(INDIRECT(_xlfn.CONCAT("weather.tbl[",Q$1,"]")),MATCH(vp.tbl[[#This Row],[SDate]],weather.tbl[Date],0))</f>
        <v>10.1</v>
      </c>
      <c r="R1448" s="2">
        <f ca="1">INDEX(INDIRECT(_xlfn.CONCAT("weather.tbl[",R$1,"]")),MATCH(vp.tbl[[#This Row],[SDate]],weather.tbl[Date],0))</f>
        <v>11.3</v>
      </c>
      <c r="S1448" s="2">
        <f ca="1">INDEX(INDIRECT(_xlfn.CONCAT("weather.tbl[",S$1,"]")),MATCH(vp.tbl[[#This Row],[SDate]],weather.tbl[Date],0))</f>
        <v>10</v>
      </c>
      <c r="T1448" s="2">
        <f ca="1">INDEX(INDIRECT(_xlfn.CONCAT("weather.tbl[",T$1,"]")),MATCH(vp.tbl[[#This Row],[SDate]],weather.tbl[Date],0))</f>
        <v>12.6</v>
      </c>
      <c r="U1448" s="2">
        <f ca="1">INDEX(INDIRECT(_xlfn.CONCAT("weather.tbl[",U$1,"]")),MATCH(vp.tbl[[#This Row],[SDate]],weather.tbl[Date],0))</f>
        <v>10.8</v>
      </c>
      <c r="V1448" s="2">
        <v>5265.8419999999996</v>
      </c>
      <c r="W1448" t="s">
        <v>48</v>
      </c>
      <c r="X1448">
        <f>IF(OR(vp.tbl[[#This Row],[Sulf]]="",vp.tbl[[#This Row],[Dens]]=""),1,0)</f>
        <v>0</v>
      </c>
      <c r="Y1448">
        <f>IF(vp.tbl[[#This Row],[CrudeType]]="C5+",1,0)</f>
        <v>0</v>
      </c>
      <c r="Z1448">
        <f>IF(AND(vp.tbl[[#This Row],[CrudeType]]="Crude",vp.tbl[[#This Row],[Dens]]&lt;=825,vp.tbl[[#This Row],[Sulf]]&gt;0.5,vp.tbl[[#This Row],[Unknown]]=0),1,0)</f>
        <v>0</v>
      </c>
      <c r="AA1448">
        <f>IF(AND(vp.tbl[[#This Row],[CrudeType]]="Crude",vp.tbl[[#This Row],[Dens]]&lt;=825,vp.tbl[[#This Row],[Sulf]]&lt;=0.5,vp.tbl[[#This Row],[Unknown]]=0),1,0)</f>
        <v>0</v>
      </c>
      <c r="AB1448">
        <f>IF(AND(vp.tbl[[#This Row],[CrudeType]]="Crude",vp.tbl[[#This Row],[Dens]]&gt;825,vp.tbl[[#This Row],[Dens]]&lt;=870,vp.tbl[[#This Row],[Sulf]]&gt;0.5,vp.tbl[[#This Row],[Unknown]]=0),1,0)</f>
        <v>1</v>
      </c>
      <c r="AC1448">
        <f>IF(AND(vp.tbl[[#This Row],[CrudeType]]="Crude",vp.tbl[[#This Row],[Dens]]&gt;825,vp.tbl[[#This Row],[Dens]]&lt;=900,vp.tbl[[#This Row],[Sulf]]&lt;=0.5,vp.tbl[[#This Row],[Unknown]]=0),1,0)</f>
        <v>0</v>
      </c>
      <c r="AD1448">
        <f>IF(AND(vp.tbl[[#This Row],[CrudeType]]="Crude",vp.tbl[[#This Row],[Dens]]&gt;870,vp.tbl[[#This Row],[Dens]]&lt;=900,vp.tbl[[#This Row],[Sulf]]&gt;0.5,vp.tbl[[#This Row],[Unknown]]=0),1,0)</f>
        <v>0</v>
      </c>
      <c r="AE1448">
        <f>IF(AND(vp.tbl[[#This Row],[CrudeType]]="Crude",vp.tbl[[#This Row],[Dens]]&gt;900,vp.tbl[[#This Row],[Sulf]]&lt;=0.5,vp.tbl[[#This Row],[Unknown]]=0),1,0)</f>
        <v>0</v>
      </c>
      <c r="AF1448">
        <f>IF(AND(vp.tbl[[#This Row],[CrudeType]]="Crude",vp.tbl[[#This Row],[Dens]]&gt;900,vp.tbl[[#This Row],[Sulf]]&lt;=0.5,vp.tbl[[#This Row],[Unknown]]=0),1,0)</f>
        <v>0</v>
      </c>
      <c r="AG1448" t="str">
        <f>INDEX(vp.tbl[[#Headers],[Unknown]:[Heavy_SW]],MATCH(1,vp.tbl[[#This Row],[Unknown]:[Heavy_SW]],0))</f>
        <v>Medium_LSB</v>
      </c>
      <c r="AH1448" t="e">
        <f>INDEX([1]!crudeBD.lkup[Number],MATCH(vp.tbl[[#This Row],[Crude_Breakdown]],[1]!crudeBD.lkup[Crude Breakdown],0))</f>
        <v>#REF!</v>
      </c>
      <c r="AI1448">
        <f>MONTH(vp.tbl[[#This Row],[SDate]])</f>
        <v>5</v>
      </c>
      <c r="AJ1448" s="5">
        <f>IFERROR(vp.tbl[[#This Row],[Sulf]]*vp.tbl[[#This Row],[Net Dens]],"")</f>
        <v>12526121.657500001</v>
      </c>
      <c r="AK1448" s="5">
        <f>IFERROR(vp.tbl[[#This Row],[Dens]]*vp.tbl[[#This Row],[VolumeM3]],"")</f>
        <v>4554953.33</v>
      </c>
      <c r="AL1448" s="5">
        <f>IFERROR(vp.tbl[[#This Row],[VP]]*vp.tbl[[#This Row],[VolumeM3]],"")</f>
        <v>367029.1874</v>
      </c>
      <c r="AM1448" s="4">
        <f>IFERROR((vp.tbl[[#This Row],[VP]]-INDEX(crudeBD.lkup.complete[Mean_VP],MATCH(vp.tbl[[#This Row],[Crude_Breakdown]],crudeBD.lkup.complete[Crude Breakdown],0)))^2,"")</f>
        <v>109.69619089825265</v>
      </c>
      <c r="AN1448" s="4">
        <f>IFERROR((vp.tbl[[#This Row],[Dens]]-INDEX(crudeBD.lkup.complete[Mean_Dens],MATCH(vp.tbl[[#This Row],[Crude_Breakdown]],crudeBD.lkup.complete[Crude Breakdown],0)))^2,"")</f>
        <v>388.41224914536809</v>
      </c>
      <c r="AO1448" s="4">
        <f>IFERROR((vp.tbl[[#This Row],[Sulf]]-INDEX(crudeBD.lkup.complete[Mean_Sulf],MATCH(vp.tbl[[#This Row],[Crude_Breakdown]],crudeBD.lkup.complete[Crude Breakdown],0)))^2,"")</f>
        <v>1.6772066655524207</v>
      </c>
      <c r="AP1448">
        <f>IF(AND(vp.tbl[[#This Row],[SDate]]&gt;=DATE(YEAR(vp.tbl[[#This Row],[SDate]]),5,1),vp.tbl[[#This Row],[SDate]]&lt;=DATE(YEAR(vp.tbl[[#This Row],[SDate]]),9,15)),1,0)</f>
        <v>1</v>
      </c>
      <c r="AQ1448" s="15">
        <f>IF(vp.tbl[[#This Row],[SDate]]&lt;DATE(2016,12,1),0,1)</f>
        <v>1</v>
      </c>
    </row>
    <row r="1449" spans="1:43" x14ac:dyDescent="0.25">
      <c r="A1449">
        <v>1448</v>
      </c>
      <c r="B1449" t="s">
        <v>49</v>
      </c>
      <c r="C1449" t="s">
        <v>49</v>
      </c>
      <c r="D1449" t="s">
        <v>78</v>
      </c>
      <c r="F1449" s="1">
        <v>42864</v>
      </c>
      <c r="G1449" s="2">
        <v>70.900000000000006</v>
      </c>
      <c r="H1449" s="2"/>
      <c r="I1449" s="2">
        <v>0.24</v>
      </c>
      <c r="J1449" s="2"/>
      <c r="K1449" s="2"/>
      <c r="L1449" s="2"/>
      <c r="M1449" s="2">
        <v>810.9</v>
      </c>
      <c r="N1449" s="2">
        <f ca="1">INDEX(INDIRECT(_xlfn.CONCAT("weather.tbl[",N$1,"]")),MATCH(vp.tbl[[#This Row],[SDate]],weather.tbl[Date],0))</f>
        <v>10.983333333333334</v>
      </c>
      <c r="O1449" s="2">
        <f ca="1">INDEX(INDIRECT(_xlfn.CONCAT("weather.tbl[",O$1,"]")),MATCH(vp.tbl[[#This Row],[SDate]],weather.tbl[Date],0))</f>
        <v>13.685714285714285</v>
      </c>
      <c r="P1449" s="2">
        <f ca="1">INDEX(INDIRECT(_xlfn.CONCAT("weather.tbl[",P$1,"]")),MATCH(vp.tbl[[#This Row],[SDate]],weather.tbl[Date],0))</f>
        <v>11.1</v>
      </c>
      <c r="Q1449" s="2">
        <f ca="1">INDEX(INDIRECT(_xlfn.CONCAT("weather.tbl[",Q$1,"]")),MATCH(vp.tbl[[#This Row],[SDate]],weather.tbl[Date],0))</f>
        <v>10.1</v>
      </c>
      <c r="R1449" s="2">
        <f ca="1">INDEX(INDIRECT(_xlfn.CONCAT("weather.tbl[",R$1,"]")),MATCH(vp.tbl[[#This Row],[SDate]],weather.tbl[Date],0))</f>
        <v>11.3</v>
      </c>
      <c r="S1449" s="2">
        <f ca="1">INDEX(INDIRECT(_xlfn.CONCAT("weather.tbl[",S$1,"]")),MATCH(vp.tbl[[#This Row],[SDate]],weather.tbl[Date],0))</f>
        <v>10</v>
      </c>
      <c r="T1449" s="2">
        <f ca="1">INDEX(INDIRECT(_xlfn.CONCAT("weather.tbl[",T$1,"]")),MATCH(vp.tbl[[#This Row],[SDate]],weather.tbl[Date],0))</f>
        <v>12.6</v>
      </c>
      <c r="U1449" s="2">
        <f ca="1">INDEX(INDIRECT(_xlfn.CONCAT("weather.tbl[",U$1,"]")),MATCH(vp.tbl[[#This Row],[SDate]],weather.tbl[Date],0))</f>
        <v>10.8</v>
      </c>
      <c r="V1449" s="2">
        <v>20016.702000000001</v>
      </c>
      <c r="W1449" t="s">
        <v>48</v>
      </c>
      <c r="X1449">
        <f>IF(OR(vp.tbl[[#This Row],[Sulf]]="",vp.tbl[[#This Row],[Dens]]=""),1,0)</f>
        <v>0</v>
      </c>
      <c r="Y1449">
        <f>IF(vp.tbl[[#This Row],[CrudeType]]="C5+",1,0)</f>
        <v>0</v>
      </c>
      <c r="Z1449">
        <f>IF(AND(vp.tbl[[#This Row],[CrudeType]]="Crude",vp.tbl[[#This Row],[Dens]]&lt;=825,vp.tbl[[#This Row],[Sulf]]&gt;0.5,vp.tbl[[#This Row],[Unknown]]=0),1,0)</f>
        <v>0</v>
      </c>
      <c r="AA1449">
        <f>IF(AND(vp.tbl[[#This Row],[CrudeType]]="Crude",vp.tbl[[#This Row],[Dens]]&lt;=825,vp.tbl[[#This Row],[Sulf]]&lt;=0.5,vp.tbl[[#This Row],[Unknown]]=0),1,0)</f>
        <v>1</v>
      </c>
      <c r="AB1449">
        <f>IF(AND(vp.tbl[[#This Row],[CrudeType]]="Crude",vp.tbl[[#This Row],[Dens]]&gt;825,vp.tbl[[#This Row],[Dens]]&lt;=870,vp.tbl[[#This Row],[Sulf]]&gt;0.5,vp.tbl[[#This Row],[Unknown]]=0),1,0)</f>
        <v>0</v>
      </c>
      <c r="AC1449">
        <f>IF(AND(vp.tbl[[#This Row],[CrudeType]]="Crude",vp.tbl[[#This Row],[Dens]]&gt;825,vp.tbl[[#This Row],[Dens]]&lt;=900,vp.tbl[[#This Row],[Sulf]]&lt;=0.5,vp.tbl[[#This Row],[Unknown]]=0),1,0)</f>
        <v>0</v>
      </c>
      <c r="AD1449">
        <f>IF(AND(vp.tbl[[#This Row],[CrudeType]]="Crude",vp.tbl[[#This Row],[Dens]]&gt;870,vp.tbl[[#This Row],[Dens]]&lt;=900,vp.tbl[[#This Row],[Sulf]]&gt;0.5,vp.tbl[[#This Row],[Unknown]]=0),1,0)</f>
        <v>0</v>
      </c>
      <c r="AE1449">
        <f>IF(AND(vp.tbl[[#This Row],[CrudeType]]="Crude",vp.tbl[[#This Row],[Dens]]&gt;900,vp.tbl[[#This Row],[Sulf]]&lt;=0.5,vp.tbl[[#This Row],[Unknown]]=0),1,0)</f>
        <v>0</v>
      </c>
      <c r="AF1449">
        <f>IF(AND(vp.tbl[[#This Row],[CrudeType]]="Crude",vp.tbl[[#This Row],[Dens]]&gt;900,vp.tbl[[#This Row],[Sulf]]&lt;=0.5,vp.tbl[[#This Row],[Unknown]]=0),1,0)</f>
        <v>0</v>
      </c>
      <c r="AG1449" t="str">
        <f>INDEX(vp.tbl[[#Headers],[Unknown]:[Heavy_SW]],MATCH(1,vp.tbl[[#This Row],[Unknown]:[Heavy_SW]],0))</f>
        <v>Light_SW</v>
      </c>
      <c r="AH1449" t="e">
        <f>INDEX([1]!crudeBD.lkup[Number],MATCH(vp.tbl[[#This Row],[Crude_Breakdown]],[1]!crudeBD.lkup[Crude Breakdown],0))</f>
        <v>#REF!</v>
      </c>
      <c r="AI1449">
        <f>MONTH(vp.tbl[[#This Row],[SDate]])</f>
        <v>5</v>
      </c>
      <c r="AJ1449" s="5">
        <f>IFERROR(vp.tbl[[#This Row],[Sulf]]*vp.tbl[[#This Row],[Net Dens]],"")</f>
        <v>3895570.4764320003</v>
      </c>
      <c r="AK1449" s="5">
        <f>IFERROR(vp.tbl[[#This Row],[Dens]]*vp.tbl[[#This Row],[VolumeM3]],"")</f>
        <v>16231543.651800001</v>
      </c>
      <c r="AL1449" s="5">
        <f>IFERROR(vp.tbl[[#This Row],[VP]]*vp.tbl[[#This Row],[VolumeM3]],"")</f>
        <v>1419184.1718000001</v>
      </c>
      <c r="AM1449" s="4">
        <f>IFERROR((vp.tbl[[#This Row],[VP]]-INDEX(crudeBD.lkup.complete[Mean_VP],MATCH(vp.tbl[[#This Row],[Crude_Breakdown]],crudeBD.lkup.complete[Crude Breakdown],0)))^2,"")</f>
        <v>468.73607849554901</v>
      </c>
      <c r="AN1449" s="4">
        <f>IFERROR((vp.tbl[[#This Row],[Dens]]-INDEX(crudeBD.lkup.complete[Mean_Dens],MATCH(vp.tbl[[#This Row],[Crude_Breakdown]],crudeBD.lkup.complete[Crude Breakdown],0)))^2,"")</f>
        <v>6.7003412691678106</v>
      </c>
      <c r="AO1449" s="4">
        <f>IFERROR((vp.tbl[[#This Row],[Sulf]]-INDEX(crudeBD.lkup.complete[Mean_Sulf],MATCH(vp.tbl[[#This Row],[Crude_Breakdown]],crudeBD.lkup.complete[Crude Breakdown],0)))^2,"")</f>
        <v>1.4123978195681499E-5</v>
      </c>
      <c r="AP1449">
        <f>IF(AND(vp.tbl[[#This Row],[SDate]]&gt;=DATE(YEAR(vp.tbl[[#This Row],[SDate]]),5,1),vp.tbl[[#This Row],[SDate]]&lt;=DATE(YEAR(vp.tbl[[#This Row],[SDate]]),9,15)),1,0)</f>
        <v>1</v>
      </c>
      <c r="AQ1449" s="15">
        <f>IF(vp.tbl[[#This Row],[SDate]]&lt;DATE(2016,12,1),0,1)</f>
        <v>1</v>
      </c>
    </row>
    <row r="1450" spans="1:43" x14ac:dyDescent="0.25">
      <c r="A1450">
        <v>1449</v>
      </c>
      <c r="B1450" t="s">
        <v>49</v>
      </c>
      <c r="C1450" t="s">
        <v>49</v>
      </c>
      <c r="D1450" t="s">
        <v>92</v>
      </c>
      <c r="F1450" s="1">
        <v>42864</v>
      </c>
      <c r="G1450" s="2">
        <v>69.5</v>
      </c>
      <c r="H1450" s="2"/>
      <c r="I1450" s="2">
        <v>0.64</v>
      </c>
      <c r="J1450" s="2"/>
      <c r="K1450" s="2"/>
      <c r="L1450" s="2"/>
      <c r="M1450" s="2">
        <v>822.7</v>
      </c>
      <c r="N1450" s="2">
        <f ca="1">INDEX(INDIRECT(_xlfn.CONCAT("weather.tbl[",N$1,"]")),MATCH(vp.tbl[[#This Row],[SDate]],weather.tbl[Date],0))</f>
        <v>10.983333333333334</v>
      </c>
      <c r="O1450" s="2">
        <f ca="1">INDEX(INDIRECT(_xlfn.CONCAT("weather.tbl[",O$1,"]")),MATCH(vp.tbl[[#This Row],[SDate]],weather.tbl[Date],0))</f>
        <v>13.685714285714285</v>
      </c>
      <c r="P1450" s="2">
        <f ca="1">INDEX(INDIRECT(_xlfn.CONCAT("weather.tbl[",P$1,"]")),MATCH(vp.tbl[[#This Row],[SDate]],weather.tbl[Date],0))</f>
        <v>11.1</v>
      </c>
      <c r="Q1450" s="2">
        <f ca="1">INDEX(INDIRECT(_xlfn.CONCAT("weather.tbl[",Q$1,"]")),MATCH(vp.tbl[[#This Row],[SDate]],weather.tbl[Date],0))</f>
        <v>10.1</v>
      </c>
      <c r="R1450" s="2">
        <f ca="1">INDEX(INDIRECT(_xlfn.CONCAT("weather.tbl[",R$1,"]")),MATCH(vp.tbl[[#This Row],[SDate]],weather.tbl[Date],0))</f>
        <v>11.3</v>
      </c>
      <c r="S1450" s="2">
        <f ca="1">INDEX(INDIRECT(_xlfn.CONCAT("weather.tbl[",S$1,"]")),MATCH(vp.tbl[[#This Row],[SDate]],weather.tbl[Date],0))</f>
        <v>10</v>
      </c>
      <c r="T1450" s="2">
        <f ca="1">INDEX(INDIRECT(_xlfn.CONCAT("weather.tbl[",T$1,"]")),MATCH(vp.tbl[[#This Row],[SDate]],weather.tbl[Date],0))</f>
        <v>12.6</v>
      </c>
      <c r="U1450" s="2">
        <f ca="1">INDEX(INDIRECT(_xlfn.CONCAT("weather.tbl[",U$1,"]")),MATCH(vp.tbl[[#This Row],[SDate]],weather.tbl[Date],0))</f>
        <v>10.8</v>
      </c>
      <c r="V1450" s="2">
        <v>24656.244999999999</v>
      </c>
      <c r="W1450" t="s">
        <v>48</v>
      </c>
      <c r="X1450">
        <f>IF(OR(vp.tbl[[#This Row],[Sulf]]="",vp.tbl[[#This Row],[Dens]]=""),1,0)</f>
        <v>0</v>
      </c>
      <c r="Y1450">
        <f>IF(vp.tbl[[#This Row],[CrudeType]]="C5+",1,0)</f>
        <v>0</v>
      </c>
      <c r="Z1450">
        <f>IF(AND(vp.tbl[[#This Row],[CrudeType]]="Crude",vp.tbl[[#This Row],[Dens]]&lt;=825,vp.tbl[[#This Row],[Sulf]]&gt;0.5,vp.tbl[[#This Row],[Unknown]]=0),1,0)</f>
        <v>1</v>
      </c>
      <c r="AA1450">
        <f>IF(AND(vp.tbl[[#This Row],[CrudeType]]="Crude",vp.tbl[[#This Row],[Dens]]&lt;=825,vp.tbl[[#This Row],[Sulf]]&lt;=0.5,vp.tbl[[#This Row],[Unknown]]=0),1,0)</f>
        <v>0</v>
      </c>
      <c r="AB1450">
        <f>IF(AND(vp.tbl[[#This Row],[CrudeType]]="Crude",vp.tbl[[#This Row],[Dens]]&gt;825,vp.tbl[[#This Row],[Dens]]&lt;=870,vp.tbl[[#This Row],[Sulf]]&gt;0.5,vp.tbl[[#This Row],[Unknown]]=0),1,0)</f>
        <v>0</v>
      </c>
      <c r="AC1450">
        <f>IF(AND(vp.tbl[[#This Row],[CrudeType]]="Crude",vp.tbl[[#This Row],[Dens]]&gt;825,vp.tbl[[#This Row],[Dens]]&lt;=900,vp.tbl[[#This Row],[Sulf]]&lt;=0.5,vp.tbl[[#This Row],[Unknown]]=0),1,0)</f>
        <v>0</v>
      </c>
      <c r="AD1450">
        <f>IF(AND(vp.tbl[[#This Row],[CrudeType]]="Crude",vp.tbl[[#This Row],[Dens]]&gt;870,vp.tbl[[#This Row],[Dens]]&lt;=900,vp.tbl[[#This Row],[Sulf]]&gt;0.5,vp.tbl[[#This Row],[Unknown]]=0),1,0)</f>
        <v>0</v>
      </c>
      <c r="AE1450">
        <f>IF(AND(vp.tbl[[#This Row],[CrudeType]]="Crude",vp.tbl[[#This Row],[Dens]]&gt;900,vp.tbl[[#This Row],[Sulf]]&lt;=0.5,vp.tbl[[#This Row],[Unknown]]=0),1,0)</f>
        <v>0</v>
      </c>
      <c r="AF1450">
        <f>IF(AND(vp.tbl[[#This Row],[CrudeType]]="Crude",vp.tbl[[#This Row],[Dens]]&gt;900,vp.tbl[[#This Row],[Sulf]]&lt;=0.5,vp.tbl[[#This Row],[Unknown]]=0),1,0)</f>
        <v>0</v>
      </c>
      <c r="AG1450" t="str">
        <f>INDEX(vp.tbl[[#Headers],[Unknown]:[Heavy_SW]],MATCH(1,vp.tbl[[#This Row],[Unknown]:[Heavy_SW]],0))</f>
        <v>Light_LSB</v>
      </c>
      <c r="AH1450" t="e">
        <f>INDEX([1]!crudeBD.lkup[Number],MATCH(vp.tbl[[#This Row],[Crude_Breakdown]],[1]!crudeBD.lkup[Crude Breakdown],0))</f>
        <v>#REF!</v>
      </c>
      <c r="AI1450">
        <f>MONTH(vp.tbl[[#This Row],[SDate]])</f>
        <v>5</v>
      </c>
      <c r="AJ1450" s="5">
        <f>IFERROR(vp.tbl[[#This Row],[Sulf]]*vp.tbl[[#This Row],[Net Dens]],"")</f>
        <v>12982203.367360001</v>
      </c>
      <c r="AK1450" s="5">
        <f>IFERROR(vp.tbl[[#This Row],[Dens]]*vp.tbl[[#This Row],[VolumeM3]],"")</f>
        <v>20284692.761500001</v>
      </c>
      <c r="AL1450" s="5">
        <f>IFERROR(vp.tbl[[#This Row],[VP]]*vp.tbl[[#This Row],[VolumeM3]],"")</f>
        <v>1713609.0274999999</v>
      </c>
      <c r="AM1450" s="4">
        <f>IFERROR((vp.tbl[[#This Row],[VP]]-INDEX(crudeBD.lkup.complete[Mean_VP],MATCH(vp.tbl[[#This Row],[Crude_Breakdown]],crudeBD.lkup.complete[Crude Breakdown],0)))^2,"")</f>
        <v>486.03429805505505</v>
      </c>
      <c r="AN1450" s="4">
        <f>IFERROR((vp.tbl[[#This Row],[Dens]]-INDEX(crudeBD.lkup.complete[Mean_Dens],MATCH(vp.tbl[[#This Row],[Crude_Breakdown]],crudeBD.lkup.complete[Crude Breakdown],0)))^2,"")</f>
        <v>17.499415245453584</v>
      </c>
      <c r="AO1450" s="4">
        <f>IFERROR((vp.tbl[[#This Row],[Sulf]]-INDEX(crudeBD.lkup.complete[Mean_Sulf],MATCH(vp.tbl[[#This Row],[Crude_Breakdown]],crudeBD.lkup.complete[Crude Breakdown],0)))^2,"")</f>
        <v>8.0072682137103807E-2</v>
      </c>
      <c r="AP1450">
        <f>IF(AND(vp.tbl[[#This Row],[SDate]]&gt;=DATE(YEAR(vp.tbl[[#This Row],[SDate]]),5,1),vp.tbl[[#This Row],[SDate]]&lt;=DATE(YEAR(vp.tbl[[#This Row],[SDate]]),9,15)),1,0)</f>
        <v>1</v>
      </c>
      <c r="AQ1450" s="15">
        <f>IF(vp.tbl[[#This Row],[SDate]]&lt;DATE(2016,12,1),0,1)</f>
        <v>1</v>
      </c>
    </row>
    <row r="1451" spans="1:43" x14ac:dyDescent="0.25">
      <c r="A1451">
        <v>1450</v>
      </c>
      <c r="B1451" t="s">
        <v>68</v>
      </c>
      <c r="C1451" t="s">
        <v>68</v>
      </c>
      <c r="D1451" t="s">
        <v>110</v>
      </c>
      <c r="F1451" s="1">
        <v>42864</v>
      </c>
      <c r="G1451" s="2">
        <v>62.4</v>
      </c>
      <c r="H1451" s="2"/>
      <c r="I1451" s="2">
        <v>1.45</v>
      </c>
      <c r="J1451" s="2"/>
      <c r="K1451" s="2"/>
      <c r="L1451" s="2"/>
      <c r="M1451" s="2">
        <v>854.2</v>
      </c>
      <c r="N1451" s="2">
        <f ca="1">INDEX(INDIRECT(_xlfn.CONCAT("weather.tbl[",N$1,"]")),MATCH(vp.tbl[[#This Row],[SDate]],weather.tbl[Date],0))</f>
        <v>10.983333333333334</v>
      </c>
      <c r="O1451" s="2">
        <f ca="1">INDEX(INDIRECT(_xlfn.CONCAT("weather.tbl[",O$1,"]")),MATCH(vp.tbl[[#This Row],[SDate]],weather.tbl[Date],0))</f>
        <v>13.685714285714285</v>
      </c>
      <c r="P1451" s="2">
        <f ca="1">INDEX(INDIRECT(_xlfn.CONCAT("weather.tbl[",P$1,"]")),MATCH(vp.tbl[[#This Row],[SDate]],weather.tbl[Date],0))</f>
        <v>11.1</v>
      </c>
      <c r="Q1451" s="2">
        <f ca="1">INDEX(INDIRECT(_xlfn.CONCAT("weather.tbl[",Q$1,"]")),MATCH(vp.tbl[[#This Row],[SDate]],weather.tbl[Date],0))</f>
        <v>10.1</v>
      </c>
      <c r="R1451" s="2">
        <f ca="1">INDEX(INDIRECT(_xlfn.CONCAT("weather.tbl[",R$1,"]")),MATCH(vp.tbl[[#This Row],[SDate]],weather.tbl[Date],0))</f>
        <v>11.3</v>
      </c>
      <c r="S1451" s="2">
        <f ca="1">INDEX(INDIRECT(_xlfn.CONCAT("weather.tbl[",S$1,"]")),MATCH(vp.tbl[[#This Row],[SDate]],weather.tbl[Date],0))</f>
        <v>10</v>
      </c>
      <c r="T1451" s="2">
        <f ca="1">INDEX(INDIRECT(_xlfn.CONCAT("weather.tbl[",T$1,"]")),MATCH(vp.tbl[[#This Row],[SDate]],weather.tbl[Date],0))</f>
        <v>12.6</v>
      </c>
      <c r="U1451" s="2">
        <f ca="1">INDEX(INDIRECT(_xlfn.CONCAT("weather.tbl[",U$1,"]")),MATCH(vp.tbl[[#This Row],[SDate]],weather.tbl[Date],0))</f>
        <v>10.8</v>
      </c>
      <c r="V1451" s="2">
        <v>3812.1930000000002</v>
      </c>
      <c r="W1451" t="s">
        <v>48</v>
      </c>
      <c r="X1451">
        <f>IF(OR(vp.tbl[[#This Row],[Sulf]]="",vp.tbl[[#This Row],[Dens]]=""),1,0)</f>
        <v>0</v>
      </c>
      <c r="Y1451">
        <f>IF(vp.tbl[[#This Row],[CrudeType]]="C5+",1,0)</f>
        <v>0</v>
      </c>
      <c r="Z1451">
        <f>IF(AND(vp.tbl[[#This Row],[CrudeType]]="Crude",vp.tbl[[#This Row],[Dens]]&lt;=825,vp.tbl[[#This Row],[Sulf]]&gt;0.5,vp.tbl[[#This Row],[Unknown]]=0),1,0)</f>
        <v>0</v>
      </c>
      <c r="AA1451">
        <f>IF(AND(vp.tbl[[#This Row],[CrudeType]]="Crude",vp.tbl[[#This Row],[Dens]]&lt;=825,vp.tbl[[#This Row],[Sulf]]&lt;=0.5,vp.tbl[[#This Row],[Unknown]]=0),1,0)</f>
        <v>0</v>
      </c>
      <c r="AB1451">
        <f>IF(AND(vp.tbl[[#This Row],[CrudeType]]="Crude",vp.tbl[[#This Row],[Dens]]&gt;825,vp.tbl[[#This Row],[Dens]]&lt;=870,vp.tbl[[#This Row],[Sulf]]&gt;0.5,vp.tbl[[#This Row],[Unknown]]=0),1,0)</f>
        <v>1</v>
      </c>
      <c r="AC1451">
        <f>IF(AND(vp.tbl[[#This Row],[CrudeType]]="Crude",vp.tbl[[#This Row],[Dens]]&gt;825,vp.tbl[[#This Row],[Dens]]&lt;=900,vp.tbl[[#This Row],[Sulf]]&lt;=0.5,vp.tbl[[#This Row],[Unknown]]=0),1,0)</f>
        <v>0</v>
      </c>
      <c r="AD1451">
        <f>IF(AND(vp.tbl[[#This Row],[CrudeType]]="Crude",vp.tbl[[#This Row],[Dens]]&gt;870,vp.tbl[[#This Row],[Dens]]&lt;=900,vp.tbl[[#This Row],[Sulf]]&gt;0.5,vp.tbl[[#This Row],[Unknown]]=0),1,0)</f>
        <v>0</v>
      </c>
      <c r="AE1451">
        <f>IF(AND(vp.tbl[[#This Row],[CrudeType]]="Crude",vp.tbl[[#This Row],[Dens]]&gt;900,vp.tbl[[#This Row],[Sulf]]&lt;=0.5,vp.tbl[[#This Row],[Unknown]]=0),1,0)</f>
        <v>0</v>
      </c>
      <c r="AF1451">
        <f>IF(AND(vp.tbl[[#This Row],[CrudeType]]="Crude",vp.tbl[[#This Row],[Dens]]&gt;900,vp.tbl[[#This Row],[Sulf]]&lt;=0.5,vp.tbl[[#This Row],[Unknown]]=0),1,0)</f>
        <v>0</v>
      </c>
      <c r="AG1451" t="str">
        <f>INDEX(vp.tbl[[#Headers],[Unknown]:[Heavy_SW]],MATCH(1,vp.tbl[[#This Row],[Unknown]:[Heavy_SW]],0))</f>
        <v>Medium_LSB</v>
      </c>
      <c r="AH1451" t="e">
        <f>INDEX([1]!crudeBD.lkup[Number],MATCH(vp.tbl[[#This Row],[Crude_Breakdown]],[1]!crudeBD.lkup[Crude Breakdown],0))</f>
        <v>#REF!</v>
      </c>
      <c r="AI1451">
        <f>MONTH(vp.tbl[[#This Row],[SDate]])</f>
        <v>5</v>
      </c>
      <c r="AJ1451" s="5">
        <f>IFERROR(vp.tbl[[#This Row],[Sulf]]*vp.tbl[[#This Row],[Net Dens]],"")</f>
        <v>4721744.12787</v>
      </c>
      <c r="AK1451" s="5">
        <f>IFERROR(vp.tbl[[#This Row],[Dens]]*vp.tbl[[#This Row],[VolumeM3]],"")</f>
        <v>3256375.2606000002</v>
      </c>
      <c r="AL1451" s="5">
        <f>IFERROR(vp.tbl[[#This Row],[VP]]*vp.tbl[[#This Row],[VolumeM3]],"")</f>
        <v>237880.8432</v>
      </c>
      <c r="AM1451" s="4">
        <f>IFERROR((vp.tbl[[#This Row],[VP]]-INDEX(crudeBD.lkup.complete[Mean_VP],MATCH(vp.tbl[[#This Row],[Crude_Breakdown]],crudeBD.lkup.complete[Crude Breakdown],0)))^2,"")</f>
        <v>315.90067697420159</v>
      </c>
      <c r="AN1451" s="4">
        <f>IFERROR((vp.tbl[[#This Row],[Dens]]-INDEX(crudeBD.lkup.complete[Mean_Dens],MATCH(vp.tbl[[#This Row],[Crude_Breakdown]],crudeBD.lkup.complete[Crude Breakdown],0)))^2,"")</f>
        <v>79.355621297246358</v>
      </c>
      <c r="AO1451" s="4">
        <f>IFERROR((vp.tbl[[#This Row],[Sulf]]-INDEX(crudeBD.lkup.complete[Mean_Sulf],MATCH(vp.tbl[[#This Row],[Crude_Breakdown]],crudeBD.lkup.complete[Crude Breakdown],0)))^2,"")</f>
        <v>2.4303527108010561E-5</v>
      </c>
      <c r="AP1451">
        <f>IF(AND(vp.tbl[[#This Row],[SDate]]&gt;=DATE(YEAR(vp.tbl[[#This Row],[SDate]]),5,1),vp.tbl[[#This Row],[SDate]]&lt;=DATE(YEAR(vp.tbl[[#This Row],[SDate]]),9,15)),1,0)</f>
        <v>1</v>
      </c>
      <c r="AQ1451" s="15">
        <f>IF(vp.tbl[[#This Row],[SDate]]&lt;DATE(2016,12,1),0,1)</f>
        <v>1</v>
      </c>
    </row>
    <row r="1452" spans="1:43" x14ac:dyDescent="0.25">
      <c r="A1452">
        <v>1451</v>
      </c>
      <c r="B1452" t="s">
        <v>64</v>
      </c>
      <c r="C1452" t="s">
        <v>64</v>
      </c>
      <c r="D1452" t="s">
        <v>65</v>
      </c>
      <c r="F1452" s="1">
        <v>42864</v>
      </c>
      <c r="G1452" s="2">
        <v>44.1</v>
      </c>
      <c r="H1452" s="2"/>
      <c r="I1452" s="2">
        <v>2.0699999999999998</v>
      </c>
      <c r="J1452" s="2"/>
      <c r="K1452" s="2"/>
      <c r="L1452" s="2"/>
      <c r="M1452" s="2">
        <v>876.5</v>
      </c>
      <c r="N1452" s="2">
        <f ca="1">INDEX(INDIRECT(_xlfn.CONCAT("weather.tbl[",N$1,"]")),MATCH(vp.tbl[[#This Row],[SDate]],weather.tbl[Date],0))</f>
        <v>10.983333333333334</v>
      </c>
      <c r="O1452" s="2">
        <f ca="1">INDEX(INDIRECT(_xlfn.CONCAT("weather.tbl[",O$1,"]")),MATCH(vp.tbl[[#This Row],[SDate]],weather.tbl[Date],0))</f>
        <v>13.685714285714285</v>
      </c>
      <c r="P1452" s="2">
        <f ca="1">INDEX(INDIRECT(_xlfn.CONCAT("weather.tbl[",P$1,"]")),MATCH(vp.tbl[[#This Row],[SDate]],weather.tbl[Date],0))</f>
        <v>11.1</v>
      </c>
      <c r="Q1452" s="2">
        <f ca="1">INDEX(INDIRECT(_xlfn.CONCAT("weather.tbl[",Q$1,"]")),MATCH(vp.tbl[[#This Row],[SDate]],weather.tbl[Date],0))</f>
        <v>10.1</v>
      </c>
      <c r="R1452" s="2">
        <f ca="1">INDEX(INDIRECT(_xlfn.CONCAT("weather.tbl[",R$1,"]")),MATCH(vp.tbl[[#This Row],[SDate]],weather.tbl[Date],0))</f>
        <v>11.3</v>
      </c>
      <c r="S1452" s="2">
        <f ca="1">INDEX(INDIRECT(_xlfn.CONCAT("weather.tbl[",S$1,"]")),MATCH(vp.tbl[[#This Row],[SDate]],weather.tbl[Date],0))</f>
        <v>10</v>
      </c>
      <c r="T1452" s="2">
        <f ca="1">INDEX(INDIRECT(_xlfn.CONCAT("weather.tbl[",T$1,"]")),MATCH(vp.tbl[[#This Row],[SDate]],weather.tbl[Date],0))</f>
        <v>12.6</v>
      </c>
      <c r="U1452" s="2">
        <f ca="1">INDEX(INDIRECT(_xlfn.CONCAT("weather.tbl[",U$1,"]")),MATCH(vp.tbl[[#This Row],[SDate]],weather.tbl[Date],0))</f>
        <v>10.8</v>
      </c>
      <c r="V1452" s="2">
        <v>21822.753000000001</v>
      </c>
      <c r="W1452" t="s">
        <v>48</v>
      </c>
      <c r="X1452">
        <f>IF(OR(vp.tbl[[#This Row],[Sulf]]="",vp.tbl[[#This Row],[Dens]]=""),1,0)</f>
        <v>0</v>
      </c>
      <c r="Y1452">
        <f>IF(vp.tbl[[#This Row],[CrudeType]]="C5+",1,0)</f>
        <v>0</v>
      </c>
      <c r="Z1452">
        <f>IF(AND(vp.tbl[[#This Row],[CrudeType]]="Crude",vp.tbl[[#This Row],[Dens]]&lt;=825,vp.tbl[[#This Row],[Sulf]]&gt;0.5,vp.tbl[[#This Row],[Unknown]]=0),1,0)</f>
        <v>0</v>
      </c>
      <c r="AA1452">
        <f>IF(AND(vp.tbl[[#This Row],[CrudeType]]="Crude",vp.tbl[[#This Row],[Dens]]&lt;=825,vp.tbl[[#This Row],[Sulf]]&lt;=0.5,vp.tbl[[#This Row],[Unknown]]=0),1,0)</f>
        <v>0</v>
      </c>
      <c r="AB1452">
        <f>IF(AND(vp.tbl[[#This Row],[CrudeType]]="Crude",vp.tbl[[#This Row],[Dens]]&gt;825,vp.tbl[[#This Row],[Dens]]&lt;=870,vp.tbl[[#This Row],[Sulf]]&gt;0.5,vp.tbl[[#This Row],[Unknown]]=0),1,0)</f>
        <v>0</v>
      </c>
      <c r="AC1452">
        <f>IF(AND(vp.tbl[[#This Row],[CrudeType]]="Crude",vp.tbl[[#This Row],[Dens]]&gt;825,vp.tbl[[#This Row],[Dens]]&lt;=900,vp.tbl[[#This Row],[Sulf]]&lt;=0.5,vp.tbl[[#This Row],[Unknown]]=0),1,0)</f>
        <v>0</v>
      </c>
      <c r="AD1452">
        <f>IF(AND(vp.tbl[[#This Row],[CrudeType]]="Crude",vp.tbl[[#This Row],[Dens]]&gt;870,vp.tbl[[#This Row],[Dens]]&lt;=900,vp.tbl[[#This Row],[Sulf]]&gt;0.5,vp.tbl[[#This Row],[Unknown]]=0),1,0)</f>
        <v>1</v>
      </c>
      <c r="AE1452">
        <f>IF(AND(vp.tbl[[#This Row],[CrudeType]]="Crude",vp.tbl[[#This Row],[Dens]]&gt;900,vp.tbl[[#This Row],[Sulf]]&lt;=0.5,vp.tbl[[#This Row],[Unknown]]=0),1,0)</f>
        <v>0</v>
      </c>
      <c r="AF1452">
        <f>IF(AND(vp.tbl[[#This Row],[CrudeType]]="Crude",vp.tbl[[#This Row],[Dens]]&gt;900,vp.tbl[[#This Row],[Sulf]]&lt;=0.5,vp.tbl[[#This Row],[Unknown]]=0),1,0)</f>
        <v>0</v>
      </c>
      <c r="AG1452" t="str">
        <f>INDEX(vp.tbl[[#Headers],[Unknown]:[Heavy_SW]],MATCH(1,vp.tbl[[#This Row],[Unknown]:[Heavy_SW]],0))</f>
        <v>Midale</v>
      </c>
      <c r="AH1452" t="e">
        <f>INDEX([1]!crudeBD.lkup[Number],MATCH(vp.tbl[[#This Row],[Crude_Breakdown]],[1]!crudeBD.lkup[Crude Breakdown],0))</f>
        <v>#REF!</v>
      </c>
      <c r="AI1452">
        <f>MONTH(vp.tbl[[#This Row],[SDate]])</f>
        <v>5</v>
      </c>
      <c r="AJ1452" s="5">
        <f>IFERROR(vp.tbl[[#This Row],[Sulf]]*vp.tbl[[#This Row],[Net Dens]],"")</f>
        <v>39594221.019314997</v>
      </c>
      <c r="AK1452" s="5">
        <f>IFERROR(vp.tbl[[#This Row],[Dens]]*vp.tbl[[#This Row],[VolumeM3]],"")</f>
        <v>19127643.004500002</v>
      </c>
      <c r="AL1452" s="5">
        <f>IFERROR(vp.tbl[[#This Row],[VP]]*vp.tbl[[#This Row],[VolumeM3]],"")</f>
        <v>962383.40730000008</v>
      </c>
      <c r="AM1452" s="4">
        <f>IFERROR((vp.tbl[[#This Row],[VP]]-INDEX(crudeBD.lkup.complete[Mean_VP],MATCH(vp.tbl[[#This Row],[Crude_Breakdown]],crudeBD.lkup.complete[Crude Breakdown],0)))^2,"")</f>
        <v>582.66023831863447</v>
      </c>
      <c r="AN1452" s="4">
        <f>IFERROR((vp.tbl[[#This Row],[Dens]]-INDEX(crudeBD.lkup.complete[Mean_Dens],MATCH(vp.tbl[[#This Row],[Crude_Breakdown]],crudeBD.lkup.complete[Crude Breakdown],0)))^2,"")</f>
        <v>1.1068192906730354</v>
      </c>
      <c r="AO1452" s="4">
        <f>IFERROR((vp.tbl[[#This Row],[Sulf]]-INDEX(crudeBD.lkup.complete[Mean_Sulf],MATCH(vp.tbl[[#This Row],[Crude_Breakdown]],crudeBD.lkup.complete[Crude Breakdown],0)))^2,"")</f>
        <v>0.11925981021371665</v>
      </c>
      <c r="AP1452">
        <f>IF(AND(vp.tbl[[#This Row],[SDate]]&gt;=DATE(YEAR(vp.tbl[[#This Row],[SDate]]),5,1),vp.tbl[[#This Row],[SDate]]&lt;=DATE(YEAR(vp.tbl[[#This Row],[SDate]]),9,15)),1,0)</f>
        <v>1</v>
      </c>
      <c r="AQ1452" s="15">
        <f>IF(vp.tbl[[#This Row],[SDate]]&lt;DATE(2016,12,1),0,1)</f>
        <v>1</v>
      </c>
    </row>
    <row r="1453" spans="1:43" x14ac:dyDescent="0.25">
      <c r="A1453">
        <v>1452</v>
      </c>
      <c r="B1453" t="s">
        <v>51</v>
      </c>
      <c r="C1453" t="s">
        <v>51</v>
      </c>
      <c r="D1453" t="s">
        <v>58</v>
      </c>
      <c r="F1453" s="1">
        <v>42864</v>
      </c>
      <c r="G1453" s="2">
        <v>86.2</v>
      </c>
      <c r="H1453" s="2"/>
      <c r="I1453" s="2">
        <v>1.51</v>
      </c>
      <c r="J1453" s="2"/>
      <c r="K1453" s="2"/>
      <c r="L1453" s="2"/>
      <c r="M1453" s="2">
        <v>836.4</v>
      </c>
      <c r="N1453" s="2">
        <f ca="1">INDEX(INDIRECT(_xlfn.CONCAT("weather.tbl[",N$1,"]")),MATCH(vp.tbl[[#This Row],[SDate]],weather.tbl[Date],0))</f>
        <v>10.983333333333334</v>
      </c>
      <c r="O1453" s="2">
        <f ca="1">INDEX(INDIRECT(_xlfn.CONCAT("weather.tbl[",O$1,"]")),MATCH(vp.tbl[[#This Row],[SDate]],weather.tbl[Date],0))</f>
        <v>13.685714285714285</v>
      </c>
      <c r="P1453" s="2">
        <f ca="1">INDEX(INDIRECT(_xlfn.CONCAT("weather.tbl[",P$1,"]")),MATCH(vp.tbl[[#This Row],[SDate]],weather.tbl[Date],0))</f>
        <v>11.1</v>
      </c>
      <c r="Q1453" s="2">
        <f ca="1">INDEX(INDIRECT(_xlfn.CONCAT("weather.tbl[",Q$1,"]")),MATCH(vp.tbl[[#This Row],[SDate]],weather.tbl[Date],0))</f>
        <v>10.1</v>
      </c>
      <c r="R1453" s="2">
        <f ca="1">INDEX(INDIRECT(_xlfn.CONCAT("weather.tbl[",R$1,"]")),MATCH(vp.tbl[[#This Row],[SDate]],weather.tbl[Date],0))</f>
        <v>11.3</v>
      </c>
      <c r="S1453" s="2">
        <f ca="1">INDEX(INDIRECT(_xlfn.CONCAT("weather.tbl[",S$1,"]")),MATCH(vp.tbl[[#This Row],[SDate]],weather.tbl[Date],0))</f>
        <v>10</v>
      </c>
      <c r="T1453" s="2">
        <f ca="1">INDEX(INDIRECT(_xlfn.CONCAT("weather.tbl[",T$1,"]")),MATCH(vp.tbl[[#This Row],[SDate]],weather.tbl[Date],0))</f>
        <v>12.6</v>
      </c>
      <c r="U1453" s="2">
        <f ca="1">INDEX(INDIRECT(_xlfn.CONCAT("weather.tbl[",U$1,"]")),MATCH(vp.tbl[[#This Row],[SDate]],weather.tbl[Date],0))</f>
        <v>10.8</v>
      </c>
      <c r="V1453" s="2">
        <v>5887.6930000000002</v>
      </c>
      <c r="W1453" t="s">
        <v>48</v>
      </c>
      <c r="X1453">
        <f>IF(OR(vp.tbl[[#This Row],[Sulf]]="",vp.tbl[[#This Row],[Dens]]=""),1,0)</f>
        <v>0</v>
      </c>
      <c r="Y1453">
        <f>IF(vp.tbl[[#This Row],[CrudeType]]="C5+",1,0)</f>
        <v>0</v>
      </c>
      <c r="Z1453">
        <f>IF(AND(vp.tbl[[#This Row],[CrudeType]]="Crude",vp.tbl[[#This Row],[Dens]]&lt;=825,vp.tbl[[#This Row],[Sulf]]&gt;0.5,vp.tbl[[#This Row],[Unknown]]=0),1,0)</f>
        <v>0</v>
      </c>
      <c r="AA1453">
        <f>IF(AND(vp.tbl[[#This Row],[CrudeType]]="Crude",vp.tbl[[#This Row],[Dens]]&lt;=825,vp.tbl[[#This Row],[Sulf]]&lt;=0.5,vp.tbl[[#This Row],[Unknown]]=0),1,0)</f>
        <v>0</v>
      </c>
      <c r="AB1453">
        <f>IF(AND(vp.tbl[[#This Row],[CrudeType]]="Crude",vp.tbl[[#This Row],[Dens]]&gt;825,vp.tbl[[#This Row],[Dens]]&lt;=870,vp.tbl[[#This Row],[Sulf]]&gt;0.5,vp.tbl[[#This Row],[Unknown]]=0),1,0)</f>
        <v>1</v>
      </c>
      <c r="AC1453">
        <f>IF(AND(vp.tbl[[#This Row],[CrudeType]]="Crude",vp.tbl[[#This Row],[Dens]]&gt;825,vp.tbl[[#This Row],[Dens]]&lt;=900,vp.tbl[[#This Row],[Sulf]]&lt;=0.5,vp.tbl[[#This Row],[Unknown]]=0),1,0)</f>
        <v>0</v>
      </c>
      <c r="AD1453">
        <f>IF(AND(vp.tbl[[#This Row],[CrudeType]]="Crude",vp.tbl[[#This Row],[Dens]]&gt;870,vp.tbl[[#This Row],[Dens]]&lt;=900,vp.tbl[[#This Row],[Sulf]]&gt;0.5,vp.tbl[[#This Row],[Unknown]]=0),1,0)</f>
        <v>0</v>
      </c>
      <c r="AE1453">
        <f>IF(AND(vp.tbl[[#This Row],[CrudeType]]="Crude",vp.tbl[[#This Row],[Dens]]&gt;900,vp.tbl[[#This Row],[Sulf]]&lt;=0.5,vp.tbl[[#This Row],[Unknown]]=0),1,0)</f>
        <v>0</v>
      </c>
      <c r="AF1453">
        <f>IF(AND(vp.tbl[[#This Row],[CrudeType]]="Crude",vp.tbl[[#This Row],[Dens]]&gt;900,vp.tbl[[#This Row],[Sulf]]&lt;=0.5,vp.tbl[[#This Row],[Unknown]]=0),1,0)</f>
        <v>0</v>
      </c>
      <c r="AG1453" t="str">
        <f>INDEX(vp.tbl[[#Headers],[Unknown]:[Heavy_SW]],MATCH(1,vp.tbl[[#This Row],[Unknown]:[Heavy_SW]],0))</f>
        <v>Medium_LSB</v>
      </c>
      <c r="AH1453" t="e">
        <f>INDEX([1]!crudeBD.lkup[Number],MATCH(vp.tbl[[#This Row],[Crude_Breakdown]],[1]!crudeBD.lkup[Crude Breakdown],0))</f>
        <v>#REF!</v>
      </c>
      <c r="AI1453">
        <f>MONTH(vp.tbl[[#This Row],[SDate]])</f>
        <v>5</v>
      </c>
      <c r="AJ1453" s="5">
        <f>IFERROR(vp.tbl[[#This Row],[Sulf]]*vp.tbl[[#This Row],[Net Dens]],"")</f>
        <v>7435944.3020520005</v>
      </c>
      <c r="AK1453" s="5">
        <f>IFERROR(vp.tbl[[#This Row],[Dens]]*vp.tbl[[#This Row],[VolumeM3]],"")</f>
        <v>4924466.4252000004</v>
      </c>
      <c r="AL1453" s="5">
        <f>IFERROR(vp.tbl[[#This Row],[VP]]*vp.tbl[[#This Row],[VolumeM3]],"")</f>
        <v>507519.13660000003</v>
      </c>
      <c r="AM1453" s="4">
        <f>IFERROR((vp.tbl[[#This Row],[VP]]-INDEX(crudeBD.lkup.complete[Mean_VP],MATCH(vp.tbl[[#This Row],[Crude_Breakdown]],crudeBD.lkup.complete[Crude Breakdown],0)))^2,"")</f>
        <v>36.317557986861559</v>
      </c>
      <c r="AN1453" s="4">
        <f>IFERROR((vp.tbl[[#This Row],[Dens]]-INDEX(crudeBD.lkup.complete[Mean_Dens],MATCH(vp.tbl[[#This Row],[Crude_Breakdown]],crudeBD.lkup.complete[Crude Breakdown],0)))^2,"")</f>
        <v>79.064512436451409</v>
      </c>
      <c r="AO1453" s="4">
        <f>IFERROR((vp.tbl[[#This Row],[Sulf]]-INDEX(crudeBD.lkup.complete[Mean_Sulf],MATCH(vp.tbl[[#This Row],[Crude_Breakdown]],crudeBD.lkup.complete[Crude Breakdown],0)))^2,"")</f>
        <v>3.0327202359685928E-3</v>
      </c>
      <c r="AP1453">
        <f>IF(AND(vp.tbl[[#This Row],[SDate]]&gt;=DATE(YEAR(vp.tbl[[#This Row],[SDate]]),5,1),vp.tbl[[#This Row],[SDate]]&lt;=DATE(YEAR(vp.tbl[[#This Row],[SDate]]),9,15)),1,0)</f>
        <v>1</v>
      </c>
      <c r="AQ1453" s="15">
        <f>IF(vp.tbl[[#This Row],[SDate]]&lt;DATE(2016,12,1),0,1)</f>
        <v>1</v>
      </c>
    </row>
    <row r="1454" spans="1:43" x14ac:dyDescent="0.25">
      <c r="A1454">
        <v>1453</v>
      </c>
      <c r="B1454" t="s">
        <v>292</v>
      </c>
      <c r="C1454" t="s">
        <v>292</v>
      </c>
      <c r="D1454" t="s">
        <v>57</v>
      </c>
      <c r="F1454" s="1">
        <v>42864</v>
      </c>
      <c r="G1454" s="2">
        <v>79.5</v>
      </c>
      <c r="H1454" s="2"/>
      <c r="I1454" s="2">
        <v>1.78</v>
      </c>
      <c r="J1454" s="2"/>
      <c r="K1454" s="2"/>
      <c r="L1454" s="2"/>
      <c r="M1454" s="2">
        <v>851.1</v>
      </c>
      <c r="N1454" s="2">
        <f ca="1">INDEX(INDIRECT(_xlfn.CONCAT("weather.tbl[",N$1,"]")),MATCH(vp.tbl[[#This Row],[SDate]],weather.tbl[Date],0))</f>
        <v>10.983333333333334</v>
      </c>
      <c r="O1454" s="2">
        <f ca="1">INDEX(INDIRECT(_xlfn.CONCAT("weather.tbl[",O$1,"]")),MATCH(vp.tbl[[#This Row],[SDate]],weather.tbl[Date],0))</f>
        <v>13.685714285714285</v>
      </c>
      <c r="P1454" s="2">
        <f ca="1">INDEX(INDIRECT(_xlfn.CONCAT("weather.tbl[",P$1,"]")),MATCH(vp.tbl[[#This Row],[SDate]],weather.tbl[Date],0))</f>
        <v>11.1</v>
      </c>
      <c r="Q1454" s="2">
        <f ca="1">INDEX(INDIRECT(_xlfn.CONCAT("weather.tbl[",Q$1,"]")),MATCH(vp.tbl[[#This Row],[SDate]],weather.tbl[Date],0))</f>
        <v>10.1</v>
      </c>
      <c r="R1454" s="2">
        <f ca="1">INDEX(INDIRECT(_xlfn.CONCAT("weather.tbl[",R$1,"]")),MATCH(vp.tbl[[#This Row],[SDate]],weather.tbl[Date],0))</f>
        <v>11.3</v>
      </c>
      <c r="S1454" s="2">
        <f ca="1">INDEX(INDIRECT(_xlfn.CONCAT("weather.tbl[",S$1,"]")),MATCH(vp.tbl[[#This Row],[SDate]],weather.tbl[Date],0))</f>
        <v>10</v>
      </c>
      <c r="T1454" s="2">
        <f ca="1">INDEX(INDIRECT(_xlfn.CONCAT("weather.tbl[",T$1,"]")),MATCH(vp.tbl[[#This Row],[SDate]],weather.tbl[Date],0))</f>
        <v>12.6</v>
      </c>
      <c r="U1454" s="2">
        <f ca="1">INDEX(INDIRECT(_xlfn.CONCAT("weather.tbl[",U$1,"]")),MATCH(vp.tbl[[#This Row],[SDate]],weather.tbl[Date],0))</f>
        <v>10.8</v>
      </c>
      <c r="V1454" s="2">
        <v>3038.6930000000002</v>
      </c>
      <c r="W1454" t="s">
        <v>48</v>
      </c>
      <c r="X1454">
        <f>IF(OR(vp.tbl[[#This Row],[Sulf]]="",vp.tbl[[#This Row],[Dens]]=""),1,0)</f>
        <v>0</v>
      </c>
      <c r="Y1454">
        <f>IF(vp.tbl[[#This Row],[CrudeType]]="C5+",1,0)</f>
        <v>0</v>
      </c>
      <c r="Z1454">
        <f>IF(AND(vp.tbl[[#This Row],[CrudeType]]="Crude",vp.tbl[[#This Row],[Dens]]&lt;=825,vp.tbl[[#This Row],[Sulf]]&gt;0.5,vp.tbl[[#This Row],[Unknown]]=0),1,0)</f>
        <v>0</v>
      </c>
      <c r="AA1454">
        <f>IF(AND(vp.tbl[[#This Row],[CrudeType]]="Crude",vp.tbl[[#This Row],[Dens]]&lt;=825,vp.tbl[[#This Row],[Sulf]]&lt;=0.5,vp.tbl[[#This Row],[Unknown]]=0),1,0)</f>
        <v>0</v>
      </c>
      <c r="AB1454">
        <f>IF(AND(vp.tbl[[#This Row],[CrudeType]]="Crude",vp.tbl[[#This Row],[Dens]]&gt;825,vp.tbl[[#This Row],[Dens]]&lt;=870,vp.tbl[[#This Row],[Sulf]]&gt;0.5,vp.tbl[[#This Row],[Unknown]]=0),1,0)</f>
        <v>1</v>
      </c>
      <c r="AC1454">
        <f>IF(AND(vp.tbl[[#This Row],[CrudeType]]="Crude",vp.tbl[[#This Row],[Dens]]&gt;825,vp.tbl[[#This Row],[Dens]]&lt;=900,vp.tbl[[#This Row],[Sulf]]&lt;=0.5,vp.tbl[[#This Row],[Unknown]]=0),1,0)</f>
        <v>0</v>
      </c>
      <c r="AD1454">
        <f>IF(AND(vp.tbl[[#This Row],[CrudeType]]="Crude",vp.tbl[[#This Row],[Dens]]&gt;870,vp.tbl[[#This Row],[Dens]]&lt;=900,vp.tbl[[#This Row],[Sulf]]&gt;0.5,vp.tbl[[#This Row],[Unknown]]=0),1,0)</f>
        <v>0</v>
      </c>
      <c r="AE1454">
        <f>IF(AND(vp.tbl[[#This Row],[CrudeType]]="Crude",vp.tbl[[#This Row],[Dens]]&gt;900,vp.tbl[[#This Row],[Sulf]]&lt;=0.5,vp.tbl[[#This Row],[Unknown]]=0),1,0)</f>
        <v>0</v>
      </c>
      <c r="AF1454">
        <f>IF(AND(vp.tbl[[#This Row],[CrudeType]]="Crude",vp.tbl[[#This Row],[Dens]]&gt;900,vp.tbl[[#This Row],[Sulf]]&lt;=0.5,vp.tbl[[#This Row],[Unknown]]=0),1,0)</f>
        <v>0</v>
      </c>
      <c r="AG1454" t="str">
        <f>INDEX(vp.tbl[[#Headers],[Unknown]:[Heavy_SW]],MATCH(1,vp.tbl[[#This Row],[Unknown]:[Heavy_SW]],0))</f>
        <v>Medium_LSB</v>
      </c>
      <c r="AH1454" t="e">
        <f>INDEX([1]!crudeBD.lkup[Number],MATCH(vp.tbl[[#This Row],[Crude_Breakdown]],[1]!crudeBD.lkup[Crude Breakdown],0))</f>
        <v>#REF!</v>
      </c>
      <c r="AI1454">
        <f>MONTH(vp.tbl[[#This Row],[SDate]])</f>
        <v>5</v>
      </c>
      <c r="AJ1454" s="5">
        <f>IFERROR(vp.tbl[[#This Row],[Sulf]]*vp.tbl[[#This Row],[Net Dens]],"")</f>
        <v>4603492.2698940001</v>
      </c>
      <c r="AK1454" s="5">
        <f>IFERROR(vp.tbl[[#This Row],[Dens]]*vp.tbl[[#This Row],[VolumeM3]],"")</f>
        <v>2586231.6123000002</v>
      </c>
      <c r="AL1454" s="5">
        <f>IFERROR(vp.tbl[[#This Row],[VP]]*vp.tbl[[#This Row],[VolumeM3]],"")</f>
        <v>241576.09350000002</v>
      </c>
      <c r="AM1454" s="4">
        <f>IFERROR((vp.tbl[[#This Row],[VP]]-INDEX(crudeBD.lkup.complete[Mean_VP],MATCH(vp.tbl[[#This Row],[Crude_Breakdown]],crudeBD.lkup.complete[Crude Breakdown],0)))^2,"")</f>
        <v>0.45373013875976442</v>
      </c>
      <c r="AN1454" s="4">
        <f>IFERROR((vp.tbl[[#This Row],[Dens]]-INDEX(crudeBD.lkup.complete[Mean_Dens],MATCH(vp.tbl[[#This Row],[Crude_Breakdown]],crudeBD.lkup.complete[Crude Breakdown],0)))^2,"")</f>
        <v>33.734922563062497</v>
      </c>
      <c r="AO1454" s="4">
        <f>IFERROR((vp.tbl[[#This Row],[Sulf]]-INDEX(crudeBD.lkup.complete[Mean_Sulf],MATCH(vp.tbl[[#This Row],[Crude_Breakdown]],crudeBD.lkup.complete[Crude Breakdown],0)))^2,"")</f>
        <v>0.10567059542584123</v>
      </c>
      <c r="AP1454">
        <f>IF(AND(vp.tbl[[#This Row],[SDate]]&gt;=DATE(YEAR(vp.tbl[[#This Row],[SDate]]),5,1),vp.tbl[[#This Row],[SDate]]&lt;=DATE(YEAR(vp.tbl[[#This Row],[SDate]]),9,15)),1,0)</f>
        <v>1</v>
      </c>
      <c r="AQ1454" s="15">
        <f>IF(vp.tbl[[#This Row],[SDate]]&lt;DATE(2016,12,1),0,1)</f>
        <v>1</v>
      </c>
    </row>
    <row r="1455" spans="1:43" x14ac:dyDescent="0.25">
      <c r="A1455">
        <v>1454</v>
      </c>
      <c r="B1455" t="s">
        <v>51</v>
      </c>
      <c r="C1455" t="s">
        <v>51</v>
      </c>
      <c r="D1455" t="s">
        <v>52</v>
      </c>
      <c r="F1455" s="1">
        <v>42864</v>
      </c>
      <c r="G1455" s="2">
        <v>72.2</v>
      </c>
      <c r="H1455" s="2"/>
      <c r="I1455" s="2">
        <v>2.4</v>
      </c>
      <c r="J1455" s="2"/>
      <c r="K1455" s="2"/>
      <c r="L1455" s="2"/>
      <c r="M1455" s="2">
        <v>870.9</v>
      </c>
      <c r="N1455" s="2">
        <f ca="1">INDEX(INDIRECT(_xlfn.CONCAT("weather.tbl[",N$1,"]")),MATCH(vp.tbl[[#This Row],[SDate]],weather.tbl[Date],0))</f>
        <v>10.983333333333334</v>
      </c>
      <c r="O1455" s="2">
        <f ca="1">INDEX(INDIRECT(_xlfn.CONCAT("weather.tbl[",O$1,"]")),MATCH(vp.tbl[[#This Row],[SDate]],weather.tbl[Date],0))</f>
        <v>13.685714285714285</v>
      </c>
      <c r="P1455" s="2">
        <f ca="1">INDEX(INDIRECT(_xlfn.CONCAT("weather.tbl[",P$1,"]")),MATCH(vp.tbl[[#This Row],[SDate]],weather.tbl[Date],0))</f>
        <v>11.1</v>
      </c>
      <c r="Q1455" s="2">
        <f ca="1">INDEX(INDIRECT(_xlfn.CONCAT("weather.tbl[",Q$1,"]")),MATCH(vp.tbl[[#This Row],[SDate]],weather.tbl[Date],0))</f>
        <v>10.1</v>
      </c>
      <c r="R1455" s="2">
        <f ca="1">INDEX(INDIRECT(_xlfn.CONCAT("weather.tbl[",R$1,"]")),MATCH(vp.tbl[[#This Row],[SDate]],weather.tbl[Date],0))</f>
        <v>11.3</v>
      </c>
      <c r="S1455" s="2">
        <f ca="1">INDEX(INDIRECT(_xlfn.CONCAT("weather.tbl[",S$1,"]")),MATCH(vp.tbl[[#This Row],[SDate]],weather.tbl[Date],0))</f>
        <v>10</v>
      </c>
      <c r="T1455" s="2">
        <f ca="1">INDEX(INDIRECT(_xlfn.CONCAT("weather.tbl[",T$1,"]")),MATCH(vp.tbl[[#This Row],[SDate]],weather.tbl[Date],0))</f>
        <v>12.6</v>
      </c>
      <c r="U1455" s="2">
        <f ca="1">INDEX(INDIRECT(_xlfn.CONCAT("weather.tbl[",U$1,"]")),MATCH(vp.tbl[[#This Row],[SDate]],weather.tbl[Date],0))</f>
        <v>10.8</v>
      </c>
      <c r="V1455" s="2">
        <v>7049.7860000000001</v>
      </c>
      <c r="W1455" t="s">
        <v>48</v>
      </c>
      <c r="X1455">
        <f>IF(OR(vp.tbl[[#This Row],[Sulf]]="",vp.tbl[[#This Row],[Dens]]=""),1,0)</f>
        <v>0</v>
      </c>
      <c r="Y1455">
        <f>IF(vp.tbl[[#This Row],[CrudeType]]="C5+",1,0)</f>
        <v>0</v>
      </c>
      <c r="Z1455">
        <f>IF(AND(vp.tbl[[#This Row],[CrudeType]]="Crude",vp.tbl[[#This Row],[Dens]]&lt;=825,vp.tbl[[#This Row],[Sulf]]&gt;0.5,vp.tbl[[#This Row],[Unknown]]=0),1,0)</f>
        <v>0</v>
      </c>
      <c r="AA1455">
        <f>IF(AND(vp.tbl[[#This Row],[CrudeType]]="Crude",vp.tbl[[#This Row],[Dens]]&lt;=825,vp.tbl[[#This Row],[Sulf]]&lt;=0.5,vp.tbl[[#This Row],[Unknown]]=0),1,0)</f>
        <v>0</v>
      </c>
      <c r="AB1455">
        <f>IF(AND(vp.tbl[[#This Row],[CrudeType]]="Crude",vp.tbl[[#This Row],[Dens]]&gt;825,vp.tbl[[#This Row],[Dens]]&lt;=870,vp.tbl[[#This Row],[Sulf]]&gt;0.5,vp.tbl[[#This Row],[Unknown]]=0),1,0)</f>
        <v>0</v>
      </c>
      <c r="AC1455">
        <f>IF(AND(vp.tbl[[#This Row],[CrudeType]]="Crude",vp.tbl[[#This Row],[Dens]]&gt;825,vp.tbl[[#This Row],[Dens]]&lt;=900,vp.tbl[[#This Row],[Sulf]]&lt;=0.5,vp.tbl[[#This Row],[Unknown]]=0),1,0)</f>
        <v>0</v>
      </c>
      <c r="AD1455">
        <f>IF(AND(vp.tbl[[#This Row],[CrudeType]]="Crude",vp.tbl[[#This Row],[Dens]]&gt;870,vp.tbl[[#This Row],[Dens]]&lt;=900,vp.tbl[[#This Row],[Sulf]]&gt;0.5,vp.tbl[[#This Row],[Unknown]]=0),1,0)</f>
        <v>1</v>
      </c>
      <c r="AE1455">
        <f>IF(AND(vp.tbl[[#This Row],[CrudeType]]="Crude",vp.tbl[[#This Row],[Dens]]&gt;900,vp.tbl[[#This Row],[Sulf]]&lt;=0.5,vp.tbl[[#This Row],[Unknown]]=0),1,0)</f>
        <v>0</v>
      </c>
      <c r="AF1455">
        <f>IF(AND(vp.tbl[[#This Row],[CrudeType]]="Crude",vp.tbl[[#This Row],[Dens]]&gt;900,vp.tbl[[#This Row],[Sulf]]&lt;=0.5,vp.tbl[[#This Row],[Unknown]]=0),1,0)</f>
        <v>0</v>
      </c>
      <c r="AG1455" t="str">
        <f>INDEX(vp.tbl[[#Headers],[Unknown]:[Heavy_SW]],MATCH(1,vp.tbl[[#This Row],[Unknown]:[Heavy_SW]],0))</f>
        <v>Midale</v>
      </c>
      <c r="AH1455" t="e">
        <f>INDEX([1]!crudeBD.lkup[Number],MATCH(vp.tbl[[#This Row],[Crude_Breakdown]],[1]!crudeBD.lkup[Crude Breakdown],0))</f>
        <v>#REF!</v>
      </c>
      <c r="AI1455">
        <f>MONTH(vp.tbl[[#This Row],[SDate]])</f>
        <v>5</v>
      </c>
      <c r="AJ1455" s="5">
        <f>IFERROR(vp.tbl[[#This Row],[Sulf]]*vp.tbl[[#This Row],[Net Dens]],"")</f>
        <v>14735180.705759998</v>
      </c>
      <c r="AK1455" s="5">
        <f>IFERROR(vp.tbl[[#This Row],[Dens]]*vp.tbl[[#This Row],[VolumeM3]],"")</f>
        <v>6139658.6273999996</v>
      </c>
      <c r="AL1455" s="5">
        <f>IFERROR(vp.tbl[[#This Row],[VP]]*vp.tbl[[#This Row],[VolumeM3]],"")</f>
        <v>508994.54920000001</v>
      </c>
      <c r="AM1455" s="4">
        <f>IFERROR((vp.tbl[[#This Row],[VP]]-INDEX(crudeBD.lkup.complete[Mean_VP],MATCH(vp.tbl[[#This Row],[Crude_Breakdown]],crudeBD.lkup.complete[Crude Breakdown],0)))^2,"")</f>
        <v>15.694621880277644</v>
      </c>
      <c r="AN1455" s="4">
        <f>IFERROR((vp.tbl[[#This Row],[Dens]]-INDEX(crudeBD.lkup.complete[Mean_Dens],MATCH(vp.tbl[[#This Row],[Crude_Breakdown]],crudeBD.lkup.complete[Crude Breakdown],0)))^2,"")</f>
        <v>44.249832989300081</v>
      </c>
      <c r="AO1455" s="4">
        <f>IFERROR((vp.tbl[[#This Row],[Sulf]]-INDEX(crudeBD.lkup.complete[Mean_Sulf],MATCH(vp.tbl[[#This Row],[Crude_Breakdown]],crudeBD.lkup.complete[Crude Breakdown],0)))^2,"")</f>
        <v>2.3531980275845577E-4</v>
      </c>
      <c r="AP1455">
        <f>IF(AND(vp.tbl[[#This Row],[SDate]]&gt;=DATE(YEAR(vp.tbl[[#This Row],[SDate]]),5,1),vp.tbl[[#This Row],[SDate]]&lt;=DATE(YEAR(vp.tbl[[#This Row],[SDate]]),9,15)),1,0)</f>
        <v>1</v>
      </c>
      <c r="AQ1455" s="15">
        <f>IF(vp.tbl[[#This Row],[SDate]]&lt;DATE(2016,12,1),0,1)</f>
        <v>1</v>
      </c>
    </row>
    <row r="1456" spans="1:43" x14ac:dyDescent="0.25">
      <c r="A1456">
        <v>1455</v>
      </c>
      <c r="B1456" t="s">
        <v>46</v>
      </c>
      <c r="C1456" t="s">
        <v>46</v>
      </c>
      <c r="D1456" t="s">
        <v>47</v>
      </c>
      <c r="F1456" s="1">
        <v>42864</v>
      </c>
      <c r="G1456" s="2">
        <v>59.2</v>
      </c>
      <c r="H1456" s="2"/>
      <c r="I1456" s="2">
        <v>2.25</v>
      </c>
      <c r="J1456" s="2"/>
      <c r="K1456" s="2"/>
      <c r="L1456" s="2"/>
      <c r="M1456" s="2">
        <v>868.7</v>
      </c>
      <c r="N1456" s="2">
        <f ca="1">INDEX(INDIRECT(_xlfn.CONCAT("weather.tbl[",N$1,"]")),MATCH(vp.tbl[[#This Row],[SDate]],weather.tbl[Date],0))</f>
        <v>10.983333333333334</v>
      </c>
      <c r="O1456" s="2">
        <f ca="1">INDEX(INDIRECT(_xlfn.CONCAT("weather.tbl[",O$1,"]")),MATCH(vp.tbl[[#This Row],[SDate]],weather.tbl[Date],0))</f>
        <v>13.685714285714285</v>
      </c>
      <c r="P1456" s="2">
        <f ca="1">INDEX(INDIRECT(_xlfn.CONCAT("weather.tbl[",P$1,"]")),MATCH(vp.tbl[[#This Row],[SDate]],weather.tbl[Date],0))</f>
        <v>11.1</v>
      </c>
      <c r="Q1456" s="2">
        <f ca="1">INDEX(INDIRECT(_xlfn.CONCAT("weather.tbl[",Q$1,"]")),MATCH(vp.tbl[[#This Row],[SDate]],weather.tbl[Date],0))</f>
        <v>10.1</v>
      </c>
      <c r="R1456" s="2">
        <f ca="1">INDEX(INDIRECT(_xlfn.CONCAT("weather.tbl[",R$1,"]")),MATCH(vp.tbl[[#This Row],[SDate]],weather.tbl[Date],0))</f>
        <v>11.3</v>
      </c>
      <c r="S1456" s="2">
        <f ca="1">INDEX(INDIRECT(_xlfn.CONCAT("weather.tbl[",S$1,"]")),MATCH(vp.tbl[[#This Row],[SDate]],weather.tbl[Date],0))</f>
        <v>10</v>
      </c>
      <c r="T1456" s="2">
        <f ca="1">INDEX(INDIRECT(_xlfn.CONCAT("weather.tbl[",T$1,"]")),MATCH(vp.tbl[[#This Row],[SDate]],weather.tbl[Date],0))</f>
        <v>12.6</v>
      </c>
      <c r="U1456" s="2">
        <f ca="1">INDEX(INDIRECT(_xlfn.CONCAT("weather.tbl[",U$1,"]")),MATCH(vp.tbl[[#This Row],[SDate]],weather.tbl[Date],0))</f>
        <v>10.8</v>
      </c>
      <c r="V1456" s="2">
        <v>115996.79399999999</v>
      </c>
      <c r="W1456" t="s">
        <v>48</v>
      </c>
      <c r="X1456">
        <f>IF(OR(vp.tbl[[#This Row],[Sulf]]="",vp.tbl[[#This Row],[Dens]]=""),1,0)</f>
        <v>0</v>
      </c>
      <c r="Y1456">
        <f>IF(vp.tbl[[#This Row],[CrudeType]]="C5+",1,0)</f>
        <v>0</v>
      </c>
      <c r="Z1456">
        <f>IF(AND(vp.tbl[[#This Row],[CrudeType]]="Crude",vp.tbl[[#This Row],[Dens]]&lt;=825,vp.tbl[[#This Row],[Sulf]]&gt;0.5,vp.tbl[[#This Row],[Unknown]]=0),1,0)</f>
        <v>0</v>
      </c>
      <c r="AA1456">
        <f>IF(AND(vp.tbl[[#This Row],[CrudeType]]="Crude",vp.tbl[[#This Row],[Dens]]&lt;=825,vp.tbl[[#This Row],[Sulf]]&lt;=0.5,vp.tbl[[#This Row],[Unknown]]=0),1,0)</f>
        <v>0</v>
      </c>
      <c r="AB1456">
        <f>IF(AND(vp.tbl[[#This Row],[CrudeType]]="Crude",vp.tbl[[#This Row],[Dens]]&gt;825,vp.tbl[[#This Row],[Dens]]&lt;=870,vp.tbl[[#This Row],[Sulf]]&gt;0.5,vp.tbl[[#This Row],[Unknown]]=0),1,0)</f>
        <v>1</v>
      </c>
      <c r="AC1456">
        <f>IF(AND(vp.tbl[[#This Row],[CrudeType]]="Crude",vp.tbl[[#This Row],[Dens]]&gt;825,vp.tbl[[#This Row],[Dens]]&lt;=900,vp.tbl[[#This Row],[Sulf]]&lt;=0.5,vp.tbl[[#This Row],[Unknown]]=0),1,0)</f>
        <v>0</v>
      </c>
      <c r="AD1456">
        <f>IF(AND(vp.tbl[[#This Row],[CrudeType]]="Crude",vp.tbl[[#This Row],[Dens]]&gt;870,vp.tbl[[#This Row],[Dens]]&lt;=900,vp.tbl[[#This Row],[Sulf]]&gt;0.5,vp.tbl[[#This Row],[Unknown]]=0),1,0)</f>
        <v>0</v>
      </c>
      <c r="AE1456">
        <f>IF(AND(vp.tbl[[#This Row],[CrudeType]]="Crude",vp.tbl[[#This Row],[Dens]]&gt;900,vp.tbl[[#This Row],[Sulf]]&lt;=0.5,vp.tbl[[#This Row],[Unknown]]=0),1,0)</f>
        <v>0</v>
      </c>
      <c r="AF1456">
        <f>IF(AND(vp.tbl[[#This Row],[CrudeType]]="Crude",vp.tbl[[#This Row],[Dens]]&gt;900,vp.tbl[[#This Row],[Sulf]]&lt;=0.5,vp.tbl[[#This Row],[Unknown]]=0),1,0)</f>
        <v>0</v>
      </c>
      <c r="AG1456" t="str">
        <f>INDEX(vp.tbl[[#Headers],[Unknown]:[Heavy_SW]],MATCH(1,vp.tbl[[#This Row],[Unknown]:[Heavy_SW]],0))</f>
        <v>Medium_LSB</v>
      </c>
      <c r="AH1456" t="e">
        <f>INDEX([1]!crudeBD.lkup[Number],MATCH(vp.tbl[[#This Row],[Crude_Breakdown]],[1]!crudeBD.lkup[Crude Breakdown],0))</f>
        <v>#REF!</v>
      </c>
      <c r="AI1456">
        <f>MONTH(vp.tbl[[#This Row],[SDate]])</f>
        <v>5</v>
      </c>
      <c r="AJ1456" s="5">
        <f>IFERROR(vp.tbl[[#This Row],[Sulf]]*vp.tbl[[#This Row],[Net Dens]],"")</f>
        <v>226724433.63255</v>
      </c>
      <c r="AK1456" s="5">
        <f>IFERROR(vp.tbl[[#This Row],[Dens]]*vp.tbl[[#This Row],[VolumeM3]],"")</f>
        <v>100766414.9478</v>
      </c>
      <c r="AL1456" s="5">
        <f>IFERROR(vp.tbl[[#This Row],[VP]]*vp.tbl[[#This Row],[VolumeM3]],"")</f>
        <v>6867010.2048000004</v>
      </c>
      <c r="AM1456" s="4">
        <f>IFERROR((vp.tbl[[#This Row],[VP]]-INDEX(crudeBD.lkup.complete[Mean_VP],MATCH(vp.tbl[[#This Row],[Crude_Breakdown]],crudeBD.lkup.complete[Crude Breakdown],0)))^2,"")</f>
        <v>439.89168456913791</v>
      </c>
      <c r="AN1456" s="4">
        <f>IFERROR((vp.tbl[[#This Row],[Dens]]-INDEX(crudeBD.lkup.complete[Mean_Dens],MATCH(vp.tbl[[#This Row],[Crude_Breakdown]],crudeBD.lkup.complete[Crude Breakdown],0)))^2,"")</f>
        <v>547.94276053778253</v>
      </c>
      <c r="AO1456" s="4">
        <f>IFERROR((vp.tbl[[#This Row],[Sulf]]-INDEX(crudeBD.lkup.complete[Mean_Sulf],MATCH(vp.tbl[[#This Row],[Crude_Breakdown]],crudeBD.lkup.complete[Crude Breakdown],0)))^2,"")</f>
        <v>0.63213652631191575</v>
      </c>
      <c r="AP1456">
        <f>IF(AND(vp.tbl[[#This Row],[SDate]]&gt;=DATE(YEAR(vp.tbl[[#This Row],[SDate]]),5,1),vp.tbl[[#This Row],[SDate]]&lt;=DATE(YEAR(vp.tbl[[#This Row],[SDate]]),9,15)),1,0)</f>
        <v>1</v>
      </c>
      <c r="AQ1456" s="15">
        <f>IF(vp.tbl[[#This Row],[SDate]]&lt;DATE(2016,12,1),0,1)</f>
        <v>1</v>
      </c>
    </row>
    <row r="1457" spans="1:43" x14ac:dyDescent="0.25">
      <c r="A1457">
        <v>1456</v>
      </c>
      <c r="B1457" t="s">
        <v>292</v>
      </c>
      <c r="C1457" t="s">
        <v>292</v>
      </c>
      <c r="D1457" t="s">
        <v>94</v>
      </c>
      <c r="F1457" s="1">
        <v>42864</v>
      </c>
      <c r="G1457" s="2">
        <v>69.2</v>
      </c>
      <c r="H1457" s="2"/>
      <c r="I1457" s="2">
        <v>1.96</v>
      </c>
      <c r="J1457" s="2"/>
      <c r="K1457" s="2"/>
      <c r="L1457" s="2"/>
      <c r="M1457" s="2">
        <v>865.5</v>
      </c>
      <c r="N1457" s="2">
        <f ca="1">INDEX(INDIRECT(_xlfn.CONCAT("weather.tbl[",N$1,"]")),MATCH(vp.tbl[[#This Row],[SDate]],weather.tbl[Date],0))</f>
        <v>10.983333333333334</v>
      </c>
      <c r="O1457" s="2">
        <f ca="1">INDEX(INDIRECT(_xlfn.CONCAT("weather.tbl[",O$1,"]")),MATCH(vp.tbl[[#This Row],[SDate]],weather.tbl[Date],0))</f>
        <v>13.685714285714285</v>
      </c>
      <c r="P1457" s="2">
        <f ca="1">INDEX(INDIRECT(_xlfn.CONCAT("weather.tbl[",P$1,"]")),MATCH(vp.tbl[[#This Row],[SDate]],weather.tbl[Date],0))</f>
        <v>11.1</v>
      </c>
      <c r="Q1457" s="2">
        <f ca="1">INDEX(INDIRECT(_xlfn.CONCAT("weather.tbl[",Q$1,"]")),MATCH(vp.tbl[[#This Row],[SDate]],weather.tbl[Date],0))</f>
        <v>10.1</v>
      </c>
      <c r="R1457" s="2">
        <f ca="1">INDEX(INDIRECT(_xlfn.CONCAT("weather.tbl[",R$1,"]")),MATCH(vp.tbl[[#This Row],[SDate]],weather.tbl[Date],0))</f>
        <v>11.3</v>
      </c>
      <c r="S1457" s="2">
        <f ca="1">INDEX(INDIRECT(_xlfn.CONCAT("weather.tbl[",S$1,"]")),MATCH(vp.tbl[[#This Row],[SDate]],weather.tbl[Date],0))</f>
        <v>10</v>
      </c>
      <c r="T1457" s="2">
        <f ca="1">INDEX(INDIRECT(_xlfn.CONCAT("weather.tbl[",T$1,"]")),MATCH(vp.tbl[[#This Row],[SDate]],weather.tbl[Date],0))</f>
        <v>12.6</v>
      </c>
      <c r="U1457" s="2">
        <f ca="1">INDEX(INDIRECT(_xlfn.CONCAT("weather.tbl[",U$1,"]")),MATCH(vp.tbl[[#This Row],[SDate]],weather.tbl[Date],0))</f>
        <v>10.8</v>
      </c>
      <c r="V1457" s="2">
        <v>4763.951</v>
      </c>
      <c r="W1457" t="s">
        <v>48</v>
      </c>
      <c r="X1457">
        <f>IF(OR(vp.tbl[[#This Row],[Sulf]]="",vp.tbl[[#This Row],[Dens]]=""),1,0)</f>
        <v>0</v>
      </c>
      <c r="Y1457">
        <f>IF(vp.tbl[[#This Row],[CrudeType]]="C5+",1,0)</f>
        <v>0</v>
      </c>
      <c r="Z1457">
        <f>IF(AND(vp.tbl[[#This Row],[CrudeType]]="Crude",vp.tbl[[#This Row],[Dens]]&lt;=825,vp.tbl[[#This Row],[Sulf]]&gt;0.5,vp.tbl[[#This Row],[Unknown]]=0),1,0)</f>
        <v>0</v>
      </c>
      <c r="AA1457">
        <f>IF(AND(vp.tbl[[#This Row],[CrudeType]]="Crude",vp.tbl[[#This Row],[Dens]]&lt;=825,vp.tbl[[#This Row],[Sulf]]&lt;=0.5,vp.tbl[[#This Row],[Unknown]]=0),1,0)</f>
        <v>0</v>
      </c>
      <c r="AB1457">
        <f>IF(AND(vp.tbl[[#This Row],[CrudeType]]="Crude",vp.tbl[[#This Row],[Dens]]&gt;825,vp.tbl[[#This Row],[Dens]]&lt;=870,vp.tbl[[#This Row],[Sulf]]&gt;0.5,vp.tbl[[#This Row],[Unknown]]=0),1,0)</f>
        <v>1</v>
      </c>
      <c r="AC1457">
        <f>IF(AND(vp.tbl[[#This Row],[CrudeType]]="Crude",vp.tbl[[#This Row],[Dens]]&gt;825,vp.tbl[[#This Row],[Dens]]&lt;=900,vp.tbl[[#This Row],[Sulf]]&lt;=0.5,vp.tbl[[#This Row],[Unknown]]=0),1,0)</f>
        <v>0</v>
      </c>
      <c r="AD1457">
        <f>IF(AND(vp.tbl[[#This Row],[CrudeType]]="Crude",vp.tbl[[#This Row],[Dens]]&gt;870,vp.tbl[[#This Row],[Dens]]&lt;=900,vp.tbl[[#This Row],[Sulf]]&gt;0.5,vp.tbl[[#This Row],[Unknown]]=0),1,0)</f>
        <v>0</v>
      </c>
      <c r="AE1457">
        <f>IF(AND(vp.tbl[[#This Row],[CrudeType]]="Crude",vp.tbl[[#This Row],[Dens]]&gt;900,vp.tbl[[#This Row],[Sulf]]&lt;=0.5,vp.tbl[[#This Row],[Unknown]]=0),1,0)</f>
        <v>0</v>
      </c>
      <c r="AF1457">
        <f>IF(AND(vp.tbl[[#This Row],[CrudeType]]="Crude",vp.tbl[[#This Row],[Dens]]&gt;900,vp.tbl[[#This Row],[Sulf]]&lt;=0.5,vp.tbl[[#This Row],[Unknown]]=0),1,0)</f>
        <v>0</v>
      </c>
      <c r="AG1457" t="str">
        <f>INDEX(vp.tbl[[#Headers],[Unknown]:[Heavy_SW]],MATCH(1,vp.tbl[[#This Row],[Unknown]:[Heavy_SW]],0))</f>
        <v>Medium_LSB</v>
      </c>
      <c r="AH1457" t="e">
        <f>INDEX([1]!crudeBD.lkup[Number],MATCH(vp.tbl[[#This Row],[Crude_Breakdown]],[1]!crudeBD.lkup[Crude Breakdown],0))</f>
        <v>#REF!</v>
      </c>
      <c r="AI1457">
        <f>MONTH(vp.tbl[[#This Row],[SDate]])</f>
        <v>5</v>
      </c>
      <c r="AJ1457" s="5">
        <f>IFERROR(vp.tbl[[#This Row],[Sulf]]*vp.tbl[[#This Row],[Net Dens]],"")</f>
        <v>8081471.1973799998</v>
      </c>
      <c r="AK1457" s="5">
        <f>IFERROR(vp.tbl[[#This Row],[Dens]]*vp.tbl[[#This Row],[VolumeM3]],"")</f>
        <v>4123199.5904999999</v>
      </c>
      <c r="AL1457" s="5">
        <f>IFERROR(vp.tbl[[#This Row],[VP]]*vp.tbl[[#This Row],[VolumeM3]],"")</f>
        <v>329665.40919999999</v>
      </c>
      <c r="AM1457" s="4">
        <f>IFERROR((vp.tbl[[#This Row],[VP]]-INDEX(crudeBD.lkup.complete[Mean_VP],MATCH(vp.tbl[[#This Row],[Crude_Breakdown]],crudeBD.lkup.complete[Crude Breakdown],0)))^2,"")</f>
        <v>120.41978583496147</v>
      </c>
      <c r="AN1457" s="4">
        <f>IFERROR((vp.tbl[[#This Row],[Dens]]-INDEX(crudeBD.lkup.complete[Mean_Dens],MATCH(vp.tbl[[#This Row],[Crude_Breakdown]],crudeBD.lkup.complete[Crude Breakdown],0)))^2,"")</f>
        <v>408.37042636055895</v>
      </c>
      <c r="AO1457" s="4">
        <f>IFERROR((vp.tbl[[#This Row],[Sulf]]-INDEX(crudeBD.lkup.complete[Mean_Sulf],MATCH(vp.tbl[[#This Row],[Crude_Breakdown]],crudeBD.lkup.complete[Crude Breakdown],0)))^2,"")</f>
        <v>0.25509584555242293</v>
      </c>
      <c r="AP1457">
        <f>IF(AND(vp.tbl[[#This Row],[SDate]]&gt;=DATE(YEAR(vp.tbl[[#This Row],[SDate]]),5,1),vp.tbl[[#This Row],[SDate]]&lt;=DATE(YEAR(vp.tbl[[#This Row],[SDate]]),9,15)),1,0)</f>
        <v>1</v>
      </c>
      <c r="AQ1457" s="15">
        <f>IF(vp.tbl[[#This Row],[SDate]]&lt;DATE(2016,12,1),0,1)</f>
        <v>1</v>
      </c>
    </row>
    <row r="1458" spans="1:43" x14ac:dyDescent="0.25">
      <c r="A1458">
        <v>1457</v>
      </c>
      <c r="B1458" t="s">
        <v>51</v>
      </c>
      <c r="C1458" t="s">
        <v>51</v>
      </c>
      <c r="D1458" t="s">
        <v>308</v>
      </c>
      <c r="F1458" s="1">
        <v>42865</v>
      </c>
      <c r="G1458" s="2">
        <v>51.4</v>
      </c>
      <c r="H1458" s="2"/>
      <c r="I1458" s="2">
        <v>1.21</v>
      </c>
      <c r="J1458" s="2"/>
      <c r="K1458" s="2"/>
      <c r="L1458" s="2"/>
      <c r="M1458" s="2">
        <v>850.3</v>
      </c>
      <c r="N1458" s="2">
        <f ca="1">INDEX(INDIRECT(_xlfn.CONCAT("weather.tbl[",N$1,"]")),MATCH(vp.tbl[[#This Row],[SDate]],weather.tbl[Date],0))</f>
        <v>8.9833333333333325</v>
      </c>
      <c r="O1458" s="2">
        <f ca="1">INDEX(INDIRECT(_xlfn.CONCAT("weather.tbl[",O$1,"]")),MATCH(vp.tbl[[#This Row],[SDate]],weather.tbl[Date],0))</f>
        <v>13.607142857142858</v>
      </c>
      <c r="P1458" s="2">
        <f ca="1">INDEX(INDIRECT(_xlfn.CONCAT("weather.tbl[",P$1,"]")),MATCH(vp.tbl[[#This Row],[SDate]],weather.tbl[Date],0))</f>
        <v>9.9</v>
      </c>
      <c r="Q1458" s="2">
        <f ca="1">INDEX(INDIRECT(_xlfn.CONCAT("weather.tbl[",Q$1,"]")),MATCH(vp.tbl[[#This Row],[SDate]],weather.tbl[Date],0))</f>
        <v>9.4</v>
      </c>
      <c r="R1458" s="2">
        <f ca="1">INDEX(INDIRECT(_xlfn.CONCAT("weather.tbl[",R$1,"]")),MATCH(vp.tbl[[#This Row],[SDate]],weather.tbl[Date],0))</f>
        <v>8.8000000000000007</v>
      </c>
      <c r="S1458" s="2">
        <f ca="1">INDEX(INDIRECT(_xlfn.CONCAT("weather.tbl[",S$1,"]")),MATCH(vp.tbl[[#This Row],[SDate]],weather.tbl[Date],0))</f>
        <v>9</v>
      </c>
      <c r="T1458" s="2">
        <f ca="1">INDEX(INDIRECT(_xlfn.CONCAT("weather.tbl[",T$1,"]")),MATCH(vp.tbl[[#This Row],[SDate]],weather.tbl[Date],0))</f>
        <v>9</v>
      </c>
      <c r="U1458" s="2">
        <f ca="1">INDEX(INDIRECT(_xlfn.CONCAT("weather.tbl[",U$1,"]")),MATCH(vp.tbl[[#This Row],[SDate]],weather.tbl[Date],0))</f>
        <v>7.8</v>
      </c>
      <c r="V1458" s="2">
        <v>395.21199999999999</v>
      </c>
      <c r="W1458" t="s">
        <v>48</v>
      </c>
      <c r="X1458">
        <f>IF(OR(vp.tbl[[#This Row],[Sulf]]="",vp.tbl[[#This Row],[Dens]]=""),1,0)</f>
        <v>0</v>
      </c>
      <c r="Y1458">
        <f>IF(vp.tbl[[#This Row],[CrudeType]]="C5+",1,0)</f>
        <v>0</v>
      </c>
      <c r="Z1458">
        <f>IF(AND(vp.tbl[[#This Row],[CrudeType]]="Crude",vp.tbl[[#This Row],[Dens]]&lt;=825,vp.tbl[[#This Row],[Sulf]]&gt;0.5,vp.tbl[[#This Row],[Unknown]]=0),1,0)</f>
        <v>0</v>
      </c>
      <c r="AA1458">
        <f>IF(AND(vp.tbl[[#This Row],[CrudeType]]="Crude",vp.tbl[[#This Row],[Dens]]&lt;=825,vp.tbl[[#This Row],[Sulf]]&lt;=0.5,vp.tbl[[#This Row],[Unknown]]=0),1,0)</f>
        <v>0</v>
      </c>
      <c r="AB1458">
        <f>IF(AND(vp.tbl[[#This Row],[CrudeType]]="Crude",vp.tbl[[#This Row],[Dens]]&gt;825,vp.tbl[[#This Row],[Dens]]&lt;=870,vp.tbl[[#This Row],[Sulf]]&gt;0.5,vp.tbl[[#This Row],[Unknown]]=0),1,0)</f>
        <v>1</v>
      </c>
      <c r="AC1458">
        <f>IF(AND(vp.tbl[[#This Row],[CrudeType]]="Crude",vp.tbl[[#This Row],[Dens]]&gt;825,vp.tbl[[#This Row],[Dens]]&lt;=900,vp.tbl[[#This Row],[Sulf]]&lt;=0.5,vp.tbl[[#This Row],[Unknown]]=0),1,0)</f>
        <v>0</v>
      </c>
      <c r="AD1458">
        <f>IF(AND(vp.tbl[[#This Row],[CrudeType]]="Crude",vp.tbl[[#This Row],[Dens]]&gt;870,vp.tbl[[#This Row],[Dens]]&lt;=900,vp.tbl[[#This Row],[Sulf]]&gt;0.5,vp.tbl[[#This Row],[Unknown]]=0),1,0)</f>
        <v>0</v>
      </c>
      <c r="AE1458">
        <f>IF(AND(vp.tbl[[#This Row],[CrudeType]]="Crude",vp.tbl[[#This Row],[Dens]]&gt;900,vp.tbl[[#This Row],[Sulf]]&lt;=0.5,vp.tbl[[#This Row],[Unknown]]=0),1,0)</f>
        <v>0</v>
      </c>
      <c r="AF1458">
        <f>IF(AND(vp.tbl[[#This Row],[CrudeType]]="Crude",vp.tbl[[#This Row],[Dens]]&gt;900,vp.tbl[[#This Row],[Sulf]]&lt;=0.5,vp.tbl[[#This Row],[Unknown]]=0),1,0)</f>
        <v>0</v>
      </c>
      <c r="AG1458" t="str">
        <f>INDEX(vp.tbl[[#Headers],[Unknown]:[Heavy_SW]],MATCH(1,vp.tbl[[#This Row],[Unknown]:[Heavy_SW]],0))</f>
        <v>Medium_LSB</v>
      </c>
      <c r="AH1458" t="e">
        <f>INDEX([1]!crudeBD.lkup[Number],MATCH(vp.tbl[[#This Row],[Crude_Breakdown]],[1]!crudeBD.lkup[Crude Breakdown],0))</f>
        <v>#REF!</v>
      </c>
      <c r="AI1458">
        <f>MONTH(vp.tbl[[#This Row],[SDate]])</f>
        <v>5</v>
      </c>
      <c r="AJ1458" s="5">
        <f>IFERROR(vp.tbl[[#This Row],[Sulf]]*vp.tbl[[#This Row],[Net Dens]],"")</f>
        <v>406619.00395599991</v>
      </c>
      <c r="AK1458" s="5">
        <f>IFERROR(vp.tbl[[#This Row],[Dens]]*vp.tbl[[#This Row],[VolumeM3]],"")</f>
        <v>336048.76359999995</v>
      </c>
      <c r="AL1458" s="5">
        <f>IFERROR(vp.tbl[[#This Row],[VP]]*vp.tbl[[#This Row],[VolumeM3]],"")</f>
        <v>20313.896799999999</v>
      </c>
      <c r="AM1458" s="4">
        <f>IFERROR((vp.tbl[[#This Row],[VP]]-INDEX(crudeBD.lkup.complete[Mean_VP],MATCH(vp.tbl[[#This Row],[Crude_Breakdown]],crudeBD.lkup.complete[Crude Breakdown],0)))^2,"")</f>
        <v>827.91976558179579</v>
      </c>
      <c r="AN1458" s="4">
        <f>IFERROR((vp.tbl[[#This Row],[Dens]]-INDEX(crudeBD.lkup.complete[Mean_Dens],MATCH(vp.tbl[[#This Row],[Crude_Breakdown]],crudeBD.lkup.complete[Crude Breakdown],0)))^2,"")</f>
        <v>25.081839018756401</v>
      </c>
      <c r="AO1458" s="4">
        <f>IFERROR((vp.tbl[[#This Row],[Sulf]]-INDEX(crudeBD.lkup.complete[Mean_Sulf],MATCH(vp.tbl[[#This Row],[Crude_Breakdown]],crudeBD.lkup.complete[Crude Breakdown],0)))^2,"")</f>
        <v>5.9990636691665704E-2</v>
      </c>
      <c r="AP1458">
        <f>IF(AND(vp.tbl[[#This Row],[SDate]]&gt;=DATE(YEAR(vp.tbl[[#This Row],[SDate]]),5,1),vp.tbl[[#This Row],[SDate]]&lt;=DATE(YEAR(vp.tbl[[#This Row],[SDate]]),9,15)),1,0)</f>
        <v>1</v>
      </c>
      <c r="AQ1458" s="15">
        <f>IF(vp.tbl[[#This Row],[SDate]]&lt;DATE(2016,12,1),0,1)</f>
        <v>1</v>
      </c>
    </row>
    <row r="1459" spans="1:43" x14ac:dyDescent="0.25">
      <c r="A1459">
        <v>1458</v>
      </c>
      <c r="B1459" t="s">
        <v>51</v>
      </c>
      <c r="C1459" t="s">
        <v>51</v>
      </c>
      <c r="D1459" t="s">
        <v>71</v>
      </c>
      <c r="F1459" s="1">
        <v>42865</v>
      </c>
      <c r="G1459" s="2">
        <v>82.3</v>
      </c>
      <c r="H1459" s="2"/>
      <c r="I1459" s="2">
        <v>1.58</v>
      </c>
      <c r="J1459" s="2"/>
      <c r="K1459" s="2"/>
      <c r="L1459" s="2"/>
      <c r="M1459" s="2">
        <v>828</v>
      </c>
      <c r="N1459" s="2">
        <f ca="1">INDEX(INDIRECT(_xlfn.CONCAT("weather.tbl[",N$1,"]")),MATCH(vp.tbl[[#This Row],[SDate]],weather.tbl[Date],0))</f>
        <v>8.9833333333333325</v>
      </c>
      <c r="O1459" s="2">
        <f ca="1">INDEX(INDIRECT(_xlfn.CONCAT("weather.tbl[",O$1,"]")),MATCH(vp.tbl[[#This Row],[SDate]],weather.tbl[Date],0))</f>
        <v>13.607142857142858</v>
      </c>
      <c r="P1459" s="2">
        <f ca="1">INDEX(INDIRECT(_xlfn.CONCAT("weather.tbl[",P$1,"]")),MATCH(vp.tbl[[#This Row],[SDate]],weather.tbl[Date],0))</f>
        <v>9.9</v>
      </c>
      <c r="Q1459" s="2">
        <f ca="1">INDEX(INDIRECT(_xlfn.CONCAT("weather.tbl[",Q$1,"]")),MATCH(vp.tbl[[#This Row],[SDate]],weather.tbl[Date],0))</f>
        <v>9.4</v>
      </c>
      <c r="R1459" s="2">
        <f ca="1">INDEX(INDIRECT(_xlfn.CONCAT("weather.tbl[",R$1,"]")),MATCH(vp.tbl[[#This Row],[SDate]],weather.tbl[Date],0))</f>
        <v>8.8000000000000007</v>
      </c>
      <c r="S1459" s="2">
        <f ca="1">INDEX(INDIRECT(_xlfn.CONCAT("weather.tbl[",S$1,"]")),MATCH(vp.tbl[[#This Row],[SDate]],weather.tbl[Date],0))</f>
        <v>9</v>
      </c>
      <c r="T1459" s="2">
        <f ca="1">INDEX(INDIRECT(_xlfn.CONCAT("weather.tbl[",T$1,"]")),MATCH(vp.tbl[[#This Row],[SDate]],weather.tbl[Date],0))</f>
        <v>9</v>
      </c>
      <c r="U1459" s="2">
        <f ca="1">INDEX(INDIRECT(_xlfn.CONCAT("weather.tbl[",U$1,"]")),MATCH(vp.tbl[[#This Row],[SDate]],weather.tbl[Date],0))</f>
        <v>7.8</v>
      </c>
      <c r="V1459" s="2">
        <v>9610.1779999999999</v>
      </c>
      <c r="W1459" t="s">
        <v>48</v>
      </c>
      <c r="X1459">
        <f>IF(OR(vp.tbl[[#This Row],[Sulf]]="",vp.tbl[[#This Row],[Dens]]=""),1,0)</f>
        <v>0</v>
      </c>
      <c r="Y1459">
        <f>IF(vp.tbl[[#This Row],[CrudeType]]="C5+",1,0)</f>
        <v>0</v>
      </c>
      <c r="Z1459">
        <f>IF(AND(vp.tbl[[#This Row],[CrudeType]]="Crude",vp.tbl[[#This Row],[Dens]]&lt;=825,vp.tbl[[#This Row],[Sulf]]&gt;0.5,vp.tbl[[#This Row],[Unknown]]=0),1,0)</f>
        <v>0</v>
      </c>
      <c r="AA1459">
        <f>IF(AND(vp.tbl[[#This Row],[CrudeType]]="Crude",vp.tbl[[#This Row],[Dens]]&lt;=825,vp.tbl[[#This Row],[Sulf]]&lt;=0.5,vp.tbl[[#This Row],[Unknown]]=0),1,0)</f>
        <v>0</v>
      </c>
      <c r="AB1459">
        <f>IF(AND(vp.tbl[[#This Row],[CrudeType]]="Crude",vp.tbl[[#This Row],[Dens]]&gt;825,vp.tbl[[#This Row],[Dens]]&lt;=870,vp.tbl[[#This Row],[Sulf]]&gt;0.5,vp.tbl[[#This Row],[Unknown]]=0),1,0)</f>
        <v>1</v>
      </c>
      <c r="AC1459">
        <f>IF(AND(vp.tbl[[#This Row],[CrudeType]]="Crude",vp.tbl[[#This Row],[Dens]]&gt;825,vp.tbl[[#This Row],[Dens]]&lt;=900,vp.tbl[[#This Row],[Sulf]]&lt;=0.5,vp.tbl[[#This Row],[Unknown]]=0),1,0)</f>
        <v>0</v>
      </c>
      <c r="AD1459">
        <f>IF(AND(vp.tbl[[#This Row],[CrudeType]]="Crude",vp.tbl[[#This Row],[Dens]]&gt;870,vp.tbl[[#This Row],[Dens]]&lt;=900,vp.tbl[[#This Row],[Sulf]]&gt;0.5,vp.tbl[[#This Row],[Unknown]]=0),1,0)</f>
        <v>0</v>
      </c>
      <c r="AE1459">
        <f>IF(AND(vp.tbl[[#This Row],[CrudeType]]="Crude",vp.tbl[[#This Row],[Dens]]&gt;900,vp.tbl[[#This Row],[Sulf]]&lt;=0.5,vp.tbl[[#This Row],[Unknown]]=0),1,0)</f>
        <v>0</v>
      </c>
      <c r="AF1459">
        <f>IF(AND(vp.tbl[[#This Row],[CrudeType]]="Crude",vp.tbl[[#This Row],[Dens]]&gt;900,vp.tbl[[#This Row],[Sulf]]&lt;=0.5,vp.tbl[[#This Row],[Unknown]]=0),1,0)</f>
        <v>0</v>
      </c>
      <c r="AG1459" t="str">
        <f>INDEX(vp.tbl[[#Headers],[Unknown]:[Heavy_SW]],MATCH(1,vp.tbl[[#This Row],[Unknown]:[Heavy_SW]],0))</f>
        <v>Medium_LSB</v>
      </c>
      <c r="AH1459" t="e">
        <f>INDEX([1]!crudeBD.lkup[Number],MATCH(vp.tbl[[#This Row],[Crude_Breakdown]],[1]!crudeBD.lkup[Crude Breakdown],0))</f>
        <v>#REF!</v>
      </c>
      <c r="AI1459">
        <f>MONTH(vp.tbl[[#This Row],[SDate]])</f>
        <v>5</v>
      </c>
      <c r="AJ1459" s="5">
        <f>IFERROR(vp.tbl[[#This Row],[Sulf]]*vp.tbl[[#This Row],[Net Dens]],"")</f>
        <v>12572419.266720001</v>
      </c>
      <c r="AK1459" s="5">
        <f>IFERROR(vp.tbl[[#This Row],[Dens]]*vp.tbl[[#This Row],[VolumeM3]],"")</f>
        <v>7957227.3839999996</v>
      </c>
      <c r="AL1459" s="5">
        <f>IFERROR(vp.tbl[[#This Row],[VP]]*vp.tbl[[#This Row],[VolumeM3]],"")</f>
        <v>790917.64939999999</v>
      </c>
      <c r="AM1459" s="4">
        <f>IFERROR((vp.tbl[[#This Row],[VP]]-INDEX(crudeBD.lkup.complete[Mean_VP],MATCH(vp.tbl[[#This Row],[Crude_Breakdown]],crudeBD.lkup.complete[Crude Breakdown],0)))^2,"")</f>
        <v>4.5215984931903384</v>
      </c>
      <c r="AN1459" s="4">
        <f>IFERROR((vp.tbl[[#This Row],[Dens]]-INDEX(crudeBD.lkup.complete[Mean_Dens],MATCH(vp.tbl[[#This Row],[Crude_Breakdown]],crudeBD.lkup.complete[Crude Breakdown],0)))^2,"")</f>
        <v>299.0071352212446</v>
      </c>
      <c r="AO1459" s="4">
        <f>IFERROR((vp.tbl[[#This Row],[Sulf]]-INDEX(crudeBD.lkup.complete[Mean_Sulf],MATCH(vp.tbl[[#This Row],[Crude_Breakdown]],crudeBD.lkup.complete[Crude Breakdown],0)))^2,"")</f>
        <v>1.5642539729639287E-2</v>
      </c>
      <c r="AP1459">
        <f>IF(AND(vp.tbl[[#This Row],[SDate]]&gt;=DATE(YEAR(vp.tbl[[#This Row],[SDate]]),5,1),vp.tbl[[#This Row],[SDate]]&lt;=DATE(YEAR(vp.tbl[[#This Row],[SDate]]),9,15)),1,0)</f>
        <v>1</v>
      </c>
      <c r="AQ1459" s="15">
        <f>IF(vp.tbl[[#This Row],[SDate]]&lt;DATE(2016,12,1),0,1)</f>
        <v>1</v>
      </c>
    </row>
    <row r="1460" spans="1:43" x14ac:dyDescent="0.25">
      <c r="A1460">
        <v>1459</v>
      </c>
      <c r="B1460" t="s">
        <v>51</v>
      </c>
      <c r="C1460" t="s">
        <v>51</v>
      </c>
      <c r="D1460" t="s">
        <v>309</v>
      </c>
      <c r="F1460" s="1">
        <v>42865</v>
      </c>
      <c r="G1460" s="2">
        <v>63</v>
      </c>
      <c r="H1460" s="2"/>
      <c r="I1460" s="2" t="s">
        <v>310</v>
      </c>
      <c r="J1460" s="2"/>
      <c r="K1460" s="2"/>
      <c r="L1460" s="2"/>
      <c r="M1460" s="2" t="s">
        <v>310</v>
      </c>
      <c r="N1460" s="2">
        <f ca="1">INDEX(INDIRECT(_xlfn.CONCAT("weather.tbl[",N$1,"]")),MATCH(vp.tbl[[#This Row],[SDate]],weather.tbl[Date],0))</f>
        <v>8.9833333333333325</v>
      </c>
      <c r="O1460" s="2">
        <f ca="1">INDEX(INDIRECT(_xlfn.CONCAT("weather.tbl[",O$1,"]")),MATCH(vp.tbl[[#This Row],[SDate]],weather.tbl[Date],0))</f>
        <v>13.607142857142858</v>
      </c>
      <c r="P1460" s="2">
        <f ca="1">INDEX(INDIRECT(_xlfn.CONCAT("weather.tbl[",P$1,"]")),MATCH(vp.tbl[[#This Row],[SDate]],weather.tbl[Date],0))</f>
        <v>9.9</v>
      </c>
      <c r="Q1460" s="2">
        <f ca="1">INDEX(INDIRECT(_xlfn.CONCAT("weather.tbl[",Q$1,"]")),MATCH(vp.tbl[[#This Row],[SDate]],weather.tbl[Date],0))</f>
        <v>9.4</v>
      </c>
      <c r="R1460" s="2">
        <f ca="1">INDEX(INDIRECT(_xlfn.CONCAT("weather.tbl[",R$1,"]")),MATCH(vp.tbl[[#This Row],[SDate]],weather.tbl[Date],0))</f>
        <v>8.8000000000000007</v>
      </c>
      <c r="S1460" s="2">
        <f ca="1">INDEX(INDIRECT(_xlfn.CONCAT("weather.tbl[",S$1,"]")),MATCH(vp.tbl[[#This Row],[SDate]],weather.tbl[Date],0))</f>
        <v>9</v>
      </c>
      <c r="T1460" s="2">
        <f ca="1">INDEX(INDIRECT(_xlfn.CONCAT("weather.tbl[",T$1,"]")),MATCH(vp.tbl[[#This Row],[SDate]],weather.tbl[Date],0))</f>
        <v>9</v>
      </c>
      <c r="U1460" s="2">
        <f ca="1">INDEX(INDIRECT(_xlfn.CONCAT("weather.tbl[",U$1,"]")),MATCH(vp.tbl[[#This Row],[SDate]],weather.tbl[Date],0))</f>
        <v>7.8</v>
      </c>
      <c r="V1460" s="2" t="s">
        <v>310</v>
      </c>
      <c r="W1460" t="s">
        <v>48</v>
      </c>
      <c r="X1460">
        <f>IF(OR(vp.tbl[[#This Row],[Sulf]]="",vp.tbl[[#This Row],[Dens]]=""),1,0)</f>
        <v>1</v>
      </c>
      <c r="Y1460">
        <f>IF(vp.tbl[[#This Row],[CrudeType]]="C5+",1,0)</f>
        <v>0</v>
      </c>
      <c r="Z1460">
        <f>IF(AND(vp.tbl[[#This Row],[CrudeType]]="Crude",vp.tbl[[#This Row],[Dens]]&lt;=825,vp.tbl[[#This Row],[Sulf]]&gt;0.5,vp.tbl[[#This Row],[Unknown]]=0),1,0)</f>
        <v>0</v>
      </c>
      <c r="AA1460">
        <f>IF(AND(vp.tbl[[#This Row],[CrudeType]]="Crude",vp.tbl[[#This Row],[Dens]]&lt;=825,vp.tbl[[#This Row],[Sulf]]&lt;=0.5,vp.tbl[[#This Row],[Unknown]]=0),1,0)</f>
        <v>0</v>
      </c>
      <c r="AB1460">
        <f>IF(AND(vp.tbl[[#This Row],[CrudeType]]="Crude",vp.tbl[[#This Row],[Dens]]&gt;825,vp.tbl[[#This Row],[Dens]]&lt;=870,vp.tbl[[#This Row],[Sulf]]&gt;0.5,vp.tbl[[#This Row],[Unknown]]=0),1,0)</f>
        <v>0</v>
      </c>
      <c r="AC1460">
        <f>IF(AND(vp.tbl[[#This Row],[CrudeType]]="Crude",vp.tbl[[#This Row],[Dens]]&gt;825,vp.tbl[[#This Row],[Dens]]&lt;=900,vp.tbl[[#This Row],[Sulf]]&lt;=0.5,vp.tbl[[#This Row],[Unknown]]=0),1,0)</f>
        <v>0</v>
      </c>
      <c r="AD1460">
        <f>IF(AND(vp.tbl[[#This Row],[CrudeType]]="Crude",vp.tbl[[#This Row],[Dens]]&gt;870,vp.tbl[[#This Row],[Dens]]&lt;=900,vp.tbl[[#This Row],[Sulf]]&gt;0.5,vp.tbl[[#This Row],[Unknown]]=0),1,0)</f>
        <v>0</v>
      </c>
      <c r="AE1460">
        <f>IF(AND(vp.tbl[[#This Row],[CrudeType]]="Crude",vp.tbl[[#This Row],[Dens]]&gt;900,vp.tbl[[#This Row],[Sulf]]&lt;=0.5,vp.tbl[[#This Row],[Unknown]]=0),1,0)</f>
        <v>0</v>
      </c>
      <c r="AF1460">
        <f>IF(AND(vp.tbl[[#This Row],[CrudeType]]="Crude",vp.tbl[[#This Row],[Dens]]&gt;900,vp.tbl[[#This Row],[Sulf]]&lt;=0.5,vp.tbl[[#This Row],[Unknown]]=0),1,0)</f>
        <v>0</v>
      </c>
      <c r="AG1460" t="str">
        <f>INDEX(vp.tbl[[#Headers],[Unknown]:[Heavy_SW]],MATCH(1,vp.tbl[[#This Row],[Unknown]:[Heavy_SW]],0))</f>
        <v>Unknown</v>
      </c>
      <c r="AH1460" t="e">
        <f>INDEX([1]!crudeBD.lkup[Number],MATCH(vp.tbl[[#This Row],[Crude_Breakdown]],[1]!crudeBD.lkup[Crude Breakdown],0))</f>
        <v>#REF!</v>
      </c>
      <c r="AI1460">
        <f>MONTH(vp.tbl[[#This Row],[SDate]])</f>
        <v>5</v>
      </c>
      <c r="AJ1460" s="5" t="str">
        <f>IFERROR(vp.tbl[[#This Row],[Sulf]]*vp.tbl[[#This Row],[Net Dens]],"")</f>
        <v/>
      </c>
      <c r="AK1460" s="5" t="str">
        <f>IFERROR(vp.tbl[[#This Row],[Dens]]*vp.tbl[[#This Row],[VolumeM3]],"")</f>
        <v/>
      </c>
      <c r="AL1460" s="5" t="str">
        <f>IFERROR(vp.tbl[[#This Row],[VP]]*vp.tbl[[#This Row],[VolumeM3]],"")</f>
        <v/>
      </c>
      <c r="AM1460" s="4">
        <f>IFERROR((vp.tbl[[#This Row],[VP]]-INDEX(crudeBD.lkup.complete[Mean_VP],MATCH(vp.tbl[[#This Row],[Crude_Breakdown]],crudeBD.lkup.complete[Crude Breakdown],0)))^2,"")</f>
        <v>117.61699625164134</v>
      </c>
      <c r="AN1460" s="4" t="str">
        <f>IFERROR((vp.tbl[[#This Row],[Dens]]-INDEX(crudeBD.lkup.complete[Mean_Dens],MATCH(vp.tbl[[#This Row],[Crude_Breakdown]],crudeBD.lkup.complete[Crude Breakdown],0)))^2,"")</f>
        <v/>
      </c>
      <c r="AO1460" s="4" t="str">
        <f>IFERROR((vp.tbl[[#This Row],[Sulf]]-INDEX(crudeBD.lkup.complete[Mean_Sulf],MATCH(vp.tbl[[#This Row],[Crude_Breakdown]],crudeBD.lkup.complete[Crude Breakdown],0)))^2,"")</f>
        <v/>
      </c>
      <c r="AP1460">
        <f>IF(AND(vp.tbl[[#This Row],[SDate]]&gt;=DATE(YEAR(vp.tbl[[#This Row],[SDate]]),5,1),vp.tbl[[#This Row],[SDate]]&lt;=DATE(YEAR(vp.tbl[[#This Row],[SDate]]),9,15)),1,0)</f>
        <v>1</v>
      </c>
      <c r="AQ1460" s="15">
        <f>IF(vp.tbl[[#This Row],[SDate]]&lt;DATE(2016,12,1),0,1)</f>
        <v>1</v>
      </c>
    </row>
    <row r="1461" spans="1:43" x14ac:dyDescent="0.25">
      <c r="A1461">
        <v>1460</v>
      </c>
      <c r="B1461" t="s">
        <v>51</v>
      </c>
      <c r="C1461" t="s">
        <v>51</v>
      </c>
      <c r="D1461" t="s">
        <v>311</v>
      </c>
      <c r="F1461" s="1">
        <v>42865</v>
      </c>
      <c r="G1461" s="2">
        <v>71.599999999999994</v>
      </c>
      <c r="H1461" s="2"/>
      <c r="I1461" s="2">
        <v>1.43</v>
      </c>
      <c r="J1461" s="2"/>
      <c r="K1461" s="2"/>
      <c r="L1461" s="2"/>
      <c r="M1461" s="2">
        <v>853.6</v>
      </c>
      <c r="N1461" s="2">
        <f ca="1">INDEX(INDIRECT(_xlfn.CONCAT("weather.tbl[",N$1,"]")),MATCH(vp.tbl[[#This Row],[SDate]],weather.tbl[Date],0))</f>
        <v>8.9833333333333325</v>
      </c>
      <c r="O1461" s="2">
        <f ca="1">INDEX(INDIRECT(_xlfn.CONCAT("weather.tbl[",O$1,"]")),MATCH(vp.tbl[[#This Row],[SDate]],weather.tbl[Date],0))</f>
        <v>13.607142857142858</v>
      </c>
      <c r="P1461" s="2">
        <f ca="1">INDEX(INDIRECT(_xlfn.CONCAT("weather.tbl[",P$1,"]")),MATCH(vp.tbl[[#This Row],[SDate]],weather.tbl[Date],0))</f>
        <v>9.9</v>
      </c>
      <c r="Q1461" s="2">
        <f ca="1">INDEX(INDIRECT(_xlfn.CONCAT("weather.tbl[",Q$1,"]")),MATCH(vp.tbl[[#This Row],[SDate]],weather.tbl[Date],0))</f>
        <v>9.4</v>
      </c>
      <c r="R1461" s="2">
        <f ca="1">INDEX(INDIRECT(_xlfn.CONCAT("weather.tbl[",R$1,"]")),MATCH(vp.tbl[[#This Row],[SDate]],weather.tbl[Date],0))</f>
        <v>8.8000000000000007</v>
      </c>
      <c r="S1461" s="2">
        <f ca="1">INDEX(INDIRECT(_xlfn.CONCAT("weather.tbl[",S$1,"]")),MATCH(vp.tbl[[#This Row],[SDate]],weather.tbl[Date],0))</f>
        <v>9</v>
      </c>
      <c r="T1461" s="2">
        <f ca="1">INDEX(INDIRECT(_xlfn.CONCAT("weather.tbl[",T$1,"]")),MATCH(vp.tbl[[#This Row],[SDate]],weather.tbl[Date],0))</f>
        <v>9</v>
      </c>
      <c r="U1461" s="2">
        <f ca="1">INDEX(INDIRECT(_xlfn.CONCAT("weather.tbl[",U$1,"]")),MATCH(vp.tbl[[#This Row],[SDate]],weather.tbl[Date],0))</f>
        <v>7.8</v>
      </c>
      <c r="V1461" s="2">
        <v>1128.8409999999999</v>
      </c>
      <c r="W1461" t="s">
        <v>48</v>
      </c>
      <c r="X1461">
        <f>IF(OR(vp.tbl[[#This Row],[Sulf]]="",vp.tbl[[#This Row],[Dens]]=""),1,0)</f>
        <v>0</v>
      </c>
      <c r="Y1461">
        <f>IF(vp.tbl[[#This Row],[CrudeType]]="C5+",1,0)</f>
        <v>0</v>
      </c>
      <c r="Z1461">
        <f>IF(AND(vp.tbl[[#This Row],[CrudeType]]="Crude",vp.tbl[[#This Row],[Dens]]&lt;=825,vp.tbl[[#This Row],[Sulf]]&gt;0.5,vp.tbl[[#This Row],[Unknown]]=0),1,0)</f>
        <v>0</v>
      </c>
      <c r="AA1461">
        <f>IF(AND(vp.tbl[[#This Row],[CrudeType]]="Crude",vp.tbl[[#This Row],[Dens]]&lt;=825,vp.tbl[[#This Row],[Sulf]]&lt;=0.5,vp.tbl[[#This Row],[Unknown]]=0),1,0)</f>
        <v>0</v>
      </c>
      <c r="AB1461">
        <f>IF(AND(vp.tbl[[#This Row],[CrudeType]]="Crude",vp.tbl[[#This Row],[Dens]]&gt;825,vp.tbl[[#This Row],[Dens]]&lt;=870,vp.tbl[[#This Row],[Sulf]]&gt;0.5,vp.tbl[[#This Row],[Unknown]]=0),1,0)</f>
        <v>1</v>
      </c>
      <c r="AC1461">
        <f>IF(AND(vp.tbl[[#This Row],[CrudeType]]="Crude",vp.tbl[[#This Row],[Dens]]&gt;825,vp.tbl[[#This Row],[Dens]]&lt;=900,vp.tbl[[#This Row],[Sulf]]&lt;=0.5,vp.tbl[[#This Row],[Unknown]]=0),1,0)</f>
        <v>0</v>
      </c>
      <c r="AD1461">
        <f>IF(AND(vp.tbl[[#This Row],[CrudeType]]="Crude",vp.tbl[[#This Row],[Dens]]&gt;870,vp.tbl[[#This Row],[Dens]]&lt;=900,vp.tbl[[#This Row],[Sulf]]&gt;0.5,vp.tbl[[#This Row],[Unknown]]=0),1,0)</f>
        <v>0</v>
      </c>
      <c r="AE1461">
        <f>IF(AND(vp.tbl[[#This Row],[CrudeType]]="Crude",vp.tbl[[#This Row],[Dens]]&gt;900,vp.tbl[[#This Row],[Sulf]]&lt;=0.5,vp.tbl[[#This Row],[Unknown]]=0),1,0)</f>
        <v>0</v>
      </c>
      <c r="AF1461">
        <f>IF(AND(vp.tbl[[#This Row],[CrudeType]]="Crude",vp.tbl[[#This Row],[Dens]]&gt;900,vp.tbl[[#This Row],[Sulf]]&lt;=0.5,vp.tbl[[#This Row],[Unknown]]=0),1,0)</f>
        <v>0</v>
      </c>
      <c r="AG1461" t="str">
        <f>INDEX(vp.tbl[[#Headers],[Unknown]:[Heavy_SW]],MATCH(1,vp.tbl[[#This Row],[Unknown]:[Heavy_SW]],0))</f>
        <v>Medium_LSB</v>
      </c>
      <c r="AH1461" t="e">
        <f>INDEX([1]!crudeBD.lkup[Number],MATCH(vp.tbl[[#This Row],[Crude_Breakdown]],[1]!crudeBD.lkup[Crude Breakdown],0))</f>
        <v>#REF!</v>
      </c>
      <c r="AI1461">
        <f>MONTH(vp.tbl[[#This Row],[SDate]])</f>
        <v>5</v>
      </c>
      <c r="AJ1461" s="5">
        <f>IFERROR(vp.tbl[[#This Row],[Sulf]]*vp.tbl[[#This Row],[Net Dens]],"")</f>
        <v>1377917.5089679998</v>
      </c>
      <c r="AK1461" s="5">
        <f>IFERROR(vp.tbl[[#This Row],[Dens]]*vp.tbl[[#This Row],[VolumeM3]],"")</f>
        <v>963578.67759999994</v>
      </c>
      <c r="AL1461" s="5">
        <f>IFERROR(vp.tbl[[#This Row],[VP]]*vp.tbl[[#This Row],[VolumeM3]],"")</f>
        <v>80825.015599999984</v>
      </c>
      <c r="AM1461" s="4">
        <f>IFERROR((vp.tbl[[#This Row],[VP]]-INDEX(crudeBD.lkup.complete[Mean_VP],MATCH(vp.tbl[[#This Row],[Crude_Breakdown]],crudeBD.lkup.complete[Crude Breakdown],0)))^2,"")</f>
        <v>73.506530138759274</v>
      </c>
      <c r="AN1461" s="4">
        <f>IFERROR((vp.tbl[[#This Row],[Dens]]-INDEX(crudeBD.lkup.complete[Mean_Dens],MATCH(vp.tbl[[#This Row],[Crude_Breakdown]],crudeBD.lkup.complete[Crude Breakdown],0)))^2,"")</f>
        <v>69.025808639016901</v>
      </c>
      <c r="AO1461" s="4">
        <f>IFERROR((vp.tbl[[#This Row],[Sulf]]-INDEX(crudeBD.lkup.complete[Mean_Sulf],MATCH(vp.tbl[[#This Row],[Crude_Breakdown]],crudeBD.lkup.complete[Crude Breakdown],0)))^2,"")</f>
        <v>6.2149795748781933E-4</v>
      </c>
      <c r="AP1461">
        <f>IF(AND(vp.tbl[[#This Row],[SDate]]&gt;=DATE(YEAR(vp.tbl[[#This Row],[SDate]]),5,1),vp.tbl[[#This Row],[SDate]]&lt;=DATE(YEAR(vp.tbl[[#This Row],[SDate]]),9,15)),1,0)</f>
        <v>1</v>
      </c>
      <c r="AQ1461" s="15">
        <f>IF(vp.tbl[[#This Row],[SDate]]&lt;DATE(2016,12,1),0,1)</f>
        <v>1</v>
      </c>
    </row>
    <row r="1462" spans="1:43" x14ac:dyDescent="0.25">
      <c r="A1462">
        <v>1461</v>
      </c>
      <c r="B1462" t="s">
        <v>132</v>
      </c>
      <c r="C1462" t="s">
        <v>132</v>
      </c>
      <c r="D1462" t="s">
        <v>312</v>
      </c>
      <c r="F1462" s="1">
        <v>42865</v>
      </c>
      <c r="G1462" s="2">
        <v>51.4</v>
      </c>
      <c r="H1462" s="2"/>
      <c r="I1462" s="2">
        <v>2.08</v>
      </c>
      <c r="J1462" s="2"/>
      <c r="K1462" s="2"/>
      <c r="L1462" s="2"/>
      <c r="M1462" s="2">
        <v>884</v>
      </c>
      <c r="N1462" s="2">
        <f ca="1">INDEX(INDIRECT(_xlfn.CONCAT("weather.tbl[",N$1,"]")),MATCH(vp.tbl[[#This Row],[SDate]],weather.tbl[Date],0))</f>
        <v>8.9833333333333325</v>
      </c>
      <c r="O1462" s="2">
        <f ca="1">INDEX(INDIRECT(_xlfn.CONCAT("weather.tbl[",O$1,"]")),MATCH(vp.tbl[[#This Row],[SDate]],weather.tbl[Date],0))</f>
        <v>13.607142857142858</v>
      </c>
      <c r="P1462" s="2">
        <f ca="1">INDEX(INDIRECT(_xlfn.CONCAT("weather.tbl[",P$1,"]")),MATCH(vp.tbl[[#This Row],[SDate]],weather.tbl[Date],0))</f>
        <v>9.9</v>
      </c>
      <c r="Q1462" s="2">
        <f ca="1">INDEX(INDIRECT(_xlfn.CONCAT("weather.tbl[",Q$1,"]")),MATCH(vp.tbl[[#This Row],[SDate]],weather.tbl[Date],0))</f>
        <v>9.4</v>
      </c>
      <c r="R1462" s="2">
        <f ca="1">INDEX(INDIRECT(_xlfn.CONCAT("weather.tbl[",R$1,"]")),MATCH(vp.tbl[[#This Row],[SDate]],weather.tbl[Date],0))</f>
        <v>8.8000000000000007</v>
      </c>
      <c r="S1462" s="2">
        <f ca="1">INDEX(INDIRECT(_xlfn.CONCAT("weather.tbl[",S$1,"]")),MATCH(vp.tbl[[#This Row],[SDate]],weather.tbl[Date],0))</f>
        <v>9</v>
      </c>
      <c r="T1462" s="2">
        <f ca="1">INDEX(INDIRECT(_xlfn.CONCAT("weather.tbl[",T$1,"]")),MATCH(vp.tbl[[#This Row],[SDate]],weather.tbl[Date],0))</f>
        <v>9</v>
      </c>
      <c r="U1462" s="2">
        <f ca="1">INDEX(INDIRECT(_xlfn.CONCAT("weather.tbl[",U$1,"]")),MATCH(vp.tbl[[#This Row],[SDate]],weather.tbl[Date],0))</f>
        <v>7.8</v>
      </c>
      <c r="V1462" s="2">
        <v>152.65</v>
      </c>
      <c r="W1462" t="s">
        <v>48</v>
      </c>
      <c r="X1462">
        <f>IF(OR(vp.tbl[[#This Row],[Sulf]]="",vp.tbl[[#This Row],[Dens]]=""),1,0)</f>
        <v>0</v>
      </c>
      <c r="Y1462">
        <f>IF(vp.tbl[[#This Row],[CrudeType]]="C5+",1,0)</f>
        <v>0</v>
      </c>
      <c r="Z1462">
        <f>IF(AND(vp.tbl[[#This Row],[CrudeType]]="Crude",vp.tbl[[#This Row],[Dens]]&lt;=825,vp.tbl[[#This Row],[Sulf]]&gt;0.5,vp.tbl[[#This Row],[Unknown]]=0),1,0)</f>
        <v>0</v>
      </c>
      <c r="AA1462">
        <f>IF(AND(vp.tbl[[#This Row],[CrudeType]]="Crude",vp.tbl[[#This Row],[Dens]]&lt;=825,vp.tbl[[#This Row],[Sulf]]&lt;=0.5,vp.tbl[[#This Row],[Unknown]]=0),1,0)</f>
        <v>0</v>
      </c>
      <c r="AB1462">
        <f>IF(AND(vp.tbl[[#This Row],[CrudeType]]="Crude",vp.tbl[[#This Row],[Dens]]&gt;825,vp.tbl[[#This Row],[Dens]]&lt;=870,vp.tbl[[#This Row],[Sulf]]&gt;0.5,vp.tbl[[#This Row],[Unknown]]=0),1,0)</f>
        <v>0</v>
      </c>
      <c r="AC1462">
        <f>IF(AND(vp.tbl[[#This Row],[CrudeType]]="Crude",vp.tbl[[#This Row],[Dens]]&gt;825,vp.tbl[[#This Row],[Dens]]&lt;=900,vp.tbl[[#This Row],[Sulf]]&lt;=0.5,vp.tbl[[#This Row],[Unknown]]=0),1,0)</f>
        <v>0</v>
      </c>
      <c r="AD1462">
        <f>IF(AND(vp.tbl[[#This Row],[CrudeType]]="Crude",vp.tbl[[#This Row],[Dens]]&gt;870,vp.tbl[[#This Row],[Dens]]&lt;=900,vp.tbl[[#This Row],[Sulf]]&gt;0.5,vp.tbl[[#This Row],[Unknown]]=0),1,0)</f>
        <v>1</v>
      </c>
      <c r="AE1462">
        <f>IF(AND(vp.tbl[[#This Row],[CrudeType]]="Crude",vp.tbl[[#This Row],[Dens]]&gt;900,vp.tbl[[#This Row],[Sulf]]&lt;=0.5,vp.tbl[[#This Row],[Unknown]]=0),1,0)</f>
        <v>0</v>
      </c>
      <c r="AF1462">
        <f>IF(AND(vp.tbl[[#This Row],[CrudeType]]="Crude",vp.tbl[[#This Row],[Dens]]&gt;900,vp.tbl[[#This Row],[Sulf]]&lt;=0.5,vp.tbl[[#This Row],[Unknown]]=0),1,0)</f>
        <v>0</v>
      </c>
      <c r="AG1462" t="str">
        <f>INDEX(vp.tbl[[#Headers],[Unknown]:[Heavy_SW]],MATCH(1,vp.tbl[[#This Row],[Unknown]:[Heavy_SW]],0))</f>
        <v>Midale</v>
      </c>
      <c r="AH1462" t="e">
        <f>INDEX([1]!crudeBD.lkup[Number],MATCH(vp.tbl[[#This Row],[Crude_Breakdown]],[1]!crudeBD.lkup[Crude Breakdown],0))</f>
        <v>#REF!</v>
      </c>
      <c r="AI1462">
        <f>MONTH(vp.tbl[[#This Row],[SDate]])</f>
        <v>5</v>
      </c>
      <c r="AJ1462" s="5">
        <f>IFERROR(vp.tbl[[#This Row],[Sulf]]*vp.tbl[[#This Row],[Net Dens]],"")</f>
        <v>280680.60800000001</v>
      </c>
      <c r="AK1462" s="5">
        <f>IFERROR(vp.tbl[[#This Row],[Dens]]*vp.tbl[[#This Row],[VolumeM3]],"")</f>
        <v>134942.6</v>
      </c>
      <c r="AL1462" s="5">
        <f>IFERROR(vp.tbl[[#This Row],[VP]]*vp.tbl[[#This Row],[VolumeM3]],"")</f>
        <v>7846.21</v>
      </c>
      <c r="AM1462" s="4">
        <f>IFERROR((vp.tbl[[#This Row],[VP]]-INDEX(crudeBD.lkup.complete[Mean_VP],MATCH(vp.tbl[[#This Row],[Crude_Breakdown]],crudeBD.lkup.complete[Crude Breakdown],0)))^2,"")</f>
        <v>283.53023831863436</v>
      </c>
      <c r="AN1462" s="4">
        <f>IFERROR((vp.tbl[[#This Row],[Dens]]-INDEX(crudeBD.lkup.complete[Mean_Dens],MATCH(vp.tbl[[#This Row],[Crude_Breakdown]],crudeBD.lkup.complete[Crude Breakdown],0)))^2,"")</f>
        <v>41.575997372869359</v>
      </c>
      <c r="AO1462" s="4">
        <f>IFERROR((vp.tbl[[#This Row],[Sulf]]-INDEX(crudeBD.lkup.complete[Mean_Sulf],MATCH(vp.tbl[[#This Row],[Crude_Breakdown]],crudeBD.lkup.complete[Crude Breakdown],0)))^2,"")</f>
        <v>0.11245300747399048</v>
      </c>
      <c r="AP1462">
        <f>IF(AND(vp.tbl[[#This Row],[SDate]]&gt;=DATE(YEAR(vp.tbl[[#This Row],[SDate]]),5,1),vp.tbl[[#This Row],[SDate]]&lt;=DATE(YEAR(vp.tbl[[#This Row],[SDate]]),9,15)),1,0)</f>
        <v>1</v>
      </c>
      <c r="AQ1462" s="15">
        <f>IF(vp.tbl[[#This Row],[SDate]]&lt;DATE(2016,12,1),0,1)</f>
        <v>1</v>
      </c>
    </row>
    <row r="1463" spans="1:43" x14ac:dyDescent="0.25">
      <c r="A1463">
        <v>1462</v>
      </c>
      <c r="B1463" t="s">
        <v>313</v>
      </c>
      <c r="C1463" t="s">
        <v>313</v>
      </c>
      <c r="D1463" t="s">
        <v>314</v>
      </c>
      <c r="F1463" s="1">
        <v>42865</v>
      </c>
      <c r="G1463" s="2">
        <v>60.8</v>
      </c>
      <c r="H1463" s="2"/>
      <c r="I1463" s="2">
        <v>1.81</v>
      </c>
      <c r="J1463" s="2"/>
      <c r="K1463" s="2"/>
      <c r="L1463" s="2"/>
      <c r="M1463" s="2">
        <v>855</v>
      </c>
      <c r="N1463" s="2">
        <f ca="1">INDEX(INDIRECT(_xlfn.CONCAT("weather.tbl[",N$1,"]")),MATCH(vp.tbl[[#This Row],[SDate]],weather.tbl[Date],0))</f>
        <v>8.9833333333333325</v>
      </c>
      <c r="O1463" s="2">
        <f ca="1">INDEX(INDIRECT(_xlfn.CONCAT("weather.tbl[",O$1,"]")),MATCH(vp.tbl[[#This Row],[SDate]],weather.tbl[Date],0))</f>
        <v>13.607142857142858</v>
      </c>
      <c r="P1463" s="2">
        <f ca="1">INDEX(INDIRECT(_xlfn.CONCAT("weather.tbl[",P$1,"]")),MATCH(vp.tbl[[#This Row],[SDate]],weather.tbl[Date],0))</f>
        <v>9.9</v>
      </c>
      <c r="Q1463" s="2">
        <f ca="1">INDEX(INDIRECT(_xlfn.CONCAT("weather.tbl[",Q$1,"]")),MATCH(vp.tbl[[#This Row],[SDate]],weather.tbl[Date],0))</f>
        <v>9.4</v>
      </c>
      <c r="R1463" s="2">
        <f ca="1">INDEX(INDIRECT(_xlfn.CONCAT("weather.tbl[",R$1,"]")),MATCH(vp.tbl[[#This Row],[SDate]],weather.tbl[Date],0))</f>
        <v>8.8000000000000007</v>
      </c>
      <c r="S1463" s="2">
        <f ca="1">INDEX(INDIRECT(_xlfn.CONCAT("weather.tbl[",S$1,"]")),MATCH(vp.tbl[[#This Row],[SDate]],weather.tbl[Date],0))</f>
        <v>9</v>
      </c>
      <c r="T1463" s="2">
        <f ca="1">INDEX(INDIRECT(_xlfn.CONCAT("weather.tbl[",T$1,"]")),MATCH(vp.tbl[[#This Row],[SDate]],weather.tbl[Date],0))</f>
        <v>9</v>
      </c>
      <c r="U1463" s="2">
        <f ca="1">INDEX(INDIRECT(_xlfn.CONCAT("weather.tbl[",U$1,"]")),MATCH(vp.tbl[[#This Row],[SDate]],weather.tbl[Date],0))</f>
        <v>7.8</v>
      </c>
      <c r="V1463" s="2">
        <v>357.83300000000003</v>
      </c>
      <c r="W1463" t="s">
        <v>48</v>
      </c>
      <c r="X1463">
        <f>IF(OR(vp.tbl[[#This Row],[Sulf]]="",vp.tbl[[#This Row],[Dens]]=""),1,0)</f>
        <v>0</v>
      </c>
      <c r="Y1463">
        <f>IF(vp.tbl[[#This Row],[CrudeType]]="C5+",1,0)</f>
        <v>0</v>
      </c>
      <c r="Z1463">
        <f>IF(AND(vp.tbl[[#This Row],[CrudeType]]="Crude",vp.tbl[[#This Row],[Dens]]&lt;=825,vp.tbl[[#This Row],[Sulf]]&gt;0.5,vp.tbl[[#This Row],[Unknown]]=0),1,0)</f>
        <v>0</v>
      </c>
      <c r="AA1463">
        <f>IF(AND(vp.tbl[[#This Row],[CrudeType]]="Crude",vp.tbl[[#This Row],[Dens]]&lt;=825,vp.tbl[[#This Row],[Sulf]]&lt;=0.5,vp.tbl[[#This Row],[Unknown]]=0),1,0)</f>
        <v>0</v>
      </c>
      <c r="AB1463">
        <f>IF(AND(vp.tbl[[#This Row],[CrudeType]]="Crude",vp.tbl[[#This Row],[Dens]]&gt;825,vp.tbl[[#This Row],[Dens]]&lt;=870,vp.tbl[[#This Row],[Sulf]]&gt;0.5,vp.tbl[[#This Row],[Unknown]]=0),1,0)</f>
        <v>1</v>
      </c>
      <c r="AC1463">
        <f>IF(AND(vp.tbl[[#This Row],[CrudeType]]="Crude",vp.tbl[[#This Row],[Dens]]&gt;825,vp.tbl[[#This Row],[Dens]]&lt;=900,vp.tbl[[#This Row],[Sulf]]&lt;=0.5,vp.tbl[[#This Row],[Unknown]]=0),1,0)</f>
        <v>0</v>
      </c>
      <c r="AD1463">
        <f>IF(AND(vp.tbl[[#This Row],[CrudeType]]="Crude",vp.tbl[[#This Row],[Dens]]&gt;870,vp.tbl[[#This Row],[Dens]]&lt;=900,vp.tbl[[#This Row],[Sulf]]&gt;0.5,vp.tbl[[#This Row],[Unknown]]=0),1,0)</f>
        <v>0</v>
      </c>
      <c r="AE1463">
        <f>IF(AND(vp.tbl[[#This Row],[CrudeType]]="Crude",vp.tbl[[#This Row],[Dens]]&gt;900,vp.tbl[[#This Row],[Sulf]]&lt;=0.5,vp.tbl[[#This Row],[Unknown]]=0),1,0)</f>
        <v>0</v>
      </c>
      <c r="AF1463">
        <f>IF(AND(vp.tbl[[#This Row],[CrudeType]]="Crude",vp.tbl[[#This Row],[Dens]]&gt;900,vp.tbl[[#This Row],[Sulf]]&lt;=0.5,vp.tbl[[#This Row],[Unknown]]=0),1,0)</f>
        <v>0</v>
      </c>
      <c r="AG1463" t="str">
        <f>INDEX(vp.tbl[[#Headers],[Unknown]:[Heavy_SW]],MATCH(1,vp.tbl[[#This Row],[Unknown]:[Heavy_SW]],0))</f>
        <v>Medium_LSB</v>
      </c>
      <c r="AH1463" t="e">
        <f>INDEX([1]!crudeBD.lkup[Number],MATCH(vp.tbl[[#This Row],[Crude_Breakdown]],[1]!crudeBD.lkup[Crude Breakdown],0))</f>
        <v>#REF!</v>
      </c>
      <c r="AI1463">
        <f>MONTH(vp.tbl[[#This Row],[SDate]])</f>
        <v>5</v>
      </c>
      <c r="AJ1463" s="5">
        <f>IFERROR(vp.tbl[[#This Row],[Sulf]]*vp.tbl[[#This Row],[Net Dens]],"")</f>
        <v>553764.45915000001</v>
      </c>
      <c r="AK1463" s="5">
        <f>IFERROR(vp.tbl[[#This Row],[Dens]]*vp.tbl[[#This Row],[VolumeM3]],"")</f>
        <v>305947.21500000003</v>
      </c>
      <c r="AL1463" s="5">
        <f>IFERROR(vp.tbl[[#This Row],[VP]]*vp.tbl[[#This Row],[VolumeM3]],"")</f>
        <v>21756.2464</v>
      </c>
      <c r="AM1463" s="4">
        <f>IFERROR((vp.tbl[[#This Row],[VP]]-INDEX(crudeBD.lkup.complete[Mean_VP],MATCH(vp.tbl[[#This Row],[Crude_Breakdown]],crudeBD.lkup.complete[Crude Breakdown],0)))^2,"")</f>
        <v>375.33618077166989</v>
      </c>
      <c r="AN1463" s="4">
        <f>IFERROR((vp.tbl[[#This Row],[Dens]]-INDEX(crudeBD.lkup.complete[Mean_Dens],MATCH(vp.tbl[[#This Row],[Crude_Breakdown]],crudeBD.lkup.complete[Crude Breakdown],0)))^2,"")</f>
        <v>94.248704841550918</v>
      </c>
      <c r="AO1463" s="4">
        <f>IFERROR((vp.tbl[[#This Row],[Sulf]]-INDEX(crudeBD.lkup.complete[Mean_Sulf],MATCH(vp.tbl[[#This Row],[Crude_Breakdown]],crudeBD.lkup.complete[Crude Breakdown],0)))^2,"")</f>
        <v>0.12607480378027153</v>
      </c>
      <c r="AP1463">
        <f>IF(AND(vp.tbl[[#This Row],[SDate]]&gt;=DATE(YEAR(vp.tbl[[#This Row],[SDate]]),5,1),vp.tbl[[#This Row],[SDate]]&lt;=DATE(YEAR(vp.tbl[[#This Row],[SDate]]),9,15)),1,0)</f>
        <v>1</v>
      </c>
      <c r="AQ1463" s="15">
        <f>IF(vp.tbl[[#This Row],[SDate]]&lt;DATE(2016,12,1),0,1)</f>
        <v>1</v>
      </c>
    </row>
    <row r="1464" spans="1:43" x14ac:dyDescent="0.25">
      <c r="A1464">
        <v>1463</v>
      </c>
      <c r="B1464" t="s">
        <v>161</v>
      </c>
      <c r="C1464" t="s">
        <v>161</v>
      </c>
      <c r="D1464" t="s">
        <v>193</v>
      </c>
      <c r="F1464" s="1">
        <v>42865</v>
      </c>
      <c r="G1464" s="2">
        <v>67.900000000000006</v>
      </c>
      <c r="H1464" s="2"/>
      <c r="I1464" s="2">
        <v>1.54</v>
      </c>
      <c r="J1464" s="2"/>
      <c r="K1464" s="2"/>
      <c r="L1464" s="2"/>
      <c r="M1464" s="2">
        <v>851.4</v>
      </c>
      <c r="N1464" s="2">
        <f ca="1">INDEX(INDIRECT(_xlfn.CONCAT("weather.tbl[",N$1,"]")),MATCH(vp.tbl[[#This Row],[SDate]],weather.tbl[Date],0))</f>
        <v>8.9833333333333325</v>
      </c>
      <c r="O1464" s="2">
        <f ca="1">INDEX(INDIRECT(_xlfn.CONCAT("weather.tbl[",O$1,"]")),MATCH(vp.tbl[[#This Row],[SDate]],weather.tbl[Date],0))</f>
        <v>13.607142857142858</v>
      </c>
      <c r="P1464" s="2">
        <f ca="1">INDEX(INDIRECT(_xlfn.CONCAT("weather.tbl[",P$1,"]")),MATCH(vp.tbl[[#This Row],[SDate]],weather.tbl[Date],0))</f>
        <v>9.9</v>
      </c>
      <c r="Q1464" s="2">
        <f ca="1">INDEX(INDIRECT(_xlfn.CONCAT("weather.tbl[",Q$1,"]")),MATCH(vp.tbl[[#This Row],[SDate]],weather.tbl[Date],0))</f>
        <v>9.4</v>
      </c>
      <c r="R1464" s="2">
        <f ca="1">INDEX(INDIRECT(_xlfn.CONCAT("weather.tbl[",R$1,"]")),MATCH(vp.tbl[[#This Row],[SDate]],weather.tbl[Date],0))</f>
        <v>8.8000000000000007</v>
      </c>
      <c r="S1464" s="2">
        <f ca="1">INDEX(INDIRECT(_xlfn.CONCAT("weather.tbl[",S$1,"]")),MATCH(vp.tbl[[#This Row],[SDate]],weather.tbl[Date],0))</f>
        <v>9</v>
      </c>
      <c r="T1464" s="2">
        <f ca="1">INDEX(INDIRECT(_xlfn.CONCAT("weather.tbl[",T$1,"]")),MATCH(vp.tbl[[#This Row],[SDate]],weather.tbl[Date],0))</f>
        <v>9</v>
      </c>
      <c r="U1464" s="2">
        <f ca="1">INDEX(INDIRECT(_xlfn.CONCAT("weather.tbl[",U$1,"]")),MATCH(vp.tbl[[#This Row],[SDate]],weather.tbl[Date],0))</f>
        <v>7.8</v>
      </c>
      <c r="V1464" s="2">
        <v>3010.1</v>
      </c>
      <c r="W1464" t="s">
        <v>48</v>
      </c>
      <c r="X1464">
        <f>IF(OR(vp.tbl[[#This Row],[Sulf]]="",vp.tbl[[#This Row],[Dens]]=""),1,0)</f>
        <v>0</v>
      </c>
      <c r="Y1464">
        <f>IF(vp.tbl[[#This Row],[CrudeType]]="C5+",1,0)</f>
        <v>0</v>
      </c>
      <c r="Z1464">
        <f>IF(AND(vp.tbl[[#This Row],[CrudeType]]="Crude",vp.tbl[[#This Row],[Dens]]&lt;=825,vp.tbl[[#This Row],[Sulf]]&gt;0.5,vp.tbl[[#This Row],[Unknown]]=0),1,0)</f>
        <v>0</v>
      </c>
      <c r="AA1464">
        <f>IF(AND(vp.tbl[[#This Row],[CrudeType]]="Crude",vp.tbl[[#This Row],[Dens]]&lt;=825,vp.tbl[[#This Row],[Sulf]]&lt;=0.5,vp.tbl[[#This Row],[Unknown]]=0),1,0)</f>
        <v>0</v>
      </c>
      <c r="AB1464">
        <f>IF(AND(vp.tbl[[#This Row],[CrudeType]]="Crude",vp.tbl[[#This Row],[Dens]]&gt;825,vp.tbl[[#This Row],[Dens]]&lt;=870,vp.tbl[[#This Row],[Sulf]]&gt;0.5,vp.tbl[[#This Row],[Unknown]]=0),1,0)</f>
        <v>1</v>
      </c>
      <c r="AC1464">
        <f>IF(AND(vp.tbl[[#This Row],[CrudeType]]="Crude",vp.tbl[[#This Row],[Dens]]&gt;825,vp.tbl[[#This Row],[Dens]]&lt;=900,vp.tbl[[#This Row],[Sulf]]&lt;=0.5,vp.tbl[[#This Row],[Unknown]]=0),1,0)</f>
        <v>0</v>
      </c>
      <c r="AD1464">
        <f>IF(AND(vp.tbl[[#This Row],[CrudeType]]="Crude",vp.tbl[[#This Row],[Dens]]&gt;870,vp.tbl[[#This Row],[Dens]]&lt;=900,vp.tbl[[#This Row],[Sulf]]&gt;0.5,vp.tbl[[#This Row],[Unknown]]=0),1,0)</f>
        <v>0</v>
      </c>
      <c r="AE1464">
        <f>IF(AND(vp.tbl[[#This Row],[CrudeType]]="Crude",vp.tbl[[#This Row],[Dens]]&gt;900,vp.tbl[[#This Row],[Sulf]]&lt;=0.5,vp.tbl[[#This Row],[Unknown]]=0),1,0)</f>
        <v>0</v>
      </c>
      <c r="AF1464">
        <f>IF(AND(vp.tbl[[#This Row],[CrudeType]]="Crude",vp.tbl[[#This Row],[Dens]]&gt;900,vp.tbl[[#This Row],[Sulf]]&lt;=0.5,vp.tbl[[#This Row],[Unknown]]=0),1,0)</f>
        <v>0</v>
      </c>
      <c r="AG1464" t="str">
        <f>INDEX(vp.tbl[[#Headers],[Unknown]:[Heavy_SW]],MATCH(1,vp.tbl[[#This Row],[Unknown]:[Heavy_SW]],0))</f>
        <v>Medium_LSB</v>
      </c>
      <c r="AH1464" t="e">
        <f>INDEX([1]!crudeBD.lkup[Number],MATCH(vp.tbl[[#This Row],[Crude_Breakdown]],[1]!crudeBD.lkup[Crude Breakdown],0))</f>
        <v>#REF!</v>
      </c>
      <c r="AI1464">
        <f>MONTH(vp.tbl[[#This Row],[SDate]])</f>
        <v>5</v>
      </c>
      <c r="AJ1464" s="5">
        <f>IFERROR(vp.tbl[[#This Row],[Sulf]]*vp.tbl[[#This Row],[Net Dens]],"")</f>
        <v>3946710.6755999997</v>
      </c>
      <c r="AK1464" s="5">
        <f>IFERROR(vp.tbl[[#This Row],[Dens]]*vp.tbl[[#This Row],[VolumeM3]],"")</f>
        <v>2562799.1399999997</v>
      </c>
      <c r="AL1464" s="5">
        <f>IFERROR(vp.tbl[[#This Row],[VP]]*vp.tbl[[#This Row],[VolumeM3]],"")</f>
        <v>204385.79</v>
      </c>
      <c r="AM1464" s="4">
        <f>IFERROR((vp.tbl[[#This Row],[VP]]-INDEX(crudeBD.lkup.complete[Mean_VP],MATCH(vp.tbl[[#This Row],[Crude_Breakdown]],crudeBD.lkup.complete[Crude Breakdown],0)))^2,"")</f>
        <v>150.64113267040435</v>
      </c>
      <c r="AN1464" s="4">
        <f>IFERROR((vp.tbl[[#This Row],[Dens]]-INDEX(crudeBD.lkup.complete[Mean_Dens],MATCH(vp.tbl[[#This Row],[Crude_Breakdown]],crudeBD.lkup.complete[Crude Breakdown],0)))^2,"")</f>
        <v>37.309828892176469</v>
      </c>
      <c r="AO1464" s="4">
        <f>IFERROR((vp.tbl[[#This Row],[Sulf]]-INDEX(crudeBD.lkup.complete[Mean_Sulf],MATCH(vp.tbl[[#This Row],[Crude_Breakdown]],crudeBD.lkup.complete[Crude Breakdown],0)))^2,"")</f>
        <v>7.2369285903988887E-3</v>
      </c>
      <c r="AP1464">
        <f>IF(AND(vp.tbl[[#This Row],[SDate]]&gt;=DATE(YEAR(vp.tbl[[#This Row],[SDate]]),5,1),vp.tbl[[#This Row],[SDate]]&lt;=DATE(YEAR(vp.tbl[[#This Row],[SDate]]),9,15)),1,0)</f>
        <v>1</v>
      </c>
      <c r="AQ1464" s="15">
        <f>IF(vp.tbl[[#This Row],[SDate]]&lt;DATE(2016,12,1),0,1)</f>
        <v>1</v>
      </c>
    </row>
    <row r="1465" spans="1:43" x14ac:dyDescent="0.25">
      <c r="A1465">
        <v>1464</v>
      </c>
      <c r="B1465" t="s">
        <v>62</v>
      </c>
      <c r="C1465" t="s">
        <v>62</v>
      </c>
      <c r="D1465" t="s">
        <v>63</v>
      </c>
      <c r="F1465" s="1">
        <v>42865</v>
      </c>
      <c r="G1465" s="2">
        <v>74.900000000000006</v>
      </c>
      <c r="H1465" s="2"/>
      <c r="I1465" s="2">
        <v>0.8</v>
      </c>
      <c r="J1465" s="2"/>
      <c r="K1465" s="2"/>
      <c r="L1465" s="2"/>
      <c r="M1465" s="2">
        <v>821.4</v>
      </c>
      <c r="N1465" s="2">
        <f ca="1">INDEX(INDIRECT(_xlfn.CONCAT("weather.tbl[",N$1,"]")),MATCH(vp.tbl[[#This Row],[SDate]],weather.tbl[Date],0))</f>
        <v>8.9833333333333325</v>
      </c>
      <c r="O1465" s="2">
        <f ca="1">INDEX(INDIRECT(_xlfn.CONCAT("weather.tbl[",O$1,"]")),MATCH(vp.tbl[[#This Row],[SDate]],weather.tbl[Date],0))</f>
        <v>13.607142857142858</v>
      </c>
      <c r="P1465" s="2">
        <f ca="1">INDEX(INDIRECT(_xlfn.CONCAT("weather.tbl[",P$1,"]")),MATCH(vp.tbl[[#This Row],[SDate]],weather.tbl[Date],0))</f>
        <v>9.9</v>
      </c>
      <c r="Q1465" s="2">
        <f ca="1">INDEX(INDIRECT(_xlfn.CONCAT("weather.tbl[",Q$1,"]")),MATCH(vp.tbl[[#This Row],[SDate]],weather.tbl[Date],0))</f>
        <v>9.4</v>
      </c>
      <c r="R1465" s="2">
        <f ca="1">INDEX(INDIRECT(_xlfn.CONCAT("weather.tbl[",R$1,"]")),MATCH(vp.tbl[[#This Row],[SDate]],weather.tbl[Date],0))</f>
        <v>8.8000000000000007</v>
      </c>
      <c r="S1465" s="2">
        <f ca="1">INDEX(INDIRECT(_xlfn.CONCAT("weather.tbl[",S$1,"]")),MATCH(vp.tbl[[#This Row],[SDate]],weather.tbl[Date],0))</f>
        <v>9</v>
      </c>
      <c r="T1465" s="2">
        <f ca="1">INDEX(INDIRECT(_xlfn.CONCAT("weather.tbl[",T$1,"]")),MATCH(vp.tbl[[#This Row],[SDate]],weather.tbl[Date],0))</f>
        <v>9</v>
      </c>
      <c r="U1465" s="2">
        <f ca="1">INDEX(INDIRECT(_xlfn.CONCAT("weather.tbl[",U$1,"]")),MATCH(vp.tbl[[#This Row],[SDate]],weather.tbl[Date],0))</f>
        <v>7.8</v>
      </c>
      <c r="V1465" s="2">
        <v>9174.1849999999995</v>
      </c>
      <c r="W1465" t="s">
        <v>48</v>
      </c>
      <c r="X1465">
        <f>IF(OR(vp.tbl[[#This Row],[Sulf]]="",vp.tbl[[#This Row],[Dens]]=""),1,0)</f>
        <v>0</v>
      </c>
      <c r="Y1465">
        <f>IF(vp.tbl[[#This Row],[CrudeType]]="C5+",1,0)</f>
        <v>0</v>
      </c>
      <c r="Z1465">
        <f>IF(AND(vp.tbl[[#This Row],[CrudeType]]="Crude",vp.tbl[[#This Row],[Dens]]&lt;=825,vp.tbl[[#This Row],[Sulf]]&gt;0.5,vp.tbl[[#This Row],[Unknown]]=0),1,0)</f>
        <v>1</v>
      </c>
      <c r="AA1465">
        <f>IF(AND(vp.tbl[[#This Row],[CrudeType]]="Crude",vp.tbl[[#This Row],[Dens]]&lt;=825,vp.tbl[[#This Row],[Sulf]]&lt;=0.5,vp.tbl[[#This Row],[Unknown]]=0),1,0)</f>
        <v>0</v>
      </c>
      <c r="AB1465">
        <f>IF(AND(vp.tbl[[#This Row],[CrudeType]]="Crude",vp.tbl[[#This Row],[Dens]]&gt;825,vp.tbl[[#This Row],[Dens]]&lt;=870,vp.tbl[[#This Row],[Sulf]]&gt;0.5,vp.tbl[[#This Row],[Unknown]]=0),1,0)</f>
        <v>0</v>
      </c>
      <c r="AC1465">
        <f>IF(AND(vp.tbl[[#This Row],[CrudeType]]="Crude",vp.tbl[[#This Row],[Dens]]&gt;825,vp.tbl[[#This Row],[Dens]]&lt;=900,vp.tbl[[#This Row],[Sulf]]&lt;=0.5,vp.tbl[[#This Row],[Unknown]]=0),1,0)</f>
        <v>0</v>
      </c>
      <c r="AD1465">
        <f>IF(AND(vp.tbl[[#This Row],[CrudeType]]="Crude",vp.tbl[[#This Row],[Dens]]&gt;870,vp.tbl[[#This Row],[Dens]]&lt;=900,vp.tbl[[#This Row],[Sulf]]&gt;0.5,vp.tbl[[#This Row],[Unknown]]=0),1,0)</f>
        <v>0</v>
      </c>
      <c r="AE1465">
        <f>IF(AND(vp.tbl[[#This Row],[CrudeType]]="Crude",vp.tbl[[#This Row],[Dens]]&gt;900,vp.tbl[[#This Row],[Sulf]]&lt;=0.5,vp.tbl[[#This Row],[Unknown]]=0),1,0)</f>
        <v>0</v>
      </c>
      <c r="AF1465">
        <f>IF(AND(vp.tbl[[#This Row],[CrudeType]]="Crude",vp.tbl[[#This Row],[Dens]]&gt;900,vp.tbl[[#This Row],[Sulf]]&lt;=0.5,vp.tbl[[#This Row],[Unknown]]=0),1,0)</f>
        <v>0</v>
      </c>
      <c r="AG1465" t="str">
        <f>INDEX(vp.tbl[[#Headers],[Unknown]:[Heavy_SW]],MATCH(1,vp.tbl[[#This Row],[Unknown]:[Heavy_SW]],0))</f>
        <v>Light_LSB</v>
      </c>
      <c r="AH1465" t="e">
        <f>INDEX([1]!crudeBD.lkup[Number],MATCH(vp.tbl[[#This Row],[Crude_Breakdown]],[1]!crudeBD.lkup[Crude Breakdown],0))</f>
        <v>#REF!</v>
      </c>
      <c r="AI1465">
        <f>MONTH(vp.tbl[[#This Row],[SDate]])</f>
        <v>5</v>
      </c>
      <c r="AJ1465" s="5">
        <f>IFERROR(vp.tbl[[#This Row],[Sulf]]*vp.tbl[[#This Row],[Net Dens]],"")</f>
        <v>6028540.4472000003</v>
      </c>
      <c r="AK1465" s="5">
        <f>IFERROR(vp.tbl[[#This Row],[Dens]]*vp.tbl[[#This Row],[VolumeM3]],"")</f>
        <v>7535675.5589999994</v>
      </c>
      <c r="AL1465" s="5">
        <f>IFERROR(vp.tbl[[#This Row],[VP]]*vp.tbl[[#This Row],[VolumeM3]],"")</f>
        <v>687146.45649999997</v>
      </c>
      <c r="AM1465" s="4">
        <f>IFERROR((vp.tbl[[#This Row],[VP]]-INDEX(crudeBD.lkup.complete[Mean_VP],MATCH(vp.tbl[[#This Row],[Crude_Breakdown]],crudeBD.lkup.complete[Crude Breakdown],0)))^2,"")</f>
        <v>277.09549393134319</v>
      </c>
      <c r="AN1465" s="4">
        <f>IFERROR((vp.tbl[[#This Row],[Dens]]-INDEX(crudeBD.lkup.complete[Mean_Dens],MATCH(vp.tbl[[#This Row],[Crude_Breakdown]],crudeBD.lkup.complete[Crude Breakdown],0)))^2,"")</f>
        <v>8.3130166200227009</v>
      </c>
      <c r="AO1465" s="4">
        <f>IFERROR((vp.tbl[[#This Row],[Sulf]]-INDEX(crudeBD.lkup.complete[Mean_Sulf],MATCH(vp.tbl[[#This Row],[Crude_Breakdown]],crudeBD.lkup.complete[Crude Breakdown],0)))^2,"")</f>
        <v>1.5121908253942369E-2</v>
      </c>
      <c r="AP1465">
        <f>IF(AND(vp.tbl[[#This Row],[SDate]]&gt;=DATE(YEAR(vp.tbl[[#This Row],[SDate]]),5,1),vp.tbl[[#This Row],[SDate]]&lt;=DATE(YEAR(vp.tbl[[#This Row],[SDate]]),9,15)),1,0)</f>
        <v>1</v>
      </c>
      <c r="AQ1465" s="15">
        <f>IF(vp.tbl[[#This Row],[SDate]]&lt;DATE(2016,12,1),0,1)</f>
        <v>1</v>
      </c>
    </row>
    <row r="1466" spans="1:43" x14ac:dyDescent="0.25">
      <c r="A1466">
        <v>1465</v>
      </c>
      <c r="B1466" t="s">
        <v>291</v>
      </c>
      <c r="C1466" t="s">
        <v>291</v>
      </c>
      <c r="D1466" t="s">
        <v>189</v>
      </c>
      <c r="F1466" s="1">
        <v>42865</v>
      </c>
      <c r="G1466" s="2">
        <v>58.9</v>
      </c>
      <c r="H1466" s="2"/>
      <c r="I1466" s="2">
        <v>0.87</v>
      </c>
      <c r="J1466" s="2"/>
      <c r="K1466" s="2"/>
      <c r="L1466" s="2"/>
      <c r="M1466" s="2">
        <v>832.7</v>
      </c>
      <c r="N1466" s="2">
        <f ca="1">INDEX(INDIRECT(_xlfn.CONCAT("weather.tbl[",N$1,"]")),MATCH(vp.tbl[[#This Row],[SDate]],weather.tbl[Date],0))</f>
        <v>8.9833333333333325</v>
      </c>
      <c r="O1466" s="2">
        <f ca="1">INDEX(INDIRECT(_xlfn.CONCAT("weather.tbl[",O$1,"]")),MATCH(vp.tbl[[#This Row],[SDate]],weather.tbl[Date],0))</f>
        <v>13.607142857142858</v>
      </c>
      <c r="P1466" s="2">
        <f ca="1">INDEX(INDIRECT(_xlfn.CONCAT("weather.tbl[",P$1,"]")),MATCH(vp.tbl[[#This Row],[SDate]],weather.tbl[Date],0))</f>
        <v>9.9</v>
      </c>
      <c r="Q1466" s="2">
        <f ca="1">INDEX(INDIRECT(_xlfn.CONCAT("weather.tbl[",Q$1,"]")),MATCH(vp.tbl[[#This Row],[SDate]],weather.tbl[Date],0))</f>
        <v>9.4</v>
      </c>
      <c r="R1466" s="2">
        <f ca="1">INDEX(INDIRECT(_xlfn.CONCAT("weather.tbl[",R$1,"]")),MATCH(vp.tbl[[#This Row],[SDate]],weather.tbl[Date],0))</f>
        <v>8.8000000000000007</v>
      </c>
      <c r="S1466" s="2">
        <f ca="1">INDEX(INDIRECT(_xlfn.CONCAT("weather.tbl[",S$1,"]")),MATCH(vp.tbl[[#This Row],[SDate]],weather.tbl[Date],0))</f>
        <v>9</v>
      </c>
      <c r="T1466" s="2">
        <f ca="1">INDEX(INDIRECT(_xlfn.CONCAT("weather.tbl[",T$1,"]")),MATCH(vp.tbl[[#This Row],[SDate]],weather.tbl[Date],0))</f>
        <v>9</v>
      </c>
      <c r="U1466" s="2">
        <f ca="1">INDEX(INDIRECT(_xlfn.CONCAT("weather.tbl[",U$1,"]")),MATCH(vp.tbl[[#This Row],[SDate]],weather.tbl[Date],0))</f>
        <v>7.8</v>
      </c>
      <c r="V1466" s="2">
        <v>1058.9000000000001</v>
      </c>
      <c r="W1466" t="s">
        <v>48</v>
      </c>
      <c r="X1466">
        <f>IF(OR(vp.tbl[[#This Row],[Sulf]]="",vp.tbl[[#This Row],[Dens]]=""),1,0)</f>
        <v>0</v>
      </c>
      <c r="Y1466">
        <f>IF(vp.tbl[[#This Row],[CrudeType]]="C5+",1,0)</f>
        <v>0</v>
      </c>
      <c r="Z1466">
        <f>IF(AND(vp.tbl[[#This Row],[CrudeType]]="Crude",vp.tbl[[#This Row],[Dens]]&lt;=825,vp.tbl[[#This Row],[Sulf]]&gt;0.5,vp.tbl[[#This Row],[Unknown]]=0),1,0)</f>
        <v>0</v>
      </c>
      <c r="AA1466">
        <f>IF(AND(vp.tbl[[#This Row],[CrudeType]]="Crude",vp.tbl[[#This Row],[Dens]]&lt;=825,vp.tbl[[#This Row],[Sulf]]&lt;=0.5,vp.tbl[[#This Row],[Unknown]]=0),1,0)</f>
        <v>0</v>
      </c>
      <c r="AB1466">
        <f>IF(AND(vp.tbl[[#This Row],[CrudeType]]="Crude",vp.tbl[[#This Row],[Dens]]&gt;825,vp.tbl[[#This Row],[Dens]]&lt;=870,vp.tbl[[#This Row],[Sulf]]&gt;0.5,vp.tbl[[#This Row],[Unknown]]=0),1,0)</f>
        <v>1</v>
      </c>
      <c r="AC1466">
        <f>IF(AND(vp.tbl[[#This Row],[CrudeType]]="Crude",vp.tbl[[#This Row],[Dens]]&gt;825,vp.tbl[[#This Row],[Dens]]&lt;=900,vp.tbl[[#This Row],[Sulf]]&lt;=0.5,vp.tbl[[#This Row],[Unknown]]=0),1,0)</f>
        <v>0</v>
      </c>
      <c r="AD1466">
        <f>IF(AND(vp.tbl[[#This Row],[CrudeType]]="Crude",vp.tbl[[#This Row],[Dens]]&gt;870,vp.tbl[[#This Row],[Dens]]&lt;=900,vp.tbl[[#This Row],[Sulf]]&gt;0.5,vp.tbl[[#This Row],[Unknown]]=0),1,0)</f>
        <v>0</v>
      </c>
      <c r="AE1466">
        <f>IF(AND(vp.tbl[[#This Row],[CrudeType]]="Crude",vp.tbl[[#This Row],[Dens]]&gt;900,vp.tbl[[#This Row],[Sulf]]&lt;=0.5,vp.tbl[[#This Row],[Unknown]]=0),1,0)</f>
        <v>0</v>
      </c>
      <c r="AF1466">
        <f>IF(AND(vp.tbl[[#This Row],[CrudeType]]="Crude",vp.tbl[[#This Row],[Dens]]&gt;900,vp.tbl[[#This Row],[Sulf]]&lt;=0.5,vp.tbl[[#This Row],[Unknown]]=0),1,0)</f>
        <v>0</v>
      </c>
      <c r="AG1466" t="str">
        <f>INDEX(vp.tbl[[#Headers],[Unknown]:[Heavy_SW]],MATCH(1,vp.tbl[[#This Row],[Unknown]:[Heavy_SW]],0))</f>
        <v>Medium_LSB</v>
      </c>
      <c r="AH1466" t="e">
        <f>INDEX([1]!crudeBD.lkup[Number],MATCH(vp.tbl[[#This Row],[Crude_Breakdown]],[1]!crudeBD.lkup[Crude Breakdown],0))</f>
        <v>#REF!</v>
      </c>
      <c r="AI1466">
        <f>MONTH(vp.tbl[[#This Row],[SDate]])</f>
        <v>5</v>
      </c>
      <c r="AJ1466" s="5">
        <f>IFERROR(vp.tbl[[#This Row],[Sulf]]*vp.tbl[[#This Row],[Net Dens]],"")</f>
        <v>767119.04610000015</v>
      </c>
      <c r="AK1466" s="5">
        <f>IFERROR(vp.tbl[[#This Row],[Dens]]*vp.tbl[[#This Row],[VolumeM3]],"")</f>
        <v>881746.03000000014</v>
      </c>
      <c r="AL1466" s="5">
        <f>IFERROR(vp.tbl[[#This Row],[VP]]*vp.tbl[[#This Row],[VolumeM3]],"")</f>
        <v>62369.210000000006</v>
      </c>
      <c r="AM1466" s="4">
        <f>IFERROR((vp.tbl[[#This Row],[VP]]-INDEX(crudeBD.lkup.complete[Mean_VP],MATCH(vp.tbl[[#This Row],[Crude_Breakdown]],crudeBD.lkup.complete[Crude Breakdown],0)))^2,"")</f>
        <v>452.56584153116336</v>
      </c>
      <c r="AN1466" s="4">
        <f>IFERROR((vp.tbl[[#This Row],[Dens]]-INDEX(crudeBD.lkup.complete[Mean_Dens],MATCH(vp.tbl[[#This Row],[Crude_Breakdown]],crudeBD.lkup.complete[Crude Breakdown],0)))^2,"")</f>
        <v>158.55400104403751</v>
      </c>
      <c r="AO1466" s="4">
        <f>IFERROR((vp.tbl[[#This Row],[Sulf]]-INDEX(crudeBD.lkup.complete[Mean_Sulf],MATCH(vp.tbl[[#This Row],[Crude_Breakdown]],crudeBD.lkup.complete[Crude Breakdown],0)))^2,"")</f>
        <v>0.3421429420081224</v>
      </c>
      <c r="AP1466">
        <f>IF(AND(vp.tbl[[#This Row],[SDate]]&gt;=DATE(YEAR(vp.tbl[[#This Row],[SDate]]),5,1),vp.tbl[[#This Row],[SDate]]&lt;=DATE(YEAR(vp.tbl[[#This Row],[SDate]]),9,15)),1,0)</f>
        <v>1</v>
      </c>
      <c r="AQ1466" s="15">
        <f>IF(vp.tbl[[#This Row],[SDate]]&lt;DATE(2016,12,1),0,1)</f>
        <v>1</v>
      </c>
    </row>
    <row r="1467" spans="1:43" x14ac:dyDescent="0.25">
      <c r="A1467">
        <v>1466</v>
      </c>
      <c r="B1467" t="s">
        <v>111</v>
      </c>
      <c r="C1467" t="s">
        <v>111</v>
      </c>
      <c r="D1467" t="s">
        <v>112</v>
      </c>
      <c r="F1467" s="1">
        <v>42865</v>
      </c>
      <c r="G1467" s="2">
        <v>79.099999999999994</v>
      </c>
      <c r="H1467" s="2"/>
      <c r="I1467" s="2">
        <v>1.77</v>
      </c>
      <c r="J1467" s="2"/>
      <c r="K1467" s="2"/>
      <c r="L1467" s="2"/>
      <c r="M1467" s="2">
        <v>856.7</v>
      </c>
      <c r="N1467" s="2">
        <f ca="1">INDEX(INDIRECT(_xlfn.CONCAT("weather.tbl[",N$1,"]")),MATCH(vp.tbl[[#This Row],[SDate]],weather.tbl[Date],0))</f>
        <v>8.9833333333333325</v>
      </c>
      <c r="O1467" s="2">
        <f ca="1">INDEX(INDIRECT(_xlfn.CONCAT("weather.tbl[",O$1,"]")),MATCH(vp.tbl[[#This Row],[SDate]],weather.tbl[Date],0))</f>
        <v>13.607142857142858</v>
      </c>
      <c r="P1467" s="2">
        <f ca="1">INDEX(INDIRECT(_xlfn.CONCAT("weather.tbl[",P$1,"]")),MATCH(vp.tbl[[#This Row],[SDate]],weather.tbl[Date],0))</f>
        <v>9.9</v>
      </c>
      <c r="Q1467" s="2">
        <f ca="1">INDEX(INDIRECT(_xlfn.CONCAT("weather.tbl[",Q$1,"]")),MATCH(vp.tbl[[#This Row],[SDate]],weather.tbl[Date],0))</f>
        <v>9.4</v>
      </c>
      <c r="R1467" s="2">
        <f ca="1">INDEX(INDIRECT(_xlfn.CONCAT("weather.tbl[",R$1,"]")),MATCH(vp.tbl[[#This Row],[SDate]],weather.tbl[Date],0))</f>
        <v>8.8000000000000007</v>
      </c>
      <c r="S1467" s="2">
        <f ca="1">INDEX(INDIRECT(_xlfn.CONCAT("weather.tbl[",S$1,"]")),MATCH(vp.tbl[[#This Row],[SDate]],weather.tbl[Date],0))</f>
        <v>9</v>
      </c>
      <c r="T1467" s="2">
        <f ca="1">INDEX(INDIRECT(_xlfn.CONCAT("weather.tbl[",T$1,"]")),MATCH(vp.tbl[[#This Row],[SDate]],weather.tbl[Date],0))</f>
        <v>9</v>
      </c>
      <c r="U1467" s="2">
        <f ca="1">INDEX(INDIRECT(_xlfn.CONCAT("weather.tbl[",U$1,"]")),MATCH(vp.tbl[[#This Row],[SDate]],weather.tbl[Date],0))</f>
        <v>7.8</v>
      </c>
      <c r="V1467" s="2">
        <v>8074.473</v>
      </c>
      <c r="W1467" t="s">
        <v>48</v>
      </c>
      <c r="X1467">
        <f>IF(OR(vp.tbl[[#This Row],[Sulf]]="",vp.tbl[[#This Row],[Dens]]=""),1,0)</f>
        <v>0</v>
      </c>
      <c r="Y1467">
        <f>IF(vp.tbl[[#This Row],[CrudeType]]="C5+",1,0)</f>
        <v>0</v>
      </c>
      <c r="Z1467">
        <f>IF(AND(vp.tbl[[#This Row],[CrudeType]]="Crude",vp.tbl[[#This Row],[Dens]]&lt;=825,vp.tbl[[#This Row],[Sulf]]&gt;0.5,vp.tbl[[#This Row],[Unknown]]=0),1,0)</f>
        <v>0</v>
      </c>
      <c r="AA1467">
        <f>IF(AND(vp.tbl[[#This Row],[CrudeType]]="Crude",vp.tbl[[#This Row],[Dens]]&lt;=825,vp.tbl[[#This Row],[Sulf]]&lt;=0.5,vp.tbl[[#This Row],[Unknown]]=0),1,0)</f>
        <v>0</v>
      </c>
      <c r="AB1467">
        <f>IF(AND(vp.tbl[[#This Row],[CrudeType]]="Crude",vp.tbl[[#This Row],[Dens]]&gt;825,vp.tbl[[#This Row],[Dens]]&lt;=870,vp.tbl[[#This Row],[Sulf]]&gt;0.5,vp.tbl[[#This Row],[Unknown]]=0),1,0)</f>
        <v>1</v>
      </c>
      <c r="AC1467">
        <f>IF(AND(vp.tbl[[#This Row],[CrudeType]]="Crude",vp.tbl[[#This Row],[Dens]]&gt;825,vp.tbl[[#This Row],[Dens]]&lt;=900,vp.tbl[[#This Row],[Sulf]]&lt;=0.5,vp.tbl[[#This Row],[Unknown]]=0),1,0)</f>
        <v>0</v>
      </c>
      <c r="AD1467">
        <f>IF(AND(vp.tbl[[#This Row],[CrudeType]]="Crude",vp.tbl[[#This Row],[Dens]]&gt;870,vp.tbl[[#This Row],[Dens]]&lt;=900,vp.tbl[[#This Row],[Sulf]]&gt;0.5,vp.tbl[[#This Row],[Unknown]]=0),1,0)</f>
        <v>0</v>
      </c>
      <c r="AE1467">
        <f>IF(AND(vp.tbl[[#This Row],[CrudeType]]="Crude",vp.tbl[[#This Row],[Dens]]&gt;900,vp.tbl[[#This Row],[Sulf]]&lt;=0.5,vp.tbl[[#This Row],[Unknown]]=0),1,0)</f>
        <v>0</v>
      </c>
      <c r="AF1467">
        <f>IF(AND(vp.tbl[[#This Row],[CrudeType]]="Crude",vp.tbl[[#This Row],[Dens]]&gt;900,vp.tbl[[#This Row],[Sulf]]&lt;=0.5,vp.tbl[[#This Row],[Unknown]]=0),1,0)</f>
        <v>0</v>
      </c>
      <c r="AG1467" t="str">
        <f>INDEX(vp.tbl[[#Headers],[Unknown]:[Heavy_SW]],MATCH(1,vp.tbl[[#This Row],[Unknown]:[Heavy_SW]],0))</f>
        <v>Medium_LSB</v>
      </c>
      <c r="AH1467" t="e">
        <f>INDEX([1]!crudeBD.lkup[Number],MATCH(vp.tbl[[#This Row],[Crude_Breakdown]],[1]!crudeBD.lkup[Crude Breakdown],0))</f>
        <v>#REF!</v>
      </c>
      <c r="AI1467">
        <f>MONTH(vp.tbl[[#This Row],[SDate]])</f>
        <v>5</v>
      </c>
      <c r="AJ1467" s="5">
        <f>IFERROR(vp.tbl[[#This Row],[Sulf]]*vp.tbl[[#This Row],[Net Dens]],"")</f>
        <v>12243799.803807</v>
      </c>
      <c r="AK1467" s="5">
        <f>IFERROR(vp.tbl[[#This Row],[Dens]]*vp.tbl[[#This Row],[VolumeM3]],"")</f>
        <v>6917401.0191000002</v>
      </c>
      <c r="AL1467" s="5">
        <f>IFERROR(vp.tbl[[#This Row],[VP]]*vp.tbl[[#This Row],[VolumeM3]],"")</f>
        <v>638690.81429999997</v>
      </c>
      <c r="AM1467" s="4">
        <f>IFERROR((vp.tbl[[#This Row],[VP]]-INDEX(crudeBD.lkup.complete[Mean_VP],MATCH(vp.tbl[[#This Row],[Crude_Breakdown]],crudeBD.lkup.complete[Crude Breakdown],0)))^2,"")</f>
        <v>1.1526060881268356</v>
      </c>
      <c r="AN1467" s="4">
        <f>IFERROR((vp.tbl[[#This Row],[Dens]]-INDEX(crudeBD.lkup.complete[Mean_Dens],MATCH(vp.tbl[[#This Row],[Crude_Breakdown]],crudeBD.lkup.complete[Crude Breakdown],0)))^2,"")</f>
        <v>130.14650737320088</v>
      </c>
      <c r="AO1467" s="4">
        <f>IFERROR((vp.tbl[[#This Row],[Sulf]]-INDEX(crudeBD.lkup.complete[Mean_Sulf],MATCH(vp.tbl[[#This Row],[Crude_Breakdown]],crudeBD.lkup.complete[Crude Breakdown],0)))^2,"")</f>
        <v>9.9269192641031123E-2</v>
      </c>
      <c r="AP1467">
        <f>IF(AND(vp.tbl[[#This Row],[SDate]]&gt;=DATE(YEAR(vp.tbl[[#This Row],[SDate]]),5,1),vp.tbl[[#This Row],[SDate]]&lt;=DATE(YEAR(vp.tbl[[#This Row],[SDate]]),9,15)),1,0)</f>
        <v>1</v>
      </c>
      <c r="AQ1467" s="15">
        <f>IF(vp.tbl[[#This Row],[SDate]]&lt;DATE(2016,12,1),0,1)</f>
        <v>1</v>
      </c>
    </row>
    <row r="1468" spans="1:43" x14ac:dyDescent="0.25">
      <c r="A1468">
        <v>1467</v>
      </c>
      <c r="B1468" t="s">
        <v>291</v>
      </c>
      <c r="C1468" t="s">
        <v>291</v>
      </c>
      <c r="D1468" t="s">
        <v>195</v>
      </c>
      <c r="F1468" s="1">
        <v>42865</v>
      </c>
      <c r="G1468" s="2">
        <v>59.6</v>
      </c>
      <c r="H1468" s="2"/>
      <c r="I1468" s="2">
        <v>1.63</v>
      </c>
      <c r="J1468" s="2"/>
      <c r="K1468" s="2"/>
      <c r="L1468" s="2"/>
      <c r="M1468" s="2">
        <v>852.2</v>
      </c>
      <c r="N1468" s="2">
        <f ca="1">INDEX(INDIRECT(_xlfn.CONCAT("weather.tbl[",N$1,"]")),MATCH(vp.tbl[[#This Row],[SDate]],weather.tbl[Date],0))</f>
        <v>8.9833333333333325</v>
      </c>
      <c r="O1468" s="2">
        <f ca="1">INDEX(INDIRECT(_xlfn.CONCAT("weather.tbl[",O$1,"]")),MATCH(vp.tbl[[#This Row],[SDate]],weather.tbl[Date],0))</f>
        <v>13.607142857142858</v>
      </c>
      <c r="P1468" s="2">
        <f ca="1">INDEX(INDIRECT(_xlfn.CONCAT("weather.tbl[",P$1,"]")),MATCH(vp.tbl[[#This Row],[SDate]],weather.tbl[Date],0))</f>
        <v>9.9</v>
      </c>
      <c r="Q1468" s="2">
        <f ca="1">INDEX(INDIRECT(_xlfn.CONCAT("weather.tbl[",Q$1,"]")),MATCH(vp.tbl[[#This Row],[SDate]],weather.tbl[Date],0))</f>
        <v>9.4</v>
      </c>
      <c r="R1468" s="2">
        <f ca="1">INDEX(INDIRECT(_xlfn.CONCAT("weather.tbl[",R$1,"]")),MATCH(vp.tbl[[#This Row],[SDate]],weather.tbl[Date],0))</f>
        <v>8.8000000000000007</v>
      </c>
      <c r="S1468" s="2">
        <f ca="1">INDEX(INDIRECT(_xlfn.CONCAT("weather.tbl[",S$1,"]")),MATCH(vp.tbl[[#This Row],[SDate]],weather.tbl[Date],0))</f>
        <v>9</v>
      </c>
      <c r="T1468" s="2">
        <f ca="1">INDEX(INDIRECT(_xlfn.CONCAT("weather.tbl[",T$1,"]")),MATCH(vp.tbl[[#This Row],[SDate]],weather.tbl[Date],0))</f>
        <v>9</v>
      </c>
      <c r="U1468" s="2">
        <f ca="1">INDEX(INDIRECT(_xlfn.CONCAT("weather.tbl[",U$1,"]")),MATCH(vp.tbl[[#This Row],[SDate]],weather.tbl[Date],0))</f>
        <v>7.8</v>
      </c>
      <c r="V1468" s="2">
        <v>2675.54</v>
      </c>
      <c r="W1468" t="s">
        <v>48</v>
      </c>
      <c r="X1468">
        <f>IF(OR(vp.tbl[[#This Row],[Sulf]]="",vp.tbl[[#This Row],[Dens]]=""),1,0)</f>
        <v>0</v>
      </c>
      <c r="Y1468">
        <f>IF(vp.tbl[[#This Row],[CrudeType]]="C5+",1,0)</f>
        <v>0</v>
      </c>
      <c r="Z1468">
        <f>IF(AND(vp.tbl[[#This Row],[CrudeType]]="Crude",vp.tbl[[#This Row],[Dens]]&lt;=825,vp.tbl[[#This Row],[Sulf]]&gt;0.5,vp.tbl[[#This Row],[Unknown]]=0),1,0)</f>
        <v>0</v>
      </c>
      <c r="AA1468">
        <f>IF(AND(vp.tbl[[#This Row],[CrudeType]]="Crude",vp.tbl[[#This Row],[Dens]]&lt;=825,vp.tbl[[#This Row],[Sulf]]&lt;=0.5,vp.tbl[[#This Row],[Unknown]]=0),1,0)</f>
        <v>0</v>
      </c>
      <c r="AB1468">
        <f>IF(AND(vp.tbl[[#This Row],[CrudeType]]="Crude",vp.tbl[[#This Row],[Dens]]&gt;825,vp.tbl[[#This Row],[Dens]]&lt;=870,vp.tbl[[#This Row],[Sulf]]&gt;0.5,vp.tbl[[#This Row],[Unknown]]=0),1,0)</f>
        <v>1</v>
      </c>
      <c r="AC1468">
        <f>IF(AND(vp.tbl[[#This Row],[CrudeType]]="Crude",vp.tbl[[#This Row],[Dens]]&gt;825,vp.tbl[[#This Row],[Dens]]&lt;=900,vp.tbl[[#This Row],[Sulf]]&lt;=0.5,vp.tbl[[#This Row],[Unknown]]=0),1,0)</f>
        <v>0</v>
      </c>
      <c r="AD1468">
        <f>IF(AND(vp.tbl[[#This Row],[CrudeType]]="Crude",vp.tbl[[#This Row],[Dens]]&gt;870,vp.tbl[[#This Row],[Dens]]&lt;=900,vp.tbl[[#This Row],[Sulf]]&gt;0.5,vp.tbl[[#This Row],[Unknown]]=0),1,0)</f>
        <v>0</v>
      </c>
      <c r="AE1468">
        <f>IF(AND(vp.tbl[[#This Row],[CrudeType]]="Crude",vp.tbl[[#This Row],[Dens]]&gt;900,vp.tbl[[#This Row],[Sulf]]&lt;=0.5,vp.tbl[[#This Row],[Unknown]]=0),1,0)</f>
        <v>0</v>
      </c>
      <c r="AF1468">
        <f>IF(AND(vp.tbl[[#This Row],[CrudeType]]="Crude",vp.tbl[[#This Row],[Dens]]&gt;900,vp.tbl[[#This Row],[Sulf]]&lt;=0.5,vp.tbl[[#This Row],[Unknown]]=0),1,0)</f>
        <v>0</v>
      </c>
      <c r="AG1468" t="str">
        <f>INDEX(vp.tbl[[#Headers],[Unknown]:[Heavy_SW]],MATCH(1,vp.tbl[[#This Row],[Unknown]:[Heavy_SW]],0))</f>
        <v>Medium_LSB</v>
      </c>
      <c r="AH1468" t="e">
        <f>INDEX([1]!crudeBD.lkup[Number],MATCH(vp.tbl[[#This Row],[Crude_Breakdown]],[1]!crudeBD.lkup[Crude Breakdown],0))</f>
        <v>#REF!</v>
      </c>
      <c r="AI1468">
        <f>MONTH(vp.tbl[[#This Row],[SDate]])</f>
        <v>5</v>
      </c>
      <c r="AJ1468" s="5">
        <f>IFERROR(vp.tbl[[#This Row],[Sulf]]*vp.tbl[[#This Row],[Net Dens]],"")</f>
        <v>3716555.15644</v>
      </c>
      <c r="AK1468" s="5">
        <f>IFERROR(vp.tbl[[#This Row],[Dens]]*vp.tbl[[#This Row],[VolumeM3]],"")</f>
        <v>2280095.1880000001</v>
      </c>
      <c r="AL1468" s="5">
        <f>IFERROR(vp.tbl[[#This Row],[VP]]*vp.tbl[[#This Row],[VolumeM3]],"")</f>
        <v>159462.18400000001</v>
      </c>
      <c r="AM1468" s="4">
        <f>IFERROR((vp.tbl[[#This Row],[VP]]-INDEX(crudeBD.lkup.complete[Mean_VP],MATCH(vp.tbl[[#This Row],[Crude_Breakdown]],crudeBD.lkup.complete[Crude Breakdown],0)))^2,"")</f>
        <v>423.2728086197709</v>
      </c>
      <c r="AN1468" s="4">
        <f>IFERROR((vp.tbl[[#This Row],[Dens]]-INDEX(crudeBD.lkup.complete[Mean_Dens],MATCH(vp.tbl[[#This Row],[Crude_Breakdown]],crudeBD.lkup.complete[Crude Breakdown],0)))^2,"")</f>
        <v>47.722912436482744</v>
      </c>
      <c r="AO1468" s="4">
        <f>IFERROR((vp.tbl[[#This Row],[Sulf]]-INDEX(crudeBD.lkup.complete[Mean_Sulf],MATCH(vp.tbl[[#This Row],[Crude_Breakdown]],crudeBD.lkup.complete[Crude Breakdown],0)))^2,"")</f>
        <v>3.0649553653689716E-2</v>
      </c>
      <c r="AP1468">
        <f>IF(AND(vp.tbl[[#This Row],[SDate]]&gt;=DATE(YEAR(vp.tbl[[#This Row],[SDate]]),5,1),vp.tbl[[#This Row],[SDate]]&lt;=DATE(YEAR(vp.tbl[[#This Row],[SDate]]),9,15)),1,0)</f>
        <v>1</v>
      </c>
      <c r="AQ1468" s="15">
        <f>IF(vp.tbl[[#This Row],[SDate]]&lt;DATE(2016,12,1),0,1)</f>
        <v>1</v>
      </c>
    </row>
    <row r="1469" spans="1:43" x14ac:dyDescent="0.25">
      <c r="A1469">
        <v>1468</v>
      </c>
      <c r="B1469" t="s">
        <v>111</v>
      </c>
      <c r="C1469" t="s">
        <v>111</v>
      </c>
      <c r="D1469" t="s">
        <v>234</v>
      </c>
      <c r="F1469" s="1">
        <v>42865</v>
      </c>
      <c r="G1469" s="2">
        <v>68.7</v>
      </c>
      <c r="H1469" s="2"/>
      <c r="I1469" s="2">
        <v>2.75</v>
      </c>
      <c r="J1469" s="2"/>
      <c r="K1469" s="2"/>
      <c r="L1469" s="2"/>
      <c r="M1469" s="2">
        <v>884.4</v>
      </c>
      <c r="N1469" s="2">
        <f ca="1">INDEX(INDIRECT(_xlfn.CONCAT("weather.tbl[",N$1,"]")),MATCH(vp.tbl[[#This Row],[SDate]],weather.tbl[Date],0))</f>
        <v>8.9833333333333325</v>
      </c>
      <c r="O1469" s="2">
        <f ca="1">INDEX(INDIRECT(_xlfn.CONCAT("weather.tbl[",O$1,"]")),MATCH(vp.tbl[[#This Row],[SDate]],weather.tbl[Date],0))</f>
        <v>13.607142857142858</v>
      </c>
      <c r="P1469" s="2">
        <f ca="1">INDEX(INDIRECT(_xlfn.CONCAT("weather.tbl[",P$1,"]")),MATCH(vp.tbl[[#This Row],[SDate]],weather.tbl[Date],0))</f>
        <v>9.9</v>
      </c>
      <c r="Q1469" s="2">
        <f ca="1">INDEX(INDIRECT(_xlfn.CONCAT("weather.tbl[",Q$1,"]")),MATCH(vp.tbl[[#This Row],[SDate]],weather.tbl[Date],0))</f>
        <v>9.4</v>
      </c>
      <c r="R1469" s="2">
        <f ca="1">INDEX(INDIRECT(_xlfn.CONCAT("weather.tbl[",R$1,"]")),MATCH(vp.tbl[[#This Row],[SDate]],weather.tbl[Date],0))</f>
        <v>8.8000000000000007</v>
      </c>
      <c r="S1469" s="2">
        <f ca="1">INDEX(INDIRECT(_xlfn.CONCAT("weather.tbl[",S$1,"]")),MATCH(vp.tbl[[#This Row],[SDate]],weather.tbl[Date],0))</f>
        <v>9</v>
      </c>
      <c r="T1469" s="2">
        <f ca="1">INDEX(INDIRECT(_xlfn.CONCAT("weather.tbl[",T$1,"]")),MATCH(vp.tbl[[#This Row],[SDate]],weather.tbl[Date],0))</f>
        <v>9</v>
      </c>
      <c r="U1469" s="2">
        <f ca="1">INDEX(INDIRECT(_xlfn.CONCAT("weather.tbl[",U$1,"]")),MATCH(vp.tbl[[#This Row],[SDate]],weather.tbl[Date],0))</f>
        <v>7.8</v>
      </c>
      <c r="V1469" s="2">
        <v>2844.9769999999999</v>
      </c>
      <c r="W1469" t="s">
        <v>48</v>
      </c>
      <c r="X1469">
        <f>IF(OR(vp.tbl[[#This Row],[Sulf]]="",vp.tbl[[#This Row],[Dens]]=""),1,0)</f>
        <v>0</v>
      </c>
      <c r="Y1469">
        <f>IF(vp.tbl[[#This Row],[CrudeType]]="C5+",1,0)</f>
        <v>0</v>
      </c>
      <c r="Z1469">
        <f>IF(AND(vp.tbl[[#This Row],[CrudeType]]="Crude",vp.tbl[[#This Row],[Dens]]&lt;=825,vp.tbl[[#This Row],[Sulf]]&gt;0.5,vp.tbl[[#This Row],[Unknown]]=0),1,0)</f>
        <v>0</v>
      </c>
      <c r="AA1469">
        <f>IF(AND(vp.tbl[[#This Row],[CrudeType]]="Crude",vp.tbl[[#This Row],[Dens]]&lt;=825,vp.tbl[[#This Row],[Sulf]]&lt;=0.5,vp.tbl[[#This Row],[Unknown]]=0),1,0)</f>
        <v>0</v>
      </c>
      <c r="AB1469">
        <f>IF(AND(vp.tbl[[#This Row],[CrudeType]]="Crude",vp.tbl[[#This Row],[Dens]]&gt;825,vp.tbl[[#This Row],[Dens]]&lt;=870,vp.tbl[[#This Row],[Sulf]]&gt;0.5,vp.tbl[[#This Row],[Unknown]]=0),1,0)</f>
        <v>0</v>
      </c>
      <c r="AC1469">
        <f>IF(AND(vp.tbl[[#This Row],[CrudeType]]="Crude",vp.tbl[[#This Row],[Dens]]&gt;825,vp.tbl[[#This Row],[Dens]]&lt;=900,vp.tbl[[#This Row],[Sulf]]&lt;=0.5,vp.tbl[[#This Row],[Unknown]]=0),1,0)</f>
        <v>0</v>
      </c>
      <c r="AD1469">
        <f>IF(AND(vp.tbl[[#This Row],[CrudeType]]="Crude",vp.tbl[[#This Row],[Dens]]&gt;870,vp.tbl[[#This Row],[Dens]]&lt;=900,vp.tbl[[#This Row],[Sulf]]&gt;0.5,vp.tbl[[#This Row],[Unknown]]=0),1,0)</f>
        <v>1</v>
      </c>
      <c r="AE1469">
        <f>IF(AND(vp.tbl[[#This Row],[CrudeType]]="Crude",vp.tbl[[#This Row],[Dens]]&gt;900,vp.tbl[[#This Row],[Sulf]]&lt;=0.5,vp.tbl[[#This Row],[Unknown]]=0),1,0)</f>
        <v>0</v>
      </c>
      <c r="AF1469">
        <f>IF(AND(vp.tbl[[#This Row],[CrudeType]]="Crude",vp.tbl[[#This Row],[Dens]]&gt;900,vp.tbl[[#This Row],[Sulf]]&lt;=0.5,vp.tbl[[#This Row],[Unknown]]=0),1,0)</f>
        <v>0</v>
      </c>
      <c r="AG1469" t="str">
        <f>INDEX(vp.tbl[[#Headers],[Unknown]:[Heavy_SW]],MATCH(1,vp.tbl[[#This Row],[Unknown]:[Heavy_SW]],0))</f>
        <v>Midale</v>
      </c>
      <c r="AH1469" t="e">
        <f>INDEX([1]!crudeBD.lkup[Number],MATCH(vp.tbl[[#This Row],[Crude_Breakdown]],[1]!crudeBD.lkup[Crude Breakdown],0))</f>
        <v>#REF!</v>
      </c>
      <c r="AI1469">
        <f>MONTH(vp.tbl[[#This Row],[SDate]])</f>
        <v>5</v>
      </c>
      <c r="AJ1469" s="5">
        <f>IFERROR(vp.tbl[[#This Row],[Sulf]]*vp.tbl[[#This Row],[Net Dens]],"")</f>
        <v>6919268.5616999995</v>
      </c>
      <c r="AK1469" s="5">
        <f>IFERROR(vp.tbl[[#This Row],[Dens]]*vp.tbl[[#This Row],[VolumeM3]],"")</f>
        <v>2516097.6587999999</v>
      </c>
      <c r="AL1469" s="5">
        <f>IFERROR(vp.tbl[[#This Row],[VP]]*vp.tbl[[#This Row],[VolumeM3]],"")</f>
        <v>195449.91990000001</v>
      </c>
      <c r="AM1469" s="4">
        <f>IFERROR((vp.tbl[[#This Row],[VP]]-INDEX(crudeBD.lkup.complete[Mean_VP],MATCH(vp.tbl[[#This Row],[Crude_Breakdown]],crudeBD.lkup.complete[Crude Breakdown],0)))^2,"")</f>
        <v>0.21311503096264767</v>
      </c>
      <c r="AN1469" s="4">
        <f>IFERROR((vp.tbl[[#This Row],[Dens]]-INDEX(crudeBD.lkup.complete[Mean_Dens],MATCH(vp.tbl[[#This Row],[Crude_Breakdown]],crudeBD.lkup.complete[Crude Breakdown],0)))^2,"")</f>
        <v>46.894353537252847</v>
      </c>
      <c r="AO1469" s="4">
        <f>IFERROR((vp.tbl[[#This Row],[Sulf]]-INDEX(crudeBD.lkup.complete[Mean_Sulf],MATCH(vp.tbl[[#This Row],[Crude_Breakdown]],crudeBD.lkup.complete[Crude Breakdown],0)))^2,"")</f>
        <v>0.11199722391234837</v>
      </c>
      <c r="AP1469">
        <f>IF(AND(vp.tbl[[#This Row],[SDate]]&gt;=DATE(YEAR(vp.tbl[[#This Row],[SDate]]),5,1),vp.tbl[[#This Row],[SDate]]&lt;=DATE(YEAR(vp.tbl[[#This Row],[SDate]]),9,15)),1,0)</f>
        <v>1</v>
      </c>
      <c r="AQ1469" s="15">
        <f>IF(vp.tbl[[#This Row],[SDate]]&lt;DATE(2016,12,1),0,1)</f>
        <v>1</v>
      </c>
    </row>
    <row r="1470" spans="1:43" x14ac:dyDescent="0.25">
      <c r="A1470">
        <v>1469</v>
      </c>
      <c r="B1470" t="s">
        <v>68</v>
      </c>
      <c r="C1470" t="s">
        <v>68</v>
      </c>
      <c r="D1470" t="s">
        <v>315</v>
      </c>
      <c r="F1470" s="1">
        <v>42865</v>
      </c>
      <c r="G1470" s="2">
        <v>72.2</v>
      </c>
      <c r="H1470" s="2"/>
      <c r="I1470" s="2">
        <v>1.59</v>
      </c>
      <c r="J1470" s="2"/>
      <c r="K1470" s="2"/>
      <c r="L1470" s="2"/>
      <c r="M1470" s="2">
        <v>853.5</v>
      </c>
      <c r="N1470" s="2">
        <f ca="1">INDEX(INDIRECT(_xlfn.CONCAT("weather.tbl[",N$1,"]")),MATCH(vp.tbl[[#This Row],[SDate]],weather.tbl[Date],0))</f>
        <v>8.9833333333333325</v>
      </c>
      <c r="O1470" s="2">
        <f ca="1">INDEX(INDIRECT(_xlfn.CONCAT("weather.tbl[",O$1,"]")),MATCH(vp.tbl[[#This Row],[SDate]],weather.tbl[Date],0))</f>
        <v>13.607142857142858</v>
      </c>
      <c r="P1470" s="2">
        <f ca="1">INDEX(INDIRECT(_xlfn.CONCAT("weather.tbl[",P$1,"]")),MATCH(vp.tbl[[#This Row],[SDate]],weather.tbl[Date],0))</f>
        <v>9.9</v>
      </c>
      <c r="Q1470" s="2">
        <f ca="1">INDEX(INDIRECT(_xlfn.CONCAT("weather.tbl[",Q$1,"]")),MATCH(vp.tbl[[#This Row],[SDate]],weather.tbl[Date],0))</f>
        <v>9.4</v>
      </c>
      <c r="R1470" s="2">
        <f ca="1">INDEX(INDIRECT(_xlfn.CONCAT("weather.tbl[",R$1,"]")),MATCH(vp.tbl[[#This Row],[SDate]],weather.tbl[Date],0))</f>
        <v>8.8000000000000007</v>
      </c>
      <c r="S1470" s="2">
        <f ca="1">INDEX(INDIRECT(_xlfn.CONCAT("weather.tbl[",S$1,"]")),MATCH(vp.tbl[[#This Row],[SDate]],weather.tbl[Date],0))</f>
        <v>9</v>
      </c>
      <c r="T1470" s="2">
        <f ca="1">INDEX(INDIRECT(_xlfn.CONCAT("weather.tbl[",T$1,"]")),MATCH(vp.tbl[[#This Row],[SDate]],weather.tbl[Date],0))</f>
        <v>9</v>
      </c>
      <c r="U1470" s="2">
        <f ca="1">INDEX(INDIRECT(_xlfn.CONCAT("weather.tbl[",U$1,"]")),MATCH(vp.tbl[[#This Row],[SDate]],weather.tbl[Date],0))</f>
        <v>7.8</v>
      </c>
      <c r="V1470" s="2">
        <v>211.322</v>
      </c>
      <c r="W1470" t="s">
        <v>48</v>
      </c>
      <c r="X1470">
        <f>IF(OR(vp.tbl[[#This Row],[Sulf]]="",vp.tbl[[#This Row],[Dens]]=""),1,0)</f>
        <v>0</v>
      </c>
      <c r="Y1470">
        <f>IF(vp.tbl[[#This Row],[CrudeType]]="C5+",1,0)</f>
        <v>0</v>
      </c>
      <c r="Z1470">
        <f>IF(AND(vp.tbl[[#This Row],[CrudeType]]="Crude",vp.tbl[[#This Row],[Dens]]&lt;=825,vp.tbl[[#This Row],[Sulf]]&gt;0.5,vp.tbl[[#This Row],[Unknown]]=0),1,0)</f>
        <v>0</v>
      </c>
      <c r="AA1470">
        <f>IF(AND(vp.tbl[[#This Row],[CrudeType]]="Crude",vp.tbl[[#This Row],[Dens]]&lt;=825,vp.tbl[[#This Row],[Sulf]]&lt;=0.5,vp.tbl[[#This Row],[Unknown]]=0),1,0)</f>
        <v>0</v>
      </c>
      <c r="AB1470">
        <f>IF(AND(vp.tbl[[#This Row],[CrudeType]]="Crude",vp.tbl[[#This Row],[Dens]]&gt;825,vp.tbl[[#This Row],[Dens]]&lt;=870,vp.tbl[[#This Row],[Sulf]]&gt;0.5,vp.tbl[[#This Row],[Unknown]]=0),1,0)</f>
        <v>1</v>
      </c>
      <c r="AC1470">
        <f>IF(AND(vp.tbl[[#This Row],[CrudeType]]="Crude",vp.tbl[[#This Row],[Dens]]&gt;825,vp.tbl[[#This Row],[Dens]]&lt;=900,vp.tbl[[#This Row],[Sulf]]&lt;=0.5,vp.tbl[[#This Row],[Unknown]]=0),1,0)</f>
        <v>0</v>
      </c>
      <c r="AD1470">
        <f>IF(AND(vp.tbl[[#This Row],[CrudeType]]="Crude",vp.tbl[[#This Row],[Dens]]&gt;870,vp.tbl[[#This Row],[Dens]]&lt;=900,vp.tbl[[#This Row],[Sulf]]&gt;0.5,vp.tbl[[#This Row],[Unknown]]=0),1,0)</f>
        <v>0</v>
      </c>
      <c r="AE1470">
        <f>IF(AND(vp.tbl[[#This Row],[CrudeType]]="Crude",vp.tbl[[#This Row],[Dens]]&gt;900,vp.tbl[[#This Row],[Sulf]]&lt;=0.5,vp.tbl[[#This Row],[Unknown]]=0),1,0)</f>
        <v>0</v>
      </c>
      <c r="AF1470">
        <f>IF(AND(vp.tbl[[#This Row],[CrudeType]]="Crude",vp.tbl[[#This Row],[Dens]]&gt;900,vp.tbl[[#This Row],[Sulf]]&lt;=0.5,vp.tbl[[#This Row],[Unknown]]=0),1,0)</f>
        <v>0</v>
      </c>
      <c r="AG1470" t="str">
        <f>INDEX(vp.tbl[[#Headers],[Unknown]:[Heavy_SW]],MATCH(1,vp.tbl[[#This Row],[Unknown]:[Heavy_SW]],0))</f>
        <v>Medium_LSB</v>
      </c>
      <c r="AH1470" t="e">
        <f>INDEX([1]!crudeBD.lkup[Number],MATCH(vp.tbl[[#This Row],[Crude_Breakdown]],[1]!crudeBD.lkup[Crude Breakdown],0))</f>
        <v>#REF!</v>
      </c>
      <c r="AI1470">
        <f>MONTH(vp.tbl[[#This Row],[SDate]])</f>
        <v>5</v>
      </c>
      <c r="AJ1470" s="5">
        <f>IFERROR(vp.tbl[[#This Row],[Sulf]]*vp.tbl[[#This Row],[Net Dens]],"")</f>
        <v>286777.68992999999</v>
      </c>
      <c r="AK1470" s="5">
        <f>IFERROR(vp.tbl[[#This Row],[Dens]]*vp.tbl[[#This Row],[VolumeM3]],"")</f>
        <v>180363.32699999999</v>
      </c>
      <c r="AL1470" s="5">
        <f>IFERROR(vp.tbl[[#This Row],[VP]]*vp.tbl[[#This Row],[VolumeM3]],"")</f>
        <v>15257.448400000001</v>
      </c>
      <c r="AM1470" s="4">
        <f>IFERROR((vp.tbl[[#This Row],[VP]]-INDEX(crudeBD.lkup.complete[Mean_VP],MATCH(vp.tbl[[#This Row],[Crude_Breakdown]],crudeBD.lkup.complete[Crude Breakdown],0)))^2,"")</f>
        <v>63.578216214708547</v>
      </c>
      <c r="AN1470" s="4">
        <f>IFERROR((vp.tbl[[#This Row],[Dens]]-INDEX(crudeBD.lkup.complete[Mean_Dens],MATCH(vp.tbl[[#This Row],[Crude_Breakdown]],crudeBD.lkup.complete[Crude Breakdown],0)))^2,"")</f>
        <v>67.374173195978344</v>
      </c>
      <c r="AO1470" s="4">
        <f>IFERROR((vp.tbl[[#This Row],[Sulf]]-INDEX(crudeBD.lkup.complete[Mean_Sulf],MATCH(vp.tbl[[#This Row],[Crude_Breakdown]],crudeBD.lkup.complete[Crude Breakdown],0)))^2,"")</f>
        <v>1.8243942514449388E-2</v>
      </c>
      <c r="AP1470">
        <f>IF(AND(vp.tbl[[#This Row],[SDate]]&gt;=DATE(YEAR(vp.tbl[[#This Row],[SDate]]),5,1),vp.tbl[[#This Row],[SDate]]&lt;=DATE(YEAR(vp.tbl[[#This Row],[SDate]]),9,15)),1,0)</f>
        <v>1</v>
      </c>
      <c r="AQ1470" s="15">
        <f>IF(vp.tbl[[#This Row],[SDate]]&lt;DATE(2016,12,1),0,1)</f>
        <v>1</v>
      </c>
    </row>
    <row r="1471" spans="1:43" x14ac:dyDescent="0.25">
      <c r="A1471">
        <v>1470</v>
      </c>
      <c r="B1471" t="s">
        <v>68</v>
      </c>
      <c r="C1471" t="s">
        <v>68</v>
      </c>
      <c r="D1471" t="s">
        <v>194</v>
      </c>
      <c r="F1471" s="1">
        <v>42865</v>
      </c>
      <c r="G1471" s="2">
        <v>49.9</v>
      </c>
      <c r="H1471" s="2"/>
      <c r="I1471" s="2">
        <v>1.21</v>
      </c>
      <c r="J1471" s="2"/>
      <c r="K1471" s="2"/>
      <c r="L1471" s="2"/>
      <c r="M1471" s="2">
        <v>852.4</v>
      </c>
      <c r="N1471" s="2">
        <f ca="1">INDEX(INDIRECT(_xlfn.CONCAT("weather.tbl[",N$1,"]")),MATCH(vp.tbl[[#This Row],[SDate]],weather.tbl[Date],0))</f>
        <v>8.9833333333333325</v>
      </c>
      <c r="O1471" s="2">
        <f ca="1">INDEX(INDIRECT(_xlfn.CONCAT("weather.tbl[",O$1,"]")),MATCH(vp.tbl[[#This Row],[SDate]],weather.tbl[Date],0))</f>
        <v>13.607142857142858</v>
      </c>
      <c r="P1471" s="2">
        <f ca="1">INDEX(INDIRECT(_xlfn.CONCAT("weather.tbl[",P$1,"]")),MATCH(vp.tbl[[#This Row],[SDate]],weather.tbl[Date],0))</f>
        <v>9.9</v>
      </c>
      <c r="Q1471" s="2">
        <f ca="1">INDEX(INDIRECT(_xlfn.CONCAT("weather.tbl[",Q$1,"]")),MATCH(vp.tbl[[#This Row],[SDate]],weather.tbl[Date],0))</f>
        <v>9.4</v>
      </c>
      <c r="R1471" s="2">
        <f ca="1">INDEX(INDIRECT(_xlfn.CONCAT("weather.tbl[",R$1,"]")),MATCH(vp.tbl[[#This Row],[SDate]],weather.tbl[Date],0))</f>
        <v>8.8000000000000007</v>
      </c>
      <c r="S1471" s="2">
        <f ca="1">INDEX(INDIRECT(_xlfn.CONCAT("weather.tbl[",S$1,"]")),MATCH(vp.tbl[[#This Row],[SDate]],weather.tbl[Date],0))</f>
        <v>9</v>
      </c>
      <c r="T1471" s="2">
        <f ca="1">INDEX(INDIRECT(_xlfn.CONCAT("weather.tbl[",T$1,"]")),MATCH(vp.tbl[[#This Row],[SDate]],weather.tbl[Date],0))</f>
        <v>9</v>
      </c>
      <c r="U1471" s="2">
        <f ca="1">INDEX(INDIRECT(_xlfn.CONCAT("weather.tbl[",U$1,"]")),MATCH(vp.tbl[[#This Row],[SDate]],weather.tbl[Date],0))</f>
        <v>7.8</v>
      </c>
      <c r="V1471" s="2">
        <v>758.65599999999995</v>
      </c>
      <c r="W1471" t="s">
        <v>48</v>
      </c>
      <c r="X1471">
        <f>IF(OR(vp.tbl[[#This Row],[Sulf]]="",vp.tbl[[#This Row],[Dens]]=""),1,0)</f>
        <v>0</v>
      </c>
      <c r="Y1471">
        <f>IF(vp.tbl[[#This Row],[CrudeType]]="C5+",1,0)</f>
        <v>0</v>
      </c>
      <c r="Z1471">
        <f>IF(AND(vp.tbl[[#This Row],[CrudeType]]="Crude",vp.tbl[[#This Row],[Dens]]&lt;=825,vp.tbl[[#This Row],[Sulf]]&gt;0.5,vp.tbl[[#This Row],[Unknown]]=0),1,0)</f>
        <v>0</v>
      </c>
      <c r="AA1471">
        <f>IF(AND(vp.tbl[[#This Row],[CrudeType]]="Crude",vp.tbl[[#This Row],[Dens]]&lt;=825,vp.tbl[[#This Row],[Sulf]]&lt;=0.5,vp.tbl[[#This Row],[Unknown]]=0),1,0)</f>
        <v>0</v>
      </c>
      <c r="AB1471">
        <f>IF(AND(vp.tbl[[#This Row],[CrudeType]]="Crude",vp.tbl[[#This Row],[Dens]]&gt;825,vp.tbl[[#This Row],[Dens]]&lt;=870,vp.tbl[[#This Row],[Sulf]]&gt;0.5,vp.tbl[[#This Row],[Unknown]]=0),1,0)</f>
        <v>1</v>
      </c>
      <c r="AC1471">
        <f>IF(AND(vp.tbl[[#This Row],[CrudeType]]="Crude",vp.tbl[[#This Row],[Dens]]&gt;825,vp.tbl[[#This Row],[Dens]]&lt;=900,vp.tbl[[#This Row],[Sulf]]&lt;=0.5,vp.tbl[[#This Row],[Unknown]]=0),1,0)</f>
        <v>0</v>
      </c>
      <c r="AD1471">
        <f>IF(AND(vp.tbl[[#This Row],[CrudeType]]="Crude",vp.tbl[[#This Row],[Dens]]&gt;870,vp.tbl[[#This Row],[Dens]]&lt;=900,vp.tbl[[#This Row],[Sulf]]&gt;0.5,vp.tbl[[#This Row],[Unknown]]=0),1,0)</f>
        <v>0</v>
      </c>
      <c r="AE1471">
        <f>IF(AND(vp.tbl[[#This Row],[CrudeType]]="Crude",vp.tbl[[#This Row],[Dens]]&gt;900,vp.tbl[[#This Row],[Sulf]]&lt;=0.5,vp.tbl[[#This Row],[Unknown]]=0),1,0)</f>
        <v>0</v>
      </c>
      <c r="AF1471">
        <f>IF(AND(vp.tbl[[#This Row],[CrudeType]]="Crude",vp.tbl[[#This Row],[Dens]]&gt;900,vp.tbl[[#This Row],[Sulf]]&lt;=0.5,vp.tbl[[#This Row],[Unknown]]=0),1,0)</f>
        <v>0</v>
      </c>
      <c r="AG1471" t="str">
        <f>INDEX(vp.tbl[[#Headers],[Unknown]:[Heavy_SW]],MATCH(1,vp.tbl[[#This Row],[Unknown]:[Heavy_SW]],0))</f>
        <v>Medium_LSB</v>
      </c>
      <c r="AH1471" t="e">
        <f>INDEX([1]!crudeBD.lkup[Number],MATCH(vp.tbl[[#This Row],[Crude_Breakdown]],[1]!crudeBD.lkup[Crude Breakdown],0))</f>
        <v>#REF!</v>
      </c>
      <c r="AI1471">
        <f>MONTH(vp.tbl[[#This Row],[SDate]])</f>
        <v>5</v>
      </c>
      <c r="AJ1471" s="5">
        <f>IFERROR(vp.tbl[[#This Row],[Sulf]]*vp.tbl[[#This Row],[Net Dens]],"")</f>
        <v>782480.83302399993</v>
      </c>
      <c r="AK1471" s="5">
        <f>IFERROR(vp.tbl[[#This Row],[Dens]]*vp.tbl[[#This Row],[VolumeM3]],"")</f>
        <v>646678.37439999997</v>
      </c>
      <c r="AL1471" s="5">
        <f>IFERROR(vp.tbl[[#This Row],[VP]]*vp.tbl[[#This Row],[VolumeM3]],"")</f>
        <v>37856.934399999998</v>
      </c>
      <c r="AM1471" s="4">
        <f>IFERROR((vp.tbl[[#This Row],[VP]]-INDEX(crudeBD.lkup.complete[Mean_VP],MATCH(vp.tbl[[#This Row],[Crude_Breakdown]],crudeBD.lkup.complete[Crude Breakdown],0)))^2,"")</f>
        <v>916.49055039192217</v>
      </c>
      <c r="AN1471" s="4">
        <f>IFERROR((vp.tbl[[#This Row],[Dens]]-INDEX(crudeBD.lkup.complete[Mean_Dens],MATCH(vp.tbl[[#This Row],[Crude_Breakdown]],crudeBD.lkup.complete[Crude Breakdown],0)))^2,"")</f>
        <v>50.52618332255814</v>
      </c>
      <c r="AO1471" s="4">
        <f>IFERROR((vp.tbl[[#This Row],[Sulf]]-INDEX(crudeBD.lkup.complete[Mean_Sulf],MATCH(vp.tbl[[#This Row],[Crude_Breakdown]],crudeBD.lkup.complete[Crude Breakdown],0)))^2,"")</f>
        <v>5.9990636691665704E-2</v>
      </c>
      <c r="AP1471">
        <f>IF(AND(vp.tbl[[#This Row],[SDate]]&gt;=DATE(YEAR(vp.tbl[[#This Row],[SDate]]),5,1),vp.tbl[[#This Row],[SDate]]&lt;=DATE(YEAR(vp.tbl[[#This Row],[SDate]]),9,15)),1,0)</f>
        <v>1</v>
      </c>
      <c r="AQ1471" s="15">
        <f>IF(vp.tbl[[#This Row],[SDate]]&lt;DATE(2016,12,1),0,1)</f>
        <v>1</v>
      </c>
    </row>
    <row r="1472" spans="1:43" x14ac:dyDescent="0.25">
      <c r="A1472">
        <v>1471</v>
      </c>
      <c r="B1472" t="s">
        <v>68</v>
      </c>
      <c r="C1472" t="s">
        <v>68</v>
      </c>
      <c r="D1472" t="s">
        <v>192</v>
      </c>
      <c r="F1472" s="1">
        <v>42865</v>
      </c>
      <c r="G1472" s="2">
        <v>65.099999999999994</v>
      </c>
      <c r="H1472" s="2"/>
      <c r="I1472" s="2">
        <v>1.43</v>
      </c>
      <c r="J1472" s="2"/>
      <c r="K1472" s="2"/>
      <c r="L1472" s="2"/>
      <c r="M1472" s="2">
        <v>851.8</v>
      </c>
      <c r="N1472" s="2">
        <f ca="1">INDEX(INDIRECT(_xlfn.CONCAT("weather.tbl[",N$1,"]")),MATCH(vp.tbl[[#This Row],[SDate]],weather.tbl[Date],0))</f>
        <v>8.9833333333333325</v>
      </c>
      <c r="O1472" s="2">
        <f ca="1">INDEX(INDIRECT(_xlfn.CONCAT("weather.tbl[",O$1,"]")),MATCH(vp.tbl[[#This Row],[SDate]],weather.tbl[Date],0))</f>
        <v>13.607142857142858</v>
      </c>
      <c r="P1472" s="2">
        <f ca="1">INDEX(INDIRECT(_xlfn.CONCAT("weather.tbl[",P$1,"]")),MATCH(vp.tbl[[#This Row],[SDate]],weather.tbl[Date],0))</f>
        <v>9.9</v>
      </c>
      <c r="Q1472" s="2">
        <f ca="1">INDEX(INDIRECT(_xlfn.CONCAT("weather.tbl[",Q$1,"]")),MATCH(vp.tbl[[#This Row],[SDate]],weather.tbl[Date],0))</f>
        <v>9.4</v>
      </c>
      <c r="R1472" s="2">
        <f ca="1">INDEX(INDIRECT(_xlfn.CONCAT("weather.tbl[",R$1,"]")),MATCH(vp.tbl[[#This Row],[SDate]],weather.tbl[Date],0))</f>
        <v>8.8000000000000007</v>
      </c>
      <c r="S1472" s="2">
        <f ca="1">INDEX(INDIRECT(_xlfn.CONCAT("weather.tbl[",S$1,"]")),MATCH(vp.tbl[[#This Row],[SDate]],weather.tbl[Date],0))</f>
        <v>9</v>
      </c>
      <c r="T1472" s="2">
        <f ca="1">INDEX(INDIRECT(_xlfn.CONCAT("weather.tbl[",T$1,"]")),MATCH(vp.tbl[[#This Row],[SDate]],weather.tbl[Date],0))</f>
        <v>9</v>
      </c>
      <c r="U1472" s="2">
        <f ca="1">INDEX(INDIRECT(_xlfn.CONCAT("weather.tbl[",U$1,"]")),MATCH(vp.tbl[[#This Row],[SDate]],weather.tbl[Date],0))</f>
        <v>7.8</v>
      </c>
      <c r="V1472" s="2">
        <v>1433.26</v>
      </c>
      <c r="W1472" t="s">
        <v>48</v>
      </c>
      <c r="X1472">
        <f>IF(OR(vp.tbl[[#This Row],[Sulf]]="",vp.tbl[[#This Row],[Dens]]=""),1,0)</f>
        <v>0</v>
      </c>
      <c r="Y1472">
        <f>IF(vp.tbl[[#This Row],[CrudeType]]="C5+",1,0)</f>
        <v>0</v>
      </c>
      <c r="Z1472">
        <f>IF(AND(vp.tbl[[#This Row],[CrudeType]]="Crude",vp.tbl[[#This Row],[Dens]]&lt;=825,vp.tbl[[#This Row],[Sulf]]&gt;0.5,vp.tbl[[#This Row],[Unknown]]=0),1,0)</f>
        <v>0</v>
      </c>
      <c r="AA1472">
        <f>IF(AND(vp.tbl[[#This Row],[CrudeType]]="Crude",vp.tbl[[#This Row],[Dens]]&lt;=825,vp.tbl[[#This Row],[Sulf]]&lt;=0.5,vp.tbl[[#This Row],[Unknown]]=0),1,0)</f>
        <v>0</v>
      </c>
      <c r="AB1472">
        <f>IF(AND(vp.tbl[[#This Row],[CrudeType]]="Crude",vp.tbl[[#This Row],[Dens]]&gt;825,vp.tbl[[#This Row],[Dens]]&lt;=870,vp.tbl[[#This Row],[Sulf]]&gt;0.5,vp.tbl[[#This Row],[Unknown]]=0),1,0)</f>
        <v>1</v>
      </c>
      <c r="AC1472">
        <f>IF(AND(vp.tbl[[#This Row],[CrudeType]]="Crude",vp.tbl[[#This Row],[Dens]]&gt;825,vp.tbl[[#This Row],[Dens]]&lt;=900,vp.tbl[[#This Row],[Sulf]]&lt;=0.5,vp.tbl[[#This Row],[Unknown]]=0),1,0)</f>
        <v>0</v>
      </c>
      <c r="AD1472">
        <f>IF(AND(vp.tbl[[#This Row],[CrudeType]]="Crude",vp.tbl[[#This Row],[Dens]]&gt;870,vp.tbl[[#This Row],[Dens]]&lt;=900,vp.tbl[[#This Row],[Sulf]]&gt;0.5,vp.tbl[[#This Row],[Unknown]]=0),1,0)</f>
        <v>0</v>
      </c>
      <c r="AE1472">
        <f>IF(AND(vp.tbl[[#This Row],[CrudeType]]="Crude",vp.tbl[[#This Row],[Dens]]&gt;900,vp.tbl[[#This Row],[Sulf]]&lt;=0.5,vp.tbl[[#This Row],[Unknown]]=0),1,0)</f>
        <v>0</v>
      </c>
      <c r="AF1472">
        <f>IF(AND(vp.tbl[[#This Row],[CrudeType]]="Crude",vp.tbl[[#This Row],[Dens]]&gt;900,vp.tbl[[#This Row],[Sulf]]&lt;=0.5,vp.tbl[[#This Row],[Unknown]]=0),1,0)</f>
        <v>0</v>
      </c>
      <c r="AG1472" t="str">
        <f>INDEX(vp.tbl[[#Headers],[Unknown]:[Heavy_SW]],MATCH(1,vp.tbl[[#This Row],[Unknown]:[Heavy_SW]],0))</f>
        <v>Medium_LSB</v>
      </c>
      <c r="AH1472" t="e">
        <f>INDEX([1]!crudeBD.lkup[Number],MATCH(vp.tbl[[#This Row],[Crude_Breakdown]],[1]!crudeBD.lkup[Crude Breakdown],0))</f>
        <v>#REF!</v>
      </c>
      <c r="AI1472">
        <f>MONTH(vp.tbl[[#This Row],[SDate]])</f>
        <v>5</v>
      </c>
      <c r="AJ1472" s="5">
        <f>IFERROR(vp.tbl[[#This Row],[Sulf]]*vp.tbl[[#This Row],[Net Dens]],"")</f>
        <v>1745816.7412399999</v>
      </c>
      <c r="AK1472" s="5">
        <f>IFERROR(vp.tbl[[#This Row],[Dens]]*vp.tbl[[#This Row],[VolumeM3]],"")</f>
        <v>1220850.868</v>
      </c>
      <c r="AL1472" s="5">
        <f>IFERROR(vp.tbl[[#This Row],[VP]]*vp.tbl[[#This Row],[VolumeM3]],"")</f>
        <v>93305.225999999995</v>
      </c>
      <c r="AM1472" s="4">
        <f>IFERROR((vp.tbl[[#This Row],[VP]]-INDEX(crudeBD.lkup.complete[Mean_VP],MATCH(vp.tbl[[#This Row],[Crude_Breakdown]],crudeBD.lkup.complete[Crude Breakdown],0)))^2,"")</f>
        <v>227.21326431597407</v>
      </c>
      <c r="AN1472" s="4">
        <f>IFERROR((vp.tbl[[#This Row],[Dens]]-INDEX(crudeBD.lkup.complete[Mean_Dens],MATCH(vp.tbl[[#This Row],[Crude_Breakdown]],crudeBD.lkup.complete[Crude Breakdown],0)))^2,"")</f>
        <v>42.356370664328843</v>
      </c>
      <c r="AO1472" s="4">
        <f>IFERROR((vp.tbl[[#This Row],[Sulf]]-INDEX(crudeBD.lkup.complete[Mean_Sulf],MATCH(vp.tbl[[#This Row],[Crude_Breakdown]],crudeBD.lkup.complete[Crude Breakdown],0)))^2,"")</f>
        <v>6.2149795748781933E-4</v>
      </c>
      <c r="AP1472">
        <f>IF(AND(vp.tbl[[#This Row],[SDate]]&gt;=DATE(YEAR(vp.tbl[[#This Row],[SDate]]),5,1),vp.tbl[[#This Row],[SDate]]&lt;=DATE(YEAR(vp.tbl[[#This Row],[SDate]]),9,15)),1,0)</f>
        <v>1</v>
      </c>
      <c r="AQ1472" s="15">
        <f>IF(vp.tbl[[#This Row],[SDate]]&lt;DATE(2016,12,1),0,1)</f>
        <v>1</v>
      </c>
    </row>
    <row r="1473" spans="1:43" x14ac:dyDescent="0.25">
      <c r="A1473">
        <v>1472</v>
      </c>
      <c r="B1473" t="s">
        <v>68</v>
      </c>
      <c r="C1473" t="s">
        <v>68</v>
      </c>
      <c r="D1473" t="s">
        <v>191</v>
      </c>
      <c r="F1473" s="1">
        <v>42865</v>
      </c>
      <c r="G1473" s="2">
        <v>70.7</v>
      </c>
      <c r="H1473" s="2"/>
      <c r="I1473" s="2">
        <v>1.22</v>
      </c>
      <c r="J1473" s="2"/>
      <c r="K1473" s="2"/>
      <c r="L1473" s="2"/>
      <c r="M1473" s="2">
        <v>847.2</v>
      </c>
      <c r="N1473" s="2">
        <f ca="1">INDEX(INDIRECT(_xlfn.CONCAT("weather.tbl[",N$1,"]")),MATCH(vp.tbl[[#This Row],[SDate]],weather.tbl[Date],0))</f>
        <v>8.9833333333333325</v>
      </c>
      <c r="O1473" s="2">
        <f ca="1">INDEX(INDIRECT(_xlfn.CONCAT("weather.tbl[",O$1,"]")),MATCH(vp.tbl[[#This Row],[SDate]],weather.tbl[Date],0))</f>
        <v>13.607142857142858</v>
      </c>
      <c r="P1473" s="2">
        <f ca="1">INDEX(INDIRECT(_xlfn.CONCAT("weather.tbl[",P$1,"]")),MATCH(vp.tbl[[#This Row],[SDate]],weather.tbl[Date],0))</f>
        <v>9.9</v>
      </c>
      <c r="Q1473" s="2">
        <f ca="1">INDEX(INDIRECT(_xlfn.CONCAT("weather.tbl[",Q$1,"]")),MATCH(vp.tbl[[#This Row],[SDate]],weather.tbl[Date],0))</f>
        <v>9.4</v>
      </c>
      <c r="R1473" s="2">
        <f ca="1">INDEX(INDIRECT(_xlfn.CONCAT("weather.tbl[",R$1,"]")),MATCH(vp.tbl[[#This Row],[SDate]],weather.tbl[Date],0))</f>
        <v>8.8000000000000007</v>
      </c>
      <c r="S1473" s="2">
        <f ca="1">INDEX(INDIRECT(_xlfn.CONCAT("weather.tbl[",S$1,"]")),MATCH(vp.tbl[[#This Row],[SDate]],weather.tbl[Date],0))</f>
        <v>9</v>
      </c>
      <c r="T1473" s="2">
        <f ca="1">INDEX(INDIRECT(_xlfn.CONCAT("weather.tbl[",T$1,"]")),MATCH(vp.tbl[[#This Row],[SDate]],weather.tbl[Date],0))</f>
        <v>9</v>
      </c>
      <c r="U1473" s="2">
        <f ca="1">INDEX(INDIRECT(_xlfn.CONCAT("weather.tbl[",U$1,"]")),MATCH(vp.tbl[[#This Row],[SDate]],weather.tbl[Date],0))</f>
        <v>7.8</v>
      </c>
      <c r="V1473" s="2">
        <v>2892.944</v>
      </c>
      <c r="W1473" t="s">
        <v>48</v>
      </c>
      <c r="X1473">
        <f>IF(OR(vp.tbl[[#This Row],[Sulf]]="",vp.tbl[[#This Row],[Dens]]=""),1,0)</f>
        <v>0</v>
      </c>
      <c r="Y1473">
        <f>IF(vp.tbl[[#This Row],[CrudeType]]="C5+",1,0)</f>
        <v>0</v>
      </c>
      <c r="Z1473">
        <f>IF(AND(vp.tbl[[#This Row],[CrudeType]]="Crude",vp.tbl[[#This Row],[Dens]]&lt;=825,vp.tbl[[#This Row],[Sulf]]&gt;0.5,vp.tbl[[#This Row],[Unknown]]=0),1,0)</f>
        <v>0</v>
      </c>
      <c r="AA1473">
        <f>IF(AND(vp.tbl[[#This Row],[CrudeType]]="Crude",vp.tbl[[#This Row],[Dens]]&lt;=825,vp.tbl[[#This Row],[Sulf]]&lt;=0.5,vp.tbl[[#This Row],[Unknown]]=0),1,0)</f>
        <v>0</v>
      </c>
      <c r="AB1473">
        <f>IF(AND(vp.tbl[[#This Row],[CrudeType]]="Crude",vp.tbl[[#This Row],[Dens]]&gt;825,vp.tbl[[#This Row],[Dens]]&lt;=870,vp.tbl[[#This Row],[Sulf]]&gt;0.5,vp.tbl[[#This Row],[Unknown]]=0),1,0)</f>
        <v>1</v>
      </c>
      <c r="AC1473">
        <f>IF(AND(vp.tbl[[#This Row],[CrudeType]]="Crude",vp.tbl[[#This Row],[Dens]]&gt;825,vp.tbl[[#This Row],[Dens]]&lt;=900,vp.tbl[[#This Row],[Sulf]]&lt;=0.5,vp.tbl[[#This Row],[Unknown]]=0),1,0)</f>
        <v>0</v>
      </c>
      <c r="AD1473">
        <f>IF(AND(vp.tbl[[#This Row],[CrudeType]]="Crude",vp.tbl[[#This Row],[Dens]]&gt;870,vp.tbl[[#This Row],[Dens]]&lt;=900,vp.tbl[[#This Row],[Sulf]]&gt;0.5,vp.tbl[[#This Row],[Unknown]]=0),1,0)</f>
        <v>0</v>
      </c>
      <c r="AE1473">
        <f>IF(AND(vp.tbl[[#This Row],[CrudeType]]="Crude",vp.tbl[[#This Row],[Dens]]&gt;900,vp.tbl[[#This Row],[Sulf]]&lt;=0.5,vp.tbl[[#This Row],[Unknown]]=0),1,0)</f>
        <v>0</v>
      </c>
      <c r="AF1473">
        <f>IF(AND(vp.tbl[[#This Row],[CrudeType]]="Crude",vp.tbl[[#This Row],[Dens]]&gt;900,vp.tbl[[#This Row],[Sulf]]&lt;=0.5,vp.tbl[[#This Row],[Unknown]]=0),1,0)</f>
        <v>0</v>
      </c>
      <c r="AG1473" t="str">
        <f>INDEX(vp.tbl[[#Headers],[Unknown]:[Heavy_SW]],MATCH(1,vp.tbl[[#This Row],[Unknown]:[Heavy_SW]],0))</f>
        <v>Medium_LSB</v>
      </c>
      <c r="AH1473" t="e">
        <f>INDEX([1]!crudeBD.lkup[Number],MATCH(vp.tbl[[#This Row],[Crude_Breakdown]],[1]!crudeBD.lkup[Crude Breakdown],0))</f>
        <v>#REF!</v>
      </c>
      <c r="AI1473">
        <f>MONTH(vp.tbl[[#This Row],[SDate]])</f>
        <v>5</v>
      </c>
      <c r="AJ1473" s="5">
        <f>IFERROR(vp.tbl[[#This Row],[Sulf]]*vp.tbl[[#This Row],[Net Dens]],"")</f>
        <v>2990100.631296</v>
      </c>
      <c r="AK1473" s="5">
        <f>IFERROR(vp.tbl[[#This Row],[Dens]]*vp.tbl[[#This Row],[VolumeM3]],"")</f>
        <v>2450902.1568</v>
      </c>
      <c r="AL1473" s="5">
        <f>IFERROR(vp.tbl[[#This Row],[VP]]*vp.tbl[[#This Row],[VolumeM3]],"")</f>
        <v>204531.14079999999</v>
      </c>
      <c r="AM1473" s="4">
        <f>IFERROR((vp.tbl[[#This Row],[VP]]-INDEX(crudeBD.lkup.complete[Mean_VP],MATCH(vp.tbl[[#This Row],[Crude_Breakdown]],crudeBD.lkup.complete[Crude Breakdown],0)))^2,"")</f>
        <v>89.74900102483501</v>
      </c>
      <c r="AN1473" s="4">
        <f>IFERROR((vp.tbl[[#This Row],[Dens]]-INDEX(crudeBD.lkup.complete[Mean_Dens],MATCH(vp.tbl[[#This Row],[Crude_Breakdown]],crudeBD.lkup.complete[Crude Breakdown],0)))^2,"")</f>
        <v>3.6411402845737117</v>
      </c>
      <c r="AO1473" s="4">
        <f>IFERROR((vp.tbl[[#This Row],[Sulf]]-INDEX(crudeBD.lkup.complete[Mean_Sulf],MATCH(vp.tbl[[#This Row],[Crude_Breakdown]],crudeBD.lkup.complete[Crude Breakdown],0)))^2,"")</f>
        <v>5.5192039476475795E-2</v>
      </c>
      <c r="AP1473">
        <f>IF(AND(vp.tbl[[#This Row],[SDate]]&gt;=DATE(YEAR(vp.tbl[[#This Row],[SDate]]),5,1),vp.tbl[[#This Row],[SDate]]&lt;=DATE(YEAR(vp.tbl[[#This Row],[SDate]]),9,15)),1,0)</f>
        <v>1</v>
      </c>
      <c r="AQ1473" s="15">
        <f>IF(vp.tbl[[#This Row],[SDate]]&lt;DATE(2016,12,1),0,1)</f>
        <v>1</v>
      </c>
    </row>
    <row r="1474" spans="1:43" x14ac:dyDescent="0.25">
      <c r="A1474">
        <v>1473</v>
      </c>
      <c r="B1474" t="s">
        <v>68</v>
      </c>
      <c r="C1474" t="s">
        <v>68</v>
      </c>
      <c r="D1474" t="s">
        <v>316</v>
      </c>
      <c r="F1474" s="1">
        <v>42865</v>
      </c>
      <c r="G1474" s="2">
        <v>52.1</v>
      </c>
      <c r="H1474" s="2"/>
      <c r="I1474" s="2">
        <v>2.2400000000000002</v>
      </c>
      <c r="J1474" s="2"/>
      <c r="K1474" s="2"/>
      <c r="L1474" s="2"/>
      <c r="M1474" s="2">
        <v>868.5</v>
      </c>
      <c r="N1474" s="2">
        <f ca="1">INDEX(INDIRECT(_xlfn.CONCAT("weather.tbl[",N$1,"]")),MATCH(vp.tbl[[#This Row],[SDate]],weather.tbl[Date],0))</f>
        <v>8.9833333333333325</v>
      </c>
      <c r="O1474" s="2">
        <f ca="1">INDEX(INDIRECT(_xlfn.CONCAT("weather.tbl[",O$1,"]")),MATCH(vp.tbl[[#This Row],[SDate]],weather.tbl[Date],0))</f>
        <v>13.607142857142858</v>
      </c>
      <c r="P1474" s="2">
        <f ca="1">INDEX(INDIRECT(_xlfn.CONCAT("weather.tbl[",P$1,"]")),MATCH(vp.tbl[[#This Row],[SDate]],weather.tbl[Date],0))</f>
        <v>9.9</v>
      </c>
      <c r="Q1474" s="2">
        <f ca="1">INDEX(INDIRECT(_xlfn.CONCAT("weather.tbl[",Q$1,"]")),MATCH(vp.tbl[[#This Row],[SDate]],weather.tbl[Date],0))</f>
        <v>9.4</v>
      </c>
      <c r="R1474" s="2">
        <f ca="1">INDEX(INDIRECT(_xlfn.CONCAT("weather.tbl[",R$1,"]")),MATCH(vp.tbl[[#This Row],[SDate]],weather.tbl[Date],0))</f>
        <v>8.8000000000000007</v>
      </c>
      <c r="S1474" s="2">
        <f ca="1">INDEX(INDIRECT(_xlfn.CONCAT("weather.tbl[",S$1,"]")),MATCH(vp.tbl[[#This Row],[SDate]],weather.tbl[Date],0))</f>
        <v>9</v>
      </c>
      <c r="T1474" s="2">
        <f ca="1">INDEX(INDIRECT(_xlfn.CONCAT("weather.tbl[",T$1,"]")),MATCH(vp.tbl[[#This Row],[SDate]],weather.tbl[Date],0))</f>
        <v>9</v>
      </c>
      <c r="U1474" s="2">
        <f ca="1">INDEX(INDIRECT(_xlfn.CONCAT("weather.tbl[",U$1,"]")),MATCH(vp.tbl[[#This Row],[SDate]],weather.tbl[Date],0))</f>
        <v>7.8</v>
      </c>
      <c r="V1474" s="2">
        <v>1169.8589999999999</v>
      </c>
      <c r="W1474" t="s">
        <v>48</v>
      </c>
      <c r="X1474">
        <f>IF(OR(vp.tbl[[#This Row],[Sulf]]="",vp.tbl[[#This Row],[Dens]]=""),1,0)</f>
        <v>0</v>
      </c>
      <c r="Y1474">
        <f>IF(vp.tbl[[#This Row],[CrudeType]]="C5+",1,0)</f>
        <v>0</v>
      </c>
      <c r="Z1474">
        <f>IF(AND(vp.tbl[[#This Row],[CrudeType]]="Crude",vp.tbl[[#This Row],[Dens]]&lt;=825,vp.tbl[[#This Row],[Sulf]]&gt;0.5,vp.tbl[[#This Row],[Unknown]]=0),1,0)</f>
        <v>0</v>
      </c>
      <c r="AA1474">
        <f>IF(AND(vp.tbl[[#This Row],[CrudeType]]="Crude",vp.tbl[[#This Row],[Dens]]&lt;=825,vp.tbl[[#This Row],[Sulf]]&lt;=0.5,vp.tbl[[#This Row],[Unknown]]=0),1,0)</f>
        <v>0</v>
      </c>
      <c r="AB1474">
        <f>IF(AND(vp.tbl[[#This Row],[CrudeType]]="Crude",vp.tbl[[#This Row],[Dens]]&gt;825,vp.tbl[[#This Row],[Dens]]&lt;=870,vp.tbl[[#This Row],[Sulf]]&gt;0.5,vp.tbl[[#This Row],[Unknown]]=0),1,0)</f>
        <v>1</v>
      </c>
      <c r="AC1474">
        <f>IF(AND(vp.tbl[[#This Row],[CrudeType]]="Crude",vp.tbl[[#This Row],[Dens]]&gt;825,vp.tbl[[#This Row],[Dens]]&lt;=900,vp.tbl[[#This Row],[Sulf]]&lt;=0.5,vp.tbl[[#This Row],[Unknown]]=0),1,0)</f>
        <v>0</v>
      </c>
      <c r="AD1474">
        <f>IF(AND(vp.tbl[[#This Row],[CrudeType]]="Crude",vp.tbl[[#This Row],[Dens]]&gt;870,vp.tbl[[#This Row],[Dens]]&lt;=900,vp.tbl[[#This Row],[Sulf]]&gt;0.5,vp.tbl[[#This Row],[Unknown]]=0),1,0)</f>
        <v>0</v>
      </c>
      <c r="AE1474">
        <f>IF(AND(vp.tbl[[#This Row],[CrudeType]]="Crude",vp.tbl[[#This Row],[Dens]]&gt;900,vp.tbl[[#This Row],[Sulf]]&lt;=0.5,vp.tbl[[#This Row],[Unknown]]=0),1,0)</f>
        <v>0</v>
      </c>
      <c r="AF1474">
        <f>IF(AND(vp.tbl[[#This Row],[CrudeType]]="Crude",vp.tbl[[#This Row],[Dens]]&gt;900,vp.tbl[[#This Row],[Sulf]]&lt;=0.5,vp.tbl[[#This Row],[Unknown]]=0),1,0)</f>
        <v>0</v>
      </c>
      <c r="AG1474" t="str">
        <f>INDEX(vp.tbl[[#Headers],[Unknown]:[Heavy_SW]],MATCH(1,vp.tbl[[#This Row],[Unknown]:[Heavy_SW]],0))</f>
        <v>Medium_LSB</v>
      </c>
      <c r="AH1474" t="e">
        <f>INDEX([1]!crudeBD.lkup[Number],MATCH(vp.tbl[[#This Row],[Crude_Breakdown]],[1]!crudeBD.lkup[Crude Breakdown],0))</f>
        <v>#REF!</v>
      </c>
      <c r="AI1474">
        <f>MONTH(vp.tbl[[#This Row],[SDate]])</f>
        <v>5</v>
      </c>
      <c r="AJ1474" s="5">
        <f>IFERROR(vp.tbl[[#This Row],[Sulf]]*vp.tbl[[#This Row],[Net Dens]],"")</f>
        <v>2275890.4929599999</v>
      </c>
      <c r="AK1474" s="5">
        <f>IFERROR(vp.tbl[[#This Row],[Dens]]*vp.tbl[[#This Row],[VolumeM3]],"")</f>
        <v>1016022.5414999999</v>
      </c>
      <c r="AL1474" s="5">
        <f>IFERROR(vp.tbl[[#This Row],[VP]]*vp.tbl[[#This Row],[VolumeM3]],"")</f>
        <v>60949.653899999998</v>
      </c>
      <c r="AM1474" s="4">
        <f>IFERROR((vp.tbl[[#This Row],[VP]]-INDEX(crudeBD.lkup.complete[Mean_VP],MATCH(vp.tbl[[#This Row],[Crude_Breakdown]],crudeBD.lkup.complete[Crude Breakdown],0)))^2,"")</f>
        <v>788.12673267040327</v>
      </c>
      <c r="AN1474" s="4">
        <f>IFERROR((vp.tbl[[#This Row],[Dens]]-INDEX(crudeBD.lkup.complete[Mean_Dens],MATCH(vp.tbl[[#This Row],[Crude_Breakdown]],crudeBD.lkup.complete[Crude Breakdown],0)))^2,"")</f>
        <v>538.61948965170404</v>
      </c>
      <c r="AO1474" s="4">
        <f>IFERROR((vp.tbl[[#This Row],[Sulf]]-INDEX(crudeBD.lkup.complete[Mean_Sulf],MATCH(vp.tbl[[#This Row],[Crude_Breakdown]],crudeBD.lkup.complete[Crude Breakdown],0)))^2,"")</f>
        <v>0.61633512352710595</v>
      </c>
      <c r="AP1474">
        <f>IF(AND(vp.tbl[[#This Row],[SDate]]&gt;=DATE(YEAR(vp.tbl[[#This Row],[SDate]]),5,1),vp.tbl[[#This Row],[SDate]]&lt;=DATE(YEAR(vp.tbl[[#This Row],[SDate]]),9,15)),1,0)</f>
        <v>1</v>
      </c>
      <c r="AQ1474" s="15">
        <f>IF(vp.tbl[[#This Row],[SDate]]&lt;DATE(2016,12,1),0,1)</f>
        <v>1</v>
      </c>
    </row>
    <row r="1475" spans="1:43" x14ac:dyDescent="0.25">
      <c r="A1475">
        <v>1474</v>
      </c>
      <c r="B1475" t="s">
        <v>60</v>
      </c>
      <c r="C1475" t="s">
        <v>60</v>
      </c>
      <c r="D1475" t="s">
        <v>61</v>
      </c>
      <c r="E1475" t="s">
        <v>289</v>
      </c>
      <c r="F1475" s="1">
        <v>42870</v>
      </c>
      <c r="G1475" s="2">
        <v>92.9</v>
      </c>
      <c r="H1475" s="2"/>
      <c r="I1475" s="2">
        <v>1.0900000000000001</v>
      </c>
      <c r="J1475" s="2"/>
      <c r="K1475" s="2"/>
      <c r="L1475" s="2"/>
      <c r="M1475" s="2">
        <v>824.2</v>
      </c>
      <c r="N1475" s="2">
        <f ca="1">INDEX(INDIRECT(_xlfn.CONCAT("weather.tbl[",N$1,"]")),MATCH(vp.tbl[[#This Row],[SDate]],weather.tbl[Date],0))</f>
        <v>11.183333333333332</v>
      </c>
      <c r="O1475" s="2">
        <f ca="1">INDEX(INDIRECT(_xlfn.CONCAT("weather.tbl[",O$1,"]")),MATCH(vp.tbl[[#This Row],[SDate]],weather.tbl[Date],0))</f>
        <v>11.961904761904762</v>
      </c>
      <c r="P1475" s="2">
        <f ca="1">INDEX(INDIRECT(_xlfn.CONCAT("weather.tbl[",P$1,"]")),MATCH(vp.tbl[[#This Row],[SDate]],weather.tbl[Date],0))</f>
        <v>11.8</v>
      </c>
      <c r="Q1475" s="2">
        <f ca="1">INDEX(INDIRECT(_xlfn.CONCAT("weather.tbl[",Q$1,"]")),MATCH(vp.tbl[[#This Row],[SDate]],weather.tbl[Date],0))</f>
        <v>10.4</v>
      </c>
      <c r="R1475" s="2">
        <f ca="1">INDEX(INDIRECT(_xlfn.CONCAT("weather.tbl[",R$1,"]")),MATCH(vp.tbl[[#This Row],[SDate]],weather.tbl[Date],0))</f>
        <v>11</v>
      </c>
      <c r="S1475" s="2">
        <f ca="1">INDEX(INDIRECT(_xlfn.CONCAT("weather.tbl[",S$1,"]")),MATCH(vp.tbl[[#This Row],[SDate]],weather.tbl[Date],0))</f>
        <v>10.4</v>
      </c>
      <c r="T1475" s="2">
        <f ca="1">INDEX(INDIRECT(_xlfn.CONCAT("weather.tbl[",T$1,"]")),MATCH(vp.tbl[[#This Row],[SDate]],weather.tbl[Date],0))</f>
        <v>12</v>
      </c>
      <c r="U1475" s="2">
        <f ca="1">INDEX(INDIRECT(_xlfn.CONCAT("weather.tbl[",U$1,"]")),MATCH(vp.tbl[[#This Row],[SDate]],weather.tbl[Date],0))</f>
        <v>11.5</v>
      </c>
      <c r="V1475" s="2">
        <v>118292.008</v>
      </c>
      <c r="W1475" t="s">
        <v>48</v>
      </c>
      <c r="X1475">
        <f>IF(OR(vp.tbl[[#This Row],[Sulf]]="",vp.tbl[[#This Row],[Dens]]=""),1,0)</f>
        <v>0</v>
      </c>
      <c r="Y1475">
        <f>IF(vp.tbl[[#This Row],[CrudeType]]="C5+",1,0)</f>
        <v>0</v>
      </c>
      <c r="Z1475">
        <f>IF(AND(vp.tbl[[#This Row],[CrudeType]]="Crude",vp.tbl[[#This Row],[Dens]]&lt;=825,vp.tbl[[#This Row],[Sulf]]&gt;0.5,vp.tbl[[#This Row],[Unknown]]=0),1,0)</f>
        <v>1</v>
      </c>
      <c r="AA1475">
        <f>IF(AND(vp.tbl[[#This Row],[CrudeType]]="Crude",vp.tbl[[#This Row],[Dens]]&lt;=825,vp.tbl[[#This Row],[Sulf]]&lt;=0.5,vp.tbl[[#This Row],[Unknown]]=0),1,0)</f>
        <v>0</v>
      </c>
      <c r="AB1475">
        <f>IF(AND(vp.tbl[[#This Row],[CrudeType]]="Crude",vp.tbl[[#This Row],[Dens]]&gt;825,vp.tbl[[#This Row],[Dens]]&lt;=870,vp.tbl[[#This Row],[Sulf]]&gt;0.5,vp.tbl[[#This Row],[Unknown]]=0),1,0)</f>
        <v>0</v>
      </c>
      <c r="AC1475">
        <f>IF(AND(vp.tbl[[#This Row],[CrudeType]]="Crude",vp.tbl[[#This Row],[Dens]]&gt;825,vp.tbl[[#This Row],[Dens]]&lt;=900,vp.tbl[[#This Row],[Sulf]]&lt;=0.5,vp.tbl[[#This Row],[Unknown]]=0),1,0)</f>
        <v>0</v>
      </c>
      <c r="AD1475">
        <f>IF(AND(vp.tbl[[#This Row],[CrudeType]]="Crude",vp.tbl[[#This Row],[Dens]]&gt;870,vp.tbl[[#This Row],[Dens]]&lt;=900,vp.tbl[[#This Row],[Sulf]]&gt;0.5,vp.tbl[[#This Row],[Unknown]]=0),1,0)</f>
        <v>0</v>
      </c>
      <c r="AE1475">
        <f>IF(AND(vp.tbl[[#This Row],[CrudeType]]="Crude",vp.tbl[[#This Row],[Dens]]&gt;900,vp.tbl[[#This Row],[Sulf]]&lt;=0.5,vp.tbl[[#This Row],[Unknown]]=0),1,0)</f>
        <v>0</v>
      </c>
      <c r="AF1475">
        <f>IF(AND(vp.tbl[[#This Row],[CrudeType]]="Crude",vp.tbl[[#This Row],[Dens]]&gt;900,vp.tbl[[#This Row],[Sulf]]&lt;=0.5,vp.tbl[[#This Row],[Unknown]]=0),1,0)</f>
        <v>0</v>
      </c>
      <c r="AG1475" t="str">
        <f>INDEX(vp.tbl[[#Headers],[Unknown]:[Heavy_SW]],MATCH(1,vp.tbl[[#This Row],[Unknown]:[Heavy_SW]],0))</f>
        <v>Light_LSB</v>
      </c>
      <c r="AH1475" t="e">
        <f>INDEX([1]!crudeBD.lkup[Number],MATCH(vp.tbl[[#This Row],[Crude_Breakdown]],[1]!crudeBD.lkup[Crude Breakdown],0))</f>
        <v>#REF!</v>
      </c>
      <c r="AI1475">
        <f>MONTH(vp.tbl[[#This Row],[SDate]])</f>
        <v>5</v>
      </c>
      <c r="AJ1475" s="5">
        <f>IFERROR(vp.tbl[[#This Row],[Sulf]]*vp.tbl[[#This Row],[Net Dens]],"")</f>
        <v>106270937.56302401</v>
      </c>
      <c r="AK1475" s="5">
        <f>IFERROR(vp.tbl[[#This Row],[Dens]]*vp.tbl[[#This Row],[VolumeM3]],"")</f>
        <v>97496272.993600011</v>
      </c>
      <c r="AL1475" s="5">
        <f>IFERROR(vp.tbl[[#This Row],[VP]]*vp.tbl[[#This Row],[VolumeM3]],"")</f>
        <v>10989327.543200001</v>
      </c>
      <c r="AM1475" s="4">
        <f>IFERROR((vp.tbl[[#This Row],[VP]]-INDEX(crudeBD.lkup.complete[Mean_VP],MATCH(vp.tbl[[#This Row],[Crude_Breakdown]],crudeBD.lkup.complete[Crude Breakdown],0)))^2,"")</f>
        <v>1.832813518971129</v>
      </c>
      <c r="AN1475" s="4">
        <f>IFERROR((vp.tbl[[#This Row],[Dens]]-INDEX(crudeBD.lkup.complete[Mean_Dens],MATCH(vp.tbl[[#This Row],[Crude_Breakdown]],crudeBD.lkup.complete[Crude Breakdown],0)))^2,"")</f>
        <v>32.299105967104147</v>
      </c>
      <c r="AO1475" s="4">
        <f>IFERROR((vp.tbl[[#This Row],[Sulf]]-INDEX(crudeBD.lkup.complete[Mean_Sulf],MATCH(vp.tbl[[#This Row],[Crude_Breakdown]],crudeBD.lkup.complete[Crude Breakdown],0)))^2,"")</f>
        <v>2.7898630590712313E-2</v>
      </c>
      <c r="AP1475">
        <f>IF(AND(vp.tbl[[#This Row],[SDate]]&gt;=DATE(YEAR(vp.tbl[[#This Row],[SDate]]),5,1),vp.tbl[[#This Row],[SDate]]&lt;=DATE(YEAR(vp.tbl[[#This Row],[SDate]]),9,15)),1,0)</f>
        <v>1</v>
      </c>
      <c r="AQ1475" s="15">
        <f>IF(vp.tbl[[#This Row],[SDate]]&lt;DATE(2016,12,1),0,1)</f>
        <v>1</v>
      </c>
    </row>
    <row r="1476" spans="1:43" x14ac:dyDescent="0.25">
      <c r="A1476">
        <v>1475</v>
      </c>
      <c r="B1476" t="s">
        <v>60</v>
      </c>
      <c r="C1476" t="s">
        <v>60</v>
      </c>
      <c r="D1476" t="s">
        <v>61</v>
      </c>
      <c r="E1476" t="s">
        <v>290</v>
      </c>
      <c r="F1476" s="1">
        <v>42870</v>
      </c>
      <c r="G1476" s="2">
        <v>77</v>
      </c>
      <c r="H1476" s="2"/>
      <c r="I1476" s="2">
        <v>1.0900000000000001</v>
      </c>
      <c r="J1476" s="2"/>
      <c r="K1476" s="2"/>
      <c r="L1476" s="2"/>
      <c r="M1476" s="2">
        <v>824.2</v>
      </c>
      <c r="N1476" s="2">
        <f ca="1">INDEX(INDIRECT(_xlfn.CONCAT("weather.tbl[",N$1,"]")),MATCH(vp.tbl[[#This Row],[SDate]],weather.tbl[Date],0))</f>
        <v>11.183333333333332</v>
      </c>
      <c r="O1476" s="2">
        <f ca="1">INDEX(INDIRECT(_xlfn.CONCAT("weather.tbl[",O$1,"]")),MATCH(vp.tbl[[#This Row],[SDate]],weather.tbl[Date],0))</f>
        <v>11.961904761904762</v>
      </c>
      <c r="P1476" s="2">
        <f ca="1">INDEX(INDIRECT(_xlfn.CONCAT("weather.tbl[",P$1,"]")),MATCH(vp.tbl[[#This Row],[SDate]],weather.tbl[Date],0))</f>
        <v>11.8</v>
      </c>
      <c r="Q1476" s="2">
        <f ca="1">INDEX(INDIRECT(_xlfn.CONCAT("weather.tbl[",Q$1,"]")),MATCH(vp.tbl[[#This Row],[SDate]],weather.tbl[Date],0))</f>
        <v>10.4</v>
      </c>
      <c r="R1476" s="2">
        <f ca="1">INDEX(INDIRECT(_xlfn.CONCAT("weather.tbl[",R$1,"]")),MATCH(vp.tbl[[#This Row],[SDate]],weather.tbl[Date],0))</f>
        <v>11</v>
      </c>
      <c r="S1476" s="2">
        <f ca="1">INDEX(INDIRECT(_xlfn.CONCAT("weather.tbl[",S$1,"]")),MATCH(vp.tbl[[#This Row],[SDate]],weather.tbl[Date],0))</f>
        <v>10.4</v>
      </c>
      <c r="T1476" s="2">
        <f ca="1">INDEX(INDIRECT(_xlfn.CONCAT("weather.tbl[",T$1,"]")),MATCH(vp.tbl[[#This Row],[SDate]],weather.tbl[Date],0))</f>
        <v>12</v>
      </c>
      <c r="U1476" s="2">
        <f ca="1">INDEX(INDIRECT(_xlfn.CONCAT("weather.tbl[",U$1,"]")),MATCH(vp.tbl[[#This Row],[SDate]],weather.tbl[Date],0))</f>
        <v>11.5</v>
      </c>
      <c r="V1476" s="2">
        <v>118292.008</v>
      </c>
      <c r="W1476" t="s">
        <v>48</v>
      </c>
      <c r="X1476">
        <f>IF(OR(vp.tbl[[#This Row],[Sulf]]="",vp.tbl[[#This Row],[Dens]]=""),1,0)</f>
        <v>0</v>
      </c>
      <c r="Y1476">
        <f>IF(vp.tbl[[#This Row],[CrudeType]]="C5+",1,0)</f>
        <v>0</v>
      </c>
      <c r="Z1476">
        <f>IF(AND(vp.tbl[[#This Row],[CrudeType]]="Crude",vp.tbl[[#This Row],[Dens]]&lt;=825,vp.tbl[[#This Row],[Sulf]]&gt;0.5,vp.tbl[[#This Row],[Unknown]]=0),1,0)</f>
        <v>1</v>
      </c>
      <c r="AA1476">
        <f>IF(AND(vp.tbl[[#This Row],[CrudeType]]="Crude",vp.tbl[[#This Row],[Dens]]&lt;=825,vp.tbl[[#This Row],[Sulf]]&lt;=0.5,vp.tbl[[#This Row],[Unknown]]=0),1,0)</f>
        <v>0</v>
      </c>
      <c r="AB1476">
        <f>IF(AND(vp.tbl[[#This Row],[CrudeType]]="Crude",vp.tbl[[#This Row],[Dens]]&gt;825,vp.tbl[[#This Row],[Dens]]&lt;=870,vp.tbl[[#This Row],[Sulf]]&gt;0.5,vp.tbl[[#This Row],[Unknown]]=0),1,0)</f>
        <v>0</v>
      </c>
      <c r="AC1476">
        <f>IF(AND(vp.tbl[[#This Row],[CrudeType]]="Crude",vp.tbl[[#This Row],[Dens]]&gt;825,vp.tbl[[#This Row],[Dens]]&lt;=900,vp.tbl[[#This Row],[Sulf]]&lt;=0.5,vp.tbl[[#This Row],[Unknown]]=0),1,0)</f>
        <v>0</v>
      </c>
      <c r="AD1476">
        <f>IF(AND(vp.tbl[[#This Row],[CrudeType]]="Crude",vp.tbl[[#This Row],[Dens]]&gt;870,vp.tbl[[#This Row],[Dens]]&lt;=900,vp.tbl[[#This Row],[Sulf]]&gt;0.5,vp.tbl[[#This Row],[Unknown]]=0),1,0)</f>
        <v>0</v>
      </c>
      <c r="AE1476">
        <f>IF(AND(vp.tbl[[#This Row],[CrudeType]]="Crude",vp.tbl[[#This Row],[Dens]]&gt;900,vp.tbl[[#This Row],[Sulf]]&lt;=0.5,vp.tbl[[#This Row],[Unknown]]=0),1,0)</f>
        <v>0</v>
      </c>
      <c r="AF1476">
        <f>IF(AND(vp.tbl[[#This Row],[CrudeType]]="Crude",vp.tbl[[#This Row],[Dens]]&gt;900,vp.tbl[[#This Row],[Sulf]]&lt;=0.5,vp.tbl[[#This Row],[Unknown]]=0),1,0)</f>
        <v>0</v>
      </c>
      <c r="AG1476" t="str">
        <f>INDEX(vp.tbl[[#Headers],[Unknown]:[Heavy_SW]],MATCH(1,vp.tbl[[#This Row],[Unknown]:[Heavy_SW]],0))</f>
        <v>Light_LSB</v>
      </c>
      <c r="AH1476" t="e">
        <f>INDEX([1]!crudeBD.lkup[Number],MATCH(vp.tbl[[#This Row],[Crude_Breakdown]],[1]!crudeBD.lkup[Crude Breakdown],0))</f>
        <v>#REF!</v>
      </c>
      <c r="AI1476">
        <f>MONTH(vp.tbl[[#This Row],[SDate]])</f>
        <v>5</v>
      </c>
      <c r="AJ1476" s="5">
        <f>IFERROR(vp.tbl[[#This Row],[Sulf]]*vp.tbl[[#This Row],[Net Dens]],"")</f>
        <v>106270937.56302401</v>
      </c>
      <c r="AK1476" s="5">
        <f>IFERROR(vp.tbl[[#This Row],[Dens]]*vp.tbl[[#This Row],[VolumeM3]],"")</f>
        <v>97496272.993600011</v>
      </c>
      <c r="AL1476" s="5">
        <f>IFERROR(vp.tbl[[#This Row],[VP]]*vp.tbl[[#This Row],[VolumeM3]],"")</f>
        <v>9108484.6160000004</v>
      </c>
      <c r="AM1476" s="4">
        <f>IFERROR((vp.tbl[[#This Row],[VP]]-INDEX(crudeBD.lkup.complete[Mean_VP],MATCH(vp.tbl[[#This Row],[Crude_Breakdown]],crudeBD.lkup.complete[Crude Breakdown],0)))^2,"")</f>
        <v>211.59151454989993</v>
      </c>
      <c r="AN1476" s="4">
        <f>IFERROR((vp.tbl[[#This Row],[Dens]]-INDEX(crudeBD.lkup.complete[Mean_Dens],MATCH(vp.tbl[[#This Row],[Crude_Breakdown]],crudeBD.lkup.complete[Crude Breakdown],0)))^2,"")</f>
        <v>32.299105967104147</v>
      </c>
      <c r="AO1476" s="4">
        <f>IFERROR((vp.tbl[[#This Row],[Sulf]]-INDEX(crudeBD.lkup.complete[Mean_Sulf],MATCH(vp.tbl[[#This Row],[Crude_Breakdown]],crudeBD.lkup.complete[Crude Breakdown],0)))^2,"")</f>
        <v>2.7898630590712313E-2</v>
      </c>
      <c r="AP1476">
        <f>IF(AND(vp.tbl[[#This Row],[SDate]]&gt;=DATE(YEAR(vp.tbl[[#This Row],[SDate]]),5,1),vp.tbl[[#This Row],[SDate]]&lt;=DATE(YEAR(vp.tbl[[#This Row],[SDate]]),9,15)),1,0)</f>
        <v>1</v>
      </c>
      <c r="AQ1476" s="15">
        <f>IF(vp.tbl[[#This Row],[SDate]]&lt;DATE(2016,12,1),0,1)</f>
        <v>1</v>
      </c>
    </row>
    <row r="1477" spans="1:43" x14ac:dyDescent="0.25">
      <c r="A1477">
        <v>1476</v>
      </c>
      <c r="B1477" t="s">
        <v>51</v>
      </c>
      <c r="C1477" t="s">
        <v>51</v>
      </c>
      <c r="D1477" t="s">
        <v>95</v>
      </c>
      <c r="F1477" s="1">
        <v>42870</v>
      </c>
      <c r="G1477" s="2">
        <v>80.7</v>
      </c>
      <c r="H1477" s="2"/>
      <c r="I1477" s="2">
        <v>1.19</v>
      </c>
      <c r="J1477" s="2"/>
      <c r="K1477" s="2"/>
      <c r="L1477" s="2"/>
      <c r="M1477" s="2">
        <v>848.6</v>
      </c>
      <c r="N1477" s="2">
        <f ca="1">INDEX(INDIRECT(_xlfn.CONCAT("weather.tbl[",N$1,"]")),MATCH(vp.tbl[[#This Row],[SDate]],weather.tbl[Date],0))</f>
        <v>11.183333333333332</v>
      </c>
      <c r="O1477" s="2">
        <f ca="1">INDEX(INDIRECT(_xlfn.CONCAT("weather.tbl[",O$1,"]")),MATCH(vp.tbl[[#This Row],[SDate]],weather.tbl[Date],0))</f>
        <v>11.961904761904762</v>
      </c>
      <c r="P1477" s="2">
        <f ca="1">INDEX(INDIRECT(_xlfn.CONCAT("weather.tbl[",P$1,"]")),MATCH(vp.tbl[[#This Row],[SDate]],weather.tbl[Date],0))</f>
        <v>11.8</v>
      </c>
      <c r="Q1477" s="2">
        <f ca="1">INDEX(INDIRECT(_xlfn.CONCAT("weather.tbl[",Q$1,"]")),MATCH(vp.tbl[[#This Row],[SDate]],weather.tbl[Date],0))</f>
        <v>10.4</v>
      </c>
      <c r="R1477" s="2">
        <f ca="1">INDEX(INDIRECT(_xlfn.CONCAT("weather.tbl[",R$1,"]")),MATCH(vp.tbl[[#This Row],[SDate]],weather.tbl[Date],0))</f>
        <v>11</v>
      </c>
      <c r="S1477" s="2">
        <f ca="1">INDEX(INDIRECT(_xlfn.CONCAT("weather.tbl[",S$1,"]")),MATCH(vp.tbl[[#This Row],[SDate]],weather.tbl[Date],0))</f>
        <v>10.4</v>
      </c>
      <c r="T1477" s="2">
        <f ca="1">INDEX(INDIRECT(_xlfn.CONCAT("weather.tbl[",T$1,"]")),MATCH(vp.tbl[[#This Row],[SDate]],weather.tbl[Date],0))</f>
        <v>12</v>
      </c>
      <c r="U1477" s="2">
        <f ca="1">INDEX(INDIRECT(_xlfn.CONCAT("weather.tbl[",U$1,"]")),MATCH(vp.tbl[[#This Row],[SDate]],weather.tbl[Date],0))</f>
        <v>11.5</v>
      </c>
      <c r="V1477" s="2">
        <v>5507.5879999999997</v>
      </c>
      <c r="W1477" t="s">
        <v>48</v>
      </c>
      <c r="X1477">
        <f>IF(OR(vp.tbl[[#This Row],[Sulf]]="",vp.tbl[[#This Row],[Dens]]=""),1,0)</f>
        <v>0</v>
      </c>
      <c r="Y1477">
        <f>IF(vp.tbl[[#This Row],[CrudeType]]="C5+",1,0)</f>
        <v>0</v>
      </c>
      <c r="Z1477">
        <f>IF(AND(vp.tbl[[#This Row],[CrudeType]]="Crude",vp.tbl[[#This Row],[Dens]]&lt;=825,vp.tbl[[#This Row],[Sulf]]&gt;0.5,vp.tbl[[#This Row],[Unknown]]=0),1,0)</f>
        <v>0</v>
      </c>
      <c r="AA1477">
        <f>IF(AND(vp.tbl[[#This Row],[CrudeType]]="Crude",vp.tbl[[#This Row],[Dens]]&lt;=825,vp.tbl[[#This Row],[Sulf]]&lt;=0.5,vp.tbl[[#This Row],[Unknown]]=0),1,0)</f>
        <v>0</v>
      </c>
      <c r="AB1477">
        <f>IF(AND(vp.tbl[[#This Row],[CrudeType]]="Crude",vp.tbl[[#This Row],[Dens]]&gt;825,vp.tbl[[#This Row],[Dens]]&lt;=870,vp.tbl[[#This Row],[Sulf]]&gt;0.5,vp.tbl[[#This Row],[Unknown]]=0),1,0)</f>
        <v>1</v>
      </c>
      <c r="AC1477">
        <f>IF(AND(vp.tbl[[#This Row],[CrudeType]]="Crude",vp.tbl[[#This Row],[Dens]]&gt;825,vp.tbl[[#This Row],[Dens]]&lt;=900,vp.tbl[[#This Row],[Sulf]]&lt;=0.5,vp.tbl[[#This Row],[Unknown]]=0),1,0)</f>
        <v>0</v>
      </c>
      <c r="AD1477">
        <f>IF(AND(vp.tbl[[#This Row],[CrudeType]]="Crude",vp.tbl[[#This Row],[Dens]]&gt;870,vp.tbl[[#This Row],[Dens]]&lt;=900,vp.tbl[[#This Row],[Sulf]]&gt;0.5,vp.tbl[[#This Row],[Unknown]]=0),1,0)</f>
        <v>0</v>
      </c>
      <c r="AE1477">
        <f>IF(AND(vp.tbl[[#This Row],[CrudeType]]="Crude",vp.tbl[[#This Row],[Dens]]&gt;900,vp.tbl[[#This Row],[Sulf]]&lt;=0.5,vp.tbl[[#This Row],[Unknown]]=0),1,0)</f>
        <v>0</v>
      </c>
      <c r="AF1477">
        <f>IF(AND(vp.tbl[[#This Row],[CrudeType]]="Crude",vp.tbl[[#This Row],[Dens]]&gt;900,vp.tbl[[#This Row],[Sulf]]&lt;=0.5,vp.tbl[[#This Row],[Unknown]]=0),1,0)</f>
        <v>0</v>
      </c>
      <c r="AG1477" t="str">
        <f>INDEX(vp.tbl[[#Headers],[Unknown]:[Heavy_SW]],MATCH(1,vp.tbl[[#This Row],[Unknown]:[Heavy_SW]],0))</f>
        <v>Medium_LSB</v>
      </c>
      <c r="AH1477" t="e">
        <f>INDEX([1]!crudeBD.lkup[Number],MATCH(vp.tbl[[#This Row],[Crude_Breakdown]],[1]!crudeBD.lkup[Crude Breakdown],0))</f>
        <v>#REF!</v>
      </c>
      <c r="AI1477">
        <f>MONTH(vp.tbl[[#This Row],[SDate]])</f>
        <v>5</v>
      </c>
      <c r="AJ1477" s="5">
        <f>IFERROR(vp.tbl[[#This Row],[Sulf]]*vp.tbl[[#This Row],[Net Dens]],"")</f>
        <v>5561749.6203919994</v>
      </c>
      <c r="AK1477" s="5">
        <f>IFERROR(vp.tbl[[#This Row],[Dens]]*vp.tbl[[#This Row],[VolumeM3]],"")</f>
        <v>4673739.1767999995</v>
      </c>
      <c r="AL1477" s="5">
        <f>IFERROR(vp.tbl[[#This Row],[VP]]*vp.tbl[[#This Row],[VolumeM3]],"")</f>
        <v>444462.35159999999</v>
      </c>
      <c r="AM1477" s="4">
        <f>IFERROR((vp.tbl[[#This Row],[VP]]-INDEX(crudeBD.lkup.complete[Mean_VP],MATCH(vp.tbl[[#This Row],[Crude_Breakdown]],crudeBD.lkup.complete[Crude Breakdown],0)))^2,"")</f>
        <v>0.27710229065859016</v>
      </c>
      <c r="AN1477" s="4">
        <f>IFERROR((vp.tbl[[#This Row],[Dens]]-INDEX(crudeBD.lkup.complete[Mean_Dens],MATCH(vp.tbl[[#This Row],[Crude_Breakdown]],crudeBD.lkup.complete[Crude Breakdown],0)))^2,"")</f>
        <v>10.944036487108091</v>
      </c>
      <c r="AO1477" s="4">
        <f>IFERROR((vp.tbl[[#This Row],[Sulf]]-INDEX(crudeBD.lkup.complete[Mean_Sulf],MATCH(vp.tbl[[#This Row],[Crude_Breakdown]],crudeBD.lkup.complete[Crude Breakdown],0)))^2,"")</f>
        <v>7.0187831122045519E-2</v>
      </c>
      <c r="AP1477">
        <f>IF(AND(vp.tbl[[#This Row],[SDate]]&gt;=DATE(YEAR(vp.tbl[[#This Row],[SDate]]),5,1),vp.tbl[[#This Row],[SDate]]&lt;=DATE(YEAR(vp.tbl[[#This Row],[SDate]]),9,15)),1,0)</f>
        <v>1</v>
      </c>
      <c r="AQ1477" s="15">
        <f>IF(vp.tbl[[#This Row],[SDate]]&lt;DATE(2016,12,1),0,1)</f>
        <v>1</v>
      </c>
    </row>
    <row r="1478" spans="1:43" x14ac:dyDescent="0.25">
      <c r="A1478">
        <v>1477</v>
      </c>
      <c r="B1478" t="s">
        <v>49</v>
      </c>
      <c r="C1478" t="s">
        <v>49</v>
      </c>
      <c r="D1478" t="s">
        <v>90</v>
      </c>
      <c r="F1478" s="1">
        <v>42870</v>
      </c>
      <c r="G1478" s="2">
        <v>67.3</v>
      </c>
      <c r="H1478" s="2"/>
      <c r="I1478" s="2">
        <v>1.28</v>
      </c>
      <c r="J1478" s="2"/>
      <c r="K1478" s="2"/>
      <c r="L1478" s="2"/>
      <c r="M1478" s="2">
        <v>847.4</v>
      </c>
      <c r="N1478" s="2">
        <f ca="1">INDEX(INDIRECT(_xlfn.CONCAT("weather.tbl[",N$1,"]")),MATCH(vp.tbl[[#This Row],[SDate]],weather.tbl[Date],0))</f>
        <v>11.183333333333332</v>
      </c>
      <c r="O1478" s="2">
        <f ca="1">INDEX(INDIRECT(_xlfn.CONCAT("weather.tbl[",O$1,"]")),MATCH(vp.tbl[[#This Row],[SDate]],weather.tbl[Date],0))</f>
        <v>11.961904761904762</v>
      </c>
      <c r="P1478" s="2">
        <f ca="1">INDEX(INDIRECT(_xlfn.CONCAT("weather.tbl[",P$1,"]")),MATCH(vp.tbl[[#This Row],[SDate]],weather.tbl[Date],0))</f>
        <v>11.8</v>
      </c>
      <c r="Q1478" s="2">
        <f ca="1">INDEX(INDIRECT(_xlfn.CONCAT("weather.tbl[",Q$1,"]")),MATCH(vp.tbl[[#This Row],[SDate]],weather.tbl[Date],0))</f>
        <v>10.4</v>
      </c>
      <c r="R1478" s="2">
        <f ca="1">INDEX(INDIRECT(_xlfn.CONCAT("weather.tbl[",R$1,"]")),MATCH(vp.tbl[[#This Row],[SDate]],weather.tbl[Date],0))</f>
        <v>11</v>
      </c>
      <c r="S1478" s="2">
        <f ca="1">INDEX(INDIRECT(_xlfn.CONCAT("weather.tbl[",S$1,"]")),MATCH(vp.tbl[[#This Row],[SDate]],weather.tbl[Date],0))</f>
        <v>10.4</v>
      </c>
      <c r="T1478" s="2">
        <f ca="1">INDEX(INDIRECT(_xlfn.CONCAT("weather.tbl[",T$1,"]")),MATCH(vp.tbl[[#This Row],[SDate]],weather.tbl[Date],0))</f>
        <v>12</v>
      </c>
      <c r="U1478" s="2">
        <f ca="1">INDEX(INDIRECT(_xlfn.CONCAT("weather.tbl[",U$1,"]")),MATCH(vp.tbl[[#This Row],[SDate]],weather.tbl[Date],0))</f>
        <v>11.5</v>
      </c>
      <c r="V1478" s="2">
        <v>4681.2809999999999</v>
      </c>
      <c r="W1478" t="s">
        <v>48</v>
      </c>
      <c r="X1478">
        <f>IF(OR(vp.tbl[[#This Row],[Sulf]]="",vp.tbl[[#This Row],[Dens]]=""),1,0)</f>
        <v>0</v>
      </c>
      <c r="Y1478">
        <f>IF(vp.tbl[[#This Row],[CrudeType]]="C5+",1,0)</f>
        <v>0</v>
      </c>
      <c r="Z1478">
        <f>IF(AND(vp.tbl[[#This Row],[CrudeType]]="Crude",vp.tbl[[#This Row],[Dens]]&lt;=825,vp.tbl[[#This Row],[Sulf]]&gt;0.5,vp.tbl[[#This Row],[Unknown]]=0),1,0)</f>
        <v>0</v>
      </c>
      <c r="AA1478">
        <f>IF(AND(vp.tbl[[#This Row],[CrudeType]]="Crude",vp.tbl[[#This Row],[Dens]]&lt;=825,vp.tbl[[#This Row],[Sulf]]&lt;=0.5,vp.tbl[[#This Row],[Unknown]]=0),1,0)</f>
        <v>0</v>
      </c>
      <c r="AB1478">
        <f>IF(AND(vp.tbl[[#This Row],[CrudeType]]="Crude",vp.tbl[[#This Row],[Dens]]&gt;825,vp.tbl[[#This Row],[Dens]]&lt;=870,vp.tbl[[#This Row],[Sulf]]&gt;0.5,vp.tbl[[#This Row],[Unknown]]=0),1,0)</f>
        <v>1</v>
      </c>
      <c r="AC1478">
        <f>IF(AND(vp.tbl[[#This Row],[CrudeType]]="Crude",vp.tbl[[#This Row],[Dens]]&gt;825,vp.tbl[[#This Row],[Dens]]&lt;=900,vp.tbl[[#This Row],[Sulf]]&lt;=0.5,vp.tbl[[#This Row],[Unknown]]=0),1,0)</f>
        <v>0</v>
      </c>
      <c r="AD1478">
        <f>IF(AND(vp.tbl[[#This Row],[CrudeType]]="Crude",vp.tbl[[#This Row],[Dens]]&gt;870,vp.tbl[[#This Row],[Dens]]&lt;=900,vp.tbl[[#This Row],[Sulf]]&gt;0.5,vp.tbl[[#This Row],[Unknown]]=0),1,0)</f>
        <v>0</v>
      </c>
      <c r="AE1478">
        <f>IF(AND(vp.tbl[[#This Row],[CrudeType]]="Crude",vp.tbl[[#This Row],[Dens]]&gt;900,vp.tbl[[#This Row],[Sulf]]&lt;=0.5,vp.tbl[[#This Row],[Unknown]]=0),1,0)</f>
        <v>0</v>
      </c>
      <c r="AF1478">
        <f>IF(AND(vp.tbl[[#This Row],[CrudeType]]="Crude",vp.tbl[[#This Row],[Dens]]&gt;900,vp.tbl[[#This Row],[Sulf]]&lt;=0.5,vp.tbl[[#This Row],[Unknown]]=0),1,0)</f>
        <v>0</v>
      </c>
      <c r="AG1478" t="str">
        <f>INDEX(vp.tbl[[#Headers],[Unknown]:[Heavy_SW]],MATCH(1,vp.tbl[[#This Row],[Unknown]:[Heavy_SW]],0))</f>
        <v>Medium_LSB</v>
      </c>
      <c r="AH1478" t="e">
        <f>INDEX([1]!crudeBD.lkup[Number],MATCH(vp.tbl[[#This Row],[Crude_Breakdown]],[1]!crudeBD.lkup[Crude Breakdown],0))</f>
        <v>#REF!</v>
      </c>
      <c r="AI1478">
        <f>MONTH(vp.tbl[[#This Row],[SDate]])</f>
        <v>5</v>
      </c>
      <c r="AJ1478" s="5">
        <f>IFERROR(vp.tbl[[#This Row],[Sulf]]*vp.tbl[[#This Row],[Net Dens]],"")</f>
        <v>5077654.4248319995</v>
      </c>
      <c r="AK1478" s="5">
        <f>IFERROR(vp.tbl[[#This Row],[Dens]]*vp.tbl[[#This Row],[VolumeM3]],"")</f>
        <v>3966917.5193999996</v>
      </c>
      <c r="AL1478" s="5">
        <f>IFERROR(vp.tbl[[#This Row],[VP]]*vp.tbl[[#This Row],[VolumeM3]],"")</f>
        <v>315050.21129999997</v>
      </c>
      <c r="AM1478" s="4">
        <f>IFERROR((vp.tbl[[#This Row],[VP]]-INDEX(crudeBD.lkup.complete[Mean_VP],MATCH(vp.tbl[[#This Row],[Crude_Breakdown]],crudeBD.lkup.complete[Crude Breakdown],0)))^2,"")</f>
        <v>165.72944659445514</v>
      </c>
      <c r="AN1478" s="4">
        <f>IFERROR((vp.tbl[[#This Row],[Dens]]-INDEX(crudeBD.lkup.complete[Mean_Dens],MATCH(vp.tbl[[#This Row],[Crude_Breakdown]],crudeBD.lkup.complete[Crude Breakdown],0)))^2,"")</f>
        <v>4.4444111706497855</v>
      </c>
      <c r="AO1478" s="4">
        <f>IFERROR((vp.tbl[[#This Row],[Sulf]]-INDEX(crudeBD.lkup.complete[Mean_Sulf],MATCH(vp.tbl[[#This Row],[Crude_Breakdown]],crudeBD.lkup.complete[Crude Breakdown],0)))^2,"")</f>
        <v>3.0600456185336352E-2</v>
      </c>
      <c r="AP1478">
        <f>IF(AND(vp.tbl[[#This Row],[SDate]]&gt;=DATE(YEAR(vp.tbl[[#This Row],[SDate]]),5,1),vp.tbl[[#This Row],[SDate]]&lt;=DATE(YEAR(vp.tbl[[#This Row],[SDate]]),9,15)),1,0)</f>
        <v>1</v>
      </c>
      <c r="AQ1478" s="15">
        <f>IF(vp.tbl[[#This Row],[SDate]]&lt;DATE(2016,12,1),0,1)</f>
        <v>1</v>
      </c>
    </row>
    <row r="1479" spans="1:43" x14ac:dyDescent="0.25">
      <c r="A1479">
        <v>1478</v>
      </c>
      <c r="B1479" t="s">
        <v>62</v>
      </c>
      <c r="C1479" t="s">
        <v>62</v>
      </c>
      <c r="D1479" t="s">
        <v>79</v>
      </c>
      <c r="F1479" s="1">
        <v>42870</v>
      </c>
      <c r="G1479" s="2">
        <v>76.400000000000006</v>
      </c>
      <c r="H1479" s="2"/>
      <c r="I1479" s="2">
        <v>0.35</v>
      </c>
      <c r="J1479" s="2"/>
      <c r="K1479" s="2"/>
      <c r="L1479" s="2"/>
      <c r="M1479" s="2">
        <v>809</v>
      </c>
      <c r="N1479" s="2">
        <f ca="1">INDEX(INDIRECT(_xlfn.CONCAT("weather.tbl[",N$1,"]")),MATCH(vp.tbl[[#This Row],[SDate]],weather.tbl[Date],0))</f>
        <v>11.183333333333332</v>
      </c>
      <c r="O1479" s="2">
        <f ca="1">INDEX(INDIRECT(_xlfn.CONCAT("weather.tbl[",O$1,"]")),MATCH(vp.tbl[[#This Row],[SDate]],weather.tbl[Date],0))</f>
        <v>11.961904761904762</v>
      </c>
      <c r="P1479" s="2">
        <f ca="1">INDEX(INDIRECT(_xlfn.CONCAT("weather.tbl[",P$1,"]")),MATCH(vp.tbl[[#This Row],[SDate]],weather.tbl[Date],0))</f>
        <v>11.8</v>
      </c>
      <c r="Q1479" s="2">
        <f ca="1">INDEX(INDIRECT(_xlfn.CONCAT("weather.tbl[",Q$1,"]")),MATCH(vp.tbl[[#This Row],[SDate]],weather.tbl[Date],0))</f>
        <v>10.4</v>
      </c>
      <c r="R1479" s="2">
        <f ca="1">INDEX(INDIRECT(_xlfn.CONCAT("weather.tbl[",R$1,"]")),MATCH(vp.tbl[[#This Row],[SDate]],weather.tbl[Date],0))</f>
        <v>11</v>
      </c>
      <c r="S1479" s="2">
        <f ca="1">INDEX(INDIRECT(_xlfn.CONCAT("weather.tbl[",S$1,"]")),MATCH(vp.tbl[[#This Row],[SDate]],weather.tbl[Date],0))</f>
        <v>10.4</v>
      </c>
      <c r="T1479" s="2">
        <f ca="1">INDEX(INDIRECT(_xlfn.CONCAT("weather.tbl[",T$1,"]")),MATCH(vp.tbl[[#This Row],[SDate]],weather.tbl[Date],0))</f>
        <v>12</v>
      </c>
      <c r="U1479" s="2">
        <f ca="1">INDEX(INDIRECT(_xlfn.CONCAT("weather.tbl[",U$1,"]")),MATCH(vp.tbl[[#This Row],[SDate]],weather.tbl[Date],0))</f>
        <v>11.5</v>
      </c>
      <c r="V1479" s="2">
        <v>12983.781000000001</v>
      </c>
      <c r="W1479" t="s">
        <v>48</v>
      </c>
      <c r="X1479">
        <f>IF(OR(vp.tbl[[#This Row],[Sulf]]="",vp.tbl[[#This Row],[Dens]]=""),1,0)</f>
        <v>0</v>
      </c>
      <c r="Y1479">
        <f>IF(vp.tbl[[#This Row],[CrudeType]]="C5+",1,0)</f>
        <v>0</v>
      </c>
      <c r="Z1479">
        <f>IF(AND(vp.tbl[[#This Row],[CrudeType]]="Crude",vp.tbl[[#This Row],[Dens]]&lt;=825,vp.tbl[[#This Row],[Sulf]]&gt;0.5,vp.tbl[[#This Row],[Unknown]]=0),1,0)</f>
        <v>0</v>
      </c>
      <c r="AA1479">
        <f>IF(AND(vp.tbl[[#This Row],[CrudeType]]="Crude",vp.tbl[[#This Row],[Dens]]&lt;=825,vp.tbl[[#This Row],[Sulf]]&lt;=0.5,vp.tbl[[#This Row],[Unknown]]=0),1,0)</f>
        <v>1</v>
      </c>
      <c r="AB1479">
        <f>IF(AND(vp.tbl[[#This Row],[CrudeType]]="Crude",vp.tbl[[#This Row],[Dens]]&gt;825,vp.tbl[[#This Row],[Dens]]&lt;=870,vp.tbl[[#This Row],[Sulf]]&gt;0.5,vp.tbl[[#This Row],[Unknown]]=0),1,0)</f>
        <v>0</v>
      </c>
      <c r="AC1479">
        <f>IF(AND(vp.tbl[[#This Row],[CrudeType]]="Crude",vp.tbl[[#This Row],[Dens]]&gt;825,vp.tbl[[#This Row],[Dens]]&lt;=900,vp.tbl[[#This Row],[Sulf]]&lt;=0.5,vp.tbl[[#This Row],[Unknown]]=0),1,0)</f>
        <v>0</v>
      </c>
      <c r="AD1479">
        <f>IF(AND(vp.tbl[[#This Row],[CrudeType]]="Crude",vp.tbl[[#This Row],[Dens]]&gt;870,vp.tbl[[#This Row],[Dens]]&lt;=900,vp.tbl[[#This Row],[Sulf]]&gt;0.5,vp.tbl[[#This Row],[Unknown]]=0),1,0)</f>
        <v>0</v>
      </c>
      <c r="AE1479">
        <f>IF(AND(vp.tbl[[#This Row],[CrudeType]]="Crude",vp.tbl[[#This Row],[Dens]]&gt;900,vp.tbl[[#This Row],[Sulf]]&lt;=0.5,vp.tbl[[#This Row],[Unknown]]=0),1,0)</f>
        <v>0</v>
      </c>
      <c r="AF1479">
        <f>IF(AND(vp.tbl[[#This Row],[CrudeType]]="Crude",vp.tbl[[#This Row],[Dens]]&gt;900,vp.tbl[[#This Row],[Sulf]]&lt;=0.5,vp.tbl[[#This Row],[Unknown]]=0),1,0)</f>
        <v>0</v>
      </c>
      <c r="AG1479" t="str">
        <f>INDEX(vp.tbl[[#Headers],[Unknown]:[Heavy_SW]],MATCH(1,vp.tbl[[#This Row],[Unknown]:[Heavy_SW]],0))</f>
        <v>Light_SW</v>
      </c>
      <c r="AH1479" t="e">
        <f>INDEX([1]!crudeBD.lkup[Number],MATCH(vp.tbl[[#This Row],[Crude_Breakdown]],[1]!crudeBD.lkup[Crude Breakdown],0))</f>
        <v>#REF!</v>
      </c>
      <c r="AI1479">
        <f>MONTH(vp.tbl[[#This Row],[SDate]])</f>
        <v>5</v>
      </c>
      <c r="AJ1479" s="5">
        <f>IFERROR(vp.tbl[[#This Row],[Sulf]]*vp.tbl[[#This Row],[Net Dens]],"")</f>
        <v>3676357.5901499996</v>
      </c>
      <c r="AK1479" s="5">
        <f>IFERROR(vp.tbl[[#This Row],[Dens]]*vp.tbl[[#This Row],[VolumeM3]],"")</f>
        <v>10503878.829</v>
      </c>
      <c r="AL1479" s="5">
        <f>IFERROR(vp.tbl[[#This Row],[VP]]*vp.tbl[[#This Row],[VolumeM3]],"")</f>
        <v>991960.86840000015</v>
      </c>
      <c r="AM1479" s="4">
        <f>IFERROR((vp.tbl[[#This Row],[VP]]-INDEX(crudeBD.lkup.complete[Mean_VP],MATCH(vp.tbl[[#This Row],[Crude_Breakdown]],crudeBD.lkup.complete[Crude Breakdown],0)))^2,"")</f>
        <v>260.83262901819745</v>
      </c>
      <c r="AN1479" s="4">
        <f>IFERROR((vp.tbl[[#This Row],[Dens]]-INDEX(crudeBD.lkup.complete[Mean_Dens],MATCH(vp.tbl[[#This Row],[Crude_Breakdown]],crudeBD.lkup.complete[Crude Breakdown],0)))^2,"")</f>
        <v>0.4740346489580396</v>
      </c>
      <c r="AO1479" s="4">
        <f>IFERROR((vp.tbl[[#This Row],[Sulf]]-INDEX(crudeBD.lkup.complete[Mean_Sulf],MATCH(vp.tbl[[#This Row],[Crude_Breakdown]],crudeBD.lkup.complete[Crude Breakdown],0)))^2,"")</f>
        <v>1.2940925371923933E-2</v>
      </c>
      <c r="AP1479">
        <f>IF(AND(vp.tbl[[#This Row],[SDate]]&gt;=DATE(YEAR(vp.tbl[[#This Row],[SDate]]),5,1),vp.tbl[[#This Row],[SDate]]&lt;=DATE(YEAR(vp.tbl[[#This Row],[SDate]]),9,15)),1,0)</f>
        <v>1</v>
      </c>
      <c r="AQ1479" s="15">
        <f>IF(vp.tbl[[#This Row],[SDate]]&lt;DATE(2016,12,1),0,1)</f>
        <v>1</v>
      </c>
    </row>
    <row r="1480" spans="1:43" x14ac:dyDescent="0.25">
      <c r="A1480">
        <v>1479</v>
      </c>
      <c r="B1480" t="s">
        <v>62</v>
      </c>
      <c r="C1480" t="s">
        <v>62</v>
      </c>
      <c r="D1480" t="s">
        <v>83</v>
      </c>
      <c r="F1480" s="1">
        <v>42870</v>
      </c>
      <c r="G1480" s="2">
        <v>76.7</v>
      </c>
      <c r="H1480" s="2"/>
      <c r="I1480" s="2">
        <v>0.19</v>
      </c>
      <c r="J1480" s="2"/>
      <c r="K1480" s="2"/>
      <c r="L1480" s="2"/>
      <c r="M1480" s="2">
        <v>810.1</v>
      </c>
      <c r="N1480" s="2">
        <f ca="1">INDEX(INDIRECT(_xlfn.CONCAT("weather.tbl[",N$1,"]")),MATCH(vp.tbl[[#This Row],[SDate]],weather.tbl[Date],0))</f>
        <v>11.183333333333332</v>
      </c>
      <c r="O1480" s="2">
        <f ca="1">INDEX(INDIRECT(_xlfn.CONCAT("weather.tbl[",O$1,"]")),MATCH(vp.tbl[[#This Row],[SDate]],weather.tbl[Date],0))</f>
        <v>11.961904761904762</v>
      </c>
      <c r="P1480" s="2">
        <f ca="1">INDEX(INDIRECT(_xlfn.CONCAT("weather.tbl[",P$1,"]")),MATCH(vp.tbl[[#This Row],[SDate]],weather.tbl[Date],0))</f>
        <v>11.8</v>
      </c>
      <c r="Q1480" s="2">
        <f ca="1">INDEX(INDIRECT(_xlfn.CONCAT("weather.tbl[",Q$1,"]")),MATCH(vp.tbl[[#This Row],[SDate]],weather.tbl[Date],0))</f>
        <v>10.4</v>
      </c>
      <c r="R1480" s="2">
        <f ca="1">INDEX(INDIRECT(_xlfn.CONCAT("weather.tbl[",R$1,"]")),MATCH(vp.tbl[[#This Row],[SDate]],weather.tbl[Date],0))</f>
        <v>11</v>
      </c>
      <c r="S1480" s="2">
        <f ca="1">INDEX(INDIRECT(_xlfn.CONCAT("weather.tbl[",S$1,"]")),MATCH(vp.tbl[[#This Row],[SDate]],weather.tbl[Date],0))</f>
        <v>10.4</v>
      </c>
      <c r="T1480" s="2">
        <f ca="1">INDEX(INDIRECT(_xlfn.CONCAT("weather.tbl[",T$1,"]")),MATCH(vp.tbl[[#This Row],[SDate]],weather.tbl[Date],0))</f>
        <v>12</v>
      </c>
      <c r="U1480" s="2">
        <f ca="1">INDEX(INDIRECT(_xlfn.CONCAT("weather.tbl[",U$1,"]")),MATCH(vp.tbl[[#This Row],[SDate]],weather.tbl[Date],0))</f>
        <v>11.5</v>
      </c>
      <c r="V1480" s="2">
        <v>8729.3289999999997</v>
      </c>
      <c r="W1480" t="s">
        <v>48</v>
      </c>
      <c r="X1480">
        <f>IF(OR(vp.tbl[[#This Row],[Sulf]]="",vp.tbl[[#This Row],[Dens]]=""),1,0)</f>
        <v>0</v>
      </c>
      <c r="Y1480">
        <f>IF(vp.tbl[[#This Row],[CrudeType]]="C5+",1,0)</f>
        <v>0</v>
      </c>
      <c r="Z1480">
        <f>IF(AND(vp.tbl[[#This Row],[CrudeType]]="Crude",vp.tbl[[#This Row],[Dens]]&lt;=825,vp.tbl[[#This Row],[Sulf]]&gt;0.5,vp.tbl[[#This Row],[Unknown]]=0),1,0)</f>
        <v>0</v>
      </c>
      <c r="AA1480">
        <f>IF(AND(vp.tbl[[#This Row],[CrudeType]]="Crude",vp.tbl[[#This Row],[Dens]]&lt;=825,vp.tbl[[#This Row],[Sulf]]&lt;=0.5,vp.tbl[[#This Row],[Unknown]]=0),1,0)</f>
        <v>1</v>
      </c>
      <c r="AB1480">
        <f>IF(AND(vp.tbl[[#This Row],[CrudeType]]="Crude",vp.tbl[[#This Row],[Dens]]&gt;825,vp.tbl[[#This Row],[Dens]]&lt;=870,vp.tbl[[#This Row],[Sulf]]&gt;0.5,vp.tbl[[#This Row],[Unknown]]=0),1,0)</f>
        <v>0</v>
      </c>
      <c r="AC1480">
        <f>IF(AND(vp.tbl[[#This Row],[CrudeType]]="Crude",vp.tbl[[#This Row],[Dens]]&gt;825,vp.tbl[[#This Row],[Dens]]&lt;=900,vp.tbl[[#This Row],[Sulf]]&lt;=0.5,vp.tbl[[#This Row],[Unknown]]=0),1,0)</f>
        <v>0</v>
      </c>
      <c r="AD1480">
        <f>IF(AND(vp.tbl[[#This Row],[CrudeType]]="Crude",vp.tbl[[#This Row],[Dens]]&gt;870,vp.tbl[[#This Row],[Dens]]&lt;=900,vp.tbl[[#This Row],[Sulf]]&gt;0.5,vp.tbl[[#This Row],[Unknown]]=0),1,0)</f>
        <v>0</v>
      </c>
      <c r="AE1480">
        <f>IF(AND(vp.tbl[[#This Row],[CrudeType]]="Crude",vp.tbl[[#This Row],[Dens]]&gt;900,vp.tbl[[#This Row],[Sulf]]&lt;=0.5,vp.tbl[[#This Row],[Unknown]]=0),1,0)</f>
        <v>0</v>
      </c>
      <c r="AF1480">
        <f>IF(AND(vp.tbl[[#This Row],[CrudeType]]="Crude",vp.tbl[[#This Row],[Dens]]&gt;900,vp.tbl[[#This Row],[Sulf]]&lt;=0.5,vp.tbl[[#This Row],[Unknown]]=0),1,0)</f>
        <v>0</v>
      </c>
      <c r="AG1480" t="str">
        <f>INDEX(vp.tbl[[#Headers],[Unknown]:[Heavy_SW]],MATCH(1,vp.tbl[[#This Row],[Unknown]:[Heavy_SW]],0))</f>
        <v>Light_SW</v>
      </c>
      <c r="AH1480" t="e">
        <f>INDEX([1]!crudeBD.lkup[Number],MATCH(vp.tbl[[#This Row],[Crude_Breakdown]],[1]!crudeBD.lkup[Crude Breakdown],0))</f>
        <v>#REF!</v>
      </c>
      <c r="AI1480">
        <f>MONTH(vp.tbl[[#This Row],[SDate]])</f>
        <v>5</v>
      </c>
      <c r="AJ1480" s="5">
        <f>IFERROR(vp.tbl[[#This Row],[Sulf]]*vp.tbl[[#This Row],[Net Dens]],"")</f>
        <v>1343609.590351</v>
      </c>
      <c r="AK1480" s="5">
        <f>IFERROR(vp.tbl[[#This Row],[Dens]]*vp.tbl[[#This Row],[VolumeM3]],"")</f>
        <v>7071629.4228999997</v>
      </c>
      <c r="AL1480" s="5">
        <f>IFERROR(vp.tbl[[#This Row],[VP]]*vp.tbl[[#This Row],[VolumeM3]],"")</f>
        <v>669539.53430000006</v>
      </c>
      <c r="AM1480" s="4">
        <f>IFERROR((vp.tbl[[#This Row],[VP]]-INDEX(crudeBD.lkup.complete[Mean_VP],MATCH(vp.tbl[[#This Row],[Crude_Breakdown]],crudeBD.lkup.complete[Crude Breakdown],0)))^2,"")</f>
        <v>251.23244086488745</v>
      </c>
      <c r="AN1480" s="4">
        <f>IFERROR((vp.tbl[[#This Row],[Dens]]-INDEX(crudeBD.lkup.complete[Mean_Dens],MATCH(vp.tbl[[#This Row],[Crude_Breakdown]],crudeBD.lkup.complete[Crude Breakdown],0)))^2,"")</f>
        <v>3.1987384817112146</v>
      </c>
      <c r="AO1480" s="4">
        <f>IFERROR((vp.tbl[[#This Row],[Sulf]]-INDEX(crudeBD.lkup.complete[Mean_Sulf],MATCH(vp.tbl[[#This Row],[Crude_Breakdown]],crudeBD.lkup.complete[Crude Breakdown],0)))^2,"")</f>
        <v>2.1383051628646554E-3</v>
      </c>
      <c r="AP1480">
        <f>IF(AND(vp.tbl[[#This Row],[SDate]]&gt;=DATE(YEAR(vp.tbl[[#This Row],[SDate]]),5,1),vp.tbl[[#This Row],[SDate]]&lt;=DATE(YEAR(vp.tbl[[#This Row],[SDate]]),9,15)),1,0)</f>
        <v>1</v>
      </c>
      <c r="AQ1480" s="15">
        <f>IF(vp.tbl[[#This Row],[SDate]]&lt;DATE(2016,12,1),0,1)</f>
        <v>1</v>
      </c>
    </row>
    <row r="1481" spans="1:43" x14ac:dyDescent="0.25">
      <c r="A1481">
        <v>1480</v>
      </c>
      <c r="B1481" t="s">
        <v>51</v>
      </c>
      <c r="C1481" t="s">
        <v>51</v>
      </c>
      <c r="D1481" t="s">
        <v>72</v>
      </c>
      <c r="F1481" s="1">
        <v>42871</v>
      </c>
      <c r="G1481" s="2">
        <v>89.8</v>
      </c>
      <c r="H1481" s="2"/>
      <c r="I1481" s="2">
        <v>1.06</v>
      </c>
      <c r="J1481" s="2"/>
      <c r="K1481" s="2"/>
      <c r="L1481" s="2"/>
      <c r="M1481" s="2">
        <v>829.4</v>
      </c>
      <c r="N1481" s="2">
        <f ca="1">INDEX(INDIRECT(_xlfn.CONCAT("weather.tbl[",N$1,"]")),MATCH(vp.tbl[[#This Row],[SDate]],weather.tbl[Date],0))</f>
        <v>11.616666666666665</v>
      </c>
      <c r="O1481" s="2">
        <f ca="1">INDEX(INDIRECT(_xlfn.CONCAT("weather.tbl[",O$1,"]")),MATCH(vp.tbl[[#This Row],[SDate]],weather.tbl[Date],0))</f>
        <v>12.052380952380952</v>
      </c>
      <c r="P1481" s="2">
        <f ca="1">INDEX(INDIRECT(_xlfn.CONCAT("weather.tbl[",P$1,"]")),MATCH(vp.tbl[[#This Row],[SDate]],weather.tbl[Date],0))</f>
        <v>13.1</v>
      </c>
      <c r="Q1481" s="2">
        <f ca="1">INDEX(INDIRECT(_xlfn.CONCAT("weather.tbl[",Q$1,"]")),MATCH(vp.tbl[[#This Row],[SDate]],weather.tbl[Date],0))</f>
        <v>9.9</v>
      </c>
      <c r="R1481" s="2">
        <f ca="1">INDEX(INDIRECT(_xlfn.CONCAT("weather.tbl[",R$1,"]")),MATCH(vp.tbl[[#This Row],[SDate]],weather.tbl[Date],0))</f>
        <v>11.8</v>
      </c>
      <c r="S1481" s="2">
        <f ca="1">INDEX(INDIRECT(_xlfn.CONCAT("weather.tbl[",S$1,"]")),MATCH(vp.tbl[[#This Row],[SDate]],weather.tbl[Date],0))</f>
        <v>9.3000000000000007</v>
      </c>
      <c r="T1481" s="2">
        <f ca="1">INDEX(INDIRECT(_xlfn.CONCAT("weather.tbl[",T$1,"]")),MATCH(vp.tbl[[#This Row],[SDate]],weather.tbl[Date],0))</f>
        <v>13.1</v>
      </c>
      <c r="U1481" s="2">
        <f ca="1">INDEX(INDIRECT(_xlfn.CONCAT("weather.tbl[",U$1,"]")),MATCH(vp.tbl[[#This Row],[SDate]],weather.tbl[Date],0))</f>
        <v>12.5</v>
      </c>
      <c r="V1481" s="2">
        <v>14195.075000000001</v>
      </c>
      <c r="W1481" t="s">
        <v>48</v>
      </c>
      <c r="X1481">
        <f>IF(OR(vp.tbl[[#This Row],[Sulf]]="",vp.tbl[[#This Row],[Dens]]=""),1,0)</f>
        <v>0</v>
      </c>
      <c r="Y1481">
        <f>IF(vp.tbl[[#This Row],[CrudeType]]="C5+",1,0)</f>
        <v>0</v>
      </c>
      <c r="Z1481">
        <f>IF(AND(vp.tbl[[#This Row],[CrudeType]]="Crude",vp.tbl[[#This Row],[Dens]]&lt;=825,vp.tbl[[#This Row],[Sulf]]&gt;0.5,vp.tbl[[#This Row],[Unknown]]=0),1,0)</f>
        <v>0</v>
      </c>
      <c r="AA1481">
        <f>IF(AND(vp.tbl[[#This Row],[CrudeType]]="Crude",vp.tbl[[#This Row],[Dens]]&lt;=825,vp.tbl[[#This Row],[Sulf]]&lt;=0.5,vp.tbl[[#This Row],[Unknown]]=0),1,0)</f>
        <v>0</v>
      </c>
      <c r="AB1481">
        <f>IF(AND(vp.tbl[[#This Row],[CrudeType]]="Crude",vp.tbl[[#This Row],[Dens]]&gt;825,vp.tbl[[#This Row],[Dens]]&lt;=870,vp.tbl[[#This Row],[Sulf]]&gt;0.5,vp.tbl[[#This Row],[Unknown]]=0),1,0)</f>
        <v>1</v>
      </c>
      <c r="AC1481">
        <f>IF(AND(vp.tbl[[#This Row],[CrudeType]]="Crude",vp.tbl[[#This Row],[Dens]]&gt;825,vp.tbl[[#This Row],[Dens]]&lt;=900,vp.tbl[[#This Row],[Sulf]]&lt;=0.5,vp.tbl[[#This Row],[Unknown]]=0),1,0)</f>
        <v>0</v>
      </c>
      <c r="AD1481">
        <f>IF(AND(vp.tbl[[#This Row],[CrudeType]]="Crude",vp.tbl[[#This Row],[Dens]]&gt;870,vp.tbl[[#This Row],[Dens]]&lt;=900,vp.tbl[[#This Row],[Sulf]]&gt;0.5,vp.tbl[[#This Row],[Unknown]]=0),1,0)</f>
        <v>0</v>
      </c>
      <c r="AE1481">
        <f>IF(AND(vp.tbl[[#This Row],[CrudeType]]="Crude",vp.tbl[[#This Row],[Dens]]&gt;900,vp.tbl[[#This Row],[Sulf]]&lt;=0.5,vp.tbl[[#This Row],[Unknown]]=0),1,0)</f>
        <v>0</v>
      </c>
      <c r="AF1481">
        <f>IF(AND(vp.tbl[[#This Row],[CrudeType]]="Crude",vp.tbl[[#This Row],[Dens]]&gt;900,vp.tbl[[#This Row],[Sulf]]&lt;=0.5,vp.tbl[[#This Row],[Unknown]]=0),1,0)</f>
        <v>0</v>
      </c>
      <c r="AG1481" t="str">
        <f>INDEX(vp.tbl[[#Headers],[Unknown]:[Heavy_SW]],MATCH(1,vp.tbl[[#This Row],[Unknown]:[Heavy_SW]],0))</f>
        <v>Medium_LSB</v>
      </c>
      <c r="AH1481" t="e">
        <f>INDEX([1]!crudeBD.lkup[Number],MATCH(vp.tbl[[#This Row],[Crude_Breakdown]],[1]!crudeBD.lkup[Crude Breakdown],0))</f>
        <v>#REF!</v>
      </c>
      <c r="AI1481">
        <f>MONTH(vp.tbl[[#This Row],[SDate]])</f>
        <v>5</v>
      </c>
      <c r="AJ1481" s="5">
        <f>IFERROR(vp.tbl[[#This Row],[Sulf]]*vp.tbl[[#This Row],[Net Dens]],"")</f>
        <v>12479798.917300001</v>
      </c>
      <c r="AK1481" s="5">
        <f>IFERROR(vp.tbl[[#This Row],[Dens]]*vp.tbl[[#This Row],[VolumeM3]],"")</f>
        <v>11773395.205</v>
      </c>
      <c r="AL1481" s="5">
        <f>IFERROR(vp.tbl[[#This Row],[VP]]*vp.tbl[[#This Row],[VolumeM3]],"")</f>
        <v>1274717.7350000001</v>
      </c>
      <c r="AM1481" s="4">
        <f>IFERROR((vp.tbl[[#This Row],[VP]]-INDEX(crudeBD.lkup.complete[Mean_VP],MATCH(vp.tbl[[#This Row],[Crude_Breakdown]],crudeBD.lkup.complete[Crude Breakdown],0)))^2,"")</f>
        <v>92.667674442557939</v>
      </c>
      <c r="AN1481" s="4">
        <f>IFERROR((vp.tbl[[#This Row],[Dens]]-INDEX(crudeBD.lkup.complete[Mean_Dens],MATCH(vp.tbl[[#This Row],[Crude_Breakdown]],crudeBD.lkup.complete[Crude Breakdown],0)))^2,"")</f>
        <v>252.5500314237797</v>
      </c>
      <c r="AO1481" s="4">
        <f>IFERROR((vp.tbl[[#This Row],[Sulf]]-INDEX(crudeBD.lkup.complete[Mean_Sulf],MATCH(vp.tbl[[#This Row],[Crude_Breakdown]],crudeBD.lkup.complete[Crude Breakdown],0)))^2,"")</f>
        <v>0.15596959491951418</v>
      </c>
      <c r="AP1481">
        <f>IF(AND(vp.tbl[[#This Row],[SDate]]&gt;=DATE(YEAR(vp.tbl[[#This Row],[SDate]]),5,1),vp.tbl[[#This Row],[SDate]]&lt;=DATE(YEAR(vp.tbl[[#This Row],[SDate]]),9,15)),1,0)</f>
        <v>1</v>
      </c>
      <c r="AQ1481" s="15">
        <f>IF(vp.tbl[[#This Row],[SDate]]&lt;DATE(2016,12,1),0,1)</f>
        <v>1</v>
      </c>
    </row>
    <row r="1482" spans="1:43" x14ac:dyDescent="0.25">
      <c r="A1482">
        <v>1481</v>
      </c>
      <c r="B1482" t="s">
        <v>62</v>
      </c>
      <c r="C1482" t="s">
        <v>62</v>
      </c>
      <c r="D1482" t="s">
        <v>87</v>
      </c>
      <c r="F1482" s="1">
        <v>42871</v>
      </c>
      <c r="G1482" s="2">
        <v>82.9</v>
      </c>
      <c r="H1482" s="2"/>
      <c r="I1482" s="2">
        <v>0.26</v>
      </c>
      <c r="J1482" s="2"/>
      <c r="K1482" s="2"/>
      <c r="L1482" s="2"/>
      <c r="M1482" s="2">
        <v>811.8</v>
      </c>
      <c r="N1482" s="2">
        <f ca="1">INDEX(INDIRECT(_xlfn.CONCAT("weather.tbl[",N$1,"]")),MATCH(vp.tbl[[#This Row],[SDate]],weather.tbl[Date],0))</f>
        <v>11.616666666666665</v>
      </c>
      <c r="O1482" s="2">
        <f ca="1">INDEX(INDIRECT(_xlfn.CONCAT("weather.tbl[",O$1,"]")),MATCH(vp.tbl[[#This Row],[SDate]],weather.tbl[Date],0))</f>
        <v>12.052380952380952</v>
      </c>
      <c r="P1482" s="2">
        <f ca="1">INDEX(INDIRECT(_xlfn.CONCAT("weather.tbl[",P$1,"]")),MATCH(vp.tbl[[#This Row],[SDate]],weather.tbl[Date],0))</f>
        <v>13.1</v>
      </c>
      <c r="Q1482" s="2">
        <f ca="1">INDEX(INDIRECT(_xlfn.CONCAT("weather.tbl[",Q$1,"]")),MATCH(vp.tbl[[#This Row],[SDate]],weather.tbl[Date],0))</f>
        <v>9.9</v>
      </c>
      <c r="R1482" s="2">
        <f ca="1">INDEX(INDIRECT(_xlfn.CONCAT("weather.tbl[",R$1,"]")),MATCH(vp.tbl[[#This Row],[SDate]],weather.tbl[Date],0))</f>
        <v>11.8</v>
      </c>
      <c r="S1482" s="2">
        <f ca="1">INDEX(INDIRECT(_xlfn.CONCAT("weather.tbl[",S$1,"]")),MATCH(vp.tbl[[#This Row],[SDate]],weather.tbl[Date],0))</f>
        <v>9.3000000000000007</v>
      </c>
      <c r="T1482" s="2">
        <f ca="1">INDEX(INDIRECT(_xlfn.CONCAT("weather.tbl[",T$1,"]")),MATCH(vp.tbl[[#This Row],[SDate]],weather.tbl[Date],0))</f>
        <v>13.1</v>
      </c>
      <c r="U1482" s="2">
        <f ca="1">INDEX(INDIRECT(_xlfn.CONCAT("weather.tbl[",U$1,"]")),MATCH(vp.tbl[[#This Row],[SDate]],weather.tbl[Date],0))</f>
        <v>12.5</v>
      </c>
      <c r="V1482" s="2">
        <v>3329.3429999999998</v>
      </c>
      <c r="W1482" t="s">
        <v>48</v>
      </c>
      <c r="X1482">
        <f>IF(OR(vp.tbl[[#This Row],[Sulf]]="",vp.tbl[[#This Row],[Dens]]=""),1,0)</f>
        <v>0</v>
      </c>
      <c r="Y1482">
        <f>IF(vp.tbl[[#This Row],[CrudeType]]="C5+",1,0)</f>
        <v>0</v>
      </c>
      <c r="Z1482">
        <f>IF(AND(vp.tbl[[#This Row],[CrudeType]]="Crude",vp.tbl[[#This Row],[Dens]]&lt;=825,vp.tbl[[#This Row],[Sulf]]&gt;0.5,vp.tbl[[#This Row],[Unknown]]=0),1,0)</f>
        <v>0</v>
      </c>
      <c r="AA1482">
        <f>IF(AND(vp.tbl[[#This Row],[CrudeType]]="Crude",vp.tbl[[#This Row],[Dens]]&lt;=825,vp.tbl[[#This Row],[Sulf]]&lt;=0.5,vp.tbl[[#This Row],[Unknown]]=0),1,0)</f>
        <v>1</v>
      </c>
      <c r="AB1482">
        <f>IF(AND(vp.tbl[[#This Row],[CrudeType]]="Crude",vp.tbl[[#This Row],[Dens]]&gt;825,vp.tbl[[#This Row],[Dens]]&lt;=870,vp.tbl[[#This Row],[Sulf]]&gt;0.5,vp.tbl[[#This Row],[Unknown]]=0),1,0)</f>
        <v>0</v>
      </c>
      <c r="AC1482">
        <f>IF(AND(vp.tbl[[#This Row],[CrudeType]]="Crude",vp.tbl[[#This Row],[Dens]]&gt;825,vp.tbl[[#This Row],[Dens]]&lt;=900,vp.tbl[[#This Row],[Sulf]]&lt;=0.5,vp.tbl[[#This Row],[Unknown]]=0),1,0)</f>
        <v>0</v>
      </c>
      <c r="AD1482">
        <f>IF(AND(vp.tbl[[#This Row],[CrudeType]]="Crude",vp.tbl[[#This Row],[Dens]]&gt;870,vp.tbl[[#This Row],[Dens]]&lt;=900,vp.tbl[[#This Row],[Sulf]]&gt;0.5,vp.tbl[[#This Row],[Unknown]]=0),1,0)</f>
        <v>0</v>
      </c>
      <c r="AE1482">
        <f>IF(AND(vp.tbl[[#This Row],[CrudeType]]="Crude",vp.tbl[[#This Row],[Dens]]&gt;900,vp.tbl[[#This Row],[Sulf]]&lt;=0.5,vp.tbl[[#This Row],[Unknown]]=0),1,0)</f>
        <v>0</v>
      </c>
      <c r="AF1482">
        <f>IF(AND(vp.tbl[[#This Row],[CrudeType]]="Crude",vp.tbl[[#This Row],[Dens]]&gt;900,vp.tbl[[#This Row],[Sulf]]&lt;=0.5,vp.tbl[[#This Row],[Unknown]]=0),1,0)</f>
        <v>0</v>
      </c>
      <c r="AG1482" t="str">
        <f>INDEX(vp.tbl[[#Headers],[Unknown]:[Heavy_SW]],MATCH(1,vp.tbl[[#This Row],[Unknown]:[Heavy_SW]],0))</f>
        <v>Light_SW</v>
      </c>
      <c r="AH1482" t="e">
        <f>INDEX([1]!crudeBD.lkup[Number],MATCH(vp.tbl[[#This Row],[Crude_Breakdown]],[1]!crudeBD.lkup[Crude Breakdown],0))</f>
        <v>#REF!</v>
      </c>
      <c r="AI1482">
        <f>MONTH(vp.tbl[[#This Row],[SDate]])</f>
        <v>5</v>
      </c>
      <c r="AJ1482" s="5">
        <f>IFERROR(vp.tbl[[#This Row],[Sulf]]*vp.tbl[[#This Row],[Net Dens]],"")</f>
        <v>702717.76832399995</v>
      </c>
      <c r="AK1482" s="5">
        <f>IFERROR(vp.tbl[[#This Row],[Dens]]*vp.tbl[[#This Row],[VolumeM3]],"")</f>
        <v>2702760.6473999997</v>
      </c>
      <c r="AL1482" s="5">
        <f>IFERROR(vp.tbl[[#This Row],[VP]]*vp.tbl[[#This Row],[VolumeM3]],"")</f>
        <v>276002.53470000002</v>
      </c>
      <c r="AM1482" s="4">
        <f>IFERROR((vp.tbl[[#This Row],[VP]]-INDEX(crudeBD.lkup.complete[Mean_VP],MATCH(vp.tbl[[#This Row],[Crude_Breakdown]],crudeBD.lkup.complete[Crude Breakdown],0)))^2,"")</f>
        <v>93.128552363145644</v>
      </c>
      <c r="AN1482" s="4">
        <f>IFERROR((vp.tbl[[#This Row],[Dens]]-INDEX(crudeBD.lkup.complete[Mean_Dens],MATCH(vp.tbl[[#This Row],[Crude_Breakdown]],crudeBD.lkup.complete[Crude Breakdown],0)))^2,"")</f>
        <v>12.169644405056506</v>
      </c>
      <c r="AO1482" s="4">
        <f>IFERROR((vp.tbl[[#This Row],[Sulf]]-INDEX(crudeBD.lkup.complete[Mean_Sulf],MATCH(vp.tbl[[#This Row],[Crude_Breakdown]],crudeBD.lkup.complete[Crude Breakdown],0)))^2,"")</f>
        <v>5.644515043280923E-4</v>
      </c>
      <c r="AP1482">
        <f>IF(AND(vp.tbl[[#This Row],[SDate]]&gt;=DATE(YEAR(vp.tbl[[#This Row],[SDate]]),5,1),vp.tbl[[#This Row],[SDate]]&lt;=DATE(YEAR(vp.tbl[[#This Row],[SDate]]),9,15)),1,0)</f>
        <v>1</v>
      </c>
      <c r="AQ1482" s="15">
        <f>IF(vp.tbl[[#This Row],[SDate]]&lt;DATE(2016,12,1),0,1)</f>
        <v>1</v>
      </c>
    </row>
    <row r="1483" spans="1:43" x14ac:dyDescent="0.25">
      <c r="A1483">
        <v>1482</v>
      </c>
      <c r="B1483" t="s">
        <v>49</v>
      </c>
      <c r="C1483" t="s">
        <v>49</v>
      </c>
      <c r="D1483" t="s">
        <v>67</v>
      </c>
      <c r="F1483" s="1">
        <v>42871</v>
      </c>
      <c r="G1483" s="2">
        <v>83.3</v>
      </c>
      <c r="H1483" s="2"/>
      <c r="I1483" s="2">
        <v>0.63</v>
      </c>
      <c r="J1483" s="2"/>
      <c r="K1483" s="2"/>
      <c r="L1483" s="2"/>
      <c r="M1483" s="2">
        <v>822.8</v>
      </c>
      <c r="N1483" s="2">
        <f ca="1">INDEX(INDIRECT(_xlfn.CONCAT("weather.tbl[",N$1,"]")),MATCH(vp.tbl[[#This Row],[SDate]],weather.tbl[Date],0))</f>
        <v>11.616666666666665</v>
      </c>
      <c r="O1483" s="2">
        <f ca="1">INDEX(INDIRECT(_xlfn.CONCAT("weather.tbl[",O$1,"]")),MATCH(vp.tbl[[#This Row],[SDate]],weather.tbl[Date],0))</f>
        <v>12.052380952380952</v>
      </c>
      <c r="P1483" s="2">
        <f ca="1">INDEX(INDIRECT(_xlfn.CONCAT("weather.tbl[",P$1,"]")),MATCH(vp.tbl[[#This Row],[SDate]],weather.tbl[Date],0))</f>
        <v>13.1</v>
      </c>
      <c r="Q1483" s="2">
        <f ca="1">INDEX(INDIRECT(_xlfn.CONCAT("weather.tbl[",Q$1,"]")),MATCH(vp.tbl[[#This Row],[SDate]],weather.tbl[Date],0))</f>
        <v>9.9</v>
      </c>
      <c r="R1483" s="2">
        <f ca="1">INDEX(INDIRECT(_xlfn.CONCAT("weather.tbl[",R$1,"]")),MATCH(vp.tbl[[#This Row],[SDate]],weather.tbl[Date],0))</f>
        <v>11.8</v>
      </c>
      <c r="S1483" s="2">
        <f ca="1">INDEX(INDIRECT(_xlfn.CONCAT("weather.tbl[",S$1,"]")),MATCH(vp.tbl[[#This Row],[SDate]],weather.tbl[Date],0))</f>
        <v>9.3000000000000007</v>
      </c>
      <c r="T1483" s="2">
        <f ca="1">INDEX(INDIRECT(_xlfn.CONCAT("weather.tbl[",T$1,"]")),MATCH(vp.tbl[[#This Row],[SDate]],weather.tbl[Date],0))</f>
        <v>13.1</v>
      </c>
      <c r="U1483" s="2">
        <f ca="1">INDEX(INDIRECT(_xlfn.CONCAT("weather.tbl[",U$1,"]")),MATCH(vp.tbl[[#This Row],[SDate]],weather.tbl[Date],0))</f>
        <v>12.5</v>
      </c>
      <c r="V1483" s="2">
        <v>152210.65299999999</v>
      </c>
      <c r="W1483" t="s">
        <v>48</v>
      </c>
      <c r="X1483">
        <f>IF(OR(vp.tbl[[#This Row],[Sulf]]="",vp.tbl[[#This Row],[Dens]]=""),1,0)</f>
        <v>0</v>
      </c>
      <c r="Y1483">
        <f>IF(vp.tbl[[#This Row],[CrudeType]]="C5+",1,0)</f>
        <v>0</v>
      </c>
      <c r="Z1483">
        <f>IF(AND(vp.tbl[[#This Row],[CrudeType]]="Crude",vp.tbl[[#This Row],[Dens]]&lt;=825,vp.tbl[[#This Row],[Sulf]]&gt;0.5,vp.tbl[[#This Row],[Unknown]]=0),1,0)</f>
        <v>1</v>
      </c>
      <c r="AA1483">
        <f>IF(AND(vp.tbl[[#This Row],[CrudeType]]="Crude",vp.tbl[[#This Row],[Dens]]&lt;=825,vp.tbl[[#This Row],[Sulf]]&lt;=0.5,vp.tbl[[#This Row],[Unknown]]=0),1,0)</f>
        <v>0</v>
      </c>
      <c r="AB1483">
        <f>IF(AND(vp.tbl[[#This Row],[CrudeType]]="Crude",vp.tbl[[#This Row],[Dens]]&gt;825,vp.tbl[[#This Row],[Dens]]&lt;=870,vp.tbl[[#This Row],[Sulf]]&gt;0.5,vp.tbl[[#This Row],[Unknown]]=0),1,0)</f>
        <v>0</v>
      </c>
      <c r="AC1483">
        <f>IF(AND(vp.tbl[[#This Row],[CrudeType]]="Crude",vp.tbl[[#This Row],[Dens]]&gt;825,vp.tbl[[#This Row],[Dens]]&lt;=900,vp.tbl[[#This Row],[Sulf]]&lt;=0.5,vp.tbl[[#This Row],[Unknown]]=0),1,0)</f>
        <v>0</v>
      </c>
      <c r="AD1483">
        <f>IF(AND(vp.tbl[[#This Row],[CrudeType]]="Crude",vp.tbl[[#This Row],[Dens]]&gt;870,vp.tbl[[#This Row],[Dens]]&lt;=900,vp.tbl[[#This Row],[Sulf]]&gt;0.5,vp.tbl[[#This Row],[Unknown]]=0),1,0)</f>
        <v>0</v>
      </c>
      <c r="AE1483">
        <f>IF(AND(vp.tbl[[#This Row],[CrudeType]]="Crude",vp.tbl[[#This Row],[Dens]]&gt;900,vp.tbl[[#This Row],[Sulf]]&lt;=0.5,vp.tbl[[#This Row],[Unknown]]=0),1,0)</f>
        <v>0</v>
      </c>
      <c r="AF1483">
        <f>IF(AND(vp.tbl[[#This Row],[CrudeType]]="Crude",vp.tbl[[#This Row],[Dens]]&gt;900,vp.tbl[[#This Row],[Sulf]]&lt;=0.5,vp.tbl[[#This Row],[Unknown]]=0),1,0)</f>
        <v>0</v>
      </c>
      <c r="AG1483" t="str">
        <f>INDEX(vp.tbl[[#Headers],[Unknown]:[Heavy_SW]],MATCH(1,vp.tbl[[#This Row],[Unknown]:[Heavy_SW]],0))</f>
        <v>Light_LSB</v>
      </c>
      <c r="AH1483" t="e">
        <f>INDEX([1]!crudeBD.lkup[Number],MATCH(vp.tbl[[#This Row],[Crude_Breakdown]],[1]!crudeBD.lkup[Crude Breakdown],0))</f>
        <v>#REF!</v>
      </c>
      <c r="AI1483">
        <f>MONTH(vp.tbl[[#This Row],[SDate]])</f>
        <v>5</v>
      </c>
      <c r="AJ1483" s="5">
        <f>IFERROR(vp.tbl[[#This Row],[Sulf]]*vp.tbl[[#This Row],[Net Dens]],"")</f>
        <v>78900522.931691989</v>
      </c>
      <c r="AK1483" s="5">
        <f>IFERROR(vp.tbl[[#This Row],[Dens]]*vp.tbl[[#This Row],[VolumeM3]],"")</f>
        <v>125238925.28839998</v>
      </c>
      <c r="AL1483" s="5">
        <f>IFERROR(vp.tbl[[#This Row],[VP]]*vp.tbl[[#This Row],[VolumeM3]],"")</f>
        <v>12679147.3949</v>
      </c>
      <c r="AM1483" s="4">
        <f>IFERROR((vp.tbl[[#This Row],[VP]]-INDEX(crudeBD.lkup.complete[Mean_VP],MATCH(vp.tbl[[#This Row],[Crude_Breakdown]],crudeBD.lkup.complete[Crude Breakdown],0)))^2,"")</f>
        <v>67.999576405569698</v>
      </c>
      <c r="AN1483" s="4">
        <f>IFERROR((vp.tbl[[#This Row],[Dens]]-INDEX(crudeBD.lkup.complete[Mean_Dens],MATCH(vp.tbl[[#This Row],[Crude_Breakdown]],crudeBD.lkup.complete[Crude Breakdown],0)))^2,"")</f>
        <v>18.34606129356284</v>
      </c>
      <c r="AO1483" s="4">
        <f>IFERROR((vp.tbl[[#This Row],[Sulf]]-INDEX(crudeBD.lkup.complete[Mean_Sulf],MATCH(vp.tbl[[#This Row],[Crude_Breakdown]],crudeBD.lkup.complete[Crude Breakdown],0)))^2,"")</f>
        <v>8.5832105504801401E-2</v>
      </c>
      <c r="AP1483">
        <f>IF(AND(vp.tbl[[#This Row],[SDate]]&gt;=DATE(YEAR(vp.tbl[[#This Row],[SDate]]),5,1),vp.tbl[[#This Row],[SDate]]&lt;=DATE(YEAR(vp.tbl[[#This Row],[SDate]]),9,15)),1,0)</f>
        <v>1</v>
      </c>
      <c r="AQ1483" s="15">
        <f>IF(vp.tbl[[#This Row],[SDate]]&lt;DATE(2016,12,1),0,1)</f>
        <v>1</v>
      </c>
    </row>
    <row r="1484" spans="1:43" x14ac:dyDescent="0.25">
      <c r="A1484">
        <v>1483</v>
      </c>
      <c r="B1484" t="s">
        <v>49</v>
      </c>
      <c r="C1484" t="s">
        <v>49</v>
      </c>
      <c r="D1484" t="s">
        <v>59</v>
      </c>
      <c r="F1484" s="1">
        <v>42871</v>
      </c>
      <c r="G1484" s="2">
        <v>87.5</v>
      </c>
      <c r="H1484" s="2"/>
      <c r="I1484" s="2">
        <v>1.43</v>
      </c>
      <c r="J1484" s="2"/>
      <c r="K1484" s="2"/>
      <c r="L1484" s="2"/>
      <c r="M1484" s="2">
        <v>845</v>
      </c>
      <c r="N1484" s="2">
        <f ca="1">INDEX(INDIRECT(_xlfn.CONCAT("weather.tbl[",N$1,"]")),MATCH(vp.tbl[[#This Row],[SDate]],weather.tbl[Date],0))</f>
        <v>11.616666666666665</v>
      </c>
      <c r="O1484" s="2">
        <f ca="1">INDEX(INDIRECT(_xlfn.CONCAT("weather.tbl[",O$1,"]")),MATCH(vp.tbl[[#This Row],[SDate]],weather.tbl[Date],0))</f>
        <v>12.052380952380952</v>
      </c>
      <c r="P1484" s="2">
        <f ca="1">INDEX(INDIRECT(_xlfn.CONCAT("weather.tbl[",P$1,"]")),MATCH(vp.tbl[[#This Row],[SDate]],weather.tbl[Date],0))</f>
        <v>13.1</v>
      </c>
      <c r="Q1484" s="2">
        <f ca="1">INDEX(INDIRECT(_xlfn.CONCAT("weather.tbl[",Q$1,"]")),MATCH(vp.tbl[[#This Row],[SDate]],weather.tbl[Date],0))</f>
        <v>9.9</v>
      </c>
      <c r="R1484" s="2">
        <f ca="1">INDEX(INDIRECT(_xlfn.CONCAT("weather.tbl[",R$1,"]")),MATCH(vp.tbl[[#This Row],[SDate]],weather.tbl[Date],0))</f>
        <v>11.8</v>
      </c>
      <c r="S1484" s="2">
        <f ca="1">INDEX(INDIRECT(_xlfn.CONCAT("weather.tbl[",S$1,"]")),MATCH(vp.tbl[[#This Row],[SDate]],weather.tbl[Date],0))</f>
        <v>9.3000000000000007</v>
      </c>
      <c r="T1484" s="2">
        <f ca="1">INDEX(INDIRECT(_xlfn.CONCAT("weather.tbl[",T$1,"]")),MATCH(vp.tbl[[#This Row],[SDate]],weather.tbl[Date],0))</f>
        <v>13.1</v>
      </c>
      <c r="U1484" s="2">
        <f ca="1">INDEX(INDIRECT(_xlfn.CONCAT("weather.tbl[",U$1,"]")),MATCH(vp.tbl[[#This Row],[SDate]],weather.tbl[Date],0))</f>
        <v>12.5</v>
      </c>
      <c r="V1484" s="2">
        <v>1309.8610000000001</v>
      </c>
      <c r="W1484" t="s">
        <v>48</v>
      </c>
      <c r="X1484">
        <f>IF(OR(vp.tbl[[#This Row],[Sulf]]="",vp.tbl[[#This Row],[Dens]]=""),1,0)</f>
        <v>0</v>
      </c>
      <c r="Y1484">
        <f>IF(vp.tbl[[#This Row],[CrudeType]]="C5+",1,0)</f>
        <v>0</v>
      </c>
      <c r="Z1484">
        <f>IF(AND(vp.tbl[[#This Row],[CrudeType]]="Crude",vp.tbl[[#This Row],[Dens]]&lt;=825,vp.tbl[[#This Row],[Sulf]]&gt;0.5,vp.tbl[[#This Row],[Unknown]]=0),1,0)</f>
        <v>0</v>
      </c>
      <c r="AA1484">
        <f>IF(AND(vp.tbl[[#This Row],[CrudeType]]="Crude",vp.tbl[[#This Row],[Dens]]&lt;=825,vp.tbl[[#This Row],[Sulf]]&lt;=0.5,vp.tbl[[#This Row],[Unknown]]=0),1,0)</f>
        <v>0</v>
      </c>
      <c r="AB1484">
        <f>IF(AND(vp.tbl[[#This Row],[CrudeType]]="Crude",vp.tbl[[#This Row],[Dens]]&gt;825,vp.tbl[[#This Row],[Dens]]&lt;=870,vp.tbl[[#This Row],[Sulf]]&gt;0.5,vp.tbl[[#This Row],[Unknown]]=0),1,0)</f>
        <v>1</v>
      </c>
      <c r="AC1484">
        <f>IF(AND(vp.tbl[[#This Row],[CrudeType]]="Crude",vp.tbl[[#This Row],[Dens]]&gt;825,vp.tbl[[#This Row],[Dens]]&lt;=900,vp.tbl[[#This Row],[Sulf]]&lt;=0.5,vp.tbl[[#This Row],[Unknown]]=0),1,0)</f>
        <v>0</v>
      </c>
      <c r="AD1484">
        <f>IF(AND(vp.tbl[[#This Row],[CrudeType]]="Crude",vp.tbl[[#This Row],[Dens]]&gt;870,vp.tbl[[#This Row],[Dens]]&lt;=900,vp.tbl[[#This Row],[Sulf]]&gt;0.5,vp.tbl[[#This Row],[Unknown]]=0),1,0)</f>
        <v>0</v>
      </c>
      <c r="AE1484">
        <f>IF(AND(vp.tbl[[#This Row],[CrudeType]]="Crude",vp.tbl[[#This Row],[Dens]]&gt;900,vp.tbl[[#This Row],[Sulf]]&lt;=0.5,vp.tbl[[#This Row],[Unknown]]=0),1,0)</f>
        <v>0</v>
      </c>
      <c r="AF1484">
        <f>IF(AND(vp.tbl[[#This Row],[CrudeType]]="Crude",vp.tbl[[#This Row],[Dens]]&gt;900,vp.tbl[[#This Row],[Sulf]]&lt;=0.5,vp.tbl[[#This Row],[Unknown]]=0),1,0)</f>
        <v>0</v>
      </c>
      <c r="AG1484" t="str">
        <f>INDEX(vp.tbl[[#Headers],[Unknown]:[Heavy_SW]],MATCH(1,vp.tbl[[#This Row],[Unknown]:[Heavy_SW]],0))</f>
        <v>Medium_LSB</v>
      </c>
      <c r="AH1484" t="e">
        <f>INDEX([1]!crudeBD.lkup[Number],MATCH(vp.tbl[[#This Row],[Crude_Breakdown]],[1]!crudeBD.lkup[Crude Breakdown],0))</f>
        <v>#REF!</v>
      </c>
      <c r="AI1484">
        <f>MONTH(vp.tbl[[#This Row],[SDate]])</f>
        <v>5</v>
      </c>
      <c r="AJ1484" s="5">
        <f>IFERROR(vp.tbl[[#This Row],[Sulf]]*vp.tbl[[#This Row],[Net Dens]],"")</f>
        <v>1582770.5393500002</v>
      </c>
      <c r="AK1484" s="5">
        <f>IFERROR(vp.tbl[[#This Row],[Dens]]*vp.tbl[[#This Row],[VolumeM3]],"")</f>
        <v>1106832.5450000002</v>
      </c>
      <c r="AL1484" s="5">
        <f>IFERROR(vp.tbl[[#This Row],[VP]]*vp.tbl[[#This Row],[VolumeM3]],"")</f>
        <v>114612.83750000001</v>
      </c>
      <c r="AM1484" s="4">
        <f>IFERROR((vp.tbl[[#This Row],[VP]]-INDEX(crudeBD.lkup.complete[Mean_VP],MATCH(vp.tbl[[#This Row],[Crude_Breakdown]],crudeBD.lkup.complete[Crude Breakdown],0)))^2,"")</f>
        <v>53.676211151418585</v>
      </c>
      <c r="AN1484" s="4">
        <f>IFERROR((vp.tbl[[#This Row],[Dens]]-INDEX(crudeBD.lkup.complete[Mean_Dens],MATCH(vp.tbl[[#This Row],[Crude_Breakdown]],crudeBD.lkup.complete[Crude Breakdown],0)))^2,"")</f>
        <v>8.5160537733762753E-2</v>
      </c>
      <c r="AO1484" s="4">
        <f>IFERROR((vp.tbl[[#This Row],[Sulf]]-INDEX(crudeBD.lkup.complete[Mean_Sulf],MATCH(vp.tbl[[#This Row],[Crude_Breakdown]],crudeBD.lkup.complete[Crude Breakdown],0)))^2,"")</f>
        <v>6.2149795748781933E-4</v>
      </c>
      <c r="AP1484">
        <f>IF(AND(vp.tbl[[#This Row],[SDate]]&gt;=DATE(YEAR(vp.tbl[[#This Row],[SDate]]),5,1),vp.tbl[[#This Row],[SDate]]&lt;=DATE(YEAR(vp.tbl[[#This Row],[SDate]]),9,15)),1,0)</f>
        <v>1</v>
      </c>
      <c r="AQ1484" s="15">
        <f>IF(vp.tbl[[#This Row],[SDate]]&lt;DATE(2016,12,1),0,1)</f>
        <v>1</v>
      </c>
    </row>
    <row r="1485" spans="1:43" x14ac:dyDescent="0.25">
      <c r="A1485">
        <v>1484</v>
      </c>
      <c r="B1485" t="s">
        <v>68</v>
      </c>
      <c r="C1485" t="s">
        <v>68</v>
      </c>
      <c r="D1485" t="s">
        <v>98</v>
      </c>
      <c r="F1485" s="1">
        <v>42871</v>
      </c>
      <c r="G1485" s="2">
        <v>88.9</v>
      </c>
      <c r="H1485" s="2"/>
      <c r="I1485" s="2">
        <v>1.32</v>
      </c>
      <c r="J1485" s="2"/>
      <c r="K1485" s="2"/>
      <c r="L1485" s="2"/>
      <c r="M1485" s="2">
        <v>850.4</v>
      </c>
      <c r="N1485" s="2">
        <f ca="1">INDEX(INDIRECT(_xlfn.CONCAT("weather.tbl[",N$1,"]")),MATCH(vp.tbl[[#This Row],[SDate]],weather.tbl[Date],0))</f>
        <v>11.616666666666665</v>
      </c>
      <c r="O1485" s="2">
        <f ca="1">INDEX(INDIRECT(_xlfn.CONCAT("weather.tbl[",O$1,"]")),MATCH(vp.tbl[[#This Row],[SDate]],weather.tbl[Date],0))</f>
        <v>12.052380952380952</v>
      </c>
      <c r="P1485" s="2">
        <f ca="1">INDEX(INDIRECT(_xlfn.CONCAT("weather.tbl[",P$1,"]")),MATCH(vp.tbl[[#This Row],[SDate]],weather.tbl[Date],0))</f>
        <v>13.1</v>
      </c>
      <c r="Q1485" s="2">
        <f ca="1">INDEX(INDIRECT(_xlfn.CONCAT("weather.tbl[",Q$1,"]")),MATCH(vp.tbl[[#This Row],[SDate]],weather.tbl[Date],0))</f>
        <v>9.9</v>
      </c>
      <c r="R1485" s="2">
        <f ca="1">INDEX(INDIRECT(_xlfn.CONCAT("weather.tbl[",R$1,"]")),MATCH(vp.tbl[[#This Row],[SDate]],weather.tbl[Date],0))</f>
        <v>11.8</v>
      </c>
      <c r="S1485" s="2">
        <f ca="1">INDEX(INDIRECT(_xlfn.CONCAT("weather.tbl[",S$1,"]")),MATCH(vp.tbl[[#This Row],[SDate]],weather.tbl[Date],0))</f>
        <v>9.3000000000000007</v>
      </c>
      <c r="T1485" s="2">
        <f ca="1">INDEX(INDIRECT(_xlfn.CONCAT("weather.tbl[",T$1,"]")),MATCH(vp.tbl[[#This Row],[SDate]],weather.tbl[Date],0))</f>
        <v>13.1</v>
      </c>
      <c r="U1485" s="2">
        <f ca="1">INDEX(INDIRECT(_xlfn.CONCAT("weather.tbl[",U$1,"]")),MATCH(vp.tbl[[#This Row],[SDate]],weather.tbl[Date],0))</f>
        <v>12.5</v>
      </c>
      <c r="V1485" s="2">
        <v>4675.3909999999996</v>
      </c>
      <c r="W1485" t="s">
        <v>48</v>
      </c>
      <c r="X1485">
        <f>IF(OR(vp.tbl[[#This Row],[Sulf]]="",vp.tbl[[#This Row],[Dens]]=""),1,0)</f>
        <v>0</v>
      </c>
      <c r="Y1485">
        <f>IF(vp.tbl[[#This Row],[CrudeType]]="C5+",1,0)</f>
        <v>0</v>
      </c>
      <c r="Z1485">
        <f>IF(AND(vp.tbl[[#This Row],[CrudeType]]="Crude",vp.tbl[[#This Row],[Dens]]&lt;=825,vp.tbl[[#This Row],[Sulf]]&gt;0.5,vp.tbl[[#This Row],[Unknown]]=0),1,0)</f>
        <v>0</v>
      </c>
      <c r="AA1485">
        <f>IF(AND(vp.tbl[[#This Row],[CrudeType]]="Crude",vp.tbl[[#This Row],[Dens]]&lt;=825,vp.tbl[[#This Row],[Sulf]]&lt;=0.5,vp.tbl[[#This Row],[Unknown]]=0),1,0)</f>
        <v>0</v>
      </c>
      <c r="AB1485">
        <f>IF(AND(vp.tbl[[#This Row],[CrudeType]]="Crude",vp.tbl[[#This Row],[Dens]]&gt;825,vp.tbl[[#This Row],[Dens]]&lt;=870,vp.tbl[[#This Row],[Sulf]]&gt;0.5,vp.tbl[[#This Row],[Unknown]]=0),1,0)</f>
        <v>1</v>
      </c>
      <c r="AC1485">
        <f>IF(AND(vp.tbl[[#This Row],[CrudeType]]="Crude",vp.tbl[[#This Row],[Dens]]&gt;825,vp.tbl[[#This Row],[Dens]]&lt;=900,vp.tbl[[#This Row],[Sulf]]&lt;=0.5,vp.tbl[[#This Row],[Unknown]]=0),1,0)</f>
        <v>0</v>
      </c>
      <c r="AD1485">
        <f>IF(AND(vp.tbl[[#This Row],[CrudeType]]="Crude",vp.tbl[[#This Row],[Dens]]&gt;870,vp.tbl[[#This Row],[Dens]]&lt;=900,vp.tbl[[#This Row],[Sulf]]&gt;0.5,vp.tbl[[#This Row],[Unknown]]=0),1,0)</f>
        <v>0</v>
      </c>
      <c r="AE1485">
        <f>IF(AND(vp.tbl[[#This Row],[CrudeType]]="Crude",vp.tbl[[#This Row],[Dens]]&gt;900,vp.tbl[[#This Row],[Sulf]]&lt;=0.5,vp.tbl[[#This Row],[Unknown]]=0),1,0)</f>
        <v>0</v>
      </c>
      <c r="AF1485">
        <f>IF(AND(vp.tbl[[#This Row],[CrudeType]]="Crude",vp.tbl[[#This Row],[Dens]]&gt;900,vp.tbl[[#This Row],[Sulf]]&lt;=0.5,vp.tbl[[#This Row],[Unknown]]=0),1,0)</f>
        <v>0</v>
      </c>
      <c r="AG1485" t="str">
        <f>INDEX(vp.tbl[[#Headers],[Unknown]:[Heavy_SW]],MATCH(1,vp.tbl[[#This Row],[Unknown]:[Heavy_SW]],0))</f>
        <v>Medium_LSB</v>
      </c>
      <c r="AH1485" t="e">
        <f>INDEX([1]!crudeBD.lkup[Number],MATCH(vp.tbl[[#This Row],[Crude_Breakdown]],[1]!crudeBD.lkup[Crude Breakdown],0))</f>
        <v>#REF!</v>
      </c>
      <c r="AI1485">
        <f>MONTH(vp.tbl[[#This Row],[SDate]])</f>
        <v>5</v>
      </c>
      <c r="AJ1485" s="5">
        <f>IFERROR(vp.tbl[[#This Row],[Sulf]]*vp.tbl[[#This Row],[Net Dens]],"")</f>
        <v>5248257.3084479999</v>
      </c>
      <c r="AK1485" s="5">
        <f>IFERROR(vp.tbl[[#This Row],[Dens]]*vp.tbl[[#This Row],[VolumeM3]],"")</f>
        <v>3975952.5063999994</v>
      </c>
      <c r="AL1485" s="5">
        <f>IFERROR(vp.tbl[[#This Row],[VP]]*vp.tbl[[#This Row],[VolumeM3]],"")</f>
        <v>415642.2599</v>
      </c>
      <c r="AM1485" s="4">
        <f>IFERROR((vp.tbl[[#This Row],[VP]]-INDEX(crudeBD.lkup.complete[Mean_VP],MATCH(vp.tbl[[#This Row],[Crude_Breakdown]],crudeBD.lkup.complete[Crude Breakdown],0)))^2,"")</f>
        <v>76.150145328633968</v>
      </c>
      <c r="AN1485" s="4">
        <f>IFERROR((vp.tbl[[#This Row],[Dens]]-INDEX(crudeBD.lkup.complete[Mean_Dens],MATCH(vp.tbl[[#This Row],[Crude_Breakdown]],crudeBD.lkup.complete[Crude Breakdown],0)))^2,"")</f>
        <v>26.093474461794798</v>
      </c>
      <c r="AO1485" s="4">
        <f>IFERROR((vp.tbl[[#This Row],[Sulf]]-INDEX(crudeBD.lkup.complete[Mean_Sulf],MATCH(vp.tbl[[#This Row],[Crude_Breakdown]],crudeBD.lkup.complete[Crude Breakdown],0)))^2,"")</f>
        <v>1.8206067324576733E-2</v>
      </c>
      <c r="AP1485">
        <f>IF(AND(vp.tbl[[#This Row],[SDate]]&gt;=DATE(YEAR(vp.tbl[[#This Row],[SDate]]),5,1),vp.tbl[[#This Row],[SDate]]&lt;=DATE(YEAR(vp.tbl[[#This Row],[SDate]]),9,15)),1,0)</f>
        <v>1</v>
      </c>
      <c r="AQ1485" s="15">
        <f>IF(vp.tbl[[#This Row],[SDate]]&lt;DATE(2016,12,1),0,1)</f>
        <v>1</v>
      </c>
    </row>
    <row r="1486" spans="1:43" x14ac:dyDescent="0.25">
      <c r="A1486">
        <v>1485</v>
      </c>
      <c r="B1486" t="s">
        <v>49</v>
      </c>
      <c r="C1486" t="s">
        <v>49</v>
      </c>
      <c r="D1486" t="s">
        <v>81</v>
      </c>
      <c r="F1486" s="1">
        <v>42871</v>
      </c>
      <c r="G1486" s="2">
        <v>81.3</v>
      </c>
      <c r="H1486" s="2"/>
      <c r="I1486" s="2">
        <v>0.53</v>
      </c>
      <c r="J1486" s="2"/>
      <c r="K1486" s="2"/>
      <c r="L1486" s="2"/>
      <c r="M1486" s="2">
        <v>824.7</v>
      </c>
      <c r="N1486" s="2">
        <f ca="1">INDEX(INDIRECT(_xlfn.CONCAT("weather.tbl[",N$1,"]")),MATCH(vp.tbl[[#This Row],[SDate]],weather.tbl[Date],0))</f>
        <v>11.616666666666665</v>
      </c>
      <c r="O1486" s="2">
        <f ca="1">INDEX(INDIRECT(_xlfn.CONCAT("weather.tbl[",O$1,"]")),MATCH(vp.tbl[[#This Row],[SDate]],weather.tbl[Date],0))</f>
        <v>12.052380952380952</v>
      </c>
      <c r="P1486" s="2">
        <f ca="1">INDEX(INDIRECT(_xlfn.CONCAT("weather.tbl[",P$1,"]")),MATCH(vp.tbl[[#This Row],[SDate]],weather.tbl[Date],0))</f>
        <v>13.1</v>
      </c>
      <c r="Q1486" s="2">
        <f ca="1">INDEX(INDIRECT(_xlfn.CONCAT("weather.tbl[",Q$1,"]")),MATCH(vp.tbl[[#This Row],[SDate]],weather.tbl[Date],0))</f>
        <v>9.9</v>
      </c>
      <c r="R1486" s="2">
        <f ca="1">INDEX(INDIRECT(_xlfn.CONCAT("weather.tbl[",R$1,"]")),MATCH(vp.tbl[[#This Row],[SDate]],weather.tbl[Date],0))</f>
        <v>11.8</v>
      </c>
      <c r="S1486" s="2">
        <f ca="1">INDEX(INDIRECT(_xlfn.CONCAT("weather.tbl[",S$1,"]")),MATCH(vp.tbl[[#This Row],[SDate]],weather.tbl[Date],0))</f>
        <v>9.3000000000000007</v>
      </c>
      <c r="T1486" s="2">
        <f ca="1">INDEX(INDIRECT(_xlfn.CONCAT("weather.tbl[",T$1,"]")),MATCH(vp.tbl[[#This Row],[SDate]],weather.tbl[Date],0))</f>
        <v>13.1</v>
      </c>
      <c r="U1486" s="2">
        <f ca="1">INDEX(INDIRECT(_xlfn.CONCAT("weather.tbl[",U$1,"]")),MATCH(vp.tbl[[#This Row],[SDate]],weather.tbl[Date],0))</f>
        <v>12.5</v>
      </c>
      <c r="V1486" s="2">
        <v>19932.741000000002</v>
      </c>
      <c r="W1486" t="s">
        <v>48</v>
      </c>
      <c r="X1486">
        <f>IF(OR(vp.tbl[[#This Row],[Sulf]]="",vp.tbl[[#This Row],[Dens]]=""),1,0)</f>
        <v>0</v>
      </c>
      <c r="Y1486">
        <f>IF(vp.tbl[[#This Row],[CrudeType]]="C5+",1,0)</f>
        <v>0</v>
      </c>
      <c r="Z1486">
        <f>IF(AND(vp.tbl[[#This Row],[CrudeType]]="Crude",vp.tbl[[#This Row],[Dens]]&lt;=825,vp.tbl[[#This Row],[Sulf]]&gt;0.5,vp.tbl[[#This Row],[Unknown]]=0),1,0)</f>
        <v>1</v>
      </c>
      <c r="AA1486">
        <f>IF(AND(vp.tbl[[#This Row],[CrudeType]]="Crude",vp.tbl[[#This Row],[Dens]]&lt;=825,vp.tbl[[#This Row],[Sulf]]&lt;=0.5,vp.tbl[[#This Row],[Unknown]]=0),1,0)</f>
        <v>0</v>
      </c>
      <c r="AB1486">
        <f>IF(AND(vp.tbl[[#This Row],[CrudeType]]="Crude",vp.tbl[[#This Row],[Dens]]&gt;825,vp.tbl[[#This Row],[Dens]]&lt;=870,vp.tbl[[#This Row],[Sulf]]&gt;0.5,vp.tbl[[#This Row],[Unknown]]=0),1,0)</f>
        <v>0</v>
      </c>
      <c r="AC1486">
        <f>IF(AND(vp.tbl[[#This Row],[CrudeType]]="Crude",vp.tbl[[#This Row],[Dens]]&gt;825,vp.tbl[[#This Row],[Dens]]&lt;=900,vp.tbl[[#This Row],[Sulf]]&lt;=0.5,vp.tbl[[#This Row],[Unknown]]=0),1,0)</f>
        <v>0</v>
      </c>
      <c r="AD1486">
        <f>IF(AND(vp.tbl[[#This Row],[CrudeType]]="Crude",vp.tbl[[#This Row],[Dens]]&gt;870,vp.tbl[[#This Row],[Dens]]&lt;=900,vp.tbl[[#This Row],[Sulf]]&gt;0.5,vp.tbl[[#This Row],[Unknown]]=0),1,0)</f>
        <v>0</v>
      </c>
      <c r="AE1486">
        <f>IF(AND(vp.tbl[[#This Row],[CrudeType]]="Crude",vp.tbl[[#This Row],[Dens]]&gt;900,vp.tbl[[#This Row],[Sulf]]&lt;=0.5,vp.tbl[[#This Row],[Unknown]]=0),1,0)</f>
        <v>0</v>
      </c>
      <c r="AF1486">
        <f>IF(AND(vp.tbl[[#This Row],[CrudeType]]="Crude",vp.tbl[[#This Row],[Dens]]&gt;900,vp.tbl[[#This Row],[Sulf]]&lt;=0.5,vp.tbl[[#This Row],[Unknown]]=0),1,0)</f>
        <v>0</v>
      </c>
      <c r="AG1486" t="str">
        <f>INDEX(vp.tbl[[#Headers],[Unknown]:[Heavy_SW]],MATCH(1,vp.tbl[[#This Row],[Unknown]:[Heavy_SW]],0))</f>
        <v>Light_LSB</v>
      </c>
      <c r="AH1486" t="e">
        <f>INDEX([1]!crudeBD.lkup[Number],MATCH(vp.tbl[[#This Row],[Crude_Breakdown]],[1]!crudeBD.lkup[Crude Breakdown],0))</f>
        <v>#REF!</v>
      </c>
      <c r="AI1486">
        <f>MONTH(vp.tbl[[#This Row],[SDate]])</f>
        <v>5</v>
      </c>
      <c r="AJ1486" s="5">
        <f>IFERROR(vp.tbl[[#This Row],[Sulf]]*vp.tbl[[#This Row],[Net Dens]],"")</f>
        <v>8712421.6964310016</v>
      </c>
      <c r="AK1486" s="5">
        <f>IFERROR(vp.tbl[[#This Row],[Dens]]*vp.tbl[[#This Row],[VolumeM3]],"")</f>
        <v>16438531.502700003</v>
      </c>
      <c r="AL1486" s="5">
        <f>IFERROR(vp.tbl[[#This Row],[VP]]*vp.tbl[[#This Row],[VolumeM3]],"")</f>
        <v>1620531.8433000001</v>
      </c>
      <c r="AM1486" s="4">
        <f>IFERROR((vp.tbl[[#This Row],[VP]]-INDEX(crudeBD.lkup.complete[Mean_VP],MATCH(vp.tbl[[#This Row],[Crude_Breakdown]],crudeBD.lkup.complete[Crude Breakdown],0)))^2,"")</f>
        <v>104.98431867361107</v>
      </c>
      <c r="AN1486" s="4">
        <f>IFERROR((vp.tbl[[#This Row],[Dens]]-INDEX(crudeBD.lkup.complete[Mean_Dens],MATCH(vp.tbl[[#This Row],[Crude_Breakdown]],crudeBD.lkup.complete[Crude Breakdown],0)))^2,"")</f>
        <v>38.232336207654335</v>
      </c>
      <c r="AO1486" s="4">
        <f>IFERROR((vp.tbl[[#This Row],[Sulf]]-INDEX(crudeBD.lkup.complete[Mean_Sulf],MATCH(vp.tbl[[#This Row],[Crude_Breakdown]],crudeBD.lkup.complete[Crude Breakdown],0)))^2,"")</f>
        <v>0.15442633918177728</v>
      </c>
      <c r="AP1486">
        <f>IF(AND(vp.tbl[[#This Row],[SDate]]&gt;=DATE(YEAR(vp.tbl[[#This Row],[SDate]]),5,1),vp.tbl[[#This Row],[SDate]]&lt;=DATE(YEAR(vp.tbl[[#This Row],[SDate]]),9,15)),1,0)</f>
        <v>1</v>
      </c>
      <c r="AQ1486" s="15">
        <f>IF(vp.tbl[[#This Row],[SDate]]&lt;DATE(2016,12,1),0,1)</f>
        <v>1</v>
      </c>
    </row>
    <row r="1487" spans="1:43" x14ac:dyDescent="0.25">
      <c r="A1487">
        <v>1486</v>
      </c>
      <c r="B1487" t="s">
        <v>96</v>
      </c>
      <c r="C1487" t="s">
        <v>96</v>
      </c>
      <c r="D1487" t="s">
        <v>97</v>
      </c>
      <c r="F1487" s="1">
        <v>42871</v>
      </c>
      <c r="G1487" s="2">
        <v>81.400000000000006</v>
      </c>
      <c r="H1487" s="2"/>
      <c r="I1487" s="2">
        <v>0.73</v>
      </c>
      <c r="J1487" s="2"/>
      <c r="K1487" s="2"/>
      <c r="L1487" s="2"/>
      <c r="M1487" s="2">
        <v>821.8</v>
      </c>
      <c r="N1487" s="2">
        <f ca="1">INDEX(INDIRECT(_xlfn.CONCAT("weather.tbl[",N$1,"]")),MATCH(vp.tbl[[#This Row],[SDate]],weather.tbl[Date],0))</f>
        <v>11.616666666666665</v>
      </c>
      <c r="O1487" s="2">
        <f ca="1">INDEX(INDIRECT(_xlfn.CONCAT("weather.tbl[",O$1,"]")),MATCH(vp.tbl[[#This Row],[SDate]],weather.tbl[Date],0))</f>
        <v>12.052380952380952</v>
      </c>
      <c r="P1487" s="2">
        <f ca="1">INDEX(INDIRECT(_xlfn.CONCAT("weather.tbl[",P$1,"]")),MATCH(vp.tbl[[#This Row],[SDate]],weather.tbl[Date],0))</f>
        <v>13.1</v>
      </c>
      <c r="Q1487" s="2">
        <f ca="1">INDEX(INDIRECT(_xlfn.CONCAT("weather.tbl[",Q$1,"]")),MATCH(vp.tbl[[#This Row],[SDate]],weather.tbl[Date],0))</f>
        <v>9.9</v>
      </c>
      <c r="R1487" s="2">
        <f ca="1">INDEX(INDIRECT(_xlfn.CONCAT("weather.tbl[",R$1,"]")),MATCH(vp.tbl[[#This Row],[SDate]],weather.tbl[Date],0))</f>
        <v>11.8</v>
      </c>
      <c r="S1487" s="2">
        <f ca="1">INDEX(INDIRECT(_xlfn.CONCAT("weather.tbl[",S$1,"]")),MATCH(vp.tbl[[#This Row],[SDate]],weather.tbl[Date],0))</f>
        <v>9.3000000000000007</v>
      </c>
      <c r="T1487" s="2">
        <f ca="1">INDEX(INDIRECT(_xlfn.CONCAT("weather.tbl[",T$1,"]")),MATCH(vp.tbl[[#This Row],[SDate]],weather.tbl[Date],0))</f>
        <v>13.1</v>
      </c>
      <c r="U1487" s="2">
        <f ca="1">INDEX(INDIRECT(_xlfn.CONCAT("weather.tbl[",U$1,"]")),MATCH(vp.tbl[[#This Row],[SDate]],weather.tbl[Date],0))</f>
        <v>12.5</v>
      </c>
      <c r="V1487" s="2">
        <v>7702.1589999999997</v>
      </c>
      <c r="W1487" t="s">
        <v>48</v>
      </c>
      <c r="X1487">
        <f>IF(OR(vp.tbl[[#This Row],[Sulf]]="",vp.tbl[[#This Row],[Dens]]=""),1,0)</f>
        <v>0</v>
      </c>
      <c r="Y1487">
        <f>IF(vp.tbl[[#This Row],[CrudeType]]="C5+",1,0)</f>
        <v>0</v>
      </c>
      <c r="Z1487">
        <f>IF(AND(vp.tbl[[#This Row],[CrudeType]]="Crude",vp.tbl[[#This Row],[Dens]]&lt;=825,vp.tbl[[#This Row],[Sulf]]&gt;0.5,vp.tbl[[#This Row],[Unknown]]=0),1,0)</f>
        <v>1</v>
      </c>
      <c r="AA1487">
        <f>IF(AND(vp.tbl[[#This Row],[CrudeType]]="Crude",vp.tbl[[#This Row],[Dens]]&lt;=825,vp.tbl[[#This Row],[Sulf]]&lt;=0.5,vp.tbl[[#This Row],[Unknown]]=0),1,0)</f>
        <v>0</v>
      </c>
      <c r="AB1487">
        <f>IF(AND(vp.tbl[[#This Row],[CrudeType]]="Crude",vp.tbl[[#This Row],[Dens]]&gt;825,vp.tbl[[#This Row],[Dens]]&lt;=870,vp.tbl[[#This Row],[Sulf]]&gt;0.5,vp.tbl[[#This Row],[Unknown]]=0),1,0)</f>
        <v>0</v>
      </c>
      <c r="AC1487">
        <f>IF(AND(vp.tbl[[#This Row],[CrudeType]]="Crude",vp.tbl[[#This Row],[Dens]]&gt;825,vp.tbl[[#This Row],[Dens]]&lt;=900,vp.tbl[[#This Row],[Sulf]]&lt;=0.5,vp.tbl[[#This Row],[Unknown]]=0),1,0)</f>
        <v>0</v>
      </c>
      <c r="AD1487">
        <f>IF(AND(vp.tbl[[#This Row],[CrudeType]]="Crude",vp.tbl[[#This Row],[Dens]]&gt;870,vp.tbl[[#This Row],[Dens]]&lt;=900,vp.tbl[[#This Row],[Sulf]]&gt;0.5,vp.tbl[[#This Row],[Unknown]]=0),1,0)</f>
        <v>0</v>
      </c>
      <c r="AE1487">
        <f>IF(AND(vp.tbl[[#This Row],[CrudeType]]="Crude",vp.tbl[[#This Row],[Dens]]&gt;900,vp.tbl[[#This Row],[Sulf]]&lt;=0.5,vp.tbl[[#This Row],[Unknown]]=0),1,0)</f>
        <v>0</v>
      </c>
      <c r="AF1487">
        <f>IF(AND(vp.tbl[[#This Row],[CrudeType]]="Crude",vp.tbl[[#This Row],[Dens]]&gt;900,vp.tbl[[#This Row],[Sulf]]&lt;=0.5,vp.tbl[[#This Row],[Unknown]]=0),1,0)</f>
        <v>0</v>
      </c>
      <c r="AG1487" t="str">
        <f>INDEX(vp.tbl[[#Headers],[Unknown]:[Heavy_SW]],MATCH(1,vp.tbl[[#This Row],[Unknown]:[Heavy_SW]],0))</f>
        <v>Light_LSB</v>
      </c>
      <c r="AH1487" t="e">
        <f>INDEX([1]!crudeBD.lkup[Number],MATCH(vp.tbl[[#This Row],[Crude_Breakdown]],[1]!crudeBD.lkup[Crude Breakdown],0))</f>
        <v>#REF!</v>
      </c>
      <c r="AI1487">
        <f>MONTH(vp.tbl[[#This Row],[SDate]])</f>
        <v>5</v>
      </c>
      <c r="AJ1487" s="5">
        <f>IFERROR(vp.tbl[[#This Row],[Sulf]]*vp.tbl[[#This Row],[Net Dens]],"")</f>
        <v>4620633.0143259997</v>
      </c>
      <c r="AK1487" s="5">
        <f>IFERROR(vp.tbl[[#This Row],[Dens]]*vp.tbl[[#This Row],[VolumeM3]],"")</f>
        <v>6329634.2661999995</v>
      </c>
      <c r="AL1487" s="5">
        <f>IFERROR(vp.tbl[[#This Row],[VP]]*vp.tbl[[#This Row],[VolumeM3]],"")</f>
        <v>626955.7426</v>
      </c>
      <c r="AM1487" s="4">
        <f>IFERROR((vp.tbl[[#This Row],[VP]]-INDEX(crudeBD.lkup.complete[Mean_VP],MATCH(vp.tbl[[#This Row],[Crude_Breakdown]],crudeBD.lkup.complete[Crude Breakdown],0)))^2,"")</f>
        <v>102.94508156020882</v>
      </c>
      <c r="AN1487" s="4">
        <f>IFERROR((vp.tbl[[#This Row],[Dens]]-INDEX(crudeBD.lkup.complete[Mean_Dens],MATCH(vp.tbl[[#This Row],[Crude_Breakdown]],crudeBD.lkup.complete[Crude Breakdown],0)))^2,"")</f>
        <v>10.779600812462647</v>
      </c>
      <c r="AO1487" s="4">
        <f>IFERROR((vp.tbl[[#This Row],[Sulf]]-INDEX(crudeBD.lkup.complete[Mean_Sulf],MATCH(vp.tbl[[#This Row],[Crude_Breakdown]],crudeBD.lkup.complete[Crude Breakdown],0)))^2,"")</f>
        <v>3.7237871827825515E-2</v>
      </c>
      <c r="AP1487">
        <f>IF(AND(vp.tbl[[#This Row],[SDate]]&gt;=DATE(YEAR(vp.tbl[[#This Row],[SDate]]),5,1),vp.tbl[[#This Row],[SDate]]&lt;=DATE(YEAR(vp.tbl[[#This Row],[SDate]]),9,15)),1,0)</f>
        <v>1</v>
      </c>
      <c r="AQ1487" s="15">
        <f>IF(vp.tbl[[#This Row],[SDate]]&lt;DATE(2016,12,1),0,1)</f>
        <v>1</v>
      </c>
    </row>
    <row r="1488" spans="1:43" x14ac:dyDescent="0.25">
      <c r="A1488">
        <v>1487</v>
      </c>
      <c r="B1488" t="s">
        <v>51</v>
      </c>
      <c r="C1488" t="s">
        <v>51</v>
      </c>
      <c r="D1488" t="s">
        <v>66</v>
      </c>
      <c r="F1488" s="1">
        <v>42871</v>
      </c>
      <c r="G1488" s="2">
        <v>90.6</v>
      </c>
      <c r="H1488" s="2"/>
      <c r="I1488" s="2">
        <v>1.79</v>
      </c>
      <c r="J1488" s="2"/>
      <c r="K1488" s="2"/>
      <c r="L1488" s="2"/>
      <c r="M1488" s="2">
        <v>824.4</v>
      </c>
      <c r="N1488" s="2">
        <f ca="1">INDEX(INDIRECT(_xlfn.CONCAT("weather.tbl[",N$1,"]")),MATCH(vp.tbl[[#This Row],[SDate]],weather.tbl[Date],0))</f>
        <v>11.616666666666665</v>
      </c>
      <c r="O1488" s="2">
        <f ca="1">INDEX(INDIRECT(_xlfn.CONCAT("weather.tbl[",O$1,"]")),MATCH(vp.tbl[[#This Row],[SDate]],weather.tbl[Date],0))</f>
        <v>12.052380952380952</v>
      </c>
      <c r="P1488" s="2">
        <f ca="1">INDEX(INDIRECT(_xlfn.CONCAT("weather.tbl[",P$1,"]")),MATCH(vp.tbl[[#This Row],[SDate]],weather.tbl[Date],0))</f>
        <v>13.1</v>
      </c>
      <c r="Q1488" s="2">
        <f ca="1">INDEX(INDIRECT(_xlfn.CONCAT("weather.tbl[",Q$1,"]")),MATCH(vp.tbl[[#This Row],[SDate]],weather.tbl[Date],0))</f>
        <v>9.9</v>
      </c>
      <c r="R1488" s="2">
        <f ca="1">INDEX(INDIRECT(_xlfn.CONCAT("weather.tbl[",R$1,"]")),MATCH(vp.tbl[[#This Row],[SDate]],weather.tbl[Date],0))</f>
        <v>11.8</v>
      </c>
      <c r="S1488" s="2">
        <f ca="1">INDEX(INDIRECT(_xlfn.CONCAT("weather.tbl[",S$1,"]")),MATCH(vp.tbl[[#This Row],[SDate]],weather.tbl[Date],0))</f>
        <v>9.3000000000000007</v>
      </c>
      <c r="T1488" s="2">
        <f ca="1">INDEX(INDIRECT(_xlfn.CONCAT("weather.tbl[",T$1,"]")),MATCH(vp.tbl[[#This Row],[SDate]],weather.tbl[Date],0))</f>
        <v>13.1</v>
      </c>
      <c r="U1488" s="2">
        <f ca="1">INDEX(INDIRECT(_xlfn.CONCAT("weather.tbl[",U$1,"]")),MATCH(vp.tbl[[#This Row],[SDate]],weather.tbl[Date],0))</f>
        <v>12.5</v>
      </c>
      <c r="V1488" s="2">
        <v>5197.7240000000002</v>
      </c>
      <c r="W1488" t="s">
        <v>48</v>
      </c>
      <c r="X1488">
        <f>IF(OR(vp.tbl[[#This Row],[Sulf]]="",vp.tbl[[#This Row],[Dens]]=""),1,0)</f>
        <v>0</v>
      </c>
      <c r="Y1488">
        <f>IF(vp.tbl[[#This Row],[CrudeType]]="C5+",1,0)</f>
        <v>0</v>
      </c>
      <c r="Z1488">
        <f>IF(AND(vp.tbl[[#This Row],[CrudeType]]="Crude",vp.tbl[[#This Row],[Dens]]&lt;=825,vp.tbl[[#This Row],[Sulf]]&gt;0.5,vp.tbl[[#This Row],[Unknown]]=0),1,0)</f>
        <v>1</v>
      </c>
      <c r="AA1488">
        <f>IF(AND(vp.tbl[[#This Row],[CrudeType]]="Crude",vp.tbl[[#This Row],[Dens]]&lt;=825,vp.tbl[[#This Row],[Sulf]]&lt;=0.5,vp.tbl[[#This Row],[Unknown]]=0),1,0)</f>
        <v>0</v>
      </c>
      <c r="AB1488">
        <f>IF(AND(vp.tbl[[#This Row],[CrudeType]]="Crude",vp.tbl[[#This Row],[Dens]]&gt;825,vp.tbl[[#This Row],[Dens]]&lt;=870,vp.tbl[[#This Row],[Sulf]]&gt;0.5,vp.tbl[[#This Row],[Unknown]]=0),1,0)</f>
        <v>0</v>
      </c>
      <c r="AC1488">
        <f>IF(AND(vp.tbl[[#This Row],[CrudeType]]="Crude",vp.tbl[[#This Row],[Dens]]&gt;825,vp.tbl[[#This Row],[Dens]]&lt;=900,vp.tbl[[#This Row],[Sulf]]&lt;=0.5,vp.tbl[[#This Row],[Unknown]]=0),1,0)</f>
        <v>0</v>
      </c>
      <c r="AD1488">
        <f>IF(AND(vp.tbl[[#This Row],[CrudeType]]="Crude",vp.tbl[[#This Row],[Dens]]&gt;870,vp.tbl[[#This Row],[Dens]]&lt;=900,vp.tbl[[#This Row],[Sulf]]&gt;0.5,vp.tbl[[#This Row],[Unknown]]=0),1,0)</f>
        <v>0</v>
      </c>
      <c r="AE1488">
        <f>IF(AND(vp.tbl[[#This Row],[CrudeType]]="Crude",vp.tbl[[#This Row],[Dens]]&gt;900,vp.tbl[[#This Row],[Sulf]]&lt;=0.5,vp.tbl[[#This Row],[Unknown]]=0),1,0)</f>
        <v>0</v>
      </c>
      <c r="AF1488">
        <f>IF(AND(vp.tbl[[#This Row],[CrudeType]]="Crude",vp.tbl[[#This Row],[Dens]]&gt;900,vp.tbl[[#This Row],[Sulf]]&lt;=0.5,vp.tbl[[#This Row],[Unknown]]=0),1,0)</f>
        <v>0</v>
      </c>
      <c r="AG1488" t="str">
        <f>INDEX(vp.tbl[[#Headers],[Unknown]:[Heavy_SW]],MATCH(1,vp.tbl[[#This Row],[Unknown]:[Heavy_SW]],0))</f>
        <v>Light_LSB</v>
      </c>
      <c r="AH1488" t="e">
        <f>INDEX([1]!crudeBD.lkup[Number],MATCH(vp.tbl[[#This Row],[Crude_Breakdown]],[1]!crudeBD.lkup[Crude Breakdown],0))</f>
        <v>#REF!</v>
      </c>
      <c r="AI1488">
        <f>MONTH(vp.tbl[[#This Row],[SDate]])</f>
        <v>5</v>
      </c>
      <c r="AJ1488" s="5">
        <f>IFERROR(vp.tbl[[#This Row],[Sulf]]*vp.tbl[[#This Row],[Net Dens]],"")</f>
        <v>7670156.5614240002</v>
      </c>
      <c r="AK1488" s="5">
        <f>IFERROR(vp.tbl[[#This Row],[Dens]]*vp.tbl[[#This Row],[VolumeM3]],"")</f>
        <v>4285003.6655999999</v>
      </c>
      <c r="AL1488" s="5">
        <f>IFERROR(vp.tbl[[#This Row],[VP]]*vp.tbl[[#This Row],[VolumeM3]],"")</f>
        <v>470913.79440000001</v>
      </c>
      <c r="AM1488" s="4">
        <f>IFERROR((vp.tbl[[#This Row],[VP]]-INDEX(crudeBD.lkup.complete[Mean_VP],MATCH(vp.tbl[[#This Row],[Crude_Breakdown]],crudeBD.lkup.complete[Crude Breakdown],0)))^2,"")</f>
        <v>0.89526712721869006</v>
      </c>
      <c r="AN1488" s="4">
        <f>IFERROR((vp.tbl[[#This Row],[Dens]]-INDEX(crudeBD.lkup.complete[Mean_Dens],MATCH(vp.tbl[[#This Row],[Crude_Breakdown]],crudeBD.lkup.complete[Crude Breakdown],0)))^2,"")</f>
        <v>34.612398063323418</v>
      </c>
      <c r="AO1488" s="4">
        <f>IFERROR((vp.tbl[[#This Row],[Sulf]]-INDEX(crudeBD.lkup.complete[Mean_Sulf],MATCH(vp.tbl[[#This Row],[Crude_Breakdown]],crudeBD.lkup.complete[Crude Breakdown],0)))^2,"")</f>
        <v>0.75173899485188111</v>
      </c>
      <c r="AP1488">
        <f>IF(AND(vp.tbl[[#This Row],[SDate]]&gt;=DATE(YEAR(vp.tbl[[#This Row],[SDate]]),5,1),vp.tbl[[#This Row],[SDate]]&lt;=DATE(YEAR(vp.tbl[[#This Row],[SDate]]),9,15)),1,0)</f>
        <v>1</v>
      </c>
      <c r="AQ1488" s="15">
        <f>IF(vp.tbl[[#This Row],[SDate]]&lt;DATE(2016,12,1),0,1)</f>
        <v>1</v>
      </c>
    </row>
    <row r="1489" spans="1:43" x14ac:dyDescent="0.25">
      <c r="A1489">
        <v>1488</v>
      </c>
      <c r="B1489" t="s">
        <v>291</v>
      </c>
      <c r="C1489" t="s">
        <v>291</v>
      </c>
      <c r="D1489" t="s">
        <v>109</v>
      </c>
      <c r="F1489" s="1">
        <v>42871</v>
      </c>
      <c r="G1489" s="2">
        <v>82.5</v>
      </c>
      <c r="H1489" s="2"/>
      <c r="I1489" s="2">
        <v>0.77</v>
      </c>
      <c r="J1489" s="2"/>
      <c r="K1489" s="2"/>
      <c r="L1489" s="2"/>
      <c r="M1489" s="2">
        <v>837.8</v>
      </c>
      <c r="N1489" s="2">
        <f ca="1">INDEX(INDIRECT(_xlfn.CONCAT("weather.tbl[",N$1,"]")),MATCH(vp.tbl[[#This Row],[SDate]],weather.tbl[Date],0))</f>
        <v>11.616666666666665</v>
      </c>
      <c r="O1489" s="2">
        <f ca="1">INDEX(INDIRECT(_xlfn.CONCAT("weather.tbl[",O$1,"]")),MATCH(vp.tbl[[#This Row],[SDate]],weather.tbl[Date],0))</f>
        <v>12.052380952380952</v>
      </c>
      <c r="P1489" s="2">
        <f ca="1">INDEX(INDIRECT(_xlfn.CONCAT("weather.tbl[",P$1,"]")),MATCH(vp.tbl[[#This Row],[SDate]],weather.tbl[Date],0))</f>
        <v>13.1</v>
      </c>
      <c r="Q1489" s="2">
        <f ca="1">INDEX(INDIRECT(_xlfn.CONCAT("weather.tbl[",Q$1,"]")),MATCH(vp.tbl[[#This Row],[SDate]],weather.tbl[Date],0))</f>
        <v>9.9</v>
      </c>
      <c r="R1489" s="2">
        <f ca="1">INDEX(INDIRECT(_xlfn.CONCAT("weather.tbl[",R$1,"]")),MATCH(vp.tbl[[#This Row],[SDate]],weather.tbl[Date],0))</f>
        <v>11.8</v>
      </c>
      <c r="S1489" s="2">
        <f ca="1">INDEX(INDIRECT(_xlfn.CONCAT("weather.tbl[",S$1,"]")),MATCH(vp.tbl[[#This Row],[SDate]],weather.tbl[Date],0))</f>
        <v>9.3000000000000007</v>
      </c>
      <c r="T1489" s="2">
        <f ca="1">INDEX(INDIRECT(_xlfn.CONCAT("weather.tbl[",T$1,"]")),MATCH(vp.tbl[[#This Row],[SDate]],weather.tbl[Date],0))</f>
        <v>13.1</v>
      </c>
      <c r="U1489" s="2">
        <f ca="1">INDEX(INDIRECT(_xlfn.CONCAT("weather.tbl[",U$1,"]")),MATCH(vp.tbl[[#This Row],[SDate]],weather.tbl[Date],0))</f>
        <v>12.5</v>
      </c>
      <c r="V1489" s="2">
        <v>13057.414000000001</v>
      </c>
      <c r="W1489" t="s">
        <v>48</v>
      </c>
      <c r="X1489">
        <f>IF(OR(vp.tbl[[#This Row],[Sulf]]="",vp.tbl[[#This Row],[Dens]]=""),1,0)</f>
        <v>0</v>
      </c>
      <c r="Y1489">
        <f>IF(vp.tbl[[#This Row],[CrudeType]]="C5+",1,0)</f>
        <v>0</v>
      </c>
      <c r="Z1489">
        <f>IF(AND(vp.tbl[[#This Row],[CrudeType]]="Crude",vp.tbl[[#This Row],[Dens]]&lt;=825,vp.tbl[[#This Row],[Sulf]]&gt;0.5,vp.tbl[[#This Row],[Unknown]]=0),1,0)</f>
        <v>0</v>
      </c>
      <c r="AA1489">
        <f>IF(AND(vp.tbl[[#This Row],[CrudeType]]="Crude",vp.tbl[[#This Row],[Dens]]&lt;=825,vp.tbl[[#This Row],[Sulf]]&lt;=0.5,vp.tbl[[#This Row],[Unknown]]=0),1,0)</f>
        <v>0</v>
      </c>
      <c r="AB1489">
        <f>IF(AND(vp.tbl[[#This Row],[CrudeType]]="Crude",vp.tbl[[#This Row],[Dens]]&gt;825,vp.tbl[[#This Row],[Dens]]&lt;=870,vp.tbl[[#This Row],[Sulf]]&gt;0.5,vp.tbl[[#This Row],[Unknown]]=0),1,0)</f>
        <v>1</v>
      </c>
      <c r="AC1489">
        <f>IF(AND(vp.tbl[[#This Row],[CrudeType]]="Crude",vp.tbl[[#This Row],[Dens]]&gt;825,vp.tbl[[#This Row],[Dens]]&lt;=900,vp.tbl[[#This Row],[Sulf]]&lt;=0.5,vp.tbl[[#This Row],[Unknown]]=0),1,0)</f>
        <v>0</v>
      </c>
      <c r="AD1489">
        <f>IF(AND(vp.tbl[[#This Row],[CrudeType]]="Crude",vp.tbl[[#This Row],[Dens]]&gt;870,vp.tbl[[#This Row],[Dens]]&lt;=900,vp.tbl[[#This Row],[Sulf]]&gt;0.5,vp.tbl[[#This Row],[Unknown]]=0),1,0)</f>
        <v>0</v>
      </c>
      <c r="AE1489">
        <f>IF(AND(vp.tbl[[#This Row],[CrudeType]]="Crude",vp.tbl[[#This Row],[Dens]]&gt;900,vp.tbl[[#This Row],[Sulf]]&lt;=0.5,vp.tbl[[#This Row],[Unknown]]=0),1,0)</f>
        <v>0</v>
      </c>
      <c r="AF1489">
        <f>IF(AND(vp.tbl[[#This Row],[CrudeType]]="Crude",vp.tbl[[#This Row],[Dens]]&gt;900,vp.tbl[[#This Row],[Sulf]]&lt;=0.5,vp.tbl[[#This Row],[Unknown]]=0),1,0)</f>
        <v>0</v>
      </c>
      <c r="AG1489" t="str">
        <f>INDEX(vp.tbl[[#Headers],[Unknown]:[Heavy_SW]],MATCH(1,vp.tbl[[#This Row],[Unknown]:[Heavy_SW]],0))</f>
        <v>Medium_LSB</v>
      </c>
      <c r="AH1489" t="e">
        <f>INDEX([1]!crudeBD.lkup[Number],MATCH(vp.tbl[[#This Row],[Crude_Breakdown]],[1]!crudeBD.lkup[Crude Breakdown],0))</f>
        <v>#REF!</v>
      </c>
      <c r="AI1489">
        <f>MONTH(vp.tbl[[#This Row],[SDate]])</f>
        <v>5</v>
      </c>
      <c r="AJ1489" s="5">
        <f>IFERROR(vp.tbl[[#This Row],[Sulf]]*vp.tbl[[#This Row],[Net Dens]],"")</f>
        <v>8423416.1158840004</v>
      </c>
      <c r="AK1489" s="5">
        <f>IFERROR(vp.tbl[[#This Row],[Dens]]*vp.tbl[[#This Row],[VolumeM3]],"")</f>
        <v>10939501.449200001</v>
      </c>
      <c r="AL1489" s="5">
        <f>IFERROR(vp.tbl[[#This Row],[VP]]*vp.tbl[[#This Row],[VolumeM3]],"")</f>
        <v>1077236.655</v>
      </c>
      <c r="AM1489" s="4">
        <f>IFERROR((vp.tbl[[#This Row],[VP]]-INDEX(crudeBD.lkup.complete[Mean_VP],MATCH(vp.tbl[[#This Row],[Crude_Breakdown]],crudeBD.lkup.complete[Crude Breakdown],0)))^2,"")</f>
        <v>5.4121605185068216</v>
      </c>
      <c r="AN1489" s="4">
        <f>IFERROR((vp.tbl[[#This Row],[Dens]]-INDEX(crudeBD.lkup.complete[Mean_Dens],MATCH(vp.tbl[[#This Row],[Crude_Breakdown]],crudeBD.lkup.complete[Crude Breakdown],0)))^2,"")</f>
        <v>56.12740863898609</v>
      </c>
      <c r="AO1489" s="4">
        <f>IFERROR((vp.tbl[[#This Row],[Sulf]]-INDEX(crudeBD.lkup.complete[Mean_Sulf],MATCH(vp.tbl[[#This Row],[Crude_Breakdown]],crudeBD.lkup.complete[Crude Breakdown],0)))^2,"")</f>
        <v>0.46912891416002139</v>
      </c>
      <c r="AP1489">
        <f>IF(AND(vp.tbl[[#This Row],[SDate]]&gt;=DATE(YEAR(vp.tbl[[#This Row],[SDate]]),5,1),vp.tbl[[#This Row],[SDate]]&lt;=DATE(YEAR(vp.tbl[[#This Row],[SDate]]),9,15)),1,0)</f>
        <v>1</v>
      </c>
      <c r="AQ1489" s="15">
        <f>IF(vp.tbl[[#This Row],[SDate]]&lt;DATE(2016,12,1),0,1)</f>
        <v>1</v>
      </c>
    </row>
    <row r="1490" spans="1:43" x14ac:dyDescent="0.25">
      <c r="A1490">
        <v>1489</v>
      </c>
      <c r="B1490" t="s">
        <v>68</v>
      </c>
      <c r="C1490" t="s">
        <v>68</v>
      </c>
      <c r="D1490" t="s">
        <v>69</v>
      </c>
      <c r="F1490" s="1">
        <v>42871</v>
      </c>
      <c r="G1490" s="2">
        <v>70.8</v>
      </c>
      <c r="H1490" s="2"/>
      <c r="I1490" s="2">
        <v>1.61</v>
      </c>
      <c r="J1490" s="2"/>
      <c r="K1490" s="2"/>
      <c r="L1490" s="2"/>
      <c r="M1490" s="2">
        <v>859.3</v>
      </c>
      <c r="N1490" s="2">
        <f ca="1">INDEX(INDIRECT(_xlfn.CONCAT("weather.tbl[",N$1,"]")),MATCH(vp.tbl[[#This Row],[SDate]],weather.tbl[Date],0))</f>
        <v>11.616666666666665</v>
      </c>
      <c r="O1490" s="2">
        <f ca="1">INDEX(INDIRECT(_xlfn.CONCAT("weather.tbl[",O$1,"]")),MATCH(vp.tbl[[#This Row],[SDate]],weather.tbl[Date],0))</f>
        <v>12.052380952380952</v>
      </c>
      <c r="P1490" s="2">
        <f ca="1">INDEX(INDIRECT(_xlfn.CONCAT("weather.tbl[",P$1,"]")),MATCH(vp.tbl[[#This Row],[SDate]],weather.tbl[Date],0))</f>
        <v>13.1</v>
      </c>
      <c r="Q1490" s="2">
        <f ca="1">INDEX(INDIRECT(_xlfn.CONCAT("weather.tbl[",Q$1,"]")),MATCH(vp.tbl[[#This Row],[SDate]],weather.tbl[Date],0))</f>
        <v>9.9</v>
      </c>
      <c r="R1490" s="2">
        <f ca="1">INDEX(INDIRECT(_xlfn.CONCAT("weather.tbl[",R$1,"]")),MATCH(vp.tbl[[#This Row],[SDate]],weather.tbl[Date],0))</f>
        <v>11.8</v>
      </c>
      <c r="S1490" s="2">
        <f ca="1">INDEX(INDIRECT(_xlfn.CONCAT("weather.tbl[",S$1,"]")),MATCH(vp.tbl[[#This Row],[SDate]],weather.tbl[Date],0))</f>
        <v>9.3000000000000007</v>
      </c>
      <c r="T1490" s="2">
        <f ca="1">INDEX(INDIRECT(_xlfn.CONCAT("weather.tbl[",T$1,"]")),MATCH(vp.tbl[[#This Row],[SDate]],weather.tbl[Date],0))</f>
        <v>13.1</v>
      </c>
      <c r="U1490" s="2">
        <f ca="1">INDEX(INDIRECT(_xlfn.CONCAT("weather.tbl[",U$1,"]")),MATCH(vp.tbl[[#This Row],[SDate]],weather.tbl[Date],0))</f>
        <v>12.5</v>
      </c>
      <c r="V1490" s="2">
        <v>1702.229</v>
      </c>
      <c r="W1490" t="s">
        <v>48</v>
      </c>
      <c r="X1490">
        <f>IF(OR(vp.tbl[[#This Row],[Sulf]]="",vp.tbl[[#This Row],[Dens]]=""),1,0)</f>
        <v>0</v>
      </c>
      <c r="Y1490">
        <f>IF(vp.tbl[[#This Row],[CrudeType]]="C5+",1,0)</f>
        <v>0</v>
      </c>
      <c r="Z1490">
        <f>IF(AND(vp.tbl[[#This Row],[CrudeType]]="Crude",vp.tbl[[#This Row],[Dens]]&lt;=825,vp.tbl[[#This Row],[Sulf]]&gt;0.5,vp.tbl[[#This Row],[Unknown]]=0),1,0)</f>
        <v>0</v>
      </c>
      <c r="AA1490">
        <f>IF(AND(vp.tbl[[#This Row],[CrudeType]]="Crude",vp.tbl[[#This Row],[Dens]]&lt;=825,vp.tbl[[#This Row],[Sulf]]&lt;=0.5,vp.tbl[[#This Row],[Unknown]]=0),1,0)</f>
        <v>0</v>
      </c>
      <c r="AB1490">
        <f>IF(AND(vp.tbl[[#This Row],[CrudeType]]="Crude",vp.tbl[[#This Row],[Dens]]&gt;825,vp.tbl[[#This Row],[Dens]]&lt;=870,vp.tbl[[#This Row],[Sulf]]&gt;0.5,vp.tbl[[#This Row],[Unknown]]=0),1,0)</f>
        <v>1</v>
      </c>
      <c r="AC1490">
        <f>IF(AND(vp.tbl[[#This Row],[CrudeType]]="Crude",vp.tbl[[#This Row],[Dens]]&gt;825,vp.tbl[[#This Row],[Dens]]&lt;=900,vp.tbl[[#This Row],[Sulf]]&lt;=0.5,vp.tbl[[#This Row],[Unknown]]=0),1,0)</f>
        <v>0</v>
      </c>
      <c r="AD1490">
        <f>IF(AND(vp.tbl[[#This Row],[CrudeType]]="Crude",vp.tbl[[#This Row],[Dens]]&gt;870,vp.tbl[[#This Row],[Dens]]&lt;=900,vp.tbl[[#This Row],[Sulf]]&gt;0.5,vp.tbl[[#This Row],[Unknown]]=0),1,0)</f>
        <v>0</v>
      </c>
      <c r="AE1490">
        <f>IF(AND(vp.tbl[[#This Row],[CrudeType]]="Crude",vp.tbl[[#This Row],[Dens]]&gt;900,vp.tbl[[#This Row],[Sulf]]&lt;=0.5,vp.tbl[[#This Row],[Unknown]]=0),1,0)</f>
        <v>0</v>
      </c>
      <c r="AF1490">
        <f>IF(AND(vp.tbl[[#This Row],[CrudeType]]="Crude",vp.tbl[[#This Row],[Dens]]&gt;900,vp.tbl[[#This Row],[Sulf]]&lt;=0.5,vp.tbl[[#This Row],[Unknown]]=0),1,0)</f>
        <v>0</v>
      </c>
      <c r="AG1490" t="str">
        <f>INDEX(vp.tbl[[#Headers],[Unknown]:[Heavy_SW]],MATCH(1,vp.tbl[[#This Row],[Unknown]:[Heavy_SW]],0))</f>
        <v>Medium_LSB</v>
      </c>
      <c r="AH1490" t="e">
        <f>INDEX([1]!crudeBD.lkup[Number],MATCH(vp.tbl[[#This Row],[Crude_Breakdown]],[1]!crudeBD.lkup[Crude Breakdown],0))</f>
        <v>#REF!</v>
      </c>
      <c r="AI1490">
        <f>MONTH(vp.tbl[[#This Row],[SDate]])</f>
        <v>5</v>
      </c>
      <c r="AJ1490" s="5">
        <f>IFERROR(vp.tbl[[#This Row],[Sulf]]*vp.tbl[[#This Row],[Net Dens]],"")</f>
        <v>2354987.8613169999</v>
      </c>
      <c r="AK1490" s="5">
        <f>IFERROR(vp.tbl[[#This Row],[Dens]]*vp.tbl[[#This Row],[VolumeM3]],"")</f>
        <v>1462725.3796999999</v>
      </c>
      <c r="AL1490" s="5">
        <f>IFERROR(vp.tbl[[#This Row],[VP]]*vp.tbl[[#This Row],[VolumeM3]],"")</f>
        <v>120517.8132</v>
      </c>
      <c r="AM1490" s="4">
        <f>IFERROR((vp.tbl[[#This Row],[VP]]-INDEX(crudeBD.lkup.complete[Mean_VP],MATCH(vp.tbl[[#This Row],[Crude_Breakdown]],crudeBD.lkup.complete[Crude Breakdown],0)))^2,"")</f>
        <v>87.864282037493354</v>
      </c>
      <c r="AN1490" s="4">
        <f>IFERROR((vp.tbl[[#This Row],[Dens]]-INDEX(crudeBD.lkup.complete[Mean_Dens],MATCH(vp.tbl[[#This Row],[Crude_Breakdown]],crudeBD.lkup.complete[Crude Breakdown],0)))^2,"")</f>
        <v>196.22902889219102</v>
      </c>
      <c r="AO1490" s="4">
        <f>IFERROR((vp.tbl[[#This Row],[Sulf]]-INDEX(crudeBD.lkup.complete[Mean_Sulf],MATCH(vp.tbl[[#This Row],[Crude_Breakdown]],crudeBD.lkup.complete[Crude Breakdown],0)))^2,"")</f>
        <v>2.4046748084069591E-2</v>
      </c>
      <c r="AP1490">
        <f>IF(AND(vp.tbl[[#This Row],[SDate]]&gt;=DATE(YEAR(vp.tbl[[#This Row],[SDate]]),5,1),vp.tbl[[#This Row],[SDate]]&lt;=DATE(YEAR(vp.tbl[[#This Row],[SDate]]),9,15)),1,0)</f>
        <v>1</v>
      </c>
      <c r="AQ1490" s="15">
        <f>IF(vp.tbl[[#This Row],[SDate]]&lt;DATE(2016,12,1),0,1)</f>
        <v>1</v>
      </c>
    </row>
    <row r="1491" spans="1:43" x14ac:dyDescent="0.25">
      <c r="A1491">
        <v>1490</v>
      </c>
      <c r="B1491" t="s">
        <v>62</v>
      </c>
      <c r="C1491" t="s">
        <v>62</v>
      </c>
      <c r="D1491" t="s">
        <v>63</v>
      </c>
      <c r="F1491" s="1">
        <v>42871</v>
      </c>
      <c r="G1491" s="2">
        <v>72.900000000000006</v>
      </c>
      <c r="H1491" s="2"/>
      <c r="I1491" s="2">
        <v>0.8</v>
      </c>
      <c r="J1491" s="2"/>
      <c r="K1491" s="2"/>
      <c r="L1491" s="2"/>
      <c r="M1491" s="2">
        <v>821.4</v>
      </c>
      <c r="N1491" s="2">
        <f ca="1">INDEX(INDIRECT(_xlfn.CONCAT("weather.tbl[",N$1,"]")),MATCH(vp.tbl[[#This Row],[SDate]],weather.tbl[Date],0))</f>
        <v>11.616666666666665</v>
      </c>
      <c r="O1491" s="2">
        <f ca="1">INDEX(INDIRECT(_xlfn.CONCAT("weather.tbl[",O$1,"]")),MATCH(vp.tbl[[#This Row],[SDate]],weather.tbl[Date],0))</f>
        <v>12.052380952380952</v>
      </c>
      <c r="P1491" s="2">
        <f ca="1">INDEX(INDIRECT(_xlfn.CONCAT("weather.tbl[",P$1,"]")),MATCH(vp.tbl[[#This Row],[SDate]],weather.tbl[Date],0))</f>
        <v>13.1</v>
      </c>
      <c r="Q1491" s="2">
        <f ca="1">INDEX(INDIRECT(_xlfn.CONCAT("weather.tbl[",Q$1,"]")),MATCH(vp.tbl[[#This Row],[SDate]],weather.tbl[Date],0))</f>
        <v>9.9</v>
      </c>
      <c r="R1491" s="2">
        <f ca="1">INDEX(INDIRECT(_xlfn.CONCAT("weather.tbl[",R$1,"]")),MATCH(vp.tbl[[#This Row],[SDate]],weather.tbl[Date],0))</f>
        <v>11.8</v>
      </c>
      <c r="S1491" s="2">
        <f ca="1">INDEX(INDIRECT(_xlfn.CONCAT("weather.tbl[",S$1,"]")),MATCH(vp.tbl[[#This Row],[SDate]],weather.tbl[Date],0))</f>
        <v>9.3000000000000007</v>
      </c>
      <c r="T1491" s="2">
        <f ca="1">INDEX(INDIRECT(_xlfn.CONCAT("weather.tbl[",T$1,"]")),MATCH(vp.tbl[[#This Row],[SDate]],weather.tbl[Date],0))</f>
        <v>13.1</v>
      </c>
      <c r="U1491" s="2">
        <f ca="1">INDEX(INDIRECT(_xlfn.CONCAT("weather.tbl[",U$1,"]")),MATCH(vp.tbl[[#This Row],[SDate]],weather.tbl[Date],0))</f>
        <v>12.5</v>
      </c>
      <c r="V1491" s="2">
        <v>9174.1849999999995</v>
      </c>
      <c r="W1491" t="s">
        <v>48</v>
      </c>
      <c r="X1491">
        <f>IF(OR(vp.tbl[[#This Row],[Sulf]]="",vp.tbl[[#This Row],[Dens]]=""),1,0)</f>
        <v>0</v>
      </c>
      <c r="Y1491">
        <f>IF(vp.tbl[[#This Row],[CrudeType]]="C5+",1,0)</f>
        <v>0</v>
      </c>
      <c r="Z1491">
        <f>IF(AND(vp.tbl[[#This Row],[CrudeType]]="Crude",vp.tbl[[#This Row],[Dens]]&lt;=825,vp.tbl[[#This Row],[Sulf]]&gt;0.5,vp.tbl[[#This Row],[Unknown]]=0),1,0)</f>
        <v>1</v>
      </c>
      <c r="AA1491">
        <f>IF(AND(vp.tbl[[#This Row],[CrudeType]]="Crude",vp.tbl[[#This Row],[Dens]]&lt;=825,vp.tbl[[#This Row],[Sulf]]&lt;=0.5,vp.tbl[[#This Row],[Unknown]]=0),1,0)</f>
        <v>0</v>
      </c>
      <c r="AB1491">
        <f>IF(AND(vp.tbl[[#This Row],[CrudeType]]="Crude",vp.tbl[[#This Row],[Dens]]&gt;825,vp.tbl[[#This Row],[Dens]]&lt;=870,vp.tbl[[#This Row],[Sulf]]&gt;0.5,vp.tbl[[#This Row],[Unknown]]=0),1,0)</f>
        <v>0</v>
      </c>
      <c r="AC1491">
        <f>IF(AND(vp.tbl[[#This Row],[CrudeType]]="Crude",vp.tbl[[#This Row],[Dens]]&gt;825,vp.tbl[[#This Row],[Dens]]&lt;=900,vp.tbl[[#This Row],[Sulf]]&lt;=0.5,vp.tbl[[#This Row],[Unknown]]=0),1,0)</f>
        <v>0</v>
      </c>
      <c r="AD1491">
        <f>IF(AND(vp.tbl[[#This Row],[CrudeType]]="Crude",vp.tbl[[#This Row],[Dens]]&gt;870,vp.tbl[[#This Row],[Dens]]&lt;=900,vp.tbl[[#This Row],[Sulf]]&gt;0.5,vp.tbl[[#This Row],[Unknown]]=0),1,0)</f>
        <v>0</v>
      </c>
      <c r="AE1491">
        <f>IF(AND(vp.tbl[[#This Row],[CrudeType]]="Crude",vp.tbl[[#This Row],[Dens]]&gt;900,vp.tbl[[#This Row],[Sulf]]&lt;=0.5,vp.tbl[[#This Row],[Unknown]]=0),1,0)</f>
        <v>0</v>
      </c>
      <c r="AF1491">
        <f>IF(AND(vp.tbl[[#This Row],[CrudeType]]="Crude",vp.tbl[[#This Row],[Dens]]&gt;900,vp.tbl[[#This Row],[Sulf]]&lt;=0.5,vp.tbl[[#This Row],[Unknown]]=0),1,0)</f>
        <v>0</v>
      </c>
      <c r="AG1491" t="str">
        <f>INDEX(vp.tbl[[#Headers],[Unknown]:[Heavy_SW]],MATCH(1,vp.tbl[[#This Row],[Unknown]:[Heavy_SW]],0))</f>
        <v>Light_LSB</v>
      </c>
      <c r="AH1491" t="e">
        <f>INDEX([1]!crudeBD.lkup[Number],MATCH(vp.tbl[[#This Row],[Crude_Breakdown]],[1]!crudeBD.lkup[Crude Breakdown],0))</f>
        <v>#REF!</v>
      </c>
      <c r="AI1491">
        <f>MONTH(vp.tbl[[#This Row],[SDate]])</f>
        <v>5</v>
      </c>
      <c r="AJ1491" s="5">
        <f>IFERROR(vp.tbl[[#This Row],[Sulf]]*vp.tbl[[#This Row],[Net Dens]],"")</f>
        <v>6028540.4472000003</v>
      </c>
      <c r="AK1491" s="5">
        <f>IFERROR(vp.tbl[[#This Row],[Dens]]*vp.tbl[[#This Row],[VolumeM3]],"")</f>
        <v>7535675.5589999994</v>
      </c>
      <c r="AL1491" s="5">
        <f>IFERROR(vp.tbl[[#This Row],[VP]]*vp.tbl[[#This Row],[VolumeM3]],"")</f>
        <v>668798.08649999998</v>
      </c>
      <c r="AM1491" s="4">
        <f>IFERROR((vp.tbl[[#This Row],[VP]]-INDEX(crudeBD.lkup.complete[Mean_VP],MATCH(vp.tbl[[#This Row],[Crude_Breakdown]],crudeBD.lkup.complete[Crude Breakdown],0)))^2,"")</f>
        <v>347.68023619938452</v>
      </c>
      <c r="AN1491" s="4">
        <f>IFERROR((vp.tbl[[#This Row],[Dens]]-INDEX(crudeBD.lkup.complete[Mean_Dens],MATCH(vp.tbl[[#This Row],[Crude_Breakdown]],crudeBD.lkup.complete[Crude Breakdown],0)))^2,"")</f>
        <v>8.3130166200227009</v>
      </c>
      <c r="AO1491" s="4">
        <f>IFERROR((vp.tbl[[#This Row],[Sulf]]-INDEX(crudeBD.lkup.complete[Mean_Sulf],MATCH(vp.tbl[[#This Row],[Crude_Breakdown]],crudeBD.lkup.complete[Crude Breakdown],0)))^2,"")</f>
        <v>1.5121908253942369E-2</v>
      </c>
      <c r="AP1491">
        <f>IF(AND(vp.tbl[[#This Row],[SDate]]&gt;=DATE(YEAR(vp.tbl[[#This Row],[SDate]]),5,1),vp.tbl[[#This Row],[SDate]]&lt;=DATE(YEAR(vp.tbl[[#This Row],[SDate]]),9,15)),1,0)</f>
        <v>1</v>
      </c>
      <c r="AQ1491" s="15">
        <f>IF(vp.tbl[[#This Row],[SDate]]&lt;DATE(2016,12,1),0,1)</f>
        <v>1</v>
      </c>
    </row>
    <row r="1492" spans="1:43" x14ac:dyDescent="0.25">
      <c r="A1492">
        <v>1491</v>
      </c>
      <c r="B1492" t="s">
        <v>64</v>
      </c>
      <c r="C1492" t="s">
        <v>64</v>
      </c>
      <c r="D1492" t="s">
        <v>65</v>
      </c>
      <c r="F1492" s="1">
        <v>42871</v>
      </c>
      <c r="G1492" s="2">
        <v>44.4</v>
      </c>
      <c r="H1492" s="2"/>
      <c r="I1492" s="2">
        <v>2.0699999999999998</v>
      </c>
      <c r="J1492" s="2"/>
      <c r="K1492" s="2"/>
      <c r="L1492" s="2"/>
      <c r="M1492" s="2">
        <v>876.5</v>
      </c>
      <c r="N1492" s="2">
        <f ca="1">INDEX(INDIRECT(_xlfn.CONCAT("weather.tbl[",N$1,"]")),MATCH(vp.tbl[[#This Row],[SDate]],weather.tbl[Date],0))</f>
        <v>11.616666666666665</v>
      </c>
      <c r="O1492" s="2">
        <f ca="1">INDEX(INDIRECT(_xlfn.CONCAT("weather.tbl[",O$1,"]")),MATCH(vp.tbl[[#This Row],[SDate]],weather.tbl[Date],0))</f>
        <v>12.052380952380952</v>
      </c>
      <c r="P1492" s="2">
        <f ca="1">INDEX(INDIRECT(_xlfn.CONCAT("weather.tbl[",P$1,"]")),MATCH(vp.tbl[[#This Row],[SDate]],weather.tbl[Date],0))</f>
        <v>13.1</v>
      </c>
      <c r="Q1492" s="2">
        <f ca="1">INDEX(INDIRECT(_xlfn.CONCAT("weather.tbl[",Q$1,"]")),MATCH(vp.tbl[[#This Row],[SDate]],weather.tbl[Date],0))</f>
        <v>9.9</v>
      </c>
      <c r="R1492" s="2">
        <f ca="1">INDEX(INDIRECT(_xlfn.CONCAT("weather.tbl[",R$1,"]")),MATCH(vp.tbl[[#This Row],[SDate]],weather.tbl[Date],0))</f>
        <v>11.8</v>
      </c>
      <c r="S1492" s="2">
        <f ca="1">INDEX(INDIRECT(_xlfn.CONCAT("weather.tbl[",S$1,"]")),MATCH(vp.tbl[[#This Row],[SDate]],weather.tbl[Date],0))</f>
        <v>9.3000000000000007</v>
      </c>
      <c r="T1492" s="2">
        <f ca="1">INDEX(INDIRECT(_xlfn.CONCAT("weather.tbl[",T$1,"]")),MATCH(vp.tbl[[#This Row],[SDate]],weather.tbl[Date],0))</f>
        <v>13.1</v>
      </c>
      <c r="U1492" s="2">
        <f ca="1">INDEX(INDIRECT(_xlfn.CONCAT("weather.tbl[",U$1,"]")),MATCH(vp.tbl[[#This Row],[SDate]],weather.tbl[Date],0))</f>
        <v>12.5</v>
      </c>
      <c r="V1492" s="2">
        <v>21822.753000000001</v>
      </c>
      <c r="W1492" t="s">
        <v>48</v>
      </c>
      <c r="X1492">
        <f>IF(OR(vp.tbl[[#This Row],[Sulf]]="",vp.tbl[[#This Row],[Dens]]=""),1,0)</f>
        <v>0</v>
      </c>
      <c r="Y1492">
        <f>IF(vp.tbl[[#This Row],[CrudeType]]="C5+",1,0)</f>
        <v>0</v>
      </c>
      <c r="Z1492">
        <f>IF(AND(vp.tbl[[#This Row],[CrudeType]]="Crude",vp.tbl[[#This Row],[Dens]]&lt;=825,vp.tbl[[#This Row],[Sulf]]&gt;0.5,vp.tbl[[#This Row],[Unknown]]=0),1,0)</f>
        <v>0</v>
      </c>
      <c r="AA1492">
        <f>IF(AND(vp.tbl[[#This Row],[CrudeType]]="Crude",vp.tbl[[#This Row],[Dens]]&lt;=825,vp.tbl[[#This Row],[Sulf]]&lt;=0.5,vp.tbl[[#This Row],[Unknown]]=0),1,0)</f>
        <v>0</v>
      </c>
      <c r="AB1492">
        <f>IF(AND(vp.tbl[[#This Row],[CrudeType]]="Crude",vp.tbl[[#This Row],[Dens]]&gt;825,vp.tbl[[#This Row],[Dens]]&lt;=870,vp.tbl[[#This Row],[Sulf]]&gt;0.5,vp.tbl[[#This Row],[Unknown]]=0),1,0)</f>
        <v>0</v>
      </c>
      <c r="AC1492">
        <f>IF(AND(vp.tbl[[#This Row],[CrudeType]]="Crude",vp.tbl[[#This Row],[Dens]]&gt;825,vp.tbl[[#This Row],[Dens]]&lt;=900,vp.tbl[[#This Row],[Sulf]]&lt;=0.5,vp.tbl[[#This Row],[Unknown]]=0),1,0)</f>
        <v>0</v>
      </c>
      <c r="AD1492">
        <f>IF(AND(vp.tbl[[#This Row],[CrudeType]]="Crude",vp.tbl[[#This Row],[Dens]]&gt;870,vp.tbl[[#This Row],[Dens]]&lt;=900,vp.tbl[[#This Row],[Sulf]]&gt;0.5,vp.tbl[[#This Row],[Unknown]]=0),1,0)</f>
        <v>1</v>
      </c>
      <c r="AE1492">
        <f>IF(AND(vp.tbl[[#This Row],[CrudeType]]="Crude",vp.tbl[[#This Row],[Dens]]&gt;900,vp.tbl[[#This Row],[Sulf]]&lt;=0.5,vp.tbl[[#This Row],[Unknown]]=0),1,0)</f>
        <v>0</v>
      </c>
      <c r="AF1492">
        <f>IF(AND(vp.tbl[[#This Row],[CrudeType]]="Crude",vp.tbl[[#This Row],[Dens]]&gt;900,vp.tbl[[#This Row],[Sulf]]&lt;=0.5,vp.tbl[[#This Row],[Unknown]]=0),1,0)</f>
        <v>0</v>
      </c>
      <c r="AG1492" t="str">
        <f>INDEX(vp.tbl[[#Headers],[Unknown]:[Heavy_SW]],MATCH(1,vp.tbl[[#This Row],[Unknown]:[Heavy_SW]],0))</f>
        <v>Midale</v>
      </c>
      <c r="AH1492" t="e">
        <f>INDEX([1]!crudeBD.lkup[Number],MATCH(vp.tbl[[#This Row],[Crude_Breakdown]],[1]!crudeBD.lkup[Crude Breakdown],0))</f>
        <v>#REF!</v>
      </c>
      <c r="AI1492">
        <f>MONTH(vp.tbl[[#This Row],[SDate]])</f>
        <v>5</v>
      </c>
      <c r="AJ1492" s="5">
        <f>IFERROR(vp.tbl[[#This Row],[Sulf]]*vp.tbl[[#This Row],[Net Dens]],"")</f>
        <v>39594221.019314997</v>
      </c>
      <c r="AK1492" s="5">
        <f>IFERROR(vp.tbl[[#This Row],[Dens]]*vp.tbl[[#This Row],[VolumeM3]],"")</f>
        <v>19127643.004500002</v>
      </c>
      <c r="AL1492" s="5">
        <f>IFERROR(vp.tbl[[#This Row],[VP]]*vp.tbl[[#This Row],[VolumeM3]],"")</f>
        <v>968930.23320000002</v>
      </c>
      <c r="AM1492" s="4">
        <f>IFERROR((vp.tbl[[#This Row],[VP]]-INDEX(crudeBD.lkup.complete[Mean_VP],MATCH(vp.tbl[[#This Row],[Crude_Breakdown]],crudeBD.lkup.complete[Crude Breakdown],0)))^2,"")</f>
        <v>568.26722462000441</v>
      </c>
      <c r="AN1492" s="4">
        <f>IFERROR((vp.tbl[[#This Row],[Dens]]-INDEX(crudeBD.lkup.complete[Mean_Dens],MATCH(vp.tbl[[#This Row],[Crude_Breakdown]],crudeBD.lkup.complete[Crude Breakdown],0)))^2,"")</f>
        <v>1.1068192906730354</v>
      </c>
      <c r="AO1492" s="4">
        <f>IFERROR((vp.tbl[[#This Row],[Sulf]]-INDEX(crudeBD.lkup.complete[Mean_Sulf],MATCH(vp.tbl[[#This Row],[Crude_Breakdown]],crudeBD.lkup.complete[Crude Breakdown],0)))^2,"")</f>
        <v>0.11925981021371665</v>
      </c>
      <c r="AP1492">
        <f>IF(AND(vp.tbl[[#This Row],[SDate]]&gt;=DATE(YEAR(vp.tbl[[#This Row],[SDate]]),5,1),vp.tbl[[#This Row],[SDate]]&lt;=DATE(YEAR(vp.tbl[[#This Row],[SDate]]),9,15)),1,0)</f>
        <v>1</v>
      </c>
      <c r="AQ1492" s="15">
        <f>IF(vp.tbl[[#This Row],[SDate]]&lt;DATE(2016,12,1),0,1)</f>
        <v>1</v>
      </c>
    </row>
    <row r="1493" spans="1:43" x14ac:dyDescent="0.25">
      <c r="A1493">
        <v>1492</v>
      </c>
      <c r="B1493" t="s">
        <v>49</v>
      </c>
      <c r="C1493" t="s">
        <v>49</v>
      </c>
      <c r="D1493" t="s">
        <v>70</v>
      </c>
      <c r="F1493" s="1">
        <v>42871</v>
      </c>
      <c r="G1493" s="2">
        <v>74.400000000000006</v>
      </c>
      <c r="H1493" s="2"/>
      <c r="I1493" s="2">
        <v>0.94</v>
      </c>
      <c r="J1493" s="2"/>
      <c r="K1493" s="2"/>
      <c r="L1493" s="2"/>
      <c r="M1493" s="2">
        <v>834.5</v>
      </c>
      <c r="N1493" s="2">
        <f ca="1">INDEX(INDIRECT(_xlfn.CONCAT("weather.tbl[",N$1,"]")),MATCH(vp.tbl[[#This Row],[SDate]],weather.tbl[Date],0))</f>
        <v>11.616666666666665</v>
      </c>
      <c r="O1493" s="2">
        <f ca="1">INDEX(INDIRECT(_xlfn.CONCAT("weather.tbl[",O$1,"]")),MATCH(vp.tbl[[#This Row],[SDate]],weather.tbl[Date],0))</f>
        <v>12.052380952380952</v>
      </c>
      <c r="P1493" s="2">
        <f ca="1">INDEX(INDIRECT(_xlfn.CONCAT("weather.tbl[",P$1,"]")),MATCH(vp.tbl[[#This Row],[SDate]],weather.tbl[Date],0))</f>
        <v>13.1</v>
      </c>
      <c r="Q1493" s="2">
        <f ca="1">INDEX(INDIRECT(_xlfn.CONCAT("weather.tbl[",Q$1,"]")),MATCH(vp.tbl[[#This Row],[SDate]],weather.tbl[Date],0))</f>
        <v>9.9</v>
      </c>
      <c r="R1493" s="2">
        <f ca="1">INDEX(INDIRECT(_xlfn.CONCAT("weather.tbl[",R$1,"]")),MATCH(vp.tbl[[#This Row],[SDate]],weather.tbl[Date],0))</f>
        <v>11.8</v>
      </c>
      <c r="S1493" s="2">
        <f ca="1">INDEX(INDIRECT(_xlfn.CONCAT("weather.tbl[",S$1,"]")),MATCH(vp.tbl[[#This Row],[SDate]],weather.tbl[Date],0))</f>
        <v>9.3000000000000007</v>
      </c>
      <c r="T1493" s="2">
        <f ca="1">INDEX(INDIRECT(_xlfn.CONCAT("weather.tbl[",T$1,"]")),MATCH(vp.tbl[[#This Row],[SDate]],weather.tbl[Date],0))</f>
        <v>13.1</v>
      </c>
      <c r="U1493" s="2">
        <f ca="1">INDEX(INDIRECT(_xlfn.CONCAT("weather.tbl[",U$1,"]")),MATCH(vp.tbl[[#This Row],[SDate]],weather.tbl[Date],0))</f>
        <v>12.5</v>
      </c>
      <c r="V1493" s="2">
        <v>2413.8069999999998</v>
      </c>
      <c r="W1493" t="s">
        <v>48</v>
      </c>
      <c r="X1493">
        <f>IF(OR(vp.tbl[[#This Row],[Sulf]]="",vp.tbl[[#This Row],[Dens]]=""),1,0)</f>
        <v>0</v>
      </c>
      <c r="Y1493">
        <f>IF(vp.tbl[[#This Row],[CrudeType]]="C5+",1,0)</f>
        <v>0</v>
      </c>
      <c r="Z1493">
        <f>IF(AND(vp.tbl[[#This Row],[CrudeType]]="Crude",vp.tbl[[#This Row],[Dens]]&lt;=825,vp.tbl[[#This Row],[Sulf]]&gt;0.5,vp.tbl[[#This Row],[Unknown]]=0),1,0)</f>
        <v>0</v>
      </c>
      <c r="AA1493">
        <f>IF(AND(vp.tbl[[#This Row],[CrudeType]]="Crude",vp.tbl[[#This Row],[Dens]]&lt;=825,vp.tbl[[#This Row],[Sulf]]&lt;=0.5,vp.tbl[[#This Row],[Unknown]]=0),1,0)</f>
        <v>0</v>
      </c>
      <c r="AB1493">
        <f>IF(AND(vp.tbl[[#This Row],[CrudeType]]="Crude",vp.tbl[[#This Row],[Dens]]&gt;825,vp.tbl[[#This Row],[Dens]]&lt;=870,vp.tbl[[#This Row],[Sulf]]&gt;0.5,vp.tbl[[#This Row],[Unknown]]=0),1,0)</f>
        <v>1</v>
      </c>
      <c r="AC1493">
        <f>IF(AND(vp.tbl[[#This Row],[CrudeType]]="Crude",vp.tbl[[#This Row],[Dens]]&gt;825,vp.tbl[[#This Row],[Dens]]&lt;=900,vp.tbl[[#This Row],[Sulf]]&lt;=0.5,vp.tbl[[#This Row],[Unknown]]=0),1,0)</f>
        <v>0</v>
      </c>
      <c r="AD1493">
        <f>IF(AND(vp.tbl[[#This Row],[CrudeType]]="Crude",vp.tbl[[#This Row],[Dens]]&gt;870,vp.tbl[[#This Row],[Dens]]&lt;=900,vp.tbl[[#This Row],[Sulf]]&gt;0.5,vp.tbl[[#This Row],[Unknown]]=0),1,0)</f>
        <v>0</v>
      </c>
      <c r="AE1493">
        <f>IF(AND(vp.tbl[[#This Row],[CrudeType]]="Crude",vp.tbl[[#This Row],[Dens]]&gt;900,vp.tbl[[#This Row],[Sulf]]&lt;=0.5,vp.tbl[[#This Row],[Unknown]]=0),1,0)</f>
        <v>0</v>
      </c>
      <c r="AF1493">
        <f>IF(AND(vp.tbl[[#This Row],[CrudeType]]="Crude",vp.tbl[[#This Row],[Dens]]&gt;900,vp.tbl[[#This Row],[Sulf]]&lt;=0.5,vp.tbl[[#This Row],[Unknown]]=0),1,0)</f>
        <v>0</v>
      </c>
      <c r="AG1493" t="str">
        <f>INDEX(vp.tbl[[#Headers],[Unknown]:[Heavy_SW]],MATCH(1,vp.tbl[[#This Row],[Unknown]:[Heavy_SW]],0))</f>
        <v>Medium_LSB</v>
      </c>
      <c r="AH1493" t="e">
        <f>INDEX([1]!crudeBD.lkup[Number],MATCH(vp.tbl[[#This Row],[Crude_Breakdown]],[1]!crudeBD.lkup[Crude Breakdown],0))</f>
        <v>#REF!</v>
      </c>
      <c r="AI1493">
        <f>MONTH(vp.tbl[[#This Row],[SDate]])</f>
        <v>5</v>
      </c>
      <c r="AJ1493" s="5">
        <f>IFERROR(vp.tbl[[#This Row],[Sulf]]*vp.tbl[[#This Row],[Net Dens]],"")</f>
        <v>1893462.6250099996</v>
      </c>
      <c r="AK1493" s="5">
        <f>IFERROR(vp.tbl[[#This Row],[Dens]]*vp.tbl[[#This Row],[VolumeM3]],"")</f>
        <v>2014321.9414999997</v>
      </c>
      <c r="AL1493" s="5">
        <f>IFERROR(vp.tbl[[#This Row],[VP]]*vp.tbl[[#This Row],[VolumeM3]],"")</f>
        <v>179587.2408</v>
      </c>
      <c r="AM1493" s="4">
        <f>IFERROR((vp.tbl[[#This Row],[VP]]-INDEX(crudeBD.lkup.complete[Mean_VP],MATCH(vp.tbl[[#This Row],[Crude_Breakdown]],crudeBD.lkup.complete[Crude Breakdown],0)))^2,"")</f>
        <v>33.334398493189703</v>
      </c>
      <c r="AN1493" s="4">
        <f>IFERROR((vp.tbl[[#This Row],[Dens]]-INDEX(crudeBD.lkup.complete[Mean_Dens],MATCH(vp.tbl[[#This Row],[Crude_Breakdown]],crudeBD.lkup.complete[Crude Breakdown],0)))^2,"")</f>
        <v>116.46343901872574</v>
      </c>
      <c r="AO1493" s="4">
        <f>IFERROR((vp.tbl[[#This Row],[Sulf]]-INDEX(crudeBD.lkup.complete[Mean_Sulf],MATCH(vp.tbl[[#This Row],[Crude_Breakdown]],crudeBD.lkup.complete[Crude Breakdown],0)))^2,"")</f>
        <v>0.26515276150179312</v>
      </c>
      <c r="AP1493">
        <f>IF(AND(vp.tbl[[#This Row],[SDate]]&gt;=DATE(YEAR(vp.tbl[[#This Row],[SDate]]),5,1),vp.tbl[[#This Row],[SDate]]&lt;=DATE(YEAR(vp.tbl[[#This Row],[SDate]]),9,15)),1,0)</f>
        <v>1</v>
      </c>
      <c r="AQ1493" s="15">
        <f>IF(vp.tbl[[#This Row],[SDate]]&lt;DATE(2016,12,1),0,1)</f>
        <v>1</v>
      </c>
    </row>
    <row r="1494" spans="1:43" x14ac:dyDescent="0.25">
      <c r="A1494">
        <v>1493</v>
      </c>
      <c r="B1494" t="s">
        <v>49</v>
      </c>
      <c r="C1494" t="s">
        <v>49</v>
      </c>
      <c r="D1494" t="s">
        <v>89</v>
      </c>
      <c r="F1494" s="1">
        <v>42871</v>
      </c>
      <c r="G1494" s="2">
        <v>81.5</v>
      </c>
      <c r="H1494" s="2"/>
      <c r="I1494" s="2">
        <v>0.68</v>
      </c>
      <c r="J1494" s="2"/>
      <c r="K1494" s="2"/>
      <c r="L1494" s="2"/>
      <c r="M1494" s="2">
        <v>826.5</v>
      </c>
      <c r="N1494" s="2">
        <f ca="1">INDEX(INDIRECT(_xlfn.CONCAT("weather.tbl[",N$1,"]")),MATCH(vp.tbl[[#This Row],[SDate]],weather.tbl[Date],0))</f>
        <v>11.616666666666665</v>
      </c>
      <c r="O1494" s="2">
        <f ca="1">INDEX(INDIRECT(_xlfn.CONCAT("weather.tbl[",O$1,"]")),MATCH(vp.tbl[[#This Row],[SDate]],weather.tbl[Date],0))</f>
        <v>12.052380952380952</v>
      </c>
      <c r="P1494" s="2">
        <f ca="1">INDEX(INDIRECT(_xlfn.CONCAT("weather.tbl[",P$1,"]")),MATCH(vp.tbl[[#This Row],[SDate]],weather.tbl[Date],0))</f>
        <v>13.1</v>
      </c>
      <c r="Q1494" s="2">
        <f ca="1">INDEX(INDIRECT(_xlfn.CONCAT("weather.tbl[",Q$1,"]")),MATCH(vp.tbl[[#This Row],[SDate]],weather.tbl[Date],0))</f>
        <v>9.9</v>
      </c>
      <c r="R1494" s="2">
        <f ca="1">INDEX(INDIRECT(_xlfn.CONCAT("weather.tbl[",R$1,"]")),MATCH(vp.tbl[[#This Row],[SDate]],weather.tbl[Date],0))</f>
        <v>11.8</v>
      </c>
      <c r="S1494" s="2">
        <f ca="1">INDEX(INDIRECT(_xlfn.CONCAT("weather.tbl[",S$1,"]")),MATCH(vp.tbl[[#This Row],[SDate]],weather.tbl[Date],0))</f>
        <v>9.3000000000000007</v>
      </c>
      <c r="T1494" s="2">
        <f ca="1">INDEX(INDIRECT(_xlfn.CONCAT("weather.tbl[",T$1,"]")),MATCH(vp.tbl[[#This Row],[SDate]],weather.tbl[Date],0))</f>
        <v>13.1</v>
      </c>
      <c r="U1494" s="2">
        <f ca="1">INDEX(INDIRECT(_xlfn.CONCAT("weather.tbl[",U$1,"]")),MATCH(vp.tbl[[#This Row],[SDate]],weather.tbl[Date],0))</f>
        <v>12.5</v>
      </c>
      <c r="V1494" s="2">
        <v>6839.1149999999998</v>
      </c>
      <c r="W1494" t="s">
        <v>48</v>
      </c>
      <c r="X1494">
        <f>IF(OR(vp.tbl[[#This Row],[Sulf]]="",vp.tbl[[#This Row],[Dens]]=""),1,0)</f>
        <v>0</v>
      </c>
      <c r="Y1494">
        <f>IF(vp.tbl[[#This Row],[CrudeType]]="C5+",1,0)</f>
        <v>0</v>
      </c>
      <c r="Z1494">
        <f>IF(AND(vp.tbl[[#This Row],[CrudeType]]="Crude",vp.tbl[[#This Row],[Dens]]&lt;=825,vp.tbl[[#This Row],[Sulf]]&gt;0.5,vp.tbl[[#This Row],[Unknown]]=0),1,0)</f>
        <v>0</v>
      </c>
      <c r="AA1494">
        <f>IF(AND(vp.tbl[[#This Row],[CrudeType]]="Crude",vp.tbl[[#This Row],[Dens]]&lt;=825,vp.tbl[[#This Row],[Sulf]]&lt;=0.5,vp.tbl[[#This Row],[Unknown]]=0),1,0)</f>
        <v>0</v>
      </c>
      <c r="AB1494">
        <f>IF(AND(vp.tbl[[#This Row],[CrudeType]]="Crude",vp.tbl[[#This Row],[Dens]]&gt;825,vp.tbl[[#This Row],[Dens]]&lt;=870,vp.tbl[[#This Row],[Sulf]]&gt;0.5,vp.tbl[[#This Row],[Unknown]]=0),1,0)</f>
        <v>1</v>
      </c>
      <c r="AC1494">
        <f>IF(AND(vp.tbl[[#This Row],[CrudeType]]="Crude",vp.tbl[[#This Row],[Dens]]&gt;825,vp.tbl[[#This Row],[Dens]]&lt;=900,vp.tbl[[#This Row],[Sulf]]&lt;=0.5,vp.tbl[[#This Row],[Unknown]]=0),1,0)</f>
        <v>0</v>
      </c>
      <c r="AD1494">
        <f>IF(AND(vp.tbl[[#This Row],[CrudeType]]="Crude",vp.tbl[[#This Row],[Dens]]&gt;870,vp.tbl[[#This Row],[Dens]]&lt;=900,vp.tbl[[#This Row],[Sulf]]&gt;0.5,vp.tbl[[#This Row],[Unknown]]=0),1,0)</f>
        <v>0</v>
      </c>
      <c r="AE1494">
        <f>IF(AND(vp.tbl[[#This Row],[CrudeType]]="Crude",vp.tbl[[#This Row],[Dens]]&gt;900,vp.tbl[[#This Row],[Sulf]]&lt;=0.5,vp.tbl[[#This Row],[Unknown]]=0),1,0)</f>
        <v>0</v>
      </c>
      <c r="AF1494">
        <f>IF(AND(vp.tbl[[#This Row],[CrudeType]]="Crude",vp.tbl[[#This Row],[Dens]]&gt;900,vp.tbl[[#This Row],[Sulf]]&lt;=0.5,vp.tbl[[#This Row],[Unknown]]=0),1,0)</f>
        <v>0</v>
      </c>
      <c r="AG1494" t="str">
        <f>INDEX(vp.tbl[[#Headers],[Unknown]:[Heavy_SW]],MATCH(1,vp.tbl[[#This Row],[Unknown]:[Heavy_SW]],0))</f>
        <v>Medium_LSB</v>
      </c>
      <c r="AH1494" t="e">
        <f>INDEX([1]!crudeBD.lkup[Number],MATCH(vp.tbl[[#This Row],[Crude_Breakdown]],[1]!crudeBD.lkup[Crude Breakdown],0))</f>
        <v>#REF!</v>
      </c>
      <c r="AI1494">
        <f>MONTH(vp.tbl[[#This Row],[SDate]])</f>
        <v>5</v>
      </c>
      <c r="AJ1494" s="5">
        <f>IFERROR(vp.tbl[[#This Row],[Sulf]]*vp.tbl[[#This Row],[Net Dens]],"")</f>
        <v>3843719.4123</v>
      </c>
      <c r="AK1494" s="5">
        <f>IFERROR(vp.tbl[[#This Row],[Dens]]*vp.tbl[[#This Row],[VolumeM3]],"")</f>
        <v>5652528.5474999994</v>
      </c>
      <c r="AL1494" s="5">
        <f>IFERROR(vp.tbl[[#This Row],[VP]]*vp.tbl[[#This Row],[VolumeM3]],"")</f>
        <v>557387.87249999994</v>
      </c>
      <c r="AM1494" s="4">
        <f>IFERROR((vp.tbl[[#This Row],[VP]]-INDEX(crudeBD.lkup.complete[Mean_VP],MATCH(vp.tbl[[#This Row],[Crude_Breakdown]],crudeBD.lkup.complete[Crude Breakdown],0)))^2,"")</f>
        <v>1.7593503919244691</v>
      </c>
      <c r="AN1494" s="4">
        <f>IFERROR((vp.tbl[[#This Row],[Dens]]-INDEX(crudeBD.lkup.complete[Mean_Dens],MATCH(vp.tbl[[#This Row],[Crude_Breakdown]],crudeBD.lkup.complete[Crude Breakdown],0)))^2,"")</f>
        <v>353.13260357567202</v>
      </c>
      <c r="AO1494" s="4">
        <f>IFERROR((vp.tbl[[#This Row],[Sulf]]-INDEX(crudeBD.lkup.complete[Mean_Sulf],MATCH(vp.tbl[[#This Row],[Crude_Breakdown]],crudeBD.lkup.complete[Crude Breakdown],0)))^2,"")</f>
        <v>0.60051628909673049</v>
      </c>
      <c r="AP1494">
        <f>IF(AND(vp.tbl[[#This Row],[SDate]]&gt;=DATE(YEAR(vp.tbl[[#This Row],[SDate]]),5,1),vp.tbl[[#This Row],[SDate]]&lt;=DATE(YEAR(vp.tbl[[#This Row],[SDate]]),9,15)),1,0)</f>
        <v>1</v>
      </c>
      <c r="AQ1494" s="15">
        <f>IF(vp.tbl[[#This Row],[SDate]]&lt;DATE(2016,12,1),0,1)</f>
        <v>1</v>
      </c>
    </row>
    <row r="1495" spans="1:43" x14ac:dyDescent="0.25">
      <c r="A1495">
        <v>1494</v>
      </c>
      <c r="B1495" t="s">
        <v>46</v>
      </c>
      <c r="C1495" t="s">
        <v>46</v>
      </c>
      <c r="D1495" t="s">
        <v>47</v>
      </c>
      <c r="F1495" s="1">
        <v>42872</v>
      </c>
      <c r="G1495" s="2">
        <v>53.4</v>
      </c>
      <c r="H1495" s="2"/>
      <c r="I1495" s="2">
        <v>2.25</v>
      </c>
      <c r="J1495" s="2"/>
      <c r="K1495" s="2"/>
      <c r="L1495" s="2"/>
      <c r="M1495" s="2">
        <v>868.7</v>
      </c>
      <c r="N1495" s="2">
        <f ca="1">INDEX(INDIRECT(_xlfn.CONCAT("weather.tbl[",N$1,"]")),MATCH(vp.tbl[[#This Row],[SDate]],weather.tbl[Date],0))</f>
        <v>7.0666666666666655</v>
      </c>
      <c r="O1495" s="2">
        <f ca="1">INDEX(INDIRECT(_xlfn.CONCAT("weather.tbl[",O$1,"]")),MATCH(vp.tbl[[#This Row],[SDate]],weather.tbl[Date],0))</f>
        <v>11.778571428571427</v>
      </c>
      <c r="P1495" s="2">
        <f ca="1">INDEX(INDIRECT(_xlfn.CONCAT("weather.tbl[",P$1,"]")),MATCH(vp.tbl[[#This Row],[SDate]],weather.tbl[Date],0))</f>
        <v>7</v>
      </c>
      <c r="Q1495" s="2">
        <f ca="1">INDEX(INDIRECT(_xlfn.CONCAT("weather.tbl[",Q$1,"]")),MATCH(vp.tbl[[#This Row],[SDate]],weather.tbl[Date],0))</f>
        <v>6.4</v>
      </c>
      <c r="R1495" s="2">
        <f ca="1">INDEX(INDIRECT(_xlfn.CONCAT("weather.tbl[",R$1,"]")),MATCH(vp.tbl[[#This Row],[SDate]],weather.tbl[Date],0))</f>
        <v>8</v>
      </c>
      <c r="S1495" s="2">
        <f ca="1">INDEX(INDIRECT(_xlfn.CONCAT("weather.tbl[",S$1,"]")),MATCH(vp.tbl[[#This Row],[SDate]],weather.tbl[Date],0))</f>
        <v>5.9</v>
      </c>
      <c r="T1495" s="2">
        <f ca="1">INDEX(INDIRECT(_xlfn.CONCAT("weather.tbl[",T$1,"]")),MATCH(vp.tbl[[#This Row],[SDate]],weather.tbl[Date],0))</f>
        <v>7.3</v>
      </c>
      <c r="U1495" s="2">
        <f ca="1">INDEX(INDIRECT(_xlfn.CONCAT("weather.tbl[",U$1,"]")),MATCH(vp.tbl[[#This Row],[SDate]],weather.tbl[Date],0))</f>
        <v>7.8</v>
      </c>
      <c r="V1495" s="2">
        <v>115996.79399999999</v>
      </c>
      <c r="W1495" t="s">
        <v>48</v>
      </c>
      <c r="X1495">
        <f>IF(OR(vp.tbl[[#This Row],[Sulf]]="",vp.tbl[[#This Row],[Dens]]=""),1,0)</f>
        <v>0</v>
      </c>
      <c r="Y1495">
        <f>IF(vp.tbl[[#This Row],[CrudeType]]="C5+",1,0)</f>
        <v>0</v>
      </c>
      <c r="Z1495">
        <f>IF(AND(vp.tbl[[#This Row],[CrudeType]]="Crude",vp.tbl[[#This Row],[Dens]]&lt;=825,vp.tbl[[#This Row],[Sulf]]&gt;0.5,vp.tbl[[#This Row],[Unknown]]=0),1,0)</f>
        <v>0</v>
      </c>
      <c r="AA1495">
        <f>IF(AND(vp.tbl[[#This Row],[CrudeType]]="Crude",vp.tbl[[#This Row],[Dens]]&lt;=825,vp.tbl[[#This Row],[Sulf]]&lt;=0.5,vp.tbl[[#This Row],[Unknown]]=0),1,0)</f>
        <v>0</v>
      </c>
      <c r="AB1495">
        <f>IF(AND(vp.tbl[[#This Row],[CrudeType]]="Crude",vp.tbl[[#This Row],[Dens]]&gt;825,vp.tbl[[#This Row],[Dens]]&lt;=870,vp.tbl[[#This Row],[Sulf]]&gt;0.5,vp.tbl[[#This Row],[Unknown]]=0),1,0)</f>
        <v>1</v>
      </c>
      <c r="AC1495">
        <f>IF(AND(vp.tbl[[#This Row],[CrudeType]]="Crude",vp.tbl[[#This Row],[Dens]]&gt;825,vp.tbl[[#This Row],[Dens]]&lt;=900,vp.tbl[[#This Row],[Sulf]]&lt;=0.5,vp.tbl[[#This Row],[Unknown]]=0),1,0)</f>
        <v>0</v>
      </c>
      <c r="AD1495">
        <f>IF(AND(vp.tbl[[#This Row],[CrudeType]]="Crude",vp.tbl[[#This Row],[Dens]]&gt;870,vp.tbl[[#This Row],[Dens]]&lt;=900,vp.tbl[[#This Row],[Sulf]]&gt;0.5,vp.tbl[[#This Row],[Unknown]]=0),1,0)</f>
        <v>0</v>
      </c>
      <c r="AE1495">
        <f>IF(AND(vp.tbl[[#This Row],[CrudeType]]="Crude",vp.tbl[[#This Row],[Dens]]&gt;900,vp.tbl[[#This Row],[Sulf]]&lt;=0.5,vp.tbl[[#This Row],[Unknown]]=0),1,0)</f>
        <v>0</v>
      </c>
      <c r="AF1495">
        <f>IF(AND(vp.tbl[[#This Row],[CrudeType]]="Crude",vp.tbl[[#This Row],[Dens]]&gt;900,vp.tbl[[#This Row],[Sulf]]&lt;=0.5,vp.tbl[[#This Row],[Unknown]]=0),1,0)</f>
        <v>0</v>
      </c>
      <c r="AG1495" t="str">
        <f>INDEX(vp.tbl[[#Headers],[Unknown]:[Heavy_SW]],MATCH(1,vp.tbl[[#This Row],[Unknown]:[Heavy_SW]],0))</f>
        <v>Medium_LSB</v>
      </c>
      <c r="AH1495" t="e">
        <f>INDEX([1]!crudeBD.lkup[Number],MATCH(vp.tbl[[#This Row],[Crude_Breakdown]],[1]!crudeBD.lkup[Crude Breakdown],0))</f>
        <v>#REF!</v>
      </c>
      <c r="AI1495">
        <f>MONTH(vp.tbl[[#This Row],[SDate]])</f>
        <v>5</v>
      </c>
      <c r="AJ1495" s="5">
        <f>IFERROR(vp.tbl[[#This Row],[Sulf]]*vp.tbl[[#This Row],[Net Dens]],"")</f>
        <v>226724433.63255</v>
      </c>
      <c r="AK1495" s="5">
        <f>IFERROR(vp.tbl[[#This Row],[Dens]]*vp.tbl[[#This Row],[VolumeM3]],"")</f>
        <v>100766414.9478</v>
      </c>
      <c r="AL1495" s="5">
        <f>IFERROR(vp.tbl[[#This Row],[VP]]*vp.tbl[[#This Row],[VolumeM3]],"")</f>
        <v>6194228.7995999996</v>
      </c>
      <c r="AM1495" s="4">
        <f>IFERROR((vp.tbl[[#This Row],[VP]]-INDEX(crudeBD.lkup.complete[Mean_VP],MATCH(vp.tbl[[#This Row],[Crude_Breakdown]],crudeBD.lkup.complete[Crude Breakdown],0)))^2,"")</f>
        <v>716.82538583496046</v>
      </c>
      <c r="AN1495" s="4">
        <f>IFERROR((vp.tbl[[#This Row],[Dens]]-INDEX(crudeBD.lkup.complete[Mean_Dens],MATCH(vp.tbl[[#This Row],[Crude_Breakdown]],crudeBD.lkup.complete[Crude Breakdown],0)))^2,"")</f>
        <v>547.94276053778253</v>
      </c>
      <c r="AO1495" s="4">
        <f>IFERROR((vp.tbl[[#This Row],[Sulf]]-INDEX(crudeBD.lkup.complete[Mean_Sulf],MATCH(vp.tbl[[#This Row],[Crude_Breakdown]],crudeBD.lkup.complete[Crude Breakdown],0)))^2,"")</f>
        <v>0.63213652631191575</v>
      </c>
      <c r="AP1495">
        <f>IF(AND(vp.tbl[[#This Row],[SDate]]&gt;=DATE(YEAR(vp.tbl[[#This Row],[SDate]]),5,1),vp.tbl[[#This Row],[SDate]]&lt;=DATE(YEAR(vp.tbl[[#This Row],[SDate]]),9,15)),1,0)</f>
        <v>1</v>
      </c>
      <c r="AQ1495" s="15">
        <f>IF(vp.tbl[[#This Row],[SDate]]&lt;DATE(2016,12,1),0,1)</f>
        <v>1</v>
      </c>
    </row>
    <row r="1496" spans="1:43" x14ac:dyDescent="0.25">
      <c r="A1496">
        <v>1495</v>
      </c>
      <c r="B1496" t="s">
        <v>49</v>
      </c>
      <c r="C1496" t="s">
        <v>49</v>
      </c>
      <c r="D1496" t="s">
        <v>50</v>
      </c>
      <c r="F1496" s="1">
        <v>42872</v>
      </c>
      <c r="G1496" s="2">
        <v>70.8</v>
      </c>
      <c r="H1496" s="2"/>
      <c r="I1496" s="2">
        <v>2.75</v>
      </c>
      <c r="J1496" s="2"/>
      <c r="K1496" s="2"/>
      <c r="L1496" s="2"/>
      <c r="M1496" s="2">
        <v>865</v>
      </c>
      <c r="N1496" s="2">
        <f ca="1">INDEX(INDIRECT(_xlfn.CONCAT("weather.tbl[",N$1,"]")),MATCH(vp.tbl[[#This Row],[SDate]],weather.tbl[Date],0))</f>
        <v>7.0666666666666655</v>
      </c>
      <c r="O1496" s="2">
        <f ca="1">INDEX(INDIRECT(_xlfn.CONCAT("weather.tbl[",O$1,"]")),MATCH(vp.tbl[[#This Row],[SDate]],weather.tbl[Date],0))</f>
        <v>11.778571428571427</v>
      </c>
      <c r="P1496" s="2">
        <f ca="1">INDEX(INDIRECT(_xlfn.CONCAT("weather.tbl[",P$1,"]")),MATCH(vp.tbl[[#This Row],[SDate]],weather.tbl[Date],0))</f>
        <v>7</v>
      </c>
      <c r="Q1496" s="2">
        <f ca="1">INDEX(INDIRECT(_xlfn.CONCAT("weather.tbl[",Q$1,"]")),MATCH(vp.tbl[[#This Row],[SDate]],weather.tbl[Date],0))</f>
        <v>6.4</v>
      </c>
      <c r="R1496" s="2">
        <f ca="1">INDEX(INDIRECT(_xlfn.CONCAT("weather.tbl[",R$1,"]")),MATCH(vp.tbl[[#This Row],[SDate]],weather.tbl[Date],0))</f>
        <v>8</v>
      </c>
      <c r="S1496" s="2">
        <f ca="1">INDEX(INDIRECT(_xlfn.CONCAT("weather.tbl[",S$1,"]")),MATCH(vp.tbl[[#This Row],[SDate]],weather.tbl[Date],0))</f>
        <v>5.9</v>
      </c>
      <c r="T1496" s="2">
        <f ca="1">INDEX(INDIRECT(_xlfn.CONCAT("weather.tbl[",T$1,"]")),MATCH(vp.tbl[[#This Row],[SDate]],weather.tbl[Date],0))</f>
        <v>7.3</v>
      </c>
      <c r="U1496" s="2">
        <f ca="1">INDEX(INDIRECT(_xlfn.CONCAT("weather.tbl[",U$1,"]")),MATCH(vp.tbl[[#This Row],[SDate]],weather.tbl[Date],0))</f>
        <v>7.8</v>
      </c>
      <c r="V1496" s="2">
        <v>5265.8419999999996</v>
      </c>
      <c r="W1496" t="s">
        <v>48</v>
      </c>
      <c r="X1496">
        <f>IF(OR(vp.tbl[[#This Row],[Sulf]]="",vp.tbl[[#This Row],[Dens]]=""),1,0)</f>
        <v>0</v>
      </c>
      <c r="Y1496">
        <f>IF(vp.tbl[[#This Row],[CrudeType]]="C5+",1,0)</f>
        <v>0</v>
      </c>
      <c r="Z1496">
        <f>IF(AND(vp.tbl[[#This Row],[CrudeType]]="Crude",vp.tbl[[#This Row],[Dens]]&lt;=825,vp.tbl[[#This Row],[Sulf]]&gt;0.5,vp.tbl[[#This Row],[Unknown]]=0),1,0)</f>
        <v>0</v>
      </c>
      <c r="AA1496">
        <f>IF(AND(vp.tbl[[#This Row],[CrudeType]]="Crude",vp.tbl[[#This Row],[Dens]]&lt;=825,vp.tbl[[#This Row],[Sulf]]&lt;=0.5,vp.tbl[[#This Row],[Unknown]]=0),1,0)</f>
        <v>0</v>
      </c>
      <c r="AB1496">
        <f>IF(AND(vp.tbl[[#This Row],[CrudeType]]="Crude",vp.tbl[[#This Row],[Dens]]&gt;825,vp.tbl[[#This Row],[Dens]]&lt;=870,vp.tbl[[#This Row],[Sulf]]&gt;0.5,vp.tbl[[#This Row],[Unknown]]=0),1,0)</f>
        <v>1</v>
      </c>
      <c r="AC1496">
        <f>IF(AND(vp.tbl[[#This Row],[CrudeType]]="Crude",vp.tbl[[#This Row],[Dens]]&gt;825,vp.tbl[[#This Row],[Dens]]&lt;=900,vp.tbl[[#This Row],[Sulf]]&lt;=0.5,vp.tbl[[#This Row],[Unknown]]=0),1,0)</f>
        <v>0</v>
      </c>
      <c r="AD1496">
        <f>IF(AND(vp.tbl[[#This Row],[CrudeType]]="Crude",vp.tbl[[#This Row],[Dens]]&gt;870,vp.tbl[[#This Row],[Dens]]&lt;=900,vp.tbl[[#This Row],[Sulf]]&gt;0.5,vp.tbl[[#This Row],[Unknown]]=0),1,0)</f>
        <v>0</v>
      </c>
      <c r="AE1496">
        <f>IF(AND(vp.tbl[[#This Row],[CrudeType]]="Crude",vp.tbl[[#This Row],[Dens]]&gt;900,vp.tbl[[#This Row],[Sulf]]&lt;=0.5,vp.tbl[[#This Row],[Unknown]]=0),1,0)</f>
        <v>0</v>
      </c>
      <c r="AF1496">
        <f>IF(AND(vp.tbl[[#This Row],[CrudeType]]="Crude",vp.tbl[[#This Row],[Dens]]&gt;900,vp.tbl[[#This Row],[Sulf]]&lt;=0.5,vp.tbl[[#This Row],[Unknown]]=0),1,0)</f>
        <v>0</v>
      </c>
      <c r="AG1496" t="str">
        <f>INDEX(vp.tbl[[#Headers],[Unknown]:[Heavy_SW]],MATCH(1,vp.tbl[[#This Row],[Unknown]:[Heavy_SW]],0))</f>
        <v>Medium_LSB</v>
      </c>
      <c r="AH1496" t="e">
        <f>INDEX([1]!crudeBD.lkup[Number],MATCH(vp.tbl[[#This Row],[Crude_Breakdown]],[1]!crudeBD.lkup[Crude Breakdown],0))</f>
        <v>#REF!</v>
      </c>
      <c r="AI1496">
        <f>MONTH(vp.tbl[[#This Row],[SDate]])</f>
        <v>5</v>
      </c>
      <c r="AJ1496" s="5">
        <f>IFERROR(vp.tbl[[#This Row],[Sulf]]*vp.tbl[[#This Row],[Net Dens]],"")</f>
        <v>12526121.657500001</v>
      </c>
      <c r="AK1496" s="5">
        <f>IFERROR(vp.tbl[[#This Row],[Dens]]*vp.tbl[[#This Row],[VolumeM3]],"")</f>
        <v>4554953.33</v>
      </c>
      <c r="AL1496" s="5">
        <f>IFERROR(vp.tbl[[#This Row],[VP]]*vp.tbl[[#This Row],[VolumeM3]],"")</f>
        <v>372821.61359999998</v>
      </c>
      <c r="AM1496" s="4">
        <f>IFERROR((vp.tbl[[#This Row],[VP]]-INDEX(crudeBD.lkup.complete[Mean_VP],MATCH(vp.tbl[[#This Row],[Crude_Breakdown]],crudeBD.lkup.complete[Crude Breakdown],0)))^2,"")</f>
        <v>87.864282037493354</v>
      </c>
      <c r="AN1496" s="4">
        <f>IFERROR((vp.tbl[[#This Row],[Dens]]-INDEX(crudeBD.lkup.complete[Mean_Dens],MATCH(vp.tbl[[#This Row],[Crude_Breakdown]],crudeBD.lkup.complete[Crude Breakdown],0)))^2,"")</f>
        <v>388.41224914536809</v>
      </c>
      <c r="AO1496" s="4">
        <f>IFERROR((vp.tbl[[#This Row],[Sulf]]-INDEX(crudeBD.lkup.complete[Mean_Sulf],MATCH(vp.tbl[[#This Row],[Crude_Breakdown]],crudeBD.lkup.complete[Crude Breakdown],0)))^2,"")</f>
        <v>1.6772066655524207</v>
      </c>
      <c r="AP1496">
        <f>IF(AND(vp.tbl[[#This Row],[SDate]]&gt;=DATE(YEAR(vp.tbl[[#This Row],[SDate]]),5,1),vp.tbl[[#This Row],[SDate]]&lt;=DATE(YEAR(vp.tbl[[#This Row],[SDate]]),9,15)),1,0)</f>
        <v>1</v>
      </c>
      <c r="AQ1496" s="15">
        <f>IF(vp.tbl[[#This Row],[SDate]]&lt;DATE(2016,12,1),0,1)</f>
        <v>1</v>
      </c>
    </row>
    <row r="1497" spans="1:43" x14ac:dyDescent="0.25">
      <c r="A1497">
        <v>1496</v>
      </c>
      <c r="B1497" t="s">
        <v>49</v>
      </c>
      <c r="C1497" t="s">
        <v>49</v>
      </c>
      <c r="D1497" t="s">
        <v>92</v>
      </c>
      <c r="F1497" s="1">
        <v>42872</v>
      </c>
      <c r="G1497" s="2">
        <v>72.3</v>
      </c>
      <c r="H1497" s="2"/>
      <c r="I1497" s="2">
        <v>0.64</v>
      </c>
      <c r="J1497" s="2"/>
      <c r="K1497" s="2"/>
      <c r="L1497" s="2"/>
      <c r="M1497" s="2">
        <v>822.7</v>
      </c>
      <c r="N1497" s="2">
        <f ca="1">INDEX(INDIRECT(_xlfn.CONCAT("weather.tbl[",N$1,"]")),MATCH(vp.tbl[[#This Row],[SDate]],weather.tbl[Date],0))</f>
        <v>7.0666666666666655</v>
      </c>
      <c r="O1497" s="2">
        <f ca="1">INDEX(INDIRECT(_xlfn.CONCAT("weather.tbl[",O$1,"]")),MATCH(vp.tbl[[#This Row],[SDate]],weather.tbl[Date],0))</f>
        <v>11.778571428571427</v>
      </c>
      <c r="P1497" s="2">
        <f ca="1">INDEX(INDIRECT(_xlfn.CONCAT("weather.tbl[",P$1,"]")),MATCH(vp.tbl[[#This Row],[SDate]],weather.tbl[Date],0))</f>
        <v>7</v>
      </c>
      <c r="Q1497" s="2">
        <f ca="1">INDEX(INDIRECT(_xlfn.CONCAT("weather.tbl[",Q$1,"]")),MATCH(vp.tbl[[#This Row],[SDate]],weather.tbl[Date],0))</f>
        <v>6.4</v>
      </c>
      <c r="R1497" s="2">
        <f ca="1">INDEX(INDIRECT(_xlfn.CONCAT("weather.tbl[",R$1,"]")),MATCH(vp.tbl[[#This Row],[SDate]],weather.tbl[Date],0))</f>
        <v>8</v>
      </c>
      <c r="S1497" s="2">
        <f ca="1">INDEX(INDIRECT(_xlfn.CONCAT("weather.tbl[",S$1,"]")),MATCH(vp.tbl[[#This Row],[SDate]],weather.tbl[Date],0))</f>
        <v>5.9</v>
      </c>
      <c r="T1497" s="2">
        <f ca="1">INDEX(INDIRECT(_xlfn.CONCAT("weather.tbl[",T$1,"]")),MATCH(vp.tbl[[#This Row],[SDate]],weather.tbl[Date],0))</f>
        <v>7.3</v>
      </c>
      <c r="U1497" s="2">
        <f ca="1">INDEX(INDIRECT(_xlfn.CONCAT("weather.tbl[",U$1,"]")),MATCH(vp.tbl[[#This Row],[SDate]],weather.tbl[Date],0))</f>
        <v>7.8</v>
      </c>
      <c r="V1497" s="2">
        <v>24656.244999999999</v>
      </c>
      <c r="W1497" t="s">
        <v>48</v>
      </c>
      <c r="X1497">
        <f>IF(OR(vp.tbl[[#This Row],[Sulf]]="",vp.tbl[[#This Row],[Dens]]=""),1,0)</f>
        <v>0</v>
      </c>
      <c r="Y1497">
        <f>IF(vp.tbl[[#This Row],[CrudeType]]="C5+",1,0)</f>
        <v>0</v>
      </c>
      <c r="Z1497">
        <f>IF(AND(vp.tbl[[#This Row],[CrudeType]]="Crude",vp.tbl[[#This Row],[Dens]]&lt;=825,vp.tbl[[#This Row],[Sulf]]&gt;0.5,vp.tbl[[#This Row],[Unknown]]=0),1,0)</f>
        <v>1</v>
      </c>
      <c r="AA1497">
        <f>IF(AND(vp.tbl[[#This Row],[CrudeType]]="Crude",vp.tbl[[#This Row],[Dens]]&lt;=825,vp.tbl[[#This Row],[Sulf]]&lt;=0.5,vp.tbl[[#This Row],[Unknown]]=0),1,0)</f>
        <v>0</v>
      </c>
      <c r="AB1497">
        <f>IF(AND(vp.tbl[[#This Row],[CrudeType]]="Crude",vp.tbl[[#This Row],[Dens]]&gt;825,vp.tbl[[#This Row],[Dens]]&lt;=870,vp.tbl[[#This Row],[Sulf]]&gt;0.5,vp.tbl[[#This Row],[Unknown]]=0),1,0)</f>
        <v>0</v>
      </c>
      <c r="AC1497">
        <f>IF(AND(vp.tbl[[#This Row],[CrudeType]]="Crude",vp.tbl[[#This Row],[Dens]]&gt;825,vp.tbl[[#This Row],[Dens]]&lt;=900,vp.tbl[[#This Row],[Sulf]]&lt;=0.5,vp.tbl[[#This Row],[Unknown]]=0),1,0)</f>
        <v>0</v>
      </c>
      <c r="AD1497">
        <f>IF(AND(vp.tbl[[#This Row],[CrudeType]]="Crude",vp.tbl[[#This Row],[Dens]]&gt;870,vp.tbl[[#This Row],[Dens]]&lt;=900,vp.tbl[[#This Row],[Sulf]]&gt;0.5,vp.tbl[[#This Row],[Unknown]]=0),1,0)</f>
        <v>0</v>
      </c>
      <c r="AE1497">
        <f>IF(AND(vp.tbl[[#This Row],[CrudeType]]="Crude",vp.tbl[[#This Row],[Dens]]&gt;900,vp.tbl[[#This Row],[Sulf]]&lt;=0.5,vp.tbl[[#This Row],[Unknown]]=0),1,0)</f>
        <v>0</v>
      </c>
      <c r="AF1497">
        <f>IF(AND(vp.tbl[[#This Row],[CrudeType]]="Crude",vp.tbl[[#This Row],[Dens]]&gt;900,vp.tbl[[#This Row],[Sulf]]&lt;=0.5,vp.tbl[[#This Row],[Unknown]]=0),1,0)</f>
        <v>0</v>
      </c>
      <c r="AG1497" t="str">
        <f>INDEX(vp.tbl[[#Headers],[Unknown]:[Heavy_SW]],MATCH(1,vp.tbl[[#This Row],[Unknown]:[Heavy_SW]],0))</f>
        <v>Light_LSB</v>
      </c>
      <c r="AH1497" t="e">
        <f>INDEX([1]!crudeBD.lkup[Number],MATCH(vp.tbl[[#This Row],[Crude_Breakdown]],[1]!crudeBD.lkup[Crude Breakdown],0))</f>
        <v>#REF!</v>
      </c>
      <c r="AI1497">
        <f>MONTH(vp.tbl[[#This Row],[SDate]])</f>
        <v>5</v>
      </c>
      <c r="AJ1497" s="5">
        <f>IFERROR(vp.tbl[[#This Row],[Sulf]]*vp.tbl[[#This Row],[Net Dens]],"")</f>
        <v>12982203.367360001</v>
      </c>
      <c r="AK1497" s="5">
        <f>IFERROR(vp.tbl[[#This Row],[Dens]]*vp.tbl[[#This Row],[VolumeM3]],"")</f>
        <v>20284692.761500001</v>
      </c>
      <c r="AL1497" s="5">
        <f>IFERROR(vp.tbl[[#This Row],[VP]]*vp.tbl[[#This Row],[VolumeM3]],"")</f>
        <v>1782646.5134999999</v>
      </c>
      <c r="AM1497" s="4">
        <f>IFERROR((vp.tbl[[#This Row],[VP]]-INDEX(crudeBD.lkup.complete[Mean_VP],MATCH(vp.tbl[[#This Row],[Crude_Breakdown]],crudeBD.lkup.complete[Crude Breakdown],0)))^2,"")</f>
        <v>370.41565887979726</v>
      </c>
      <c r="AN1497" s="4">
        <f>IFERROR((vp.tbl[[#This Row],[Dens]]-INDEX(crudeBD.lkup.complete[Mean_Dens],MATCH(vp.tbl[[#This Row],[Crude_Breakdown]],crudeBD.lkup.complete[Crude Breakdown],0)))^2,"")</f>
        <v>17.499415245453584</v>
      </c>
      <c r="AO1497" s="4">
        <f>IFERROR((vp.tbl[[#This Row],[Sulf]]-INDEX(crudeBD.lkup.complete[Mean_Sulf],MATCH(vp.tbl[[#This Row],[Crude_Breakdown]],crudeBD.lkup.complete[Crude Breakdown],0)))^2,"")</f>
        <v>8.0072682137103807E-2</v>
      </c>
      <c r="AP1497">
        <f>IF(AND(vp.tbl[[#This Row],[SDate]]&gt;=DATE(YEAR(vp.tbl[[#This Row],[SDate]]),5,1),vp.tbl[[#This Row],[SDate]]&lt;=DATE(YEAR(vp.tbl[[#This Row],[SDate]]),9,15)),1,0)</f>
        <v>1</v>
      </c>
      <c r="AQ1497" s="15">
        <f>IF(vp.tbl[[#This Row],[SDate]]&lt;DATE(2016,12,1),0,1)</f>
        <v>1</v>
      </c>
    </row>
    <row r="1498" spans="1:43" x14ac:dyDescent="0.25">
      <c r="A1498">
        <v>1497</v>
      </c>
      <c r="B1498" t="s">
        <v>51</v>
      </c>
      <c r="C1498" t="s">
        <v>51</v>
      </c>
      <c r="D1498" t="s">
        <v>58</v>
      </c>
      <c r="F1498" s="1">
        <v>42872</v>
      </c>
      <c r="G1498" s="2">
        <v>85.4</v>
      </c>
      <c r="H1498" s="2"/>
      <c r="I1498" s="2">
        <v>1.51</v>
      </c>
      <c r="J1498" s="2"/>
      <c r="K1498" s="2"/>
      <c r="L1498" s="2"/>
      <c r="M1498" s="2">
        <v>836.4</v>
      </c>
      <c r="N1498" s="2">
        <f ca="1">INDEX(INDIRECT(_xlfn.CONCAT("weather.tbl[",N$1,"]")),MATCH(vp.tbl[[#This Row],[SDate]],weather.tbl[Date],0))</f>
        <v>7.0666666666666655</v>
      </c>
      <c r="O1498" s="2">
        <f ca="1">INDEX(INDIRECT(_xlfn.CONCAT("weather.tbl[",O$1,"]")),MATCH(vp.tbl[[#This Row],[SDate]],weather.tbl[Date],0))</f>
        <v>11.778571428571427</v>
      </c>
      <c r="P1498" s="2">
        <f ca="1">INDEX(INDIRECT(_xlfn.CONCAT("weather.tbl[",P$1,"]")),MATCH(vp.tbl[[#This Row],[SDate]],weather.tbl[Date],0))</f>
        <v>7</v>
      </c>
      <c r="Q1498" s="2">
        <f ca="1">INDEX(INDIRECT(_xlfn.CONCAT("weather.tbl[",Q$1,"]")),MATCH(vp.tbl[[#This Row],[SDate]],weather.tbl[Date],0))</f>
        <v>6.4</v>
      </c>
      <c r="R1498" s="2">
        <f ca="1">INDEX(INDIRECT(_xlfn.CONCAT("weather.tbl[",R$1,"]")),MATCH(vp.tbl[[#This Row],[SDate]],weather.tbl[Date],0))</f>
        <v>8</v>
      </c>
      <c r="S1498" s="2">
        <f ca="1">INDEX(INDIRECT(_xlfn.CONCAT("weather.tbl[",S$1,"]")),MATCH(vp.tbl[[#This Row],[SDate]],weather.tbl[Date],0))</f>
        <v>5.9</v>
      </c>
      <c r="T1498" s="2">
        <f ca="1">INDEX(INDIRECT(_xlfn.CONCAT("weather.tbl[",T$1,"]")),MATCH(vp.tbl[[#This Row],[SDate]],weather.tbl[Date],0))</f>
        <v>7.3</v>
      </c>
      <c r="U1498" s="2">
        <f ca="1">INDEX(INDIRECT(_xlfn.CONCAT("weather.tbl[",U$1,"]")),MATCH(vp.tbl[[#This Row],[SDate]],weather.tbl[Date],0))</f>
        <v>7.8</v>
      </c>
      <c r="V1498" s="2">
        <v>5887.6930000000002</v>
      </c>
      <c r="W1498" t="s">
        <v>48</v>
      </c>
      <c r="X1498">
        <f>IF(OR(vp.tbl[[#This Row],[Sulf]]="",vp.tbl[[#This Row],[Dens]]=""),1,0)</f>
        <v>0</v>
      </c>
      <c r="Y1498">
        <f>IF(vp.tbl[[#This Row],[CrudeType]]="C5+",1,0)</f>
        <v>0</v>
      </c>
      <c r="Z1498">
        <f>IF(AND(vp.tbl[[#This Row],[CrudeType]]="Crude",vp.tbl[[#This Row],[Dens]]&lt;=825,vp.tbl[[#This Row],[Sulf]]&gt;0.5,vp.tbl[[#This Row],[Unknown]]=0),1,0)</f>
        <v>0</v>
      </c>
      <c r="AA1498">
        <f>IF(AND(vp.tbl[[#This Row],[CrudeType]]="Crude",vp.tbl[[#This Row],[Dens]]&lt;=825,vp.tbl[[#This Row],[Sulf]]&lt;=0.5,vp.tbl[[#This Row],[Unknown]]=0),1,0)</f>
        <v>0</v>
      </c>
      <c r="AB1498">
        <f>IF(AND(vp.tbl[[#This Row],[CrudeType]]="Crude",vp.tbl[[#This Row],[Dens]]&gt;825,vp.tbl[[#This Row],[Dens]]&lt;=870,vp.tbl[[#This Row],[Sulf]]&gt;0.5,vp.tbl[[#This Row],[Unknown]]=0),1,0)</f>
        <v>1</v>
      </c>
      <c r="AC1498">
        <f>IF(AND(vp.tbl[[#This Row],[CrudeType]]="Crude",vp.tbl[[#This Row],[Dens]]&gt;825,vp.tbl[[#This Row],[Dens]]&lt;=900,vp.tbl[[#This Row],[Sulf]]&lt;=0.5,vp.tbl[[#This Row],[Unknown]]=0),1,0)</f>
        <v>0</v>
      </c>
      <c r="AD1498">
        <f>IF(AND(vp.tbl[[#This Row],[CrudeType]]="Crude",vp.tbl[[#This Row],[Dens]]&gt;870,vp.tbl[[#This Row],[Dens]]&lt;=900,vp.tbl[[#This Row],[Sulf]]&gt;0.5,vp.tbl[[#This Row],[Unknown]]=0),1,0)</f>
        <v>0</v>
      </c>
      <c r="AE1498">
        <f>IF(AND(vp.tbl[[#This Row],[CrudeType]]="Crude",vp.tbl[[#This Row],[Dens]]&gt;900,vp.tbl[[#This Row],[Sulf]]&lt;=0.5,vp.tbl[[#This Row],[Unknown]]=0),1,0)</f>
        <v>0</v>
      </c>
      <c r="AF1498">
        <f>IF(AND(vp.tbl[[#This Row],[CrudeType]]="Crude",vp.tbl[[#This Row],[Dens]]&gt;900,vp.tbl[[#This Row],[Sulf]]&lt;=0.5,vp.tbl[[#This Row],[Unknown]]=0),1,0)</f>
        <v>0</v>
      </c>
      <c r="AG1498" t="str">
        <f>INDEX(vp.tbl[[#Headers],[Unknown]:[Heavy_SW]],MATCH(1,vp.tbl[[#This Row],[Unknown]:[Heavy_SW]],0))</f>
        <v>Medium_LSB</v>
      </c>
      <c r="AH1498" t="e">
        <f>INDEX([1]!crudeBD.lkup[Number],MATCH(vp.tbl[[#This Row],[Crude_Breakdown]],[1]!crudeBD.lkup[Crude Breakdown],0))</f>
        <v>#REF!</v>
      </c>
      <c r="AI1498">
        <f>MONTH(vp.tbl[[#This Row],[SDate]])</f>
        <v>5</v>
      </c>
      <c r="AJ1498" s="5">
        <f>IFERROR(vp.tbl[[#This Row],[Sulf]]*vp.tbl[[#This Row],[Net Dens]],"")</f>
        <v>7435944.3020520005</v>
      </c>
      <c r="AK1498" s="5">
        <f>IFERROR(vp.tbl[[#This Row],[Dens]]*vp.tbl[[#This Row],[VolumeM3]],"")</f>
        <v>4924466.4252000004</v>
      </c>
      <c r="AL1498" s="5">
        <f>IFERROR(vp.tbl[[#This Row],[VP]]*vp.tbl[[#This Row],[VolumeM3]],"")</f>
        <v>502808.98220000003</v>
      </c>
      <c r="AM1498" s="4">
        <f>IFERROR((vp.tbl[[#This Row],[VP]]-INDEX(crudeBD.lkup.complete[Mean_VP],MATCH(vp.tbl[[#This Row],[Crude_Breakdown]],crudeBD.lkup.complete[Crude Breakdown],0)))^2,"")</f>
        <v>27.315309885595703</v>
      </c>
      <c r="AN1498" s="4">
        <f>IFERROR((vp.tbl[[#This Row],[Dens]]-INDEX(crudeBD.lkup.complete[Mean_Dens],MATCH(vp.tbl[[#This Row],[Crude_Breakdown]],crudeBD.lkup.complete[Crude Breakdown],0)))^2,"")</f>
        <v>79.064512436451409</v>
      </c>
      <c r="AO1498" s="4">
        <f>IFERROR((vp.tbl[[#This Row],[Sulf]]-INDEX(crudeBD.lkup.complete[Mean_Sulf],MATCH(vp.tbl[[#This Row],[Crude_Breakdown]],crudeBD.lkup.complete[Crude Breakdown],0)))^2,"")</f>
        <v>3.0327202359685928E-3</v>
      </c>
      <c r="AP1498">
        <f>IF(AND(vp.tbl[[#This Row],[SDate]]&gt;=DATE(YEAR(vp.tbl[[#This Row],[SDate]]),5,1),vp.tbl[[#This Row],[SDate]]&lt;=DATE(YEAR(vp.tbl[[#This Row],[SDate]]),9,15)),1,0)</f>
        <v>1</v>
      </c>
      <c r="AQ1498" s="15">
        <f>IF(vp.tbl[[#This Row],[SDate]]&lt;DATE(2016,12,1),0,1)</f>
        <v>1</v>
      </c>
    </row>
    <row r="1499" spans="1:43" x14ac:dyDescent="0.25">
      <c r="A1499">
        <v>1498</v>
      </c>
      <c r="B1499" t="s">
        <v>292</v>
      </c>
      <c r="C1499" t="s">
        <v>292</v>
      </c>
      <c r="D1499" t="s">
        <v>57</v>
      </c>
      <c r="F1499" s="1">
        <v>42872</v>
      </c>
      <c r="G1499" s="2">
        <v>74.5</v>
      </c>
      <c r="H1499" s="2"/>
      <c r="I1499" s="2">
        <v>1.78</v>
      </c>
      <c r="J1499" s="2"/>
      <c r="K1499" s="2"/>
      <c r="L1499" s="2"/>
      <c r="M1499" s="2">
        <v>851.1</v>
      </c>
      <c r="N1499" s="2">
        <f ca="1">INDEX(INDIRECT(_xlfn.CONCAT("weather.tbl[",N$1,"]")),MATCH(vp.tbl[[#This Row],[SDate]],weather.tbl[Date],0))</f>
        <v>7.0666666666666655</v>
      </c>
      <c r="O1499" s="2">
        <f ca="1">INDEX(INDIRECT(_xlfn.CONCAT("weather.tbl[",O$1,"]")),MATCH(vp.tbl[[#This Row],[SDate]],weather.tbl[Date],0))</f>
        <v>11.778571428571427</v>
      </c>
      <c r="P1499" s="2">
        <f ca="1">INDEX(INDIRECT(_xlfn.CONCAT("weather.tbl[",P$1,"]")),MATCH(vp.tbl[[#This Row],[SDate]],weather.tbl[Date],0))</f>
        <v>7</v>
      </c>
      <c r="Q1499" s="2">
        <f ca="1">INDEX(INDIRECT(_xlfn.CONCAT("weather.tbl[",Q$1,"]")),MATCH(vp.tbl[[#This Row],[SDate]],weather.tbl[Date],0))</f>
        <v>6.4</v>
      </c>
      <c r="R1499" s="2">
        <f ca="1">INDEX(INDIRECT(_xlfn.CONCAT("weather.tbl[",R$1,"]")),MATCH(vp.tbl[[#This Row],[SDate]],weather.tbl[Date],0))</f>
        <v>8</v>
      </c>
      <c r="S1499" s="2">
        <f ca="1">INDEX(INDIRECT(_xlfn.CONCAT("weather.tbl[",S$1,"]")),MATCH(vp.tbl[[#This Row],[SDate]],weather.tbl[Date],0))</f>
        <v>5.9</v>
      </c>
      <c r="T1499" s="2">
        <f ca="1">INDEX(INDIRECT(_xlfn.CONCAT("weather.tbl[",T$1,"]")),MATCH(vp.tbl[[#This Row],[SDate]],weather.tbl[Date],0))</f>
        <v>7.3</v>
      </c>
      <c r="U1499" s="2">
        <f ca="1">INDEX(INDIRECT(_xlfn.CONCAT("weather.tbl[",U$1,"]")),MATCH(vp.tbl[[#This Row],[SDate]],weather.tbl[Date],0))</f>
        <v>7.8</v>
      </c>
      <c r="V1499" s="2">
        <v>3038.6930000000002</v>
      </c>
      <c r="W1499" t="s">
        <v>48</v>
      </c>
      <c r="X1499">
        <f>IF(OR(vp.tbl[[#This Row],[Sulf]]="",vp.tbl[[#This Row],[Dens]]=""),1,0)</f>
        <v>0</v>
      </c>
      <c r="Y1499">
        <f>IF(vp.tbl[[#This Row],[CrudeType]]="C5+",1,0)</f>
        <v>0</v>
      </c>
      <c r="Z1499">
        <f>IF(AND(vp.tbl[[#This Row],[CrudeType]]="Crude",vp.tbl[[#This Row],[Dens]]&lt;=825,vp.tbl[[#This Row],[Sulf]]&gt;0.5,vp.tbl[[#This Row],[Unknown]]=0),1,0)</f>
        <v>0</v>
      </c>
      <c r="AA1499">
        <f>IF(AND(vp.tbl[[#This Row],[CrudeType]]="Crude",vp.tbl[[#This Row],[Dens]]&lt;=825,vp.tbl[[#This Row],[Sulf]]&lt;=0.5,vp.tbl[[#This Row],[Unknown]]=0),1,0)</f>
        <v>0</v>
      </c>
      <c r="AB1499">
        <f>IF(AND(vp.tbl[[#This Row],[CrudeType]]="Crude",vp.tbl[[#This Row],[Dens]]&gt;825,vp.tbl[[#This Row],[Dens]]&lt;=870,vp.tbl[[#This Row],[Sulf]]&gt;0.5,vp.tbl[[#This Row],[Unknown]]=0),1,0)</f>
        <v>1</v>
      </c>
      <c r="AC1499">
        <f>IF(AND(vp.tbl[[#This Row],[CrudeType]]="Crude",vp.tbl[[#This Row],[Dens]]&gt;825,vp.tbl[[#This Row],[Dens]]&lt;=900,vp.tbl[[#This Row],[Sulf]]&lt;=0.5,vp.tbl[[#This Row],[Unknown]]=0),1,0)</f>
        <v>0</v>
      </c>
      <c r="AD1499">
        <f>IF(AND(vp.tbl[[#This Row],[CrudeType]]="Crude",vp.tbl[[#This Row],[Dens]]&gt;870,vp.tbl[[#This Row],[Dens]]&lt;=900,vp.tbl[[#This Row],[Sulf]]&gt;0.5,vp.tbl[[#This Row],[Unknown]]=0),1,0)</f>
        <v>0</v>
      </c>
      <c r="AE1499">
        <f>IF(AND(vp.tbl[[#This Row],[CrudeType]]="Crude",vp.tbl[[#This Row],[Dens]]&gt;900,vp.tbl[[#This Row],[Sulf]]&lt;=0.5,vp.tbl[[#This Row],[Unknown]]=0),1,0)</f>
        <v>0</v>
      </c>
      <c r="AF1499">
        <f>IF(AND(vp.tbl[[#This Row],[CrudeType]]="Crude",vp.tbl[[#This Row],[Dens]]&gt;900,vp.tbl[[#This Row],[Sulf]]&lt;=0.5,vp.tbl[[#This Row],[Unknown]]=0),1,0)</f>
        <v>0</v>
      </c>
      <c r="AG1499" t="str">
        <f>INDEX(vp.tbl[[#Headers],[Unknown]:[Heavy_SW]],MATCH(1,vp.tbl[[#This Row],[Unknown]:[Heavy_SW]],0))</f>
        <v>Medium_LSB</v>
      </c>
      <c r="AH1499" t="e">
        <f>INDEX([1]!crudeBD.lkup[Number],MATCH(vp.tbl[[#This Row],[Crude_Breakdown]],[1]!crudeBD.lkup[Crude Breakdown],0))</f>
        <v>#REF!</v>
      </c>
      <c r="AI1499">
        <f>MONTH(vp.tbl[[#This Row],[SDate]])</f>
        <v>5</v>
      </c>
      <c r="AJ1499" s="5">
        <f>IFERROR(vp.tbl[[#This Row],[Sulf]]*vp.tbl[[#This Row],[Net Dens]],"")</f>
        <v>4603492.2698940001</v>
      </c>
      <c r="AK1499" s="5">
        <f>IFERROR(vp.tbl[[#This Row],[Dens]]*vp.tbl[[#This Row],[VolumeM3]],"")</f>
        <v>2586231.6123000002</v>
      </c>
      <c r="AL1499" s="5">
        <f>IFERROR(vp.tbl[[#This Row],[VP]]*vp.tbl[[#This Row],[VolumeM3]],"")</f>
        <v>226382.62850000002</v>
      </c>
      <c r="AM1499" s="4">
        <f>IFERROR((vp.tbl[[#This Row],[VP]]-INDEX(crudeBD.lkup.complete[Mean_VP],MATCH(vp.tbl[[#This Row],[Crude_Breakdown]],crudeBD.lkup.complete[Crude Breakdown],0)))^2,"")</f>
        <v>32.189679505848005</v>
      </c>
      <c r="AN1499" s="4">
        <f>IFERROR((vp.tbl[[#This Row],[Dens]]-INDEX(crudeBD.lkup.complete[Mean_Dens],MATCH(vp.tbl[[#This Row],[Crude_Breakdown]],crudeBD.lkup.complete[Crude Breakdown],0)))^2,"")</f>
        <v>33.734922563062497</v>
      </c>
      <c r="AO1499" s="4">
        <f>IFERROR((vp.tbl[[#This Row],[Sulf]]-INDEX(crudeBD.lkup.complete[Mean_Sulf],MATCH(vp.tbl[[#This Row],[Crude_Breakdown]],crudeBD.lkup.complete[Crude Breakdown],0)))^2,"")</f>
        <v>0.10567059542584123</v>
      </c>
      <c r="AP1499">
        <f>IF(AND(vp.tbl[[#This Row],[SDate]]&gt;=DATE(YEAR(vp.tbl[[#This Row],[SDate]]),5,1),vp.tbl[[#This Row],[SDate]]&lt;=DATE(YEAR(vp.tbl[[#This Row],[SDate]]),9,15)),1,0)</f>
        <v>1</v>
      </c>
      <c r="AQ1499" s="15">
        <f>IF(vp.tbl[[#This Row],[SDate]]&lt;DATE(2016,12,1),0,1)</f>
        <v>1</v>
      </c>
    </row>
    <row r="1500" spans="1:43" x14ac:dyDescent="0.25">
      <c r="A1500">
        <v>1499</v>
      </c>
      <c r="B1500" t="s">
        <v>51</v>
      </c>
      <c r="C1500" t="s">
        <v>51</v>
      </c>
      <c r="D1500" t="s">
        <v>52</v>
      </c>
      <c r="F1500" s="1">
        <v>42872</v>
      </c>
      <c r="G1500" s="2">
        <v>68.599999999999994</v>
      </c>
      <c r="H1500" s="2"/>
      <c r="I1500" s="2">
        <v>2.4</v>
      </c>
      <c r="J1500" s="2"/>
      <c r="K1500" s="2"/>
      <c r="L1500" s="2"/>
      <c r="M1500" s="2">
        <v>870.9</v>
      </c>
      <c r="N1500" s="2">
        <f ca="1">INDEX(INDIRECT(_xlfn.CONCAT("weather.tbl[",N$1,"]")),MATCH(vp.tbl[[#This Row],[SDate]],weather.tbl[Date],0))</f>
        <v>7.0666666666666655</v>
      </c>
      <c r="O1500" s="2">
        <f ca="1">INDEX(INDIRECT(_xlfn.CONCAT("weather.tbl[",O$1,"]")),MATCH(vp.tbl[[#This Row],[SDate]],weather.tbl[Date],0))</f>
        <v>11.778571428571427</v>
      </c>
      <c r="P1500" s="2">
        <f ca="1">INDEX(INDIRECT(_xlfn.CONCAT("weather.tbl[",P$1,"]")),MATCH(vp.tbl[[#This Row],[SDate]],weather.tbl[Date],0))</f>
        <v>7</v>
      </c>
      <c r="Q1500" s="2">
        <f ca="1">INDEX(INDIRECT(_xlfn.CONCAT("weather.tbl[",Q$1,"]")),MATCH(vp.tbl[[#This Row],[SDate]],weather.tbl[Date],0))</f>
        <v>6.4</v>
      </c>
      <c r="R1500" s="2">
        <f ca="1">INDEX(INDIRECT(_xlfn.CONCAT("weather.tbl[",R$1,"]")),MATCH(vp.tbl[[#This Row],[SDate]],weather.tbl[Date],0))</f>
        <v>8</v>
      </c>
      <c r="S1500" s="2">
        <f ca="1">INDEX(INDIRECT(_xlfn.CONCAT("weather.tbl[",S$1,"]")),MATCH(vp.tbl[[#This Row],[SDate]],weather.tbl[Date],0))</f>
        <v>5.9</v>
      </c>
      <c r="T1500" s="2">
        <f ca="1">INDEX(INDIRECT(_xlfn.CONCAT("weather.tbl[",T$1,"]")),MATCH(vp.tbl[[#This Row],[SDate]],weather.tbl[Date],0))</f>
        <v>7.3</v>
      </c>
      <c r="U1500" s="2">
        <f ca="1">INDEX(INDIRECT(_xlfn.CONCAT("weather.tbl[",U$1,"]")),MATCH(vp.tbl[[#This Row],[SDate]],weather.tbl[Date],0))</f>
        <v>7.8</v>
      </c>
      <c r="V1500" s="2">
        <v>7049.7860000000001</v>
      </c>
      <c r="W1500" t="s">
        <v>48</v>
      </c>
      <c r="X1500">
        <f>IF(OR(vp.tbl[[#This Row],[Sulf]]="",vp.tbl[[#This Row],[Dens]]=""),1,0)</f>
        <v>0</v>
      </c>
      <c r="Y1500">
        <f>IF(vp.tbl[[#This Row],[CrudeType]]="C5+",1,0)</f>
        <v>0</v>
      </c>
      <c r="Z1500">
        <f>IF(AND(vp.tbl[[#This Row],[CrudeType]]="Crude",vp.tbl[[#This Row],[Dens]]&lt;=825,vp.tbl[[#This Row],[Sulf]]&gt;0.5,vp.tbl[[#This Row],[Unknown]]=0),1,0)</f>
        <v>0</v>
      </c>
      <c r="AA1500">
        <f>IF(AND(vp.tbl[[#This Row],[CrudeType]]="Crude",vp.tbl[[#This Row],[Dens]]&lt;=825,vp.tbl[[#This Row],[Sulf]]&lt;=0.5,vp.tbl[[#This Row],[Unknown]]=0),1,0)</f>
        <v>0</v>
      </c>
      <c r="AB1500">
        <f>IF(AND(vp.tbl[[#This Row],[CrudeType]]="Crude",vp.tbl[[#This Row],[Dens]]&gt;825,vp.tbl[[#This Row],[Dens]]&lt;=870,vp.tbl[[#This Row],[Sulf]]&gt;0.5,vp.tbl[[#This Row],[Unknown]]=0),1,0)</f>
        <v>0</v>
      </c>
      <c r="AC1500">
        <f>IF(AND(vp.tbl[[#This Row],[CrudeType]]="Crude",vp.tbl[[#This Row],[Dens]]&gt;825,vp.tbl[[#This Row],[Dens]]&lt;=900,vp.tbl[[#This Row],[Sulf]]&lt;=0.5,vp.tbl[[#This Row],[Unknown]]=0),1,0)</f>
        <v>0</v>
      </c>
      <c r="AD1500">
        <f>IF(AND(vp.tbl[[#This Row],[CrudeType]]="Crude",vp.tbl[[#This Row],[Dens]]&gt;870,vp.tbl[[#This Row],[Dens]]&lt;=900,vp.tbl[[#This Row],[Sulf]]&gt;0.5,vp.tbl[[#This Row],[Unknown]]=0),1,0)</f>
        <v>1</v>
      </c>
      <c r="AE1500">
        <f>IF(AND(vp.tbl[[#This Row],[CrudeType]]="Crude",vp.tbl[[#This Row],[Dens]]&gt;900,vp.tbl[[#This Row],[Sulf]]&lt;=0.5,vp.tbl[[#This Row],[Unknown]]=0),1,0)</f>
        <v>0</v>
      </c>
      <c r="AF1500">
        <f>IF(AND(vp.tbl[[#This Row],[CrudeType]]="Crude",vp.tbl[[#This Row],[Dens]]&gt;900,vp.tbl[[#This Row],[Sulf]]&lt;=0.5,vp.tbl[[#This Row],[Unknown]]=0),1,0)</f>
        <v>0</v>
      </c>
      <c r="AG1500" t="str">
        <f>INDEX(vp.tbl[[#Headers],[Unknown]:[Heavy_SW]],MATCH(1,vp.tbl[[#This Row],[Unknown]:[Heavy_SW]],0))</f>
        <v>Midale</v>
      </c>
      <c r="AH1500" t="e">
        <f>INDEX([1]!crudeBD.lkup[Number],MATCH(vp.tbl[[#This Row],[Crude_Breakdown]],[1]!crudeBD.lkup[Crude Breakdown],0))</f>
        <v>#REF!</v>
      </c>
      <c r="AI1500">
        <f>MONTH(vp.tbl[[#This Row],[SDate]])</f>
        <v>5</v>
      </c>
      <c r="AJ1500" s="5">
        <f>IFERROR(vp.tbl[[#This Row],[Sulf]]*vp.tbl[[#This Row],[Net Dens]],"")</f>
        <v>14735180.705759998</v>
      </c>
      <c r="AK1500" s="5">
        <f>IFERROR(vp.tbl[[#This Row],[Dens]]*vp.tbl[[#This Row],[VolumeM3]],"")</f>
        <v>6139658.6273999996</v>
      </c>
      <c r="AL1500" s="5">
        <f>IFERROR(vp.tbl[[#This Row],[VP]]*vp.tbl[[#This Row],[VolumeM3]],"")</f>
        <v>483615.31959999999</v>
      </c>
      <c r="AM1500" s="4">
        <f>IFERROR((vp.tbl[[#This Row],[VP]]-INDEX(crudeBD.lkup.complete[Mean_VP],MATCH(vp.tbl[[#This Row],[Crude_Breakdown]],crudeBD.lkup.complete[Crude Breakdown],0)))^2,"")</f>
        <v>0.13078626383935588</v>
      </c>
      <c r="AN1500" s="4">
        <f>IFERROR((vp.tbl[[#This Row],[Dens]]-INDEX(crudeBD.lkup.complete[Mean_Dens],MATCH(vp.tbl[[#This Row],[Crude_Breakdown]],crudeBD.lkup.complete[Crude Breakdown],0)))^2,"")</f>
        <v>44.249832989300081</v>
      </c>
      <c r="AO1500" s="4">
        <f>IFERROR((vp.tbl[[#This Row],[Sulf]]-INDEX(crudeBD.lkup.complete[Mean_Sulf],MATCH(vp.tbl[[#This Row],[Crude_Breakdown]],crudeBD.lkup.complete[Crude Breakdown],0)))^2,"")</f>
        <v>2.3531980275845577E-4</v>
      </c>
      <c r="AP1500">
        <f>IF(AND(vp.tbl[[#This Row],[SDate]]&gt;=DATE(YEAR(vp.tbl[[#This Row],[SDate]]),5,1),vp.tbl[[#This Row],[SDate]]&lt;=DATE(YEAR(vp.tbl[[#This Row],[SDate]]),9,15)),1,0)</f>
        <v>1</v>
      </c>
      <c r="AQ1500" s="15">
        <f>IF(vp.tbl[[#This Row],[SDate]]&lt;DATE(2016,12,1),0,1)</f>
        <v>1</v>
      </c>
    </row>
    <row r="1501" spans="1:43" x14ac:dyDescent="0.25">
      <c r="A1501">
        <v>1500</v>
      </c>
      <c r="B1501" t="s">
        <v>292</v>
      </c>
      <c r="C1501" t="s">
        <v>292</v>
      </c>
      <c r="D1501" t="s">
        <v>94</v>
      </c>
      <c r="F1501" s="1">
        <v>42872</v>
      </c>
      <c r="G1501" s="2">
        <v>67</v>
      </c>
      <c r="H1501" s="2"/>
      <c r="I1501" s="2">
        <v>1.96</v>
      </c>
      <c r="J1501" s="2"/>
      <c r="K1501" s="2"/>
      <c r="L1501" s="2"/>
      <c r="M1501" s="2">
        <v>865.5</v>
      </c>
      <c r="N1501" s="2">
        <f ca="1">INDEX(INDIRECT(_xlfn.CONCAT("weather.tbl[",N$1,"]")),MATCH(vp.tbl[[#This Row],[SDate]],weather.tbl[Date],0))</f>
        <v>7.0666666666666655</v>
      </c>
      <c r="O1501" s="2">
        <f ca="1">INDEX(INDIRECT(_xlfn.CONCAT("weather.tbl[",O$1,"]")),MATCH(vp.tbl[[#This Row],[SDate]],weather.tbl[Date],0))</f>
        <v>11.778571428571427</v>
      </c>
      <c r="P1501" s="2">
        <f ca="1">INDEX(INDIRECT(_xlfn.CONCAT("weather.tbl[",P$1,"]")),MATCH(vp.tbl[[#This Row],[SDate]],weather.tbl[Date],0))</f>
        <v>7</v>
      </c>
      <c r="Q1501" s="2">
        <f ca="1">INDEX(INDIRECT(_xlfn.CONCAT("weather.tbl[",Q$1,"]")),MATCH(vp.tbl[[#This Row],[SDate]],weather.tbl[Date],0))</f>
        <v>6.4</v>
      </c>
      <c r="R1501" s="2">
        <f ca="1">INDEX(INDIRECT(_xlfn.CONCAT("weather.tbl[",R$1,"]")),MATCH(vp.tbl[[#This Row],[SDate]],weather.tbl[Date],0))</f>
        <v>8</v>
      </c>
      <c r="S1501" s="2">
        <f ca="1">INDEX(INDIRECT(_xlfn.CONCAT("weather.tbl[",S$1,"]")),MATCH(vp.tbl[[#This Row],[SDate]],weather.tbl[Date],0))</f>
        <v>5.9</v>
      </c>
      <c r="T1501" s="2">
        <f ca="1">INDEX(INDIRECT(_xlfn.CONCAT("weather.tbl[",T$1,"]")),MATCH(vp.tbl[[#This Row],[SDate]],weather.tbl[Date],0))</f>
        <v>7.3</v>
      </c>
      <c r="U1501" s="2">
        <f ca="1">INDEX(INDIRECT(_xlfn.CONCAT("weather.tbl[",U$1,"]")),MATCH(vp.tbl[[#This Row],[SDate]],weather.tbl[Date],0))</f>
        <v>7.8</v>
      </c>
      <c r="V1501" s="2">
        <v>4763.951</v>
      </c>
      <c r="W1501" t="s">
        <v>48</v>
      </c>
      <c r="X1501">
        <f>IF(OR(vp.tbl[[#This Row],[Sulf]]="",vp.tbl[[#This Row],[Dens]]=""),1,0)</f>
        <v>0</v>
      </c>
      <c r="Y1501">
        <f>IF(vp.tbl[[#This Row],[CrudeType]]="C5+",1,0)</f>
        <v>0</v>
      </c>
      <c r="Z1501">
        <f>IF(AND(vp.tbl[[#This Row],[CrudeType]]="Crude",vp.tbl[[#This Row],[Dens]]&lt;=825,vp.tbl[[#This Row],[Sulf]]&gt;0.5,vp.tbl[[#This Row],[Unknown]]=0),1,0)</f>
        <v>0</v>
      </c>
      <c r="AA1501">
        <f>IF(AND(vp.tbl[[#This Row],[CrudeType]]="Crude",vp.tbl[[#This Row],[Dens]]&lt;=825,vp.tbl[[#This Row],[Sulf]]&lt;=0.5,vp.tbl[[#This Row],[Unknown]]=0),1,0)</f>
        <v>0</v>
      </c>
      <c r="AB1501">
        <f>IF(AND(vp.tbl[[#This Row],[CrudeType]]="Crude",vp.tbl[[#This Row],[Dens]]&gt;825,vp.tbl[[#This Row],[Dens]]&lt;=870,vp.tbl[[#This Row],[Sulf]]&gt;0.5,vp.tbl[[#This Row],[Unknown]]=0),1,0)</f>
        <v>1</v>
      </c>
      <c r="AC1501">
        <f>IF(AND(vp.tbl[[#This Row],[CrudeType]]="Crude",vp.tbl[[#This Row],[Dens]]&gt;825,vp.tbl[[#This Row],[Dens]]&lt;=900,vp.tbl[[#This Row],[Sulf]]&lt;=0.5,vp.tbl[[#This Row],[Unknown]]=0),1,0)</f>
        <v>0</v>
      </c>
      <c r="AD1501">
        <f>IF(AND(vp.tbl[[#This Row],[CrudeType]]="Crude",vp.tbl[[#This Row],[Dens]]&gt;870,vp.tbl[[#This Row],[Dens]]&lt;=900,vp.tbl[[#This Row],[Sulf]]&gt;0.5,vp.tbl[[#This Row],[Unknown]]=0),1,0)</f>
        <v>0</v>
      </c>
      <c r="AE1501">
        <f>IF(AND(vp.tbl[[#This Row],[CrudeType]]="Crude",vp.tbl[[#This Row],[Dens]]&gt;900,vp.tbl[[#This Row],[Sulf]]&lt;=0.5,vp.tbl[[#This Row],[Unknown]]=0),1,0)</f>
        <v>0</v>
      </c>
      <c r="AF1501">
        <f>IF(AND(vp.tbl[[#This Row],[CrudeType]]="Crude",vp.tbl[[#This Row],[Dens]]&gt;900,vp.tbl[[#This Row],[Sulf]]&lt;=0.5,vp.tbl[[#This Row],[Unknown]]=0),1,0)</f>
        <v>0</v>
      </c>
      <c r="AG1501" t="str">
        <f>INDEX(vp.tbl[[#Headers],[Unknown]:[Heavy_SW]],MATCH(1,vp.tbl[[#This Row],[Unknown]:[Heavy_SW]],0))</f>
        <v>Medium_LSB</v>
      </c>
      <c r="AH1501" t="e">
        <f>INDEX([1]!crudeBD.lkup[Number],MATCH(vp.tbl[[#This Row],[Crude_Breakdown]],[1]!crudeBD.lkup[Crude Breakdown],0))</f>
        <v>#REF!</v>
      </c>
      <c r="AI1501">
        <f>MONTH(vp.tbl[[#This Row],[SDate]])</f>
        <v>5</v>
      </c>
      <c r="AJ1501" s="5">
        <f>IFERROR(vp.tbl[[#This Row],[Sulf]]*vp.tbl[[#This Row],[Net Dens]],"")</f>
        <v>8081471.1973799998</v>
      </c>
      <c r="AK1501" s="5">
        <f>IFERROR(vp.tbl[[#This Row],[Dens]]*vp.tbl[[#This Row],[VolumeM3]],"")</f>
        <v>4123199.5904999999</v>
      </c>
      <c r="AL1501" s="5">
        <f>IFERROR(vp.tbl[[#This Row],[VP]]*vp.tbl[[#This Row],[VolumeM3]],"")</f>
        <v>319184.717</v>
      </c>
      <c r="AM1501" s="4">
        <f>IFERROR((vp.tbl[[#This Row],[VP]]-INDEX(crudeBD.lkup.complete[Mean_VP],MATCH(vp.tbl[[#This Row],[Crude_Breakdown]],crudeBD.lkup.complete[Crude Breakdown],0)))^2,"")</f>
        <v>173.54360355648035</v>
      </c>
      <c r="AN1501" s="4">
        <f>IFERROR((vp.tbl[[#This Row],[Dens]]-INDEX(crudeBD.lkup.complete[Mean_Dens],MATCH(vp.tbl[[#This Row],[Crude_Breakdown]],crudeBD.lkup.complete[Crude Breakdown],0)))^2,"")</f>
        <v>408.37042636055895</v>
      </c>
      <c r="AO1501" s="4">
        <f>IFERROR((vp.tbl[[#This Row],[Sulf]]-INDEX(crudeBD.lkup.complete[Mean_Sulf],MATCH(vp.tbl[[#This Row],[Crude_Breakdown]],crudeBD.lkup.complete[Crude Breakdown],0)))^2,"")</f>
        <v>0.25509584555242293</v>
      </c>
      <c r="AP1501">
        <f>IF(AND(vp.tbl[[#This Row],[SDate]]&gt;=DATE(YEAR(vp.tbl[[#This Row],[SDate]]),5,1),vp.tbl[[#This Row],[SDate]]&lt;=DATE(YEAR(vp.tbl[[#This Row],[SDate]]),9,15)),1,0)</f>
        <v>1</v>
      </c>
      <c r="AQ1501" s="15">
        <f>IF(vp.tbl[[#This Row],[SDate]]&lt;DATE(2016,12,1),0,1)</f>
        <v>1</v>
      </c>
    </row>
    <row r="1502" spans="1:43" x14ac:dyDescent="0.25">
      <c r="A1502">
        <v>1501</v>
      </c>
      <c r="B1502" t="s">
        <v>51</v>
      </c>
      <c r="C1502" t="s">
        <v>51</v>
      </c>
      <c r="D1502" t="s">
        <v>71</v>
      </c>
      <c r="F1502" s="1">
        <v>42872</v>
      </c>
      <c r="G1502" s="2">
        <v>78.400000000000006</v>
      </c>
      <c r="H1502" s="2"/>
      <c r="I1502" s="2">
        <v>1.58</v>
      </c>
      <c r="J1502" s="2"/>
      <c r="K1502" s="2"/>
      <c r="L1502" s="2"/>
      <c r="M1502" s="2">
        <v>828</v>
      </c>
      <c r="N1502" s="2">
        <f ca="1">INDEX(INDIRECT(_xlfn.CONCAT("weather.tbl[",N$1,"]")),MATCH(vp.tbl[[#This Row],[SDate]],weather.tbl[Date],0))</f>
        <v>7.0666666666666655</v>
      </c>
      <c r="O1502" s="2">
        <f ca="1">INDEX(INDIRECT(_xlfn.CONCAT("weather.tbl[",O$1,"]")),MATCH(vp.tbl[[#This Row],[SDate]],weather.tbl[Date],0))</f>
        <v>11.778571428571427</v>
      </c>
      <c r="P1502" s="2">
        <f ca="1">INDEX(INDIRECT(_xlfn.CONCAT("weather.tbl[",P$1,"]")),MATCH(vp.tbl[[#This Row],[SDate]],weather.tbl[Date],0))</f>
        <v>7</v>
      </c>
      <c r="Q1502" s="2">
        <f ca="1">INDEX(INDIRECT(_xlfn.CONCAT("weather.tbl[",Q$1,"]")),MATCH(vp.tbl[[#This Row],[SDate]],weather.tbl[Date],0))</f>
        <v>6.4</v>
      </c>
      <c r="R1502" s="2">
        <f ca="1">INDEX(INDIRECT(_xlfn.CONCAT("weather.tbl[",R$1,"]")),MATCH(vp.tbl[[#This Row],[SDate]],weather.tbl[Date],0))</f>
        <v>8</v>
      </c>
      <c r="S1502" s="2">
        <f ca="1">INDEX(INDIRECT(_xlfn.CONCAT("weather.tbl[",S$1,"]")),MATCH(vp.tbl[[#This Row],[SDate]],weather.tbl[Date],0))</f>
        <v>5.9</v>
      </c>
      <c r="T1502" s="2">
        <f ca="1">INDEX(INDIRECT(_xlfn.CONCAT("weather.tbl[",T$1,"]")),MATCH(vp.tbl[[#This Row],[SDate]],weather.tbl[Date],0))</f>
        <v>7.3</v>
      </c>
      <c r="U1502" s="2">
        <f ca="1">INDEX(INDIRECT(_xlfn.CONCAT("weather.tbl[",U$1,"]")),MATCH(vp.tbl[[#This Row],[SDate]],weather.tbl[Date],0))</f>
        <v>7.8</v>
      </c>
      <c r="V1502" s="2">
        <v>9610.1779999999999</v>
      </c>
      <c r="W1502" t="s">
        <v>48</v>
      </c>
      <c r="X1502">
        <f>IF(OR(vp.tbl[[#This Row],[Sulf]]="",vp.tbl[[#This Row],[Dens]]=""),1,0)</f>
        <v>0</v>
      </c>
      <c r="Y1502">
        <f>IF(vp.tbl[[#This Row],[CrudeType]]="C5+",1,0)</f>
        <v>0</v>
      </c>
      <c r="Z1502">
        <f>IF(AND(vp.tbl[[#This Row],[CrudeType]]="Crude",vp.tbl[[#This Row],[Dens]]&lt;=825,vp.tbl[[#This Row],[Sulf]]&gt;0.5,vp.tbl[[#This Row],[Unknown]]=0),1,0)</f>
        <v>0</v>
      </c>
      <c r="AA1502">
        <f>IF(AND(vp.tbl[[#This Row],[CrudeType]]="Crude",vp.tbl[[#This Row],[Dens]]&lt;=825,vp.tbl[[#This Row],[Sulf]]&lt;=0.5,vp.tbl[[#This Row],[Unknown]]=0),1,0)</f>
        <v>0</v>
      </c>
      <c r="AB1502">
        <f>IF(AND(vp.tbl[[#This Row],[CrudeType]]="Crude",vp.tbl[[#This Row],[Dens]]&gt;825,vp.tbl[[#This Row],[Dens]]&lt;=870,vp.tbl[[#This Row],[Sulf]]&gt;0.5,vp.tbl[[#This Row],[Unknown]]=0),1,0)</f>
        <v>1</v>
      </c>
      <c r="AC1502">
        <f>IF(AND(vp.tbl[[#This Row],[CrudeType]]="Crude",vp.tbl[[#This Row],[Dens]]&gt;825,vp.tbl[[#This Row],[Dens]]&lt;=900,vp.tbl[[#This Row],[Sulf]]&lt;=0.5,vp.tbl[[#This Row],[Unknown]]=0),1,0)</f>
        <v>0</v>
      </c>
      <c r="AD1502">
        <f>IF(AND(vp.tbl[[#This Row],[CrudeType]]="Crude",vp.tbl[[#This Row],[Dens]]&gt;870,vp.tbl[[#This Row],[Dens]]&lt;=900,vp.tbl[[#This Row],[Sulf]]&gt;0.5,vp.tbl[[#This Row],[Unknown]]=0),1,0)</f>
        <v>0</v>
      </c>
      <c r="AE1502">
        <f>IF(AND(vp.tbl[[#This Row],[CrudeType]]="Crude",vp.tbl[[#This Row],[Dens]]&gt;900,vp.tbl[[#This Row],[Sulf]]&lt;=0.5,vp.tbl[[#This Row],[Unknown]]=0),1,0)</f>
        <v>0</v>
      </c>
      <c r="AF1502">
        <f>IF(AND(vp.tbl[[#This Row],[CrudeType]]="Crude",vp.tbl[[#This Row],[Dens]]&gt;900,vp.tbl[[#This Row],[Sulf]]&lt;=0.5,vp.tbl[[#This Row],[Unknown]]=0),1,0)</f>
        <v>0</v>
      </c>
      <c r="AG1502" t="str">
        <f>INDEX(vp.tbl[[#Headers],[Unknown]:[Heavy_SW]],MATCH(1,vp.tbl[[#This Row],[Unknown]:[Heavy_SW]],0))</f>
        <v>Medium_LSB</v>
      </c>
      <c r="AH1502" t="e">
        <f>INDEX([1]!crudeBD.lkup[Number],MATCH(vp.tbl[[#This Row],[Crude_Breakdown]],[1]!crudeBD.lkup[Crude Breakdown],0))</f>
        <v>#REF!</v>
      </c>
      <c r="AI1502">
        <f>MONTH(vp.tbl[[#This Row],[SDate]])</f>
        <v>5</v>
      </c>
      <c r="AJ1502" s="5">
        <f>IFERROR(vp.tbl[[#This Row],[Sulf]]*vp.tbl[[#This Row],[Net Dens]],"")</f>
        <v>12572419.266720001</v>
      </c>
      <c r="AK1502" s="5">
        <f>IFERROR(vp.tbl[[#This Row],[Dens]]*vp.tbl[[#This Row],[VolumeM3]],"")</f>
        <v>7957227.3839999996</v>
      </c>
      <c r="AL1502" s="5">
        <f>IFERROR(vp.tbl[[#This Row],[VP]]*vp.tbl[[#This Row],[VolumeM3]],"")</f>
        <v>753437.95520000008</v>
      </c>
      <c r="AM1502" s="4">
        <f>IFERROR((vp.tbl[[#This Row],[VP]]-INDEX(crudeBD.lkup.complete[Mean_VP],MATCH(vp.tbl[[#This Row],[Crude_Breakdown]],crudeBD.lkup.complete[Crude Breakdown],0)))^2,"")</f>
        <v>3.1456389995191567</v>
      </c>
      <c r="AN1502" s="4">
        <f>IFERROR((vp.tbl[[#This Row],[Dens]]-INDEX(crudeBD.lkup.complete[Mean_Dens],MATCH(vp.tbl[[#This Row],[Crude_Breakdown]],crudeBD.lkup.complete[Crude Breakdown],0)))^2,"")</f>
        <v>299.0071352212446</v>
      </c>
      <c r="AO1502" s="4">
        <f>IFERROR((vp.tbl[[#This Row],[Sulf]]-INDEX(crudeBD.lkup.complete[Mean_Sulf],MATCH(vp.tbl[[#This Row],[Crude_Breakdown]],crudeBD.lkup.complete[Crude Breakdown],0)))^2,"")</f>
        <v>1.5642539729639287E-2</v>
      </c>
      <c r="AP1502">
        <f>IF(AND(vp.tbl[[#This Row],[SDate]]&gt;=DATE(YEAR(vp.tbl[[#This Row],[SDate]]),5,1),vp.tbl[[#This Row],[SDate]]&lt;=DATE(YEAR(vp.tbl[[#This Row],[SDate]]),9,15)),1,0)</f>
        <v>1</v>
      </c>
      <c r="AQ1502" s="15">
        <f>IF(vp.tbl[[#This Row],[SDate]]&lt;DATE(2016,12,1),0,1)</f>
        <v>1</v>
      </c>
    </row>
    <row r="1503" spans="1:43" x14ac:dyDescent="0.25">
      <c r="A1503">
        <v>1502</v>
      </c>
      <c r="B1503" t="s">
        <v>111</v>
      </c>
      <c r="C1503" t="s">
        <v>111</v>
      </c>
      <c r="D1503" t="s">
        <v>112</v>
      </c>
      <c r="F1503" s="1">
        <v>42872</v>
      </c>
      <c r="G1503" s="2">
        <v>77.5</v>
      </c>
      <c r="H1503" s="2"/>
      <c r="I1503" s="2">
        <v>1.77</v>
      </c>
      <c r="J1503" s="2"/>
      <c r="K1503" s="2"/>
      <c r="L1503" s="2"/>
      <c r="M1503" s="2">
        <v>856.7</v>
      </c>
      <c r="N1503" s="2">
        <f ca="1">INDEX(INDIRECT(_xlfn.CONCAT("weather.tbl[",N$1,"]")),MATCH(vp.tbl[[#This Row],[SDate]],weather.tbl[Date],0))</f>
        <v>7.0666666666666655</v>
      </c>
      <c r="O1503" s="2">
        <f ca="1">INDEX(INDIRECT(_xlfn.CONCAT("weather.tbl[",O$1,"]")),MATCH(vp.tbl[[#This Row],[SDate]],weather.tbl[Date],0))</f>
        <v>11.778571428571427</v>
      </c>
      <c r="P1503" s="2">
        <f ca="1">INDEX(INDIRECT(_xlfn.CONCAT("weather.tbl[",P$1,"]")),MATCH(vp.tbl[[#This Row],[SDate]],weather.tbl[Date],0))</f>
        <v>7</v>
      </c>
      <c r="Q1503" s="2">
        <f ca="1">INDEX(INDIRECT(_xlfn.CONCAT("weather.tbl[",Q$1,"]")),MATCH(vp.tbl[[#This Row],[SDate]],weather.tbl[Date],0))</f>
        <v>6.4</v>
      </c>
      <c r="R1503" s="2">
        <f ca="1">INDEX(INDIRECT(_xlfn.CONCAT("weather.tbl[",R$1,"]")),MATCH(vp.tbl[[#This Row],[SDate]],weather.tbl[Date],0))</f>
        <v>8</v>
      </c>
      <c r="S1503" s="2">
        <f ca="1">INDEX(INDIRECT(_xlfn.CONCAT("weather.tbl[",S$1,"]")),MATCH(vp.tbl[[#This Row],[SDate]],weather.tbl[Date],0))</f>
        <v>5.9</v>
      </c>
      <c r="T1503" s="2">
        <f ca="1">INDEX(INDIRECT(_xlfn.CONCAT("weather.tbl[",T$1,"]")),MATCH(vp.tbl[[#This Row],[SDate]],weather.tbl[Date],0))</f>
        <v>7.3</v>
      </c>
      <c r="U1503" s="2">
        <f ca="1">INDEX(INDIRECT(_xlfn.CONCAT("weather.tbl[",U$1,"]")),MATCH(vp.tbl[[#This Row],[SDate]],weather.tbl[Date],0))</f>
        <v>7.8</v>
      </c>
      <c r="V1503" s="2">
        <v>8074.473</v>
      </c>
      <c r="W1503" t="s">
        <v>48</v>
      </c>
      <c r="X1503">
        <f>IF(OR(vp.tbl[[#This Row],[Sulf]]="",vp.tbl[[#This Row],[Dens]]=""),1,0)</f>
        <v>0</v>
      </c>
      <c r="Y1503">
        <f>IF(vp.tbl[[#This Row],[CrudeType]]="C5+",1,0)</f>
        <v>0</v>
      </c>
      <c r="Z1503">
        <f>IF(AND(vp.tbl[[#This Row],[CrudeType]]="Crude",vp.tbl[[#This Row],[Dens]]&lt;=825,vp.tbl[[#This Row],[Sulf]]&gt;0.5,vp.tbl[[#This Row],[Unknown]]=0),1,0)</f>
        <v>0</v>
      </c>
      <c r="AA1503">
        <f>IF(AND(vp.tbl[[#This Row],[CrudeType]]="Crude",vp.tbl[[#This Row],[Dens]]&lt;=825,vp.tbl[[#This Row],[Sulf]]&lt;=0.5,vp.tbl[[#This Row],[Unknown]]=0),1,0)</f>
        <v>0</v>
      </c>
      <c r="AB1503">
        <f>IF(AND(vp.tbl[[#This Row],[CrudeType]]="Crude",vp.tbl[[#This Row],[Dens]]&gt;825,vp.tbl[[#This Row],[Dens]]&lt;=870,vp.tbl[[#This Row],[Sulf]]&gt;0.5,vp.tbl[[#This Row],[Unknown]]=0),1,0)</f>
        <v>1</v>
      </c>
      <c r="AC1503">
        <f>IF(AND(vp.tbl[[#This Row],[CrudeType]]="Crude",vp.tbl[[#This Row],[Dens]]&gt;825,vp.tbl[[#This Row],[Dens]]&lt;=900,vp.tbl[[#This Row],[Sulf]]&lt;=0.5,vp.tbl[[#This Row],[Unknown]]=0),1,0)</f>
        <v>0</v>
      </c>
      <c r="AD1503">
        <f>IF(AND(vp.tbl[[#This Row],[CrudeType]]="Crude",vp.tbl[[#This Row],[Dens]]&gt;870,vp.tbl[[#This Row],[Dens]]&lt;=900,vp.tbl[[#This Row],[Sulf]]&gt;0.5,vp.tbl[[#This Row],[Unknown]]=0),1,0)</f>
        <v>0</v>
      </c>
      <c r="AE1503">
        <f>IF(AND(vp.tbl[[#This Row],[CrudeType]]="Crude",vp.tbl[[#This Row],[Dens]]&gt;900,vp.tbl[[#This Row],[Sulf]]&lt;=0.5,vp.tbl[[#This Row],[Unknown]]=0),1,0)</f>
        <v>0</v>
      </c>
      <c r="AF1503">
        <f>IF(AND(vp.tbl[[#This Row],[CrudeType]]="Crude",vp.tbl[[#This Row],[Dens]]&gt;900,vp.tbl[[#This Row],[Sulf]]&lt;=0.5,vp.tbl[[#This Row],[Unknown]]=0),1,0)</f>
        <v>0</v>
      </c>
      <c r="AG1503" t="str">
        <f>INDEX(vp.tbl[[#Headers],[Unknown]:[Heavy_SW]],MATCH(1,vp.tbl[[#This Row],[Unknown]:[Heavy_SW]],0))</f>
        <v>Medium_LSB</v>
      </c>
      <c r="AH1503" t="e">
        <f>INDEX([1]!crudeBD.lkup[Number],MATCH(vp.tbl[[#This Row],[Crude_Breakdown]],[1]!crudeBD.lkup[Crude Breakdown],0))</f>
        <v>#REF!</v>
      </c>
      <c r="AI1503">
        <f>MONTH(vp.tbl[[#This Row],[SDate]])</f>
        <v>5</v>
      </c>
      <c r="AJ1503" s="5">
        <f>IFERROR(vp.tbl[[#This Row],[Sulf]]*vp.tbl[[#This Row],[Net Dens]],"")</f>
        <v>12243799.803807</v>
      </c>
      <c r="AK1503" s="5">
        <f>IFERROR(vp.tbl[[#This Row],[Dens]]*vp.tbl[[#This Row],[VolumeM3]],"")</f>
        <v>6917401.0191000002</v>
      </c>
      <c r="AL1503" s="5">
        <f>IFERROR(vp.tbl[[#This Row],[VP]]*vp.tbl[[#This Row],[VolumeM3]],"")</f>
        <v>625771.65749999997</v>
      </c>
      <c r="AM1503" s="4">
        <f>IFERROR((vp.tbl[[#This Row],[VP]]-INDEX(crudeBD.lkup.complete[Mean_VP],MATCH(vp.tbl[[#This Row],[Crude_Breakdown]],crudeBD.lkup.complete[Crude Breakdown],0)))^2,"")</f>
        <v>7.1481098855950602</v>
      </c>
      <c r="AN1503" s="4">
        <f>IFERROR((vp.tbl[[#This Row],[Dens]]-INDEX(crudeBD.lkup.complete[Mean_Dens],MATCH(vp.tbl[[#This Row],[Crude_Breakdown]],crudeBD.lkup.complete[Crude Breakdown],0)))^2,"")</f>
        <v>130.14650737320088</v>
      </c>
      <c r="AO1503" s="4">
        <f>IFERROR((vp.tbl[[#This Row],[Sulf]]-INDEX(crudeBD.lkup.complete[Mean_Sulf],MATCH(vp.tbl[[#This Row],[Crude_Breakdown]],crudeBD.lkup.complete[Crude Breakdown],0)))^2,"")</f>
        <v>9.9269192641031123E-2</v>
      </c>
      <c r="AP1503">
        <f>IF(AND(vp.tbl[[#This Row],[SDate]]&gt;=DATE(YEAR(vp.tbl[[#This Row],[SDate]]),5,1),vp.tbl[[#This Row],[SDate]]&lt;=DATE(YEAR(vp.tbl[[#This Row],[SDate]]),9,15)),1,0)</f>
        <v>1</v>
      </c>
      <c r="AQ1503" s="15">
        <f>IF(vp.tbl[[#This Row],[SDate]]&lt;DATE(2016,12,1),0,1)</f>
        <v>1</v>
      </c>
    </row>
    <row r="1504" spans="1:43" x14ac:dyDescent="0.25">
      <c r="A1504">
        <v>1503</v>
      </c>
      <c r="B1504" t="s">
        <v>111</v>
      </c>
      <c r="C1504" t="s">
        <v>111</v>
      </c>
      <c r="D1504" t="s">
        <v>234</v>
      </c>
      <c r="F1504" s="1">
        <v>42872</v>
      </c>
      <c r="G1504" s="2">
        <v>63.2</v>
      </c>
      <c r="H1504" s="2"/>
      <c r="I1504" s="2">
        <v>2.75</v>
      </c>
      <c r="J1504" s="2"/>
      <c r="K1504" s="2"/>
      <c r="L1504" s="2"/>
      <c r="M1504" s="2">
        <v>884.4</v>
      </c>
      <c r="N1504" s="2">
        <f ca="1">INDEX(INDIRECT(_xlfn.CONCAT("weather.tbl[",N$1,"]")),MATCH(vp.tbl[[#This Row],[SDate]],weather.tbl[Date],0))</f>
        <v>7.0666666666666655</v>
      </c>
      <c r="O1504" s="2">
        <f ca="1">INDEX(INDIRECT(_xlfn.CONCAT("weather.tbl[",O$1,"]")),MATCH(vp.tbl[[#This Row],[SDate]],weather.tbl[Date],0))</f>
        <v>11.778571428571427</v>
      </c>
      <c r="P1504" s="2">
        <f ca="1">INDEX(INDIRECT(_xlfn.CONCAT("weather.tbl[",P$1,"]")),MATCH(vp.tbl[[#This Row],[SDate]],weather.tbl[Date],0))</f>
        <v>7</v>
      </c>
      <c r="Q1504" s="2">
        <f ca="1">INDEX(INDIRECT(_xlfn.CONCAT("weather.tbl[",Q$1,"]")),MATCH(vp.tbl[[#This Row],[SDate]],weather.tbl[Date],0))</f>
        <v>6.4</v>
      </c>
      <c r="R1504" s="2">
        <f ca="1">INDEX(INDIRECT(_xlfn.CONCAT("weather.tbl[",R$1,"]")),MATCH(vp.tbl[[#This Row],[SDate]],weather.tbl[Date],0))</f>
        <v>8</v>
      </c>
      <c r="S1504" s="2">
        <f ca="1">INDEX(INDIRECT(_xlfn.CONCAT("weather.tbl[",S$1,"]")),MATCH(vp.tbl[[#This Row],[SDate]],weather.tbl[Date],0))</f>
        <v>5.9</v>
      </c>
      <c r="T1504" s="2">
        <f ca="1">INDEX(INDIRECT(_xlfn.CONCAT("weather.tbl[",T$1,"]")),MATCH(vp.tbl[[#This Row],[SDate]],weather.tbl[Date],0))</f>
        <v>7.3</v>
      </c>
      <c r="U1504" s="2">
        <f ca="1">INDEX(INDIRECT(_xlfn.CONCAT("weather.tbl[",U$1,"]")),MATCH(vp.tbl[[#This Row],[SDate]],weather.tbl[Date],0))</f>
        <v>7.8</v>
      </c>
      <c r="V1504" s="2">
        <v>2844.9769999999999</v>
      </c>
      <c r="W1504" t="s">
        <v>48</v>
      </c>
      <c r="X1504">
        <f>IF(OR(vp.tbl[[#This Row],[Sulf]]="",vp.tbl[[#This Row],[Dens]]=""),1,0)</f>
        <v>0</v>
      </c>
      <c r="Y1504">
        <f>IF(vp.tbl[[#This Row],[CrudeType]]="C5+",1,0)</f>
        <v>0</v>
      </c>
      <c r="Z1504">
        <f>IF(AND(vp.tbl[[#This Row],[CrudeType]]="Crude",vp.tbl[[#This Row],[Dens]]&lt;=825,vp.tbl[[#This Row],[Sulf]]&gt;0.5,vp.tbl[[#This Row],[Unknown]]=0),1,0)</f>
        <v>0</v>
      </c>
      <c r="AA1504">
        <f>IF(AND(vp.tbl[[#This Row],[CrudeType]]="Crude",vp.tbl[[#This Row],[Dens]]&lt;=825,vp.tbl[[#This Row],[Sulf]]&lt;=0.5,vp.tbl[[#This Row],[Unknown]]=0),1,0)</f>
        <v>0</v>
      </c>
      <c r="AB1504">
        <f>IF(AND(vp.tbl[[#This Row],[CrudeType]]="Crude",vp.tbl[[#This Row],[Dens]]&gt;825,vp.tbl[[#This Row],[Dens]]&lt;=870,vp.tbl[[#This Row],[Sulf]]&gt;0.5,vp.tbl[[#This Row],[Unknown]]=0),1,0)</f>
        <v>0</v>
      </c>
      <c r="AC1504">
        <f>IF(AND(vp.tbl[[#This Row],[CrudeType]]="Crude",vp.tbl[[#This Row],[Dens]]&gt;825,vp.tbl[[#This Row],[Dens]]&lt;=900,vp.tbl[[#This Row],[Sulf]]&lt;=0.5,vp.tbl[[#This Row],[Unknown]]=0),1,0)</f>
        <v>0</v>
      </c>
      <c r="AD1504">
        <f>IF(AND(vp.tbl[[#This Row],[CrudeType]]="Crude",vp.tbl[[#This Row],[Dens]]&gt;870,vp.tbl[[#This Row],[Dens]]&lt;=900,vp.tbl[[#This Row],[Sulf]]&gt;0.5,vp.tbl[[#This Row],[Unknown]]=0),1,0)</f>
        <v>1</v>
      </c>
      <c r="AE1504">
        <f>IF(AND(vp.tbl[[#This Row],[CrudeType]]="Crude",vp.tbl[[#This Row],[Dens]]&gt;900,vp.tbl[[#This Row],[Sulf]]&lt;=0.5,vp.tbl[[#This Row],[Unknown]]=0),1,0)</f>
        <v>0</v>
      </c>
      <c r="AF1504">
        <f>IF(AND(vp.tbl[[#This Row],[CrudeType]]="Crude",vp.tbl[[#This Row],[Dens]]&gt;900,vp.tbl[[#This Row],[Sulf]]&lt;=0.5,vp.tbl[[#This Row],[Unknown]]=0),1,0)</f>
        <v>0</v>
      </c>
      <c r="AG1504" t="str">
        <f>INDEX(vp.tbl[[#Headers],[Unknown]:[Heavy_SW]],MATCH(1,vp.tbl[[#This Row],[Unknown]:[Heavy_SW]],0))</f>
        <v>Midale</v>
      </c>
      <c r="AH1504" t="e">
        <f>INDEX([1]!crudeBD.lkup[Number],MATCH(vp.tbl[[#This Row],[Crude_Breakdown]],[1]!crudeBD.lkup[Crude Breakdown],0))</f>
        <v>#REF!</v>
      </c>
      <c r="AI1504">
        <f>MONTH(vp.tbl[[#This Row],[SDate]])</f>
        <v>5</v>
      </c>
      <c r="AJ1504" s="5">
        <f>IFERROR(vp.tbl[[#This Row],[Sulf]]*vp.tbl[[#This Row],[Net Dens]],"")</f>
        <v>6919268.5616999995</v>
      </c>
      <c r="AK1504" s="5">
        <f>IFERROR(vp.tbl[[#This Row],[Dens]]*vp.tbl[[#This Row],[VolumeM3]],"")</f>
        <v>2516097.6587999999</v>
      </c>
      <c r="AL1504" s="5">
        <f>IFERROR(vp.tbl[[#This Row],[VP]]*vp.tbl[[#This Row],[VolumeM3]],"")</f>
        <v>179802.54639999999</v>
      </c>
      <c r="AM1504" s="4">
        <f>IFERROR((vp.tbl[[#This Row],[VP]]-INDEX(crudeBD.lkup.complete[Mean_VP],MATCH(vp.tbl[[#This Row],[Crude_Breakdown]],crudeBD.lkup.complete[Crude Breakdown],0)))^2,"")</f>
        <v>25.385032839181939</v>
      </c>
      <c r="AN1504" s="4">
        <f>IFERROR((vp.tbl[[#This Row],[Dens]]-INDEX(crudeBD.lkup.complete[Mean_Dens],MATCH(vp.tbl[[#This Row],[Crude_Breakdown]],crudeBD.lkup.complete[Crude Breakdown],0)))^2,"")</f>
        <v>46.894353537252847</v>
      </c>
      <c r="AO1504" s="4">
        <f>IFERROR((vp.tbl[[#This Row],[Sulf]]-INDEX(crudeBD.lkup.complete[Mean_Sulf],MATCH(vp.tbl[[#This Row],[Crude_Breakdown]],crudeBD.lkup.complete[Crude Breakdown],0)))^2,"")</f>
        <v>0.11199722391234837</v>
      </c>
      <c r="AP1504">
        <f>IF(AND(vp.tbl[[#This Row],[SDate]]&gt;=DATE(YEAR(vp.tbl[[#This Row],[SDate]]),5,1),vp.tbl[[#This Row],[SDate]]&lt;=DATE(YEAR(vp.tbl[[#This Row],[SDate]]),9,15)),1,0)</f>
        <v>1</v>
      </c>
      <c r="AQ1504" s="15">
        <f>IF(vp.tbl[[#This Row],[SDate]]&lt;DATE(2016,12,1),0,1)</f>
        <v>1</v>
      </c>
    </row>
    <row r="1505" spans="1:43" x14ac:dyDescent="0.25">
      <c r="A1505">
        <v>1504</v>
      </c>
      <c r="B1505" t="s">
        <v>49</v>
      </c>
      <c r="C1505" t="s">
        <v>49</v>
      </c>
      <c r="D1505" t="s">
        <v>78</v>
      </c>
      <c r="F1505" s="1">
        <v>42872</v>
      </c>
      <c r="G1505" s="2">
        <v>77.7</v>
      </c>
      <c r="H1505" s="2"/>
      <c r="I1505" s="2">
        <v>0.24</v>
      </c>
      <c r="J1505" s="2"/>
      <c r="K1505" s="2"/>
      <c r="L1505" s="2"/>
      <c r="M1505" s="2">
        <v>810.9</v>
      </c>
      <c r="N1505" s="2">
        <f ca="1">INDEX(INDIRECT(_xlfn.CONCAT("weather.tbl[",N$1,"]")),MATCH(vp.tbl[[#This Row],[SDate]],weather.tbl[Date],0))</f>
        <v>7.0666666666666655</v>
      </c>
      <c r="O1505" s="2">
        <f ca="1">INDEX(INDIRECT(_xlfn.CONCAT("weather.tbl[",O$1,"]")),MATCH(vp.tbl[[#This Row],[SDate]],weather.tbl[Date],0))</f>
        <v>11.778571428571427</v>
      </c>
      <c r="P1505" s="2">
        <f ca="1">INDEX(INDIRECT(_xlfn.CONCAT("weather.tbl[",P$1,"]")),MATCH(vp.tbl[[#This Row],[SDate]],weather.tbl[Date],0))</f>
        <v>7</v>
      </c>
      <c r="Q1505" s="2">
        <f ca="1">INDEX(INDIRECT(_xlfn.CONCAT("weather.tbl[",Q$1,"]")),MATCH(vp.tbl[[#This Row],[SDate]],weather.tbl[Date],0))</f>
        <v>6.4</v>
      </c>
      <c r="R1505" s="2">
        <f ca="1">INDEX(INDIRECT(_xlfn.CONCAT("weather.tbl[",R$1,"]")),MATCH(vp.tbl[[#This Row],[SDate]],weather.tbl[Date],0))</f>
        <v>8</v>
      </c>
      <c r="S1505" s="2">
        <f ca="1">INDEX(INDIRECT(_xlfn.CONCAT("weather.tbl[",S$1,"]")),MATCH(vp.tbl[[#This Row],[SDate]],weather.tbl[Date],0))</f>
        <v>5.9</v>
      </c>
      <c r="T1505" s="2">
        <f ca="1">INDEX(INDIRECT(_xlfn.CONCAT("weather.tbl[",T$1,"]")),MATCH(vp.tbl[[#This Row],[SDate]],weather.tbl[Date],0))</f>
        <v>7.3</v>
      </c>
      <c r="U1505" s="2">
        <f ca="1">INDEX(INDIRECT(_xlfn.CONCAT("weather.tbl[",U$1,"]")),MATCH(vp.tbl[[#This Row],[SDate]],weather.tbl[Date],0))</f>
        <v>7.8</v>
      </c>
      <c r="V1505" s="2">
        <v>20016.702000000001</v>
      </c>
      <c r="W1505" t="s">
        <v>48</v>
      </c>
      <c r="X1505">
        <f>IF(OR(vp.tbl[[#This Row],[Sulf]]="",vp.tbl[[#This Row],[Dens]]=""),1,0)</f>
        <v>0</v>
      </c>
      <c r="Y1505">
        <f>IF(vp.tbl[[#This Row],[CrudeType]]="C5+",1,0)</f>
        <v>0</v>
      </c>
      <c r="Z1505">
        <f>IF(AND(vp.tbl[[#This Row],[CrudeType]]="Crude",vp.tbl[[#This Row],[Dens]]&lt;=825,vp.tbl[[#This Row],[Sulf]]&gt;0.5,vp.tbl[[#This Row],[Unknown]]=0),1,0)</f>
        <v>0</v>
      </c>
      <c r="AA1505">
        <f>IF(AND(vp.tbl[[#This Row],[CrudeType]]="Crude",vp.tbl[[#This Row],[Dens]]&lt;=825,vp.tbl[[#This Row],[Sulf]]&lt;=0.5,vp.tbl[[#This Row],[Unknown]]=0),1,0)</f>
        <v>1</v>
      </c>
      <c r="AB1505">
        <f>IF(AND(vp.tbl[[#This Row],[CrudeType]]="Crude",vp.tbl[[#This Row],[Dens]]&gt;825,vp.tbl[[#This Row],[Dens]]&lt;=870,vp.tbl[[#This Row],[Sulf]]&gt;0.5,vp.tbl[[#This Row],[Unknown]]=0),1,0)</f>
        <v>0</v>
      </c>
      <c r="AC1505">
        <f>IF(AND(vp.tbl[[#This Row],[CrudeType]]="Crude",vp.tbl[[#This Row],[Dens]]&gt;825,vp.tbl[[#This Row],[Dens]]&lt;=900,vp.tbl[[#This Row],[Sulf]]&lt;=0.5,vp.tbl[[#This Row],[Unknown]]=0),1,0)</f>
        <v>0</v>
      </c>
      <c r="AD1505">
        <f>IF(AND(vp.tbl[[#This Row],[CrudeType]]="Crude",vp.tbl[[#This Row],[Dens]]&gt;870,vp.tbl[[#This Row],[Dens]]&lt;=900,vp.tbl[[#This Row],[Sulf]]&gt;0.5,vp.tbl[[#This Row],[Unknown]]=0),1,0)</f>
        <v>0</v>
      </c>
      <c r="AE1505">
        <f>IF(AND(vp.tbl[[#This Row],[CrudeType]]="Crude",vp.tbl[[#This Row],[Dens]]&gt;900,vp.tbl[[#This Row],[Sulf]]&lt;=0.5,vp.tbl[[#This Row],[Unknown]]=0),1,0)</f>
        <v>0</v>
      </c>
      <c r="AF1505">
        <f>IF(AND(vp.tbl[[#This Row],[CrudeType]]="Crude",vp.tbl[[#This Row],[Dens]]&gt;900,vp.tbl[[#This Row],[Sulf]]&lt;=0.5,vp.tbl[[#This Row],[Unknown]]=0),1,0)</f>
        <v>0</v>
      </c>
      <c r="AG1505" t="str">
        <f>INDEX(vp.tbl[[#Headers],[Unknown]:[Heavy_SW]],MATCH(1,vp.tbl[[#This Row],[Unknown]:[Heavy_SW]],0))</f>
        <v>Light_SW</v>
      </c>
      <c r="AH1505" t="e">
        <f>INDEX([1]!crudeBD.lkup[Number],MATCH(vp.tbl[[#This Row],[Crude_Breakdown]],[1]!crudeBD.lkup[Crude Breakdown],0))</f>
        <v>#REF!</v>
      </c>
      <c r="AI1505">
        <f>MONTH(vp.tbl[[#This Row],[SDate]])</f>
        <v>5</v>
      </c>
      <c r="AJ1505" s="5">
        <f>IFERROR(vp.tbl[[#This Row],[Sulf]]*vp.tbl[[#This Row],[Net Dens]],"")</f>
        <v>3895570.4764320003</v>
      </c>
      <c r="AK1505" s="5">
        <f>IFERROR(vp.tbl[[#This Row],[Dens]]*vp.tbl[[#This Row],[VolumeM3]],"")</f>
        <v>16231543.651800001</v>
      </c>
      <c r="AL1505" s="5">
        <f>IFERROR(vp.tbl[[#This Row],[VP]]*vp.tbl[[#This Row],[VolumeM3]],"")</f>
        <v>1555297.7454000001</v>
      </c>
      <c r="AM1505" s="4">
        <f>IFERROR((vp.tbl[[#This Row],[VP]]-INDEX(crudeBD.lkup.complete[Mean_VP],MATCH(vp.tbl[[#This Row],[Crude_Breakdown]],crudeBD.lkup.complete[Crude Breakdown],0)))^2,"")</f>
        <v>220.53181368718717</v>
      </c>
      <c r="AN1505" s="4">
        <f>IFERROR((vp.tbl[[#This Row],[Dens]]-INDEX(crudeBD.lkup.complete[Mean_Dens],MATCH(vp.tbl[[#This Row],[Crude_Breakdown]],crudeBD.lkup.complete[Crude Breakdown],0)))^2,"")</f>
        <v>6.7003412691678106</v>
      </c>
      <c r="AO1505" s="4">
        <f>IFERROR((vp.tbl[[#This Row],[Sulf]]-INDEX(crudeBD.lkup.complete[Mean_Sulf],MATCH(vp.tbl[[#This Row],[Crude_Breakdown]],crudeBD.lkup.complete[Crude Breakdown],0)))^2,"")</f>
        <v>1.4123978195681499E-5</v>
      </c>
      <c r="AP1505">
        <f>IF(AND(vp.tbl[[#This Row],[SDate]]&gt;=DATE(YEAR(vp.tbl[[#This Row],[SDate]]),5,1),vp.tbl[[#This Row],[SDate]]&lt;=DATE(YEAR(vp.tbl[[#This Row],[SDate]]),9,15)),1,0)</f>
        <v>1</v>
      </c>
      <c r="AQ1505" s="15">
        <f>IF(vp.tbl[[#This Row],[SDate]]&lt;DATE(2016,12,1),0,1)</f>
        <v>1</v>
      </c>
    </row>
    <row r="1506" spans="1:43" x14ac:dyDescent="0.25">
      <c r="A1506">
        <v>1505</v>
      </c>
      <c r="B1506" t="s">
        <v>292</v>
      </c>
      <c r="C1506" t="s">
        <v>292</v>
      </c>
      <c r="D1506" t="s">
        <v>317</v>
      </c>
      <c r="F1506" s="1">
        <v>42874</v>
      </c>
      <c r="G1506" s="2">
        <v>76.2</v>
      </c>
      <c r="H1506" s="2"/>
      <c r="I1506" s="2">
        <v>1.57</v>
      </c>
      <c r="J1506" s="2"/>
      <c r="K1506" s="2"/>
      <c r="L1506" s="2"/>
      <c r="M1506" s="2">
        <v>847.9</v>
      </c>
      <c r="N1506" s="2">
        <f ca="1">INDEX(INDIRECT(_xlfn.CONCAT("weather.tbl[",N$1,"]")),MATCH(vp.tbl[[#This Row],[SDate]],weather.tbl[Date],0))</f>
        <v>7.8000000000000007</v>
      </c>
      <c r="O1506" s="2">
        <f ca="1">INDEX(INDIRECT(_xlfn.CONCAT("weather.tbl[",O$1,"]")),MATCH(vp.tbl[[#This Row],[SDate]],weather.tbl[Date],0))</f>
        <v>10.078571428571427</v>
      </c>
      <c r="P1506" s="2">
        <f ca="1">INDEX(INDIRECT(_xlfn.CONCAT("weather.tbl[",P$1,"]")),MATCH(vp.tbl[[#This Row],[SDate]],weather.tbl[Date],0))</f>
        <v>8.5</v>
      </c>
      <c r="Q1506" s="2">
        <f ca="1">INDEX(INDIRECT(_xlfn.CONCAT("weather.tbl[",Q$1,"]")),MATCH(vp.tbl[[#This Row],[SDate]],weather.tbl[Date],0))</f>
        <v>7.8</v>
      </c>
      <c r="R1506" s="2">
        <f ca="1">INDEX(INDIRECT(_xlfn.CONCAT("weather.tbl[",R$1,"]")),MATCH(vp.tbl[[#This Row],[SDate]],weather.tbl[Date],0))</f>
        <v>6.3</v>
      </c>
      <c r="S1506" s="2">
        <f ca="1">INDEX(INDIRECT(_xlfn.CONCAT("weather.tbl[",S$1,"]")),MATCH(vp.tbl[[#This Row],[SDate]],weather.tbl[Date],0))</f>
        <v>8</v>
      </c>
      <c r="T1506" s="2">
        <f ca="1">INDEX(INDIRECT(_xlfn.CONCAT("weather.tbl[",T$1,"]")),MATCH(vp.tbl[[#This Row],[SDate]],weather.tbl[Date],0))</f>
        <v>7.7</v>
      </c>
      <c r="U1506" s="2">
        <f ca="1">INDEX(INDIRECT(_xlfn.CONCAT("weather.tbl[",U$1,"]")),MATCH(vp.tbl[[#This Row],[SDate]],weather.tbl[Date],0))</f>
        <v>8.5</v>
      </c>
      <c r="V1506" s="2">
        <v>1670.1079999999999</v>
      </c>
      <c r="W1506" t="s">
        <v>48</v>
      </c>
      <c r="X1506">
        <f>IF(OR(vp.tbl[[#This Row],[Sulf]]="",vp.tbl[[#This Row],[Dens]]=""),1,0)</f>
        <v>0</v>
      </c>
      <c r="Y1506">
        <f>IF(vp.tbl[[#This Row],[CrudeType]]="C5+",1,0)</f>
        <v>0</v>
      </c>
      <c r="Z1506">
        <f>IF(AND(vp.tbl[[#This Row],[CrudeType]]="Crude",vp.tbl[[#This Row],[Dens]]&lt;=825,vp.tbl[[#This Row],[Sulf]]&gt;0.5,vp.tbl[[#This Row],[Unknown]]=0),1,0)</f>
        <v>0</v>
      </c>
      <c r="AA1506">
        <f>IF(AND(vp.tbl[[#This Row],[CrudeType]]="Crude",vp.tbl[[#This Row],[Dens]]&lt;=825,vp.tbl[[#This Row],[Sulf]]&lt;=0.5,vp.tbl[[#This Row],[Unknown]]=0),1,0)</f>
        <v>0</v>
      </c>
      <c r="AB1506">
        <f>IF(AND(vp.tbl[[#This Row],[CrudeType]]="Crude",vp.tbl[[#This Row],[Dens]]&gt;825,vp.tbl[[#This Row],[Dens]]&lt;=870,vp.tbl[[#This Row],[Sulf]]&gt;0.5,vp.tbl[[#This Row],[Unknown]]=0),1,0)</f>
        <v>1</v>
      </c>
      <c r="AC1506">
        <f>IF(AND(vp.tbl[[#This Row],[CrudeType]]="Crude",vp.tbl[[#This Row],[Dens]]&gt;825,vp.tbl[[#This Row],[Dens]]&lt;=900,vp.tbl[[#This Row],[Sulf]]&lt;=0.5,vp.tbl[[#This Row],[Unknown]]=0),1,0)</f>
        <v>0</v>
      </c>
      <c r="AD1506">
        <f>IF(AND(vp.tbl[[#This Row],[CrudeType]]="Crude",vp.tbl[[#This Row],[Dens]]&gt;870,vp.tbl[[#This Row],[Dens]]&lt;=900,vp.tbl[[#This Row],[Sulf]]&gt;0.5,vp.tbl[[#This Row],[Unknown]]=0),1,0)</f>
        <v>0</v>
      </c>
      <c r="AE1506">
        <f>IF(AND(vp.tbl[[#This Row],[CrudeType]]="Crude",vp.tbl[[#This Row],[Dens]]&gt;900,vp.tbl[[#This Row],[Sulf]]&lt;=0.5,vp.tbl[[#This Row],[Unknown]]=0),1,0)</f>
        <v>0</v>
      </c>
      <c r="AF1506">
        <f>IF(AND(vp.tbl[[#This Row],[CrudeType]]="Crude",vp.tbl[[#This Row],[Dens]]&gt;900,vp.tbl[[#This Row],[Sulf]]&lt;=0.5,vp.tbl[[#This Row],[Unknown]]=0),1,0)</f>
        <v>0</v>
      </c>
      <c r="AG1506" t="str">
        <f>INDEX(vp.tbl[[#Headers],[Unknown]:[Heavy_SW]],MATCH(1,vp.tbl[[#This Row],[Unknown]:[Heavy_SW]],0))</f>
        <v>Medium_LSB</v>
      </c>
      <c r="AH1506" t="e">
        <f>INDEX([1]!crudeBD.lkup[Number],MATCH(vp.tbl[[#This Row],[Crude_Breakdown]],[1]!crudeBD.lkup[Crude Breakdown],0))</f>
        <v>#REF!</v>
      </c>
      <c r="AI1506">
        <f>MONTH(vp.tbl[[#This Row],[SDate]])</f>
        <v>5</v>
      </c>
      <c r="AJ1506" s="5">
        <f>IFERROR(vp.tbl[[#This Row],[Sulf]]*vp.tbl[[#This Row],[Net Dens]],"")</f>
        <v>2223252.7799240001</v>
      </c>
      <c r="AK1506" s="5">
        <f>IFERROR(vp.tbl[[#This Row],[Dens]]*vp.tbl[[#This Row],[VolumeM3]],"")</f>
        <v>1416084.5732</v>
      </c>
      <c r="AL1506" s="5">
        <f>IFERROR(vp.tbl[[#This Row],[VP]]*vp.tbl[[#This Row],[VolumeM3]],"")</f>
        <v>127262.22960000001</v>
      </c>
      <c r="AM1506" s="4">
        <f>IFERROR((vp.tbl[[#This Row],[VP]]-INDEX(crudeBD.lkup.complete[Mean_VP],MATCH(vp.tbl[[#This Row],[Crude_Breakdown]],crudeBD.lkup.complete[Crude Breakdown],0)))^2,"")</f>
        <v>15.789456721037979</v>
      </c>
      <c r="AN1506" s="4">
        <f>IFERROR((vp.tbl[[#This Row],[Dens]]-INDEX(crudeBD.lkup.complete[Mean_Dens],MATCH(vp.tbl[[#This Row],[Crude_Breakdown]],crudeBD.lkup.complete[Crude Breakdown],0)))^2,"")</f>
        <v>6.8025883858406209</v>
      </c>
      <c r="AO1506" s="4">
        <f>IFERROR((vp.tbl[[#This Row],[Sulf]]-INDEX(crudeBD.lkup.complete[Mean_Sulf],MATCH(vp.tbl[[#This Row],[Crude_Breakdown]],crudeBD.lkup.complete[Crude Breakdown],0)))^2,"")</f>
        <v>1.3241136944829188E-2</v>
      </c>
      <c r="AP1506">
        <f>IF(AND(vp.tbl[[#This Row],[SDate]]&gt;=DATE(YEAR(vp.tbl[[#This Row],[SDate]]),5,1),vp.tbl[[#This Row],[SDate]]&lt;=DATE(YEAR(vp.tbl[[#This Row],[SDate]]),9,15)),1,0)</f>
        <v>1</v>
      </c>
      <c r="AQ1506" s="15">
        <f>IF(vp.tbl[[#This Row],[SDate]]&lt;DATE(2016,12,1),0,1)</f>
        <v>1</v>
      </c>
    </row>
    <row r="1507" spans="1:43" x14ac:dyDescent="0.25">
      <c r="A1507">
        <v>1506</v>
      </c>
      <c r="B1507" t="s">
        <v>68</v>
      </c>
      <c r="C1507" t="s">
        <v>68</v>
      </c>
      <c r="D1507" t="s">
        <v>110</v>
      </c>
      <c r="F1507" s="1">
        <v>42874</v>
      </c>
      <c r="G1507" s="2">
        <v>66.599999999999994</v>
      </c>
      <c r="H1507" s="2"/>
      <c r="I1507" s="2">
        <v>1.45</v>
      </c>
      <c r="J1507" s="2"/>
      <c r="K1507" s="2"/>
      <c r="L1507" s="2"/>
      <c r="M1507" s="2">
        <v>854.2</v>
      </c>
      <c r="N1507" s="2">
        <f ca="1">INDEX(INDIRECT(_xlfn.CONCAT("weather.tbl[",N$1,"]")),MATCH(vp.tbl[[#This Row],[SDate]],weather.tbl[Date],0))</f>
        <v>7.8000000000000007</v>
      </c>
      <c r="O1507" s="2">
        <f ca="1">INDEX(INDIRECT(_xlfn.CONCAT("weather.tbl[",O$1,"]")),MATCH(vp.tbl[[#This Row],[SDate]],weather.tbl[Date],0))</f>
        <v>10.078571428571427</v>
      </c>
      <c r="P1507" s="2">
        <f ca="1">INDEX(INDIRECT(_xlfn.CONCAT("weather.tbl[",P$1,"]")),MATCH(vp.tbl[[#This Row],[SDate]],weather.tbl[Date],0))</f>
        <v>8.5</v>
      </c>
      <c r="Q1507" s="2">
        <f ca="1">INDEX(INDIRECT(_xlfn.CONCAT("weather.tbl[",Q$1,"]")),MATCH(vp.tbl[[#This Row],[SDate]],weather.tbl[Date],0))</f>
        <v>7.8</v>
      </c>
      <c r="R1507" s="2">
        <f ca="1">INDEX(INDIRECT(_xlfn.CONCAT("weather.tbl[",R$1,"]")),MATCH(vp.tbl[[#This Row],[SDate]],weather.tbl[Date],0))</f>
        <v>6.3</v>
      </c>
      <c r="S1507" s="2">
        <f ca="1">INDEX(INDIRECT(_xlfn.CONCAT("weather.tbl[",S$1,"]")),MATCH(vp.tbl[[#This Row],[SDate]],weather.tbl[Date],0))</f>
        <v>8</v>
      </c>
      <c r="T1507" s="2">
        <f ca="1">INDEX(INDIRECT(_xlfn.CONCAT("weather.tbl[",T$1,"]")),MATCH(vp.tbl[[#This Row],[SDate]],weather.tbl[Date],0))</f>
        <v>7.7</v>
      </c>
      <c r="U1507" s="2">
        <f ca="1">INDEX(INDIRECT(_xlfn.CONCAT("weather.tbl[",U$1,"]")),MATCH(vp.tbl[[#This Row],[SDate]],weather.tbl[Date],0))</f>
        <v>8.5</v>
      </c>
      <c r="V1507" s="2">
        <v>3812.1930000000002</v>
      </c>
      <c r="W1507" t="s">
        <v>48</v>
      </c>
      <c r="X1507">
        <f>IF(OR(vp.tbl[[#This Row],[Sulf]]="",vp.tbl[[#This Row],[Dens]]=""),1,0)</f>
        <v>0</v>
      </c>
      <c r="Y1507">
        <f>IF(vp.tbl[[#This Row],[CrudeType]]="C5+",1,0)</f>
        <v>0</v>
      </c>
      <c r="Z1507">
        <f>IF(AND(vp.tbl[[#This Row],[CrudeType]]="Crude",vp.tbl[[#This Row],[Dens]]&lt;=825,vp.tbl[[#This Row],[Sulf]]&gt;0.5,vp.tbl[[#This Row],[Unknown]]=0),1,0)</f>
        <v>0</v>
      </c>
      <c r="AA1507">
        <f>IF(AND(vp.tbl[[#This Row],[CrudeType]]="Crude",vp.tbl[[#This Row],[Dens]]&lt;=825,vp.tbl[[#This Row],[Sulf]]&lt;=0.5,vp.tbl[[#This Row],[Unknown]]=0),1,0)</f>
        <v>0</v>
      </c>
      <c r="AB1507">
        <f>IF(AND(vp.tbl[[#This Row],[CrudeType]]="Crude",vp.tbl[[#This Row],[Dens]]&gt;825,vp.tbl[[#This Row],[Dens]]&lt;=870,vp.tbl[[#This Row],[Sulf]]&gt;0.5,vp.tbl[[#This Row],[Unknown]]=0),1,0)</f>
        <v>1</v>
      </c>
      <c r="AC1507">
        <f>IF(AND(vp.tbl[[#This Row],[CrudeType]]="Crude",vp.tbl[[#This Row],[Dens]]&gt;825,vp.tbl[[#This Row],[Dens]]&lt;=900,vp.tbl[[#This Row],[Sulf]]&lt;=0.5,vp.tbl[[#This Row],[Unknown]]=0),1,0)</f>
        <v>0</v>
      </c>
      <c r="AD1507">
        <f>IF(AND(vp.tbl[[#This Row],[CrudeType]]="Crude",vp.tbl[[#This Row],[Dens]]&gt;870,vp.tbl[[#This Row],[Dens]]&lt;=900,vp.tbl[[#This Row],[Sulf]]&gt;0.5,vp.tbl[[#This Row],[Unknown]]=0),1,0)</f>
        <v>0</v>
      </c>
      <c r="AE1507">
        <f>IF(AND(vp.tbl[[#This Row],[CrudeType]]="Crude",vp.tbl[[#This Row],[Dens]]&gt;900,vp.tbl[[#This Row],[Sulf]]&lt;=0.5,vp.tbl[[#This Row],[Unknown]]=0),1,0)</f>
        <v>0</v>
      </c>
      <c r="AF1507">
        <f>IF(AND(vp.tbl[[#This Row],[CrudeType]]="Crude",vp.tbl[[#This Row],[Dens]]&gt;900,vp.tbl[[#This Row],[Sulf]]&lt;=0.5,vp.tbl[[#This Row],[Unknown]]=0),1,0)</f>
        <v>0</v>
      </c>
      <c r="AG1507" t="str">
        <f>INDEX(vp.tbl[[#Headers],[Unknown]:[Heavy_SW]],MATCH(1,vp.tbl[[#This Row],[Unknown]:[Heavy_SW]],0))</f>
        <v>Medium_LSB</v>
      </c>
      <c r="AH1507" t="e">
        <f>INDEX([1]!crudeBD.lkup[Number],MATCH(vp.tbl[[#This Row],[Crude_Breakdown]],[1]!crudeBD.lkup[Crude Breakdown],0))</f>
        <v>#REF!</v>
      </c>
      <c r="AI1507">
        <f>MONTH(vp.tbl[[#This Row],[SDate]])</f>
        <v>5</v>
      </c>
      <c r="AJ1507" s="5">
        <f>IFERROR(vp.tbl[[#This Row],[Sulf]]*vp.tbl[[#This Row],[Net Dens]],"")</f>
        <v>4721744.12787</v>
      </c>
      <c r="AK1507" s="5">
        <f>IFERROR(vp.tbl[[#This Row],[Dens]]*vp.tbl[[#This Row],[VolumeM3]],"")</f>
        <v>3256375.2606000002</v>
      </c>
      <c r="AL1507" s="5">
        <f>IFERROR(vp.tbl[[#This Row],[VP]]*vp.tbl[[#This Row],[VolumeM3]],"")</f>
        <v>253892.05379999999</v>
      </c>
      <c r="AM1507" s="4">
        <f>IFERROR((vp.tbl[[#This Row],[VP]]-INDEX(crudeBD.lkup.complete[Mean_VP],MATCH(vp.tbl[[#This Row],[Crude_Breakdown]],crudeBD.lkup.complete[Crude Breakdown],0)))^2,"")</f>
        <v>184.24247950584757</v>
      </c>
      <c r="AN1507" s="4">
        <f>IFERROR((vp.tbl[[#This Row],[Dens]]-INDEX(crudeBD.lkup.complete[Mean_Dens],MATCH(vp.tbl[[#This Row],[Crude_Breakdown]],crudeBD.lkup.complete[Crude Breakdown],0)))^2,"")</f>
        <v>79.355621297246358</v>
      </c>
      <c r="AO1507" s="4">
        <f>IFERROR((vp.tbl[[#This Row],[Sulf]]-INDEX(crudeBD.lkup.complete[Mean_Sulf],MATCH(vp.tbl[[#This Row],[Crude_Breakdown]],crudeBD.lkup.complete[Crude Breakdown],0)))^2,"")</f>
        <v>2.4303527108010561E-5</v>
      </c>
      <c r="AP1507">
        <f>IF(AND(vp.tbl[[#This Row],[SDate]]&gt;=DATE(YEAR(vp.tbl[[#This Row],[SDate]]),5,1),vp.tbl[[#This Row],[SDate]]&lt;=DATE(YEAR(vp.tbl[[#This Row],[SDate]]),9,15)),1,0)</f>
        <v>1</v>
      </c>
      <c r="AQ1507" s="15">
        <f>IF(vp.tbl[[#This Row],[SDate]]&lt;DATE(2016,12,1),0,1)</f>
        <v>1</v>
      </c>
    </row>
    <row r="1508" spans="1:43" x14ac:dyDescent="0.25">
      <c r="A1508">
        <v>1507</v>
      </c>
      <c r="B1508" t="s">
        <v>49</v>
      </c>
      <c r="C1508" t="s">
        <v>49</v>
      </c>
      <c r="D1508" t="s">
        <v>101</v>
      </c>
      <c r="F1508" s="1">
        <v>42874</v>
      </c>
      <c r="G1508" s="2">
        <v>69.2</v>
      </c>
      <c r="H1508" s="2"/>
      <c r="I1508" s="2">
        <v>0.23</v>
      </c>
      <c r="J1508" s="2"/>
      <c r="K1508" s="2"/>
      <c r="L1508" s="2"/>
      <c r="M1508" s="2">
        <v>815</v>
      </c>
      <c r="N1508" s="2">
        <f ca="1">INDEX(INDIRECT(_xlfn.CONCAT("weather.tbl[",N$1,"]")),MATCH(vp.tbl[[#This Row],[SDate]],weather.tbl[Date],0))</f>
        <v>7.8000000000000007</v>
      </c>
      <c r="O1508" s="2">
        <f ca="1">INDEX(INDIRECT(_xlfn.CONCAT("weather.tbl[",O$1,"]")),MATCH(vp.tbl[[#This Row],[SDate]],weather.tbl[Date],0))</f>
        <v>10.078571428571427</v>
      </c>
      <c r="P1508" s="2">
        <f ca="1">INDEX(INDIRECT(_xlfn.CONCAT("weather.tbl[",P$1,"]")),MATCH(vp.tbl[[#This Row],[SDate]],weather.tbl[Date],0))</f>
        <v>8.5</v>
      </c>
      <c r="Q1508" s="2">
        <f ca="1">INDEX(INDIRECT(_xlfn.CONCAT("weather.tbl[",Q$1,"]")),MATCH(vp.tbl[[#This Row],[SDate]],weather.tbl[Date],0))</f>
        <v>7.8</v>
      </c>
      <c r="R1508" s="2">
        <f ca="1">INDEX(INDIRECT(_xlfn.CONCAT("weather.tbl[",R$1,"]")),MATCH(vp.tbl[[#This Row],[SDate]],weather.tbl[Date],0))</f>
        <v>6.3</v>
      </c>
      <c r="S1508" s="2">
        <f ca="1">INDEX(INDIRECT(_xlfn.CONCAT("weather.tbl[",S$1,"]")),MATCH(vp.tbl[[#This Row],[SDate]],weather.tbl[Date],0))</f>
        <v>8</v>
      </c>
      <c r="T1508" s="2">
        <f ca="1">INDEX(INDIRECT(_xlfn.CONCAT("weather.tbl[",T$1,"]")),MATCH(vp.tbl[[#This Row],[SDate]],weather.tbl[Date],0))</f>
        <v>7.7</v>
      </c>
      <c r="U1508" s="2">
        <f ca="1">INDEX(INDIRECT(_xlfn.CONCAT("weather.tbl[",U$1,"]")),MATCH(vp.tbl[[#This Row],[SDate]],weather.tbl[Date],0))</f>
        <v>8.5</v>
      </c>
      <c r="V1508" s="2">
        <v>410.363</v>
      </c>
      <c r="W1508" t="s">
        <v>48</v>
      </c>
      <c r="X1508">
        <f>IF(OR(vp.tbl[[#This Row],[Sulf]]="",vp.tbl[[#This Row],[Dens]]=""),1,0)</f>
        <v>0</v>
      </c>
      <c r="Y1508">
        <f>IF(vp.tbl[[#This Row],[CrudeType]]="C5+",1,0)</f>
        <v>0</v>
      </c>
      <c r="Z1508">
        <f>IF(AND(vp.tbl[[#This Row],[CrudeType]]="Crude",vp.tbl[[#This Row],[Dens]]&lt;=825,vp.tbl[[#This Row],[Sulf]]&gt;0.5,vp.tbl[[#This Row],[Unknown]]=0),1,0)</f>
        <v>0</v>
      </c>
      <c r="AA1508">
        <f>IF(AND(vp.tbl[[#This Row],[CrudeType]]="Crude",vp.tbl[[#This Row],[Dens]]&lt;=825,vp.tbl[[#This Row],[Sulf]]&lt;=0.5,vp.tbl[[#This Row],[Unknown]]=0),1,0)</f>
        <v>1</v>
      </c>
      <c r="AB1508">
        <f>IF(AND(vp.tbl[[#This Row],[CrudeType]]="Crude",vp.tbl[[#This Row],[Dens]]&gt;825,vp.tbl[[#This Row],[Dens]]&lt;=870,vp.tbl[[#This Row],[Sulf]]&gt;0.5,vp.tbl[[#This Row],[Unknown]]=0),1,0)</f>
        <v>0</v>
      </c>
      <c r="AC1508">
        <f>IF(AND(vp.tbl[[#This Row],[CrudeType]]="Crude",vp.tbl[[#This Row],[Dens]]&gt;825,vp.tbl[[#This Row],[Dens]]&lt;=900,vp.tbl[[#This Row],[Sulf]]&lt;=0.5,vp.tbl[[#This Row],[Unknown]]=0),1,0)</f>
        <v>0</v>
      </c>
      <c r="AD1508">
        <f>IF(AND(vp.tbl[[#This Row],[CrudeType]]="Crude",vp.tbl[[#This Row],[Dens]]&gt;870,vp.tbl[[#This Row],[Dens]]&lt;=900,vp.tbl[[#This Row],[Sulf]]&gt;0.5,vp.tbl[[#This Row],[Unknown]]=0),1,0)</f>
        <v>0</v>
      </c>
      <c r="AE1508">
        <f>IF(AND(vp.tbl[[#This Row],[CrudeType]]="Crude",vp.tbl[[#This Row],[Dens]]&gt;900,vp.tbl[[#This Row],[Sulf]]&lt;=0.5,vp.tbl[[#This Row],[Unknown]]=0),1,0)</f>
        <v>0</v>
      </c>
      <c r="AF1508">
        <f>IF(AND(vp.tbl[[#This Row],[CrudeType]]="Crude",vp.tbl[[#This Row],[Dens]]&gt;900,vp.tbl[[#This Row],[Sulf]]&lt;=0.5,vp.tbl[[#This Row],[Unknown]]=0),1,0)</f>
        <v>0</v>
      </c>
      <c r="AG1508" t="str">
        <f>INDEX(vp.tbl[[#Headers],[Unknown]:[Heavy_SW]],MATCH(1,vp.tbl[[#This Row],[Unknown]:[Heavy_SW]],0))</f>
        <v>Light_SW</v>
      </c>
      <c r="AH1508" t="e">
        <f>INDEX([1]!crudeBD.lkup[Number],MATCH(vp.tbl[[#This Row],[Crude_Breakdown]],[1]!crudeBD.lkup[Crude Breakdown],0))</f>
        <v>#REF!</v>
      </c>
      <c r="AI1508">
        <f>MONTH(vp.tbl[[#This Row],[SDate]])</f>
        <v>5</v>
      </c>
      <c r="AJ1508" s="5">
        <f>IFERROR(vp.tbl[[#This Row],[Sulf]]*vp.tbl[[#This Row],[Net Dens]],"")</f>
        <v>76922.544349999996</v>
      </c>
      <c r="AK1508" s="5">
        <f>IFERROR(vp.tbl[[#This Row],[Dens]]*vp.tbl[[#This Row],[VolumeM3]],"")</f>
        <v>334445.84499999997</v>
      </c>
      <c r="AL1508" s="5">
        <f>IFERROR(vp.tbl[[#This Row],[VP]]*vp.tbl[[#This Row],[VolumeM3]],"")</f>
        <v>28397.119600000002</v>
      </c>
      <c r="AM1508" s="4">
        <f>IFERROR((vp.tbl[[#This Row],[VP]]-INDEX(crudeBD.lkup.complete[Mean_VP],MATCH(vp.tbl[[#This Row],[Crude_Breakdown]],crudeBD.lkup.complete[Crude Breakdown],0)))^2,"")</f>
        <v>545.23714469763956</v>
      </c>
      <c r="AN1508" s="4">
        <f>IFERROR((vp.tbl[[#This Row],[Dens]]-INDEX(crudeBD.lkup.complete[Mean_Dens],MATCH(vp.tbl[[#This Row],[Crude_Breakdown]],crudeBD.lkup.complete[Crude Breakdown],0)))^2,"")</f>
        <v>44.736055554884004</v>
      </c>
      <c r="AO1508" s="4">
        <f>IFERROR((vp.tbl[[#This Row],[Sulf]]-INDEX(crudeBD.lkup.complete[Mean_Sulf],MATCH(vp.tbl[[#This Row],[Crude_Breakdown]],crudeBD.lkup.complete[Crude Breakdown],0)))^2,"")</f>
        <v>3.8960215129476285E-5</v>
      </c>
      <c r="AP1508">
        <f>IF(AND(vp.tbl[[#This Row],[SDate]]&gt;=DATE(YEAR(vp.tbl[[#This Row],[SDate]]),5,1),vp.tbl[[#This Row],[SDate]]&lt;=DATE(YEAR(vp.tbl[[#This Row],[SDate]]),9,15)),1,0)</f>
        <v>1</v>
      </c>
      <c r="AQ1508" s="15">
        <f>IF(vp.tbl[[#This Row],[SDate]]&lt;DATE(2016,12,1),0,1)</f>
        <v>1</v>
      </c>
    </row>
    <row r="1509" spans="1:43" x14ac:dyDescent="0.25">
      <c r="A1509">
        <v>1508</v>
      </c>
      <c r="B1509" t="s">
        <v>51</v>
      </c>
      <c r="C1509" t="s">
        <v>51</v>
      </c>
      <c r="D1509" t="s">
        <v>318</v>
      </c>
      <c r="F1509" s="1">
        <v>42874</v>
      </c>
      <c r="G1509" s="2">
        <v>44.9</v>
      </c>
      <c r="H1509" s="2"/>
      <c r="I1509" s="2">
        <v>2.5299999999999998</v>
      </c>
      <c r="J1509" s="2"/>
      <c r="K1509" s="2"/>
      <c r="L1509" s="2"/>
      <c r="M1509" s="2">
        <v>890.2</v>
      </c>
      <c r="N1509" s="2">
        <f ca="1">INDEX(INDIRECT(_xlfn.CONCAT("weather.tbl[",N$1,"]")),MATCH(vp.tbl[[#This Row],[SDate]],weather.tbl[Date],0))</f>
        <v>7.8000000000000007</v>
      </c>
      <c r="O1509" s="2">
        <f ca="1">INDEX(INDIRECT(_xlfn.CONCAT("weather.tbl[",O$1,"]")),MATCH(vp.tbl[[#This Row],[SDate]],weather.tbl[Date],0))</f>
        <v>10.078571428571427</v>
      </c>
      <c r="P1509" s="2">
        <f ca="1">INDEX(INDIRECT(_xlfn.CONCAT("weather.tbl[",P$1,"]")),MATCH(vp.tbl[[#This Row],[SDate]],weather.tbl[Date],0))</f>
        <v>8.5</v>
      </c>
      <c r="Q1509" s="2">
        <f ca="1">INDEX(INDIRECT(_xlfn.CONCAT("weather.tbl[",Q$1,"]")),MATCH(vp.tbl[[#This Row],[SDate]],weather.tbl[Date],0))</f>
        <v>7.8</v>
      </c>
      <c r="R1509" s="2">
        <f ca="1">INDEX(INDIRECT(_xlfn.CONCAT("weather.tbl[",R$1,"]")),MATCH(vp.tbl[[#This Row],[SDate]],weather.tbl[Date],0))</f>
        <v>6.3</v>
      </c>
      <c r="S1509" s="2">
        <f ca="1">INDEX(INDIRECT(_xlfn.CONCAT("weather.tbl[",S$1,"]")),MATCH(vp.tbl[[#This Row],[SDate]],weather.tbl[Date],0))</f>
        <v>8</v>
      </c>
      <c r="T1509" s="2">
        <f ca="1">INDEX(INDIRECT(_xlfn.CONCAT("weather.tbl[",T$1,"]")),MATCH(vp.tbl[[#This Row],[SDate]],weather.tbl[Date],0))</f>
        <v>7.7</v>
      </c>
      <c r="U1509" s="2">
        <f ca="1">INDEX(INDIRECT(_xlfn.CONCAT("weather.tbl[",U$1,"]")),MATCH(vp.tbl[[#This Row],[SDate]],weather.tbl[Date],0))</f>
        <v>8.5</v>
      </c>
      <c r="V1509" s="2">
        <v>231.809</v>
      </c>
      <c r="W1509" t="s">
        <v>48</v>
      </c>
      <c r="X1509">
        <f>IF(OR(vp.tbl[[#This Row],[Sulf]]="",vp.tbl[[#This Row],[Dens]]=""),1,0)</f>
        <v>0</v>
      </c>
      <c r="Y1509">
        <f>IF(vp.tbl[[#This Row],[CrudeType]]="C5+",1,0)</f>
        <v>0</v>
      </c>
      <c r="Z1509">
        <f>IF(AND(vp.tbl[[#This Row],[CrudeType]]="Crude",vp.tbl[[#This Row],[Dens]]&lt;=825,vp.tbl[[#This Row],[Sulf]]&gt;0.5,vp.tbl[[#This Row],[Unknown]]=0),1,0)</f>
        <v>0</v>
      </c>
      <c r="AA1509">
        <f>IF(AND(vp.tbl[[#This Row],[CrudeType]]="Crude",vp.tbl[[#This Row],[Dens]]&lt;=825,vp.tbl[[#This Row],[Sulf]]&lt;=0.5,vp.tbl[[#This Row],[Unknown]]=0),1,0)</f>
        <v>0</v>
      </c>
      <c r="AB1509">
        <f>IF(AND(vp.tbl[[#This Row],[CrudeType]]="Crude",vp.tbl[[#This Row],[Dens]]&gt;825,vp.tbl[[#This Row],[Dens]]&lt;=870,vp.tbl[[#This Row],[Sulf]]&gt;0.5,vp.tbl[[#This Row],[Unknown]]=0),1,0)</f>
        <v>0</v>
      </c>
      <c r="AC1509">
        <f>IF(AND(vp.tbl[[#This Row],[CrudeType]]="Crude",vp.tbl[[#This Row],[Dens]]&gt;825,vp.tbl[[#This Row],[Dens]]&lt;=900,vp.tbl[[#This Row],[Sulf]]&lt;=0.5,vp.tbl[[#This Row],[Unknown]]=0),1,0)</f>
        <v>0</v>
      </c>
      <c r="AD1509">
        <f>IF(AND(vp.tbl[[#This Row],[CrudeType]]="Crude",vp.tbl[[#This Row],[Dens]]&gt;870,vp.tbl[[#This Row],[Dens]]&lt;=900,vp.tbl[[#This Row],[Sulf]]&gt;0.5,vp.tbl[[#This Row],[Unknown]]=0),1,0)</f>
        <v>1</v>
      </c>
      <c r="AE1509">
        <f>IF(AND(vp.tbl[[#This Row],[CrudeType]]="Crude",vp.tbl[[#This Row],[Dens]]&gt;900,vp.tbl[[#This Row],[Sulf]]&lt;=0.5,vp.tbl[[#This Row],[Unknown]]=0),1,0)</f>
        <v>0</v>
      </c>
      <c r="AF1509">
        <f>IF(AND(vp.tbl[[#This Row],[CrudeType]]="Crude",vp.tbl[[#This Row],[Dens]]&gt;900,vp.tbl[[#This Row],[Sulf]]&lt;=0.5,vp.tbl[[#This Row],[Unknown]]=0),1,0)</f>
        <v>0</v>
      </c>
      <c r="AG1509" t="str">
        <f>INDEX(vp.tbl[[#Headers],[Unknown]:[Heavy_SW]],MATCH(1,vp.tbl[[#This Row],[Unknown]:[Heavy_SW]],0))</f>
        <v>Midale</v>
      </c>
      <c r="AH1509" t="e">
        <f>INDEX([1]!crudeBD.lkup[Number],MATCH(vp.tbl[[#This Row],[Crude_Breakdown]],[1]!crudeBD.lkup[Crude Breakdown],0))</f>
        <v>#REF!</v>
      </c>
      <c r="AI1509">
        <f>MONTH(vp.tbl[[#This Row],[SDate]])</f>
        <v>5</v>
      </c>
      <c r="AJ1509" s="5">
        <f>IFERROR(vp.tbl[[#This Row],[Sulf]]*vp.tbl[[#This Row],[Net Dens]],"")</f>
        <v>522081.62065400003</v>
      </c>
      <c r="AK1509" s="5">
        <f>IFERROR(vp.tbl[[#This Row],[Dens]]*vp.tbl[[#This Row],[VolumeM3]],"")</f>
        <v>206356.37180000002</v>
      </c>
      <c r="AL1509" s="5">
        <f>IFERROR(vp.tbl[[#This Row],[VP]]*vp.tbl[[#This Row],[VolumeM3]],"")</f>
        <v>10408.224099999999</v>
      </c>
      <c r="AM1509" s="4">
        <f>IFERROR((vp.tbl[[#This Row],[VP]]-INDEX(crudeBD.lkup.complete[Mean_VP],MATCH(vp.tbl[[#This Row],[Crude_Breakdown]],crudeBD.lkup.complete[Crude Breakdown],0)))^2,"")</f>
        <v>544.67886845562089</v>
      </c>
      <c r="AN1509" s="4">
        <f>IFERROR((vp.tbl[[#This Row],[Dens]]-INDEX(crudeBD.lkup.complete[Mean_Dens],MATCH(vp.tbl[[#This Row],[Crude_Breakdown]],crudeBD.lkup.complete[Crude Breakdown],0)))^2,"")</f>
        <v>159.97051792081947</v>
      </c>
      <c r="AO1509" s="4">
        <f>IFERROR((vp.tbl[[#This Row],[Sulf]]-INDEX(crudeBD.lkup.complete[Mean_Sulf],MATCH(vp.tbl[[#This Row],[Crude_Breakdown]],crudeBD.lkup.complete[Crude Breakdown],0)))^2,"")</f>
        <v>1.3146884186320377E-2</v>
      </c>
      <c r="AP1509">
        <f>IF(AND(vp.tbl[[#This Row],[SDate]]&gt;=DATE(YEAR(vp.tbl[[#This Row],[SDate]]),5,1),vp.tbl[[#This Row],[SDate]]&lt;=DATE(YEAR(vp.tbl[[#This Row],[SDate]]),9,15)),1,0)</f>
        <v>1</v>
      </c>
      <c r="AQ1509" s="15">
        <f>IF(vp.tbl[[#This Row],[SDate]]&lt;DATE(2016,12,1),0,1)</f>
        <v>1</v>
      </c>
    </row>
    <row r="1510" spans="1:43" x14ac:dyDescent="0.25">
      <c r="A1510">
        <v>1509</v>
      </c>
      <c r="B1510" t="s">
        <v>49</v>
      </c>
      <c r="C1510" t="s">
        <v>49</v>
      </c>
      <c r="D1510" t="s">
        <v>319</v>
      </c>
      <c r="F1510" s="1">
        <v>42874</v>
      </c>
      <c r="G1510" s="2">
        <v>54.3</v>
      </c>
      <c r="H1510" s="2"/>
      <c r="I1510" s="2">
        <v>1.25</v>
      </c>
      <c r="J1510" s="2"/>
      <c r="K1510" s="2"/>
      <c r="L1510" s="2"/>
      <c r="M1510" s="2">
        <v>863.9</v>
      </c>
      <c r="N1510" s="2">
        <f ca="1">INDEX(INDIRECT(_xlfn.CONCAT("weather.tbl[",N$1,"]")),MATCH(vp.tbl[[#This Row],[SDate]],weather.tbl[Date],0))</f>
        <v>7.8000000000000007</v>
      </c>
      <c r="O1510" s="2">
        <f ca="1">INDEX(INDIRECT(_xlfn.CONCAT("weather.tbl[",O$1,"]")),MATCH(vp.tbl[[#This Row],[SDate]],weather.tbl[Date],0))</f>
        <v>10.078571428571427</v>
      </c>
      <c r="P1510" s="2">
        <f ca="1">INDEX(INDIRECT(_xlfn.CONCAT("weather.tbl[",P$1,"]")),MATCH(vp.tbl[[#This Row],[SDate]],weather.tbl[Date],0))</f>
        <v>8.5</v>
      </c>
      <c r="Q1510" s="2">
        <f ca="1">INDEX(INDIRECT(_xlfn.CONCAT("weather.tbl[",Q$1,"]")),MATCH(vp.tbl[[#This Row],[SDate]],weather.tbl[Date],0))</f>
        <v>7.8</v>
      </c>
      <c r="R1510" s="2">
        <f ca="1">INDEX(INDIRECT(_xlfn.CONCAT("weather.tbl[",R$1,"]")),MATCH(vp.tbl[[#This Row],[SDate]],weather.tbl[Date],0))</f>
        <v>6.3</v>
      </c>
      <c r="S1510" s="2">
        <f ca="1">INDEX(INDIRECT(_xlfn.CONCAT("weather.tbl[",S$1,"]")),MATCH(vp.tbl[[#This Row],[SDate]],weather.tbl[Date],0))</f>
        <v>8</v>
      </c>
      <c r="T1510" s="2">
        <f ca="1">INDEX(INDIRECT(_xlfn.CONCAT("weather.tbl[",T$1,"]")),MATCH(vp.tbl[[#This Row],[SDate]],weather.tbl[Date],0))</f>
        <v>7.7</v>
      </c>
      <c r="U1510" s="2">
        <f ca="1">INDEX(INDIRECT(_xlfn.CONCAT("weather.tbl[",U$1,"]")),MATCH(vp.tbl[[#This Row],[SDate]],weather.tbl[Date],0))</f>
        <v>8.5</v>
      </c>
      <c r="V1510" s="2">
        <v>296.60599999999999</v>
      </c>
      <c r="W1510" t="s">
        <v>48</v>
      </c>
      <c r="X1510">
        <f>IF(OR(vp.tbl[[#This Row],[Sulf]]="",vp.tbl[[#This Row],[Dens]]=""),1,0)</f>
        <v>0</v>
      </c>
      <c r="Y1510">
        <f>IF(vp.tbl[[#This Row],[CrudeType]]="C5+",1,0)</f>
        <v>0</v>
      </c>
      <c r="Z1510">
        <f>IF(AND(vp.tbl[[#This Row],[CrudeType]]="Crude",vp.tbl[[#This Row],[Dens]]&lt;=825,vp.tbl[[#This Row],[Sulf]]&gt;0.5,vp.tbl[[#This Row],[Unknown]]=0),1,0)</f>
        <v>0</v>
      </c>
      <c r="AA1510">
        <f>IF(AND(vp.tbl[[#This Row],[CrudeType]]="Crude",vp.tbl[[#This Row],[Dens]]&lt;=825,vp.tbl[[#This Row],[Sulf]]&lt;=0.5,vp.tbl[[#This Row],[Unknown]]=0),1,0)</f>
        <v>0</v>
      </c>
      <c r="AB1510">
        <f>IF(AND(vp.tbl[[#This Row],[CrudeType]]="Crude",vp.tbl[[#This Row],[Dens]]&gt;825,vp.tbl[[#This Row],[Dens]]&lt;=870,vp.tbl[[#This Row],[Sulf]]&gt;0.5,vp.tbl[[#This Row],[Unknown]]=0),1,0)</f>
        <v>1</v>
      </c>
      <c r="AC1510">
        <f>IF(AND(vp.tbl[[#This Row],[CrudeType]]="Crude",vp.tbl[[#This Row],[Dens]]&gt;825,vp.tbl[[#This Row],[Dens]]&lt;=900,vp.tbl[[#This Row],[Sulf]]&lt;=0.5,vp.tbl[[#This Row],[Unknown]]=0),1,0)</f>
        <v>0</v>
      </c>
      <c r="AD1510">
        <f>IF(AND(vp.tbl[[#This Row],[CrudeType]]="Crude",vp.tbl[[#This Row],[Dens]]&gt;870,vp.tbl[[#This Row],[Dens]]&lt;=900,vp.tbl[[#This Row],[Sulf]]&gt;0.5,vp.tbl[[#This Row],[Unknown]]=0),1,0)</f>
        <v>0</v>
      </c>
      <c r="AE1510">
        <f>IF(AND(vp.tbl[[#This Row],[CrudeType]]="Crude",vp.tbl[[#This Row],[Dens]]&gt;900,vp.tbl[[#This Row],[Sulf]]&lt;=0.5,vp.tbl[[#This Row],[Unknown]]=0),1,0)</f>
        <v>0</v>
      </c>
      <c r="AF1510">
        <f>IF(AND(vp.tbl[[#This Row],[CrudeType]]="Crude",vp.tbl[[#This Row],[Dens]]&gt;900,vp.tbl[[#This Row],[Sulf]]&lt;=0.5,vp.tbl[[#This Row],[Unknown]]=0),1,0)</f>
        <v>0</v>
      </c>
      <c r="AG1510" t="str">
        <f>INDEX(vp.tbl[[#Headers],[Unknown]:[Heavy_SW]],MATCH(1,vp.tbl[[#This Row],[Unknown]:[Heavy_SW]],0))</f>
        <v>Medium_LSB</v>
      </c>
      <c r="AH1510" t="e">
        <f>INDEX([1]!crudeBD.lkup[Number],MATCH(vp.tbl[[#This Row],[Crude_Breakdown]],[1]!crudeBD.lkup[Crude Breakdown],0))</f>
        <v>#REF!</v>
      </c>
      <c r="AI1510">
        <f>MONTH(vp.tbl[[#This Row],[SDate]])</f>
        <v>5</v>
      </c>
      <c r="AJ1510" s="5">
        <f>IFERROR(vp.tbl[[#This Row],[Sulf]]*vp.tbl[[#This Row],[Net Dens]],"")</f>
        <v>320297.40425000002</v>
      </c>
      <c r="AK1510" s="5">
        <f>IFERROR(vp.tbl[[#This Row],[Dens]]*vp.tbl[[#This Row],[VolumeM3]],"")</f>
        <v>256237.9234</v>
      </c>
      <c r="AL1510" s="5">
        <f>IFERROR(vp.tbl[[#This Row],[VP]]*vp.tbl[[#This Row],[VolumeM3]],"")</f>
        <v>16105.7058</v>
      </c>
      <c r="AM1510" s="4">
        <f>IFERROR((vp.tbl[[#This Row],[VP]]-INDEX(crudeBD.lkup.complete[Mean_VP],MATCH(vp.tbl[[#This Row],[Crude_Breakdown]],crudeBD.lkup.complete[Crude Breakdown],0)))^2,"")</f>
        <v>669.44291494888466</v>
      </c>
      <c r="AN1510" s="4">
        <f>IFERROR((vp.tbl[[#This Row],[Dens]]-INDEX(crudeBD.lkup.complete[Mean_Dens],MATCH(vp.tbl[[#This Row],[Crude_Breakdown]],crudeBD.lkup.complete[Crude Breakdown],0)))^2,"")</f>
        <v>346.26425927194737</v>
      </c>
      <c r="AO1510" s="4">
        <f>IFERROR((vp.tbl[[#This Row],[Sulf]]-INDEX(crudeBD.lkup.complete[Mean_Sulf],MATCH(vp.tbl[[#This Row],[Crude_Breakdown]],crudeBD.lkup.complete[Crude Breakdown],0)))^2,"")</f>
        <v>4.1996247830906074E-2</v>
      </c>
      <c r="AP1510">
        <f>IF(AND(vp.tbl[[#This Row],[SDate]]&gt;=DATE(YEAR(vp.tbl[[#This Row],[SDate]]),5,1),vp.tbl[[#This Row],[SDate]]&lt;=DATE(YEAR(vp.tbl[[#This Row],[SDate]]),9,15)),1,0)</f>
        <v>1</v>
      </c>
      <c r="AQ1510" s="15">
        <f>IF(vp.tbl[[#This Row],[SDate]]&lt;DATE(2016,12,1),0,1)</f>
        <v>1</v>
      </c>
    </row>
    <row r="1511" spans="1:43" x14ac:dyDescent="0.25">
      <c r="A1511">
        <v>1510</v>
      </c>
      <c r="B1511" t="s">
        <v>49</v>
      </c>
      <c r="C1511" t="s">
        <v>49</v>
      </c>
      <c r="D1511" t="s">
        <v>320</v>
      </c>
      <c r="F1511" s="1">
        <v>42874</v>
      </c>
      <c r="G1511" s="2">
        <v>51.8</v>
      </c>
      <c r="H1511" s="2"/>
      <c r="I1511" s="2">
        <v>1.87</v>
      </c>
      <c r="J1511" s="2"/>
      <c r="K1511" s="2"/>
      <c r="L1511" s="2"/>
      <c r="M1511" s="2">
        <v>872.9</v>
      </c>
      <c r="N1511" s="2">
        <f ca="1">INDEX(INDIRECT(_xlfn.CONCAT("weather.tbl[",N$1,"]")),MATCH(vp.tbl[[#This Row],[SDate]],weather.tbl[Date],0))</f>
        <v>7.8000000000000007</v>
      </c>
      <c r="O1511" s="2">
        <f ca="1">INDEX(INDIRECT(_xlfn.CONCAT("weather.tbl[",O$1,"]")),MATCH(vp.tbl[[#This Row],[SDate]],weather.tbl[Date],0))</f>
        <v>10.078571428571427</v>
      </c>
      <c r="P1511" s="2">
        <f ca="1">INDEX(INDIRECT(_xlfn.CONCAT("weather.tbl[",P$1,"]")),MATCH(vp.tbl[[#This Row],[SDate]],weather.tbl[Date],0))</f>
        <v>8.5</v>
      </c>
      <c r="Q1511" s="2">
        <f ca="1">INDEX(INDIRECT(_xlfn.CONCAT("weather.tbl[",Q$1,"]")),MATCH(vp.tbl[[#This Row],[SDate]],weather.tbl[Date],0))</f>
        <v>7.8</v>
      </c>
      <c r="R1511" s="2">
        <f ca="1">INDEX(INDIRECT(_xlfn.CONCAT("weather.tbl[",R$1,"]")),MATCH(vp.tbl[[#This Row],[SDate]],weather.tbl[Date],0))</f>
        <v>6.3</v>
      </c>
      <c r="S1511" s="2">
        <f ca="1">INDEX(INDIRECT(_xlfn.CONCAT("weather.tbl[",S$1,"]")),MATCH(vp.tbl[[#This Row],[SDate]],weather.tbl[Date],0))</f>
        <v>8</v>
      </c>
      <c r="T1511" s="2">
        <f ca="1">INDEX(INDIRECT(_xlfn.CONCAT("weather.tbl[",T$1,"]")),MATCH(vp.tbl[[#This Row],[SDate]],weather.tbl[Date],0))</f>
        <v>7.7</v>
      </c>
      <c r="U1511" s="2">
        <f ca="1">INDEX(INDIRECT(_xlfn.CONCAT("weather.tbl[",U$1,"]")),MATCH(vp.tbl[[#This Row],[SDate]],weather.tbl[Date],0))</f>
        <v>8.5</v>
      </c>
      <c r="V1511" s="2">
        <v>1699.62</v>
      </c>
      <c r="W1511" t="s">
        <v>48</v>
      </c>
      <c r="X1511">
        <f>IF(OR(vp.tbl[[#This Row],[Sulf]]="",vp.tbl[[#This Row],[Dens]]=""),1,0)</f>
        <v>0</v>
      </c>
      <c r="Y1511">
        <f>IF(vp.tbl[[#This Row],[CrudeType]]="C5+",1,0)</f>
        <v>0</v>
      </c>
      <c r="Z1511">
        <f>IF(AND(vp.tbl[[#This Row],[CrudeType]]="Crude",vp.tbl[[#This Row],[Dens]]&lt;=825,vp.tbl[[#This Row],[Sulf]]&gt;0.5,vp.tbl[[#This Row],[Unknown]]=0),1,0)</f>
        <v>0</v>
      </c>
      <c r="AA1511">
        <f>IF(AND(vp.tbl[[#This Row],[CrudeType]]="Crude",vp.tbl[[#This Row],[Dens]]&lt;=825,vp.tbl[[#This Row],[Sulf]]&lt;=0.5,vp.tbl[[#This Row],[Unknown]]=0),1,0)</f>
        <v>0</v>
      </c>
      <c r="AB1511">
        <f>IF(AND(vp.tbl[[#This Row],[CrudeType]]="Crude",vp.tbl[[#This Row],[Dens]]&gt;825,vp.tbl[[#This Row],[Dens]]&lt;=870,vp.tbl[[#This Row],[Sulf]]&gt;0.5,vp.tbl[[#This Row],[Unknown]]=0),1,0)</f>
        <v>0</v>
      </c>
      <c r="AC1511">
        <f>IF(AND(vp.tbl[[#This Row],[CrudeType]]="Crude",vp.tbl[[#This Row],[Dens]]&gt;825,vp.tbl[[#This Row],[Dens]]&lt;=900,vp.tbl[[#This Row],[Sulf]]&lt;=0.5,vp.tbl[[#This Row],[Unknown]]=0),1,0)</f>
        <v>0</v>
      </c>
      <c r="AD1511">
        <f>IF(AND(vp.tbl[[#This Row],[CrudeType]]="Crude",vp.tbl[[#This Row],[Dens]]&gt;870,vp.tbl[[#This Row],[Dens]]&lt;=900,vp.tbl[[#This Row],[Sulf]]&gt;0.5,vp.tbl[[#This Row],[Unknown]]=0),1,0)</f>
        <v>1</v>
      </c>
      <c r="AE1511">
        <f>IF(AND(vp.tbl[[#This Row],[CrudeType]]="Crude",vp.tbl[[#This Row],[Dens]]&gt;900,vp.tbl[[#This Row],[Sulf]]&lt;=0.5,vp.tbl[[#This Row],[Unknown]]=0),1,0)</f>
        <v>0</v>
      </c>
      <c r="AF1511">
        <f>IF(AND(vp.tbl[[#This Row],[CrudeType]]="Crude",vp.tbl[[#This Row],[Dens]]&gt;900,vp.tbl[[#This Row],[Sulf]]&lt;=0.5,vp.tbl[[#This Row],[Unknown]]=0),1,0)</f>
        <v>0</v>
      </c>
      <c r="AG1511" t="str">
        <f>INDEX(vp.tbl[[#Headers],[Unknown]:[Heavy_SW]],MATCH(1,vp.tbl[[#This Row],[Unknown]:[Heavy_SW]],0))</f>
        <v>Midale</v>
      </c>
      <c r="AH1511" t="e">
        <f>INDEX([1]!crudeBD.lkup[Number],MATCH(vp.tbl[[#This Row],[Crude_Breakdown]],[1]!crudeBD.lkup[Crude Breakdown],0))</f>
        <v>#REF!</v>
      </c>
      <c r="AI1511">
        <f>MONTH(vp.tbl[[#This Row],[SDate]])</f>
        <v>5</v>
      </c>
      <c r="AJ1511" s="5">
        <f>IFERROR(vp.tbl[[#This Row],[Sulf]]*vp.tbl[[#This Row],[Net Dens]],"")</f>
        <v>2774328.8172599999</v>
      </c>
      <c r="AK1511" s="5">
        <f>IFERROR(vp.tbl[[#This Row],[Dens]]*vp.tbl[[#This Row],[VolumeM3]],"")</f>
        <v>1483598.298</v>
      </c>
      <c r="AL1511" s="5">
        <f>IFERROR(vp.tbl[[#This Row],[VP]]*vp.tbl[[#This Row],[VolumeM3]],"")</f>
        <v>88040.315999999992</v>
      </c>
      <c r="AM1511" s="4">
        <f>IFERROR((vp.tbl[[#This Row],[VP]]-INDEX(crudeBD.lkup.complete[Mean_VP],MATCH(vp.tbl[[#This Row],[Crude_Breakdown]],crudeBD.lkup.complete[Crude Breakdown],0)))^2,"")</f>
        <v>270.21955338712758</v>
      </c>
      <c r="AN1511" s="4">
        <f>IFERROR((vp.tbl[[#This Row],[Dens]]-INDEX(crudeBD.lkup.complete[Mean_Dens],MATCH(vp.tbl[[#This Row],[Crude_Breakdown]],crudeBD.lkup.complete[Crude Breakdown],0)))^2,"")</f>
        <v>21.641613811219013</v>
      </c>
      <c r="AO1511" s="4">
        <f>IFERROR((vp.tbl[[#This Row],[Sulf]]-INDEX(crudeBD.lkup.complete[Mean_Sulf],MATCH(vp.tbl[[#This Row],[Crude_Breakdown]],crudeBD.lkup.complete[Crude Breakdown],0)))^2,"")</f>
        <v>0.29739586500823645</v>
      </c>
      <c r="AP1511">
        <f>IF(AND(vp.tbl[[#This Row],[SDate]]&gt;=DATE(YEAR(vp.tbl[[#This Row],[SDate]]),5,1),vp.tbl[[#This Row],[SDate]]&lt;=DATE(YEAR(vp.tbl[[#This Row],[SDate]]),9,15)),1,0)</f>
        <v>1</v>
      </c>
      <c r="AQ1511" s="15">
        <f>IF(vp.tbl[[#This Row],[SDate]]&lt;DATE(2016,12,1),0,1)</f>
        <v>1</v>
      </c>
    </row>
    <row r="1512" spans="1:43" x14ac:dyDescent="0.25">
      <c r="A1512">
        <v>1511</v>
      </c>
      <c r="B1512" t="s">
        <v>111</v>
      </c>
      <c r="C1512" t="s">
        <v>111</v>
      </c>
      <c r="D1512" t="s">
        <v>262</v>
      </c>
      <c r="F1512" s="1">
        <v>42874</v>
      </c>
      <c r="G1512" s="2">
        <v>59.7</v>
      </c>
      <c r="H1512" s="2"/>
      <c r="I1512" s="2">
        <v>2.78</v>
      </c>
      <c r="J1512" s="2"/>
      <c r="K1512" s="2"/>
      <c r="L1512" s="2"/>
      <c r="M1512" s="2">
        <v>891.1</v>
      </c>
      <c r="N1512" s="2">
        <f ca="1">INDEX(INDIRECT(_xlfn.CONCAT("weather.tbl[",N$1,"]")),MATCH(vp.tbl[[#This Row],[SDate]],weather.tbl[Date],0))</f>
        <v>7.8000000000000007</v>
      </c>
      <c r="O1512" s="2">
        <f ca="1">INDEX(INDIRECT(_xlfn.CONCAT("weather.tbl[",O$1,"]")),MATCH(vp.tbl[[#This Row],[SDate]],weather.tbl[Date],0))</f>
        <v>10.078571428571427</v>
      </c>
      <c r="P1512" s="2">
        <f ca="1">INDEX(INDIRECT(_xlfn.CONCAT("weather.tbl[",P$1,"]")),MATCH(vp.tbl[[#This Row],[SDate]],weather.tbl[Date],0))</f>
        <v>8.5</v>
      </c>
      <c r="Q1512" s="2">
        <f ca="1">INDEX(INDIRECT(_xlfn.CONCAT("weather.tbl[",Q$1,"]")),MATCH(vp.tbl[[#This Row],[SDate]],weather.tbl[Date],0))</f>
        <v>7.8</v>
      </c>
      <c r="R1512" s="2">
        <f ca="1">INDEX(INDIRECT(_xlfn.CONCAT("weather.tbl[",R$1,"]")),MATCH(vp.tbl[[#This Row],[SDate]],weather.tbl[Date],0))</f>
        <v>6.3</v>
      </c>
      <c r="S1512" s="2">
        <f ca="1">INDEX(INDIRECT(_xlfn.CONCAT("weather.tbl[",S$1,"]")),MATCH(vp.tbl[[#This Row],[SDate]],weather.tbl[Date],0))</f>
        <v>8</v>
      </c>
      <c r="T1512" s="2">
        <f ca="1">INDEX(INDIRECT(_xlfn.CONCAT("weather.tbl[",T$1,"]")),MATCH(vp.tbl[[#This Row],[SDate]],weather.tbl[Date],0))</f>
        <v>7.7</v>
      </c>
      <c r="U1512" s="2">
        <f ca="1">INDEX(INDIRECT(_xlfn.CONCAT("weather.tbl[",U$1,"]")),MATCH(vp.tbl[[#This Row],[SDate]],weather.tbl[Date],0))</f>
        <v>8.5</v>
      </c>
      <c r="V1512" s="2">
        <v>1089.597</v>
      </c>
      <c r="W1512" t="s">
        <v>48</v>
      </c>
      <c r="X1512">
        <f>IF(OR(vp.tbl[[#This Row],[Sulf]]="",vp.tbl[[#This Row],[Dens]]=""),1,0)</f>
        <v>0</v>
      </c>
      <c r="Y1512">
        <f>IF(vp.tbl[[#This Row],[CrudeType]]="C5+",1,0)</f>
        <v>0</v>
      </c>
      <c r="Z1512">
        <f>IF(AND(vp.tbl[[#This Row],[CrudeType]]="Crude",vp.tbl[[#This Row],[Dens]]&lt;=825,vp.tbl[[#This Row],[Sulf]]&gt;0.5,vp.tbl[[#This Row],[Unknown]]=0),1,0)</f>
        <v>0</v>
      </c>
      <c r="AA1512">
        <f>IF(AND(vp.tbl[[#This Row],[CrudeType]]="Crude",vp.tbl[[#This Row],[Dens]]&lt;=825,vp.tbl[[#This Row],[Sulf]]&lt;=0.5,vp.tbl[[#This Row],[Unknown]]=0),1,0)</f>
        <v>0</v>
      </c>
      <c r="AB1512">
        <f>IF(AND(vp.tbl[[#This Row],[CrudeType]]="Crude",vp.tbl[[#This Row],[Dens]]&gt;825,vp.tbl[[#This Row],[Dens]]&lt;=870,vp.tbl[[#This Row],[Sulf]]&gt;0.5,vp.tbl[[#This Row],[Unknown]]=0),1,0)</f>
        <v>0</v>
      </c>
      <c r="AC1512">
        <f>IF(AND(vp.tbl[[#This Row],[CrudeType]]="Crude",vp.tbl[[#This Row],[Dens]]&gt;825,vp.tbl[[#This Row],[Dens]]&lt;=900,vp.tbl[[#This Row],[Sulf]]&lt;=0.5,vp.tbl[[#This Row],[Unknown]]=0),1,0)</f>
        <v>0</v>
      </c>
      <c r="AD1512">
        <f>IF(AND(vp.tbl[[#This Row],[CrudeType]]="Crude",vp.tbl[[#This Row],[Dens]]&gt;870,vp.tbl[[#This Row],[Dens]]&lt;=900,vp.tbl[[#This Row],[Sulf]]&gt;0.5,vp.tbl[[#This Row],[Unknown]]=0),1,0)</f>
        <v>1</v>
      </c>
      <c r="AE1512">
        <f>IF(AND(vp.tbl[[#This Row],[CrudeType]]="Crude",vp.tbl[[#This Row],[Dens]]&gt;900,vp.tbl[[#This Row],[Sulf]]&lt;=0.5,vp.tbl[[#This Row],[Unknown]]=0),1,0)</f>
        <v>0</v>
      </c>
      <c r="AF1512">
        <f>IF(AND(vp.tbl[[#This Row],[CrudeType]]="Crude",vp.tbl[[#This Row],[Dens]]&gt;900,vp.tbl[[#This Row],[Sulf]]&lt;=0.5,vp.tbl[[#This Row],[Unknown]]=0),1,0)</f>
        <v>0</v>
      </c>
      <c r="AG1512" t="str">
        <f>INDEX(vp.tbl[[#Headers],[Unknown]:[Heavy_SW]],MATCH(1,vp.tbl[[#This Row],[Unknown]:[Heavy_SW]],0))</f>
        <v>Midale</v>
      </c>
      <c r="AH1512" t="e">
        <f>INDEX([1]!crudeBD.lkup[Number],MATCH(vp.tbl[[#This Row],[Crude_Breakdown]],[1]!crudeBD.lkup[Crude Breakdown],0))</f>
        <v>#REF!</v>
      </c>
      <c r="AI1512">
        <f>MONTH(vp.tbl[[#This Row],[SDate]])</f>
        <v>5</v>
      </c>
      <c r="AJ1512" s="5">
        <f>IFERROR(vp.tbl[[#This Row],[Sulf]]*vp.tbl[[#This Row],[Net Dens]],"")</f>
        <v>2699212.885026</v>
      </c>
      <c r="AK1512" s="5">
        <f>IFERROR(vp.tbl[[#This Row],[Dens]]*vp.tbl[[#This Row],[VolumeM3]],"")</f>
        <v>970939.88670000003</v>
      </c>
      <c r="AL1512" s="5">
        <f>IFERROR(vp.tbl[[#This Row],[VP]]*vp.tbl[[#This Row],[VolumeM3]],"")</f>
        <v>65048.940900000001</v>
      </c>
      <c r="AM1512" s="4">
        <f>IFERROR((vp.tbl[[#This Row],[VP]]-INDEX(crudeBD.lkup.complete[Mean_VP],MATCH(vp.tbl[[#This Row],[Crude_Breakdown]],crudeBD.lkup.complete[Crude Breakdown],0)))^2,"")</f>
        <v>72.903525989866935</v>
      </c>
      <c r="AN1512" s="4">
        <f>IFERROR((vp.tbl[[#This Row],[Dens]]-INDEX(crudeBD.lkup.complete[Mean_Dens],MATCH(vp.tbl[[#This Row],[Crude_Breakdown]],crudeBD.lkup.complete[Crude Breakdown],0)))^2,"")</f>
        <v>183.54681929068249</v>
      </c>
      <c r="AO1512" s="4">
        <f>IFERROR((vp.tbl[[#This Row],[Sulf]]-INDEX(crudeBD.lkup.complete[Mean_Sulf],MATCH(vp.tbl[[#This Row],[Crude_Breakdown]],crudeBD.lkup.complete[Crude Breakdown],0)))^2,"")</f>
        <v>0.13297681569317021</v>
      </c>
      <c r="AP1512">
        <f>IF(AND(vp.tbl[[#This Row],[SDate]]&gt;=DATE(YEAR(vp.tbl[[#This Row],[SDate]]),5,1),vp.tbl[[#This Row],[SDate]]&lt;=DATE(YEAR(vp.tbl[[#This Row],[SDate]]),9,15)),1,0)</f>
        <v>1</v>
      </c>
      <c r="AQ1512" s="15">
        <f>IF(vp.tbl[[#This Row],[SDate]]&lt;DATE(2016,12,1),0,1)</f>
        <v>1</v>
      </c>
    </row>
    <row r="1513" spans="1:43" x14ac:dyDescent="0.25">
      <c r="A1513">
        <v>1512</v>
      </c>
      <c r="B1513" t="s">
        <v>127</v>
      </c>
      <c r="C1513" t="s">
        <v>127</v>
      </c>
      <c r="D1513" t="s">
        <v>321</v>
      </c>
      <c r="F1513" s="1">
        <v>42874</v>
      </c>
      <c r="G1513" s="2">
        <v>72.099999999999994</v>
      </c>
      <c r="H1513" s="2"/>
      <c r="I1513" s="2">
        <v>2</v>
      </c>
      <c r="J1513" s="2"/>
      <c r="K1513" s="2"/>
      <c r="L1513" s="2"/>
      <c r="M1513" s="2">
        <v>866.4</v>
      </c>
      <c r="N1513" s="2">
        <f ca="1">INDEX(INDIRECT(_xlfn.CONCAT("weather.tbl[",N$1,"]")),MATCH(vp.tbl[[#This Row],[SDate]],weather.tbl[Date],0))</f>
        <v>7.8000000000000007</v>
      </c>
      <c r="O1513" s="2">
        <f ca="1">INDEX(INDIRECT(_xlfn.CONCAT("weather.tbl[",O$1,"]")),MATCH(vp.tbl[[#This Row],[SDate]],weather.tbl[Date],0))</f>
        <v>10.078571428571427</v>
      </c>
      <c r="P1513" s="2">
        <f ca="1">INDEX(INDIRECT(_xlfn.CONCAT("weather.tbl[",P$1,"]")),MATCH(vp.tbl[[#This Row],[SDate]],weather.tbl[Date],0))</f>
        <v>8.5</v>
      </c>
      <c r="Q1513" s="2">
        <f ca="1">INDEX(INDIRECT(_xlfn.CONCAT("weather.tbl[",Q$1,"]")),MATCH(vp.tbl[[#This Row],[SDate]],weather.tbl[Date],0))</f>
        <v>7.8</v>
      </c>
      <c r="R1513" s="2">
        <f ca="1">INDEX(INDIRECT(_xlfn.CONCAT("weather.tbl[",R$1,"]")),MATCH(vp.tbl[[#This Row],[SDate]],weather.tbl[Date],0))</f>
        <v>6.3</v>
      </c>
      <c r="S1513" s="2">
        <f ca="1">INDEX(INDIRECT(_xlfn.CONCAT("weather.tbl[",S$1,"]")),MATCH(vp.tbl[[#This Row],[SDate]],weather.tbl[Date],0))</f>
        <v>8</v>
      </c>
      <c r="T1513" s="2">
        <f ca="1">INDEX(INDIRECT(_xlfn.CONCAT("weather.tbl[",T$1,"]")),MATCH(vp.tbl[[#This Row],[SDate]],weather.tbl[Date],0))</f>
        <v>7.7</v>
      </c>
      <c r="U1513" s="2">
        <f ca="1">INDEX(INDIRECT(_xlfn.CONCAT("weather.tbl[",U$1,"]")),MATCH(vp.tbl[[#This Row],[SDate]],weather.tbl[Date],0))</f>
        <v>8.5</v>
      </c>
      <c r="V1513" s="2">
        <v>4499.3100000000004</v>
      </c>
      <c r="W1513" t="s">
        <v>48</v>
      </c>
      <c r="X1513">
        <f>IF(OR(vp.tbl[[#This Row],[Sulf]]="",vp.tbl[[#This Row],[Dens]]=""),1,0)</f>
        <v>0</v>
      </c>
      <c r="Y1513">
        <f>IF(vp.tbl[[#This Row],[CrudeType]]="C5+",1,0)</f>
        <v>0</v>
      </c>
      <c r="Z1513">
        <f>IF(AND(vp.tbl[[#This Row],[CrudeType]]="Crude",vp.tbl[[#This Row],[Dens]]&lt;=825,vp.tbl[[#This Row],[Sulf]]&gt;0.5,vp.tbl[[#This Row],[Unknown]]=0),1,0)</f>
        <v>0</v>
      </c>
      <c r="AA1513">
        <f>IF(AND(vp.tbl[[#This Row],[CrudeType]]="Crude",vp.tbl[[#This Row],[Dens]]&lt;=825,vp.tbl[[#This Row],[Sulf]]&lt;=0.5,vp.tbl[[#This Row],[Unknown]]=0),1,0)</f>
        <v>0</v>
      </c>
      <c r="AB1513">
        <f>IF(AND(vp.tbl[[#This Row],[CrudeType]]="Crude",vp.tbl[[#This Row],[Dens]]&gt;825,vp.tbl[[#This Row],[Dens]]&lt;=870,vp.tbl[[#This Row],[Sulf]]&gt;0.5,vp.tbl[[#This Row],[Unknown]]=0),1,0)</f>
        <v>1</v>
      </c>
      <c r="AC1513">
        <f>IF(AND(vp.tbl[[#This Row],[CrudeType]]="Crude",vp.tbl[[#This Row],[Dens]]&gt;825,vp.tbl[[#This Row],[Dens]]&lt;=900,vp.tbl[[#This Row],[Sulf]]&lt;=0.5,vp.tbl[[#This Row],[Unknown]]=0),1,0)</f>
        <v>0</v>
      </c>
      <c r="AD1513">
        <f>IF(AND(vp.tbl[[#This Row],[CrudeType]]="Crude",vp.tbl[[#This Row],[Dens]]&gt;870,vp.tbl[[#This Row],[Dens]]&lt;=900,vp.tbl[[#This Row],[Sulf]]&gt;0.5,vp.tbl[[#This Row],[Unknown]]=0),1,0)</f>
        <v>0</v>
      </c>
      <c r="AE1513">
        <f>IF(AND(vp.tbl[[#This Row],[CrudeType]]="Crude",vp.tbl[[#This Row],[Dens]]&gt;900,vp.tbl[[#This Row],[Sulf]]&lt;=0.5,vp.tbl[[#This Row],[Unknown]]=0),1,0)</f>
        <v>0</v>
      </c>
      <c r="AF1513">
        <f>IF(AND(vp.tbl[[#This Row],[CrudeType]]="Crude",vp.tbl[[#This Row],[Dens]]&gt;900,vp.tbl[[#This Row],[Sulf]]&lt;=0.5,vp.tbl[[#This Row],[Unknown]]=0),1,0)</f>
        <v>0</v>
      </c>
      <c r="AG1513" t="str">
        <f>INDEX(vp.tbl[[#Headers],[Unknown]:[Heavy_SW]],MATCH(1,vp.tbl[[#This Row],[Unknown]:[Heavy_SW]],0))</f>
        <v>Medium_LSB</v>
      </c>
      <c r="AH1513" t="e">
        <f>INDEX([1]!crudeBD.lkup[Number],MATCH(vp.tbl[[#This Row],[Crude_Breakdown]],[1]!crudeBD.lkup[Crude Breakdown],0))</f>
        <v>#REF!</v>
      </c>
      <c r="AI1513">
        <f>MONTH(vp.tbl[[#This Row],[SDate]])</f>
        <v>5</v>
      </c>
      <c r="AJ1513" s="5">
        <f>IFERROR(vp.tbl[[#This Row],[Sulf]]*vp.tbl[[#This Row],[Net Dens]],"")</f>
        <v>7796404.3680000007</v>
      </c>
      <c r="AK1513" s="5">
        <f>IFERROR(vp.tbl[[#This Row],[Dens]]*vp.tbl[[#This Row],[VolumeM3]],"")</f>
        <v>3898202.1840000004</v>
      </c>
      <c r="AL1513" s="5">
        <f>IFERROR(vp.tbl[[#This Row],[VP]]*vp.tbl[[#This Row],[VolumeM3]],"")</f>
        <v>324400.25099999999</v>
      </c>
      <c r="AM1513" s="4">
        <f>IFERROR((vp.tbl[[#This Row],[VP]]-INDEX(crudeBD.lkup.complete[Mean_VP],MATCH(vp.tbl[[#This Row],[Crude_Breakdown]],crudeBD.lkup.complete[Crude Breakdown],0)))^2,"")</f>
        <v>65.182935202050444</v>
      </c>
      <c r="AN1513" s="4">
        <f>IFERROR((vp.tbl[[#This Row],[Dens]]-INDEX(crudeBD.lkup.complete[Mean_Dens],MATCH(vp.tbl[[#This Row],[Crude_Breakdown]],crudeBD.lkup.complete[Crude Breakdown],0)))^2,"")</f>
        <v>445.55514534790154</v>
      </c>
      <c r="AO1513" s="4">
        <f>IFERROR((vp.tbl[[#This Row],[Sulf]]-INDEX(crudeBD.lkup.complete[Mean_Sulf],MATCH(vp.tbl[[#This Row],[Crude_Breakdown]],crudeBD.lkup.complete[Crude Breakdown],0)))^2,"")</f>
        <v>0.29710145669166332</v>
      </c>
      <c r="AP1513">
        <f>IF(AND(vp.tbl[[#This Row],[SDate]]&gt;=DATE(YEAR(vp.tbl[[#This Row],[SDate]]),5,1),vp.tbl[[#This Row],[SDate]]&lt;=DATE(YEAR(vp.tbl[[#This Row],[SDate]]),9,15)),1,0)</f>
        <v>1</v>
      </c>
      <c r="AQ1513" s="15">
        <f>IF(vp.tbl[[#This Row],[SDate]]&lt;DATE(2016,12,1),0,1)</f>
        <v>1</v>
      </c>
    </row>
    <row r="1514" spans="1:43" x14ac:dyDescent="0.25">
      <c r="A1514">
        <v>1513</v>
      </c>
      <c r="B1514" t="s">
        <v>134</v>
      </c>
      <c r="C1514" t="s">
        <v>134</v>
      </c>
      <c r="D1514" t="s">
        <v>322</v>
      </c>
      <c r="F1514" s="1">
        <v>42874</v>
      </c>
      <c r="G1514" s="2">
        <v>79.599999999999994</v>
      </c>
      <c r="H1514" s="2"/>
      <c r="I1514" s="2">
        <v>2.2400000000000002</v>
      </c>
      <c r="J1514" s="2"/>
      <c r="K1514" s="2"/>
      <c r="L1514" s="2"/>
      <c r="M1514" s="2">
        <v>863.8</v>
      </c>
      <c r="N1514" s="2">
        <f ca="1">INDEX(INDIRECT(_xlfn.CONCAT("weather.tbl[",N$1,"]")),MATCH(vp.tbl[[#This Row],[SDate]],weather.tbl[Date],0))</f>
        <v>7.8000000000000007</v>
      </c>
      <c r="O1514" s="2">
        <f ca="1">INDEX(INDIRECT(_xlfn.CONCAT("weather.tbl[",O$1,"]")),MATCH(vp.tbl[[#This Row],[SDate]],weather.tbl[Date],0))</f>
        <v>10.078571428571427</v>
      </c>
      <c r="P1514" s="2">
        <f ca="1">INDEX(INDIRECT(_xlfn.CONCAT("weather.tbl[",P$1,"]")),MATCH(vp.tbl[[#This Row],[SDate]],weather.tbl[Date],0))</f>
        <v>8.5</v>
      </c>
      <c r="Q1514" s="2">
        <f ca="1">INDEX(INDIRECT(_xlfn.CONCAT("weather.tbl[",Q$1,"]")),MATCH(vp.tbl[[#This Row],[SDate]],weather.tbl[Date],0))</f>
        <v>7.8</v>
      </c>
      <c r="R1514" s="2">
        <f ca="1">INDEX(INDIRECT(_xlfn.CONCAT("weather.tbl[",R$1,"]")),MATCH(vp.tbl[[#This Row],[SDate]],weather.tbl[Date],0))</f>
        <v>6.3</v>
      </c>
      <c r="S1514" s="2">
        <f ca="1">INDEX(INDIRECT(_xlfn.CONCAT("weather.tbl[",S$1,"]")),MATCH(vp.tbl[[#This Row],[SDate]],weather.tbl[Date],0))</f>
        <v>8</v>
      </c>
      <c r="T1514" s="2">
        <f ca="1">INDEX(INDIRECT(_xlfn.CONCAT("weather.tbl[",T$1,"]")),MATCH(vp.tbl[[#This Row],[SDate]],weather.tbl[Date],0))</f>
        <v>7.7</v>
      </c>
      <c r="U1514" s="2">
        <f ca="1">INDEX(INDIRECT(_xlfn.CONCAT("weather.tbl[",U$1,"]")),MATCH(vp.tbl[[#This Row],[SDate]],weather.tbl[Date],0))</f>
        <v>8.5</v>
      </c>
      <c r="V1514" s="2">
        <v>772.96500000000003</v>
      </c>
      <c r="W1514" t="s">
        <v>48</v>
      </c>
      <c r="X1514">
        <f>IF(OR(vp.tbl[[#This Row],[Sulf]]="",vp.tbl[[#This Row],[Dens]]=""),1,0)</f>
        <v>0</v>
      </c>
      <c r="Y1514">
        <f>IF(vp.tbl[[#This Row],[CrudeType]]="C5+",1,0)</f>
        <v>0</v>
      </c>
      <c r="Z1514">
        <f>IF(AND(vp.tbl[[#This Row],[CrudeType]]="Crude",vp.tbl[[#This Row],[Dens]]&lt;=825,vp.tbl[[#This Row],[Sulf]]&gt;0.5,vp.tbl[[#This Row],[Unknown]]=0),1,0)</f>
        <v>0</v>
      </c>
      <c r="AA1514">
        <f>IF(AND(vp.tbl[[#This Row],[CrudeType]]="Crude",vp.tbl[[#This Row],[Dens]]&lt;=825,vp.tbl[[#This Row],[Sulf]]&lt;=0.5,vp.tbl[[#This Row],[Unknown]]=0),1,0)</f>
        <v>0</v>
      </c>
      <c r="AB1514">
        <f>IF(AND(vp.tbl[[#This Row],[CrudeType]]="Crude",vp.tbl[[#This Row],[Dens]]&gt;825,vp.tbl[[#This Row],[Dens]]&lt;=870,vp.tbl[[#This Row],[Sulf]]&gt;0.5,vp.tbl[[#This Row],[Unknown]]=0),1,0)</f>
        <v>1</v>
      </c>
      <c r="AC1514">
        <f>IF(AND(vp.tbl[[#This Row],[CrudeType]]="Crude",vp.tbl[[#This Row],[Dens]]&gt;825,vp.tbl[[#This Row],[Dens]]&lt;=900,vp.tbl[[#This Row],[Sulf]]&lt;=0.5,vp.tbl[[#This Row],[Unknown]]=0),1,0)</f>
        <v>0</v>
      </c>
      <c r="AD1514">
        <f>IF(AND(vp.tbl[[#This Row],[CrudeType]]="Crude",vp.tbl[[#This Row],[Dens]]&gt;870,vp.tbl[[#This Row],[Dens]]&lt;=900,vp.tbl[[#This Row],[Sulf]]&gt;0.5,vp.tbl[[#This Row],[Unknown]]=0),1,0)</f>
        <v>0</v>
      </c>
      <c r="AE1514">
        <f>IF(AND(vp.tbl[[#This Row],[CrudeType]]="Crude",vp.tbl[[#This Row],[Dens]]&gt;900,vp.tbl[[#This Row],[Sulf]]&lt;=0.5,vp.tbl[[#This Row],[Unknown]]=0),1,0)</f>
        <v>0</v>
      </c>
      <c r="AF1514">
        <f>IF(AND(vp.tbl[[#This Row],[CrudeType]]="Crude",vp.tbl[[#This Row],[Dens]]&gt;900,vp.tbl[[#This Row],[Sulf]]&lt;=0.5,vp.tbl[[#This Row],[Unknown]]=0),1,0)</f>
        <v>0</v>
      </c>
      <c r="AG1514" t="str">
        <f>INDEX(vp.tbl[[#Headers],[Unknown]:[Heavy_SW]],MATCH(1,vp.tbl[[#This Row],[Unknown]:[Heavy_SW]],0))</f>
        <v>Medium_LSB</v>
      </c>
      <c r="AH1514" t="e">
        <f>INDEX([1]!crudeBD.lkup[Number],MATCH(vp.tbl[[#This Row],[Crude_Breakdown]],[1]!crudeBD.lkup[Crude Breakdown],0))</f>
        <v>#REF!</v>
      </c>
      <c r="AI1514">
        <f>MONTH(vp.tbl[[#This Row],[SDate]])</f>
        <v>5</v>
      </c>
      <c r="AJ1514" s="5">
        <f>IFERROR(vp.tbl[[#This Row],[Sulf]]*vp.tbl[[#This Row],[Net Dens]],"")</f>
        <v>1495619.2540800001</v>
      </c>
      <c r="AK1514" s="5">
        <f>IFERROR(vp.tbl[[#This Row],[Dens]]*vp.tbl[[#This Row],[VolumeM3]],"")</f>
        <v>667687.16700000002</v>
      </c>
      <c r="AL1514" s="5">
        <f>IFERROR(vp.tbl[[#This Row],[VP]]*vp.tbl[[#This Row],[VolumeM3]],"")</f>
        <v>61528.013999999996</v>
      </c>
      <c r="AM1514" s="4">
        <f>IFERROR((vp.tbl[[#This Row],[VP]]-INDEX(crudeBD.lkup.complete[Mean_VP],MATCH(vp.tbl[[#This Row],[Crude_Breakdown]],crudeBD.lkup.complete[Crude Breakdown],0)))^2,"")</f>
        <v>0.32901115141800619</v>
      </c>
      <c r="AN1514" s="4">
        <f>IFERROR((vp.tbl[[#This Row],[Dens]]-INDEX(crudeBD.lkup.complete[Mean_Dens],MATCH(vp.tbl[[#This Row],[Crude_Breakdown]],crudeBD.lkup.complete[Crude Breakdown],0)))^2,"")</f>
        <v>342.55262382890834</v>
      </c>
      <c r="AO1514" s="4">
        <f>IFERROR((vp.tbl[[#This Row],[Sulf]]-INDEX(crudeBD.lkup.complete[Mean_Sulf],MATCH(vp.tbl[[#This Row],[Crude_Breakdown]],crudeBD.lkup.complete[Crude Breakdown],0)))^2,"")</f>
        <v>0.61633512352710595</v>
      </c>
      <c r="AP1514">
        <f>IF(AND(vp.tbl[[#This Row],[SDate]]&gt;=DATE(YEAR(vp.tbl[[#This Row],[SDate]]),5,1),vp.tbl[[#This Row],[SDate]]&lt;=DATE(YEAR(vp.tbl[[#This Row],[SDate]]),9,15)),1,0)</f>
        <v>1</v>
      </c>
      <c r="AQ1514" s="15">
        <f>IF(vp.tbl[[#This Row],[SDate]]&lt;DATE(2016,12,1),0,1)</f>
        <v>1</v>
      </c>
    </row>
    <row r="1515" spans="1:43" x14ac:dyDescent="0.25">
      <c r="A1515">
        <v>1514</v>
      </c>
      <c r="B1515" t="s">
        <v>49</v>
      </c>
      <c r="C1515" t="s">
        <v>49</v>
      </c>
      <c r="D1515" t="s">
        <v>323</v>
      </c>
      <c r="F1515" s="1">
        <v>42874</v>
      </c>
      <c r="G1515" s="2">
        <v>50.1</v>
      </c>
      <c r="H1515" s="2"/>
      <c r="I1515" s="2">
        <v>2.13</v>
      </c>
      <c r="J1515" s="2"/>
      <c r="K1515" s="2"/>
      <c r="L1515" s="2"/>
      <c r="M1515" s="2">
        <v>888.4</v>
      </c>
      <c r="N1515" s="2">
        <f ca="1">INDEX(INDIRECT(_xlfn.CONCAT("weather.tbl[",N$1,"]")),MATCH(vp.tbl[[#This Row],[SDate]],weather.tbl[Date],0))</f>
        <v>7.8000000000000007</v>
      </c>
      <c r="O1515" s="2">
        <f ca="1">INDEX(INDIRECT(_xlfn.CONCAT("weather.tbl[",O$1,"]")),MATCH(vp.tbl[[#This Row],[SDate]],weather.tbl[Date],0))</f>
        <v>10.078571428571427</v>
      </c>
      <c r="P1515" s="2">
        <f ca="1">INDEX(INDIRECT(_xlfn.CONCAT("weather.tbl[",P$1,"]")),MATCH(vp.tbl[[#This Row],[SDate]],weather.tbl[Date],0))</f>
        <v>8.5</v>
      </c>
      <c r="Q1515" s="2">
        <f ca="1">INDEX(INDIRECT(_xlfn.CONCAT("weather.tbl[",Q$1,"]")),MATCH(vp.tbl[[#This Row],[SDate]],weather.tbl[Date],0))</f>
        <v>7.8</v>
      </c>
      <c r="R1515" s="2">
        <f ca="1">INDEX(INDIRECT(_xlfn.CONCAT("weather.tbl[",R$1,"]")),MATCH(vp.tbl[[#This Row],[SDate]],weather.tbl[Date],0))</f>
        <v>6.3</v>
      </c>
      <c r="S1515" s="2">
        <f ca="1">INDEX(INDIRECT(_xlfn.CONCAT("weather.tbl[",S$1,"]")),MATCH(vp.tbl[[#This Row],[SDate]],weather.tbl[Date],0))</f>
        <v>8</v>
      </c>
      <c r="T1515" s="2">
        <f ca="1">INDEX(INDIRECT(_xlfn.CONCAT("weather.tbl[",T$1,"]")),MATCH(vp.tbl[[#This Row],[SDate]],weather.tbl[Date],0))</f>
        <v>7.7</v>
      </c>
      <c r="U1515" s="2">
        <f ca="1">INDEX(INDIRECT(_xlfn.CONCAT("weather.tbl[",U$1,"]")),MATCH(vp.tbl[[#This Row],[SDate]],weather.tbl[Date],0))</f>
        <v>8.5</v>
      </c>
      <c r="V1515" s="2">
        <v>640.95000000000005</v>
      </c>
      <c r="W1515" t="s">
        <v>48</v>
      </c>
      <c r="X1515">
        <f>IF(OR(vp.tbl[[#This Row],[Sulf]]="",vp.tbl[[#This Row],[Dens]]=""),1,0)</f>
        <v>0</v>
      </c>
      <c r="Y1515">
        <f>IF(vp.tbl[[#This Row],[CrudeType]]="C5+",1,0)</f>
        <v>0</v>
      </c>
      <c r="Z1515">
        <f>IF(AND(vp.tbl[[#This Row],[CrudeType]]="Crude",vp.tbl[[#This Row],[Dens]]&lt;=825,vp.tbl[[#This Row],[Sulf]]&gt;0.5,vp.tbl[[#This Row],[Unknown]]=0),1,0)</f>
        <v>0</v>
      </c>
      <c r="AA1515">
        <f>IF(AND(vp.tbl[[#This Row],[CrudeType]]="Crude",vp.tbl[[#This Row],[Dens]]&lt;=825,vp.tbl[[#This Row],[Sulf]]&lt;=0.5,vp.tbl[[#This Row],[Unknown]]=0),1,0)</f>
        <v>0</v>
      </c>
      <c r="AB1515">
        <f>IF(AND(vp.tbl[[#This Row],[CrudeType]]="Crude",vp.tbl[[#This Row],[Dens]]&gt;825,vp.tbl[[#This Row],[Dens]]&lt;=870,vp.tbl[[#This Row],[Sulf]]&gt;0.5,vp.tbl[[#This Row],[Unknown]]=0),1,0)</f>
        <v>0</v>
      </c>
      <c r="AC1515">
        <f>IF(AND(vp.tbl[[#This Row],[CrudeType]]="Crude",vp.tbl[[#This Row],[Dens]]&gt;825,vp.tbl[[#This Row],[Dens]]&lt;=900,vp.tbl[[#This Row],[Sulf]]&lt;=0.5,vp.tbl[[#This Row],[Unknown]]=0),1,0)</f>
        <v>0</v>
      </c>
      <c r="AD1515">
        <f>IF(AND(vp.tbl[[#This Row],[CrudeType]]="Crude",vp.tbl[[#This Row],[Dens]]&gt;870,vp.tbl[[#This Row],[Dens]]&lt;=900,vp.tbl[[#This Row],[Sulf]]&gt;0.5,vp.tbl[[#This Row],[Unknown]]=0),1,0)</f>
        <v>1</v>
      </c>
      <c r="AE1515">
        <f>IF(AND(vp.tbl[[#This Row],[CrudeType]]="Crude",vp.tbl[[#This Row],[Dens]]&gt;900,vp.tbl[[#This Row],[Sulf]]&lt;=0.5,vp.tbl[[#This Row],[Unknown]]=0),1,0)</f>
        <v>0</v>
      </c>
      <c r="AF1515">
        <f>IF(AND(vp.tbl[[#This Row],[CrudeType]]="Crude",vp.tbl[[#This Row],[Dens]]&gt;900,vp.tbl[[#This Row],[Sulf]]&lt;=0.5,vp.tbl[[#This Row],[Unknown]]=0),1,0)</f>
        <v>0</v>
      </c>
      <c r="AG1515" t="str">
        <f>INDEX(vp.tbl[[#Headers],[Unknown]:[Heavy_SW]],MATCH(1,vp.tbl[[#This Row],[Unknown]:[Heavy_SW]],0))</f>
        <v>Midale</v>
      </c>
      <c r="AH1515" t="e">
        <f>INDEX([1]!crudeBD.lkup[Number],MATCH(vp.tbl[[#This Row],[Crude_Breakdown]],[1]!crudeBD.lkup[Crude Breakdown],0))</f>
        <v>#REF!</v>
      </c>
      <c r="AI1515">
        <f>MONTH(vp.tbl[[#This Row],[SDate]])</f>
        <v>5</v>
      </c>
      <c r="AJ1515" s="5">
        <f>IFERROR(vp.tbl[[#This Row],[Sulf]]*vp.tbl[[#This Row],[Net Dens]],"")</f>
        <v>1212864.5573999998</v>
      </c>
      <c r="AK1515" s="5">
        <f>IFERROR(vp.tbl[[#This Row],[Dens]]*vp.tbl[[#This Row],[VolumeM3]],"")</f>
        <v>569419.98</v>
      </c>
      <c r="AL1515" s="5">
        <f>IFERROR(vp.tbl[[#This Row],[VP]]*vp.tbl[[#This Row],[VolumeM3]],"")</f>
        <v>32111.595000000005</v>
      </c>
      <c r="AM1515" s="4">
        <f>IFERROR((vp.tbl[[#This Row],[VP]]-INDEX(crudeBD.lkup.complete[Mean_VP],MATCH(vp.tbl[[#This Row],[Crude_Breakdown]],crudeBD.lkup.complete[Crude Breakdown],0)))^2,"")</f>
        <v>328.99996434603156</v>
      </c>
      <c r="AN1515" s="4">
        <f>IFERROR((vp.tbl[[#This Row],[Dens]]-INDEX(crudeBD.lkup.complete[Mean_Dens],MATCH(vp.tbl[[#This Row],[Crude_Breakdown]],crudeBD.lkup.complete[Crude Breakdown],0)))^2,"")</f>
        <v>117.67791518109071</v>
      </c>
      <c r="AO1515" s="4">
        <f>IFERROR((vp.tbl[[#This Row],[Sulf]]-INDEX(crudeBD.lkup.complete[Mean_Sulf],MATCH(vp.tbl[[#This Row],[Crude_Breakdown]],crudeBD.lkup.complete[Crude Breakdown],0)))^2,"")</f>
        <v>8.1418993775360576E-2</v>
      </c>
      <c r="AP1515">
        <f>IF(AND(vp.tbl[[#This Row],[SDate]]&gt;=DATE(YEAR(vp.tbl[[#This Row],[SDate]]),5,1),vp.tbl[[#This Row],[SDate]]&lt;=DATE(YEAR(vp.tbl[[#This Row],[SDate]]),9,15)),1,0)</f>
        <v>1</v>
      </c>
      <c r="AQ1515" s="15">
        <f>IF(vp.tbl[[#This Row],[SDate]]&lt;DATE(2016,12,1),0,1)</f>
        <v>1</v>
      </c>
    </row>
    <row r="1516" spans="1:43" x14ac:dyDescent="0.25">
      <c r="A1516">
        <v>1515</v>
      </c>
      <c r="B1516" t="s">
        <v>51</v>
      </c>
      <c r="C1516" t="s">
        <v>51</v>
      </c>
      <c r="D1516" t="s">
        <v>72</v>
      </c>
      <c r="F1516" s="1">
        <v>42877</v>
      </c>
      <c r="G1516" s="2">
        <v>86.2</v>
      </c>
      <c r="H1516" s="2"/>
      <c r="I1516" s="2">
        <v>1.06</v>
      </c>
      <c r="J1516" s="2"/>
      <c r="K1516" s="2"/>
      <c r="L1516" s="2"/>
      <c r="M1516" s="2">
        <v>829.4</v>
      </c>
      <c r="N1516" s="2">
        <f ca="1">INDEX(INDIRECT(_xlfn.CONCAT("weather.tbl[",N$1,"]")),MATCH(vp.tbl[[#This Row],[SDate]],weather.tbl[Date],0))</f>
        <v>12.633333333333333</v>
      </c>
      <c r="O1516" s="2">
        <f ca="1">INDEX(INDIRECT(_xlfn.CONCAT("weather.tbl[",O$1,"]")),MATCH(vp.tbl[[#This Row],[SDate]],weather.tbl[Date],0))</f>
        <v>9.6880952380952383</v>
      </c>
      <c r="P1516" s="2">
        <f ca="1">INDEX(INDIRECT(_xlfn.CONCAT("weather.tbl[",P$1,"]")),MATCH(vp.tbl[[#This Row],[SDate]],weather.tbl[Date],0))</f>
        <v>12.9</v>
      </c>
      <c r="Q1516" s="2">
        <f ca="1">INDEX(INDIRECT(_xlfn.CONCAT("weather.tbl[",Q$1,"]")),MATCH(vp.tbl[[#This Row],[SDate]],weather.tbl[Date],0))</f>
        <v>13.1</v>
      </c>
      <c r="R1516" s="2">
        <f ca="1">INDEX(INDIRECT(_xlfn.CONCAT("weather.tbl[",R$1,"]")),MATCH(vp.tbl[[#This Row],[SDate]],weather.tbl[Date],0))</f>
        <v>12</v>
      </c>
      <c r="S1516" s="2">
        <f ca="1">INDEX(INDIRECT(_xlfn.CONCAT("weather.tbl[",S$1,"]")),MATCH(vp.tbl[[#This Row],[SDate]],weather.tbl[Date],0))</f>
        <v>12.4</v>
      </c>
      <c r="T1516" s="2">
        <f ca="1">INDEX(INDIRECT(_xlfn.CONCAT("weather.tbl[",T$1,"]")),MATCH(vp.tbl[[#This Row],[SDate]],weather.tbl[Date],0))</f>
        <v>12.6</v>
      </c>
      <c r="U1516" s="2">
        <f ca="1">INDEX(INDIRECT(_xlfn.CONCAT("weather.tbl[",U$1,"]")),MATCH(vp.tbl[[#This Row],[SDate]],weather.tbl[Date],0))</f>
        <v>12.8</v>
      </c>
      <c r="V1516" s="2">
        <v>14195.075000000001</v>
      </c>
      <c r="W1516" t="s">
        <v>48</v>
      </c>
      <c r="X1516">
        <f>IF(OR(vp.tbl[[#This Row],[Sulf]]="",vp.tbl[[#This Row],[Dens]]=""),1,0)</f>
        <v>0</v>
      </c>
      <c r="Y1516">
        <f>IF(vp.tbl[[#This Row],[CrudeType]]="C5+",1,0)</f>
        <v>0</v>
      </c>
      <c r="Z1516">
        <f>IF(AND(vp.tbl[[#This Row],[CrudeType]]="Crude",vp.tbl[[#This Row],[Dens]]&lt;=825,vp.tbl[[#This Row],[Sulf]]&gt;0.5,vp.tbl[[#This Row],[Unknown]]=0),1,0)</f>
        <v>0</v>
      </c>
      <c r="AA1516">
        <f>IF(AND(vp.tbl[[#This Row],[CrudeType]]="Crude",vp.tbl[[#This Row],[Dens]]&lt;=825,vp.tbl[[#This Row],[Sulf]]&lt;=0.5,vp.tbl[[#This Row],[Unknown]]=0),1,0)</f>
        <v>0</v>
      </c>
      <c r="AB1516">
        <f>IF(AND(vp.tbl[[#This Row],[CrudeType]]="Crude",vp.tbl[[#This Row],[Dens]]&gt;825,vp.tbl[[#This Row],[Dens]]&lt;=870,vp.tbl[[#This Row],[Sulf]]&gt;0.5,vp.tbl[[#This Row],[Unknown]]=0),1,0)</f>
        <v>1</v>
      </c>
      <c r="AC1516">
        <f>IF(AND(vp.tbl[[#This Row],[CrudeType]]="Crude",vp.tbl[[#This Row],[Dens]]&gt;825,vp.tbl[[#This Row],[Dens]]&lt;=900,vp.tbl[[#This Row],[Sulf]]&lt;=0.5,vp.tbl[[#This Row],[Unknown]]=0),1,0)</f>
        <v>0</v>
      </c>
      <c r="AD1516">
        <f>IF(AND(vp.tbl[[#This Row],[CrudeType]]="Crude",vp.tbl[[#This Row],[Dens]]&gt;870,vp.tbl[[#This Row],[Dens]]&lt;=900,vp.tbl[[#This Row],[Sulf]]&gt;0.5,vp.tbl[[#This Row],[Unknown]]=0),1,0)</f>
        <v>0</v>
      </c>
      <c r="AE1516">
        <f>IF(AND(vp.tbl[[#This Row],[CrudeType]]="Crude",vp.tbl[[#This Row],[Dens]]&gt;900,vp.tbl[[#This Row],[Sulf]]&lt;=0.5,vp.tbl[[#This Row],[Unknown]]=0),1,0)</f>
        <v>0</v>
      </c>
      <c r="AF1516">
        <f>IF(AND(vp.tbl[[#This Row],[CrudeType]]="Crude",vp.tbl[[#This Row],[Dens]]&gt;900,vp.tbl[[#This Row],[Sulf]]&lt;=0.5,vp.tbl[[#This Row],[Unknown]]=0),1,0)</f>
        <v>0</v>
      </c>
      <c r="AG1516" t="str">
        <f>INDEX(vp.tbl[[#Headers],[Unknown]:[Heavy_SW]],MATCH(1,vp.tbl[[#This Row],[Unknown]:[Heavy_SW]],0))</f>
        <v>Medium_LSB</v>
      </c>
      <c r="AH1516" t="e">
        <f>INDEX([1]!crudeBD.lkup[Number],MATCH(vp.tbl[[#This Row],[Crude_Breakdown]],[1]!crudeBD.lkup[Crude Breakdown],0))</f>
        <v>#REF!</v>
      </c>
      <c r="AI1516">
        <f>MONTH(vp.tbl[[#This Row],[SDate]])</f>
        <v>5</v>
      </c>
      <c r="AJ1516" s="5">
        <f>IFERROR(vp.tbl[[#This Row],[Sulf]]*vp.tbl[[#This Row],[Net Dens]],"")</f>
        <v>12479798.917300001</v>
      </c>
      <c r="AK1516" s="5">
        <f>IFERROR(vp.tbl[[#This Row],[Dens]]*vp.tbl[[#This Row],[VolumeM3]],"")</f>
        <v>11773395.205</v>
      </c>
      <c r="AL1516" s="5">
        <f>IFERROR(vp.tbl[[#This Row],[VP]]*vp.tbl[[#This Row],[VolumeM3]],"")</f>
        <v>1223615.4650000001</v>
      </c>
      <c r="AM1516" s="4">
        <f>IFERROR((vp.tbl[[#This Row],[VP]]-INDEX(crudeBD.lkup.complete[Mean_VP],MATCH(vp.tbl[[#This Row],[Crude_Breakdown]],crudeBD.lkup.complete[Crude Breakdown],0)))^2,"")</f>
        <v>36.317557986861559</v>
      </c>
      <c r="AN1516" s="4">
        <f>IFERROR((vp.tbl[[#This Row],[Dens]]-INDEX(crudeBD.lkup.complete[Mean_Dens],MATCH(vp.tbl[[#This Row],[Crude_Breakdown]],crudeBD.lkup.complete[Crude Breakdown],0)))^2,"")</f>
        <v>252.5500314237797</v>
      </c>
      <c r="AO1516" s="4">
        <f>IFERROR((vp.tbl[[#This Row],[Sulf]]-INDEX(crudeBD.lkup.complete[Mean_Sulf],MATCH(vp.tbl[[#This Row],[Crude_Breakdown]],crudeBD.lkup.complete[Crude Breakdown],0)))^2,"")</f>
        <v>0.15596959491951418</v>
      </c>
      <c r="AP1516">
        <f>IF(AND(vp.tbl[[#This Row],[SDate]]&gt;=DATE(YEAR(vp.tbl[[#This Row],[SDate]]),5,1),vp.tbl[[#This Row],[SDate]]&lt;=DATE(YEAR(vp.tbl[[#This Row],[SDate]]),9,15)),1,0)</f>
        <v>1</v>
      </c>
      <c r="AQ1516" s="15">
        <f>IF(vp.tbl[[#This Row],[SDate]]&lt;DATE(2016,12,1),0,1)</f>
        <v>1</v>
      </c>
    </row>
    <row r="1517" spans="1:43" x14ac:dyDescent="0.25">
      <c r="A1517">
        <v>1516</v>
      </c>
      <c r="B1517" t="s">
        <v>60</v>
      </c>
      <c r="C1517" t="s">
        <v>60</v>
      </c>
      <c r="D1517" t="s">
        <v>61</v>
      </c>
      <c r="E1517" t="s">
        <v>289</v>
      </c>
      <c r="F1517" s="1">
        <v>42877</v>
      </c>
      <c r="G1517" s="2">
        <v>87.1</v>
      </c>
      <c r="H1517" s="2"/>
      <c r="I1517" s="2">
        <v>1.0900000000000001</v>
      </c>
      <c r="J1517" s="2"/>
      <c r="K1517" s="2"/>
      <c r="L1517" s="2"/>
      <c r="M1517" s="2">
        <v>824.2</v>
      </c>
      <c r="N1517" s="2">
        <f ca="1">INDEX(INDIRECT(_xlfn.CONCAT("weather.tbl[",N$1,"]")),MATCH(vp.tbl[[#This Row],[SDate]],weather.tbl[Date],0))</f>
        <v>12.633333333333333</v>
      </c>
      <c r="O1517" s="2">
        <f ca="1">INDEX(INDIRECT(_xlfn.CONCAT("weather.tbl[",O$1,"]")),MATCH(vp.tbl[[#This Row],[SDate]],weather.tbl[Date],0))</f>
        <v>9.6880952380952383</v>
      </c>
      <c r="P1517" s="2">
        <f ca="1">INDEX(INDIRECT(_xlfn.CONCAT("weather.tbl[",P$1,"]")),MATCH(vp.tbl[[#This Row],[SDate]],weather.tbl[Date],0))</f>
        <v>12.9</v>
      </c>
      <c r="Q1517" s="2">
        <f ca="1">INDEX(INDIRECT(_xlfn.CONCAT("weather.tbl[",Q$1,"]")),MATCH(vp.tbl[[#This Row],[SDate]],weather.tbl[Date],0))</f>
        <v>13.1</v>
      </c>
      <c r="R1517" s="2">
        <f ca="1">INDEX(INDIRECT(_xlfn.CONCAT("weather.tbl[",R$1,"]")),MATCH(vp.tbl[[#This Row],[SDate]],weather.tbl[Date],0))</f>
        <v>12</v>
      </c>
      <c r="S1517" s="2">
        <f ca="1">INDEX(INDIRECT(_xlfn.CONCAT("weather.tbl[",S$1,"]")),MATCH(vp.tbl[[#This Row],[SDate]],weather.tbl[Date],0))</f>
        <v>12.4</v>
      </c>
      <c r="T1517" s="2">
        <f ca="1">INDEX(INDIRECT(_xlfn.CONCAT("weather.tbl[",T$1,"]")),MATCH(vp.tbl[[#This Row],[SDate]],weather.tbl[Date],0))</f>
        <v>12.6</v>
      </c>
      <c r="U1517" s="2">
        <f ca="1">INDEX(INDIRECT(_xlfn.CONCAT("weather.tbl[",U$1,"]")),MATCH(vp.tbl[[#This Row],[SDate]],weather.tbl[Date],0))</f>
        <v>12.8</v>
      </c>
      <c r="V1517" s="2">
        <v>118292.008</v>
      </c>
      <c r="W1517" t="s">
        <v>48</v>
      </c>
      <c r="X1517">
        <f>IF(OR(vp.tbl[[#This Row],[Sulf]]="",vp.tbl[[#This Row],[Dens]]=""),1,0)</f>
        <v>0</v>
      </c>
      <c r="Y1517">
        <f>IF(vp.tbl[[#This Row],[CrudeType]]="C5+",1,0)</f>
        <v>0</v>
      </c>
      <c r="Z1517">
        <f>IF(AND(vp.tbl[[#This Row],[CrudeType]]="Crude",vp.tbl[[#This Row],[Dens]]&lt;=825,vp.tbl[[#This Row],[Sulf]]&gt;0.5,vp.tbl[[#This Row],[Unknown]]=0),1,0)</f>
        <v>1</v>
      </c>
      <c r="AA1517">
        <f>IF(AND(vp.tbl[[#This Row],[CrudeType]]="Crude",vp.tbl[[#This Row],[Dens]]&lt;=825,vp.tbl[[#This Row],[Sulf]]&lt;=0.5,vp.tbl[[#This Row],[Unknown]]=0),1,0)</f>
        <v>0</v>
      </c>
      <c r="AB1517">
        <f>IF(AND(vp.tbl[[#This Row],[CrudeType]]="Crude",vp.tbl[[#This Row],[Dens]]&gt;825,vp.tbl[[#This Row],[Dens]]&lt;=870,vp.tbl[[#This Row],[Sulf]]&gt;0.5,vp.tbl[[#This Row],[Unknown]]=0),1,0)</f>
        <v>0</v>
      </c>
      <c r="AC1517">
        <f>IF(AND(vp.tbl[[#This Row],[CrudeType]]="Crude",vp.tbl[[#This Row],[Dens]]&gt;825,vp.tbl[[#This Row],[Dens]]&lt;=900,vp.tbl[[#This Row],[Sulf]]&lt;=0.5,vp.tbl[[#This Row],[Unknown]]=0),1,0)</f>
        <v>0</v>
      </c>
      <c r="AD1517">
        <f>IF(AND(vp.tbl[[#This Row],[CrudeType]]="Crude",vp.tbl[[#This Row],[Dens]]&gt;870,vp.tbl[[#This Row],[Dens]]&lt;=900,vp.tbl[[#This Row],[Sulf]]&gt;0.5,vp.tbl[[#This Row],[Unknown]]=0),1,0)</f>
        <v>0</v>
      </c>
      <c r="AE1517">
        <f>IF(AND(vp.tbl[[#This Row],[CrudeType]]="Crude",vp.tbl[[#This Row],[Dens]]&gt;900,vp.tbl[[#This Row],[Sulf]]&lt;=0.5,vp.tbl[[#This Row],[Unknown]]=0),1,0)</f>
        <v>0</v>
      </c>
      <c r="AF1517">
        <f>IF(AND(vp.tbl[[#This Row],[CrudeType]]="Crude",vp.tbl[[#This Row],[Dens]]&gt;900,vp.tbl[[#This Row],[Sulf]]&lt;=0.5,vp.tbl[[#This Row],[Unknown]]=0),1,0)</f>
        <v>0</v>
      </c>
      <c r="AG1517" t="str">
        <f>INDEX(vp.tbl[[#Headers],[Unknown]:[Heavy_SW]],MATCH(1,vp.tbl[[#This Row],[Unknown]:[Heavy_SW]],0))</f>
        <v>Light_LSB</v>
      </c>
      <c r="AH1517" t="e">
        <f>INDEX([1]!crudeBD.lkup[Number],MATCH(vp.tbl[[#This Row],[Crude_Breakdown]],[1]!crudeBD.lkup[Crude Breakdown],0))</f>
        <v>#REF!</v>
      </c>
      <c r="AI1517">
        <f>MONTH(vp.tbl[[#This Row],[SDate]])</f>
        <v>5</v>
      </c>
      <c r="AJ1517" s="5">
        <f>IFERROR(vp.tbl[[#This Row],[Sulf]]*vp.tbl[[#This Row],[Net Dens]],"")</f>
        <v>106270937.56302401</v>
      </c>
      <c r="AK1517" s="5">
        <f>IFERROR(vp.tbl[[#This Row],[Dens]]*vp.tbl[[#This Row],[VolumeM3]],"")</f>
        <v>97496272.993600011</v>
      </c>
      <c r="AL1517" s="5">
        <f>IFERROR(vp.tbl[[#This Row],[VP]]*vp.tbl[[#This Row],[VolumeM3]],"")</f>
        <v>10303233.8968</v>
      </c>
      <c r="AM1517" s="4">
        <f>IFERROR((vp.tbl[[#This Row],[VP]]-INDEX(crudeBD.lkup.complete[Mean_VP],MATCH(vp.tbl[[#This Row],[Crude_Breakdown]],crudeBD.lkup.complete[Crude Breakdown],0)))^2,"")</f>
        <v>19.768566096291114</v>
      </c>
      <c r="AN1517" s="4">
        <f>IFERROR((vp.tbl[[#This Row],[Dens]]-INDEX(crudeBD.lkup.complete[Mean_Dens],MATCH(vp.tbl[[#This Row],[Crude_Breakdown]],crudeBD.lkup.complete[Crude Breakdown],0)))^2,"")</f>
        <v>32.299105967104147</v>
      </c>
      <c r="AO1517" s="4">
        <f>IFERROR((vp.tbl[[#This Row],[Sulf]]-INDEX(crudeBD.lkup.complete[Mean_Sulf],MATCH(vp.tbl[[#This Row],[Crude_Breakdown]],crudeBD.lkup.complete[Crude Breakdown],0)))^2,"")</f>
        <v>2.7898630590712313E-2</v>
      </c>
      <c r="AP1517">
        <f>IF(AND(vp.tbl[[#This Row],[SDate]]&gt;=DATE(YEAR(vp.tbl[[#This Row],[SDate]]),5,1),vp.tbl[[#This Row],[SDate]]&lt;=DATE(YEAR(vp.tbl[[#This Row],[SDate]]),9,15)),1,0)</f>
        <v>1</v>
      </c>
      <c r="AQ1517" s="15">
        <f>IF(vp.tbl[[#This Row],[SDate]]&lt;DATE(2016,12,1),0,1)</f>
        <v>1</v>
      </c>
    </row>
    <row r="1518" spans="1:43" x14ac:dyDescent="0.25">
      <c r="A1518">
        <v>1517</v>
      </c>
      <c r="B1518" t="s">
        <v>60</v>
      </c>
      <c r="C1518" t="s">
        <v>60</v>
      </c>
      <c r="D1518" t="s">
        <v>61</v>
      </c>
      <c r="E1518" t="s">
        <v>290</v>
      </c>
      <c r="F1518" s="1">
        <v>42877</v>
      </c>
      <c r="G1518" s="2">
        <v>74.7</v>
      </c>
      <c r="H1518" s="2"/>
      <c r="I1518" s="2">
        <v>1.0900000000000001</v>
      </c>
      <c r="J1518" s="2"/>
      <c r="K1518" s="2"/>
      <c r="L1518" s="2"/>
      <c r="M1518" s="2">
        <v>824.2</v>
      </c>
      <c r="N1518" s="2">
        <f ca="1">INDEX(INDIRECT(_xlfn.CONCAT("weather.tbl[",N$1,"]")),MATCH(vp.tbl[[#This Row],[SDate]],weather.tbl[Date],0))</f>
        <v>12.633333333333333</v>
      </c>
      <c r="O1518" s="2">
        <f ca="1">INDEX(INDIRECT(_xlfn.CONCAT("weather.tbl[",O$1,"]")),MATCH(vp.tbl[[#This Row],[SDate]],weather.tbl[Date],0))</f>
        <v>9.6880952380952383</v>
      </c>
      <c r="P1518" s="2">
        <f ca="1">INDEX(INDIRECT(_xlfn.CONCAT("weather.tbl[",P$1,"]")),MATCH(vp.tbl[[#This Row],[SDate]],weather.tbl[Date],0))</f>
        <v>12.9</v>
      </c>
      <c r="Q1518" s="2">
        <f ca="1">INDEX(INDIRECT(_xlfn.CONCAT("weather.tbl[",Q$1,"]")),MATCH(vp.tbl[[#This Row],[SDate]],weather.tbl[Date],0))</f>
        <v>13.1</v>
      </c>
      <c r="R1518" s="2">
        <f ca="1">INDEX(INDIRECT(_xlfn.CONCAT("weather.tbl[",R$1,"]")),MATCH(vp.tbl[[#This Row],[SDate]],weather.tbl[Date],0))</f>
        <v>12</v>
      </c>
      <c r="S1518" s="2">
        <f ca="1">INDEX(INDIRECT(_xlfn.CONCAT("weather.tbl[",S$1,"]")),MATCH(vp.tbl[[#This Row],[SDate]],weather.tbl[Date],0))</f>
        <v>12.4</v>
      </c>
      <c r="T1518" s="2">
        <f ca="1">INDEX(INDIRECT(_xlfn.CONCAT("weather.tbl[",T$1,"]")),MATCH(vp.tbl[[#This Row],[SDate]],weather.tbl[Date],0))</f>
        <v>12.6</v>
      </c>
      <c r="U1518" s="2">
        <f ca="1">INDEX(INDIRECT(_xlfn.CONCAT("weather.tbl[",U$1,"]")),MATCH(vp.tbl[[#This Row],[SDate]],weather.tbl[Date],0))</f>
        <v>12.8</v>
      </c>
      <c r="V1518" s="2">
        <v>118292.008</v>
      </c>
      <c r="W1518" t="s">
        <v>48</v>
      </c>
      <c r="X1518">
        <f>IF(OR(vp.tbl[[#This Row],[Sulf]]="",vp.tbl[[#This Row],[Dens]]=""),1,0)</f>
        <v>0</v>
      </c>
      <c r="Y1518">
        <f>IF(vp.tbl[[#This Row],[CrudeType]]="C5+",1,0)</f>
        <v>0</v>
      </c>
      <c r="Z1518">
        <f>IF(AND(vp.tbl[[#This Row],[CrudeType]]="Crude",vp.tbl[[#This Row],[Dens]]&lt;=825,vp.tbl[[#This Row],[Sulf]]&gt;0.5,vp.tbl[[#This Row],[Unknown]]=0),1,0)</f>
        <v>1</v>
      </c>
      <c r="AA1518">
        <f>IF(AND(vp.tbl[[#This Row],[CrudeType]]="Crude",vp.tbl[[#This Row],[Dens]]&lt;=825,vp.tbl[[#This Row],[Sulf]]&lt;=0.5,vp.tbl[[#This Row],[Unknown]]=0),1,0)</f>
        <v>0</v>
      </c>
      <c r="AB1518">
        <f>IF(AND(vp.tbl[[#This Row],[CrudeType]]="Crude",vp.tbl[[#This Row],[Dens]]&gt;825,vp.tbl[[#This Row],[Dens]]&lt;=870,vp.tbl[[#This Row],[Sulf]]&gt;0.5,vp.tbl[[#This Row],[Unknown]]=0),1,0)</f>
        <v>0</v>
      </c>
      <c r="AC1518">
        <f>IF(AND(vp.tbl[[#This Row],[CrudeType]]="Crude",vp.tbl[[#This Row],[Dens]]&gt;825,vp.tbl[[#This Row],[Dens]]&lt;=900,vp.tbl[[#This Row],[Sulf]]&lt;=0.5,vp.tbl[[#This Row],[Unknown]]=0),1,0)</f>
        <v>0</v>
      </c>
      <c r="AD1518">
        <f>IF(AND(vp.tbl[[#This Row],[CrudeType]]="Crude",vp.tbl[[#This Row],[Dens]]&gt;870,vp.tbl[[#This Row],[Dens]]&lt;=900,vp.tbl[[#This Row],[Sulf]]&gt;0.5,vp.tbl[[#This Row],[Unknown]]=0),1,0)</f>
        <v>0</v>
      </c>
      <c r="AE1518">
        <f>IF(AND(vp.tbl[[#This Row],[CrudeType]]="Crude",vp.tbl[[#This Row],[Dens]]&gt;900,vp.tbl[[#This Row],[Sulf]]&lt;=0.5,vp.tbl[[#This Row],[Unknown]]=0),1,0)</f>
        <v>0</v>
      </c>
      <c r="AF1518">
        <f>IF(AND(vp.tbl[[#This Row],[CrudeType]]="Crude",vp.tbl[[#This Row],[Dens]]&gt;900,vp.tbl[[#This Row],[Sulf]]&lt;=0.5,vp.tbl[[#This Row],[Unknown]]=0),1,0)</f>
        <v>0</v>
      </c>
      <c r="AG1518" t="str">
        <f>INDEX(vp.tbl[[#Headers],[Unknown]:[Heavy_SW]],MATCH(1,vp.tbl[[#This Row],[Unknown]:[Heavy_SW]],0))</f>
        <v>Light_LSB</v>
      </c>
      <c r="AH1518" t="e">
        <f>INDEX([1]!crudeBD.lkup[Number],MATCH(vp.tbl[[#This Row],[Crude_Breakdown]],[1]!crudeBD.lkup[Crude Breakdown],0))</f>
        <v>#REF!</v>
      </c>
      <c r="AI1518">
        <f>MONTH(vp.tbl[[#This Row],[SDate]])</f>
        <v>5</v>
      </c>
      <c r="AJ1518" s="5">
        <f>IFERROR(vp.tbl[[#This Row],[Sulf]]*vp.tbl[[#This Row],[Net Dens]],"")</f>
        <v>106270937.56302401</v>
      </c>
      <c r="AK1518" s="5">
        <f>IFERROR(vp.tbl[[#This Row],[Dens]]*vp.tbl[[#This Row],[VolumeM3]],"")</f>
        <v>97496272.993600011</v>
      </c>
      <c r="AL1518" s="5">
        <f>IFERROR(vp.tbl[[#This Row],[VP]]*vp.tbl[[#This Row],[VolumeM3]],"")</f>
        <v>8836412.9976000004</v>
      </c>
      <c r="AM1518" s="4">
        <f>IFERROR((vp.tbl[[#This Row],[VP]]-INDEX(crudeBD.lkup.complete[Mean_VP],MATCH(vp.tbl[[#This Row],[Crude_Breakdown]],crudeBD.lkup.complete[Crude Breakdown],0)))^2,"")</f>
        <v>283.79396815814738</v>
      </c>
      <c r="AN1518" s="4">
        <f>IFERROR((vp.tbl[[#This Row],[Dens]]-INDEX(crudeBD.lkup.complete[Mean_Dens],MATCH(vp.tbl[[#This Row],[Crude_Breakdown]],crudeBD.lkup.complete[Crude Breakdown],0)))^2,"")</f>
        <v>32.299105967104147</v>
      </c>
      <c r="AO1518" s="4">
        <f>IFERROR((vp.tbl[[#This Row],[Sulf]]-INDEX(crudeBD.lkup.complete[Mean_Sulf],MATCH(vp.tbl[[#This Row],[Crude_Breakdown]],crudeBD.lkup.complete[Crude Breakdown],0)))^2,"")</f>
        <v>2.7898630590712313E-2</v>
      </c>
      <c r="AP1518">
        <f>IF(AND(vp.tbl[[#This Row],[SDate]]&gt;=DATE(YEAR(vp.tbl[[#This Row],[SDate]]),5,1),vp.tbl[[#This Row],[SDate]]&lt;=DATE(YEAR(vp.tbl[[#This Row],[SDate]]),9,15)),1,0)</f>
        <v>1</v>
      </c>
      <c r="AQ1518" s="15">
        <f>IF(vp.tbl[[#This Row],[SDate]]&lt;DATE(2016,12,1),0,1)</f>
        <v>1</v>
      </c>
    </row>
    <row r="1519" spans="1:43" x14ac:dyDescent="0.25">
      <c r="A1519">
        <v>1518</v>
      </c>
      <c r="B1519" t="s">
        <v>49</v>
      </c>
      <c r="C1519" t="s">
        <v>49</v>
      </c>
      <c r="D1519" t="s">
        <v>90</v>
      </c>
      <c r="F1519" s="1">
        <v>42877</v>
      </c>
      <c r="G1519" s="2">
        <v>66.5</v>
      </c>
      <c r="H1519" s="2"/>
      <c r="I1519" s="2">
        <v>1.28</v>
      </c>
      <c r="J1519" s="2"/>
      <c r="K1519" s="2"/>
      <c r="L1519" s="2"/>
      <c r="M1519" s="2">
        <v>847.4</v>
      </c>
      <c r="N1519" s="2">
        <f ca="1">INDEX(INDIRECT(_xlfn.CONCAT("weather.tbl[",N$1,"]")),MATCH(vp.tbl[[#This Row],[SDate]],weather.tbl[Date],0))</f>
        <v>12.633333333333333</v>
      </c>
      <c r="O1519" s="2">
        <f ca="1">INDEX(INDIRECT(_xlfn.CONCAT("weather.tbl[",O$1,"]")),MATCH(vp.tbl[[#This Row],[SDate]],weather.tbl[Date],0))</f>
        <v>9.6880952380952383</v>
      </c>
      <c r="P1519" s="2">
        <f ca="1">INDEX(INDIRECT(_xlfn.CONCAT("weather.tbl[",P$1,"]")),MATCH(vp.tbl[[#This Row],[SDate]],weather.tbl[Date],0))</f>
        <v>12.9</v>
      </c>
      <c r="Q1519" s="2">
        <f ca="1">INDEX(INDIRECT(_xlfn.CONCAT("weather.tbl[",Q$1,"]")),MATCH(vp.tbl[[#This Row],[SDate]],weather.tbl[Date],0))</f>
        <v>13.1</v>
      </c>
      <c r="R1519" s="2">
        <f ca="1">INDEX(INDIRECT(_xlfn.CONCAT("weather.tbl[",R$1,"]")),MATCH(vp.tbl[[#This Row],[SDate]],weather.tbl[Date],0))</f>
        <v>12</v>
      </c>
      <c r="S1519" s="2">
        <f ca="1">INDEX(INDIRECT(_xlfn.CONCAT("weather.tbl[",S$1,"]")),MATCH(vp.tbl[[#This Row],[SDate]],weather.tbl[Date],0))</f>
        <v>12.4</v>
      </c>
      <c r="T1519" s="2">
        <f ca="1">INDEX(INDIRECT(_xlfn.CONCAT("weather.tbl[",T$1,"]")),MATCH(vp.tbl[[#This Row],[SDate]],weather.tbl[Date],0))</f>
        <v>12.6</v>
      </c>
      <c r="U1519" s="2">
        <f ca="1">INDEX(INDIRECT(_xlfn.CONCAT("weather.tbl[",U$1,"]")),MATCH(vp.tbl[[#This Row],[SDate]],weather.tbl[Date],0))</f>
        <v>12.8</v>
      </c>
      <c r="V1519" s="2">
        <v>4681.2809999999999</v>
      </c>
      <c r="W1519" t="s">
        <v>48</v>
      </c>
      <c r="X1519">
        <f>IF(OR(vp.tbl[[#This Row],[Sulf]]="",vp.tbl[[#This Row],[Dens]]=""),1,0)</f>
        <v>0</v>
      </c>
      <c r="Y1519">
        <f>IF(vp.tbl[[#This Row],[CrudeType]]="C5+",1,0)</f>
        <v>0</v>
      </c>
      <c r="Z1519">
        <f>IF(AND(vp.tbl[[#This Row],[CrudeType]]="Crude",vp.tbl[[#This Row],[Dens]]&lt;=825,vp.tbl[[#This Row],[Sulf]]&gt;0.5,vp.tbl[[#This Row],[Unknown]]=0),1,0)</f>
        <v>0</v>
      </c>
      <c r="AA1519">
        <f>IF(AND(vp.tbl[[#This Row],[CrudeType]]="Crude",vp.tbl[[#This Row],[Dens]]&lt;=825,vp.tbl[[#This Row],[Sulf]]&lt;=0.5,vp.tbl[[#This Row],[Unknown]]=0),1,0)</f>
        <v>0</v>
      </c>
      <c r="AB1519">
        <f>IF(AND(vp.tbl[[#This Row],[CrudeType]]="Crude",vp.tbl[[#This Row],[Dens]]&gt;825,vp.tbl[[#This Row],[Dens]]&lt;=870,vp.tbl[[#This Row],[Sulf]]&gt;0.5,vp.tbl[[#This Row],[Unknown]]=0),1,0)</f>
        <v>1</v>
      </c>
      <c r="AC1519">
        <f>IF(AND(vp.tbl[[#This Row],[CrudeType]]="Crude",vp.tbl[[#This Row],[Dens]]&gt;825,vp.tbl[[#This Row],[Dens]]&lt;=900,vp.tbl[[#This Row],[Sulf]]&lt;=0.5,vp.tbl[[#This Row],[Unknown]]=0),1,0)</f>
        <v>0</v>
      </c>
      <c r="AD1519">
        <f>IF(AND(vp.tbl[[#This Row],[CrudeType]]="Crude",vp.tbl[[#This Row],[Dens]]&gt;870,vp.tbl[[#This Row],[Dens]]&lt;=900,vp.tbl[[#This Row],[Sulf]]&gt;0.5,vp.tbl[[#This Row],[Unknown]]=0),1,0)</f>
        <v>0</v>
      </c>
      <c r="AE1519">
        <f>IF(AND(vp.tbl[[#This Row],[CrudeType]]="Crude",vp.tbl[[#This Row],[Dens]]&gt;900,vp.tbl[[#This Row],[Sulf]]&lt;=0.5,vp.tbl[[#This Row],[Unknown]]=0),1,0)</f>
        <v>0</v>
      </c>
      <c r="AF1519">
        <f>IF(AND(vp.tbl[[#This Row],[CrudeType]]="Crude",vp.tbl[[#This Row],[Dens]]&gt;900,vp.tbl[[#This Row],[Sulf]]&lt;=0.5,vp.tbl[[#This Row],[Unknown]]=0),1,0)</f>
        <v>0</v>
      </c>
      <c r="AG1519" t="str">
        <f>INDEX(vp.tbl[[#Headers],[Unknown]:[Heavy_SW]],MATCH(1,vp.tbl[[#This Row],[Unknown]:[Heavy_SW]],0))</f>
        <v>Medium_LSB</v>
      </c>
      <c r="AH1519" t="e">
        <f>INDEX([1]!crudeBD.lkup[Number],MATCH(vp.tbl[[#This Row],[Crude_Breakdown]],[1]!crudeBD.lkup[Crude Breakdown],0))</f>
        <v>#REF!</v>
      </c>
      <c r="AI1519">
        <f>MONTH(vp.tbl[[#This Row],[SDate]])</f>
        <v>5</v>
      </c>
      <c r="AJ1519" s="5">
        <f>IFERROR(vp.tbl[[#This Row],[Sulf]]*vp.tbl[[#This Row],[Net Dens]],"")</f>
        <v>5077654.4248319995</v>
      </c>
      <c r="AK1519" s="5">
        <f>IFERROR(vp.tbl[[#This Row],[Dens]]*vp.tbl[[#This Row],[VolumeM3]],"")</f>
        <v>3966917.5193999996</v>
      </c>
      <c r="AL1519" s="5">
        <f>IFERROR(vp.tbl[[#This Row],[VP]]*vp.tbl[[#This Row],[VolumeM3]],"")</f>
        <v>311305.18650000001</v>
      </c>
      <c r="AM1519" s="4">
        <f>IFERROR((vp.tbl[[#This Row],[VP]]-INDEX(crudeBD.lkup.complete[Mean_VP],MATCH(vp.tbl[[#This Row],[Crude_Breakdown]],crudeBD.lkup.complete[Crude Breakdown],0)))^2,"")</f>
        <v>186.96719849318919</v>
      </c>
      <c r="AN1519" s="4">
        <f>IFERROR((vp.tbl[[#This Row],[Dens]]-INDEX(crudeBD.lkup.complete[Mean_Dens],MATCH(vp.tbl[[#This Row],[Crude_Breakdown]],crudeBD.lkup.complete[Crude Breakdown],0)))^2,"")</f>
        <v>4.4444111706497855</v>
      </c>
      <c r="AO1519" s="4">
        <f>IFERROR((vp.tbl[[#This Row],[Sulf]]-INDEX(crudeBD.lkup.complete[Mean_Sulf],MATCH(vp.tbl[[#This Row],[Crude_Breakdown]],crudeBD.lkup.complete[Crude Breakdown],0)))^2,"")</f>
        <v>3.0600456185336352E-2</v>
      </c>
      <c r="AP1519">
        <f>IF(AND(vp.tbl[[#This Row],[SDate]]&gt;=DATE(YEAR(vp.tbl[[#This Row],[SDate]]),5,1),vp.tbl[[#This Row],[SDate]]&lt;=DATE(YEAR(vp.tbl[[#This Row],[SDate]]),9,15)),1,0)</f>
        <v>1</v>
      </c>
      <c r="AQ1519" s="15">
        <f>IF(vp.tbl[[#This Row],[SDate]]&lt;DATE(2016,12,1),0,1)</f>
        <v>1</v>
      </c>
    </row>
    <row r="1520" spans="1:43" x14ac:dyDescent="0.25">
      <c r="A1520">
        <v>1519</v>
      </c>
      <c r="B1520" t="s">
        <v>49</v>
      </c>
      <c r="C1520" t="s">
        <v>49</v>
      </c>
      <c r="D1520" t="s">
        <v>59</v>
      </c>
      <c r="F1520" s="1">
        <v>42877</v>
      </c>
      <c r="G1520" s="2">
        <v>75.599999999999994</v>
      </c>
      <c r="H1520" s="2"/>
      <c r="I1520" s="2">
        <v>1.43</v>
      </c>
      <c r="J1520" s="2"/>
      <c r="K1520" s="2"/>
      <c r="L1520" s="2"/>
      <c r="M1520" s="2">
        <v>845</v>
      </c>
      <c r="N1520" s="2">
        <f ca="1">INDEX(INDIRECT(_xlfn.CONCAT("weather.tbl[",N$1,"]")),MATCH(vp.tbl[[#This Row],[SDate]],weather.tbl[Date],0))</f>
        <v>12.633333333333333</v>
      </c>
      <c r="O1520" s="2">
        <f ca="1">INDEX(INDIRECT(_xlfn.CONCAT("weather.tbl[",O$1,"]")),MATCH(vp.tbl[[#This Row],[SDate]],weather.tbl[Date],0))</f>
        <v>9.6880952380952383</v>
      </c>
      <c r="P1520" s="2">
        <f ca="1">INDEX(INDIRECT(_xlfn.CONCAT("weather.tbl[",P$1,"]")),MATCH(vp.tbl[[#This Row],[SDate]],weather.tbl[Date],0))</f>
        <v>12.9</v>
      </c>
      <c r="Q1520" s="2">
        <f ca="1">INDEX(INDIRECT(_xlfn.CONCAT("weather.tbl[",Q$1,"]")),MATCH(vp.tbl[[#This Row],[SDate]],weather.tbl[Date],0))</f>
        <v>13.1</v>
      </c>
      <c r="R1520" s="2">
        <f ca="1">INDEX(INDIRECT(_xlfn.CONCAT("weather.tbl[",R$1,"]")),MATCH(vp.tbl[[#This Row],[SDate]],weather.tbl[Date],0))</f>
        <v>12</v>
      </c>
      <c r="S1520" s="2">
        <f ca="1">INDEX(INDIRECT(_xlfn.CONCAT("weather.tbl[",S$1,"]")),MATCH(vp.tbl[[#This Row],[SDate]],weather.tbl[Date],0))</f>
        <v>12.4</v>
      </c>
      <c r="T1520" s="2">
        <f ca="1">INDEX(INDIRECT(_xlfn.CONCAT("weather.tbl[",T$1,"]")),MATCH(vp.tbl[[#This Row],[SDate]],weather.tbl[Date],0))</f>
        <v>12.6</v>
      </c>
      <c r="U1520" s="2">
        <f ca="1">INDEX(INDIRECT(_xlfn.CONCAT("weather.tbl[",U$1,"]")),MATCH(vp.tbl[[#This Row],[SDate]],weather.tbl[Date],0))</f>
        <v>12.8</v>
      </c>
      <c r="V1520" s="2">
        <v>1309.8610000000001</v>
      </c>
      <c r="W1520" t="s">
        <v>48</v>
      </c>
      <c r="X1520">
        <f>IF(OR(vp.tbl[[#This Row],[Sulf]]="",vp.tbl[[#This Row],[Dens]]=""),1,0)</f>
        <v>0</v>
      </c>
      <c r="Y1520">
        <f>IF(vp.tbl[[#This Row],[CrudeType]]="C5+",1,0)</f>
        <v>0</v>
      </c>
      <c r="Z1520">
        <f>IF(AND(vp.tbl[[#This Row],[CrudeType]]="Crude",vp.tbl[[#This Row],[Dens]]&lt;=825,vp.tbl[[#This Row],[Sulf]]&gt;0.5,vp.tbl[[#This Row],[Unknown]]=0),1,0)</f>
        <v>0</v>
      </c>
      <c r="AA1520">
        <f>IF(AND(vp.tbl[[#This Row],[CrudeType]]="Crude",vp.tbl[[#This Row],[Dens]]&lt;=825,vp.tbl[[#This Row],[Sulf]]&lt;=0.5,vp.tbl[[#This Row],[Unknown]]=0),1,0)</f>
        <v>0</v>
      </c>
      <c r="AB1520">
        <f>IF(AND(vp.tbl[[#This Row],[CrudeType]]="Crude",vp.tbl[[#This Row],[Dens]]&gt;825,vp.tbl[[#This Row],[Dens]]&lt;=870,vp.tbl[[#This Row],[Sulf]]&gt;0.5,vp.tbl[[#This Row],[Unknown]]=0),1,0)</f>
        <v>1</v>
      </c>
      <c r="AC1520">
        <f>IF(AND(vp.tbl[[#This Row],[CrudeType]]="Crude",vp.tbl[[#This Row],[Dens]]&gt;825,vp.tbl[[#This Row],[Dens]]&lt;=900,vp.tbl[[#This Row],[Sulf]]&lt;=0.5,vp.tbl[[#This Row],[Unknown]]=0),1,0)</f>
        <v>0</v>
      </c>
      <c r="AD1520">
        <f>IF(AND(vp.tbl[[#This Row],[CrudeType]]="Crude",vp.tbl[[#This Row],[Dens]]&gt;870,vp.tbl[[#This Row],[Dens]]&lt;=900,vp.tbl[[#This Row],[Sulf]]&gt;0.5,vp.tbl[[#This Row],[Unknown]]=0),1,0)</f>
        <v>0</v>
      </c>
      <c r="AE1520">
        <f>IF(AND(vp.tbl[[#This Row],[CrudeType]]="Crude",vp.tbl[[#This Row],[Dens]]&gt;900,vp.tbl[[#This Row],[Sulf]]&lt;=0.5,vp.tbl[[#This Row],[Unknown]]=0),1,0)</f>
        <v>0</v>
      </c>
      <c r="AF1520">
        <f>IF(AND(vp.tbl[[#This Row],[CrudeType]]="Crude",vp.tbl[[#This Row],[Dens]]&gt;900,vp.tbl[[#This Row],[Sulf]]&lt;=0.5,vp.tbl[[#This Row],[Unknown]]=0),1,0)</f>
        <v>0</v>
      </c>
      <c r="AG1520" t="str">
        <f>INDEX(vp.tbl[[#Headers],[Unknown]:[Heavy_SW]],MATCH(1,vp.tbl[[#This Row],[Unknown]:[Heavy_SW]],0))</f>
        <v>Medium_LSB</v>
      </c>
      <c r="AH1520" t="e">
        <f>INDEX([1]!crudeBD.lkup[Number],MATCH(vp.tbl[[#This Row],[Crude_Breakdown]],[1]!crudeBD.lkup[Crude Breakdown],0))</f>
        <v>#REF!</v>
      </c>
      <c r="AI1520">
        <f>MONTH(vp.tbl[[#This Row],[SDate]])</f>
        <v>5</v>
      </c>
      <c r="AJ1520" s="5">
        <f>IFERROR(vp.tbl[[#This Row],[Sulf]]*vp.tbl[[#This Row],[Net Dens]],"")</f>
        <v>1582770.5393500002</v>
      </c>
      <c r="AK1520" s="5">
        <f>IFERROR(vp.tbl[[#This Row],[Dens]]*vp.tbl[[#This Row],[VolumeM3]],"")</f>
        <v>1106832.5450000002</v>
      </c>
      <c r="AL1520" s="5">
        <f>IFERROR(vp.tbl[[#This Row],[VP]]*vp.tbl[[#This Row],[VolumeM3]],"")</f>
        <v>99025.491599999994</v>
      </c>
      <c r="AM1520" s="4">
        <f>IFERROR((vp.tbl[[#This Row],[VP]]-INDEX(crudeBD.lkup.complete[Mean_VP],MATCH(vp.tbl[[#This Row],[Crude_Breakdown]],crudeBD.lkup.complete[Crude Breakdown],0)))^2,"")</f>
        <v>20.917770645088641</v>
      </c>
      <c r="AN1520" s="4">
        <f>IFERROR((vp.tbl[[#This Row],[Dens]]-INDEX(crudeBD.lkup.complete[Mean_Dens],MATCH(vp.tbl[[#This Row],[Crude_Breakdown]],crudeBD.lkup.complete[Crude Breakdown],0)))^2,"")</f>
        <v>8.5160537733762753E-2</v>
      </c>
      <c r="AO1520" s="4">
        <f>IFERROR((vp.tbl[[#This Row],[Sulf]]-INDEX(crudeBD.lkup.complete[Mean_Sulf],MATCH(vp.tbl[[#This Row],[Crude_Breakdown]],crudeBD.lkup.complete[Crude Breakdown],0)))^2,"")</f>
        <v>6.2149795748781933E-4</v>
      </c>
      <c r="AP1520">
        <f>IF(AND(vp.tbl[[#This Row],[SDate]]&gt;=DATE(YEAR(vp.tbl[[#This Row],[SDate]]),5,1),vp.tbl[[#This Row],[SDate]]&lt;=DATE(YEAR(vp.tbl[[#This Row],[SDate]]),9,15)),1,0)</f>
        <v>1</v>
      </c>
      <c r="AQ1520" s="15">
        <f>IF(vp.tbl[[#This Row],[SDate]]&lt;DATE(2016,12,1),0,1)</f>
        <v>1</v>
      </c>
    </row>
    <row r="1521" spans="1:43" x14ac:dyDescent="0.25">
      <c r="A1521">
        <v>1520</v>
      </c>
      <c r="B1521" t="s">
        <v>49</v>
      </c>
      <c r="C1521" t="s">
        <v>49</v>
      </c>
      <c r="D1521" t="s">
        <v>81</v>
      </c>
      <c r="F1521" s="1">
        <v>42877</v>
      </c>
      <c r="G1521" s="2">
        <v>69.900000000000006</v>
      </c>
      <c r="H1521" s="2"/>
      <c r="I1521" s="2">
        <v>0.53</v>
      </c>
      <c r="J1521" s="2"/>
      <c r="K1521" s="2"/>
      <c r="L1521" s="2"/>
      <c r="M1521" s="2">
        <v>824.7</v>
      </c>
      <c r="N1521" s="2">
        <f ca="1">INDEX(INDIRECT(_xlfn.CONCAT("weather.tbl[",N$1,"]")),MATCH(vp.tbl[[#This Row],[SDate]],weather.tbl[Date],0))</f>
        <v>12.633333333333333</v>
      </c>
      <c r="O1521" s="2">
        <f ca="1">INDEX(INDIRECT(_xlfn.CONCAT("weather.tbl[",O$1,"]")),MATCH(vp.tbl[[#This Row],[SDate]],weather.tbl[Date],0))</f>
        <v>9.6880952380952383</v>
      </c>
      <c r="P1521" s="2">
        <f ca="1">INDEX(INDIRECT(_xlfn.CONCAT("weather.tbl[",P$1,"]")),MATCH(vp.tbl[[#This Row],[SDate]],weather.tbl[Date],0))</f>
        <v>12.9</v>
      </c>
      <c r="Q1521" s="2">
        <f ca="1">INDEX(INDIRECT(_xlfn.CONCAT("weather.tbl[",Q$1,"]")),MATCH(vp.tbl[[#This Row],[SDate]],weather.tbl[Date],0))</f>
        <v>13.1</v>
      </c>
      <c r="R1521" s="2">
        <f ca="1">INDEX(INDIRECT(_xlfn.CONCAT("weather.tbl[",R$1,"]")),MATCH(vp.tbl[[#This Row],[SDate]],weather.tbl[Date],0))</f>
        <v>12</v>
      </c>
      <c r="S1521" s="2">
        <f ca="1">INDEX(INDIRECT(_xlfn.CONCAT("weather.tbl[",S$1,"]")),MATCH(vp.tbl[[#This Row],[SDate]],weather.tbl[Date],0))</f>
        <v>12.4</v>
      </c>
      <c r="T1521" s="2">
        <f ca="1">INDEX(INDIRECT(_xlfn.CONCAT("weather.tbl[",T$1,"]")),MATCH(vp.tbl[[#This Row],[SDate]],weather.tbl[Date],0))</f>
        <v>12.6</v>
      </c>
      <c r="U1521" s="2">
        <f ca="1">INDEX(INDIRECT(_xlfn.CONCAT("weather.tbl[",U$1,"]")),MATCH(vp.tbl[[#This Row],[SDate]],weather.tbl[Date],0))</f>
        <v>12.8</v>
      </c>
      <c r="V1521" s="2">
        <v>19932.741000000002</v>
      </c>
      <c r="W1521" t="s">
        <v>48</v>
      </c>
      <c r="X1521">
        <f>IF(OR(vp.tbl[[#This Row],[Sulf]]="",vp.tbl[[#This Row],[Dens]]=""),1,0)</f>
        <v>0</v>
      </c>
      <c r="Y1521">
        <f>IF(vp.tbl[[#This Row],[CrudeType]]="C5+",1,0)</f>
        <v>0</v>
      </c>
      <c r="Z1521">
        <f>IF(AND(vp.tbl[[#This Row],[CrudeType]]="Crude",vp.tbl[[#This Row],[Dens]]&lt;=825,vp.tbl[[#This Row],[Sulf]]&gt;0.5,vp.tbl[[#This Row],[Unknown]]=0),1,0)</f>
        <v>1</v>
      </c>
      <c r="AA1521">
        <f>IF(AND(vp.tbl[[#This Row],[CrudeType]]="Crude",vp.tbl[[#This Row],[Dens]]&lt;=825,vp.tbl[[#This Row],[Sulf]]&lt;=0.5,vp.tbl[[#This Row],[Unknown]]=0),1,0)</f>
        <v>0</v>
      </c>
      <c r="AB1521">
        <f>IF(AND(vp.tbl[[#This Row],[CrudeType]]="Crude",vp.tbl[[#This Row],[Dens]]&gt;825,vp.tbl[[#This Row],[Dens]]&lt;=870,vp.tbl[[#This Row],[Sulf]]&gt;0.5,vp.tbl[[#This Row],[Unknown]]=0),1,0)</f>
        <v>0</v>
      </c>
      <c r="AC1521">
        <f>IF(AND(vp.tbl[[#This Row],[CrudeType]]="Crude",vp.tbl[[#This Row],[Dens]]&gt;825,vp.tbl[[#This Row],[Dens]]&lt;=900,vp.tbl[[#This Row],[Sulf]]&lt;=0.5,vp.tbl[[#This Row],[Unknown]]=0),1,0)</f>
        <v>0</v>
      </c>
      <c r="AD1521">
        <f>IF(AND(vp.tbl[[#This Row],[CrudeType]]="Crude",vp.tbl[[#This Row],[Dens]]&gt;870,vp.tbl[[#This Row],[Dens]]&lt;=900,vp.tbl[[#This Row],[Sulf]]&gt;0.5,vp.tbl[[#This Row],[Unknown]]=0),1,0)</f>
        <v>0</v>
      </c>
      <c r="AE1521">
        <f>IF(AND(vp.tbl[[#This Row],[CrudeType]]="Crude",vp.tbl[[#This Row],[Dens]]&gt;900,vp.tbl[[#This Row],[Sulf]]&lt;=0.5,vp.tbl[[#This Row],[Unknown]]=0),1,0)</f>
        <v>0</v>
      </c>
      <c r="AF1521">
        <f>IF(AND(vp.tbl[[#This Row],[CrudeType]]="Crude",vp.tbl[[#This Row],[Dens]]&gt;900,vp.tbl[[#This Row],[Sulf]]&lt;=0.5,vp.tbl[[#This Row],[Unknown]]=0),1,0)</f>
        <v>0</v>
      </c>
      <c r="AG1521" t="str">
        <f>INDEX(vp.tbl[[#Headers],[Unknown]:[Heavy_SW]],MATCH(1,vp.tbl[[#This Row],[Unknown]:[Heavy_SW]],0))</f>
        <v>Light_LSB</v>
      </c>
      <c r="AH1521" t="e">
        <f>INDEX([1]!crudeBD.lkup[Number],MATCH(vp.tbl[[#This Row],[Crude_Breakdown]],[1]!crudeBD.lkup[Crude Breakdown],0))</f>
        <v>#REF!</v>
      </c>
      <c r="AI1521">
        <f>MONTH(vp.tbl[[#This Row],[SDate]])</f>
        <v>5</v>
      </c>
      <c r="AJ1521" s="5">
        <f>IFERROR(vp.tbl[[#This Row],[Sulf]]*vp.tbl[[#This Row],[Net Dens]],"")</f>
        <v>8712421.6964310016</v>
      </c>
      <c r="AK1521" s="5">
        <f>IFERROR(vp.tbl[[#This Row],[Dens]]*vp.tbl[[#This Row],[VolumeM3]],"")</f>
        <v>16438531.502700003</v>
      </c>
      <c r="AL1521" s="5">
        <f>IFERROR(vp.tbl[[#This Row],[VP]]*vp.tbl[[#This Row],[VolumeM3]],"")</f>
        <v>1393298.5959000003</v>
      </c>
      <c r="AM1521" s="4">
        <f>IFERROR((vp.tbl[[#This Row],[VP]]-INDEX(crudeBD.lkup.complete[Mean_VP],MATCH(vp.tbl[[#This Row],[Crude_Breakdown]],crudeBD.lkup.complete[Crude Breakdown],0)))^2,"")</f>
        <v>468.5573496014465</v>
      </c>
      <c r="AN1521" s="4">
        <f>IFERROR((vp.tbl[[#This Row],[Dens]]-INDEX(crudeBD.lkup.complete[Mean_Dens],MATCH(vp.tbl[[#This Row],[Crude_Breakdown]],crudeBD.lkup.complete[Crude Breakdown],0)))^2,"")</f>
        <v>38.232336207654335</v>
      </c>
      <c r="AO1521" s="4">
        <f>IFERROR((vp.tbl[[#This Row],[Sulf]]-INDEX(crudeBD.lkup.complete[Mean_Sulf],MATCH(vp.tbl[[#This Row],[Crude_Breakdown]],crudeBD.lkup.complete[Crude Breakdown],0)))^2,"")</f>
        <v>0.15442633918177728</v>
      </c>
      <c r="AP1521">
        <f>IF(AND(vp.tbl[[#This Row],[SDate]]&gt;=DATE(YEAR(vp.tbl[[#This Row],[SDate]]),5,1),vp.tbl[[#This Row],[SDate]]&lt;=DATE(YEAR(vp.tbl[[#This Row],[SDate]]),9,15)),1,0)</f>
        <v>1</v>
      </c>
      <c r="AQ1521" s="15">
        <f>IF(vp.tbl[[#This Row],[SDate]]&lt;DATE(2016,12,1),0,1)</f>
        <v>1</v>
      </c>
    </row>
    <row r="1522" spans="1:43" x14ac:dyDescent="0.25">
      <c r="A1522">
        <v>1521</v>
      </c>
      <c r="B1522" t="s">
        <v>49</v>
      </c>
      <c r="C1522" t="s">
        <v>49</v>
      </c>
      <c r="D1522" t="s">
        <v>70</v>
      </c>
      <c r="F1522" s="1">
        <v>42877</v>
      </c>
      <c r="G1522" s="2">
        <v>74</v>
      </c>
      <c r="H1522" s="2"/>
      <c r="I1522" s="2">
        <v>0.94</v>
      </c>
      <c r="J1522" s="2"/>
      <c r="K1522" s="2"/>
      <c r="L1522" s="2"/>
      <c r="M1522" s="2">
        <v>834.5</v>
      </c>
      <c r="N1522" s="2">
        <f ca="1">INDEX(INDIRECT(_xlfn.CONCAT("weather.tbl[",N$1,"]")),MATCH(vp.tbl[[#This Row],[SDate]],weather.tbl[Date],0))</f>
        <v>12.633333333333333</v>
      </c>
      <c r="O1522" s="2">
        <f ca="1">INDEX(INDIRECT(_xlfn.CONCAT("weather.tbl[",O$1,"]")),MATCH(vp.tbl[[#This Row],[SDate]],weather.tbl[Date],0))</f>
        <v>9.6880952380952383</v>
      </c>
      <c r="P1522" s="2">
        <f ca="1">INDEX(INDIRECT(_xlfn.CONCAT("weather.tbl[",P$1,"]")),MATCH(vp.tbl[[#This Row],[SDate]],weather.tbl[Date],0))</f>
        <v>12.9</v>
      </c>
      <c r="Q1522" s="2">
        <f ca="1">INDEX(INDIRECT(_xlfn.CONCAT("weather.tbl[",Q$1,"]")),MATCH(vp.tbl[[#This Row],[SDate]],weather.tbl[Date],0))</f>
        <v>13.1</v>
      </c>
      <c r="R1522" s="2">
        <f ca="1">INDEX(INDIRECT(_xlfn.CONCAT("weather.tbl[",R$1,"]")),MATCH(vp.tbl[[#This Row],[SDate]],weather.tbl[Date],0))</f>
        <v>12</v>
      </c>
      <c r="S1522" s="2">
        <f ca="1">INDEX(INDIRECT(_xlfn.CONCAT("weather.tbl[",S$1,"]")),MATCH(vp.tbl[[#This Row],[SDate]],weather.tbl[Date],0))</f>
        <v>12.4</v>
      </c>
      <c r="T1522" s="2">
        <f ca="1">INDEX(INDIRECT(_xlfn.CONCAT("weather.tbl[",T$1,"]")),MATCH(vp.tbl[[#This Row],[SDate]],weather.tbl[Date],0))</f>
        <v>12.6</v>
      </c>
      <c r="U1522" s="2">
        <f ca="1">INDEX(INDIRECT(_xlfn.CONCAT("weather.tbl[",U$1,"]")),MATCH(vp.tbl[[#This Row],[SDate]],weather.tbl[Date],0))</f>
        <v>12.8</v>
      </c>
      <c r="V1522" s="2">
        <v>2413.8069999999998</v>
      </c>
      <c r="W1522" t="s">
        <v>48</v>
      </c>
      <c r="X1522">
        <f>IF(OR(vp.tbl[[#This Row],[Sulf]]="",vp.tbl[[#This Row],[Dens]]=""),1,0)</f>
        <v>0</v>
      </c>
      <c r="Y1522">
        <f>IF(vp.tbl[[#This Row],[CrudeType]]="C5+",1,0)</f>
        <v>0</v>
      </c>
      <c r="Z1522">
        <f>IF(AND(vp.tbl[[#This Row],[CrudeType]]="Crude",vp.tbl[[#This Row],[Dens]]&lt;=825,vp.tbl[[#This Row],[Sulf]]&gt;0.5,vp.tbl[[#This Row],[Unknown]]=0),1,0)</f>
        <v>0</v>
      </c>
      <c r="AA1522">
        <f>IF(AND(vp.tbl[[#This Row],[CrudeType]]="Crude",vp.tbl[[#This Row],[Dens]]&lt;=825,vp.tbl[[#This Row],[Sulf]]&lt;=0.5,vp.tbl[[#This Row],[Unknown]]=0),1,0)</f>
        <v>0</v>
      </c>
      <c r="AB1522">
        <f>IF(AND(vp.tbl[[#This Row],[CrudeType]]="Crude",vp.tbl[[#This Row],[Dens]]&gt;825,vp.tbl[[#This Row],[Dens]]&lt;=870,vp.tbl[[#This Row],[Sulf]]&gt;0.5,vp.tbl[[#This Row],[Unknown]]=0),1,0)</f>
        <v>1</v>
      </c>
      <c r="AC1522">
        <f>IF(AND(vp.tbl[[#This Row],[CrudeType]]="Crude",vp.tbl[[#This Row],[Dens]]&gt;825,vp.tbl[[#This Row],[Dens]]&lt;=900,vp.tbl[[#This Row],[Sulf]]&lt;=0.5,vp.tbl[[#This Row],[Unknown]]=0),1,0)</f>
        <v>0</v>
      </c>
      <c r="AD1522">
        <f>IF(AND(vp.tbl[[#This Row],[CrudeType]]="Crude",vp.tbl[[#This Row],[Dens]]&gt;870,vp.tbl[[#This Row],[Dens]]&lt;=900,vp.tbl[[#This Row],[Sulf]]&gt;0.5,vp.tbl[[#This Row],[Unknown]]=0),1,0)</f>
        <v>0</v>
      </c>
      <c r="AE1522">
        <f>IF(AND(vp.tbl[[#This Row],[CrudeType]]="Crude",vp.tbl[[#This Row],[Dens]]&gt;900,vp.tbl[[#This Row],[Sulf]]&lt;=0.5,vp.tbl[[#This Row],[Unknown]]=0),1,0)</f>
        <v>0</v>
      </c>
      <c r="AF1522">
        <f>IF(AND(vp.tbl[[#This Row],[CrudeType]]="Crude",vp.tbl[[#This Row],[Dens]]&gt;900,vp.tbl[[#This Row],[Sulf]]&lt;=0.5,vp.tbl[[#This Row],[Unknown]]=0),1,0)</f>
        <v>0</v>
      </c>
      <c r="AG1522" t="str">
        <f>INDEX(vp.tbl[[#Headers],[Unknown]:[Heavy_SW]],MATCH(1,vp.tbl[[#This Row],[Unknown]:[Heavy_SW]],0))</f>
        <v>Medium_LSB</v>
      </c>
      <c r="AH1522" t="e">
        <f>INDEX([1]!crudeBD.lkup[Number],MATCH(vp.tbl[[#This Row],[Crude_Breakdown]],[1]!crudeBD.lkup[Crude Breakdown],0))</f>
        <v>#REF!</v>
      </c>
      <c r="AI1522">
        <f>MONTH(vp.tbl[[#This Row],[SDate]])</f>
        <v>5</v>
      </c>
      <c r="AJ1522" s="5">
        <f>IFERROR(vp.tbl[[#This Row],[Sulf]]*vp.tbl[[#This Row],[Net Dens]],"")</f>
        <v>1893462.6250099996</v>
      </c>
      <c r="AK1522" s="5">
        <f>IFERROR(vp.tbl[[#This Row],[Dens]]*vp.tbl[[#This Row],[VolumeM3]],"")</f>
        <v>2014321.9414999997</v>
      </c>
      <c r="AL1522" s="5">
        <f>IFERROR(vp.tbl[[#This Row],[VP]]*vp.tbl[[#This Row],[VolumeM3]],"")</f>
        <v>178621.71799999999</v>
      </c>
      <c r="AM1522" s="4">
        <f>IFERROR((vp.tbl[[#This Row],[VP]]-INDEX(crudeBD.lkup.complete[Mean_VP],MATCH(vp.tbl[[#This Row],[Crude_Breakdown]],crudeBD.lkup.complete[Crude Breakdown],0)))^2,"")</f>
        <v>38.113274442556829</v>
      </c>
      <c r="AN1522" s="4">
        <f>IFERROR((vp.tbl[[#This Row],[Dens]]-INDEX(crudeBD.lkup.complete[Mean_Dens],MATCH(vp.tbl[[#This Row],[Crude_Breakdown]],crudeBD.lkup.complete[Crude Breakdown],0)))^2,"")</f>
        <v>116.46343901872574</v>
      </c>
      <c r="AO1522" s="4">
        <f>IFERROR((vp.tbl[[#This Row],[Sulf]]-INDEX(crudeBD.lkup.complete[Mean_Sulf],MATCH(vp.tbl[[#This Row],[Crude_Breakdown]],crudeBD.lkup.complete[Crude Breakdown],0)))^2,"")</f>
        <v>0.26515276150179312</v>
      </c>
      <c r="AP1522">
        <f>IF(AND(vp.tbl[[#This Row],[SDate]]&gt;=DATE(YEAR(vp.tbl[[#This Row],[SDate]]),5,1),vp.tbl[[#This Row],[SDate]]&lt;=DATE(YEAR(vp.tbl[[#This Row],[SDate]]),9,15)),1,0)</f>
        <v>1</v>
      </c>
      <c r="AQ1522" s="15">
        <f>IF(vp.tbl[[#This Row],[SDate]]&lt;DATE(2016,12,1),0,1)</f>
        <v>1</v>
      </c>
    </row>
    <row r="1523" spans="1:43" x14ac:dyDescent="0.25">
      <c r="A1523">
        <v>1522</v>
      </c>
      <c r="B1523" t="s">
        <v>49</v>
      </c>
      <c r="C1523" t="s">
        <v>49</v>
      </c>
      <c r="D1523" t="s">
        <v>188</v>
      </c>
      <c r="F1523" s="1">
        <v>42877</v>
      </c>
      <c r="G1523" s="2">
        <v>66.900000000000006</v>
      </c>
      <c r="H1523" s="2"/>
      <c r="I1523" s="2">
        <v>0.96</v>
      </c>
      <c r="J1523" s="2"/>
      <c r="K1523" s="2"/>
      <c r="L1523" s="2"/>
      <c r="M1523" s="2">
        <v>833.2</v>
      </c>
      <c r="N1523" s="2">
        <f ca="1">INDEX(INDIRECT(_xlfn.CONCAT("weather.tbl[",N$1,"]")),MATCH(vp.tbl[[#This Row],[SDate]],weather.tbl[Date],0))</f>
        <v>12.633333333333333</v>
      </c>
      <c r="O1523" s="2">
        <f ca="1">INDEX(INDIRECT(_xlfn.CONCAT("weather.tbl[",O$1,"]")),MATCH(vp.tbl[[#This Row],[SDate]],weather.tbl[Date],0))</f>
        <v>9.6880952380952383</v>
      </c>
      <c r="P1523" s="2">
        <f ca="1">INDEX(INDIRECT(_xlfn.CONCAT("weather.tbl[",P$1,"]")),MATCH(vp.tbl[[#This Row],[SDate]],weather.tbl[Date],0))</f>
        <v>12.9</v>
      </c>
      <c r="Q1523" s="2">
        <f ca="1">INDEX(INDIRECT(_xlfn.CONCAT("weather.tbl[",Q$1,"]")),MATCH(vp.tbl[[#This Row],[SDate]],weather.tbl[Date],0))</f>
        <v>13.1</v>
      </c>
      <c r="R1523" s="2">
        <f ca="1">INDEX(INDIRECT(_xlfn.CONCAT("weather.tbl[",R$1,"]")),MATCH(vp.tbl[[#This Row],[SDate]],weather.tbl[Date],0))</f>
        <v>12</v>
      </c>
      <c r="S1523" s="2">
        <f ca="1">INDEX(INDIRECT(_xlfn.CONCAT("weather.tbl[",S$1,"]")),MATCH(vp.tbl[[#This Row],[SDate]],weather.tbl[Date],0))</f>
        <v>12.4</v>
      </c>
      <c r="T1523" s="2">
        <f ca="1">INDEX(INDIRECT(_xlfn.CONCAT("weather.tbl[",T$1,"]")),MATCH(vp.tbl[[#This Row],[SDate]],weather.tbl[Date],0))</f>
        <v>12.6</v>
      </c>
      <c r="U1523" s="2">
        <f ca="1">INDEX(INDIRECT(_xlfn.CONCAT("weather.tbl[",U$1,"]")),MATCH(vp.tbl[[#This Row],[SDate]],weather.tbl[Date],0))</f>
        <v>12.8</v>
      </c>
      <c r="V1523" s="2">
        <v>924.40700000000004</v>
      </c>
      <c r="W1523" t="s">
        <v>48</v>
      </c>
      <c r="X1523">
        <f>IF(OR(vp.tbl[[#This Row],[Sulf]]="",vp.tbl[[#This Row],[Dens]]=""),1,0)</f>
        <v>0</v>
      </c>
      <c r="Y1523">
        <f>IF(vp.tbl[[#This Row],[CrudeType]]="C5+",1,0)</f>
        <v>0</v>
      </c>
      <c r="Z1523">
        <f>IF(AND(vp.tbl[[#This Row],[CrudeType]]="Crude",vp.tbl[[#This Row],[Dens]]&lt;=825,vp.tbl[[#This Row],[Sulf]]&gt;0.5,vp.tbl[[#This Row],[Unknown]]=0),1,0)</f>
        <v>0</v>
      </c>
      <c r="AA1523">
        <f>IF(AND(vp.tbl[[#This Row],[CrudeType]]="Crude",vp.tbl[[#This Row],[Dens]]&lt;=825,vp.tbl[[#This Row],[Sulf]]&lt;=0.5,vp.tbl[[#This Row],[Unknown]]=0),1,0)</f>
        <v>0</v>
      </c>
      <c r="AB1523">
        <f>IF(AND(vp.tbl[[#This Row],[CrudeType]]="Crude",vp.tbl[[#This Row],[Dens]]&gt;825,vp.tbl[[#This Row],[Dens]]&lt;=870,vp.tbl[[#This Row],[Sulf]]&gt;0.5,vp.tbl[[#This Row],[Unknown]]=0),1,0)</f>
        <v>1</v>
      </c>
      <c r="AC1523">
        <f>IF(AND(vp.tbl[[#This Row],[CrudeType]]="Crude",vp.tbl[[#This Row],[Dens]]&gt;825,vp.tbl[[#This Row],[Dens]]&lt;=900,vp.tbl[[#This Row],[Sulf]]&lt;=0.5,vp.tbl[[#This Row],[Unknown]]=0),1,0)</f>
        <v>0</v>
      </c>
      <c r="AD1523">
        <f>IF(AND(vp.tbl[[#This Row],[CrudeType]]="Crude",vp.tbl[[#This Row],[Dens]]&gt;870,vp.tbl[[#This Row],[Dens]]&lt;=900,vp.tbl[[#This Row],[Sulf]]&gt;0.5,vp.tbl[[#This Row],[Unknown]]=0),1,0)</f>
        <v>0</v>
      </c>
      <c r="AE1523">
        <f>IF(AND(vp.tbl[[#This Row],[CrudeType]]="Crude",vp.tbl[[#This Row],[Dens]]&gt;900,vp.tbl[[#This Row],[Sulf]]&lt;=0.5,vp.tbl[[#This Row],[Unknown]]=0),1,0)</f>
        <v>0</v>
      </c>
      <c r="AF1523">
        <f>IF(AND(vp.tbl[[#This Row],[CrudeType]]="Crude",vp.tbl[[#This Row],[Dens]]&gt;900,vp.tbl[[#This Row],[Sulf]]&lt;=0.5,vp.tbl[[#This Row],[Unknown]]=0),1,0)</f>
        <v>0</v>
      </c>
      <c r="AG1523" t="str">
        <f>INDEX(vp.tbl[[#Headers],[Unknown]:[Heavy_SW]],MATCH(1,vp.tbl[[#This Row],[Unknown]:[Heavy_SW]],0))</f>
        <v>Medium_LSB</v>
      </c>
      <c r="AH1523" t="e">
        <f>INDEX([1]!crudeBD.lkup[Number],MATCH(vp.tbl[[#This Row],[Crude_Breakdown]],[1]!crudeBD.lkup[Crude Breakdown],0))</f>
        <v>#REF!</v>
      </c>
      <c r="AI1523">
        <f>MONTH(vp.tbl[[#This Row],[SDate]])</f>
        <v>5</v>
      </c>
      <c r="AJ1523" s="5">
        <f>IFERROR(vp.tbl[[#This Row],[Sulf]]*vp.tbl[[#This Row],[Net Dens]],"")</f>
        <v>739407.27590400004</v>
      </c>
      <c r="AK1523" s="5">
        <f>IFERROR(vp.tbl[[#This Row],[Dens]]*vp.tbl[[#This Row],[VolumeM3]],"")</f>
        <v>770215.91240000003</v>
      </c>
      <c r="AL1523" s="5">
        <f>IFERROR(vp.tbl[[#This Row],[VP]]*vp.tbl[[#This Row],[VolumeM3]],"")</f>
        <v>61842.828300000008</v>
      </c>
      <c r="AM1523" s="4">
        <f>IFERROR((vp.tbl[[#This Row],[VP]]-INDEX(crudeBD.lkup.complete[Mean_VP],MATCH(vp.tbl[[#This Row],[Crude_Breakdown]],crudeBD.lkup.complete[Crude Breakdown],0)))^2,"")</f>
        <v>176.18832254382198</v>
      </c>
      <c r="AN1523" s="4">
        <f>IFERROR((vp.tbl[[#This Row],[Dens]]-INDEX(crudeBD.lkup.complete[Mean_Dens],MATCH(vp.tbl[[#This Row],[Crude_Breakdown]],crudeBD.lkup.complete[Crude Breakdown],0)))^2,"")</f>
        <v>146.21217825922841</v>
      </c>
      <c r="AO1523" s="4">
        <f>IFERROR((vp.tbl[[#This Row],[Sulf]]-INDEX(crudeBD.lkup.complete[Mean_Sulf],MATCH(vp.tbl[[#This Row],[Crude_Breakdown]],crudeBD.lkup.complete[Crude Breakdown],0)))^2,"")</f>
        <v>0.2449555670714133</v>
      </c>
      <c r="AP1523">
        <f>IF(AND(vp.tbl[[#This Row],[SDate]]&gt;=DATE(YEAR(vp.tbl[[#This Row],[SDate]]),5,1),vp.tbl[[#This Row],[SDate]]&lt;=DATE(YEAR(vp.tbl[[#This Row],[SDate]]),9,15)),1,0)</f>
        <v>1</v>
      </c>
      <c r="AQ1523" s="15">
        <f>IF(vp.tbl[[#This Row],[SDate]]&lt;DATE(2016,12,1),0,1)</f>
        <v>1</v>
      </c>
    </row>
    <row r="1524" spans="1:43" x14ac:dyDescent="0.25">
      <c r="A1524">
        <v>1523</v>
      </c>
      <c r="B1524" t="s">
        <v>51</v>
      </c>
      <c r="C1524" t="s">
        <v>51</v>
      </c>
      <c r="D1524" t="s">
        <v>95</v>
      </c>
      <c r="F1524" s="1">
        <v>42877</v>
      </c>
      <c r="G1524" s="2">
        <v>74</v>
      </c>
      <c r="H1524" s="2"/>
      <c r="I1524" s="2">
        <v>1.19</v>
      </c>
      <c r="J1524" s="2"/>
      <c r="K1524" s="2"/>
      <c r="L1524" s="2"/>
      <c r="M1524" s="2">
        <v>848.6</v>
      </c>
      <c r="N1524" s="2">
        <f ca="1">INDEX(INDIRECT(_xlfn.CONCAT("weather.tbl[",N$1,"]")),MATCH(vp.tbl[[#This Row],[SDate]],weather.tbl[Date],0))</f>
        <v>12.633333333333333</v>
      </c>
      <c r="O1524" s="2">
        <f ca="1">INDEX(INDIRECT(_xlfn.CONCAT("weather.tbl[",O$1,"]")),MATCH(vp.tbl[[#This Row],[SDate]],weather.tbl[Date],0))</f>
        <v>9.6880952380952383</v>
      </c>
      <c r="P1524" s="2">
        <f ca="1">INDEX(INDIRECT(_xlfn.CONCAT("weather.tbl[",P$1,"]")),MATCH(vp.tbl[[#This Row],[SDate]],weather.tbl[Date],0))</f>
        <v>12.9</v>
      </c>
      <c r="Q1524" s="2">
        <f ca="1">INDEX(INDIRECT(_xlfn.CONCAT("weather.tbl[",Q$1,"]")),MATCH(vp.tbl[[#This Row],[SDate]],weather.tbl[Date],0))</f>
        <v>13.1</v>
      </c>
      <c r="R1524" s="2">
        <f ca="1">INDEX(INDIRECT(_xlfn.CONCAT("weather.tbl[",R$1,"]")),MATCH(vp.tbl[[#This Row],[SDate]],weather.tbl[Date],0))</f>
        <v>12</v>
      </c>
      <c r="S1524" s="2">
        <f ca="1">INDEX(INDIRECT(_xlfn.CONCAT("weather.tbl[",S$1,"]")),MATCH(vp.tbl[[#This Row],[SDate]],weather.tbl[Date],0))</f>
        <v>12.4</v>
      </c>
      <c r="T1524" s="2">
        <f ca="1">INDEX(INDIRECT(_xlfn.CONCAT("weather.tbl[",T$1,"]")),MATCH(vp.tbl[[#This Row],[SDate]],weather.tbl[Date],0))</f>
        <v>12.6</v>
      </c>
      <c r="U1524" s="2">
        <f ca="1">INDEX(INDIRECT(_xlfn.CONCAT("weather.tbl[",U$1,"]")),MATCH(vp.tbl[[#This Row],[SDate]],weather.tbl[Date],0))</f>
        <v>12.8</v>
      </c>
      <c r="V1524" s="2">
        <v>5507.5879999999997</v>
      </c>
      <c r="W1524" t="s">
        <v>48</v>
      </c>
      <c r="X1524">
        <f>IF(OR(vp.tbl[[#This Row],[Sulf]]="",vp.tbl[[#This Row],[Dens]]=""),1,0)</f>
        <v>0</v>
      </c>
      <c r="Y1524">
        <f>IF(vp.tbl[[#This Row],[CrudeType]]="C5+",1,0)</f>
        <v>0</v>
      </c>
      <c r="Z1524">
        <f>IF(AND(vp.tbl[[#This Row],[CrudeType]]="Crude",vp.tbl[[#This Row],[Dens]]&lt;=825,vp.tbl[[#This Row],[Sulf]]&gt;0.5,vp.tbl[[#This Row],[Unknown]]=0),1,0)</f>
        <v>0</v>
      </c>
      <c r="AA1524">
        <f>IF(AND(vp.tbl[[#This Row],[CrudeType]]="Crude",vp.tbl[[#This Row],[Dens]]&lt;=825,vp.tbl[[#This Row],[Sulf]]&lt;=0.5,vp.tbl[[#This Row],[Unknown]]=0),1,0)</f>
        <v>0</v>
      </c>
      <c r="AB1524">
        <f>IF(AND(vp.tbl[[#This Row],[CrudeType]]="Crude",vp.tbl[[#This Row],[Dens]]&gt;825,vp.tbl[[#This Row],[Dens]]&lt;=870,vp.tbl[[#This Row],[Sulf]]&gt;0.5,vp.tbl[[#This Row],[Unknown]]=0),1,0)</f>
        <v>1</v>
      </c>
      <c r="AC1524">
        <f>IF(AND(vp.tbl[[#This Row],[CrudeType]]="Crude",vp.tbl[[#This Row],[Dens]]&gt;825,vp.tbl[[#This Row],[Dens]]&lt;=900,vp.tbl[[#This Row],[Sulf]]&lt;=0.5,vp.tbl[[#This Row],[Unknown]]=0),1,0)</f>
        <v>0</v>
      </c>
      <c r="AD1524">
        <f>IF(AND(vp.tbl[[#This Row],[CrudeType]]="Crude",vp.tbl[[#This Row],[Dens]]&gt;870,vp.tbl[[#This Row],[Dens]]&lt;=900,vp.tbl[[#This Row],[Sulf]]&gt;0.5,vp.tbl[[#This Row],[Unknown]]=0),1,0)</f>
        <v>0</v>
      </c>
      <c r="AE1524">
        <f>IF(AND(vp.tbl[[#This Row],[CrudeType]]="Crude",vp.tbl[[#This Row],[Dens]]&gt;900,vp.tbl[[#This Row],[Sulf]]&lt;=0.5,vp.tbl[[#This Row],[Unknown]]=0),1,0)</f>
        <v>0</v>
      </c>
      <c r="AF1524">
        <f>IF(AND(vp.tbl[[#This Row],[CrudeType]]="Crude",vp.tbl[[#This Row],[Dens]]&gt;900,vp.tbl[[#This Row],[Sulf]]&lt;=0.5,vp.tbl[[#This Row],[Unknown]]=0),1,0)</f>
        <v>0</v>
      </c>
      <c r="AG1524" t="str">
        <f>INDEX(vp.tbl[[#Headers],[Unknown]:[Heavy_SW]],MATCH(1,vp.tbl[[#This Row],[Unknown]:[Heavy_SW]],0))</f>
        <v>Medium_LSB</v>
      </c>
      <c r="AH1524" t="e">
        <f>INDEX([1]!crudeBD.lkup[Number],MATCH(vp.tbl[[#This Row],[Crude_Breakdown]],[1]!crudeBD.lkup[Crude Breakdown],0))</f>
        <v>#REF!</v>
      </c>
      <c r="AI1524">
        <f>MONTH(vp.tbl[[#This Row],[SDate]])</f>
        <v>5</v>
      </c>
      <c r="AJ1524" s="5">
        <f>IFERROR(vp.tbl[[#This Row],[Sulf]]*vp.tbl[[#This Row],[Net Dens]],"")</f>
        <v>5561749.6203919994</v>
      </c>
      <c r="AK1524" s="5">
        <f>IFERROR(vp.tbl[[#This Row],[Dens]]*vp.tbl[[#This Row],[VolumeM3]],"")</f>
        <v>4673739.1767999995</v>
      </c>
      <c r="AL1524" s="5">
        <f>IFERROR(vp.tbl[[#This Row],[VP]]*vp.tbl[[#This Row],[VolumeM3]],"")</f>
        <v>407561.51199999999</v>
      </c>
      <c r="AM1524" s="4">
        <f>IFERROR((vp.tbl[[#This Row],[VP]]-INDEX(crudeBD.lkup.complete[Mean_VP],MATCH(vp.tbl[[#This Row],[Crude_Breakdown]],crudeBD.lkup.complete[Crude Breakdown],0)))^2,"")</f>
        <v>38.113274442556829</v>
      </c>
      <c r="AN1524" s="4">
        <f>IFERROR((vp.tbl[[#This Row],[Dens]]-INDEX(crudeBD.lkup.complete[Mean_Dens],MATCH(vp.tbl[[#This Row],[Crude_Breakdown]],crudeBD.lkup.complete[Crude Breakdown],0)))^2,"")</f>
        <v>10.944036487108091</v>
      </c>
      <c r="AO1524" s="4">
        <f>IFERROR((vp.tbl[[#This Row],[Sulf]]-INDEX(crudeBD.lkup.complete[Mean_Sulf],MATCH(vp.tbl[[#This Row],[Crude_Breakdown]],crudeBD.lkup.complete[Crude Breakdown],0)))^2,"")</f>
        <v>7.0187831122045519E-2</v>
      </c>
      <c r="AP1524">
        <f>IF(AND(vp.tbl[[#This Row],[SDate]]&gt;=DATE(YEAR(vp.tbl[[#This Row],[SDate]]),5,1),vp.tbl[[#This Row],[SDate]]&lt;=DATE(YEAR(vp.tbl[[#This Row],[SDate]]),9,15)),1,0)</f>
        <v>1</v>
      </c>
      <c r="AQ1524" s="15">
        <f>IF(vp.tbl[[#This Row],[SDate]]&lt;DATE(2016,12,1),0,1)</f>
        <v>1</v>
      </c>
    </row>
    <row r="1525" spans="1:43" x14ac:dyDescent="0.25">
      <c r="A1525">
        <v>1524</v>
      </c>
      <c r="B1525" t="s">
        <v>51</v>
      </c>
      <c r="C1525" t="s">
        <v>51</v>
      </c>
      <c r="D1525" t="s">
        <v>66</v>
      </c>
      <c r="F1525" s="1">
        <v>42877</v>
      </c>
      <c r="G1525" s="2">
        <v>95.6</v>
      </c>
      <c r="H1525" s="2"/>
      <c r="I1525" s="2">
        <v>1.79</v>
      </c>
      <c r="J1525" s="2"/>
      <c r="K1525" s="2"/>
      <c r="L1525" s="2"/>
      <c r="M1525" s="2">
        <v>824.4</v>
      </c>
      <c r="N1525" s="2">
        <f ca="1">INDEX(INDIRECT(_xlfn.CONCAT("weather.tbl[",N$1,"]")),MATCH(vp.tbl[[#This Row],[SDate]],weather.tbl[Date],0))</f>
        <v>12.633333333333333</v>
      </c>
      <c r="O1525" s="2">
        <f ca="1">INDEX(INDIRECT(_xlfn.CONCAT("weather.tbl[",O$1,"]")),MATCH(vp.tbl[[#This Row],[SDate]],weather.tbl[Date],0))</f>
        <v>9.6880952380952383</v>
      </c>
      <c r="P1525" s="2">
        <f ca="1">INDEX(INDIRECT(_xlfn.CONCAT("weather.tbl[",P$1,"]")),MATCH(vp.tbl[[#This Row],[SDate]],weather.tbl[Date],0))</f>
        <v>12.9</v>
      </c>
      <c r="Q1525" s="2">
        <f ca="1">INDEX(INDIRECT(_xlfn.CONCAT("weather.tbl[",Q$1,"]")),MATCH(vp.tbl[[#This Row],[SDate]],weather.tbl[Date],0))</f>
        <v>13.1</v>
      </c>
      <c r="R1525" s="2">
        <f ca="1">INDEX(INDIRECT(_xlfn.CONCAT("weather.tbl[",R$1,"]")),MATCH(vp.tbl[[#This Row],[SDate]],weather.tbl[Date],0))</f>
        <v>12</v>
      </c>
      <c r="S1525" s="2">
        <f ca="1">INDEX(INDIRECT(_xlfn.CONCAT("weather.tbl[",S$1,"]")),MATCH(vp.tbl[[#This Row],[SDate]],weather.tbl[Date],0))</f>
        <v>12.4</v>
      </c>
      <c r="T1525" s="2">
        <f ca="1">INDEX(INDIRECT(_xlfn.CONCAT("weather.tbl[",T$1,"]")),MATCH(vp.tbl[[#This Row],[SDate]],weather.tbl[Date],0))</f>
        <v>12.6</v>
      </c>
      <c r="U1525" s="2">
        <f ca="1">INDEX(INDIRECT(_xlfn.CONCAT("weather.tbl[",U$1,"]")),MATCH(vp.tbl[[#This Row],[SDate]],weather.tbl[Date],0))</f>
        <v>12.8</v>
      </c>
      <c r="V1525" s="2">
        <v>5197.7240000000002</v>
      </c>
      <c r="W1525" t="s">
        <v>48</v>
      </c>
      <c r="X1525">
        <f>IF(OR(vp.tbl[[#This Row],[Sulf]]="",vp.tbl[[#This Row],[Dens]]=""),1,0)</f>
        <v>0</v>
      </c>
      <c r="Y1525">
        <f>IF(vp.tbl[[#This Row],[CrudeType]]="C5+",1,0)</f>
        <v>0</v>
      </c>
      <c r="Z1525">
        <f>IF(AND(vp.tbl[[#This Row],[CrudeType]]="Crude",vp.tbl[[#This Row],[Dens]]&lt;=825,vp.tbl[[#This Row],[Sulf]]&gt;0.5,vp.tbl[[#This Row],[Unknown]]=0),1,0)</f>
        <v>1</v>
      </c>
      <c r="AA1525">
        <f>IF(AND(vp.tbl[[#This Row],[CrudeType]]="Crude",vp.tbl[[#This Row],[Dens]]&lt;=825,vp.tbl[[#This Row],[Sulf]]&lt;=0.5,vp.tbl[[#This Row],[Unknown]]=0),1,0)</f>
        <v>0</v>
      </c>
      <c r="AB1525">
        <f>IF(AND(vp.tbl[[#This Row],[CrudeType]]="Crude",vp.tbl[[#This Row],[Dens]]&gt;825,vp.tbl[[#This Row],[Dens]]&lt;=870,vp.tbl[[#This Row],[Sulf]]&gt;0.5,vp.tbl[[#This Row],[Unknown]]=0),1,0)</f>
        <v>0</v>
      </c>
      <c r="AC1525">
        <f>IF(AND(vp.tbl[[#This Row],[CrudeType]]="Crude",vp.tbl[[#This Row],[Dens]]&gt;825,vp.tbl[[#This Row],[Dens]]&lt;=900,vp.tbl[[#This Row],[Sulf]]&lt;=0.5,vp.tbl[[#This Row],[Unknown]]=0),1,0)</f>
        <v>0</v>
      </c>
      <c r="AD1525">
        <f>IF(AND(vp.tbl[[#This Row],[CrudeType]]="Crude",vp.tbl[[#This Row],[Dens]]&gt;870,vp.tbl[[#This Row],[Dens]]&lt;=900,vp.tbl[[#This Row],[Sulf]]&gt;0.5,vp.tbl[[#This Row],[Unknown]]=0),1,0)</f>
        <v>0</v>
      </c>
      <c r="AE1525">
        <f>IF(AND(vp.tbl[[#This Row],[CrudeType]]="Crude",vp.tbl[[#This Row],[Dens]]&gt;900,vp.tbl[[#This Row],[Sulf]]&lt;=0.5,vp.tbl[[#This Row],[Unknown]]=0),1,0)</f>
        <v>0</v>
      </c>
      <c r="AF1525">
        <f>IF(AND(vp.tbl[[#This Row],[CrudeType]]="Crude",vp.tbl[[#This Row],[Dens]]&gt;900,vp.tbl[[#This Row],[Sulf]]&lt;=0.5,vp.tbl[[#This Row],[Unknown]]=0),1,0)</f>
        <v>0</v>
      </c>
      <c r="AG1525" t="str">
        <f>INDEX(vp.tbl[[#Headers],[Unknown]:[Heavy_SW]],MATCH(1,vp.tbl[[#This Row],[Unknown]:[Heavy_SW]],0))</f>
        <v>Light_LSB</v>
      </c>
      <c r="AH1525" t="e">
        <f>INDEX([1]!crudeBD.lkup[Number],MATCH(vp.tbl[[#This Row],[Crude_Breakdown]],[1]!crudeBD.lkup[Crude Breakdown],0))</f>
        <v>#REF!</v>
      </c>
      <c r="AI1525">
        <f>MONTH(vp.tbl[[#This Row],[SDate]])</f>
        <v>5</v>
      </c>
      <c r="AJ1525" s="5">
        <f>IFERROR(vp.tbl[[#This Row],[Sulf]]*vp.tbl[[#This Row],[Net Dens]],"")</f>
        <v>7670156.5614240002</v>
      </c>
      <c r="AK1525" s="5">
        <f>IFERROR(vp.tbl[[#This Row],[Dens]]*vp.tbl[[#This Row],[VolumeM3]],"")</f>
        <v>4285003.6655999999</v>
      </c>
      <c r="AL1525" s="5">
        <f>IFERROR(vp.tbl[[#This Row],[VP]]*vp.tbl[[#This Row],[VolumeM3]],"")</f>
        <v>496902.41440000001</v>
      </c>
      <c r="AM1525" s="4">
        <f>IFERROR((vp.tbl[[#This Row],[VP]]-INDEX(crudeBD.lkup.complete[Mean_VP],MATCH(vp.tbl[[#This Row],[Crude_Breakdown]],crudeBD.lkup.complete[Crude Breakdown],0)))^2,"")</f>
        <v>16.433411457115231</v>
      </c>
      <c r="AN1525" s="4">
        <f>IFERROR((vp.tbl[[#This Row],[Dens]]-INDEX(crudeBD.lkup.complete[Mean_Dens],MATCH(vp.tbl[[#This Row],[Crude_Breakdown]],crudeBD.lkup.complete[Crude Breakdown],0)))^2,"")</f>
        <v>34.612398063323418</v>
      </c>
      <c r="AO1525" s="4">
        <f>IFERROR((vp.tbl[[#This Row],[Sulf]]-INDEX(crudeBD.lkup.complete[Mean_Sulf],MATCH(vp.tbl[[#This Row],[Crude_Breakdown]],crudeBD.lkup.complete[Crude Breakdown],0)))^2,"")</f>
        <v>0.75173899485188111</v>
      </c>
      <c r="AP1525">
        <f>IF(AND(vp.tbl[[#This Row],[SDate]]&gt;=DATE(YEAR(vp.tbl[[#This Row],[SDate]]),5,1),vp.tbl[[#This Row],[SDate]]&lt;=DATE(YEAR(vp.tbl[[#This Row],[SDate]]),9,15)),1,0)</f>
        <v>1</v>
      </c>
      <c r="AQ1525" s="15">
        <f>IF(vp.tbl[[#This Row],[SDate]]&lt;DATE(2016,12,1),0,1)</f>
        <v>1</v>
      </c>
    </row>
    <row r="1526" spans="1:43" x14ac:dyDescent="0.25">
      <c r="A1526">
        <v>1525</v>
      </c>
      <c r="B1526" t="s">
        <v>68</v>
      </c>
      <c r="C1526" t="s">
        <v>68</v>
      </c>
      <c r="D1526" t="s">
        <v>110</v>
      </c>
      <c r="F1526" s="1">
        <v>42877</v>
      </c>
      <c r="G1526" s="2">
        <v>69.5</v>
      </c>
      <c r="H1526" s="2"/>
      <c r="I1526" s="2">
        <v>1.45</v>
      </c>
      <c r="J1526" s="2"/>
      <c r="K1526" s="2"/>
      <c r="L1526" s="2"/>
      <c r="M1526" s="2">
        <v>854.2</v>
      </c>
      <c r="N1526" s="2">
        <f ca="1">INDEX(INDIRECT(_xlfn.CONCAT("weather.tbl[",N$1,"]")),MATCH(vp.tbl[[#This Row],[SDate]],weather.tbl[Date],0))</f>
        <v>12.633333333333333</v>
      </c>
      <c r="O1526" s="2">
        <f ca="1">INDEX(INDIRECT(_xlfn.CONCAT("weather.tbl[",O$1,"]")),MATCH(vp.tbl[[#This Row],[SDate]],weather.tbl[Date],0))</f>
        <v>9.6880952380952383</v>
      </c>
      <c r="P1526" s="2">
        <f ca="1">INDEX(INDIRECT(_xlfn.CONCAT("weather.tbl[",P$1,"]")),MATCH(vp.tbl[[#This Row],[SDate]],weather.tbl[Date],0))</f>
        <v>12.9</v>
      </c>
      <c r="Q1526" s="2">
        <f ca="1">INDEX(INDIRECT(_xlfn.CONCAT("weather.tbl[",Q$1,"]")),MATCH(vp.tbl[[#This Row],[SDate]],weather.tbl[Date],0))</f>
        <v>13.1</v>
      </c>
      <c r="R1526" s="2">
        <f ca="1">INDEX(INDIRECT(_xlfn.CONCAT("weather.tbl[",R$1,"]")),MATCH(vp.tbl[[#This Row],[SDate]],weather.tbl[Date],0))</f>
        <v>12</v>
      </c>
      <c r="S1526" s="2">
        <f ca="1">INDEX(INDIRECT(_xlfn.CONCAT("weather.tbl[",S$1,"]")),MATCH(vp.tbl[[#This Row],[SDate]],weather.tbl[Date],0))</f>
        <v>12.4</v>
      </c>
      <c r="T1526" s="2">
        <f ca="1">INDEX(INDIRECT(_xlfn.CONCAT("weather.tbl[",T$1,"]")),MATCH(vp.tbl[[#This Row],[SDate]],weather.tbl[Date],0))</f>
        <v>12.6</v>
      </c>
      <c r="U1526" s="2">
        <f ca="1">INDEX(INDIRECT(_xlfn.CONCAT("weather.tbl[",U$1,"]")),MATCH(vp.tbl[[#This Row],[SDate]],weather.tbl[Date],0))</f>
        <v>12.8</v>
      </c>
      <c r="V1526" s="2">
        <v>3812.1930000000002</v>
      </c>
      <c r="W1526" t="s">
        <v>48</v>
      </c>
      <c r="X1526">
        <f>IF(OR(vp.tbl[[#This Row],[Sulf]]="",vp.tbl[[#This Row],[Dens]]=""),1,0)</f>
        <v>0</v>
      </c>
      <c r="Y1526">
        <f>IF(vp.tbl[[#This Row],[CrudeType]]="C5+",1,0)</f>
        <v>0</v>
      </c>
      <c r="Z1526">
        <f>IF(AND(vp.tbl[[#This Row],[CrudeType]]="Crude",vp.tbl[[#This Row],[Dens]]&lt;=825,vp.tbl[[#This Row],[Sulf]]&gt;0.5,vp.tbl[[#This Row],[Unknown]]=0),1,0)</f>
        <v>0</v>
      </c>
      <c r="AA1526">
        <f>IF(AND(vp.tbl[[#This Row],[CrudeType]]="Crude",vp.tbl[[#This Row],[Dens]]&lt;=825,vp.tbl[[#This Row],[Sulf]]&lt;=0.5,vp.tbl[[#This Row],[Unknown]]=0),1,0)</f>
        <v>0</v>
      </c>
      <c r="AB1526">
        <f>IF(AND(vp.tbl[[#This Row],[CrudeType]]="Crude",vp.tbl[[#This Row],[Dens]]&gt;825,vp.tbl[[#This Row],[Dens]]&lt;=870,vp.tbl[[#This Row],[Sulf]]&gt;0.5,vp.tbl[[#This Row],[Unknown]]=0),1,0)</f>
        <v>1</v>
      </c>
      <c r="AC1526">
        <f>IF(AND(vp.tbl[[#This Row],[CrudeType]]="Crude",vp.tbl[[#This Row],[Dens]]&gt;825,vp.tbl[[#This Row],[Dens]]&lt;=900,vp.tbl[[#This Row],[Sulf]]&lt;=0.5,vp.tbl[[#This Row],[Unknown]]=0),1,0)</f>
        <v>0</v>
      </c>
      <c r="AD1526">
        <f>IF(AND(vp.tbl[[#This Row],[CrudeType]]="Crude",vp.tbl[[#This Row],[Dens]]&gt;870,vp.tbl[[#This Row],[Dens]]&lt;=900,vp.tbl[[#This Row],[Sulf]]&gt;0.5,vp.tbl[[#This Row],[Unknown]]=0),1,0)</f>
        <v>0</v>
      </c>
      <c r="AE1526">
        <f>IF(AND(vp.tbl[[#This Row],[CrudeType]]="Crude",vp.tbl[[#This Row],[Dens]]&gt;900,vp.tbl[[#This Row],[Sulf]]&lt;=0.5,vp.tbl[[#This Row],[Unknown]]=0),1,0)</f>
        <v>0</v>
      </c>
      <c r="AF1526">
        <f>IF(AND(vp.tbl[[#This Row],[CrudeType]]="Crude",vp.tbl[[#This Row],[Dens]]&gt;900,vp.tbl[[#This Row],[Sulf]]&lt;=0.5,vp.tbl[[#This Row],[Unknown]]=0),1,0)</f>
        <v>0</v>
      </c>
      <c r="AG1526" t="str">
        <f>INDEX(vp.tbl[[#Headers],[Unknown]:[Heavy_SW]],MATCH(1,vp.tbl[[#This Row],[Unknown]:[Heavy_SW]],0))</f>
        <v>Medium_LSB</v>
      </c>
      <c r="AH1526" t="e">
        <f>INDEX([1]!crudeBD.lkup[Number],MATCH(vp.tbl[[#This Row],[Crude_Breakdown]],[1]!crudeBD.lkup[Crude Breakdown],0))</f>
        <v>#REF!</v>
      </c>
      <c r="AI1526">
        <f>MONTH(vp.tbl[[#This Row],[SDate]])</f>
        <v>5</v>
      </c>
      <c r="AJ1526" s="5">
        <f>IFERROR(vp.tbl[[#This Row],[Sulf]]*vp.tbl[[#This Row],[Net Dens]],"")</f>
        <v>4721744.12787</v>
      </c>
      <c r="AK1526" s="5">
        <f>IFERROR(vp.tbl[[#This Row],[Dens]]*vp.tbl[[#This Row],[VolumeM3]],"")</f>
        <v>3256375.2606000002</v>
      </c>
      <c r="AL1526" s="5">
        <f>IFERROR(vp.tbl[[#This Row],[VP]]*vp.tbl[[#This Row],[VolumeM3]],"")</f>
        <v>264947.41350000002</v>
      </c>
      <c r="AM1526" s="4">
        <f>IFERROR((vp.tbl[[#This Row],[VP]]-INDEX(crudeBD.lkup.complete[Mean_VP],MATCH(vp.tbl[[#This Row],[Crude_Breakdown]],crudeBD.lkup.complete[Crude Breakdown],0)))^2,"")</f>
        <v>113.92562887293624</v>
      </c>
      <c r="AN1526" s="4">
        <f>IFERROR((vp.tbl[[#This Row],[Dens]]-INDEX(crudeBD.lkup.complete[Mean_Dens],MATCH(vp.tbl[[#This Row],[Crude_Breakdown]],crudeBD.lkup.complete[Crude Breakdown],0)))^2,"")</f>
        <v>79.355621297246358</v>
      </c>
      <c r="AO1526" s="4">
        <f>IFERROR((vp.tbl[[#This Row],[Sulf]]-INDEX(crudeBD.lkup.complete[Mean_Sulf],MATCH(vp.tbl[[#This Row],[Crude_Breakdown]],crudeBD.lkup.complete[Crude Breakdown],0)))^2,"")</f>
        <v>2.4303527108010561E-5</v>
      </c>
      <c r="AP1526">
        <f>IF(AND(vp.tbl[[#This Row],[SDate]]&gt;=DATE(YEAR(vp.tbl[[#This Row],[SDate]]),5,1),vp.tbl[[#This Row],[SDate]]&lt;=DATE(YEAR(vp.tbl[[#This Row],[SDate]]),9,15)),1,0)</f>
        <v>1</v>
      </c>
      <c r="AQ1526" s="15">
        <f>IF(vp.tbl[[#This Row],[SDate]]&lt;DATE(2016,12,1),0,1)</f>
        <v>1</v>
      </c>
    </row>
    <row r="1527" spans="1:43" x14ac:dyDescent="0.25">
      <c r="A1527">
        <v>1526</v>
      </c>
      <c r="B1527" t="s">
        <v>68</v>
      </c>
      <c r="C1527" t="s">
        <v>68</v>
      </c>
      <c r="D1527" t="s">
        <v>98</v>
      </c>
      <c r="F1527" s="1">
        <v>42877</v>
      </c>
      <c r="G1527" s="2">
        <v>60.8</v>
      </c>
      <c r="H1527" s="2"/>
      <c r="I1527" s="2">
        <v>1.32</v>
      </c>
      <c r="J1527" s="2"/>
      <c r="K1527" s="2"/>
      <c r="L1527" s="2"/>
      <c r="M1527" s="2">
        <v>850.4</v>
      </c>
      <c r="N1527" s="2">
        <f ca="1">INDEX(INDIRECT(_xlfn.CONCAT("weather.tbl[",N$1,"]")),MATCH(vp.tbl[[#This Row],[SDate]],weather.tbl[Date],0))</f>
        <v>12.633333333333333</v>
      </c>
      <c r="O1527" s="2">
        <f ca="1">INDEX(INDIRECT(_xlfn.CONCAT("weather.tbl[",O$1,"]")),MATCH(vp.tbl[[#This Row],[SDate]],weather.tbl[Date],0))</f>
        <v>9.6880952380952383</v>
      </c>
      <c r="P1527" s="2">
        <f ca="1">INDEX(INDIRECT(_xlfn.CONCAT("weather.tbl[",P$1,"]")),MATCH(vp.tbl[[#This Row],[SDate]],weather.tbl[Date],0))</f>
        <v>12.9</v>
      </c>
      <c r="Q1527" s="2">
        <f ca="1">INDEX(INDIRECT(_xlfn.CONCAT("weather.tbl[",Q$1,"]")),MATCH(vp.tbl[[#This Row],[SDate]],weather.tbl[Date],0))</f>
        <v>13.1</v>
      </c>
      <c r="R1527" s="2">
        <f ca="1">INDEX(INDIRECT(_xlfn.CONCAT("weather.tbl[",R$1,"]")),MATCH(vp.tbl[[#This Row],[SDate]],weather.tbl[Date],0))</f>
        <v>12</v>
      </c>
      <c r="S1527" s="2">
        <f ca="1">INDEX(INDIRECT(_xlfn.CONCAT("weather.tbl[",S$1,"]")),MATCH(vp.tbl[[#This Row],[SDate]],weather.tbl[Date],0))</f>
        <v>12.4</v>
      </c>
      <c r="T1527" s="2">
        <f ca="1">INDEX(INDIRECT(_xlfn.CONCAT("weather.tbl[",T$1,"]")),MATCH(vp.tbl[[#This Row],[SDate]],weather.tbl[Date],0))</f>
        <v>12.6</v>
      </c>
      <c r="U1527" s="2">
        <f ca="1">INDEX(INDIRECT(_xlfn.CONCAT("weather.tbl[",U$1,"]")),MATCH(vp.tbl[[#This Row],[SDate]],weather.tbl[Date],0))</f>
        <v>12.8</v>
      </c>
      <c r="V1527" s="2">
        <v>4675.3909999999996</v>
      </c>
      <c r="W1527" t="s">
        <v>48</v>
      </c>
      <c r="X1527">
        <f>IF(OR(vp.tbl[[#This Row],[Sulf]]="",vp.tbl[[#This Row],[Dens]]=""),1,0)</f>
        <v>0</v>
      </c>
      <c r="Y1527">
        <f>IF(vp.tbl[[#This Row],[CrudeType]]="C5+",1,0)</f>
        <v>0</v>
      </c>
      <c r="Z1527">
        <f>IF(AND(vp.tbl[[#This Row],[CrudeType]]="Crude",vp.tbl[[#This Row],[Dens]]&lt;=825,vp.tbl[[#This Row],[Sulf]]&gt;0.5,vp.tbl[[#This Row],[Unknown]]=0),1,0)</f>
        <v>0</v>
      </c>
      <c r="AA1527">
        <f>IF(AND(vp.tbl[[#This Row],[CrudeType]]="Crude",vp.tbl[[#This Row],[Dens]]&lt;=825,vp.tbl[[#This Row],[Sulf]]&lt;=0.5,vp.tbl[[#This Row],[Unknown]]=0),1,0)</f>
        <v>0</v>
      </c>
      <c r="AB1527">
        <f>IF(AND(vp.tbl[[#This Row],[CrudeType]]="Crude",vp.tbl[[#This Row],[Dens]]&gt;825,vp.tbl[[#This Row],[Dens]]&lt;=870,vp.tbl[[#This Row],[Sulf]]&gt;0.5,vp.tbl[[#This Row],[Unknown]]=0),1,0)</f>
        <v>1</v>
      </c>
      <c r="AC1527">
        <f>IF(AND(vp.tbl[[#This Row],[CrudeType]]="Crude",vp.tbl[[#This Row],[Dens]]&gt;825,vp.tbl[[#This Row],[Dens]]&lt;=900,vp.tbl[[#This Row],[Sulf]]&lt;=0.5,vp.tbl[[#This Row],[Unknown]]=0),1,0)</f>
        <v>0</v>
      </c>
      <c r="AD1527">
        <f>IF(AND(vp.tbl[[#This Row],[CrudeType]]="Crude",vp.tbl[[#This Row],[Dens]]&gt;870,vp.tbl[[#This Row],[Dens]]&lt;=900,vp.tbl[[#This Row],[Sulf]]&gt;0.5,vp.tbl[[#This Row],[Unknown]]=0),1,0)</f>
        <v>0</v>
      </c>
      <c r="AE1527">
        <f>IF(AND(vp.tbl[[#This Row],[CrudeType]]="Crude",vp.tbl[[#This Row],[Dens]]&gt;900,vp.tbl[[#This Row],[Sulf]]&lt;=0.5,vp.tbl[[#This Row],[Unknown]]=0),1,0)</f>
        <v>0</v>
      </c>
      <c r="AF1527">
        <f>IF(AND(vp.tbl[[#This Row],[CrudeType]]="Crude",vp.tbl[[#This Row],[Dens]]&gt;900,vp.tbl[[#This Row],[Sulf]]&lt;=0.5,vp.tbl[[#This Row],[Unknown]]=0),1,0)</f>
        <v>0</v>
      </c>
      <c r="AG1527" t="str">
        <f>INDEX(vp.tbl[[#Headers],[Unknown]:[Heavy_SW]],MATCH(1,vp.tbl[[#This Row],[Unknown]:[Heavy_SW]],0))</f>
        <v>Medium_LSB</v>
      </c>
      <c r="AH1527" t="e">
        <f>INDEX([1]!crudeBD.lkup[Number],MATCH(vp.tbl[[#This Row],[Crude_Breakdown]],[1]!crudeBD.lkup[Crude Breakdown],0))</f>
        <v>#REF!</v>
      </c>
      <c r="AI1527">
        <f>MONTH(vp.tbl[[#This Row],[SDate]])</f>
        <v>5</v>
      </c>
      <c r="AJ1527" s="5">
        <f>IFERROR(vp.tbl[[#This Row],[Sulf]]*vp.tbl[[#This Row],[Net Dens]],"")</f>
        <v>5248257.3084479999</v>
      </c>
      <c r="AK1527" s="5">
        <f>IFERROR(vp.tbl[[#This Row],[Dens]]*vp.tbl[[#This Row],[VolumeM3]],"")</f>
        <v>3975952.5063999994</v>
      </c>
      <c r="AL1527" s="5">
        <f>IFERROR(vp.tbl[[#This Row],[VP]]*vp.tbl[[#This Row],[VolumeM3]],"")</f>
        <v>284263.77279999998</v>
      </c>
      <c r="AM1527" s="4">
        <f>IFERROR((vp.tbl[[#This Row],[VP]]-INDEX(crudeBD.lkup.complete[Mean_VP],MATCH(vp.tbl[[#This Row],[Crude_Breakdown]],crudeBD.lkup.complete[Crude Breakdown],0)))^2,"")</f>
        <v>375.33618077166989</v>
      </c>
      <c r="AN1527" s="4">
        <f>IFERROR((vp.tbl[[#This Row],[Dens]]-INDEX(crudeBD.lkup.complete[Mean_Dens],MATCH(vp.tbl[[#This Row],[Crude_Breakdown]],crudeBD.lkup.complete[Crude Breakdown],0)))^2,"")</f>
        <v>26.093474461794798</v>
      </c>
      <c r="AO1527" s="4">
        <f>IFERROR((vp.tbl[[#This Row],[Sulf]]-INDEX(crudeBD.lkup.complete[Mean_Sulf],MATCH(vp.tbl[[#This Row],[Crude_Breakdown]],crudeBD.lkup.complete[Crude Breakdown],0)))^2,"")</f>
        <v>1.8206067324576733E-2</v>
      </c>
      <c r="AP1527">
        <f>IF(AND(vp.tbl[[#This Row],[SDate]]&gt;=DATE(YEAR(vp.tbl[[#This Row],[SDate]]),5,1),vp.tbl[[#This Row],[SDate]]&lt;=DATE(YEAR(vp.tbl[[#This Row],[SDate]]),9,15)),1,0)</f>
        <v>1</v>
      </c>
      <c r="AQ1527" s="15">
        <f>IF(vp.tbl[[#This Row],[SDate]]&lt;DATE(2016,12,1),0,1)</f>
        <v>1</v>
      </c>
    </row>
    <row r="1528" spans="1:43" x14ac:dyDescent="0.25">
      <c r="A1528">
        <v>1527</v>
      </c>
      <c r="B1528" t="s">
        <v>68</v>
      </c>
      <c r="C1528" t="s">
        <v>68</v>
      </c>
      <c r="D1528" t="s">
        <v>188</v>
      </c>
      <c r="F1528" s="1">
        <v>42877</v>
      </c>
      <c r="G1528" s="2">
        <v>79.599999999999994</v>
      </c>
      <c r="H1528" s="2"/>
      <c r="I1528" s="2">
        <v>0.96</v>
      </c>
      <c r="J1528" s="2"/>
      <c r="K1528" s="2"/>
      <c r="L1528" s="2"/>
      <c r="M1528" s="2">
        <v>833.2</v>
      </c>
      <c r="N1528" s="2">
        <f ca="1">INDEX(INDIRECT(_xlfn.CONCAT("weather.tbl[",N$1,"]")),MATCH(vp.tbl[[#This Row],[SDate]],weather.tbl[Date],0))</f>
        <v>12.633333333333333</v>
      </c>
      <c r="O1528" s="2">
        <f ca="1">INDEX(INDIRECT(_xlfn.CONCAT("weather.tbl[",O$1,"]")),MATCH(vp.tbl[[#This Row],[SDate]],weather.tbl[Date],0))</f>
        <v>9.6880952380952383</v>
      </c>
      <c r="P1528" s="2">
        <f ca="1">INDEX(INDIRECT(_xlfn.CONCAT("weather.tbl[",P$1,"]")),MATCH(vp.tbl[[#This Row],[SDate]],weather.tbl[Date],0))</f>
        <v>12.9</v>
      </c>
      <c r="Q1528" s="2">
        <f ca="1">INDEX(INDIRECT(_xlfn.CONCAT("weather.tbl[",Q$1,"]")),MATCH(vp.tbl[[#This Row],[SDate]],weather.tbl[Date],0))</f>
        <v>13.1</v>
      </c>
      <c r="R1528" s="2">
        <f ca="1">INDEX(INDIRECT(_xlfn.CONCAT("weather.tbl[",R$1,"]")),MATCH(vp.tbl[[#This Row],[SDate]],weather.tbl[Date],0))</f>
        <v>12</v>
      </c>
      <c r="S1528" s="2">
        <f ca="1">INDEX(INDIRECT(_xlfn.CONCAT("weather.tbl[",S$1,"]")),MATCH(vp.tbl[[#This Row],[SDate]],weather.tbl[Date],0))</f>
        <v>12.4</v>
      </c>
      <c r="T1528" s="2">
        <f ca="1">INDEX(INDIRECT(_xlfn.CONCAT("weather.tbl[",T$1,"]")),MATCH(vp.tbl[[#This Row],[SDate]],weather.tbl[Date],0))</f>
        <v>12.6</v>
      </c>
      <c r="U1528" s="2">
        <f ca="1">INDEX(INDIRECT(_xlfn.CONCAT("weather.tbl[",U$1,"]")),MATCH(vp.tbl[[#This Row],[SDate]],weather.tbl[Date],0))</f>
        <v>12.8</v>
      </c>
      <c r="V1528" s="2">
        <v>924.40700000000004</v>
      </c>
      <c r="W1528" t="s">
        <v>48</v>
      </c>
      <c r="X1528">
        <f>IF(OR(vp.tbl[[#This Row],[Sulf]]="",vp.tbl[[#This Row],[Dens]]=""),1,0)</f>
        <v>0</v>
      </c>
      <c r="Y1528">
        <f>IF(vp.tbl[[#This Row],[CrudeType]]="C5+",1,0)</f>
        <v>0</v>
      </c>
      <c r="Z1528">
        <f>IF(AND(vp.tbl[[#This Row],[CrudeType]]="Crude",vp.tbl[[#This Row],[Dens]]&lt;=825,vp.tbl[[#This Row],[Sulf]]&gt;0.5,vp.tbl[[#This Row],[Unknown]]=0),1,0)</f>
        <v>0</v>
      </c>
      <c r="AA1528">
        <f>IF(AND(vp.tbl[[#This Row],[CrudeType]]="Crude",vp.tbl[[#This Row],[Dens]]&lt;=825,vp.tbl[[#This Row],[Sulf]]&lt;=0.5,vp.tbl[[#This Row],[Unknown]]=0),1,0)</f>
        <v>0</v>
      </c>
      <c r="AB1528">
        <f>IF(AND(vp.tbl[[#This Row],[CrudeType]]="Crude",vp.tbl[[#This Row],[Dens]]&gt;825,vp.tbl[[#This Row],[Dens]]&lt;=870,vp.tbl[[#This Row],[Sulf]]&gt;0.5,vp.tbl[[#This Row],[Unknown]]=0),1,0)</f>
        <v>1</v>
      </c>
      <c r="AC1528">
        <f>IF(AND(vp.tbl[[#This Row],[CrudeType]]="Crude",vp.tbl[[#This Row],[Dens]]&gt;825,vp.tbl[[#This Row],[Dens]]&lt;=900,vp.tbl[[#This Row],[Sulf]]&lt;=0.5,vp.tbl[[#This Row],[Unknown]]=0),1,0)</f>
        <v>0</v>
      </c>
      <c r="AD1528">
        <f>IF(AND(vp.tbl[[#This Row],[CrudeType]]="Crude",vp.tbl[[#This Row],[Dens]]&gt;870,vp.tbl[[#This Row],[Dens]]&lt;=900,vp.tbl[[#This Row],[Sulf]]&gt;0.5,vp.tbl[[#This Row],[Unknown]]=0),1,0)</f>
        <v>0</v>
      </c>
      <c r="AE1528">
        <f>IF(AND(vp.tbl[[#This Row],[CrudeType]]="Crude",vp.tbl[[#This Row],[Dens]]&gt;900,vp.tbl[[#This Row],[Sulf]]&lt;=0.5,vp.tbl[[#This Row],[Unknown]]=0),1,0)</f>
        <v>0</v>
      </c>
      <c r="AF1528">
        <f>IF(AND(vp.tbl[[#This Row],[CrudeType]]="Crude",vp.tbl[[#This Row],[Dens]]&gt;900,vp.tbl[[#This Row],[Sulf]]&lt;=0.5,vp.tbl[[#This Row],[Unknown]]=0),1,0)</f>
        <v>0</v>
      </c>
      <c r="AG1528" t="str">
        <f>INDEX(vp.tbl[[#Headers],[Unknown]:[Heavy_SW]],MATCH(1,vp.tbl[[#This Row],[Unknown]:[Heavy_SW]],0))</f>
        <v>Medium_LSB</v>
      </c>
      <c r="AH1528" t="e">
        <f>INDEX([1]!crudeBD.lkup[Number],MATCH(vp.tbl[[#This Row],[Crude_Breakdown]],[1]!crudeBD.lkup[Crude Breakdown],0))</f>
        <v>#REF!</v>
      </c>
      <c r="AI1528">
        <f>MONTH(vp.tbl[[#This Row],[SDate]])</f>
        <v>5</v>
      </c>
      <c r="AJ1528" s="5">
        <f>IFERROR(vp.tbl[[#This Row],[Sulf]]*vp.tbl[[#This Row],[Net Dens]],"")</f>
        <v>739407.27590400004</v>
      </c>
      <c r="AK1528" s="5">
        <f>IFERROR(vp.tbl[[#This Row],[Dens]]*vp.tbl[[#This Row],[VolumeM3]],"")</f>
        <v>770215.91240000003</v>
      </c>
      <c r="AL1528" s="5">
        <f>IFERROR(vp.tbl[[#This Row],[VP]]*vp.tbl[[#This Row],[VolumeM3]],"")</f>
        <v>73582.797200000001</v>
      </c>
      <c r="AM1528" s="4">
        <f>IFERROR((vp.tbl[[#This Row],[VP]]-INDEX(crudeBD.lkup.complete[Mean_VP],MATCH(vp.tbl[[#This Row],[Crude_Breakdown]],crudeBD.lkup.complete[Crude Breakdown],0)))^2,"")</f>
        <v>0.32901115141800619</v>
      </c>
      <c r="AN1528" s="4">
        <f>IFERROR((vp.tbl[[#This Row],[Dens]]-INDEX(crudeBD.lkup.complete[Mean_Dens],MATCH(vp.tbl[[#This Row],[Crude_Breakdown]],crudeBD.lkup.complete[Crude Breakdown],0)))^2,"")</f>
        <v>146.21217825922841</v>
      </c>
      <c r="AO1528" s="4">
        <f>IFERROR((vp.tbl[[#This Row],[Sulf]]-INDEX(crudeBD.lkup.complete[Mean_Sulf],MATCH(vp.tbl[[#This Row],[Crude_Breakdown]],crudeBD.lkup.complete[Crude Breakdown],0)))^2,"")</f>
        <v>0.2449555670714133</v>
      </c>
      <c r="AP1528">
        <f>IF(AND(vp.tbl[[#This Row],[SDate]]&gt;=DATE(YEAR(vp.tbl[[#This Row],[SDate]]),5,1),vp.tbl[[#This Row],[SDate]]&lt;=DATE(YEAR(vp.tbl[[#This Row],[SDate]]),9,15)),1,0)</f>
        <v>1</v>
      </c>
      <c r="AQ1528" s="15">
        <f>IF(vp.tbl[[#This Row],[SDate]]&lt;DATE(2016,12,1),0,1)</f>
        <v>1</v>
      </c>
    </row>
    <row r="1529" spans="1:43" x14ac:dyDescent="0.25">
      <c r="A1529">
        <v>1528</v>
      </c>
      <c r="B1529" t="s">
        <v>96</v>
      </c>
      <c r="C1529" t="s">
        <v>96</v>
      </c>
      <c r="D1529" t="s">
        <v>97</v>
      </c>
      <c r="F1529" s="1">
        <v>42877</v>
      </c>
      <c r="G1529" s="2">
        <v>79.2</v>
      </c>
      <c r="H1529" s="2"/>
      <c r="I1529" s="2">
        <v>0.73</v>
      </c>
      <c r="J1529" s="2"/>
      <c r="K1529" s="2"/>
      <c r="L1529" s="2"/>
      <c r="M1529" s="2">
        <v>821.8</v>
      </c>
      <c r="N1529" s="2">
        <f ca="1">INDEX(INDIRECT(_xlfn.CONCAT("weather.tbl[",N$1,"]")),MATCH(vp.tbl[[#This Row],[SDate]],weather.tbl[Date],0))</f>
        <v>12.633333333333333</v>
      </c>
      <c r="O1529" s="2">
        <f ca="1">INDEX(INDIRECT(_xlfn.CONCAT("weather.tbl[",O$1,"]")),MATCH(vp.tbl[[#This Row],[SDate]],weather.tbl[Date],0))</f>
        <v>9.6880952380952383</v>
      </c>
      <c r="P1529" s="2">
        <f ca="1">INDEX(INDIRECT(_xlfn.CONCAT("weather.tbl[",P$1,"]")),MATCH(vp.tbl[[#This Row],[SDate]],weather.tbl[Date],0))</f>
        <v>12.9</v>
      </c>
      <c r="Q1529" s="2">
        <f ca="1">INDEX(INDIRECT(_xlfn.CONCAT("weather.tbl[",Q$1,"]")),MATCH(vp.tbl[[#This Row],[SDate]],weather.tbl[Date],0))</f>
        <v>13.1</v>
      </c>
      <c r="R1529" s="2">
        <f ca="1">INDEX(INDIRECT(_xlfn.CONCAT("weather.tbl[",R$1,"]")),MATCH(vp.tbl[[#This Row],[SDate]],weather.tbl[Date],0))</f>
        <v>12</v>
      </c>
      <c r="S1529" s="2">
        <f ca="1">INDEX(INDIRECT(_xlfn.CONCAT("weather.tbl[",S$1,"]")),MATCH(vp.tbl[[#This Row],[SDate]],weather.tbl[Date],0))</f>
        <v>12.4</v>
      </c>
      <c r="T1529" s="2">
        <f ca="1">INDEX(INDIRECT(_xlfn.CONCAT("weather.tbl[",T$1,"]")),MATCH(vp.tbl[[#This Row],[SDate]],weather.tbl[Date],0))</f>
        <v>12.6</v>
      </c>
      <c r="U1529" s="2">
        <f ca="1">INDEX(INDIRECT(_xlfn.CONCAT("weather.tbl[",U$1,"]")),MATCH(vp.tbl[[#This Row],[SDate]],weather.tbl[Date],0))</f>
        <v>12.8</v>
      </c>
      <c r="V1529" s="2">
        <v>7702.1589999999997</v>
      </c>
      <c r="W1529" t="s">
        <v>48</v>
      </c>
      <c r="X1529">
        <f>IF(OR(vp.tbl[[#This Row],[Sulf]]="",vp.tbl[[#This Row],[Dens]]=""),1,0)</f>
        <v>0</v>
      </c>
      <c r="Y1529">
        <f>IF(vp.tbl[[#This Row],[CrudeType]]="C5+",1,0)</f>
        <v>0</v>
      </c>
      <c r="Z1529">
        <f>IF(AND(vp.tbl[[#This Row],[CrudeType]]="Crude",vp.tbl[[#This Row],[Dens]]&lt;=825,vp.tbl[[#This Row],[Sulf]]&gt;0.5,vp.tbl[[#This Row],[Unknown]]=0),1,0)</f>
        <v>1</v>
      </c>
      <c r="AA1529">
        <f>IF(AND(vp.tbl[[#This Row],[CrudeType]]="Crude",vp.tbl[[#This Row],[Dens]]&lt;=825,vp.tbl[[#This Row],[Sulf]]&lt;=0.5,vp.tbl[[#This Row],[Unknown]]=0),1,0)</f>
        <v>0</v>
      </c>
      <c r="AB1529">
        <f>IF(AND(vp.tbl[[#This Row],[CrudeType]]="Crude",vp.tbl[[#This Row],[Dens]]&gt;825,vp.tbl[[#This Row],[Dens]]&lt;=870,vp.tbl[[#This Row],[Sulf]]&gt;0.5,vp.tbl[[#This Row],[Unknown]]=0),1,0)</f>
        <v>0</v>
      </c>
      <c r="AC1529">
        <f>IF(AND(vp.tbl[[#This Row],[CrudeType]]="Crude",vp.tbl[[#This Row],[Dens]]&gt;825,vp.tbl[[#This Row],[Dens]]&lt;=900,vp.tbl[[#This Row],[Sulf]]&lt;=0.5,vp.tbl[[#This Row],[Unknown]]=0),1,0)</f>
        <v>0</v>
      </c>
      <c r="AD1529">
        <f>IF(AND(vp.tbl[[#This Row],[CrudeType]]="Crude",vp.tbl[[#This Row],[Dens]]&gt;870,vp.tbl[[#This Row],[Dens]]&lt;=900,vp.tbl[[#This Row],[Sulf]]&gt;0.5,vp.tbl[[#This Row],[Unknown]]=0),1,0)</f>
        <v>0</v>
      </c>
      <c r="AE1529">
        <f>IF(AND(vp.tbl[[#This Row],[CrudeType]]="Crude",vp.tbl[[#This Row],[Dens]]&gt;900,vp.tbl[[#This Row],[Sulf]]&lt;=0.5,vp.tbl[[#This Row],[Unknown]]=0),1,0)</f>
        <v>0</v>
      </c>
      <c r="AF1529">
        <f>IF(AND(vp.tbl[[#This Row],[CrudeType]]="Crude",vp.tbl[[#This Row],[Dens]]&gt;900,vp.tbl[[#This Row],[Sulf]]&lt;=0.5,vp.tbl[[#This Row],[Unknown]]=0),1,0)</f>
        <v>0</v>
      </c>
      <c r="AG1529" t="str">
        <f>INDEX(vp.tbl[[#Headers],[Unknown]:[Heavy_SW]],MATCH(1,vp.tbl[[#This Row],[Unknown]:[Heavy_SW]],0))</f>
        <v>Light_LSB</v>
      </c>
      <c r="AH1529" t="e">
        <f>INDEX([1]!crudeBD.lkup[Number],MATCH(vp.tbl[[#This Row],[Crude_Breakdown]],[1]!crudeBD.lkup[Crude Breakdown],0))</f>
        <v>#REF!</v>
      </c>
      <c r="AI1529">
        <f>MONTH(vp.tbl[[#This Row],[SDate]])</f>
        <v>5</v>
      </c>
      <c r="AJ1529" s="5">
        <f>IFERROR(vp.tbl[[#This Row],[Sulf]]*vp.tbl[[#This Row],[Net Dens]],"")</f>
        <v>4620633.0143259997</v>
      </c>
      <c r="AK1529" s="5">
        <f>IFERROR(vp.tbl[[#This Row],[Dens]]*vp.tbl[[#This Row],[VolumeM3]],"")</f>
        <v>6329634.2661999995</v>
      </c>
      <c r="AL1529" s="5">
        <f>IFERROR(vp.tbl[[#This Row],[VP]]*vp.tbl[[#This Row],[VolumeM3]],"")</f>
        <v>610010.99280000001</v>
      </c>
      <c r="AM1529" s="4">
        <f>IFERROR((vp.tbl[[#This Row],[VP]]-INDEX(crudeBD.lkup.complete[Mean_VP],MATCH(vp.tbl[[#This Row],[Crude_Breakdown]],crudeBD.lkup.complete[Crude Breakdown],0)))^2,"")</f>
        <v>152.42829805505437</v>
      </c>
      <c r="AN1529" s="4">
        <f>IFERROR((vp.tbl[[#This Row],[Dens]]-INDEX(crudeBD.lkup.complete[Mean_Dens],MATCH(vp.tbl[[#This Row],[Crude_Breakdown]],crudeBD.lkup.complete[Crude Breakdown],0)))^2,"")</f>
        <v>10.779600812462647</v>
      </c>
      <c r="AO1529" s="4">
        <f>IFERROR((vp.tbl[[#This Row],[Sulf]]-INDEX(crudeBD.lkup.complete[Mean_Sulf],MATCH(vp.tbl[[#This Row],[Crude_Breakdown]],crudeBD.lkup.complete[Crude Breakdown],0)))^2,"")</f>
        <v>3.7237871827825515E-2</v>
      </c>
      <c r="AP1529">
        <f>IF(AND(vp.tbl[[#This Row],[SDate]]&gt;=DATE(YEAR(vp.tbl[[#This Row],[SDate]]),5,1),vp.tbl[[#This Row],[SDate]]&lt;=DATE(YEAR(vp.tbl[[#This Row],[SDate]]),9,15)),1,0)</f>
        <v>1</v>
      </c>
      <c r="AQ1529" s="15">
        <f>IF(vp.tbl[[#This Row],[SDate]]&lt;DATE(2016,12,1),0,1)</f>
        <v>1</v>
      </c>
    </row>
    <row r="1530" spans="1:43" x14ac:dyDescent="0.25">
      <c r="A1530">
        <v>1529</v>
      </c>
      <c r="B1530" t="s">
        <v>291</v>
      </c>
      <c r="C1530" t="s">
        <v>291</v>
      </c>
      <c r="D1530" t="s">
        <v>324</v>
      </c>
      <c r="F1530" s="1">
        <v>42877</v>
      </c>
      <c r="G1530" s="2">
        <v>45</v>
      </c>
      <c r="H1530" s="2"/>
      <c r="I1530" s="2">
        <v>0.68</v>
      </c>
      <c r="J1530" s="2"/>
      <c r="K1530" s="2"/>
      <c r="L1530" s="2"/>
      <c r="M1530" s="2">
        <v>838</v>
      </c>
      <c r="N1530" s="2">
        <f ca="1">INDEX(INDIRECT(_xlfn.CONCAT("weather.tbl[",N$1,"]")),MATCH(vp.tbl[[#This Row],[SDate]],weather.tbl[Date],0))</f>
        <v>12.633333333333333</v>
      </c>
      <c r="O1530" s="2">
        <f ca="1">INDEX(INDIRECT(_xlfn.CONCAT("weather.tbl[",O$1,"]")),MATCH(vp.tbl[[#This Row],[SDate]],weather.tbl[Date],0))</f>
        <v>9.6880952380952383</v>
      </c>
      <c r="P1530" s="2">
        <f ca="1">INDEX(INDIRECT(_xlfn.CONCAT("weather.tbl[",P$1,"]")),MATCH(vp.tbl[[#This Row],[SDate]],weather.tbl[Date],0))</f>
        <v>12.9</v>
      </c>
      <c r="Q1530" s="2">
        <f ca="1">INDEX(INDIRECT(_xlfn.CONCAT("weather.tbl[",Q$1,"]")),MATCH(vp.tbl[[#This Row],[SDate]],weather.tbl[Date],0))</f>
        <v>13.1</v>
      </c>
      <c r="R1530" s="2">
        <f ca="1">INDEX(INDIRECT(_xlfn.CONCAT("weather.tbl[",R$1,"]")),MATCH(vp.tbl[[#This Row],[SDate]],weather.tbl[Date],0))</f>
        <v>12</v>
      </c>
      <c r="S1530" s="2">
        <f ca="1">INDEX(INDIRECT(_xlfn.CONCAT("weather.tbl[",S$1,"]")),MATCH(vp.tbl[[#This Row],[SDate]],weather.tbl[Date],0))</f>
        <v>12.4</v>
      </c>
      <c r="T1530" s="2">
        <f ca="1">INDEX(INDIRECT(_xlfn.CONCAT("weather.tbl[",T$1,"]")),MATCH(vp.tbl[[#This Row],[SDate]],weather.tbl[Date],0))</f>
        <v>12.6</v>
      </c>
      <c r="U1530" s="2">
        <f ca="1">INDEX(INDIRECT(_xlfn.CONCAT("weather.tbl[",U$1,"]")),MATCH(vp.tbl[[#This Row],[SDate]],weather.tbl[Date],0))</f>
        <v>12.8</v>
      </c>
      <c r="V1530" s="2">
        <v>69.897000000000006</v>
      </c>
      <c r="W1530" t="s">
        <v>48</v>
      </c>
      <c r="X1530">
        <f>IF(OR(vp.tbl[[#This Row],[Sulf]]="",vp.tbl[[#This Row],[Dens]]=""),1,0)</f>
        <v>0</v>
      </c>
      <c r="Y1530">
        <f>IF(vp.tbl[[#This Row],[CrudeType]]="C5+",1,0)</f>
        <v>0</v>
      </c>
      <c r="Z1530">
        <f>IF(AND(vp.tbl[[#This Row],[CrudeType]]="Crude",vp.tbl[[#This Row],[Dens]]&lt;=825,vp.tbl[[#This Row],[Sulf]]&gt;0.5,vp.tbl[[#This Row],[Unknown]]=0),1,0)</f>
        <v>0</v>
      </c>
      <c r="AA1530">
        <f>IF(AND(vp.tbl[[#This Row],[CrudeType]]="Crude",vp.tbl[[#This Row],[Dens]]&lt;=825,vp.tbl[[#This Row],[Sulf]]&lt;=0.5,vp.tbl[[#This Row],[Unknown]]=0),1,0)</f>
        <v>0</v>
      </c>
      <c r="AB1530">
        <f>IF(AND(vp.tbl[[#This Row],[CrudeType]]="Crude",vp.tbl[[#This Row],[Dens]]&gt;825,vp.tbl[[#This Row],[Dens]]&lt;=870,vp.tbl[[#This Row],[Sulf]]&gt;0.5,vp.tbl[[#This Row],[Unknown]]=0),1,0)</f>
        <v>1</v>
      </c>
      <c r="AC1530">
        <f>IF(AND(vp.tbl[[#This Row],[CrudeType]]="Crude",vp.tbl[[#This Row],[Dens]]&gt;825,vp.tbl[[#This Row],[Dens]]&lt;=900,vp.tbl[[#This Row],[Sulf]]&lt;=0.5,vp.tbl[[#This Row],[Unknown]]=0),1,0)</f>
        <v>0</v>
      </c>
      <c r="AD1530">
        <f>IF(AND(vp.tbl[[#This Row],[CrudeType]]="Crude",vp.tbl[[#This Row],[Dens]]&gt;870,vp.tbl[[#This Row],[Dens]]&lt;=900,vp.tbl[[#This Row],[Sulf]]&gt;0.5,vp.tbl[[#This Row],[Unknown]]=0),1,0)</f>
        <v>0</v>
      </c>
      <c r="AE1530">
        <f>IF(AND(vp.tbl[[#This Row],[CrudeType]]="Crude",vp.tbl[[#This Row],[Dens]]&gt;900,vp.tbl[[#This Row],[Sulf]]&lt;=0.5,vp.tbl[[#This Row],[Unknown]]=0),1,0)</f>
        <v>0</v>
      </c>
      <c r="AF1530">
        <f>IF(AND(vp.tbl[[#This Row],[CrudeType]]="Crude",vp.tbl[[#This Row],[Dens]]&gt;900,vp.tbl[[#This Row],[Sulf]]&lt;=0.5,vp.tbl[[#This Row],[Unknown]]=0),1,0)</f>
        <v>0</v>
      </c>
      <c r="AG1530" t="str">
        <f>INDEX(vp.tbl[[#Headers],[Unknown]:[Heavy_SW]],MATCH(1,vp.tbl[[#This Row],[Unknown]:[Heavy_SW]],0))</f>
        <v>Medium_LSB</v>
      </c>
      <c r="AH1530" t="e">
        <f>INDEX([1]!crudeBD.lkup[Number],MATCH(vp.tbl[[#This Row],[Crude_Breakdown]],[1]!crudeBD.lkup[Crude Breakdown],0))</f>
        <v>#REF!</v>
      </c>
      <c r="AI1530">
        <f>MONTH(vp.tbl[[#This Row],[SDate]])</f>
        <v>5</v>
      </c>
      <c r="AJ1530" s="5">
        <f>IFERROR(vp.tbl[[#This Row],[Sulf]]*vp.tbl[[#This Row],[Net Dens]],"")</f>
        <v>39830.106480000002</v>
      </c>
      <c r="AK1530" s="5">
        <f>IFERROR(vp.tbl[[#This Row],[Dens]]*vp.tbl[[#This Row],[VolumeM3]],"")</f>
        <v>58573.686000000002</v>
      </c>
      <c r="AL1530" s="5">
        <f>IFERROR(vp.tbl[[#This Row],[VP]]*vp.tbl[[#This Row],[VolumeM3]],"")</f>
        <v>3145.3650000000002</v>
      </c>
      <c r="AM1530" s="4">
        <f>IFERROR((vp.tbl[[#This Row],[VP]]-INDEX(crudeBD.lkup.complete[Mean_VP],MATCH(vp.tbl[[#This Row],[Crude_Breakdown]],crudeBD.lkup.complete[Crude Breakdown],0)))^2,"")</f>
        <v>1237.1817807716686</v>
      </c>
      <c r="AN1530" s="4">
        <f>IFERROR((vp.tbl[[#This Row],[Dens]]-INDEX(crudeBD.lkup.complete[Mean_Dens],MATCH(vp.tbl[[#This Row],[Crude_Breakdown]],crudeBD.lkup.complete[Crude Breakdown],0)))^2,"")</f>
        <v>53.17067952506175</v>
      </c>
      <c r="AO1530" s="4">
        <f>IFERROR((vp.tbl[[#This Row],[Sulf]]-INDEX(crudeBD.lkup.complete[Mean_Sulf],MATCH(vp.tbl[[#This Row],[Crude_Breakdown]],crudeBD.lkup.complete[Crude Breakdown],0)))^2,"")</f>
        <v>0.60051628909673049</v>
      </c>
      <c r="AP1530">
        <f>IF(AND(vp.tbl[[#This Row],[SDate]]&gt;=DATE(YEAR(vp.tbl[[#This Row],[SDate]]),5,1),vp.tbl[[#This Row],[SDate]]&lt;=DATE(YEAR(vp.tbl[[#This Row],[SDate]]),9,15)),1,0)</f>
        <v>1</v>
      </c>
      <c r="AQ1530" s="15">
        <f>IF(vp.tbl[[#This Row],[SDate]]&lt;DATE(2016,12,1),0,1)</f>
        <v>1</v>
      </c>
    </row>
    <row r="1531" spans="1:43" x14ac:dyDescent="0.25">
      <c r="A1531">
        <v>1530</v>
      </c>
      <c r="B1531" t="s">
        <v>49</v>
      </c>
      <c r="C1531" t="s">
        <v>49</v>
      </c>
      <c r="D1531" t="s">
        <v>67</v>
      </c>
      <c r="F1531" s="1">
        <v>42878</v>
      </c>
      <c r="G1531" s="2">
        <v>81.3</v>
      </c>
      <c r="H1531" s="2"/>
      <c r="I1531" s="2">
        <v>0.63</v>
      </c>
      <c r="J1531" s="2"/>
      <c r="K1531" s="2"/>
      <c r="L1531" s="2"/>
      <c r="M1531" s="2">
        <v>822.8</v>
      </c>
      <c r="N1531" s="2">
        <f ca="1">INDEX(INDIRECT(_xlfn.CONCAT("weather.tbl[",N$1,"]")),MATCH(vp.tbl[[#This Row],[SDate]],weather.tbl[Date],0))</f>
        <v>12</v>
      </c>
      <c r="O1531" s="2">
        <f ca="1">INDEX(INDIRECT(_xlfn.CONCAT("weather.tbl[",O$1,"]")),MATCH(vp.tbl[[#This Row],[SDate]],weather.tbl[Date],0))</f>
        <v>9.742857142857142</v>
      </c>
      <c r="P1531" s="2">
        <f ca="1">INDEX(INDIRECT(_xlfn.CONCAT("weather.tbl[",P$1,"]")),MATCH(vp.tbl[[#This Row],[SDate]],weather.tbl[Date],0))</f>
        <v>12</v>
      </c>
      <c r="Q1531" s="2">
        <f ca="1">INDEX(INDIRECT(_xlfn.CONCAT("weather.tbl[",Q$1,"]")),MATCH(vp.tbl[[#This Row],[SDate]],weather.tbl[Date],0))</f>
        <v>12.6</v>
      </c>
      <c r="R1531" s="2">
        <f ca="1">INDEX(INDIRECT(_xlfn.CONCAT("weather.tbl[",R$1,"]")),MATCH(vp.tbl[[#This Row],[SDate]],weather.tbl[Date],0))</f>
        <v>11.3</v>
      </c>
      <c r="S1531" s="2">
        <f ca="1">INDEX(INDIRECT(_xlfn.CONCAT("weather.tbl[",S$1,"]")),MATCH(vp.tbl[[#This Row],[SDate]],weather.tbl[Date],0))</f>
        <v>12.5</v>
      </c>
      <c r="T1531" s="2">
        <f ca="1">INDEX(INDIRECT(_xlfn.CONCAT("weather.tbl[",T$1,"]")),MATCH(vp.tbl[[#This Row],[SDate]],weather.tbl[Date],0))</f>
        <v>11.3</v>
      </c>
      <c r="U1531" s="2">
        <f ca="1">INDEX(INDIRECT(_xlfn.CONCAT("weather.tbl[",U$1,"]")),MATCH(vp.tbl[[#This Row],[SDate]],weather.tbl[Date],0))</f>
        <v>12.3</v>
      </c>
      <c r="V1531" s="2">
        <v>152210.65299999999</v>
      </c>
      <c r="W1531" t="s">
        <v>48</v>
      </c>
      <c r="X1531">
        <f>IF(OR(vp.tbl[[#This Row],[Sulf]]="",vp.tbl[[#This Row],[Dens]]=""),1,0)</f>
        <v>0</v>
      </c>
      <c r="Y1531">
        <f>IF(vp.tbl[[#This Row],[CrudeType]]="C5+",1,0)</f>
        <v>0</v>
      </c>
      <c r="Z1531">
        <f>IF(AND(vp.tbl[[#This Row],[CrudeType]]="Crude",vp.tbl[[#This Row],[Dens]]&lt;=825,vp.tbl[[#This Row],[Sulf]]&gt;0.5,vp.tbl[[#This Row],[Unknown]]=0),1,0)</f>
        <v>1</v>
      </c>
      <c r="AA1531">
        <f>IF(AND(vp.tbl[[#This Row],[CrudeType]]="Crude",vp.tbl[[#This Row],[Dens]]&lt;=825,vp.tbl[[#This Row],[Sulf]]&lt;=0.5,vp.tbl[[#This Row],[Unknown]]=0),1,0)</f>
        <v>0</v>
      </c>
      <c r="AB1531">
        <f>IF(AND(vp.tbl[[#This Row],[CrudeType]]="Crude",vp.tbl[[#This Row],[Dens]]&gt;825,vp.tbl[[#This Row],[Dens]]&lt;=870,vp.tbl[[#This Row],[Sulf]]&gt;0.5,vp.tbl[[#This Row],[Unknown]]=0),1,0)</f>
        <v>0</v>
      </c>
      <c r="AC1531">
        <f>IF(AND(vp.tbl[[#This Row],[CrudeType]]="Crude",vp.tbl[[#This Row],[Dens]]&gt;825,vp.tbl[[#This Row],[Dens]]&lt;=900,vp.tbl[[#This Row],[Sulf]]&lt;=0.5,vp.tbl[[#This Row],[Unknown]]=0),1,0)</f>
        <v>0</v>
      </c>
      <c r="AD1531">
        <f>IF(AND(vp.tbl[[#This Row],[CrudeType]]="Crude",vp.tbl[[#This Row],[Dens]]&gt;870,vp.tbl[[#This Row],[Dens]]&lt;=900,vp.tbl[[#This Row],[Sulf]]&gt;0.5,vp.tbl[[#This Row],[Unknown]]=0),1,0)</f>
        <v>0</v>
      </c>
      <c r="AE1531">
        <f>IF(AND(vp.tbl[[#This Row],[CrudeType]]="Crude",vp.tbl[[#This Row],[Dens]]&gt;900,vp.tbl[[#This Row],[Sulf]]&lt;=0.5,vp.tbl[[#This Row],[Unknown]]=0),1,0)</f>
        <v>0</v>
      </c>
      <c r="AF1531">
        <f>IF(AND(vp.tbl[[#This Row],[CrudeType]]="Crude",vp.tbl[[#This Row],[Dens]]&gt;900,vp.tbl[[#This Row],[Sulf]]&lt;=0.5,vp.tbl[[#This Row],[Unknown]]=0),1,0)</f>
        <v>0</v>
      </c>
      <c r="AG1531" t="str">
        <f>INDEX(vp.tbl[[#Headers],[Unknown]:[Heavy_SW]],MATCH(1,vp.tbl[[#This Row],[Unknown]:[Heavy_SW]],0))</f>
        <v>Light_LSB</v>
      </c>
      <c r="AH1531" t="e">
        <f>INDEX([1]!crudeBD.lkup[Number],MATCH(vp.tbl[[#This Row],[Crude_Breakdown]],[1]!crudeBD.lkup[Crude Breakdown],0))</f>
        <v>#REF!</v>
      </c>
      <c r="AI1531">
        <f>MONTH(vp.tbl[[#This Row],[SDate]])</f>
        <v>5</v>
      </c>
      <c r="AJ1531" s="5">
        <f>IFERROR(vp.tbl[[#This Row],[Sulf]]*vp.tbl[[#This Row],[Net Dens]],"")</f>
        <v>78900522.931691989</v>
      </c>
      <c r="AK1531" s="5">
        <f>IFERROR(vp.tbl[[#This Row],[Dens]]*vp.tbl[[#This Row],[VolumeM3]],"")</f>
        <v>125238925.28839998</v>
      </c>
      <c r="AL1531" s="5">
        <f>IFERROR(vp.tbl[[#This Row],[VP]]*vp.tbl[[#This Row],[VolumeM3]],"")</f>
        <v>12374726.088899998</v>
      </c>
      <c r="AM1531" s="4">
        <f>IFERROR((vp.tbl[[#This Row],[VP]]-INDEX(crudeBD.lkup.complete[Mean_VP],MATCH(vp.tbl[[#This Row],[Crude_Breakdown]],crudeBD.lkup.complete[Crude Breakdown],0)))^2,"")</f>
        <v>104.98431867361107</v>
      </c>
      <c r="AN1531" s="4">
        <f>IFERROR((vp.tbl[[#This Row],[Dens]]-INDEX(crudeBD.lkup.complete[Mean_Dens],MATCH(vp.tbl[[#This Row],[Crude_Breakdown]],crudeBD.lkup.complete[Crude Breakdown],0)))^2,"")</f>
        <v>18.34606129356284</v>
      </c>
      <c r="AO1531" s="4">
        <f>IFERROR((vp.tbl[[#This Row],[Sulf]]-INDEX(crudeBD.lkup.complete[Mean_Sulf],MATCH(vp.tbl[[#This Row],[Crude_Breakdown]],crudeBD.lkup.complete[Crude Breakdown],0)))^2,"")</f>
        <v>8.5832105504801401E-2</v>
      </c>
      <c r="AP1531">
        <f>IF(AND(vp.tbl[[#This Row],[SDate]]&gt;=DATE(YEAR(vp.tbl[[#This Row],[SDate]]),5,1),vp.tbl[[#This Row],[SDate]]&lt;=DATE(YEAR(vp.tbl[[#This Row],[SDate]]),9,15)),1,0)</f>
        <v>1</v>
      </c>
      <c r="AQ1531" s="15">
        <f>IF(vp.tbl[[#This Row],[SDate]]&lt;DATE(2016,12,1),0,1)</f>
        <v>1</v>
      </c>
    </row>
    <row r="1532" spans="1:43" x14ac:dyDescent="0.25">
      <c r="A1532">
        <v>1531</v>
      </c>
      <c r="B1532" t="s">
        <v>49</v>
      </c>
      <c r="C1532" t="s">
        <v>49</v>
      </c>
      <c r="D1532" t="s">
        <v>80</v>
      </c>
      <c r="F1532" s="1">
        <v>42878</v>
      </c>
      <c r="G1532" s="2">
        <v>85</v>
      </c>
      <c r="H1532" s="2"/>
      <c r="I1532" s="2">
        <v>0.76</v>
      </c>
      <c r="J1532" s="2"/>
      <c r="K1532" s="2"/>
      <c r="L1532" s="2"/>
      <c r="M1532" s="2">
        <v>822.4</v>
      </c>
      <c r="N1532" s="2">
        <f ca="1">INDEX(INDIRECT(_xlfn.CONCAT("weather.tbl[",N$1,"]")),MATCH(vp.tbl[[#This Row],[SDate]],weather.tbl[Date],0))</f>
        <v>12</v>
      </c>
      <c r="O1532" s="2">
        <f ca="1">INDEX(INDIRECT(_xlfn.CONCAT("weather.tbl[",O$1,"]")),MATCH(vp.tbl[[#This Row],[SDate]],weather.tbl[Date],0))</f>
        <v>9.742857142857142</v>
      </c>
      <c r="P1532" s="2">
        <f ca="1">INDEX(INDIRECT(_xlfn.CONCAT("weather.tbl[",P$1,"]")),MATCH(vp.tbl[[#This Row],[SDate]],weather.tbl[Date],0))</f>
        <v>12</v>
      </c>
      <c r="Q1532" s="2">
        <f ca="1">INDEX(INDIRECT(_xlfn.CONCAT("weather.tbl[",Q$1,"]")),MATCH(vp.tbl[[#This Row],[SDate]],weather.tbl[Date],0))</f>
        <v>12.6</v>
      </c>
      <c r="R1532" s="2">
        <f ca="1">INDEX(INDIRECT(_xlfn.CONCAT("weather.tbl[",R$1,"]")),MATCH(vp.tbl[[#This Row],[SDate]],weather.tbl[Date],0))</f>
        <v>11.3</v>
      </c>
      <c r="S1532" s="2">
        <f ca="1">INDEX(INDIRECT(_xlfn.CONCAT("weather.tbl[",S$1,"]")),MATCH(vp.tbl[[#This Row],[SDate]],weather.tbl[Date],0))</f>
        <v>12.5</v>
      </c>
      <c r="T1532" s="2">
        <f ca="1">INDEX(INDIRECT(_xlfn.CONCAT("weather.tbl[",T$1,"]")),MATCH(vp.tbl[[#This Row],[SDate]],weather.tbl[Date],0))</f>
        <v>11.3</v>
      </c>
      <c r="U1532" s="2">
        <f ca="1">INDEX(INDIRECT(_xlfn.CONCAT("weather.tbl[",U$1,"]")),MATCH(vp.tbl[[#This Row],[SDate]],weather.tbl[Date],0))</f>
        <v>12.3</v>
      </c>
      <c r="V1532" s="2">
        <v>22699.566999999999</v>
      </c>
      <c r="W1532" t="s">
        <v>48</v>
      </c>
      <c r="X1532">
        <f>IF(OR(vp.tbl[[#This Row],[Sulf]]="",vp.tbl[[#This Row],[Dens]]=""),1,0)</f>
        <v>0</v>
      </c>
      <c r="Y1532">
        <f>IF(vp.tbl[[#This Row],[CrudeType]]="C5+",1,0)</f>
        <v>0</v>
      </c>
      <c r="Z1532">
        <f>IF(AND(vp.tbl[[#This Row],[CrudeType]]="Crude",vp.tbl[[#This Row],[Dens]]&lt;=825,vp.tbl[[#This Row],[Sulf]]&gt;0.5,vp.tbl[[#This Row],[Unknown]]=0),1,0)</f>
        <v>1</v>
      </c>
      <c r="AA1532">
        <f>IF(AND(vp.tbl[[#This Row],[CrudeType]]="Crude",vp.tbl[[#This Row],[Dens]]&lt;=825,vp.tbl[[#This Row],[Sulf]]&lt;=0.5,vp.tbl[[#This Row],[Unknown]]=0),1,0)</f>
        <v>0</v>
      </c>
      <c r="AB1532">
        <f>IF(AND(vp.tbl[[#This Row],[CrudeType]]="Crude",vp.tbl[[#This Row],[Dens]]&gt;825,vp.tbl[[#This Row],[Dens]]&lt;=870,vp.tbl[[#This Row],[Sulf]]&gt;0.5,vp.tbl[[#This Row],[Unknown]]=0),1,0)</f>
        <v>0</v>
      </c>
      <c r="AC1532">
        <f>IF(AND(vp.tbl[[#This Row],[CrudeType]]="Crude",vp.tbl[[#This Row],[Dens]]&gt;825,vp.tbl[[#This Row],[Dens]]&lt;=900,vp.tbl[[#This Row],[Sulf]]&lt;=0.5,vp.tbl[[#This Row],[Unknown]]=0),1,0)</f>
        <v>0</v>
      </c>
      <c r="AD1532">
        <f>IF(AND(vp.tbl[[#This Row],[CrudeType]]="Crude",vp.tbl[[#This Row],[Dens]]&gt;870,vp.tbl[[#This Row],[Dens]]&lt;=900,vp.tbl[[#This Row],[Sulf]]&gt;0.5,vp.tbl[[#This Row],[Unknown]]=0),1,0)</f>
        <v>0</v>
      </c>
      <c r="AE1532">
        <f>IF(AND(vp.tbl[[#This Row],[CrudeType]]="Crude",vp.tbl[[#This Row],[Dens]]&gt;900,vp.tbl[[#This Row],[Sulf]]&lt;=0.5,vp.tbl[[#This Row],[Unknown]]=0),1,0)</f>
        <v>0</v>
      </c>
      <c r="AF1532">
        <f>IF(AND(vp.tbl[[#This Row],[CrudeType]]="Crude",vp.tbl[[#This Row],[Dens]]&gt;900,vp.tbl[[#This Row],[Sulf]]&lt;=0.5,vp.tbl[[#This Row],[Unknown]]=0),1,0)</f>
        <v>0</v>
      </c>
      <c r="AG1532" t="str">
        <f>INDEX(vp.tbl[[#Headers],[Unknown]:[Heavy_SW]],MATCH(1,vp.tbl[[#This Row],[Unknown]:[Heavy_SW]],0))</f>
        <v>Light_LSB</v>
      </c>
      <c r="AH1532" t="e">
        <f>INDEX([1]!crudeBD.lkup[Number],MATCH(vp.tbl[[#This Row],[Crude_Breakdown]],[1]!crudeBD.lkup[Crude Breakdown],0))</f>
        <v>#REF!</v>
      </c>
      <c r="AI1532">
        <f>MONTH(vp.tbl[[#This Row],[SDate]])</f>
        <v>5</v>
      </c>
      <c r="AJ1532" s="5">
        <f>IFERROR(vp.tbl[[#This Row],[Sulf]]*vp.tbl[[#This Row],[Net Dens]],"")</f>
        <v>14187774.164607998</v>
      </c>
      <c r="AK1532" s="5">
        <f>IFERROR(vp.tbl[[#This Row],[Dens]]*vp.tbl[[#This Row],[VolumeM3]],"")</f>
        <v>18668123.900799997</v>
      </c>
      <c r="AL1532" s="5">
        <f>IFERROR(vp.tbl[[#This Row],[VP]]*vp.tbl[[#This Row],[VolumeM3]],"")</f>
        <v>1929463.1949999998</v>
      </c>
      <c r="AM1532" s="4">
        <f>IFERROR((vp.tbl[[#This Row],[VP]]-INDEX(crudeBD.lkup.complete[Mean_VP],MATCH(vp.tbl[[#This Row],[Crude_Breakdown]],crudeBD.lkup.complete[Crude Breakdown],0)))^2,"")</f>
        <v>42.852545477734495</v>
      </c>
      <c r="AN1532" s="4">
        <f>IFERROR((vp.tbl[[#This Row],[Dens]]-INDEX(crudeBD.lkup.complete[Mean_Dens],MATCH(vp.tbl[[#This Row],[Crude_Breakdown]],crudeBD.lkup.complete[Crude Breakdown],0)))^2,"")</f>
        <v>15.07947710112294</v>
      </c>
      <c r="AO1532" s="4">
        <f>IFERROR((vp.tbl[[#This Row],[Sulf]]-INDEX(crudeBD.lkup.complete[Mean_Sulf],MATCH(vp.tbl[[#This Row],[Crude_Breakdown]],crudeBD.lkup.complete[Crude Breakdown],0)))^2,"")</f>
        <v>2.6559601724732734E-2</v>
      </c>
      <c r="AP1532">
        <f>IF(AND(vp.tbl[[#This Row],[SDate]]&gt;=DATE(YEAR(vp.tbl[[#This Row],[SDate]]),5,1),vp.tbl[[#This Row],[SDate]]&lt;=DATE(YEAR(vp.tbl[[#This Row],[SDate]]),9,15)),1,0)</f>
        <v>1</v>
      </c>
      <c r="AQ1532" s="15">
        <f>IF(vp.tbl[[#This Row],[SDate]]&lt;DATE(2016,12,1),0,1)</f>
        <v>1</v>
      </c>
    </row>
    <row r="1533" spans="1:43" x14ac:dyDescent="0.25">
      <c r="A1533">
        <v>1532</v>
      </c>
      <c r="B1533" t="s">
        <v>49</v>
      </c>
      <c r="C1533" t="s">
        <v>49</v>
      </c>
      <c r="D1533" t="s">
        <v>100</v>
      </c>
      <c r="F1533" s="1">
        <v>42878</v>
      </c>
      <c r="G1533" s="2">
        <v>97.7</v>
      </c>
      <c r="H1533" s="2"/>
      <c r="I1533" s="2">
        <v>0.75</v>
      </c>
      <c r="J1533" s="2"/>
      <c r="K1533" s="2"/>
      <c r="L1533" s="2"/>
      <c r="M1533" s="2">
        <v>823.6</v>
      </c>
      <c r="N1533" s="2">
        <f ca="1">INDEX(INDIRECT(_xlfn.CONCAT("weather.tbl[",N$1,"]")),MATCH(vp.tbl[[#This Row],[SDate]],weather.tbl[Date],0))</f>
        <v>12</v>
      </c>
      <c r="O1533" s="2">
        <f ca="1">INDEX(INDIRECT(_xlfn.CONCAT("weather.tbl[",O$1,"]")),MATCH(vp.tbl[[#This Row],[SDate]],weather.tbl[Date],0))</f>
        <v>9.742857142857142</v>
      </c>
      <c r="P1533" s="2">
        <f ca="1">INDEX(INDIRECT(_xlfn.CONCAT("weather.tbl[",P$1,"]")),MATCH(vp.tbl[[#This Row],[SDate]],weather.tbl[Date],0))</f>
        <v>12</v>
      </c>
      <c r="Q1533" s="2">
        <f ca="1">INDEX(INDIRECT(_xlfn.CONCAT("weather.tbl[",Q$1,"]")),MATCH(vp.tbl[[#This Row],[SDate]],weather.tbl[Date],0))</f>
        <v>12.6</v>
      </c>
      <c r="R1533" s="2">
        <f ca="1">INDEX(INDIRECT(_xlfn.CONCAT("weather.tbl[",R$1,"]")),MATCH(vp.tbl[[#This Row],[SDate]],weather.tbl[Date],0))</f>
        <v>11.3</v>
      </c>
      <c r="S1533" s="2">
        <f ca="1">INDEX(INDIRECT(_xlfn.CONCAT("weather.tbl[",S$1,"]")),MATCH(vp.tbl[[#This Row],[SDate]],weather.tbl[Date],0))</f>
        <v>12.5</v>
      </c>
      <c r="T1533" s="2">
        <f ca="1">INDEX(INDIRECT(_xlfn.CONCAT("weather.tbl[",T$1,"]")),MATCH(vp.tbl[[#This Row],[SDate]],weather.tbl[Date],0))</f>
        <v>11.3</v>
      </c>
      <c r="U1533" s="2">
        <f ca="1">INDEX(INDIRECT(_xlfn.CONCAT("weather.tbl[",U$1,"]")),MATCH(vp.tbl[[#This Row],[SDate]],weather.tbl[Date],0))</f>
        <v>12.3</v>
      </c>
      <c r="V1533" s="2">
        <v>12872.544</v>
      </c>
      <c r="W1533" t="s">
        <v>48</v>
      </c>
      <c r="X1533">
        <f>IF(OR(vp.tbl[[#This Row],[Sulf]]="",vp.tbl[[#This Row],[Dens]]=""),1,0)</f>
        <v>0</v>
      </c>
      <c r="Y1533">
        <f>IF(vp.tbl[[#This Row],[CrudeType]]="C5+",1,0)</f>
        <v>0</v>
      </c>
      <c r="Z1533">
        <f>IF(AND(vp.tbl[[#This Row],[CrudeType]]="Crude",vp.tbl[[#This Row],[Dens]]&lt;=825,vp.tbl[[#This Row],[Sulf]]&gt;0.5,vp.tbl[[#This Row],[Unknown]]=0),1,0)</f>
        <v>1</v>
      </c>
      <c r="AA1533">
        <f>IF(AND(vp.tbl[[#This Row],[CrudeType]]="Crude",vp.tbl[[#This Row],[Dens]]&lt;=825,vp.tbl[[#This Row],[Sulf]]&lt;=0.5,vp.tbl[[#This Row],[Unknown]]=0),1,0)</f>
        <v>0</v>
      </c>
      <c r="AB1533">
        <f>IF(AND(vp.tbl[[#This Row],[CrudeType]]="Crude",vp.tbl[[#This Row],[Dens]]&gt;825,vp.tbl[[#This Row],[Dens]]&lt;=870,vp.tbl[[#This Row],[Sulf]]&gt;0.5,vp.tbl[[#This Row],[Unknown]]=0),1,0)</f>
        <v>0</v>
      </c>
      <c r="AC1533">
        <f>IF(AND(vp.tbl[[#This Row],[CrudeType]]="Crude",vp.tbl[[#This Row],[Dens]]&gt;825,vp.tbl[[#This Row],[Dens]]&lt;=900,vp.tbl[[#This Row],[Sulf]]&lt;=0.5,vp.tbl[[#This Row],[Unknown]]=0),1,0)</f>
        <v>0</v>
      </c>
      <c r="AD1533">
        <f>IF(AND(vp.tbl[[#This Row],[CrudeType]]="Crude",vp.tbl[[#This Row],[Dens]]&gt;870,vp.tbl[[#This Row],[Dens]]&lt;=900,vp.tbl[[#This Row],[Sulf]]&gt;0.5,vp.tbl[[#This Row],[Unknown]]=0),1,0)</f>
        <v>0</v>
      </c>
      <c r="AE1533">
        <f>IF(AND(vp.tbl[[#This Row],[CrudeType]]="Crude",vp.tbl[[#This Row],[Dens]]&gt;900,vp.tbl[[#This Row],[Sulf]]&lt;=0.5,vp.tbl[[#This Row],[Unknown]]=0),1,0)</f>
        <v>0</v>
      </c>
      <c r="AF1533">
        <f>IF(AND(vp.tbl[[#This Row],[CrudeType]]="Crude",vp.tbl[[#This Row],[Dens]]&gt;900,vp.tbl[[#This Row],[Sulf]]&lt;=0.5,vp.tbl[[#This Row],[Unknown]]=0),1,0)</f>
        <v>0</v>
      </c>
      <c r="AG1533" t="str">
        <f>INDEX(vp.tbl[[#Headers],[Unknown]:[Heavy_SW]],MATCH(1,vp.tbl[[#This Row],[Unknown]:[Heavy_SW]],0))</f>
        <v>Light_LSB</v>
      </c>
      <c r="AH1533" t="e">
        <f>INDEX([1]!crudeBD.lkup[Number],MATCH(vp.tbl[[#This Row],[Crude_Breakdown]],[1]!crudeBD.lkup[Crude Breakdown],0))</f>
        <v>#REF!</v>
      </c>
      <c r="AI1533">
        <f>MONTH(vp.tbl[[#This Row],[SDate]])</f>
        <v>5</v>
      </c>
      <c r="AJ1533" s="5">
        <f>IFERROR(vp.tbl[[#This Row],[Sulf]]*vp.tbl[[#This Row],[Net Dens]],"")</f>
        <v>7951370.4288000008</v>
      </c>
      <c r="AK1533" s="5">
        <f>IFERROR(vp.tbl[[#This Row],[Dens]]*vp.tbl[[#This Row],[VolumeM3]],"")</f>
        <v>10601827.238400001</v>
      </c>
      <c r="AL1533" s="5">
        <f>IFERROR(vp.tbl[[#This Row],[VP]]*vp.tbl[[#This Row],[VolumeM3]],"")</f>
        <v>1257647.5488</v>
      </c>
      <c r="AM1533" s="4">
        <f>IFERROR((vp.tbl[[#This Row],[VP]]-INDEX(crudeBD.lkup.complete[Mean_VP],MATCH(vp.tbl[[#This Row],[Crude_Breakdown]],crudeBD.lkup.complete[Crude Breakdown],0)))^2,"")</f>
        <v>37.869432075671881</v>
      </c>
      <c r="AN1533" s="4">
        <f>IFERROR((vp.tbl[[#This Row],[Dens]]-INDEX(crudeBD.lkup.complete[Mean_Dens],MATCH(vp.tbl[[#This Row],[Crude_Breakdown]],crudeBD.lkup.complete[Crude Breakdown],0)))^2,"")</f>
        <v>25.83922967844369</v>
      </c>
      <c r="AO1533" s="4">
        <f>IFERROR((vp.tbl[[#This Row],[Sulf]]-INDEX(crudeBD.lkup.complete[Mean_Sulf],MATCH(vp.tbl[[#This Row],[Crude_Breakdown]],crudeBD.lkup.complete[Crude Breakdown],0)))^2,"")</f>
        <v>2.9919025092430326E-2</v>
      </c>
      <c r="AP1533">
        <f>IF(AND(vp.tbl[[#This Row],[SDate]]&gt;=DATE(YEAR(vp.tbl[[#This Row],[SDate]]),5,1),vp.tbl[[#This Row],[SDate]]&lt;=DATE(YEAR(vp.tbl[[#This Row],[SDate]]),9,15)),1,0)</f>
        <v>1</v>
      </c>
      <c r="AQ1533" s="15">
        <f>IF(vp.tbl[[#This Row],[SDate]]&lt;DATE(2016,12,1),0,1)</f>
        <v>1</v>
      </c>
    </row>
    <row r="1534" spans="1:43" x14ac:dyDescent="0.25">
      <c r="A1534">
        <v>1533</v>
      </c>
      <c r="B1534" t="s">
        <v>49</v>
      </c>
      <c r="C1534" t="s">
        <v>49</v>
      </c>
      <c r="D1534" t="s">
        <v>325</v>
      </c>
      <c r="F1534" s="1">
        <v>42878</v>
      </c>
      <c r="G1534" s="2">
        <v>63.5</v>
      </c>
      <c r="H1534" s="2"/>
      <c r="I1534" s="2">
        <v>1.36</v>
      </c>
      <c r="J1534" s="2"/>
      <c r="K1534" s="2"/>
      <c r="L1534" s="2"/>
      <c r="M1534" s="2">
        <v>854.2</v>
      </c>
      <c r="N1534" s="2">
        <f ca="1">INDEX(INDIRECT(_xlfn.CONCAT("weather.tbl[",N$1,"]")),MATCH(vp.tbl[[#This Row],[SDate]],weather.tbl[Date],0))</f>
        <v>12</v>
      </c>
      <c r="O1534" s="2">
        <f ca="1">INDEX(INDIRECT(_xlfn.CONCAT("weather.tbl[",O$1,"]")),MATCH(vp.tbl[[#This Row],[SDate]],weather.tbl[Date],0))</f>
        <v>9.742857142857142</v>
      </c>
      <c r="P1534" s="2">
        <f ca="1">INDEX(INDIRECT(_xlfn.CONCAT("weather.tbl[",P$1,"]")),MATCH(vp.tbl[[#This Row],[SDate]],weather.tbl[Date],0))</f>
        <v>12</v>
      </c>
      <c r="Q1534" s="2">
        <f ca="1">INDEX(INDIRECT(_xlfn.CONCAT("weather.tbl[",Q$1,"]")),MATCH(vp.tbl[[#This Row],[SDate]],weather.tbl[Date],0))</f>
        <v>12.6</v>
      </c>
      <c r="R1534" s="2">
        <f ca="1">INDEX(INDIRECT(_xlfn.CONCAT("weather.tbl[",R$1,"]")),MATCH(vp.tbl[[#This Row],[SDate]],weather.tbl[Date],0))</f>
        <v>11.3</v>
      </c>
      <c r="S1534" s="2">
        <f ca="1">INDEX(INDIRECT(_xlfn.CONCAT("weather.tbl[",S$1,"]")),MATCH(vp.tbl[[#This Row],[SDate]],weather.tbl[Date],0))</f>
        <v>12.5</v>
      </c>
      <c r="T1534" s="2">
        <f ca="1">INDEX(INDIRECT(_xlfn.CONCAT("weather.tbl[",T$1,"]")),MATCH(vp.tbl[[#This Row],[SDate]],weather.tbl[Date],0))</f>
        <v>11.3</v>
      </c>
      <c r="U1534" s="2">
        <f ca="1">INDEX(INDIRECT(_xlfn.CONCAT("weather.tbl[",U$1,"]")),MATCH(vp.tbl[[#This Row],[SDate]],weather.tbl[Date],0))</f>
        <v>12.3</v>
      </c>
      <c r="V1534" s="2">
        <v>1088.376</v>
      </c>
      <c r="W1534" t="s">
        <v>48</v>
      </c>
      <c r="X1534">
        <f>IF(OR(vp.tbl[[#This Row],[Sulf]]="",vp.tbl[[#This Row],[Dens]]=""),1,0)</f>
        <v>0</v>
      </c>
      <c r="Y1534">
        <f>IF(vp.tbl[[#This Row],[CrudeType]]="C5+",1,0)</f>
        <v>0</v>
      </c>
      <c r="Z1534">
        <f>IF(AND(vp.tbl[[#This Row],[CrudeType]]="Crude",vp.tbl[[#This Row],[Dens]]&lt;=825,vp.tbl[[#This Row],[Sulf]]&gt;0.5,vp.tbl[[#This Row],[Unknown]]=0),1,0)</f>
        <v>0</v>
      </c>
      <c r="AA1534">
        <f>IF(AND(vp.tbl[[#This Row],[CrudeType]]="Crude",vp.tbl[[#This Row],[Dens]]&lt;=825,vp.tbl[[#This Row],[Sulf]]&lt;=0.5,vp.tbl[[#This Row],[Unknown]]=0),1,0)</f>
        <v>0</v>
      </c>
      <c r="AB1534">
        <f>IF(AND(vp.tbl[[#This Row],[CrudeType]]="Crude",vp.tbl[[#This Row],[Dens]]&gt;825,vp.tbl[[#This Row],[Dens]]&lt;=870,vp.tbl[[#This Row],[Sulf]]&gt;0.5,vp.tbl[[#This Row],[Unknown]]=0),1,0)</f>
        <v>1</v>
      </c>
      <c r="AC1534">
        <f>IF(AND(vp.tbl[[#This Row],[CrudeType]]="Crude",vp.tbl[[#This Row],[Dens]]&gt;825,vp.tbl[[#This Row],[Dens]]&lt;=900,vp.tbl[[#This Row],[Sulf]]&lt;=0.5,vp.tbl[[#This Row],[Unknown]]=0),1,0)</f>
        <v>0</v>
      </c>
      <c r="AD1534">
        <f>IF(AND(vp.tbl[[#This Row],[CrudeType]]="Crude",vp.tbl[[#This Row],[Dens]]&gt;870,vp.tbl[[#This Row],[Dens]]&lt;=900,vp.tbl[[#This Row],[Sulf]]&gt;0.5,vp.tbl[[#This Row],[Unknown]]=0),1,0)</f>
        <v>0</v>
      </c>
      <c r="AE1534">
        <f>IF(AND(vp.tbl[[#This Row],[CrudeType]]="Crude",vp.tbl[[#This Row],[Dens]]&gt;900,vp.tbl[[#This Row],[Sulf]]&lt;=0.5,vp.tbl[[#This Row],[Unknown]]=0),1,0)</f>
        <v>0</v>
      </c>
      <c r="AF1534">
        <f>IF(AND(vp.tbl[[#This Row],[CrudeType]]="Crude",vp.tbl[[#This Row],[Dens]]&gt;900,vp.tbl[[#This Row],[Sulf]]&lt;=0.5,vp.tbl[[#This Row],[Unknown]]=0),1,0)</f>
        <v>0</v>
      </c>
      <c r="AG1534" t="str">
        <f>INDEX(vp.tbl[[#Headers],[Unknown]:[Heavy_SW]],MATCH(1,vp.tbl[[#This Row],[Unknown]:[Heavy_SW]],0))</f>
        <v>Medium_LSB</v>
      </c>
      <c r="AH1534" t="e">
        <f>INDEX([1]!crudeBD.lkup[Number],MATCH(vp.tbl[[#This Row],[Crude_Breakdown]],[1]!crudeBD.lkup[Crude Breakdown],0))</f>
        <v>#REF!</v>
      </c>
      <c r="AI1534">
        <f>MONTH(vp.tbl[[#This Row],[SDate]])</f>
        <v>5</v>
      </c>
      <c r="AJ1534" s="5">
        <f>IFERROR(vp.tbl[[#This Row],[Sulf]]*vp.tbl[[#This Row],[Net Dens]],"")</f>
        <v>1264379.4597120001</v>
      </c>
      <c r="AK1534" s="5">
        <f>IFERROR(vp.tbl[[#This Row],[Dens]]*vp.tbl[[#This Row],[VolumeM3]],"")</f>
        <v>929690.77919999999</v>
      </c>
      <c r="AL1534" s="5">
        <f>IFERROR(vp.tbl[[#This Row],[VP]]*vp.tbl[[#This Row],[VolumeM3]],"")</f>
        <v>69111.876000000004</v>
      </c>
      <c r="AM1534" s="4">
        <f>IFERROR((vp.tbl[[#This Row],[VP]]-INDEX(crudeBD.lkup.complete[Mean_VP],MATCH(vp.tbl[[#This Row],[Crude_Breakdown]],crudeBD.lkup.complete[Crude Breakdown],0)))^2,"")</f>
        <v>278.0087681134421</v>
      </c>
      <c r="AN1534" s="4">
        <f>IFERROR((vp.tbl[[#This Row],[Dens]]-INDEX(crudeBD.lkup.complete[Mean_Dens],MATCH(vp.tbl[[#This Row],[Crude_Breakdown]],crudeBD.lkup.complete[Crude Breakdown],0)))^2,"")</f>
        <v>79.355621297246358</v>
      </c>
      <c r="AO1534" s="4">
        <f>IFERROR((vp.tbl[[#This Row],[Sulf]]-INDEX(crudeBD.lkup.complete[Mean_Sulf],MATCH(vp.tbl[[#This Row],[Crude_Breakdown]],crudeBD.lkup.complete[Crude Breakdown],0)))^2,"")</f>
        <v>9.0116784638171188E-3</v>
      </c>
      <c r="AP1534">
        <f>IF(AND(vp.tbl[[#This Row],[SDate]]&gt;=DATE(YEAR(vp.tbl[[#This Row],[SDate]]),5,1),vp.tbl[[#This Row],[SDate]]&lt;=DATE(YEAR(vp.tbl[[#This Row],[SDate]]),9,15)),1,0)</f>
        <v>1</v>
      </c>
      <c r="AQ1534" s="15">
        <f>IF(vp.tbl[[#This Row],[SDate]]&lt;DATE(2016,12,1),0,1)</f>
        <v>1</v>
      </c>
    </row>
    <row r="1535" spans="1:43" x14ac:dyDescent="0.25">
      <c r="A1535">
        <v>1534</v>
      </c>
      <c r="B1535" t="s">
        <v>62</v>
      </c>
      <c r="C1535" t="s">
        <v>62</v>
      </c>
      <c r="D1535" t="s">
        <v>87</v>
      </c>
      <c r="F1535" s="1">
        <v>42878</v>
      </c>
      <c r="G1535" s="2">
        <v>82</v>
      </c>
      <c r="H1535" s="2"/>
      <c r="I1535" s="2">
        <v>0.26</v>
      </c>
      <c r="J1535" s="2"/>
      <c r="K1535" s="2"/>
      <c r="L1535" s="2"/>
      <c r="M1535" s="2">
        <v>811.8</v>
      </c>
      <c r="N1535" s="2">
        <f ca="1">INDEX(INDIRECT(_xlfn.CONCAT("weather.tbl[",N$1,"]")),MATCH(vp.tbl[[#This Row],[SDate]],weather.tbl[Date],0))</f>
        <v>12</v>
      </c>
      <c r="O1535" s="2">
        <f ca="1">INDEX(INDIRECT(_xlfn.CONCAT("weather.tbl[",O$1,"]")),MATCH(vp.tbl[[#This Row],[SDate]],weather.tbl[Date],0))</f>
        <v>9.742857142857142</v>
      </c>
      <c r="P1535" s="2">
        <f ca="1">INDEX(INDIRECT(_xlfn.CONCAT("weather.tbl[",P$1,"]")),MATCH(vp.tbl[[#This Row],[SDate]],weather.tbl[Date],0))</f>
        <v>12</v>
      </c>
      <c r="Q1535" s="2">
        <f ca="1">INDEX(INDIRECT(_xlfn.CONCAT("weather.tbl[",Q$1,"]")),MATCH(vp.tbl[[#This Row],[SDate]],weather.tbl[Date],0))</f>
        <v>12.6</v>
      </c>
      <c r="R1535" s="2">
        <f ca="1">INDEX(INDIRECT(_xlfn.CONCAT("weather.tbl[",R$1,"]")),MATCH(vp.tbl[[#This Row],[SDate]],weather.tbl[Date],0))</f>
        <v>11.3</v>
      </c>
      <c r="S1535" s="2">
        <f ca="1">INDEX(INDIRECT(_xlfn.CONCAT("weather.tbl[",S$1,"]")),MATCH(vp.tbl[[#This Row],[SDate]],weather.tbl[Date],0))</f>
        <v>12.5</v>
      </c>
      <c r="T1535" s="2">
        <f ca="1">INDEX(INDIRECT(_xlfn.CONCAT("weather.tbl[",T$1,"]")),MATCH(vp.tbl[[#This Row],[SDate]],weather.tbl[Date],0))</f>
        <v>11.3</v>
      </c>
      <c r="U1535" s="2">
        <f ca="1">INDEX(INDIRECT(_xlfn.CONCAT("weather.tbl[",U$1,"]")),MATCH(vp.tbl[[#This Row],[SDate]],weather.tbl[Date],0))</f>
        <v>12.3</v>
      </c>
      <c r="V1535" s="2">
        <v>3329.3429999999998</v>
      </c>
      <c r="W1535" t="s">
        <v>48</v>
      </c>
      <c r="X1535">
        <f>IF(OR(vp.tbl[[#This Row],[Sulf]]="",vp.tbl[[#This Row],[Dens]]=""),1,0)</f>
        <v>0</v>
      </c>
      <c r="Y1535">
        <f>IF(vp.tbl[[#This Row],[CrudeType]]="C5+",1,0)</f>
        <v>0</v>
      </c>
      <c r="Z1535">
        <f>IF(AND(vp.tbl[[#This Row],[CrudeType]]="Crude",vp.tbl[[#This Row],[Dens]]&lt;=825,vp.tbl[[#This Row],[Sulf]]&gt;0.5,vp.tbl[[#This Row],[Unknown]]=0),1,0)</f>
        <v>0</v>
      </c>
      <c r="AA1535">
        <f>IF(AND(vp.tbl[[#This Row],[CrudeType]]="Crude",vp.tbl[[#This Row],[Dens]]&lt;=825,vp.tbl[[#This Row],[Sulf]]&lt;=0.5,vp.tbl[[#This Row],[Unknown]]=0),1,0)</f>
        <v>1</v>
      </c>
      <c r="AB1535">
        <f>IF(AND(vp.tbl[[#This Row],[CrudeType]]="Crude",vp.tbl[[#This Row],[Dens]]&gt;825,vp.tbl[[#This Row],[Dens]]&lt;=870,vp.tbl[[#This Row],[Sulf]]&gt;0.5,vp.tbl[[#This Row],[Unknown]]=0),1,0)</f>
        <v>0</v>
      </c>
      <c r="AC1535">
        <f>IF(AND(vp.tbl[[#This Row],[CrudeType]]="Crude",vp.tbl[[#This Row],[Dens]]&gt;825,vp.tbl[[#This Row],[Dens]]&lt;=900,vp.tbl[[#This Row],[Sulf]]&lt;=0.5,vp.tbl[[#This Row],[Unknown]]=0),1,0)</f>
        <v>0</v>
      </c>
      <c r="AD1535">
        <f>IF(AND(vp.tbl[[#This Row],[CrudeType]]="Crude",vp.tbl[[#This Row],[Dens]]&gt;870,vp.tbl[[#This Row],[Dens]]&lt;=900,vp.tbl[[#This Row],[Sulf]]&gt;0.5,vp.tbl[[#This Row],[Unknown]]=0),1,0)</f>
        <v>0</v>
      </c>
      <c r="AE1535">
        <f>IF(AND(vp.tbl[[#This Row],[CrudeType]]="Crude",vp.tbl[[#This Row],[Dens]]&gt;900,vp.tbl[[#This Row],[Sulf]]&lt;=0.5,vp.tbl[[#This Row],[Unknown]]=0),1,0)</f>
        <v>0</v>
      </c>
      <c r="AF1535">
        <f>IF(AND(vp.tbl[[#This Row],[CrudeType]]="Crude",vp.tbl[[#This Row],[Dens]]&gt;900,vp.tbl[[#This Row],[Sulf]]&lt;=0.5,vp.tbl[[#This Row],[Unknown]]=0),1,0)</f>
        <v>0</v>
      </c>
      <c r="AG1535" t="str">
        <f>INDEX(vp.tbl[[#Headers],[Unknown]:[Heavy_SW]],MATCH(1,vp.tbl[[#This Row],[Unknown]:[Heavy_SW]],0))</f>
        <v>Light_SW</v>
      </c>
      <c r="AH1535" t="e">
        <f>INDEX([1]!crudeBD.lkup[Number],MATCH(vp.tbl[[#This Row],[Crude_Breakdown]],[1]!crudeBD.lkup[Crude Breakdown],0))</f>
        <v>#REF!</v>
      </c>
      <c r="AI1535">
        <f>MONTH(vp.tbl[[#This Row],[SDate]])</f>
        <v>5</v>
      </c>
      <c r="AJ1535" s="5">
        <f>IFERROR(vp.tbl[[#This Row],[Sulf]]*vp.tbl[[#This Row],[Net Dens]],"")</f>
        <v>702717.76832399995</v>
      </c>
      <c r="AK1535" s="5">
        <f>IFERROR(vp.tbl[[#This Row],[Dens]]*vp.tbl[[#This Row],[VolumeM3]],"")</f>
        <v>2702760.6473999997</v>
      </c>
      <c r="AL1535" s="5">
        <f>IFERROR(vp.tbl[[#This Row],[VP]]*vp.tbl[[#This Row],[VolumeM3]],"")</f>
        <v>273006.12599999999</v>
      </c>
      <c r="AM1535" s="4">
        <f>IFERROR((vp.tbl[[#This Row],[VP]]-INDEX(crudeBD.lkup.complete[Mean_VP],MATCH(vp.tbl[[#This Row],[Crude_Breakdown]],crudeBD.lkup.complete[Crude Breakdown],0)))^2,"")</f>
        <v>111.30911682307602</v>
      </c>
      <c r="AN1535" s="4">
        <f>IFERROR((vp.tbl[[#This Row],[Dens]]-INDEX(crudeBD.lkup.complete[Mean_Dens],MATCH(vp.tbl[[#This Row],[Crude_Breakdown]],crudeBD.lkup.complete[Crude Breakdown],0)))^2,"")</f>
        <v>12.169644405056506</v>
      </c>
      <c r="AO1535" s="4">
        <f>IFERROR((vp.tbl[[#This Row],[Sulf]]-INDEX(crudeBD.lkup.complete[Mean_Sulf],MATCH(vp.tbl[[#This Row],[Crude_Breakdown]],crudeBD.lkup.complete[Crude Breakdown],0)))^2,"")</f>
        <v>5.644515043280923E-4</v>
      </c>
      <c r="AP1535">
        <f>IF(AND(vp.tbl[[#This Row],[SDate]]&gt;=DATE(YEAR(vp.tbl[[#This Row],[SDate]]),5,1),vp.tbl[[#This Row],[SDate]]&lt;=DATE(YEAR(vp.tbl[[#This Row],[SDate]]),9,15)),1,0)</f>
        <v>1</v>
      </c>
      <c r="AQ1535" s="15">
        <f>IF(vp.tbl[[#This Row],[SDate]]&lt;DATE(2016,12,1),0,1)</f>
        <v>1</v>
      </c>
    </row>
    <row r="1536" spans="1:43" x14ac:dyDescent="0.25">
      <c r="A1536">
        <v>1535</v>
      </c>
      <c r="B1536" t="s">
        <v>62</v>
      </c>
      <c r="C1536" t="s">
        <v>62</v>
      </c>
      <c r="D1536" t="s">
        <v>83</v>
      </c>
      <c r="F1536" s="1">
        <v>42878</v>
      </c>
      <c r="G1536" s="2">
        <v>76.2</v>
      </c>
      <c r="H1536" s="2"/>
      <c r="I1536" s="2">
        <v>0.19</v>
      </c>
      <c r="J1536" s="2"/>
      <c r="K1536" s="2"/>
      <c r="L1536" s="2"/>
      <c r="M1536" s="2">
        <v>810.1</v>
      </c>
      <c r="N1536" s="2">
        <f ca="1">INDEX(INDIRECT(_xlfn.CONCAT("weather.tbl[",N$1,"]")),MATCH(vp.tbl[[#This Row],[SDate]],weather.tbl[Date],0))</f>
        <v>12</v>
      </c>
      <c r="O1536" s="2">
        <f ca="1">INDEX(INDIRECT(_xlfn.CONCAT("weather.tbl[",O$1,"]")),MATCH(vp.tbl[[#This Row],[SDate]],weather.tbl[Date],0))</f>
        <v>9.742857142857142</v>
      </c>
      <c r="P1536" s="2">
        <f ca="1">INDEX(INDIRECT(_xlfn.CONCAT("weather.tbl[",P$1,"]")),MATCH(vp.tbl[[#This Row],[SDate]],weather.tbl[Date],0))</f>
        <v>12</v>
      </c>
      <c r="Q1536" s="2">
        <f ca="1">INDEX(INDIRECT(_xlfn.CONCAT("weather.tbl[",Q$1,"]")),MATCH(vp.tbl[[#This Row],[SDate]],weather.tbl[Date],0))</f>
        <v>12.6</v>
      </c>
      <c r="R1536" s="2">
        <f ca="1">INDEX(INDIRECT(_xlfn.CONCAT("weather.tbl[",R$1,"]")),MATCH(vp.tbl[[#This Row],[SDate]],weather.tbl[Date],0))</f>
        <v>11.3</v>
      </c>
      <c r="S1536" s="2">
        <f ca="1">INDEX(INDIRECT(_xlfn.CONCAT("weather.tbl[",S$1,"]")),MATCH(vp.tbl[[#This Row],[SDate]],weather.tbl[Date],0))</f>
        <v>12.5</v>
      </c>
      <c r="T1536" s="2">
        <f ca="1">INDEX(INDIRECT(_xlfn.CONCAT("weather.tbl[",T$1,"]")),MATCH(vp.tbl[[#This Row],[SDate]],weather.tbl[Date],0))</f>
        <v>11.3</v>
      </c>
      <c r="U1536" s="2">
        <f ca="1">INDEX(INDIRECT(_xlfn.CONCAT("weather.tbl[",U$1,"]")),MATCH(vp.tbl[[#This Row],[SDate]],weather.tbl[Date],0))</f>
        <v>12.3</v>
      </c>
      <c r="V1536" s="2">
        <v>8729.3289999999997</v>
      </c>
      <c r="W1536" t="s">
        <v>48</v>
      </c>
      <c r="X1536">
        <f>IF(OR(vp.tbl[[#This Row],[Sulf]]="",vp.tbl[[#This Row],[Dens]]=""),1,0)</f>
        <v>0</v>
      </c>
      <c r="Y1536">
        <f>IF(vp.tbl[[#This Row],[CrudeType]]="C5+",1,0)</f>
        <v>0</v>
      </c>
      <c r="Z1536">
        <f>IF(AND(vp.tbl[[#This Row],[CrudeType]]="Crude",vp.tbl[[#This Row],[Dens]]&lt;=825,vp.tbl[[#This Row],[Sulf]]&gt;0.5,vp.tbl[[#This Row],[Unknown]]=0),1,0)</f>
        <v>0</v>
      </c>
      <c r="AA1536">
        <f>IF(AND(vp.tbl[[#This Row],[CrudeType]]="Crude",vp.tbl[[#This Row],[Dens]]&lt;=825,vp.tbl[[#This Row],[Sulf]]&lt;=0.5,vp.tbl[[#This Row],[Unknown]]=0),1,0)</f>
        <v>1</v>
      </c>
      <c r="AB1536">
        <f>IF(AND(vp.tbl[[#This Row],[CrudeType]]="Crude",vp.tbl[[#This Row],[Dens]]&gt;825,vp.tbl[[#This Row],[Dens]]&lt;=870,vp.tbl[[#This Row],[Sulf]]&gt;0.5,vp.tbl[[#This Row],[Unknown]]=0),1,0)</f>
        <v>0</v>
      </c>
      <c r="AC1536">
        <f>IF(AND(vp.tbl[[#This Row],[CrudeType]]="Crude",vp.tbl[[#This Row],[Dens]]&gt;825,vp.tbl[[#This Row],[Dens]]&lt;=900,vp.tbl[[#This Row],[Sulf]]&lt;=0.5,vp.tbl[[#This Row],[Unknown]]=0),1,0)</f>
        <v>0</v>
      </c>
      <c r="AD1536">
        <f>IF(AND(vp.tbl[[#This Row],[CrudeType]]="Crude",vp.tbl[[#This Row],[Dens]]&gt;870,vp.tbl[[#This Row],[Dens]]&lt;=900,vp.tbl[[#This Row],[Sulf]]&gt;0.5,vp.tbl[[#This Row],[Unknown]]=0),1,0)</f>
        <v>0</v>
      </c>
      <c r="AE1536">
        <f>IF(AND(vp.tbl[[#This Row],[CrudeType]]="Crude",vp.tbl[[#This Row],[Dens]]&gt;900,vp.tbl[[#This Row],[Sulf]]&lt;=0.5,vp.tbl[[#This Row],[Unknown]]=0),1,0)</f>
        <v>0</v>
      </c>
      <c r="AF1536">
        <f>IF(AND(vp.tbl[[#This Row],[CrudeType]]="Crude",vp.tbl[[#This Row],[Dens]]&gt;900,vp.tbl[[#This Row],[Sulf]]&lt;=0.5,vp.tbl[[#This Row],[Unknown]]=0),1,0)</f>
        <v>0</v>
      </c>
      <c r="AG1536" t="str">
        <f>INDEX(vp.tbl[[#Headers],[Unknown]:[Heavy_SW]],MATCH(1,vp.tbl[[#This Row],[Unknown]:[Heavy_SW]],0))</f>
        <v>Light_SW</v>
      </c>
      <c r="AH1536" t="e">
        <f>INDEX([1]!crudeBD.lkup[Number],MATCH(vp.tbl[[#This Row],[Crude_Breakdown]],[1]!crudeBD.lkup[Crude Breakdown],0))</f>
        <v>#REF!</v>
      </c>
      <c r="AI1536">
        <f>MONTH(vp.tbl[[#This Row],[SDate]])</f>
        <v>5</v>
      </c>
      <c r="AJ1536" s="5">
        <f>IFERROR(vp.tbl[[#This Row],[Sulf]]*vp.tbl[[#This Row],[Net Dens]],"")</f>
        <v>1343609.590351</v>
      </c>
      <c r="AK1536" s="5">
        <f>IFERROR(vp.tbl[[#This Row],[Dens]]*vp.tbl[[#This Row],[VolumeM3]],"")</f>
        <v>7071629.4228999997</v>
      </c>
      <c r="AL1536" s="5">
        <f>IFERROR(vp.tbl[[#This Row],[VP]]*vp.tbl[[#This Row],[VolumeM3]],"")</f>
        <v>665174.86979999999</v>
      </c>
      <c r="AM1536" s="4">
        <f>IFERROR((vp.tbl[[#This Row],[VP]]-INDEX(crudeBD.lkup.complete[Mean_VP],MATCH(vp.tbl[[#This Row],[Crude_Breakdown]],crudeBD.lkup.complete[Crude Breakdown],0)))^2,"")</f>
        <v>267.33275445373761</v>
      </c>
      <c r="AN1536" s="4">
        <f>IFERROR((vp.tbl[[#This Row],[Dens]]-INDEX(crudeBD.lkup.complete[Mean_Dens],MATCH(vp.tbl[[#This Row],[Crude_Breakdown]],crudeBD.lkup.complete[Crude Breakdown],0)))^2,"")</f>
        <v>3.1987384817112146</v>
      </c>
      <c r="AO1536" s="4">
        <f>IFERROR((vp.tbl[[#This Row],[Sulf]]-INDEX(crudeBD.lkup.complete[Mean_Sulf],MATCH(vp.tbl[[#This Row],[Crude_Breakdown]],crudeBD.lkup.complete[Crude Breakdown],0)))^2,"")</f>
        <v>2.1383051628646554E-3</v>
      </c>
      <c r="AP1536">
        <f>IF(AND(vp.tbl[[#This Row],[SDate]]&gt;=DATE(YEAR(vp.tbl[[#This Row],[SDate]]),5,1),vp.tbl[[#This Row],[SDate]]&lt;=DATE(YEAR(vp.tbl[[#This Row],[SDate]]),9,15)),1,0)</f>
        <v>1</v>
      </c>
      <c r="AQ1536" s="15">
        <f>IF(vp.tbl[[#This Row],[SDate]]&lt;DATE(2016,12,1),0,1)</f>
        <v>1</v>
      </c>
    </row>
    <row r="1537" spans="1:43" x14ac:dyDescent="0.25">
      <c r="A1537">
        <v>1536</v>
      </c>
      <c r="B1537" t="s">
        <v>62</v>
      </c>
      <c r="C1537" t="s">
        <v>62</v>
      </c>
      <c r="D1537" t="s">
        <v>79</v>
      </c>
      <c r="F1537" s="1">
        <v>42878</v>
      </c>
      <c r="G1537" s="2">
        <v>79.3</v>
      </c>
      <c r="H1537" s="2"/>
      <c r="I1537" s="2">
        <v>0.35</v>
      </c>
      <c r="J1537" s="2"/>
      <c r="K1537" s="2"/>
      <c r="L1537" s="2"/>
      <c r="M1537" s="2">
        <v>809</v>
      </c>
      <c r="N1537" s="2">
        <f ca="1">INDEX(INDIRECT(_xlfn.CONCAT("weather.tbl[",N$1,"]")),MATCH(vp.tbl[[#This Row],[SDate]],weather.tbl[Date],0))</f>
        <v>12</v>
      </c>
      <c r="O1537" s="2">
        <f ca="1">INDEX(INDIRECT(_xlfn.CONCAT("weather.tbl[",O$1,"]")),MATCH(vp.tbl[[#This Row],[SDate]],weather.tbl[Date],0))</f>
        <v>9.742857142857142</v>
      </c>
      <c r="P1537" s="2">
        <f ca="1">INDEX(INDIRECT(_xlfn.CONCAT("weather.tbl[",P$1,"]")),MATCH(vp.tbl[[#This Row],[SDate]],weather.tbl[Date],0))</f>
        <v>12</v>
      </c>
      <c r="Q1537" s="2">
        <f ca="1">INDEX(INDIRECT(_xlfn.CONCAT("weather.tbl[",Q$1,"]")),MATCH(vp.tbl[[#This Row],[SDate]],weather.tbl[Date],0))</f>
        <v>12.6</v>
      </c>
      <c r="R1537" s="2">
        <f ca="1">INDEX(INDIRECT(_xlfn.CONCAT("weather.tbl[",R$1,"]")),MATCH(vp.tbl[[#This Row],[SDate]],weather.tbl[Date],0))</f>
        <v>11.3</v>
      </c>
      <c r="S1537" s="2">
        <f ca="1">INDEX(INDIRECT(_xlfn.CONCAT("weather.tbl[",S$1,"]")),MATCH(vp.tbl[[#This Row],[SDate]],weather.tbl[Date],0))</f>
        <v>12.5</v>
      </c>
      <c r="T1537" s="2">
        <f ca="1">INDEX(INDIRECT(_xlfn.CONCAT("weather.tbl[",T$1,"]")),MATCH(vp.tbl[[#This Row],[SDate]],weather.tbl[Date],0))</f>
        <v>11.3</v>
      </c>
      <c r="U1537" s="2">
        <f ca="1">INDEX(INDIRECT(_xlfn.CONCAT("weather.tbl[",U$1,"]")),MATCH(vp.tbl[[#This Row],[SDate]],weather.tbl[Date],0))</f>
        <v>12.3</v>
      </c>
      <c r="V1537" s="2">
        <v>12983.781000000001</v>
      </c>
      <c r="W1537" t="s">
        <v>48</v>
      </c>
      <c r="X1537">
        <f>IF(OR(vp.tbl[[#This Row],[Sulf]]="",vp.tbl[[#This Row],[Dens]]=""),1,0)</f>
        <v>0</v>
      </c>
      <c r="Y1537">
        <f>IF(vp.tbl[[#This Row],[CrudeType]]="C5+",1,0)</f>
        <v>0</v>
      </c>
      <c r="Z1537">
        <f>IF(AND(vp.tbl[[#This Row],[CrudeType]]="Crude",vp.tbl[[#This Row],[Dens]]&lt;=825,vp.tbl[[#This Row],[Sulf]]&gt;0.5,vp.tbl[[#This Row],[Unknown]]=0),1,0)</f>
        <v>0</v>
      </c>
      <c r="AA1537">
        <f>IF(AND(vp.tbl[[#This Row],[CrudeType]]="Crude",vp.tbl[[#This Row],[Dens]]&lt;=825,vp.tbl[[#This Row],[Sulf]]&lt;=0.5,vp.tbl[[#This Row],[Unknown]]=0),1,0)</f>
        <v>1</v>
      </c>
      <c r="AB1537">
        <f>IF(AND(vp.tbl[[#This Row],[CrudeType]]="Crude",vp.tbl[[#This Row],[Dens]]&gt;825,vp.tbl[[#This Row],[Dens]]&lt;=870,vp.tbl[[#This Row],[Sulf]]&gt;0.5,vp.tbl[[#This Row],[Unknown]]=0),1,0)</f>
        <v>0</v>
      </c>
      <c r="AC1537">
        <f>IF(AND(vp.tbl[[#This Row],[CrudeType]]="Crude",vp.tbl[[#This Row],[Dens]]&gt;825,vp.tbl[[#This Row],[Dens]]&lt;=900,vp.tbl[[#This Row],[Sulf]]&lt;=0.5,vp.tbl[[#This Row],[Unknown]]=0),1,0)</f>
        <v>0</v>
      </c>
      <c r="AD1537">
        <f>IF(AND(vp.tbl[[#This Row],[CrudeType]]="Crude",vp.tbl[[#This Row],[Dens]]&gt;870,vp.tbl[[#This Row],[Dens]]&lt;=900,vp.tbl[[#This Row],[Sulf]]&gt;0.5,vp.tbl[[#This Row],[Unknown]]=0),1,0)</f>
        <v>0</v>
      </c>
      <c r="AE1537">
        <f>IF(AND(vp.tbl[[#This Row],[CrudeType]]="Crude",vp.tbl[[#This Row],[Dens]]&gt;900,vp.tbl[[#This Row],[Sulf]]&lt;=0.5,vp.tbl[[#This Row],[Unknown]]=0),1,0)</f>
        <v>0</v>
      </c>
      <c r="AF1537">
        <f>IF(AND(vp.tbl[[#This Row],[CrudeType]]="Crude",vp.tbl[[#This Row],[Dens]]&gt;900,vp.tbl[[#This Row],[Sulf]]&lt;=0.5,vp.tbl[[#This Row],[Unknown]]=0),1,0)</f>
        <v>0</v>
      </c>
      <c r="AG1537" t="str">
        <f>INDEX(vp.tbl[[#Headers],[Unknown]:[Heavy_SW]],MATCH(1,vp.tbl[[#This Row],[Unknown]:[Heavy_SW]],0))</f>
        <v>Light_SW</v>
      </c>
      <c r="AH1537" t="e">
        <f>INDEX([1]!crudeBD.lkup[Number],MATCH(vp.tbl[[#This Row],[Crude_Breakdown]],[1]!crudeBD.lkup[Crude Breakdown],0))</f>
        <v>#REF!</v>
      </c>
      <c r="AI1537">
        <f>MONTH(vp.tbl[[#This Row],[SDate]])</f>
        <v>5</v>
      </c>
      <c r="AJ1537" s="5">
        <f>IFERROR(vp.tbl[[#This Row],[Sulf]]*vp.tbl[[#This Row],[Net Dens]],"")</f>
        <v>3676357.5901499996</v>
      </c>
      <c r="AK1537" s="5">
        <f>IFERROR(vp.tbl[[#This Row],[Dens]]*vp.tbl[[#This Row],[VolumeM3]],"")</f>
        <v>10503878.829</v>
      </c>
      <c r="AL1537" s="5">
        <f>IFERROR(vp.tbl[[#This Row],[VP]]*vp.tbl[[#This Row],[VolumeM3]],"")</f>
        <v>1029613.8333000001</v>
      </c>
      <c r="AM1537" s="4">
        <f>IFERROR((vp.tbl[[#This Row],[VP]]-INDEX(crudeBD.lkup.complete[Mean_VP],MATCH(vp.tbl[[#This Row],[Crude_Breakdown]],crudeBD.lkup.complete[Crude Breakdown],0)))^2,"")</f>
        <v>175.57081020286688</v>
      </c>
      <c r="AN1537" s="4">
        <f>IFERROR((vp.tbl[[#This Row],[Dens]]-INDEX(crudeBD.lkup.complete[Mean_Dens],MATCH(vp.tbl[[#This Row],[Crude_Breakdown]],crudeBD.lkup.complete[Crude Breakdown],0)))^2,"")</f>
        <v>0.4740346489580396</v>
      </c>
      <c r="AO1537" s="4">
        <f>IFERROR((vp.tbl[[#This Row],[Sulf]]-INDEX(crudeBD.lkup.complete[Mean_Sulf],MATCH(vp.tbl[[#This Row],[Crude_Breakdown]],crudeBD.lkup.complete[Crude Breakdown],0)))^2,"")</f>
        <v>1.2940925371923933E-2</v>
      </c>
      <c r="AP1537">
        <f>IF(AND(vp.tbl[[#This Row],[SDate]]&gt;=DATE(YEAR(vp.tbl[[#This Row],[SDate]]),5,1),vp.tbl[[#This Row],[SDate]]&lt;=DATE(YEAR(vp.tbl[[#This Row],[SDate]]),9,15)),1,0)</f>
        <v>1</v>
      </c>
      <c r="AQ1537" s="15">
        <f>IF(vp.tbl[[#This Row],[SDate]]&lt;DATE(2016,12,1),0,1)</f>
        <v>1</v>
      </c>
    </row>
    <row r="1538" spans="1:43" x14ac:dyDescent="0.25">
      <c r="A1538">
        <v>1537</v>
      </c>
      <c r="B1538" t="s">
        <v>62</v>
      </c>
      <c r="C1538" t="s">
        <v>62</v>
      </c>
      <c r="D1538" t="s">
        <v>326</v>
      </c>
      <c r="F1538" s="1">
        <v>42878</v>
      </c>
      <c r="G1538" s="2">
        <v>66.599999999999994</v>
      </c>
      <c r="H1538" s="2"/>
      <c r="I1538" s="2">
        <v>1.7</v>
      </c>
      <c r="J1538" s="2"/>
      <c r="K1538" s="2"/>
      <c r="L1538" s="2"/>
      <c r="M1538" s="2">
        <v>853.8</v>
      </c>
      <c r="N1538" s="2">
        <f ca="1">INDEX(INDIRECT(_xlfn.CONCAT("weather.tbl[",N$1,"]")),MATCH(vp.tbl[[#This Row],[SDate]],weather.tbl[Date],0))</f>
        <v>12</v>
      </c>
      <c r="O1538" s="2">
        <f ca="1">INDEX(INDIRECT(_xlfn.CONCAT("weather.tbl[",O$1,"]")),MATCH(vp.tbl[[#This Row],[SDate]],weather.tbl[Date],0))</f>
        <v>9.742857142857142</v>
      </c>
      <c r="P1538" s="2">
        <f ca="1">INDEX(INDIRECT(_xlfn.CONCAT("weather.tbl[",P$1,"]")),MATCH(vp.tbl[[#This Row],[SDate]],weather.tbl[Date],0))</f>
        <v>12</v>
      </c>
      <c r="Q1538" s="2">
        <f ca="1">INDEX(INDIRECT(_xlfn.CONCAT("weather.tbl[",Q$1,"]")),MATCH(vp.tbl[[#This Row],[SDate]],weather.tbl[Date],0))</f>
        <v>12.6</v>
      </c>
      <c r="R1538" s="2">
        <f ca="1">INDEX(INDIRECT(_xlfn.CONCAT("weather.tbl[",R$1,"]")),MATCH(vp.tbl[[#This Row],[SDate]],weather.tbl[Date],0))</f>
        <v>11.3</v>
      </c>
      <c r="S1538" s="2">
        <f ca="1">INDEX(INDIRECT(_xlfn.CONCAT("weather.tbl[",S$1,"]")),MATCH(vp.tbl[[#This Row],[SDate]],weather.tbl[Date],0))</f>
        <v>12.5</v>
      </c>
      <c r="T1538" s="2">
        <f ca="1">INDEX(INDIRECT(_xlfn.CONCAT("weather.tbl[",T$1,"]")),MATCH(vp.tbl[[#This Row],[SDate]],weather.tbl[Date],0))</f>
        <v>11.3</v>
      </c>
      <c r="U1538" s="2">
        <f ca="1">INDEX(INDIRECT(_xlfn.CONCAT("weather.tbl[",U$1,"]")),MATCH(vp.tbl[[#This Row],[SDate]],weather.tbl[Date],0))</f>
        <v>12.3</v>
      </c>
      <c r="V1538" s="2">
        <v>665.48599999999999</v>
      </c>
      <c r="W1538" t="s">
        <v>48</v>
      </c>
      <c r="X1538">
        <f>IF(OR(vp.tbl[[#This Row],[Sulf]]="",vp.tbl[[#This Row],[Dens]]=""),1,0)</f>
        <v>0</v>
      </c>
      <c r="Y1538">
        <f>IF(vp.tbl[[#This Row],[CrudeType]]="C5+",1,0)</f>
        <v>0</v>
      </c>
      <c r="Z1538">
        <f>IF(AND(vp.tbl[[#This Row],[CrudeType]]="Crude",vp.tbl[[#This Row],[Dens]]&lt;=825,vp.tbl[[#This Row],[Sulf]]&gt;0.5,vp.tbl[[#This Row],[Unknown]]=0),1,0)</f>
        <v>0</v>
      </c>
      <c r="AA1538">
        <f>IF(AND(vp.tbl[[#This Row],[CrudeType]]="Crude",vp.tbl[[#This Row],[Dens]]&lt;=825,vp.tbl[[#This Row],[Sulf]]&lt;=0.5,vp.tbl[[#This Row],[Unknown]]=0),1,0)</f>
        <v>0</v>
      </c>
      <c r="AB1538">
        <f>IF(AND(vp.tbl[[#This Row],[CrudeType]]="Crude",vp.tbl[[#This Row],[Dens]]&gt;825,vp.tbl[[#This Row],[Dens]]&lt;=870,vp.tbl[[#This Row],[Sulf]]&gt;0.5,vp.tbl[[#This Row],[Unknown]]=0),1,0)</f>
        <v>1</v>
      </c>
      <c r="AC1538">
        <f>IF(AND(vp.tbl[[#This Row],[CrudeType]]="Crude",vp.tbl[[#This Row],[Dens]]&gt;825,vp.tbl[[#This Row],[Dens]]&lt;=900,vp.tbl[[#This Row],[Sulf]]&lt;=0.5,vp.tbl[[#This Row],[Unknown]]=0),1,0)</f>
        <v>0</v>
      </c>
      <c r="AD1538">
        <f>IF(AND(vp.tbl[[#This Row],[CrudeType]]="Crude",vp.tbl[[#This Row],[Dens]]&gt;870,vp.tbl[[#This Row],[Dens]]&lt;=900,vp.tbl[[#This Row],[Sulf]]&gt;0.5,vp.tbl[[#This Row],[Unknown]]=0),1,0)</f>
        <v>0</v>
      </c>
      <c r="AE1538">
        <f>IF(AND(vp.tbl[[#This Row],[CrudeType]]="Crude",vp.tbl[[#This Row],[Dens]]&gt;900,vp.tbl[[#This Row],[Sulf]]&lt;=0.5,vp.tbl[[#This Row],[Unknown]]=0),1,0)</f>
        <v>0</v>
      </c>
      <c r="AF1538">
        <f>IF(AND(vp.tbl[[#This Row],[CrudeType]]="Crude",vp.tbl[[#This Row],[Dens]]&gt;900,vp.tbl[[#This Row],[Sulf]]&lt;=0.5,vp.tbl[[#This Row],[Unknown]]=0),1,0)</f>
        <v>0</v>
      </c>
      <c r="AG1538" t="str">
        <f>INDEX(vp.tbl[[#Headers],[Unknown]:[Heavy_SW]],MATCH(1,vp.tbl[[#This Row],[Unknown]:[Heavy_SW]],0))</f>
        <v>Medium_LSB</v>
      </c>
      <c r="AH1538" t="e">
        <f>INDEX([1]!crudeBD.lkup[Number],MATCH(vp.tbl[[#This Row],[Crude_Breakdown]],[1]!crudeBD.lkup[Crude Breakdown],0))</f>
        <v>#REF!</v>
      </c>
      <c r="AI1538">
        <f>MONTH(vp.tbl[[#This Row],[SDate]])</f>
        <v>5</v>
      </c>
      <c r="AJ1538" s="5">
        <f>IFERROR(vp.tbl[[#This Row],[Sulf]]*vp.tbl[[#This Row],[Net Dens]],"")</f>
        <v>965926.30955999985</v>
      </c>
      <c r="AK1538" s="5">
        <f>IFERROR(vp.tbl[[#This Row],[Dens]]*vp.tbl[[#This Row],[VolumeM3]],"")</f>
        <v>568191.94679999992</v>
      </c>
      <c r="AL1538" s="5">
        <f>IFERROR(vp.tbl[[#This Row],[VP]]*vp.tbl[[#This Row],[VolumeM3]],"")</f>
        <v>44321.367599999998</v>
      </c>
      <c r="AM1538" s="4">
        <f>IFERROR((vp.tbl[[#This Row],[VP]]-INDEX(crudeBD.lkup.complete[Mean_VP],MATCH(vp.tbl[[#This Row],[Crude_Breakdown]],crudeBD.lkup.complete[Crude Breakdown],0)))^2,"")</f>
        <v>184.24247950584757</v>
      </c>
      <c r="AN1538" s="4">
        <f>IFERROR((vp.tbl[[#This Row],[Dens]]-INDEX(crudeBD.lkup.complete[Mean_Dens],MATCH(vp.tbl[[#This Row],[Crude_Breakdown]],crudeBD.lkup.complete[Crude Breakdown],0)))^2,"")</f>
        <v>72.389079525092086</v>
      </c>
      <c r="AO1538" s="4">
        <f>IFERROR((vp.tbl[[#This Row],[Sulf]]-INDEX(crudeBD.lkup.complete[Mean_Sulf],MATCH(vp.tbl[[#This Row],[Crude_Breakdown]],crudeBD.lkup.complete[Crude Breakdown],0)))^2,"")</f>
        <v>6.0059373147360415E-2</v>
      </c>
      <c r="AP1538">
        <f>IF(AND(vp.tbl[[#This Row],[SDate]]&gt;=DATE(YEAR(vp.tbl[[#This Row],[SDate]]),5,1),vp.tbl[[#This Row],[SDate]]&lt;=DATE(YEAR(vp.tbl[[#This Row],[SDate]]),9,15)),1,0)</f>
        <v>1</v>
      </c>
      <c r="AQ1538" s="15">
        <f>IF(vp.tbl[[#This Row],[SDate]]&lt;DATE(2016,12,1),0,1)</f>
        <v>1</v>
      </c>
    </row>
    <row r="1539" spans="1:43" x14ac:dyDescent="0.25">
      <c r="A1539">
        <v>1538</v>
      </c>
      <c r="B1539" t="s">
        <v>62</v>
      </c>
      <c r="C1539" t="s">
        <v>62</v>
      </c>
      <c r="D1539" t="s">
        <v>63</v>
      </c>
      <c r="F1539" s="1">
        <v>42878</v>
      </c>
      <c r="G1539" s="2">
        <v>71.8</v>
      </c>
      <c r="H1539" s="2"/>
      <c r="I1539" s="2">
        <v>0.8</v>
      </c>
      <c r="J1539" s="2"/>
      <c r="K1539" s="2"/>
      <c r="L1539" s="2"/>
      <c r="M1539" s="2">
        <v>821.4</v>
      </c>
      <c r="N1539" s="2">
        <f ca="1">INDEX(INDIRECT(_xlfn.CONCAT("weather.tbl[",N$1,"]")),MATCH(vp.tbl[[#This Row],[SDate]],weather.tbl[Date],0))</f>
        <v>12</v>
      </c>
      <c r="O1539" s="2">
        <f ca="1">INDEX(INDIRECT(_xlfn.CONCAT("weather.tbl[",O$1,"]")),MATCH(vp.tbl[[#This Row],[SDate]],weather.tbl[Date],0))</f>
        <v>9.742857142857142</v>
      </c>
      <c r="P1539" s="2">
        <f ca="1">INDEX(INDIRECT(_xlfn.CONCAT("weather.tbl[",P$1,"]")),MATCH(vp.tbl[[#This Row],[SDate]],weather.tbl[Date],0))</f>
        <v>12</v>
      </c>
      <c r="Q1539" s="2">
        <f ca="1">INDEX(INDIRECT(_xlfn.CONCAT("weather.tbl[",Q$1,"]")),MATCH(vp.tbl[[#This Row],[SDate]],weather.tbl[Date],0))</f>
        <v>12.6</v>
      </c>
      <c r="R1539" s="2">
        <f ca="1">INDEX(INDIRECT(_xlfn.CONCAT("weather.tbl[",R$1,"]")),MATCH(vp.tbl[[#This Row],[SDate]],weather.tbl[Date],0))</f>
        <v>11.3</v>
      </c>
      <c r="S1539" s="2">
        <f ca="1">INDEX(INDIRECT(_xlfn.CONCAT("weather.tbl[",S$1,"]")),MATCH(vp.tbl[[#This Row],[SDate]],weather.tbl[Date],0))</f>
        <v>12.5</v>
      </c>
      <c r="T1539" s="2">
        <f ca="1">INDEX(INDIRECT(_xlfn.CONCAT("weather.tbl[",T$1,"]")),MATCH(vp.tbl[[#This Row],[SDate]],weather.tbl[Date],0))</f>
        <v>11.3</v>
      </c>
      <c r="U1539" s="2">
        <f ca="1">INDEX(INDIRECT(_xlfn.CONCAT("weather.tbl[",U$1,"]")),MATCH(vp.tbl[[#This Row],[SDate]],weather.tbl[Date],0))</f>
        <v>12.3</v>
      </c>
      <c r="V1539" s="2">
        <v>9174.1849999999995</v>
      </c>
      <c r="W1539" t="s">
        <v>48</v>
      </c>
      <c r="X1539">
        <f>IF(OR(vp.tbl[[#This Row],[Sulf]]="",vp.tbl[[#This Row],[Dens]]=""),1,0)</f>
        <v>0</v>
      </c>
      <c r="Y1539">
        <f>IF(vp.tbl[[#This Row],[CrudeType]]="C5+",1,0)</f>
        <v>0</v>
      </c>
      <c r="Z1539">
        <f>IF(AND(vp.tbl[[#This Row],[CrudeType]]="Crude",vp.tbl[[#This Row],[Dens]]&lt;=825,vp.tbl[[#This Row],[Sulf]]&gt;0.5,vp.tbl[[#This Row],[Unknown]]=0),1,0)</f>
        <v>1</v>
      </c>
      <c r="AA1539">
        <f>IF(AND(vp.tbl[[#This Row],[CrudeType]]="Crude",vp.tbl[[#This Row],[Dens]]&lt;=825,vp.tbl[[#This Row],[Sulf]]&lt;=0.5,vp.tbl[[#This Row],[Unknown]]=0),1,0)</f>
        <v>0</v>
      </c>
      <c r="AB1539">
        <f>IF(AND(vp.tbl[[#This Row],[CrudeType]]="Crude",vp.tbl[[#This Row],[Dens]]&gt;825,vp.tbl[[#This Row],[Dens]]&lt;=870,vp.tbl[[#This Row],[Sulf]]&gt;0.5,vp.tbl[[#This Row],[Unknown]]=0),1,0)</f>
        <v>0</v>
      </c>
      <c r="AC1539">
        <f>IF(AND(vp.tbl[[#This Row],[CrudeType]]="Crude",vp.tbl[[#This Row],[Dens]]&gt;825,vp.tbl[[#This Row],[Dens]]&lt;=900,vp.tbl[[#This Row],[Sulf]]&lt;=0.5,vp.tbl[[#This Row],[Unknown]]=0),1,0)</f>
        <v>0</v>
      </c>
      <c r="AD1539">
        <f>IF(AND(vp.tbl[[#This Row],[CrudeType]]="Crude",vp.tbl[[#This Row],[Dens]]&gt;870,vp.tbl[[#This Row],[Dens]]&lt;=900,vp.tbl[[#This Row],[Sulf]]&gt;0.5,vp.tbl[[#This Row],[Unknown]]=0),1,0)</f>
        <v>0</v>
      </c>
      <c r="AE1539">
        <f>IF(AND(vp.tbl[[#This Row],[CrudeType]]="Crude",vp.tbl[[#This Row],[Dens]]&gt;900,vp.tbl[[#This Row],[Sulf]]&lt;=0.5,vp.tbl[[#This Row],[Unknown]]=0),1,0)</f>
        <v>0</v>
      </c>
      <c r="AF1539">
        <f>IF(AND(vp.tbl[[#This Row],[CrudeType]]="Crude",vp.tbl[[#This Row],[Dens]]&gt;900,vp.tbl[[#This Row],[Sulf]]&lt;=0.5,vp.tbl[[#This Row],[Unknown]]=0),1,0)</f>
        <v>0</v>
      </c>
      <c r="AG1539" t="str">
        <f>INDEX(vp.tbl[[#Headers],[Unknown]:[Heavy_SW]],MATCH(1,vp.tbl[[#This Row],[Unknown]:[Heavy_SW]],0))</f>
        <v>Light_LSB</v>
      </c>
      <c r="AH1539" t="e">
        <f>INDEX([1]!crudeBD.lkup[Number],MATCH(vp.tbl[[#This Row],[Crude_Breakdown]],[1]!crudeBD.lkup[Crude Breakdown],0))</f>
        <v>#REF!</v>
      </c>
      <c r="AI1539">
        <f>MONTH(vp.tbl[[#This Row],[SDate]])</f>
        <v>5</v>
      </c>
      <c r="AJ1539" s="5">
        <f>IFERROR(vp.tbl[[#This Row],[Sulf]]*vp.tbl[[#This Row],[Net Dens]],"")</f>
        <v>6028540.4472000003</v>
      </c>
      <c r="AK1539" s="5">
        <f>IFERROR(vp.tbl[[#This Row],[Dens]]*vp.tbl[[#This Row],[VolumeM3]],"")</f>
        <v>7535675.5589999994</v>
      </c>
      <c r="AL1539" s="5">
        <f>IFERROR(vp.tbl[[#This Row],[VP]]*vp.tbl[[#This Row],[VolumeM3]],"")</f>
        <v>658706.48299999989</v>
      </c>
      <c r="AM1539" s="4">
        <f>IFERROR((vp.tbl[[#This Row],[VP]]-INDEX(crudeBD.lkup.complete[Mean_VP],MATCH(vp.tbl[[#This Row],[Crude_Breakdown]],crudeBD.lkup.complete[Crude Breakdown],0)))^2,"")</f>
        <v>389.91184444680761</v>
      </c>
      <c r="AN1539" s="4">
        <f>IFERROR((vp.tbl[[#This Row],[Dens]]-INDEX(crudeBD.lkup.complete[Mean_Dens],MATCH(vp.tbl[[#This Row],[Crude_Breakdown]],crudeBD.lkup.complete[Crude Breakdown],0)))^2,"")</f>
        <v>8.3130166200227009</v>
      </c>
      <c r="AO1539" s="4">
        <f>IFERROR((vp.tbl[[#This Row],[Sulf]]-INDEX(crudeBD.lkup.complete[Mean_Sulf],MATCH(vp.tbl[[#This Row],[Crude_Breakdown]],crudeBD.lkup.complete[Crude Breakdown],0)))^2,"")</f>
        <v>1.5121908253942369E-2</v>
      </c>
      <c r="AP1539">
        <f>IF(AND(vp.tbl[[#This Row],[SDate]]&gt;=DATE(YEAR(vp.tbl[[#This Row],[SDate]]),5,1),vp.tbl[[#This Row],[SDate]]&lt;=DATE(YEAR(vp.tbl[[#This Row],[SDate]]),9,15)),1,0)</f>
        <v>1</v>
      </c>
      <c r="AQ1539" s="15">
        <f>IF(vp.tbl[[#This Row],[SDate]]&lt;DATE(2016,12,1),0,1)</f>
        <v>1</v>
      </c>
    </row>
    <row r="1540" spans="1:43" x14ac:dyDescent="0.25">
      <c r="A1540">
        <v>1539</v>
      </c>
      <c r="B1540" t="s">
        <v>64</v>
      </c>
      <c r="C1540" t="s">
        <v>64</v>
      </c>
      <c r="D1540" t="s">
        <v>65</v>
      </c>
      <c r="F1540" s="1">
        <v>42878</v>
      </c>
      <c r="G1540" s="2">
        <v>44.8</v>
      </c>
      <c r="H1540" s="2"/>
      <c r="I1540" s="2">
        <v>2.0699999999999998</v>
      </c>
      <c r="J1540" s="2"/>
      <c r="K1540" s="2"/>
      <c r="L1540" s="2"/>
      <c r="M1540" s="2">
        <v>876.5</v>
      </c>
      <c r="N1540" s="2">
        <f ca="1">INDEX(INDIRECT(_xlfn.CONCAT("weather.tbl[",N$1,"]")),MATCH(vp.tbl[[#This Row],[SDate]],weather.tbl[Date],0))</f>
        <v>12</v>
      </c>
      <c r="O1540" s="2">
        <f ca="1">INDEX(INDIRECT(_xlfn.CONCAT("weather.tbl[",O$1,"]")),MATCH(vp.tbl[[#This Row],[SDate]],weather.tbl[Date],0))</f>
        <v>9.742857142857142</v>
      </c>
      <c r="P1540" s="2">
        <f ca="1">INDEX(INDIRECT(_xlfn.CONCAT("weather.tbl[",P$1,"]")),MATCH(vp.tbl[[#This Row],[SDate]],weather.tbl[Date],0))</f>
        <v>12</v>
      </c>
      <c r="Q1540" s="2">
        <f ca="1">INDEX(INDIRECT(_xlfn.CONCAT("weather.tbl[",Q$1,"]")),MATCH(vp.tbl[[#This Row],[SDate]],weather.tbl[Date],0))</f>
        <v>12.6</v>
      </c>
      <c r="R1540" s="2">
        <f ca="1">INDEX(INDIRECT(_xlfn.CONCAT("weather.tbl[",R$1,"]")),MATCH(vp.tbl[[#This Row],[SDate]],weather.tbl[Date],0))</f>
        <v>11.3</v>
      </c>
      <c r="S1540" s="2">
        <f ca="1">INDEX(INDIRECT(_xlfn.CONCAT("weather.tbl[",S$1,"]")),MATCH(vp.tbl[[#This Row],[SDate]],weather.tbl[Date],0))</f>
        <v>12.5</v>
      </c>
      <c r="T1540" s="2">
        <f ca="1">INDEX(INDIRECT(_xlfn.CONCAT("weather.tbl[",T$1,"]")),MATCH(vp.tbl[[#This Row],[SDate]],weather.tbl[Date],0))</f>
        <v>11.3</v>
      </c>
      <c r="U1540" s="2">
        <f ca="1">INDEX(INDIRECT(_xlfn.CONCAT("weather.tbl[",U$1,"]")),MATCH(vp.tbl[[#This Row],[SDate]],weather.tbl[Date],0))</f>
        <v>12.3</v>
      </c>
      <c r="V1540" s="2">
        <v>21822.753000000001</v>
      </c>
      <c r="W1540" t="s">
        <v>48</v>
      </c>
      <c r="X1540">
        <f>IF(OR(vp.tbl[[#This Row],[Sulf]]="",vp.tbl[[#This Row],[Dens]]=""),1,0)</f>
        <v>0</v>
      </c>
      <c r="Y1540">
        <f>IF(vp.tbl[[#This Row],[CrudeType]]="C5+",1,0)</f>
        <v>0</v>
      </c>
      <c r="Z1540">
        <f>IF(AND(vp.tbl[[#This Row],[CrudeType]]="Crude",vp.tbl[[#This Row],[Dens]]&lt;=825,vp.tbl[[#This Row],[Sulf]]&gt;0.5,vp.tbl[[#This Row],[Unknown]]=0),1,0)</f>
        <v>0</v>
      </c>
      <c r="AA1540">
        <f>IF(AND(vp.tbl[[#This Row],[CrudeType]]="Crude",vp.tbl[[#This Row],[Dens]]&lt;=825,vp.tbl[[#This Row],[Sulf]]&lt;=0.5,vp.tbl[[#This Row],[Unknown]]=0),1,0)</f>
        <v>0</v>
      </c>
      <c r="AB1540">
        <f>IF(AND(vp.tbl[[#This Row],[CrudeType]]="Crude",vp.tbl[[#This Row],[Dens]]&gt;825,vp.tbl[[#This Row],[Dens]]&lt;=870,vp.tbl[[#This Row],[Sulf]]&gt;0.5,vp.tbl[[#This Row],[Unknown]]=0),1,0)</f>
        <v>0</v>
      </c>
      <c r="AC1540">
        <f>IF(AND(vp.tbl[[#This Row],[CrudeType]]="Crude",vp.tbl[[#This Row],[Dens]]&gt;825,vp.tbl[[#This Row],[Dens]]&lt;=900,vp.tbl[[#This Row],[Sulf]]&lt;=0.5,vp.tbl[[#This Row],[Unknown]]=0),1,0)</f>
        <v>0</v>
      </c>
      <c r="AD1540">
        <f>IF(AND(vp.tbl[[#This Row],[CrudeType]]="Crude",vp.tbl[[#This Row],[Dens]]&gt;870,vp.tbl[[#This Row],[Dens]]&lt;=900,vp.tbl[[#This Row],[Sulf]]&gt;0.5,vp.tbl[[#This Row],[Unknown]]=0),1,0)</f>
        <v>1</v>
      </c>
      <c r="AE1540">
        <f>IF(AND(vp.tbl[[#This Row],[CrudeType]]="Crude",vp.tbl[[#This Row],[Dens]]&gt;900,vp.tbl[[#This Row],[Sulf]]&lt;=0.5,vp.tbl[[#This Row],[Unknown]]=0),1,0)</f>
        <v>0</v>
      </c>
      <c r="AF1540">
        <f>IF(AND(vp.tbl[[#This Row],[CrudeType]]="Crude",vp.tbl[[#This Row],[Dens]]&gt;900,vp.tbl[[#This Row],[Sulf]]&lt;=0.5,vp.tbl[[#This Row],[Unknown]]=0),1,0)</f>
        <v>0</v>
      </c>
      <c r="AG1540" t="str">
        <f>INDEX(vp.tbl[[#Headers],[Unknown]:[Heavy_SW]],MATCH(1,vp.tbl[[#This Row],[Unknown]:[Heavy_SW]],0))</f>
        <v>Midale</v>
      </c>
      <c r="AH1540" t="e">
        <f>INDEX([1]!crudeBD.lkup[Number],MATCH(vp.tbl[[#This Row],[Crude_Breakdown]],[1]!crudeBD.lkup[Crude Breakdown],0))</f>
        <v>#REF!</v>
      </c>
      <c r="AI1540">
        <f>MONTH(vp.tbl[[#This Row],[SDate]])</f>
        <v>5</v>
      </c>
      <c r="AJ1540" s="5">
        <f>IFERROR(vp.tbl[[#This Row],[Sulf]]*vp.tbl[[#This Row],[Net Dens]],"")</f>
        <v>39594221.019314997</v>
      </c>
      <c r="AK1540" s="5">
        <f>IFERROR(vp.tbl[[#This Row],[Dens]]*vp.tbl[[#This Row],[VolumeM3]],"")</f>
        <v>19127643.004500002</v>
      </c>
      <c r="AL1540" s="5">
        <f>IFERROR(vp.tbl[[#This Row],[VP]]*vp.tbl[[#This Row],[VolumeM3]],"")</f>
        <v>977659.33439999993</v>
      </c>
      <c r="AM1540" s="4">
        <f>IFERROR((vp.tbl[[#This Row],[VP]]-INDEX(crudeBD.lkup.complete[Mean_VP],MATCH(vp.tbl[[#This Row],[Crude_Breakdown]],crudeBD.lkup.complete[Crude Breakdown],0)))^2,"")</f>
        <v>549.35653968849761</v>
      </c>
      <c r="AN1540" s="4">
        <f>IFERROR((vp.tbl[[#This Row],[Dens]]-INDEX(crudeBD.lkup.complete[Mean_Dens],MATCH(vp.tbl[[#This Row],[Crude_Breakdown]],crudeBD.lkup.complete[Crude Breakdown],0)))^2,"")</f>
        <v>1.1068192906730354</v>
      </c>
      <c r="AO1540" s="4">
        <f>IFERROR((vp.tbl[[#This Row],[Sulf]]-INDEX(crudeBD.lkup.complete[Mean_Sulf],MATCH(vp.tbl[[#This Row],[Crude_Breakdown]],crudeBD.lkup.complete[Crude Breakdown],0)))^2,"")</f>
        <v>0.11925981021371665</v>
      </c>
      <c r="AP1540">
        <f>IF(AND(vp.tbl[[#This Row],[SDate]]&gt;=DATE(YEAR(vp.tbl[[#This Row],[SDate]]),5,1),vp.tbl[[#This Row],[SDate]]&lt;=DATE(YEAR(vp.tbl[[#This Row],[SDate]]),9,15)),1,0)</f>
        <v>1</v>
      </c>
      <c r="AQ1540" s="15">
        <f>IF(vp.tbl[[#This Row],[SDate]]&lt;DATE(2016,12,1),0,1)</f>
        <v>1</v>
      </c>
    </row>
    <row r="1541" spans="1:43" x14ac:dyDescent="0.25">
      <c r="A1541">
        <v>1540</v>
      </c>
      <c r="B1541" t="s">
        <v>84</v>
      </c>
      <c r="C1541" t="s">
        <v>84</v>
      </c>
      <c r="D1541" t="s">
        <v>327</v>
      </c>
      <c r="F1541" s="1">
        <v>42878</v>
      </c>
      <c r="G1541" s="2">
        <v>80</v>
      </c>
      <c r="H1541" s="2"/>
      <c r="I1541" s="2">
        <v>1.77</v>
      </c>
      <c r="J1541" s="2"/>
      <c r="K1541" s="2"/>
      <c r="L1541" s="2"/>
      <c r="M1541" s="2">
        <v>854.8</v>
      </c>
      <c r="N1541" s="2">
        <f ca="1">INDEX(INDIRECT(_xlfn.CONCAT("weather.tbl[",N$1,"]")),MATCH(vp.tbl[[#This Row],[SDate]],weather.tbl[Date],0))</f>
        <v>12</v>
      </c>
      <c r="O1541" s="2">
        <f ca="1">INDEX(INDIRECT(_xlfn.CONCAT("weather.tbl[",O$1,"]")),MATCH(vp.tbl[[#This Row],[SDate]],weather.tbl[Date],0))</f>
        <v>9.742857142857142</v>
      </c>
      <c r="P1541" s="2">
        <f ca="1">INDEX(INDIRECT(_xlfn.CONCAT("weather.tbl[",P$1,"]")),MATCH(vp.tbl[[#This Row],[SDate]],weather.tbl[Date],0))</f>
        <v>12</v>
      </c>
      <c r="Q1541" s="2">
        <f ca="1">INDEX(INDIRECT(_xlfn.CONCAT("weather.tbl[",Q$1,"]")),MATCH(vp.tbl[[#This Row],[SDate]],weather.tbl[Date],0))</f>
        <v>12.6</v>
      </c>
      <c r="R1541" s="2">
        <f ca="1">INDEX(INDIRECT(_xlfn.CONCAT("weather.tbl[",R$1,"]")),MATCH(vp.tbl[[#This Row],[SDate]],weather.tbl[Date],0))</f>
        <v>11.3</v>
      </c>
      <c r="S1541" s="2">
        <f ca="1">INDEX(INDIRECT(_xlfn.CONCAT("weather.tbl[",S$1,"]")),MATCH(vp.tbl[[#This Row],[SDate]],weather.tbl[Date],0))</f>
        <v>12.5</v>
      </c>
      <c r="T1541" s="2">
        <f ca="1">INDEX(INDIRECT(_xlfn.CONCAT("weather.tbl[",T$1,"]")),MATCH(vp.tbl[[#This Row],[SDate]],weather.tbl[Date],0))</f>
        <v>11.3</v>
      </c>
      <c r="U1541" s="2">
        <f ca="1">INDEX(INDIRECT(_xlfn.CONCAT("weather.tbl[",U$1,"]")),MATCH(vp.tbl[[#This Row],[SDate]],weather.tbl[Date],0))</f>
        <v>12.3</v>
      </c>
      <c r="V1541" s="2">
        <v>1197.825</v>
      </c>
      <c r="W1541" t="s">
        <v>48</v>
      </c>
      <c r="X1541">
        <f>IF(OR(vp.tbl[[#This Row],[Sulf]]="",vp.tbl[[#This Row],[Dens]]=""),1,0)</f>
        <v>0</v>
      </c>
      <c r="Y1541">
        <f>IF(vp.tbl[[#This Row],[CrudeType]]="C5+",1,0)</f>
        <v>0</v>
      </c>
      <c r="Z1541">
        <f>IF(AND(vp.tbl[[#This Row],[CrudeType]]="Crude",vp.tbl[[#This Row],[Dens]]&lt;=825,vp.tbl[[#This Row],[Sulf]]&gt;0.5,vp.tbl[[#This Row],[Unknown]]=0),1,0)</f>
        <v>0</v>
      </c>
      <c r="AA1541">
        <f>IF(AND(vp.tbl[[#This Row],[CrudeType]]="Crude",vp.tbl[[#This Row],[Dens]]&lt;=825,vp.tbl[[#This Row],[Sulf]]&lt;=0.5,vp.tbl[[#This Row],[Unknown]]=0),1,0)</f>
        <v>0</v>
      </c>
      <c r="AB1541">
        <f>IF(AND(vp.tbl[[#This Row],[CrudeType]]="Crude",vp.tbl[[#This Row],[Dens]]&gt;825,vp.tbl[[#This Row],[Dens]]&lt;=870,vp.tbl[[#This Row],[Sulf]]&gt;0.5,vp.tbl[[#This Row],[Unknown]]=0),1,0)</f>
        <v>1</v>
      </c>
      <c r="AC1541">
        <f>IF(AND(vp.tbl[[#This Row],[CrudeType]]="Crude",vp.tbl[[#This Row],[Dens]]&gt;825,vp.tbl[[#This Row],[Dens]]&lt;=900,vp.tbl[[#This Row],[Sulf]]&lt;=0.5,vp.tbl[[#This Row],[Unknown]]=0),1,0)</f>
        <v>0</v>
      </c>
      <c r="AD1541">
        <f>IF(AND(vp.tbl[[#This Row],[CrudeType]]="Crude",vp.tbl[[#This Row],[Dens]]&gt;870,vp.tbl[[#This Row],[Dens]]&lt;=900,vp.tbl[[#This Row],[Sulf]]&gt;0.5,vp.tbl[[#This Row],[Unknown]]=0),1,0)</f>
        <v>0</v>
      </c>
      <c r="AE1541">
        <f>IF(AND(vp.tbl[[#This Row],[CrudeType]]="Crude",vp.tbl[[#This Row],[Dens]]&gt;900,vp.tbl[[#This Row],[Sulf]]&lt;=0.5,vp.tbl[[#This Row],[Unknown]]=0),1,0)</f>
        <v>0</v>
      </c>
      <c r="AF1541">
        <f>IF(AND(vp.tbl[[#This Row],[CrudeType]]="Crude",vp.tbl[[#This Row],[Dens]]&gt;900,vp.tbl[[#This Row],[Sulf]]&lt;=0.5,vp.tbl[[#This Row],[Unknown]]=0),1,0)</f>
        <v>0</v>
      </c>
      <c r="AG1541" t="str">
        <f>INDEX(vp.tbl[[#Headers],[Unknown]:[Heavy_SW]],MATCH(1,vp.tbl[[#This Row],[Unknown]:[Heavy_SW]],0))</f>
        <v>Medium_LSB</v>
      </c>
      <c r="AH1541" t="e">
        <f>INDEX([1]!crudeBD.lkup[Number],MATCH(vp.tbl[[#This Row],[Crude_Breakdown]],[1]!crudeBD.lkup[Crude Breakdown],0))</f>
        <v>#REF!</v>
      </c>
      <c r="AI1541">
        <f>MONTH(vp.tbl[[#This Row],[SDate]])</f>
        <v>5</v>
      </c>
      <c r="AJ1541" s="5">
        <f>IFERROR(vp.tbl[[#This Row],[Sulf]]*vp.tbl[[#This Row],[Net Dens]],"")</f>
        <v>1812304.4336999999</v>
      </c>
      <c r="AK1541" s="5">
        <f>IFERROR(vp.tbl[[#This Row],[Dens]]*vp.tbl[[#This Row],[VolumeM3]],"")</f>
        <v>1023900.8099999999</v>
      </c>
      <c r="AL1541" s="5">
        <f>IFERROR(vp.tbl[[#This Row],[VP]]*vp.tbl[[#This Row],[VolumeM3]],"")</f>
        <v>95826</v>
      </c>
      <c r="AM1541" s="4">
        <f>IFERROR((vp.tbl[[#This Row],[VP]]-INDEX(crudeBD.lkup.complete[Mean_VP],MATCH(vp.tbl[[#This Row],[Crude_Breakdown]],crudeBD.lkup.complete[Crude Breakdown],0)))^2,"")</f>
        <v>3.0135202050940564E-2</v>
      </c>
      <c r="AN1541" s="4">
        <f>IFERROR((vp.tbl[[#This Row],[Dens]]-INDEX(crudeBD.lkup.complete[Mean_Dens],MATCH(vp.tbl[[#This Row],[Crude_Breakdown]],crudeBD.lkup.complete[Crude Breakdown],0)))^2,"")</f>
        <v>90.405433955473711</v>
      </c>
      <c r="AO1541" s="4">
        <f>IFERROR((vp.tbl[[#This Row],[Sulf]]-INDEX(crudeBD.lkup.complete[Mean_Sulf],MATCH(vp.tbl[[#This Row],[Crude_Breakdown]],crudeBD.lkup.complete[Crude Breakdown],0)))^2,"")</f>
        <v>9.9269192641031123E-2</v>
      </c>
      <c r="AP1541">
        <f>IF(AND(vp.tbl[[#This Row],[SDate]]&gt;=DATE(YEAR(vp.tbl[[#This Row],[SDate]]),5,1),vp.tbl[[#This Row],[SDate]]&lt;=DATE(YEAR(vp.tbl[[#This Row],[SDate]]),9,15)),1,0)</f>
        <v>1</v>
      </c>
      <c r="AQ1541" s="15">
        <f>IF(vp.tbl[[#This Row],[SDate]]&lt;DATE(2016,12,1),0,1)</f>
        <v>1</v>
      </c>
    </row>
    <row r="1542" spans="1:43" x14ac:dyDescent="0.25">
      <c r="A1542">
        <v>1541</v>
      </c>
      <c r="B1542" t="s">
        <v>49</v>
      </c>
      <c r="C1542" t="s">
        <v>49</v>
      </c>
      <c r="D1542" t="s">
        <v>89</v>
      </c>
      <c r="F1542" s="1">
        <v>42878</v>
      </c>
      <c r="G1542" s="2">
        <v>90.1</v>
      </c>
      <c r="H1542" s="2"/>
      <c r="I1542" s="2">
        <v>0.68</v>
      </c>
      <c r="J1542" s="2"/>
      <c r="K1542" s="2"/>
      <c r="L1542" s="2"/>
      <c r="M1542" s="2">
        <v>826.5</v>
      </c>
      <c r="N1542" s="2">
        <f ca="1">INDEX(INDIRECT(_xlfn.CONCAT("weather.tbl[",N$1,"]")),MATCH(vp.tbl[[#This Row],[SDate]],weather.tbl[Date],0))</f>
        <v>12</v>
      </c>
      <c r="O1542" s="2">
        <f ca="1">INDEX(INDIRECT(_xlfn.CONCAT("weather.tbl[",O$1,"]")),MATCH(vp.tbl[[#This Row],[SDate]],weather.tbl[Date],0))</f>
        <v>9.742857142857142</v>
      </c>
      <c r="P1542" s="2">
        <f ca="1">INDEX(INDIRECT(_xlfn.CONCAT("weather.tbl[",P$1,"]")),MATCH(vp.tbl[[#This Row],[SDate]],weather.tbl[Date],0))</f>
        <v>12</v>
      </c>
      <c r="Q1542" s="2">
        <f ca="1">INDEX(INDIRECT(_xlfn.CONCAT("weather.tbl[",Q$1,"]")),MATCH(vp.tbl[[#This Row],[SDate]],weather.tbl[Date],0))</f>
        <v>12.6</v>
      </c>
      <c r="R1542" s="2">
        <f ca="1">INDEX(INDIRECT(_xlfn.CONCAT("weather.tbl[",R$1,"]")),MATCH(vp.tbl[[#This Row],[SDate]],weather.tbl[Date],0))</f>
        <v>11.3</v>
      </c>
      <c r="S1542" s="2">
        <f ca="1">INDEX(INDIRECT(_xlfn.CONCAT("weather.tbl[",S$1,"]")),MATCH(vp.tbl[[#This Row],[SDate]],weather.tbl[Date],0))</f>
        <v>12.5</v>
      </c>
      <c r="T1542" s="2">
        <f ca="1">INDEX(INDIRECT(_xlfn.CONCAT("weather.tbl[",T$1,"]")),MATCH(vp.tbl[[#This Row],[SDate]],weather.tbl[Date],0))</f>
        <v>11.3</v>
      </c>
      <c r="U1542" s="2">
        <f ca="1">INDEX(INDIRECT(_xlfn.CONCAT("weather.tbl[",U$1,"]")),MATCH(vp.tbl[[#This Row],[SDate]],weather.tbl[Date],0))</f>
        <v>12.3</v>
      </c>
      <c r="V1542" s="2">
        <v>6839.1149999999998</v>
      </c>
      <c r="W1542" t="s">
        <v>48</v>
      </c>
      <c r="X1542">
        <f>IF(OR(vp.tbl[[#This Row],[Sulf]]="",vp.tbl[[#This Row],[Dens]]=""),1,0)</f>
        <v>0</v>
      </c>
      <c r="Y1542">
        <f>IF(vp.tbl[[#This Row],[CrudeType]]="C5+",1,0)</f>
        <v>0</v>
      </c>
      <c r="Z1542">
        <f>IF(AND(vp.tbl[[#This Row],[CrudeType]]="Crude",vp.tbl[[#This Row],[Dens]]&lt;=825,vp.tbl[[#This Row],[Sulf]]&gt;0.5,vp.tbl[[#This Row],[Unknown]]=0),1,0)</f>
        <v>0</v>
      </c>
      <c r="AA1542">
        <f>IF(AND(vp.tbl[[#This Row],[CrudeType]]="Crude",vp.tbl[[#This Row],[Dens]]&lt;=825,vp.tbl[[#This Row],[Sulf]]&lt;=0.5,vp.tbl[[#This Row],[Unknown]]=0),1,0)</f>
        <v>0</v>
      </c>
      <c r="AB1542">
        <f>IF(AND(vp.tbl[[#This Row],[CrudeType]]="Crude",vp.tbl[[#This Row],[Dens]]&gt;825,vp.tbl[[#This Row],[Dens]]&lt;=870,vp.tbl[[#This Row],[Sulf]]&gt;0.5,vp.tbl[[#This Row],[Unknown]]=0),1,0)</f>
        <v>1</v>
      </c>
      <c r="AC1542">
        <f>IF(AND(vp.tbl[[#This Row],[CrudeType]]="Crude",vp.tbl[[#This Row],[Dens]]&gt;825,vp.tbl[[#This Row],[Dens]]&lt;=900,vp.tbl[[#This Row],[Sulf]]&lt;=0.5,vp.tbl[[#This Row],[Unknown]]=0),1,0)</f>
        <v>0</v>
      </c>
      <c r="AD1542">
        <f>IF(AND(vp.tbl[[#This Row],[CrudeType]]="Crude",vp.tbl[[#This Row],[Dens]]&gt;870,vp.tbl[[#This Row],[Dens]]&lt;=900,vp.tbl[[#This Row],[Sulf]]&gt;0.5,vp.tbl[[#This Row],[Unknown]]=0),1,0)</f>
        <v>0</v>
      </c>
      <c r="AE1542">
        <f>IF(AND(vp.tbl[[#This Row],[CrudeType]]="Crude",vp.tbl[[#This Row],[Dens]]&gt;900,vp.tbl[[#This Row],[Sulf]]&lt;=0.5,vp.tbl[[#This Row],[Unknown]]=0),1,0)</f>
        <v>0</v>
      </c>
      <c r="AF1542">
        <f>IF(AND(vp.tbl[[#This Row],[CrudeType]]="Crude",vp.tbl[[#This Row],[Dens]]&gt;900,vp.tbl[[#This Row],[Sulf]]&lt;=0.5,vp.tbl[[#This Row],[Unknown]]=0),1,0)</f>
        <v>0</v>
      </c>
      <c r="AG1542" t="str">
        <f>INDEX(vp.tbl[[#Headers],[Unknown]:[Heavy_SW]],MATCH(1,vp.tbl[[#This Row],[Unknown]:[Heavy_SW]],0))</f>
        <v>Medium_LSB</v>
      </c>
      <c r="AH1542" t="e">
        <f>INDEX([1]!crudeBD.lkup[Number],MATCH(vp.tbl[[#This Row],[Crude_Breakdown]],[1]!crudeBD.lkup[Crude Breakdown],0))</f>
        <v>#REF!</v>
      </c>
      <c r="AI1542">
        <f>MONTH(vp.tbl[[#This Row],[SDate]])</f>
        <v>5</v>
      </c>
      <c r="AJ1542" s="5">
        <f>IFERROR(vp.tbl[[#This Row],[Sulf]]*vp.tbl[[#This Row],[Net Dens]],"")</f>
        <v>3843719.4123</v>
      </c>
      <c r="AK1542" s="5">
        <f>IFERROR(vp.tbl[[#This Row],[Dens]]*vp.tbl[[#This Row],[VolumeM3]],"")</f>
        <v>5652528.5474999994</v>
      </c>
      <c r="AL1542" s="5">
        <f>IFERROR(vp.tbl[[#This Row],[VP]]*vp.tbl[[#This Row],[VolumeM3]],"")</f>
        <v>616204.26149999991</v>
      </c>
      <c r="AM1542" s="4">
        <f>IFERROR((vp.tbl[[#This Row],[VP]]-INDEX(crudeBD.lkup.complete[Mean_VP],MATCH(vp.tbl[[#This Row],[Crude_Breakdown]],crudeBD.lkup.complete[Crude Breakdown],0)))^2,"")</f>
        <v>98.533517480532581</v>
      </c>
      <c r="AN1542" s="4">
        <f>IFERROR((vp.tbl[[#This Row],[Dens]]-INDEX(crudeBD.lkup.complete[Mean_Dens],MATCH(vp.tbl[[#This Row],[Crude_Breakdown]],crudeBD.lkup.complete[Crude Breakdown],0)))^2,"")</f>
        <v>353.13260357567202</v>
      </c>
      <c r="AO1542" s="4">
        <f>IFERROR((vp.tbl[[#This Row],[Sulf]]-INDEX(crudeBD.lkup.complete[Mean_Sulf],MATCH(vp.tbl[[#This Row],[Crude_Breakdown]],crudeBD.lkup.complete[Crude Breakdown],0)))^2,"")</f>
        <v>0.60051628909673049</v>
      </c>
      <c r="AP1542">
        <f>IF(AND(vp.tbl[[#This Row],[SDate]]&gt;=DATE(YEAR(vp.tbl[[#This Row],[SDate]]),5,1),vp.tbl[[#This Row],[SDate]]&lt;=DATE(YEAR(vp.tbl[[#This Row],[SDate]]),9,15)),1,0)</f>
        <v>1</v>
      </c>
      <c r="AQ1542" s="15">
        <f>IF(vp.tbl[[#This Row],[SDate]]&lt;DATE(2016,12,1),0,1)</f>
        <v>1</v>
      </c>
    </row>
    <row r="1543" spans="1:43" x14ac:dyDescent="0.25">
      <c r="A1543">
        <v>1542</v>
      </c>
      <c r="B1543" t="s">
        <v>68</v>
      </c>
      <c r="C1543" t="s">
        <v>68</v>
      </c>
      <c r="D1543" t="s">
        <v>328</v>
      </c>
      <c r="F1543" s="1">
        <v>42878</v>
      </c>
      <c r="G1543" s="2">
        <v>45.1</v>
      </c>
      <c r="H1543" s="2"/>
      <c r="I1543" s="2">
        <v>2.63</v>
      </c>
      <c r="J1543" s="2"/>
      <c r="K1543" s="2"/>
      <c r="L1543" s="2"/>
      <c r="M1543" s="2">
        <v>885.1</v>
      </c>
      <c r="N1543" s="2">
        <f ca="1">INDEX(INDIRECT(_xlfn.CONCAT("weather.tbl[",N$1,"]")),MATCH(vp.tbl[[#This Row],[SDate]],weather.tbl[Date],0))</f>
        <v>12</v>
      </c>
      <c r="O1543" s="2">
        <f ca="1">INDEX(INDIRECT(_xlfn.CONCAT("weather.tbl[",O$1,"]")),MATCH(vp.tbl[[#This Row],[SDate]],weather.tbl[Date],0))</f>
        <v>9.742857142857142</v>
      </c>
      <c r="P1543" s="2">
        <f ca="1">INDEX(INDIRECT(_xlfn.CONCAT("weather.tbl[",P$1,"]")),MATCH(vp.tbl[[#This Row],[SDate]],weather.tbl[Date],0))</f>
        <v>12</v>
      </c>
      <c r="Q1543" s="2">
        <f ca="1">INDEX(INDIRECT(_xlfn.CONCAT("weather.tbl[",Q$1,"]")),MATCH(vp.tbl[[#This Row],[SDate]],weather.tbl[Date],0))</f>
        <v>12.6</v>
      </c>
      <c r="R1543" s="2">
        <f ca="1">INDEX(INDIRECT(_xlfn.CONCAT("weather.tbl[",R$1,"]")),MATCH(vp.tbl[[#This Row],[SDate]],weather.tbl[Date],0))</f>
        <v>11.3</v>
      </c>
      <c r="S1543" s="2">
        <f ca="1">INDEX(INDIRECT(_xlfn.CONCAT("weather.tbl[",S$1,"]")),MATCH(vp.tbl[[#This Row],[SDate]],weather.tbl[Date],0))</f>
        <v>12.5</v>
      </c>
      <c r="T1543" s="2">
        <f ca="1">INDEX(INDIRECT(_xlfn.CONCAT("weather.tbl[",T$1,"]")),MATCH(vp.tbl[[#This Row],[SDate]],weather.tbl[Date],0))</f>
        <v>11.3</v>
      </c>
      <c r="U1543" s="2">
        <f ca="1">INDEX(INDIRECT(_xlfn.CONCAT("weather.tbl[",U$1,"]")),MATCH(vp.tbl[[#This Row],[SDate]],weather.tbl[Date],0))</f>
        <v>12.3</v>
      </c>
      <c r="V1543" s="2">
        <v>91.41</v>
      </c>
      <c r="W1543" t="s">
        <v>48</v>
      </c>
      <c r="X1543">
        <f>IF(OR(vp.tbl[[#This Row],[Sulf]]="",vp.tbl[[#This Row],[Dens]]=""),1,0)</f>
        <v>0</v>
      </c>
      <c r="Y1543">
        <f>IF(vp.tbl[[#This Row],[CrudeType]]="C5+",1,0)</f>
        <v>0</v>
      </c>
      <c r="Z1543">
        <f>IF(AND(vp.tbl[[#This Row],[CrudeType]]="Crude",vp.tbl[[#This Row],[Dens]]&lt;=825,vp.tbl[[#This Row],[Sulf]]&gt;0.5,vp.tbl[[#This Row],[Unknown]]=0),1,0)</f>
        <v>0</v>
      </c>
      <c r="AA1543">
        <f>IF(AND(vp.tbl[[#This Row],[CrudeType]]="Crude",vp.tbl[[#This Row],[Dens]]&lt;=825,vp.tbl[[#This Row],[Sulf]]&lt;=0.5,vp.tbl[[#This Row],[Unknown]]=0),1,0)</f>
        <v>0</v>
      </c>
      <c r="AB1543">
        <f>IF(AND(vp.tbl[[#This Row],[CrudeType]]="Crude",vp.tbl[[#This Row],[Dens]]&gt;825,vp.tbl[[#This Row],[Dens]]&lt;=870,vp.tbl[[#This Row],[Sulf]]&gt;0.5,vp.tbl[[#This Row],[Unknown]]=0),1,0)</f>
        <v>0</v>
      </c>
      <c r="AC1543">
        <f>IF(AND(vp.tbl[[#This Row],[CrudeType]]="Crude",vp.tbl[[#This Row],[Dens]]&gt;825,vp.tbl[[#This Row],[Dens]]&lt;=900,vp.tbl[[#This Row],[Sulf]]&lt;=0.5,vp.tbl[[#This Row],[Unknown]]=0),1,0)</f>
        <v>0</v>
      </c>
      <c r="AD1543">
        <f>IF(AND(vp.tbl[[#This Row],[CrudeType]]="Crude",vp.tbl[[#This Row],[Dens]]&gt;870,vp.tbl[[#This Row],[Dens]]&lt;=900,vp.tbl[[#This Row],[Sulf]]&gt;0.5,vp.tbl[[#This Row],[Unknown]]=0),1,0)</f>
        <v>1</v>
      </c>
      <c r="AE1543">
        <f>IF(AND(vp.tbl[[#This Row],[CrudeType]]="Crude",vp.tbl[[#This Row],[Dens]]&gt;900,vp.tbl[[#This Row],[Sulf]]&lt;=0.5,vp.tbl[[#This Row],[Unknown]]=0),1,0)</f>
        <v>0</v>
      </c>
      <c r="AF1543">
        <f>IF(AND(vp.tbl[[#This Row],[CrudeType]]="Crude",vp.tbl[[#This Row],[Dens]]&gt;900,vp.tbl[[#This Row],[Sulf]]&lt;=0.5,vp.tbl[[#This Row],[Unknown]]=0),1,0)</f>
        <v>0</v>
      </c>
      <c r="AG1543" t="str">
        <f>INDEX(vp.tbl[[#Headers],[Unknown]:[Heavy_SW]],MATCH(1,vp.tbl[[#This Row],[Unknown]:[Heavy_SW]],0))</f>
        <v>Midale</v>
      </c>
      <c r="AH1543" t="e">
        <f>INDEX([1]!crudeBD.lkup[Number],MATCH(vp.tbl[[#This Row],[Crude_Breakdown]],[1]!crudeBD.lkup[Crude Breakdown],0))</f>
        <v>#REF!</v>
      </c>
      <c r="AI1543">
        <f>MONTH(vp.tbl[[#This Row],[SDate]])</f>
        <v>5</v>
      </c>
      <c r="AJ1543" s="5">
        <f>IFERROR(vp.tbl[[#This Row],[Sulf]]*vp.tbl[[#This Row],[Net Dens]],"")</f>
        <v>212785.38632999998</v>
      </c>
      <c r="AK1543" s="5">
        <f>IFERROR(vp.tbl[[#This Row],[Dens]]*vp.tbl[[#This Row],[VolumeM3]],"")</f>
        <v>80906.990999999995</v>
      </c>
      <c r="AL1543" s="5">
        <f>IFERROR(vp.tbl[[#This Row],[VP]]*vp.tbl[[#This Row],[VolumeM3]],"")</f>
        <v>4122.5910000000003</v>
      </c>
      <c r="AM1543" s="4">
        <f>IFERROR((vp.tbl[[#This Row],[VP]]-INDEX(crudeBD.lkup.complete[Mean_VP],MATCH(vp.tbl[[#This Row],[Crude_Breakdown]],crudeBD.lkup.complete[Crude Breakdown],0)))^2,"")</f>
        <v>535.38352598986728</v>
      </c>
      <c r="AN1543" s="4">
        <f>IFERROR((vp.tbl[[#This Row],[Dens]]-INDEX(crudeBD.lkup.complete[Mean_Dens],MATCH(vp.tbl[[#This Row],[Crude_Breakdown]],crudeBD.lkup.complete[Crude Breakdown],0)))^2,"")</f>
        <v>56.971476824925162</v>
      </c>
      <c r="AO1543" s="4">
        <f>IFERROR((vp.tbl[[#This Row],[Sulf]]-INDEX(crudeBD.lkup.complete[Mean_Sulf],MATCH(vp.tbl[[#This Row],[Crude_Breakdown]],crudeBD.lkup.complete[Crude Breakdown],0)))^2,"")</f>
        <v>4.6078856789060353E-2</v>
      </c>
      <c r="AP1543">
        <f>IF(AND(vp.tbl[[#This Row],[SDate]]&gt;=DATE(YEAR(vp.tbl[[#This Row],[SDate]]),5,1),vp.tbl[[#This Row],[SDate]]&lt;=DATE(YEAR(vp.tbl[[#This Row],[SDate]]),9,15)),1,0)</f>
        <v>1</v>
      </c>
      <c r="AQ1543" s="15">
        <f>IF(vp.tbl[[#This Row],[SDate]]&lt;DATE(2016,12,1),0,1)</f>
        <v>1</v>
      </c>
    </row>
    <row r="1544" spans="1:43" x14ac:dyDescent="0.25">
      <c r="A1544">
        <v>1543</v>
      </c>
      <c r="B1544" t="s">
        <v>49</v>
      </c>
      <c r="C1544" t="s">
        <v>49</v>
      </c>
      <c r="D1544" t="s">
        <v>78</v>
      </c>
      <c r="F1544" s="1">
        <v>42879</v>
      </c>
      <c r="G1544" s="2">
        <v>75.7</v>
      </c>
      <c r="H1544" s="2"/>
      <c r="I1544" s="2">
        <v>0.24</v>
      </c>
      <c r="J1544" s="2"/>
      <c r="K1544" s="2"/>
      <c r="L1544" s="2"/>
      <c r="M1544" s="2">
        <v>810.9</v>
      </c>
      <c r="N1544" s="2">
        <f ca="1">INDEX(INDIRECT(_xlfn.CONCAT("weather.tbl[",N$1,"]")),MATCH(vp.tbl[[#This Row],[SDate]],weather.tbl[Date],0))</f>
        <v>16.116666666666667</v>
      </c>
      <c r="O1544" s="2">
        <f ca="1">INDEX(INDIRECT(_xlfn.CONCAT("weather.tbl[",O$1,"]")),MATCH(vp.tbl[[#This Row],[SDate]],weather.tbl[Date],0))</f>
        <v>11.035714285714286</v>
      </c>
      <c r="P1544" s="2">
        <f ca="1">INDEX(INDIRECT(_xlfn.CONCAT("weather.tbl[",P$1,"]")),MATCH(vp.tbl[[#This Row],[SDate]],weather.tbl[Date],0))</f>
        <v>16.2</v>
      </c>
      <c r="Q1544" s="2">
        <f ca="1">INDEX(INDIRECT(_xlfn.CONCAT("weather.tbl[",Q$1,"]")),MATCH(vp.tbl[[#This Row],[SDate]],weather.tbl[Date],0))</f>
        <v>16.7</v>
      </c>
      <c r="R1544" s="2">
        <f ca="1">INDEX(INDIRECT(_xlfn.CONCAT("weather.tbl[",R$1,"]")),MATCH(vp.tbl[[#This Row],[SDate]],weather.tbl[Date],0))</f>
        <v>15.5</v>
      </c>
      <c r="S1544" s="2">
        <f ca="1">INDEX(INDIRECT(_xlfn.CONCAT("weather.tbl[",S$1,"]")),MATCH(vp.tbl[[#This Row],[SDate]],weather.tbl[Date],0))</f>
        <v>17.8</v>
      </c>
      <c r="T1544" s="2">
        <f ca="1">INDEX(INDIRECT(_xlfn.CONCAT("weather.tbl[",T$1,"]")),MATCH(vp.tbl[[#This Row],[SDate]],weather.tbl[Date],0))</f>
        <v>14.5</v>
      </c>
      <c r="U1544" s="2">
        <f ca="1">INDEX(INDIRECT(_xlfn.CONCAT("weather.tbl[",U$1,"]")),MATCH(vp.tbl[[#This Row],[SDate]],weather.tbl[Date],0))</f>
        <v>16</v>
      </c>
      <c r="V1544" s="2">
        <v>20016.702000000001</v>
      </c>
      <c r="W1544" t="s">
        <v>48</v>
      </c>
      <c r="X1544">
        <f>IF(OR(vp.tbl[[#This Row],[Sulf]]="",vp.tbl[[#This Row],[Dens]]=""),1,0)</f>
        <v>0</v>
      </c>
      <c r="Y1544">
        <f>IF(vp.tbl[[#This Row],[CrudeType]]="C5+",1,0)</f>
        <v>0</v>
      </c>
      <c r="Z1544">
        <f>IF(AND(vp.tbl[[#This Row],[CrudeType]]="Crude",vp.tbl[[#This Row],[Dens]]&lt;=825,vp.tbl[[#This Row],[Sulf]]&gt;0.5,vp.tbl[[#This Row],[Unknown]]=0),1,0)</f>
        <v>0</v>
      </c>
      <c r="AA1544">
        <f>IF(AND(vp.tbl[[#This Row],[CrudeType]]="Crude",vp.tbl[[#This Row],[Dens]]&lt;=825,vp.tbl[[#This Row],[Sulf]]&lt;=0.5,vp.tbl[[#This Row],[Unknown]]=0),1,0)</f>
        <v>1</v>
      </c>
      <c r="AB1544">
        <f>IF(AND(vp.tbl[[#This Row],[CrudeType]]="Crude",vp.tbl[[#This Row],[Dens]]&gt;825,vp.tbl[[#This Row],[Dens]]&lt;=870,vp.tbl[[#This Row],[Sulf]]&gt;0.5,vp.tbl[[#This Row],[Unknown]]=0),1,0)</f>
        <v>0</v>
      </c>
      <c r="AC1544">
        <f>IF(AND(vp.tbl[[#This Row],[CrudeType]]="Crude",vp.tbl[[#This Row],[Dens]]&gt;825,vp.tbl[[#This Row],[Dens]]&lt;=900,vp.tbl[[#This Row],[Sulf]]&lt;=0.5,vp.tbl[[#This Row],[Unknown]]=0),1,0)</f>
        <v>0</v>
      </c>
      <c r="AD1544">
        <f>IF(AND(vp.tbl[[#This Row],[CrudeType]]="Crude",vp.tbl[[#This Row],[Dens]]&gt;870,vp.tbl[[#This Row],[Dens]]&lt;=900,vp.tbl[[#This Row],[Sulf]]&gt;0.5,vp.tbl[[#This Row],[Unknown]]=0),1,0)</f>
        <v>0</v>
      </c>
      <c r="AE1544">
        <f>IF(AND(vp.tbl[[#This Row],[CrudeType]]="Crude",vp.tbl[[#This Row],[Dens]]&gt;900,vp.tbl[[#This Row],[Sulf]]&lt;=0.5,vp.tbl[[#This Row],[Unknown]]=0),1,0)</f>
        <v>0</v>
      </c>
      <c r="AF1544">
        <f>IF(AND(vp.tbl[[#This Row],[CrudeType]]="Crude",vp.tbl[[#This Row],[Dens]]&gt;900,vp.tbl[[#This Row],[Sulf]]&lt;=0.5,vp.tbl[[#This Row],[Unknown]]=0),1,0)</f>
        <v>0</v>
      </c>
      <c r="AG1544" t="str">
        <f>INDEX(vp.tbl[[#Headers],[Unknown]:[Heavy_SW]],MATCH(1,vp.tbl[[#This Row],[Unknown]:[Heavy_SW]],0))</f>
        <v>Light_SW</v>
      </c>
      <c r="AH1544" t="e">
        <f>INDEX([1]!crudeBD.lkup[Number],MATCH(vp.tbl[[#This Row],[Crude_Breakdown]],[1]!crudeBD.lkup[Crude Breakdown],0))</f>
        <v>#REF!</v>
      </c>
      <c r="AI1544">
        <f>MONTH(vp.tbl[[#This Row],[SDate]])</f>
        <v>5</v>
      </c>
      <c r="AJ1544" s="5">
        <f>IFERROR(vp.tbl[[#This Row],[Sulf]]*vp.tbl[[#This Row],[Net Dens]],"")</f>
        <v>3895570.4764320003</v>
      </c>
      <c r="AK1544" s="5">
        <f>IFERROR(vp.tbl[[#This Row],[Dens]]*vp.tbl[[#This Row],[VolumeM3]],"")</f>
        <v>16231543.651800001</v>
      </c>
      <c r="AL1544" s="5">
        <f>IFERROR(vp.tbl[[#This Row],[VP]]*vp.tbl[[#This Row],[VolumeM3]],"")</f>
        <v>1515264.3414</v>
      </c>
      <c r="AM1544" s="4">
        <f>IFERROR((vp.tbl[[#This Row],[VP]]-INDEX(crudeBD.lkup.complete[Mean_VP],MATCH(vp.tbl[[#This Row],[Crude_Breakdown]],crudeBD.lkup.complete[Crude Breakdown],0)))^2,"")</f>
        <v>283.93306804258776</v>
      </c>
      <c r="AN1544" s="4">
        <f>IFERROR((vp.tbl[[#This Row],[Dens]]-INDEX(crudeBD.lkup.complete[Mean_Dens],MATCH(vp.tbl[[#This Row],[Crude_Breakdown]],crudeBD.lkup.complete[Crude Breakdown],0)))^2,"")</f>
        <v>6.7003412691678106</v>
      </c>
      <c r="AO1544" s="4">
        <f>IFERROR((vp.tbl[[#This Row],[Sulf]]-INDEX(crudeBD.lkup.complete[Mean_Sulf],MATCH(vp.tbl[[#This Row],[Crude_Breakdown]],crudeBD.lkup.complete[Crude Breakdown],0)))^2,"")</f>
        <v>1.4123978195681499E-5</v>
      </c>
      <c r="AP1544">
        <f>IF(AND(vp.tbl[[#This Row],[SDate]]&gt;=DATE(YEAR(vp.tbl[[#This Row],[SDate]]),5,1),vp.tbl[[#This Row],[SDate]]&lt;=DATE(YEAR(vp.tbl[[#This Row],[SDate]]),9,15)),1,0)</f>
        <v>1</v>
      </c>
      <c r="AQ1544" s="15">
        <f>IF(vp.tbl[[#This Row],[SDate]]&lt;DATE(2016,12,1),0,1)</f>
        <v>1</v>
      </c>
    </row>
    <row r="1545" spans="1:43" x14ac:dyDescent="0.25">
      <c r="A1545">
        <v>1544</v>
      </c>
      <c r="B1545" t="s">
        <v>49</v>
      </c>
      <c r="C1545" t="s">
        <v>49</v>
      </c>
      <c r="D1545" t="s">
        <v>92</v>
      </c>
      <c r="F1545" s="1">
        <v>42879</v>
      </c>
      <c r="G1545" s="2">
        <v>92.5</v>
      </c>
      <c r="H1545" s="2"/>
      <c r="I1545" s="2">
        <v>0.64</v>
      </c>
      <c r="J1545" s="2"/>
      <c r="K1545" s="2"/>
      <c r="L1545" s="2"/>
      <c r="M1545" s="2">
        <v>822.7</v>
      </c>
      <c r="N1545" s="2">
        <f ca="1">INDEX(INDIRECT(_xlfn.CONCAT("weather.tbl[",N$1,"]")),MATCH(vp.tbl[[#This Row],[SDate]],weather.tbl[Date],0))</f>
        <v>16.116666666666667</v>
      </c>
      <c r="O1545" s="2">
        <f ca="1">INDEX(INDIRECT(_xlfn.CONCAT("weather.tbl[",O$1,"]")),MATCH(vp.tbl[[#This Row],[SDate]],weather.tbl[Date],0))</f>
        <v>11.035714285714286</v>
      </c>
      <c r="P1545" s="2">
        <f ca="1">INDEX(INDIRECT(_xlfn.CONCAT("weather.tbl[",P$1,"]")),MATCH(vp.tbl[[#This Row],[SDate]],weather.tbl[Date],0))</f>
        <v>16.2</v>
      </c>
      <c r="Q1545" s="2">
        <f ca="1">INDEX(INDIRECT(_xlfn.CONCAT("weather.tbl[",Q$1,"]")),MATCH(vp.tbl[[#This Row],[SDate]],weather.tbl[Date],0))</f>
        <v>16.7</v>
      </c>
      <c r="R1545" s="2">
        <f ca="1">INDEX(INDIRECT(_xlfn.CONCAT("weather.tbl[",R$1,"]")),MATCH(vp.tbl[[#This Row],[SDate]],weather.tbl[Date],0))</f>
        <v>15.5</v>
      </c>
      <c r="S1545" s="2">
        <f ca="1">INDEX(INDIRECT(_xlfn.CONCAT("weather.tbl[",S$1,"]")),MATCH(vp.tbl[[#This Row],[SDate]],weather.tbl[Date],0))</f>
        <v>17.8</v>
      </c>
      <c r="T1545" s="2">
        <f ca="1">INDEX(INDIRECT(_xlfn.CONCAT("weather.tbl[",T$1,"]")),MATCH(vp.tbl[[#This Row],[SDate]],weather.tbl[Date],0))</f>
        <v>14.5</v>
      </c>
      <c r="U1545" s="2">
        <f ca="1">INDEX(INDIRECT(_xlfn.CONCAT("weather.tbl[",U$1,"]")),MATCH(vp.tbl[[#This Row],[SDate]],weather.tbl[Date],0))</f>
        <v>16</v>
      </c>
      <c r="V1545" s="2">
        <v>24656.244999999999</v>
      </c>
      <c r="W1545" t="s">
        <v>48</v>
      </c>
      <c r="X1545">
        <f>IF(OR(vp.tbl[[#This Row],[Sulf]]="",vp.tbl[[#This Row],[Dens]]=""),1,0)</f>
        <v>0</v>
      </c>
      <c r="Y1545">
        <f>IF(vp.tbl[[#This Row],[CrudeType]]="C5+",1,0)</f>
        <v>0</v>
      </c>
      <c r="Z1545">
        <f>IF(AND(vp.tbl[[#This Row],[CrudeType]]="Crude",vp.tbl[[#This Row],[Dens]]&lt;=825,vp.tbl[[#This Row],[Sulf]]&gt;0.5,vp.tbl[[#This Row],[Unknown]]=0),1,0)</f>
        <v>1</v>
      </c>
      <c r="AA1545">
        <f>IF(AND(vp.tbl[[#This Row],[CrudeType]]="Crude",vp.tbl[[#This Row],[Dens]]&lt;=825,vp.tbl[[#This Row],[Sulf]]&lt;=0.5,vp.tbl[[#This Row],[Unknown]]=0),1,0)</f>
        <v>0</v>
      </c>
      <c r="AB1545">
        <f>IF(AND(vp.tbl[[#This Row],[CrudeType]]="Crude",vp.tbl[[#This Row],[Dens]]&gt;825,vp.tbl[[#This Row],[Dens]]&lt;=870,vp.tbl[[#This Row],[Sulf]]&gt;0.5,vp.tbl[[#This Row],[Unknown]]=0),1,0)</f>
        <v>0</v>
      </c>
      <c r="AC1545">
        <f>IF(AND(vp.tbl[[#This Row],[CrudeType]]="Crude",vp.tbl[[#This Row],[Dens]]&gt;825,vp.tbl[[#This Row],[Dens]]&lt;=900,vp.tbl[[#This Row],[Sulf]]&lt;=0.5,vp.tbl[[#This Row],[Unknown]]=0),1,0)</f>
        <v>0</v>
      </c>
      <c r="AD1545">
        <f>IF(AND(vp.tbl[[#This Row],[CrudeType]]="Crude",vp.tbl[[#This Row],[Dens]]&gt;870,vp.tbl[[#This Row],[Dens]]&lt;=900,vp.tbl[[#This Row],[Sulf]]&gt;0.5,vp.tbl[[#This Row],[Unknown]]=0),1,0)</f>
        <v>0</v>
      </c>
      <c r="AE1545">
        <f>IF(AND(vp.tbl[[#This Row],[CrudeType]]="Crude",vp.tbl[[#This Row],[Dens]]&gt;900,vp.tbl[[#This Row],[Sulf]]&lt;=0.5,vp.tbl[[#This Row],[Unknown]]=0),1,0)</f>
        <v>0</v>
      </c>
      <c r="AF1545">
        <f>IF(AND(vp.tbl[[#This Row],[CrudeType]]="Crude",vp.tbl[[#This Row],[Dens]]&gt;900,vp.tbl[[#This Row],[Sulf]]&lt;=0.5,vp.tbl[[#This Row],[Unknown]]=0),1,0)</f>
        <v>0</v>
      </c>
      <c r="AG1545" t="str">
        <f>INDEX(vp.tbl[[#Headers],[Unknown]:[Heavy_SW]],MATCH(1,vp.tbl[[#This Row],[Unknown]:[Heavy_SW]],0))</f>
        <v>Light_LSB</v>
      </c>
      <c r="AH1545" t="e">
        <f>INDEX([1]!crudeBD.lkup[Number],MATCH(vp.tbl[[#This Row],[Crude_Breakdown]],[1]!crudeBD.lkup[Crude Breakdown],0))</f>
        <v>#REF!</v>
      </c>
      <c r="AI1545">
        <f>MONTH(vp.tbl[[#This Row],[SDate]])</f>
        <v>5</v>
      </c>
      <c r="AJ1545" s="5">
        <f>IFERROR(vp.tbl[[#This Row],[Sulf]]*vp.tbl[[#This Row],[Net Dens]],"")</f>
        <v>12982203.367360001</v>
      </c>
      <c r="AK1545" s="5">
        <f>IFERROR(vp.tbl[[#This Row],[Dens]]*vp.tbl[[#This Row],[VolumeM3]],"")</f>
        <v>20284692.761500001</v>
      </c>
      <c r="AL1545" s="5">
        <f>IFERROR(vp.tbl[[#This Row],[VP]]*vp.tbl[[#This Row],[VolumeM3]],"")</f>
        <v>2280702.6625000001</v>
      </c>
      <c r="AM1545" s="4">
        <f>IFERROR((vp.tbl[[#This Row],[VP]]-INDEX(crudeBD.lkup.complete[Mean_VP],MATCH(vp.tbl[[#This Row],[Crude_Breakdown]],crudeBD.lkup.complete[Crude Breakdown],0)))^2,"")</f>
        <v>0.90976197257938585</v>
      </c>
      <c r="AN1545" s="4">
        <f>IFERROR((vp.tbl[[#This Row],[Dens]]-INDEX(crudeBD.lkup.complete[Mean_Dens],MATCH(vp.tbl[[#This Row],[Crude_Breakdown]],crudeBD.lkup.complete[Crude Breakdown],0)))^2,"")</f>
        <v>17.499415245453584</v>
      </c>
      <c r="AO1545" s="4">
        <f>IFERROR((vp.tbl[[#This Row],[Sulf]]-INDEX(crudeBD.lkup.complete[Mean_Sulf],MATCH(vp.tbl[[#This Row],[Crude_Breakdown]],crudeBD.lkup.complete[Crude Breakdown],0)))^2,"")</f>
        <v>8.0072682137103807E-2</v>
      </c>
      <c r="AP1545">
        <f>IF(AND(vp.tbl[[#This Row],[SDate]]&gt;=DATE(YEAR(vp.tbl[[#This Row],[SDate]]),5,1),vp.tbl[[#This Row],[SDate]]&lt;=DATE(YEAR(vp.tbl[[#This Row],[SDate]]),9,15)),1,0)</f>
        <v>1</v>
      </c>
      <c r="AQ1545" s="15">
        <f>IF(vp.tbl[[#This Row],[SDate]]&lt;DATE(2016,12,1),0,1)</f>
        <v>1</v>
      </c>
    </row>
    <row r="1546" spans="1:43" x14ac:dyDescent="0.25">
      <c r="A1546">
        <v>1545</v>
      </c>
      <c r="B1546" t="s">
        <v>49</v>
      </c>
      <c r="C1546" t="s">
        <v>49</v>
      </c>
      <c r="D1546" t="s">
        <v>50</v>
      </c>
      <c r="F1546" s="1">
        <v>42879</v>
      </c>
      <c r="G1546" s="2">
        <v>65.2</v>
      </c>
      <c r="H1546" s="2"/>
      <c r="I1546" s="2">
        <v>2.75</v>
      </c>
      <c r="J1546" s="2"/>
      <c r="K1546" s="2"/>
      <c r="L1546" s="2"/>
      <c r="M1546" s="2">
        <v>865</v>
      </c>
      <c r="N1546" s="2">
        <f ca="1">INDEX(INDIRECT(_xlfn.CONCAT("weather.tbl[",N$1,"]")),MATCH(vp.tbl[[#This Row],[SDate]],weather.tbl[Date],0))</f>
        <v>16.116666666666667</v>
      </c>
      <c r="O1546" s="2">
        <f ca="1">INDEX(INDIRECT(_xlfn.CONCAT("weather.tbl[",O$1,"]")),MATCH(vp.tbl[[#This Row],[SDate]],weather.tbl[Date],0))</f>
        <v>11.035714285714286</v>
      </c>
      <c r="P1546" s="2">
        <f ca="1">INDEX(INDIRECT(_xlfn.CONCAT("weather.tbl[",P$1,"]")),MATCH(vp.tbl[[#This Row],[SDate]],weather.tbl[Date],0))</f>
        <v>16.2</v>
      </c>
      <c r="Q1546" s="2">
        <f ca="1">INDEX(INDIRECT(_xlfn.CONCAT("weather.tbl[",Q$1,"]")),MATCH(vp.tbl[[#This Row],[SDate]],weather.tbl[Date],0))</f>
        <v>16.7</v>
      </c>
      <c r="R1546" s="2">
        <f ca="1">INDEX(INDIRECT(_xlfn.CONCAT("weather.tbl[",R$1,"]")),MATCH(vp.tbl[[#This Row],[SDate]],weather.tbl[Date],0))</f>
        <v>15.5</v>
      </c>
      <c r="S1546" s="2">
        <f ca="1">INDEX(INDIRECT(_xlfn.CONCAT("weather.tbl[",S$1,"]")),MATCH(vp.tbl[[#This Row],[SDate]],weather.tbl[Date],0))</f>
        <v>17.8</v>
      </c>
      <c r="T1546" s="2">
        <f ca="1">INDEX(INDIRECT(_xlfn.CONCAT("weather.tbl[",T$1,"]")),MATCH(vp.tbl[[#This Row],[SDate]],weather.tbl[Date],0))</f>
        <v>14.5</v>
      </c>
      <c r="U1546" s="2">
        <f ca="1">INDEX(INDIRECT(_xlfn.CONCAT("weather.tbl[",U$1,"]")),MATCH(vp.tbl[[#This Row],[SDate]],weather.tbl[Date],0))</f>
        <v>16</v>
      </c>
      <c r="V1546" s="2">
        <v>5265.8419999999996</v>
      </c>
      <c r="W1546" t="s">
        <v>48</v>
      </c>
      <c r="X1546">
        <f>IF(OR(vp.tbl[[#This Row],[Sulf]]="",vp.tbl[[#This Row],[Dens]]=""),1,0)</f>
        <v>0</v>
      </c>
      <c r="Y1546">
        <f>IF(vp.tbl[[#This Row],[CrudeType]]="C5+",1,0)</f>
        <v>0</v>
      </c>
      <c r="Z1546">
        <f>IF(AND(vp.tbl[[#This Row],[CrudeType]]="Crude",vp.tbl[[#This Row],[Dens]]&lt;=825,vp.tbl[[#This Row],[Sulf]]&gt;0.5,vp.tbl[[#This Row],[Unknown]]=0),1,0)</f>
        <v>0</v>
      </c>
      <c r="AA1546">
        <f>IF(AND(vp.tbl[[#This Row],[CrudeType]]="Crude",vp.tbl[[#This Row],[Dens]]&lt;=825,vp.tbl[[#This Row],[Sulf]]&lt;=0.5,vp.tbl[[#This Row],[Unknown]]=0),1,0)</f>
        <v>0</v>
      </c>
      <c r="AB1546">
        <f>IF(AND(vp.tbl[[#This Row],[CrudeType]]="Crude",vp.tbl[[#This Row],[Dens]]&gt;825,vp.tbl[[#This Row],[Dens]]&lt;=870,vp.tbl[[#This Row],[Sulf]]&gt;0.5,vp.tbl[[#This Row],[Unknown]]=0),1,0)</f>
        <v>1</v>
      </c>
      <c r="AC1546">
        <f>IF(AND(vp.tbl[[#This Row],[CrudeType]]="Crude",vp.tbl[[#This Row],[Dens]]&gt;825,vp.tbl[[#This Row],[Dens]]&lt;=900,vp.tbl[[#This Row],[Sulf]]&lt;=0.5,vp.tbl[[#This Row],[Unknown]]=0),1,0)</f>
        <v>0</v>
      </c>
      <c r="AD1546">
        <f>IF(AND(vp.tbl[[#This Row],[CrudeType]]="Crude",vp.tbl[[#This Row],[Dens]]&gt;870,vp.tbl[[#This Row],[Dens]]&lt;=900,vp.tbl[[#This Row],[Sulf]]&gt;0.5,vp.tbl[[#This Row],[Unknown]]=0),1,0)</f>
        <v>0</v>
      </c>
      <c r="AE1546">
        <f>IF(AND(vp.tbl[[#This Row],[CrudeType]]="Crude",vp.tbl[[#This Row],[Dens]]&gt;900,vp.tbl[[#This Row],[Sulf]]&lt;=0.5,vp.tbl[[#This Row],[Unknown]]=0),1,0)</f>
        <v>0</v>
      </c>
      <c r="AF1546">
        <f>IF(AND(vp.tbl[[#This Row],[CrudeType]]="Crude",vp.tbl[[#This Row],[Dens]]&gt;900,vp.tbl[[#This Row],[Sulf]]&lt;=0.5,vp.tbl[[#This Row],[Unknown]]=0),1,0)</f>
        <v>0</v>
      </c>
      <c r="AG1546" t="str">
        <f>INDEX(vp.tbl[[#Headers],[Unknown]:[Heavy_SW]],MATCH(1,vp.tbl[[#This Row],[Unknown]:[Heavy_SW]],0))</f>
        <v>Medium_LSB</v>
      </c>
      <c r="AH1546" t="e">
        <f>INDEX([1]!crudeBD.lkup[Number],MATCH(vp.tbl[[#This Row],[Crude_Breakdown]],[1]!crudeBD.lkup[Crude Breakdown],0))</f>
        <v>#REF!</v>
      </c>
      <c r="AI1546">
        <f>MONTH(vp.tbl[[#This Row],[SDate]])</f>
        <v>5</v>
      </c>
      <c r="AJ1546" s="5">
        <f>IFERROR(vp.tbl[[#This Row],[Sulf]]*vp.tbl[[#This Row],[Net Dens]],"")</f>
        <v>12526121.657500001</v>
      </c>
      <c r="AK1546" s="5">
        <f>IFERROR(vp.tbl[[#This Row],[Dens]]*vp.tbl[[#This Row],[VolumeM3]],"")</f>
        <v>4554953.33</v>
      </c>
      <c r="AL1546" s="5">
        <f>IFERROR(vp.tbl[[#This Row],[VP]]*vp.tbl[[#This Row],[VolumeM3]],"")</f>
        <v>343332.89840000001</v>
      </c>
      <c r="AM1546" s="4">
        <f>IFERROR((vp.tbl[[#This Row],[VP]]-INDEX(crudeBD.lkup.complete[Mean_VP],MATCH(vp.tbl[[#This Row],[Crude_Breakdown]],crudeBD.lkup.complete[Crude Breakdown],0)))^2,"")</f>
        <v>224.20854532863206</v>
      </c>
      <c r="AN1546" s="4">
        <f>IFERROR((vp.tbl[[#This Row],[Dens]]-INDEX(crudeBD.lkup.complete[Mean_Dens],MATCH(vp.tbl[[#This Row],[Crude_Breakdown]],crudeBD.lkup.complete[Crude Breakdown],0)))^2,"")</f>
        <v>388.41224914536809</v>
      </c>
      <c r="AO1546" s="4">
        <f>IFERROR((vp.tbl[[#This Row],[Sulf]]-INDEX(crudeBD.lkup.complete[Mean_Sulf],MATCH(vp.tbl[[#This Row],[Crude_Breakdown]],crudeBD.lkup.complete[Crude Breakdown],0)))^2,"")</f>
        <v>1.6772066655524207</v>
      </c>
      <c r="AP1546">
        <f>IF(AND(vp.tbl[[#This Row],[SDate]]&gt;=DATE(YEAR(vp.tbl[[#This Row],[SDate]]),5,1),vp.tbl[[#This Row],[SDate]]&lt;=DATE(YEAR(vp.tbl[[#This Row],[SDate]]),9,15)),1,0)</f>
        <v>1</v>
      </c>
      <c r="AQ1546" s="15">
        <f>IF(vp.tbl[[#This Row],[SDate]]&lt;DATE(2016,12,1),0,1)</f>
        <v>1</v>
      </c>
    </row>
    <row r="1547" spans="1:43" x14ac:dyDescent="0.25">
      <c r="A1547">
        <v>1546</v>
      </c>
      <c r="B1547" t="s">
        <v>51</v>
      </c>
      <c r="C1547" t="s">
        <v>51</v>
      </c>
      <c r="D1547" t="s">
        <v>52</v>
      </c>
      <c r="F1547" s="1">
        <v>42879</v>
      </c>
      <c r="G1547" s="2">
        <v>71.8</v>
      </c>
      <c r="H1547" s="2"/>
      <c r="I1547" s="2">
        <v>2.4</v>
      </c>
      <c r="J1547" s="2"/>
      <c r="K1547" s="2"/>
      <c r="L1547" s="2"/>
      <c r="M1547" s="2">
        <v>870.9</v>
      </c>
      <c r="N1547" s="2">
        <f ca="1">INDEX(INDIRECT(_xlfn.CONCAT("weather.tbl[",N$1,"]")),MATCH(vp.tbl[[#This Row],[SDate]],weather.tbl[Date],0))</f>
        <v>16.116666666666667</v>
      </c>
      <c r="O1547" s="2">
        <f ca="1">INDEX(INDIRECT(_xlfn.CONCAT("weather.tbl[",O$1,"]")),MATCH(vp.tbl[[#This Row],[SDate]],weather.tbl[Date],0))</f>
        <v>11.035714285714286</v>
      </c>
      <c r="P1547" s="2">
        <f ca="1">INDEX(INDIRECT(_xlfn.CONCAT("weather.tbl[",P$1,"]")),MATCH(vp.tbl[[#This Row],[SDate]],weather.tbl[Date],0))</f>
        <v>16.2</v>
      </c>
      <c r="Q1547" s="2">
        <f ca="1">INDEX(INDIRECT(_xlfn.CONCAT("weather.tbl[",Q$1,"]")),MATCH(vp.tbl[[#This Row],[SDate]],weather.tbl[Date],0))</f>
        <v>16.7</v>
      </c>
      <c r="R1547" s="2">
        <f ca="1">INDEX(INDIRECT(_xlfn.CONCAT("weather.tbl[",R$1,"]")),MATCH(vp.tbl[[#This Row],[SDate]],weather.tbl[Date],0))</f>
        <v>15.5</v>
      </c>
      <c r="S1547" s="2">
        <f ca="1">INDEX(INDIRECT(_xlfn.CONCAT("weather.tbl[",S$1,"]")),MATCH(vp.tbl[[#This Row],[SDate]],weather.tbl[Date],0))</f>
        <v>17.8</v>
      </c>
      <c r="T1547" s="2">
        <f ca="1">INDEX(INDIRECT(_xlfn.CONCAT("weather.tbl[",T$1,"]")),MATCH(vp.tbl[[#This Row],[SDate]],weather.tbl[Date],0))</f>
        <v>14.5</v>
      </c>
      <c r="U1547" s="2">
        <f ca="1">INDEX(INDIRECT(_xlfn.CONCAT("weather.tbl[",U$1,"]")),MATCH(vp.tbl[[#This Row],[SDate]],weather.tbl[Date],0))</f>
        <v>16</v>
      </c>
      <c r="V1547" s="2">
        <v>7049.7860000000001</v>
      </c>
      <c r="W1547" t="s">
        <v>48</v>
      </c>
      <c r="X1547">
        <f>IF(OR(vp.tbl[[#This Row],[Sulf]]="",vp.tbl[[#This Row],[Dens]]=""),1,0)</f>
        <v>0</v>
      </c>
      <c r="Y1547">
        <f>IF(vp.tbl[[#This Row],[CrudeType]]="C5+",1,0)</f>
        <v>0</v>
      </c>
      <c r="Z1547">
        <f>IF(AND(vp.tbl[[#This Row],[CrudeType]]="Crude",vp.tbl[[#This Row],[Dens]]&lt;=825,vp.tbl[[#This Row],[Sulf]]&gt;0.5,vp.tbl[[#This Row],[Unknown]]=0),1,0)</f>
        <v>0</v>
      </c>
      <c r="AA1547">
        <f>IF(AND(vp.tbl[[#This Row],[CrudeType]]="Crude",vp.tbl[[#This Row],[Dens]]&lt;=825,vp.tbl[[#This Row],[Sulf]]&lt;=0.5,vp.tbl[[#This Row],[Unknown]]=0),1,0)</f>
        <v>0</v>
      </c>
      <c r="AB1547">
        <f>IF(AND(vp.tbl[[#This Row],[CrudeType]]="Crude",vp.tbl[[#This Row],[Dens]]&gt;825,vp.tbl[[#This Row],[Dens]]&lt;=870,vp.tbl[[#This Row],[Sulf]]&gt;0.5,vp.tbl[[#This Row],[Unknown]]=0),1,0)</f>
        <v>0</v>
      </c>
      <c r="AC1547">
        <f>IF(AND(vp.tbl[[#This Row],[CrudeType]]="Crude",vp.tbl[[#This Row],[Dens]]&gt;825,vp.tbl[[#This Row],[Dens]]&lt;=900,vp.tbl[[#This Row],[Sulf]]&lt;=0.5,vp.tbl[[#This Row],[Unknown]]=0),1,0)</f>
        <v>0</v>
      </c>
      <c r="AD1547">
        <f>IF(AND(vp.tbl[[#This Row],[CrudeType]]="Crude",vp.tbl[[#This Row],[Dens]]&gt;870,vp.tbl[[#This Row],[Dens]]&lt;=900,vp.tbl[[#This Row],[Sulf]]&gt;0.5,vp.tbl[[#This Row],[Unknown]]=0),1,0)</f>
        <v>1</v>
      </c>
      <c r="AE1547">
        <f>IF(AND(vp.tbl[[#This Row],[CrudeType]]="Crude",vp.tbl[[#This Row],[Dens]]&gt;900,vp.tbl[[#This Row],[Sulf]]&lt;=0.5,vp.tbl[[#This Row],[Unknown]]=0),1,0)</f>
        <v>0</v>
      </c>
      <c r="AF1547">
        <f>IF(AND(vp.tbl[[#This Row],[CrudeType]]="Crude",vp.tbl[[#This Row],[Dens]]&gt;900,vp.tbl[[#This Row],[Sulf]]&lt;=0.5,vp.tbl[[#This Row],[Unknown]]=0),1,0)</f>
        <v>0</v>
      </c>
      <c r="AG1547" t="str">
        <f>INDEX(vp.tbl[[#Headers],[Unknown]:[Heavy_SW]],MATCH(1,vp.tbl[[#This Row],[Unknown]:[Heavy_SW]],0))</f>
        <v>Midale</v>
      </c>
      <c r="AH1547" t="e">
        <f>INDEX([1]!crudeBD.lkup[Number],MATCH(vp.tbl[[#This Row],[Crude_Breakdown]],[1]!crudeBD.lkup[Crude Breakdown],0))</f>
        <v>#REF!</v>
      </c>
      <c r="AI1547">
        <f>MONTH(vp.tbl[[#This Row],[SDate]])</f>
        <v>5</v>
      </c>
      <c r="AJ1547" s="5">
        <f>IFERROR(vp.tbl[[#This Row],[Sulf]]*vp.tbl[[#This Row],[Net Dens]],"")</f>
        <v>14735180.705759998</v>
      </c>
      <c r="AK1547" s="5">
        <f>IFERROR(vp.tbl[[#This Row],[Dens]]*vp.tbl[[#This Row],[VolumeM3]],"")</f>
        <v>6139658.6273999996</v>
      </c>
      <c r="AL1547" s="5">
        <f>IFERROR(vp.tbl[[#This Row],[VP]]*vp.tbl[[#This Row],[VolumeM3]],"")</f>
        <v>506174.6348</v>
      </c>
      <c r="AM1547" s="4">
        <f>IFERROR((vp.tbl[[#This Row],[VP]]-INDEX(crudeBD.lkup.complete[Mean_VP],MATCH(vp.tbl[[#This Row],[Crude_Breakdown]],crudeBD.lkup.complete[Crude Breakdown],0)))^2,"")</f>
        <v>12.685306811784461</v>
      </c>
      <c r="AN1547" s="4">
        <f>IFERROR((vp.tbl[[#This Row],[Dens]]-INDEX(crudeBD.lkup.complete[Mean_Dens],MATCH(vp.tbl[[#This Row],[Crude_Breakdown]],crudeBD.lkup.complete[Crude Breakdown],0)))^2,"")</f>
        <v>44.249832989300081</v>
      </c>
      <c r="AO1547" s="4">
        <f>IFERROR((vp.tbl[[#This Row],[Sulf]]-INDEX(crudeBD.lkup.complete[Mean_Sulf],MATCH(vp.tbl[[#This Row],[Crude_Breakdown]],crudeBD.lkup.complete[Crude Breakdown],0)))^2,"")</f>
        <v>2.3531980275845577E-4</v>
      </c>
      <c r="AP1547">
        <f>IF(AND(vp.tbl[[#This Row],[SDate]]&gt;=DATE(YEAR(vp.tbl[[#This Row],[SDate]]),5,1),vp.tbl[[#This Row],[SDate]]&lt;=DATE(YEAR(vp.tbl[[#This Row],[SDate]]),9,15)),1,0)</f>
        <v>1</v>
      </c>
      <c r="AQ1547" s="15">
        <f>IF(vp.tbl[[#This Row],[SDate]]&lt;DATE(2016,12,1),0,1)</f>
        <v>1</v>
      </c>
    </row>
    <row r="1548" spans="1:43" x14ac:dyDescent="0.25">
      <c r="A1548">
        <v>1547</v>
      </c>
      <c r="B1548" t="s">
        <v>51</v>
      </c>
      <c r="C1548" t="s">
        <v>51</v>
      </c>
      <c r="D1548" t="s">
        <v>58</v>
      </c>
      <c r="F1548" s="1">
        <v>42879</v>
      </c>
      <c r="G1548" s="2">
        <v>106.8</v>
      </c>
      <c r="H1548" s="2"/>
      <c r="I1548" s="2">
        <v>1.51</v>
      </c>
      <c r="J1548" s="2"/>
      <c r="K1548" s="2"/>
      <c r="L1548" s="2"/>
      <c r="M1548" s="2">
        <v>836.4</v>
      </c>
      <c r="N1548" s="2">
        <f ca="1">INDEX(INDIRECT(_xlfn.CONCAT("weather.tbl[",N$1,"]")),MATCH(vp.tbl[[#This Row],[SDate]],weather.tbl[Date],0))</f>
        <v>16.116666666666667</v>
      </c>
      <c r="O1548" s="2">
        <f ca="1">INDEX(INDIRECT(_xlfn.CONCAT("weather.tbl[",O$1,"]")),MATCH(vp.tbl[[#This Row],[SDate]],weather.tbl[Date],0))</f>
        <v>11.035714285714286</v>
      </c>
      <c r="P1548" s="2">
        <f ca="1">INDEX(INDIRECT(_xlfn.CONCAT("weather.tbl[",P$1,"]")),MATCH(vp.tbl[[#This Row],[SDate]],weather.tbl[Date],0))</f>
        <v>16.2</v>
      </c>
      <c r="Q1548" s="2">
        <f ca="1">INDEX(INDIRECT(_xlfn.CONCAT("weather.tbl[",Q$1,"]")),MATCH(vp.tbl[[#This Row],[SDate]],weather.tbl[Date],0))</f>
        <v>16.7</v>
      </c>
      <c r="R1548" s="2">
        <f ca="1">INDEX(INDIRECT(_xlfn.CONCAT("weather.tbl[",R$1,"]")),MATCH(vp.tbl[[#This Row],[SDate]],weather.tbl[Date],0))</f>
        <v>15.5</v>
      </c>
      <c r="S1548" s="2">
        <f ca="1">INDEX(INDIRECT(_xlfn.CONCAT("weather.tbl[",S$1,"]")),MATCH(vp.tbl[[#This Row],[SDate]],weather.tbl[Date],0))</f>
        <v>17.8</v>
      </c>
      <c r="T1548" s="2">
        <f ca="1">INDEX(INDIRECT(_xlfn.CONCAT("weather.tbl[",T$1,"]")),MATCH(vp.tbl[[#This Row],[SDate]],weather.tbl[Date],0))</f>
        <v>14.5</v>
      </c>
      <c r="U1548" s="2">
        <f ca="1">INDEX(INDIRECT(_xlfn.CONCAT("weather.tbl[",U$1,"]")),MATCH(vp.tbl[[#This Row],[SDate]],weather.tbl[Date],0))</f>
        <v>16</v>
      </c>
      <c r="V1548" s="2">
        <v>5887.6930000000002</v>
      </c>
      <c r="W1548" t="s">
        <v>48</v>
      </c>
      <c r="X1548">
        <f>IF(OR(vp.tbl[[#This Row],[Sulf]]="",vp.tbl[[#This Row],[Dens]]=""),1,0)</f>
        <v>0</v>
      </c>
      <c r="Y1548">
        <f>IF(vp.tbl[[#This Row],[CrudeType]]="C5+",1,0)</f>
        <v>0</v>
      </c>
      <c r="Z1548">
        <f>IF(AND(vp.tbl[[#This Row],[CrudeType]]="Crude",vp.tbl[[#This Row],[Dens]]&lt;=825,vp.tbl[[#This Row],[Sulf]]&gt;0.5,vp.tbl[[#This Row],[Unknown]]=0),1,0)</f>
        <v>0</v>
      </c>
      <c r="AA1548">
        <f>IF(AND(vp.tbl[[#This Row],[CrudeType]]="Crude",vp.tbl[[#This Row],[Dens]]&lt;=825,vp.tbl[[#This Row],[Sulf]]&lt;=0.5,vp.tbl[[#This Row],[Unknown]]=0),1,0)</f>
        <v>0</v>
      </c>
      <c r="AB1548">
        <f>IF(AND(vp.tbl[[#This Row],[CrudeType]]="Crude",vp.tbl[[#This Row],[Dens]]&gt;825,vp.tbl[[#This Row],[Dens]]&lt;=870,vp.tbl[[#This Row],[Sulf]]&gt;0.5,vp.tbl[[#This Row],[Unknown]]=0),1,0)</f>
        <v>1</v>
      </c>
      <c r="AC1548">
        <f>IF(AND(vp.tbl[[#This Row],[CrudeType]]="Crude",vp.tbl[[#This Row],[Dens]]&gt;825,vp.tbl[[#This Row],[Dens]]&lt;=900,vp.tbl[[#This Row],[Sulf]]&lt;=0.5,vp.tbl[[#This Row],[Unknown]]=0),1,0)</f>
        <v>0</v>
      </c>
      <c r="AD1548">
        <f>IF(AND(vp.tbl[[#This Row],[CrudeType]]="Crude",vp.tbl[[#This Row],[Dens]]&gt;870,vp.tbl[[#This Row],[Dens]]&lt;=900,vp.tbl[[#This Row],[Sulf]]&gt;0.5,vp.tbl[[#This Row],[Unknown]]=0),1,0)</f>
        <v>0</v>
      </c>
      <c r="AE1548">
        <f>IF(AND(vp.tbl[[#This Row],[CrudeType]]="Crude",vp.tbl[[#This Row],[Dens]]&gt;900,vp.tbl[[#This Row],[Sulf]]&lt;=0.5,vp.tbl[[#This Row],[Unknown]]=0),1,0)</f>
        <v>0</v>
      </c>
      <c r="AF1548">
        <f>IF(AND(vp.tbl[[#This Row],[CrudeType]]="Crude",vp.tbl[[#This Row],[Dens]]&gt;900,vp.tbl[[#This Row],[Sulf]]&lt;=0.5,vp.tbl[[#This Row],[Unknown]]=0),1,0)</f>
        <v>0</v>
      </c>
      <c r="AG1548" t="str">
        <f>INDEX(vp.tbl[[#Headers],[Unknown]:[Heavy_SW]],MATCH(1,vp.tbl[[#This Row],[Unknown]:[Heavy_SW]],0))</f>
        <v>Medium_LSB</v>
      </c>
      <c r="AH1548" t="e">
        <f>INDEX([1]!crudeBD.lkup[Number],MATCH(vp.tbl[[#This Row],[Crude_Breakdown]],[1]!crudeBD.lkup[Crude Breakdown],0))</f>
        <v>#REF!</v>
      </c>
      <c r="AI1548">
        <f>MONTH(vp.tbl[[#This Row],[SDate]])</f>
        <v>5</v>
      </c>
      <c r="AJ1548" s="5">
        <f>IFERROR(vp.tbl[[#This Row],[Sulf]]*vp.tbl[[#This Row],[Net Dens]],"")</f>
        <v>7435944.3020520005</v>
      </c>
      <c r="AK1548" s="5">
        <f>IFERROR(vp.tbl[[#This Row],[Dens]]*vp.tbl[[#This Row],[VolumeM3]],"")</f>
        <v>4924466.4252000004</v>
      </c>
      <c r="AL1548" s="5">
        <f>IFERROR(vp.tbl[[#This Row],[VP]]*vp.tbl[[#This Row],[VolumeM3]],"")</f>
        <v>628805.61239999998</v>
      </c>
      <c r="AM1548" s="4">
        <f>IFERROR((vp.tbl[[#This Row],[VP]]-INDEX(crudeBD.lkup.complete[Mean_VP],MATCH(vp.tbl[[#This Row],[Crude_Breakdown]],crudeBD.lkup.complete[Crude Breakdown],0)))^2,"")</f>
        <v>708.96544659445783</v>
      </c>
      <c r="AN1548" s="4">
        <f>IFERROR((vp.tbl[[#This Row],[Dens]]-INDEX(crudeBD.lkup.complete[Mean_Dens],MATCH(vp.tbl[[#This Row],[Crude_Breakdown]],crudeBD.lkup.complete[Crude Breakdown],0)))^2,"")</f>
        <v>79.064512436451409</v>
      </c>
      <c r="AO1548" s="4">
        <f>IFERROR((vp.tbl[[#This Row],[Sulf]]-INDEX(crudeBD.lkup.complete[Mean_Sulf],MATCH(vp.tbl[[#This Row],[Crude_Breakdown]],crudeBD.lkup.complete[Crude Breakdown],0)))^2,"")</f>
        <v>3.0327202359685928E-3</v>
      </c>
      <c r="AP1548">
        <f>IF(AND(vp.tbl[[#This Row],[SDate]]&gt;=DATE(YEAR(vp.tbl[[#This Row],[SDate]]),5,1),vp.tbl[[#This Row],[SDate]]&lt;=DATE(YEAR(vp.tbl[[#This Row],[SDate]]),9,15)),1,0)</f>
        <v>1</v>
      </c>
      <c r="AQ1548" s="15">
        <f>IF(vp.tbl[[#This Row],[SDate]]&lt;DATE(2016,12,1),0,1)</f>
        <v>1</v>
      </c>
    </row>
    <row r="1549" spans="1:43" x14ac:dyDescent="0.25">
      <c r="A1549">
        <v>1548</v>
      </c>
      <c r="B1549" t="s">
        <v>51</v>
      </c>
      <c r="C1549" t="s">
        <v>51</v>
      </c>
      <c r="D1549" t="s">
        <v>71</v>
      </c>
      <c r="F1549" s="1">
        <v>42879</v>
      </c>
      <c r="G1549" s="2">
        <v>75.2</v>
      </c>
      <c r="H1549" s="2"/>
      <c r="I1549" s="2">
        <v>1.58</v>
      </c>
      <c r="J1549" s="2"/>
      <c r="K1549" s="2"/>
      <c r="L1549" s="2"/>
      <c r="M1549" s="2">
        <v>828</v>
      </c>
      <c r="N1549" s="2">
        <f ca="1">INDEX(INDIRECT(_xlfn.CONCAT("weather.tbl[",N$1,"]")),MATCH(vp.tbl[[#This Row],[SDate]],weather.tbl[Date],0))</f>
        <v>16.116666666666667</v>
      </c>
      <c r="O1549" s="2">
        <f ca="1">INDEX(INDIRECT(_xlfn.CONCAT("weather.tbl[",O$1,"]")),MATCH(vp.tbl[[#This Row],[SDate]],weather.tbl[Date],0))</f>
        <v>11.035714285714286</v>
      </c>
      <c r="P1549" s="2">
        <f ca="1">INDEX(INDIRECT(_xlfn.CONCAT("weather.tbl[",P$1,"]")),MATCH(vp.tbl[[#This Row],[SDate]],weather.tbl[Date],0))</f>
        <v>16.2</v>
      </c>
      <c r="Q1549" s="2">
        <f ca="1">INDEX(INDIRECT(_xlfn.CONCAT("weather.tbl[",Q$1,"]")),MATCH(vp.tbl[[#This Row],[SDate]],weather.tbl[Date],0))</f>
        <v>16.7</v>
      </c>
      <c r="R1549" s="2">
        <f ca="1">INDEX(INDIRECT(_xlfn.CONCAT("weather.tbl[",R$1,"]")),MATCH(vp.tbl[[#This Row],[SDate]],weather.tbl[Date],0))</f>
        <v>15.5</v>
      </c>
      <c r="S1549" s="2">
        <f ca="1">INDEX(INDIRECT(_xlfn.CONCAT("weather.tbl[",S$1,"]")),MATCH(vp.tbl[[#This Row],[SDate]],weather.tbl[Date],0))</f>
        <v>17.8</v>
      </c>
      <c r="T1549" s="2">
        <f ca="1">INDEX(INDIRECT(_xlfn.CONCAT("weather.tbl[",T$1,"]")),MATCH(vp.tbl[[#This Row],[SDate]],weather.tbl[Date],0))</f>
        <v>14.5</v>
      </c>
      <c r="U1549" s="2">
        <f ca="1">INDEX(INDIRECT(_xlfn.CONCAT("weather.tbl[",U$1,"]")),MATCH(vp.tbl[[#This Row],[SDate]],weather.tbl[Date],0))</f>
        <v>16</v>
      </c>
      <c r="V1549" s="2">
        <v>9610.1779999999999</v>
      </c>
      <c r="W1549" t="s">
        <v>48</v>
      </c>
      <c r="X1549">
        <f>IF(OR(vp.tbl[[#This Row],[Sulf]]="",vp.tbl[[#This Row],[Dens]]=""),1,0)</f>
        <v>0</v>
      </c>
      <c r="Y1549">
        <f>IF(vp.tbl[[#This Row],[CrudeType]]="C5+",1,0)</f>
        <v>0</v>
      </c>
      <c r="Z1549">
        <f>IF(AND(vp.tbl[[#This Row],[CrudeType]]="Crude",vp.tbl[[#This Row],[Dens]]&lt;=825,vp.tbl[[#This Row],[Sulf]]&gt;0.5,vp.tbl[[#This Row],[Unknown]]=0),1,0)</f>
        <v>0</v>
      </c>
      <c r="AA1549">
        <f>IF(AND(vp.tbl[[#This Row],[CrudeType]]="Crude",vp.tbl[[#This Row],[Dens]]&lt;=825,vp.tbl[[#This Row],[Sulf]]&lt;=0.5,vp.tbl[[#This Row],[Unknown]]=0),1,0)</f>
        <v>0</v>
      </c>
      <c r="AB1549">
        <f>IF(AND(vp.tbl[[#This Row],[CrudeType]]="Crude",vp.tbl[[#This Row],[Dens]]&gt;825,vp.tbl[[#This Row],[Dens]]&lt;=870,vp.tbl[[#This Row],[Sulf]]&gt;0.5,vp.tbl[[#This Row],[Unknown]]=0),1,0)</f>
        <v>1</v>
      </c>
      <c r="AC1549">
        <f>IF(AND(vp.tbl[[#This Row],[CrudeType]]="Crude",vp.tbl[[#This Row],[Dens]]&gt;825,vp.tbl[[#This Row],[Dens]]&lt;=900,vp.tbl[[#This Row],[Sulf]]&lt;=0.5,vp.tbl[[#This Row],[Unknown]]=0),1,0)</f>
        <v>0</v>
      </c>
      <c r="AD1549">
        <f>IF(AND(vp.tbl[[#This Row],[CrudeType]]="Crude",vp.tbl[[#This Row],[Dens]]&gt;870,vp.tbl[[#This Row],[Dens]]&lt;=900,vp.tbl[[#This Row],[Sulf]]&gt;0.5,vp.tbl[[#This Row],[Unknown]]=0),1,0)</f>
        <v>0</v>
      </c>
      <c r="AE1549">
        <f>IF(AND(vp.tbl[[#This Row],[CrudeType]]="Crude",vp.tbl[[#This Row],[Dens]]&gt;900,vp.tbl[[#This Row],[Sulf]]&lt;=0.5,vp.tbl[[#This Row],[Unknown]]=0),1,0)</f>
        <v>0</v>
      </c>
      <c r="AF1549">
        <f>IF(AND(vp.tbl[[#This Row],[CrudeType]]="Crude",vp.tbl[[#This Row],[Dens]]&gt;900,vp.tbl[[#This Row],[Sulf]]&lt;=0.5,vp.tbl[[#This Row],[Unknown]]=0),1,0)</f>
        <v>0</v>
      </c>
      <c r="AG1549" t="str">
        <f>INDEX(vp.tbl[[#Headers],[Unknown]:[Heavy_SW]],MATCH(1,vp.tbl[[#This Row],[Unknown]:[Heavy_SW]],0))</f>
        <v>Medium_LSB</v>
      </c>
      <c r="AH1549" t="e">
        <f>INDEX([1]!crudeBD.lkup[Number],MATCH(vp.tbl[[#This Row],[Crude_Breakdown]],[1]!crudeBD.lkup[Crude Breakdown],0))</f>
        <v>#REF!</v>
      </c>
      <c r="AI1549">
        <f>MONTH(vp.tbl[[#This Row],[SDate]])</f>
        <v>5</v>
      </c>
      <c r="AJ1549" s="5">
        <f>IFERROR(vp.tbl[[#This Row],[Sulf]]*vp.tbl[[#This Row],[Net Dens]],"")</f>
        <v>12572419.266720001</v>
      </c>
      <c r="AK1549" s="5">
        <f>IFERROR(vp.tbl[[#This Row],[Dens]]*vp.tbl[[#This Row],[VolumeM3]],"")</f>
        <v>7957227.3839999996</v>
      </c>
      <c r="AL1549" s="5">
        <f>IFERROR(vp.tbl[[#This Row],[VP]]*vp.tbl[[#This Row],[VolumeM3]],"")</f>
        <v>722685.38560000004</v>
      </c>
      <c r="AM1549" s="4">
        <f>IFERROR((vp.tbl[[#This Row],[VP]]-INDEX(crudeBD.lkup.complete[Mean_VP],MATCH(vp.tbl[[#This Row],[Crude_Breakdown]],crudeBD.lkup.complete[Crude Breakdown],0)))^2,"")</f>
        <v>24.736646594455621</v>
      </c>
      <c r="AN1549" s="4">
        <f>IFERROR((vp.tbl[[#This Row],[Dens]]-INDEX(crudeBD.lkup.complete[Mean_Dens],MATCH(vp.tbl[[#This Row],[Crude_Breakdown]],crudeBD.lkup.complete[Crude Breakdown],0)))^2,"")</f>
        <v>299.0071352212446</v>
      </c>
      <c r="AO1549" s="4">
        <f>IFERROR((vp.tbl[[#This Row],[Sulf]]-INDEX(crudeBD.lkup.complete[Mean_Sulf],MATCH(vp.tbl[[#This Row],[Crude_Breakdown]],crudeBD.lkup.complete[Crude Breakdown],0)))^2,"")</f>
        <v>1.5642539729639287E-2</v>
      </c>
      <c r="AP1549">
        <f>IF(AND(vp.tbl[[#This Row],[SDate]]&gt;=DATE(YEAR(vp.tbl[[#This Row],[SDate]]),5,1),vp.tbl[[#This Row],[SDate]]&lt;=DATE(YEAR(vp.tbl[[#This Row],[SDate]]),9,15)),1,0)</f>
        <v>1</v>
      </c>
      <c r="AQ1549" s="15">
        <f>IF(vp.tbl[[#This Row],[SDate]]&lt;DATE(2016,12,1),0,1)</f>
        <v>1</v>
      </c>
    </row>
    <row r="1550" spans="1:43" x14ac:dyDescent="0.25">
      <c r="A1550">
        <v>1549</v>
      </c>
      <c r="B1550" t="s">
        <v>111</v>
      </c>
      <c r="C1550" t="s">
        <v>111</v>
      </c>
      <c r="D1550" t="s">
        <v>112</v>
      </c>
      <c r="F1550" s="1">
        <v>42879</v>
      </c>
      <c r="G1550" s="2">
        <v>75.900000000000006</v>
      </c>
      <c r="H1550" s="2"/>
      <c r="I1550" s="2">
        <v>1.77</v>
      </c>
      <c r="J1550" s="2"/>
      <c r="K1550" s="2"/>
      <c r="L1550" s="2"/>
      <c r="M1550" s="2">
        <v>856.7</v>
      </c>
      <c r="N1550" s="2">
        <f ca="1">INDEX(INDIRECT(_xlfn.CONCAT("weather.tbl[",N$1,"]")),MATCH(vp.tbl[[#This Row],[SDate]],weather.tbl[Date],0))</f>
        <v>16.116666666666667</v>
      </c>
      <c r="O1550" s="2">
        <f ca="1">INDEX(INDIRECT(_xlfn.CONCAT("weather.tbl[",O$1,"]")),MATCH(vp.tbl[[#This Row],[SDate]],weather.tbl[Date],0))</f>
        <v>11.035714285714286</v>
      </c>
      <c r="P1550" s="2">
        <f ca="1">INDEX(INDIRECT(_xlfn.CONCAT("weather.tbl[",P$1,"]")),MATCH(vp.tbl[[#This Row],[SDate]],weather.tbl[Date],0))</f>
        <v>16.2</v>
      </c>
      <c r="Q1550" s="2">
        <f ca="1">INDEX(INDIRECT(_xlfn.CONCAT("weather.tbl[",Q$1,"]")),MATCH(vp.tbl[[#This Row],[SDate]],weather.tbl[Date],0))</f>
        <v>16.7</v>
      </c>
      <c r="R1550" s="2">
        <f ca="1">INDEX(INDIRECT(_xlfn.CONCAT("weather.tbl[",R$1,"]")),MATCH(vp.tbl[[#This Row],[SDate]],weather.tbl[Date],0))</f>
        <v>15.5</v>
      </c>
      <c r="S1550" s="2">
        <f ca="1">INDEX(INDIRECT(_xlfn.CONCAT("weather.tbl[",S$1,"]")),MATCH(vp.tbl[[#This Row],[SDate]],weather.tbl[Date],0))</f>
        <v>17.8</v>
      </c>
      <c r="T1550" s="2">
        <f ca="1">INDEX(INDIRECT(_xlfn.CONCAT("weather.tbl[",T$1,"]")),MATCH(vp.tbl[[#This Row],[SDate]],weather.tbl[Date],0))</f>
        <v>14.5</v>
      </c>
      <c r="U1550" s="2">
        <f ca="1">INDEX(INDIRECT(_xlfn.CONCAT("weather.tbl[",U$1,"]")),MATCH(vp.tbl[[#This Row],[SDate]],weather.tbl[Date],0))</f>
        <v>16</v>
      </c>
      <c r="V1550" s="2">
        <v>8074.473</v>
      </c>
      <c r="W1550" t="s">
        <v>48</v>
      </c>
      <c r="X1550">
        <f>IF(OR(vp.tbl[[#This Row],[Sulf]]="",vp.tbl[[#This Row],[Dens]]=""),1,0)</f>
        <v>0</v>
      </c>
      <c r="Y1550">
        <f>IF(vp.tbl[[#This Row],[CrudeType]]="C5+",1,0)</f>
        <v>0</v>
      </c>
      <c r="Z1550">
        <f>IF(AND(vp.tbl[[#This Row],[CrudeType]]="Crude",vp.tbl[[#This Row],[Dens]]&lt;=825,vp.tbl[[#This Row],[Sulf]]&gt;0.5,vp.tbl[[#This Row],[Unknown]]=0),1,0)</f>
        <v>0</v>
      </c>
      <c r="AA1550">
        <f>IF(AND(vp.tbl[[#This Row],[CrudeType]]="Crude",vp.tbl[[#This Row],[Dens]]&lt;=825,vp.tbl[[#This Row],[Sulf]]&lt;=0.5,vp.tbl[[#This Row],[Unknown]]=0),1,0)</f>
        <v>0</v>
      </c>
      <c r="AB1550">
        <f>IF(AND(vp.tbl[[#This Row],[CrudeType]]="Crude",vp.tbl[[#This Row],[Dens]]&gt;825,vp.tbl[[#This Row],[Dens]]&lt;=870,vp.tbl[[#This Row],[Sulf]]&gt;0.5,vp.tbl[[#This Row],[Unknown]]=0),1,0)</f>
        <v>1</v>
      </c>
      <c r="AC1550">
        <f>IF(AND(vp.tbl[[#This Row],[CrudeType]]="Crude",vp.tbl[[#This Row],[Dens]]&gt;825,vp.tbl[[#This Row],[Dens]]&lt;=900,vp.tbl[[#This Row],[Sulf]]&lt;=0.5,vp.tbl[[#This Row],[Unknown]]=0),1,0)</f>
        <v>0</v>
      </c>
      <c r="AD1550">
        <f>IF(AND(vp.tbl[[#This Row],[CrudeType]]="Crude",vp.tbl[[#This Row],[Dens]]&gt;870,vp.tbl[[#This Row],[Dens]]&lt;=900,vp.tbl[[#This Row],[Sulf]]&gt;0.5,vp.tbl[[#This Row],[Unknown]]=0),1,0)</f>
        <v>0</v>
      </c>
      <c r="AE1550">
        <f>IF(AND(vp.tbl[[#This Row],[CrudeType]]="Crude",vp.tbl[[#This Row],[Dens]]&gt;900,vp.tbl[[#This Row],[Sulf]]&lt;=0.5,vp.tbl[[#This Row],[Unknown]]=0),1,0)</f>
        <v>0</v>
      </c>
      <c r="AF1550">
        <f>IF(AND(vp.tbl[[#This Row],[CrudeType]]="Crude",vp.tbl[[#This Row],[Dens]]&gt;900,vp.tbl[[#This Row],[Sulf]]&lt;=0.5,vp.tbl[[#This Row],[Unknown]]=0),1,0)</f>
        <v>0</v>
      </c>
      <c r="AG1550" t="str">
        <f>INDEX(vp.tbl[[#Headers],[Unknown]:[Heavy_SW]],MATCH(1,vp.tbl[[#This Row],[Unknown]:[Heavy_SW]],0))</f>
        <v>Medium_LSB</v>
      </c>
      <c r="AH1550" t="e">
        <f>INDEX([1]!crudeBD.lkup[Number],MATCH(vp.tbl[[#This Row],[Crude_Breakdown]],[1]!crudeBD.lkup[Crude Breakdown],0))</f>
        <v>#REF!</v>
      </c>
      <c r="AI1550">
        <f>MONTH(vp.tbl[[#This Row],[SDate]])</f>
        <v>5</v>
      </c>
      <c r="AJ1550" s="5">
        <f>IFERROR(vp.tbl[[#This Row],[Sulf]]*vp.tbl[[#This Row],[Net Dens]],"")</f>
        <v>12243799.803807</v>
      </c>
      <c r="AK1550" s="5">
        <f>IFERROR(vp.tbl[[#This Row],[Dens]]*vp.tbl[[#This Row],[VolumeM3]],"")</f>
        <v>6917401.0191000002</v>
      </c>
      <c r="AL1550" s="5">
        <f>IFERROR(vp.tbl[[#This Row],[VP]]*vp.tbl[[#This Row],[VolumeM3]],"")</f>
        <v>612852.50070000009</v>
      </c>
      <c r="AM1550" s="4">
        <f>IFERROR((vp.tbl[[#This Row],[VP]]-INDEX(crudeBD.lkup.complete[Mean_VP],MATCH(vp.tbl[[#This Row],[Crude_Breakdown]],crudeBD.lkup.complete[Crude Breakdown],0)))^2,"")</f>
        <v>18.263613683063248</v>
      </c>
      <c r="AN1550" s="4">
        <f>IFERROR((vp.tbl[[#This Row],[Dens]]-INDEX(crudeBD.lkup.complete[Mean_Dens],MATCH(vp.tbl[[#This Row],[Crude_Breakdown]],crudeBD.lkup.complete[Crude Breakdown],0)))^2,"")</f>
        <v>130.14650737320088</v>
      </c>
      <c r="AO1550" s="4">
        <f>IFERROR((vp.tbl[[#This Row],[Sulf]]-INDEX(crudeBD.lkup.complete[Mean_Sulf],MATCH(vp.tbl[[#This Row],[Crude_Breakdown]],crudeBD.lkup.complete[Crude Breakdown],0)))^2,"")</f>
        <v>9.9269192641031123E-2</v>
      </c>
      <c r="AP1550">
        <f>IF(AND(vp.tbl[[#This Row],[SDate]]&gt;=DATE(YEAR(vp.tbl[[#This Row],[SDate]]),5,1),vp.tbl[[#This Row],[SDate]]&lt;=DATE(YEAR(vp.tbl[[#This Row],[SDate]]),9,15)),1,0)</f>
        <v>1</v>
      </c>
      <c r="AQ1550" s="15">
        <f>IF(vp.tbl[[#This Row],[SDate]]&lt;DATE(2016,12,1),0,1)</f>
        <v>1</v>
      </c>
    </row>
    <row r="1551" spans="1:43" x14ac:dyDescent="0.25">
      <c r="A1551">
        <v>1550</v>
      </c>
      <c r="B1551" t="s">
        <v>111</v>
      </c>
      <c r="C1551" t="s">
        <v>111</v>
      </c>
      <c r="D1551" t="s">
        <v>234</v>
      </c>
      <c r="F1551" s="1">
        <v>42879</v>
      </c>
      <c r="G1551" s="2">
        <v>66.2</v>
      </c>
      <c r="H1551" s="2"/>
      <c r="I1551" s="2">
        <v>2.75</v>
      </c>
      <c r="J1551" s="2"/>
      <c r="K1551" s="2"/>
      <c r="L1551" s="2"/>
      <c r="M1551" s="2">
        <v>884.4</v>
      </c>
      <c r="N1551" s="2">
        <f ca="1">INDEX(INDIRECT(_xlfn.CONCAT("weather.tbl[",N$1,"]")),MATCH(vp.tbl[[#This Row],[SDate]],weather.tbl[Date],0))</f>
        <v>16.116666666666667</v>
      </c>
      <c r="O1551" s="2">
        <f ca="1">INDEX(INDIRECT(_xlfn.CONCAT("weather.tbl[",O$1,"]")),MATCH(vp.tbl[[#This Row],[SDate]],weather.tbl[Date],0))</f>
        <v>11.035714285714286</v>
      </c>
      <c r="P1551" s="2">
        <f ca="1">INDEX(INDIRECT(_xlfn.CONCAT("weather.tbl[",P$1,"]")),MATCH(vp.tbl[[#This Row],[SDate]],weather.tbl[Date],0))</f>
        <v>16.2</v>
      </c>
      <c r="Q1551" s="2">
        <f ca="1">INDEX(INDIRECT(_xlfn.CONCAT("weather.tbl[",Q$1,"]")),MATCH(vp.tbl[[#This Row],[SDate]],weather.tbl[Date],0))</f>
        <v>16.7</v>
      </c>
      <c r="R1551" s="2">
        <f ca="1">INDEX(INDIRECT(_xlfn.CONCAT("weather.tbl[",R$1,"]")),MATCH(vp.tbl[[#This Row],[SDate]],weather.tbl[Date],0))</f>
        <v>15.5</v>
      </c>
      <c r="S1551" s="2">
        <f ca="1">INDEX(INDIRECT(_xlfn.CONCAT("weather.tbl[",S$1,"]")),MATCH(vp.tbl[[#This Row],[SDate]],weather.tbl[Date],0))</f>
        <v>17.8</v>
      </c>
      <c r="T1551" s="2">
        <f ca="1">INDEX(INDIRECT(_xlfn.CONCAT("weather.tbl[",T$1,"]")),MATCH(vp.tbl[[#This Row],[SDate]],weather.tbl[Date],0))</f>
        <v>14.5</v>
      </c>
      <c r="U1551" s="2">
        <f ca="1">INDEX(INDIRECT(_xlfn.CONCAT("weather.tbl[",U$1,"]")),MATCH(vp.tbl[[#This Row],[SDate]],weather.tbl[Date],0))</f>
        <v>16</v>
      </c>
      <c r="V1551" s="2">
        <v>2844.9769999999999</v>
      </c>
      <c r="W1551" t="s">
        <v>48</v>
      </c>
      <c r="X1551">
        <f>IF(OR(vp.tbl[[#This Row],[Sulf]]="",vp.tbl[[#This Row],[Dens]]=""),1,0)</f>
        <v>0</v>
      </c>
      <c r="Y1551">
        <f>IF(vp.tbl[[#This Row],[CrudeType]]="C5+",1,0)</f>
        <v>0</v>
      </c>
      <c r="Z1551">
        <f>IF(AND(vp.tbl[[#This Row],[CrudeType]]="Crude",vp.tbl[[#This Row],[Dens]]&lt;=825,vp.tbl[[#This Row],[Sulf]]&gt;0.5,vp.tbl[[#This Row],[Unknown]]=0),1,0)</f>
        <v>0</v>
      </c>
      <c r="AA1551">
        <f>IF(AND(vp.tbl[[#This Row],[CrudeType]]="Crude",vp.tbl[[#This Row],[Dens]]&lt;=825,vp.tbl[[#This Row],[Sulf]]&lt;=0.5,vp.tbl[[#This Row],[Unknown]]=0),1,0)</f>
        <v>0</v>
      </c>
      <c r="AB1551">
        <f>IF(AND(vp.tbl[[#This Row],[CrudeType]]="Crude",vp.tbl[[#This Row],[Dens]]&gt;825,vp.tbl[[#This Row],[Dens]]&lt;=870,vp.tbl[[#This Row],[Sulf]]&gt;0.5,vp.tbl[[#This Row],[Unknown]]=0),1,0)</f>
        <v>0</v>
      </c>
      <c r="AC1551">
        <f>IF(AND(vp.tbl[[#This Row],[CrudeType]]="Crude",vp.tbl[[#This Row],[Dens]]&gt;825,vp.tbl[[#This Row],[Dens]]&lt;=900,vp.tbl[[#This Row],[Sulf]]&lt;=0.5,vp.tbl[[#This Row],[Unknown]]=0),1,0)</f>
        <v>0</v>
      </c>
      <c r="AD1551">
        <f>IF(AND(vp.tbl[[#This Row],[CrudeType]]="Crude",vp.tbl[[#This Row],[Dens]]&gt;870,vp.tbl[[#This Row],[Dens]]&lt;=900,vp.tbl[[#This Row],[Sulf]]&gt;0.5,vp.tbl[[#This Row],[Unknown]]=0),1,0)</f>
        <v>1</v>
      </c>
      <c r="AE1551">
        <f>IF(AND(vp.tbl[[#This Row],[CrudeType]]="Crude",vp.tbl[[#This Row],[Dens]]&gt;900,vp.tbl[[#This Row],[Sulf]]&lt;=0.5,vp.tbl[[#This Row],[Unknown]]=0),1,0)</f>
        <v>0</v>
      </c>
      <c r="AF1551">
        <f>IF(AND(vp.tbl[[#This Row],[CrudeType]]="Crude",vp.tbl[[#This Row],[Dens]]&gt;900,vp.tbl[[#This Row],[Sulf]]&lt;=0.5,vp.tbl[[#This Row],[Unknown]]=0),1,0)</f>
        <v>0</v>
      </c>
      <c r="AG1551" t="str">
        <f>INDEX(vp.tbl[[#Headers],[Unknown]:[Heavy_SW]],MATCH(1,vp.tbl[[#This Row],[Unknown]:[Heavy_SW]],0))</f>
        <v>Midale</v>
      </c>
      <c r="AH1551" t="e">
        <f>INDEX([1]!crudeBD.lkup[Number],MATCH(vp.tbl[[#This Row],[Crude_Breakdown]],[1]!crudeBD.lkup[Crude Breakdown],0))</f>
        <v>#REF!</v>
      </c>
      <c r="AI1551">
        <f>MONTH(vp.tbl[[#This Row],[SDate]])</f>
        <v>5</v>
      </c>
      <c r="AJ1551" s="5">
        <f>IFERROR(vp.tbl[[#This Row],[Sulf]]*vp.tbl[[#This Row],[Net Dens]],"")</f>
        <v>6919268.5616999995</v>
      </c>
      <c r="AK1551" s="5">
        <f>IFERROR(vp.tbl[[#This Row],[Dens]]*vp.tbl[[#This Row],[VolumeM3]],"")</f>
        <v>2516097.6587999999</v>
      </c>
      <c r="AL1551" s="5">
        <f>IFERROR(vp.tbl[[#This Row],[VP]]*vp.tbl[[#This Row],[VolumeM3]],"")</f>
        <v>188337.4774</v>
      </c>
      <c r="AM1551" s="4">
        <f>IFERROR((vp.tbl[[#This Row],[VP]]-INDEX(crudeBD.lkup.complete[Mean_VP],MATCH(vp.tbl[[#This Row],[Crude_Breakdown]],crudeBD.lkup.complete[Crude Breakdown],0)))^2,"")</f>
        <v>4.1548958528805073</v>
      </c>
      <c r="AN1551" s="4">
        <f>IFERROR((vp.tbl[[#This Row],[Dens]]-INDEX(crudeBD.lkup.complete[Mean_Dens],MATCH(vp.tbl[[#This Row],[Crude_Breakdown]],crudeBD.lkup.complete[Crude Breakdown],0)))^2,"")</f>
        <v>46.894353537252847</v>
      </c>
      <c r="AO1551" s="4">
        <f>IFERROR((vp.tbl[[#This Row],[Sulf]]-INDEX(crudeBD.lkup.complete[Mean_Sulf],MATCH(vp.tbl[[#This Row],[Crude_Breakdown]],crudeBD.lkup.complete[Crude Breakdown],0)))^2,"")</f>
        <v>0.11199722391234837</v>
      </c>
      <c r="AP1551">
        <f>IF(AND(vp.tbl[[#This Row],[SDate]]&gt;=DATE(YEAR(vp.tbl[[#This Row],[SDate]]),5,1),vp.tbl[[#This Row],[SDate]]&lt;=DATE(YEAR(vp.tbl[[#This Row],[SDate]]),9,15)),1,0)</f>
        <v>1</v>
      </c>
      <c r="AQ1551" s="15">
        <f>IF(vp.tbl[[#This Row],[SDate]]&lt;DATE(2016,12,1),0,1)</f>
        <v>1</v>
      </c>
    </row>
    <row r="1552" spans="1:43" x14ac:dyDescent="0.25">
      <c r="A1552">
        <v>1551</v>
      </c>
      <c r="B1552" t="s">
        <v>292</v>
      </c>
      <c r="C1552" t="s">
        <v>292</v>
      </c>
      <c r="D1552" t="s">
        <v>94</v>
      </c>
      <c r="F1552" s="1">
        <v>42879</v>
      </c>
      <c r="G1552" s="2">
        <v>66.099999999999994</v>
      </c>
      <c r="H1552" s="2"/>
      <c r="I1552" s="2">
        <v>1.96</v>
      </c>
      <c r="J1552" s="2"/>
      <c r="K1552" s="2"/>
      <c r="L1552" s="2"/>
      <c r="M1552" s="2">
        <v>865.5</v>
      </c>
      <c r="N1552" s="2">
        <f ca="1">INDEX(INDIRECT(_xlfn.CONCAT("weather.tbl[",N$1,"]")),MATCH(vp.tbl[[#This Row],[SDate]],weather.tbl[Date],0))</f>
        <v>16.116666666666667</v>
      </c>
      <c r="O1552" s="2">
        <f ca="1">INDEX(INDIRECT(_xlfn.CONCAT("weather.tbl[",O$1,"]")),MATCH(vp.tbl[[#This Row],[SDate]],weather.tbl[Date],0))</f>
        <v>11.035714285714286</v>
      </c>
      <c r="P1552" s="2">
        <f ca="1">INDEX(INDIRECT(_xlfn.CONCAT("weather.tbl[",P$1,"]")),MATCH(vp.tbl[[#This Row],[SDate]],weather.tbl[Date],0))</f>
        <v>16.2</v>
      </c>
      <c r="Q1552" s="2">
        <f ca="1">INDEX(INDIRECT(_xlfn.CONCAT("weather.tbl[",Q$1,"]")),MATCH(vp.tbl[[#This Row],[SDate]],weather.tbl[Date],0))</f>
        <v>16.7</v>
      </c>
      <c r="R1552" s="2">
        <f ca="1">INDEX(INDIRECT(_xlfn.CONCAT("weather.tbl[",R$1,"]")),MATCH(vp.tbl[[#This Row],[SDate]],weather.tbl[Date],0))</f>
        <v>15.5</v>
      </c>
      <c r="S1552" s="2">
        <f ca="1">INDEX(INDIRECT(_xlfn.CONCAT("weather.tbl[",S$1,"]")),MATCH(vp.tbl[[#This Row],[SDate]],weather.tbl[Date],0))</f>
        <v>17.8</v>
      </c>
      <c r="T1552" s="2">
        <f ca="1">INDEX(INDIRECT(_xlfn.CONCAT("weather.tbl[",T$1,"]")),MATCH(vp.tbl[[#This Row],[SDate]],weather.tbl[Date],0))</f>
        <v>14.5</v>
      </c>
      <c r="U1552" s="2">
        <f ca="1">INDEX(INDIRECT(_xlfn.CONCAT("weather.tbl[",U$1,"]")),MATCH(vp.tbl[[#This Row],[SDate]],weather.tbl[Date],0))</f>
        <v>16</v>
      </c>
      <c r="V1552" s="2">
        <v>4763.951</v>
      </c>
      <c r="W1552" t="s">
        <v>48</v>
      </c>
      <c r="X1552">
        <f>IF(OR(vp.tbl[[#This Row],[Sulf]]="",vp.tbl[[#This Row],[Dens]]=""),1,0)</f>
        <v>0</v>
      </c>
      <c r="Y1552">
        <f>IF(vp.tbl[[#This Row],[CrudeType]]="C5+",1,0)</f>
        <v>0</v>
      </c>
      <c r="Z1552">
        <f>IF(AND(vp.tbl[[#This Row],[CrudeType]]="Crude",vp.tbl[[#This Row],[Dens]]&lt;=825,vp.tbl[[#This Row],[Sulf]]&gt;0.5,vp.tbl[[#This Row],[Unknown]]=0),1,0)</f>
        <v>0</v>
      </c>
      <c r="AA1552">
        <f>IF(AND(vp.tbl[[#This Row],[CrudeType]]="Crude",vp.tbl[[#This Row],[Dens]]&lt;=825,vp.tbl[[#This Row],[Sulf]]&lt;=0.5,vp.tbl[[#This Row],[Unknown]]=0),1,0)</f>
        <v>0</v>
      </c>
      <c r="AB1552">
        <f>IF(AND(vp.tbl[[#This Row],[CrudeType]]="Crude",vp.tbl[[#This Row],[Dens]]&gt;825,vp.tbl[[#This Row],[Dens]]&lt;=870,vp.tbl[[#This Row],[Sulf]]&gt;0.5,vp.tbl[[#This Row],[Unknown]]=0),1,0)</f>
        <v>1</v>
      </c>
      <c r="AC1552">
        <f>IF(AND(vp.tbl[[#This Row],[CrudeType]]="Crude",vp.tbl[[#This Row],[Dens]]&gt;825,vp.tbl[[#This Row],[Dens]]&lt;=900,vp.tbl[[#This Row],[Sulf]]&lt;=0.5,vp.tbl[[#This Row],[Unknown]]=0),1,0)</f>
        <v>0</v>
      </c>
      <c r="AD1552">
        <f>IF(AND(vp.tbl[[#This Row],[CrudeType]]="Crude",vp.tbl[[#This Row],[Dens]]&gt;870,vp.tbl[[#This Row],[Dens]]&lt;=900,vp.tbl[[#This Row],[Sulf]]&gt;0.5,vp.tbl[[#This Row],[Unknown]]=0),1,0)</f>
        <v>0</v>
      </c>
      <c r="AE1552">
        <f>IF(AND(vp.tbl[[#This Row],[CrudeType]]="Crude",vp.tbl[[#This Row],[Dens]]&gt;900,vp.tbl[[#This Row],[Sulf]]&lt;=0.5,vp.tbl[[#This Row],[Unknown]]=0),1,0)</f>
        <v>0</v>
      </c>
      <c r="AF1552">
        <f>IF(AND(vp.tbl[[#This Row],[CrudeType]]="Crude",vp.tbl[[#This Row],[Dens]]&gt;900,vp.tbl[[#This Row],[Sulf]]&lt;=0.5,vp.tbl[[#This Row],[Unknown]]=0),1,0)</f>
        <v>0</v>
      </c>
      <c r="AG1552" t="str">
        <f>INDEX(vp.tbl[[#Headers],[Unknown]:[Heavy_SW]],MATCH(1,vp.tbl[[#This Row],[Unknown]:[Heavy_SW]],0))</f>
        <v>Medium_LSB</v>
      </c>
      <c r="AH1552" t="e">
        <f>INDEX([1]!crudeBD.lkup[Number],MATCH(vp.tbl[[#This Row],[Crude_Breakdown]],[1]!crudeBD.lkup[Crude Breakdown],0))</f>
        <v>#REF!</v>
      </c>
      <c r="AI1552">
        <f>MONTH(vp.tbl[[#This Row],[SDate]])</f>
        <v>5</v>
      </c>
      <c r="AJ1552" s="5">
        <f>IFERROR(vp.tbl[[#This Row],[Sulf]]*vp.tbl[[#This Row],[Net Dens]],"")</f>
        <v>8081471.1973799998</v>
      </c>
      <c r="AK1552" s="5">
        <f>IFERROR(vp.tbl[[#This Row],[Dens]]*vp.tbl[[#This Row],[VolumeM3]],"")</f>
        <v>4123199.5904999999</v>
      </c>
      <c r="AL1552" s="5">
        <f>IFERROR(vp.tbl[[#This Row],[VP]]*vp.tbl[[#This Row],[VolumeM3]],"")</f>
        <v>314897.16109999997</v>
      </c>
      <c r="AM1552" s="4">
        <f>IFERROR((vp.tbl[[#This Row],[VP]]-INDEX(crudeBD.lkup.complete[Mean_VP],MATCH(vp.tbl[[#This Row],[Crude_Breakdown]],crudeBD.lkup.complete[Crude Breakdown],0)))^2,"")</f>
        <v>198.06607444255641</v>
      </c>
      <c r="AN1552" s="4">
        <f>IFERROR((vp.tbl[[#This Row],[Dens]]-INDEX(crudeBD.lkup.complete[Mean_Dens],MATCH(vp.tbl[[#This Row],[Crude_Breakdown]],crudeBD.lkup.complete[Crude Breakdown],0)))^2,"")</f>
        <v>408.37042636055895</v>
      </c>
      <c r="AO1552" s="4">
        <f>IFERROR((vp.tbl[[#This Row],[Sulf]]-INDEX(crudeBD.lkup.complete[Mean_Sulf],MATCH(vp.tbl[[#This Row],[Crude_Breakdown]],crudeBD.lkup.complete[Crude Breakdown],0)))^2,"")</f>
        <v>0.25509584555242293</v>
      </c>
      <c r="AP1552">
        <f>IF(AND(vp.tbl[[#This Row],[SDate]]&gt;=DATE(YEAR(vp.tbl[[#This Row],[SDate]]),5,1),vp.tbl[[#This Row],[SDate]]&lt;=DATE(YEAR(vp.tbl[[#This Row],[SDate]]),9,15)),1,0)</f>
        <v>1</v>
      </c>
      <c r="AQ1552" s="15">
        <f>IF(vp.tbl[[#This Row],[SDate]]&lt;DATE(2016,12,1),0,1)</f>
        <v>1</v>
      </c>
    </row>
    <row r="1553" spans="1:43" x14ac:dyDescent="0.25">
      <c r="A1553">
        <v>1552</v>
      </c>
      <c r="B1553" t="s">
        <v>292</v>
      </c>
      <c r="C1553" t="s">
        <v>292</v>
      </c>
      <c r="D1553" t="s">
        <v>57</v>
      </c>
      <c r="F1553" s="1">
        <v>42879</v>
      </c>
      <c r="G1553" s="2">
        <v>76</v>
      </c>
      <c r="H1553" s="2"/>
      <c r="I1553" s="2">
        <v>1.78</v>
      </c>
      <c r="J1553" s="2"/>
      <c r="K1553" s="2"/>
      <c r="L1553" s="2"/>
      <c r="M1553" s="2">
        <v>851.1</v>
      </c>
      <c r="N1553" s="2">
        <f ca="1">INDEX(INDIRECT(_xlfn.CONCAT("weather.tbl[",N$1,"]")),MATCH(vp.tbl[[#This Row],[SDate]],weather.tbl[Date],0))</f>
        <v>16.116666666666667</v>
      </c>
      <c r="O1553" s="2">
        <f ca="1">INDEX(INDIRECT(_xlfn.CONCAT("weather.tbl[",O$1,"]")),MATCH(vp.tbl[[#This Row],[SDate]],weather.tbl[Date],0))</f>
        <v>11.035714285714286</v>
      </c>
      <c r="P1553" s="2">
        <f ca="1">INDEX(INDIRECT(_xlfn.CONCAT("weather.tbl[",P$1,"]")),MATCH(vp.tbl[[#This Row],[SDate]],weather.tbl[Date],0))</f>
        <v>16.2</v>
      </c>
      <c r="Q1553" s="2">
        <f ca="1">INDEX(INDIRECT(_xlfn.CONCAT("weather.tbl[",Q$1,"]")),MATCH(vp.tbl[[#This Row],[SDate]],weather.tbl[Date],0))</f>
        <v>16.7</v>
      </c>
      <c r="R1553" s="2">
        <f ca="1">INDEX(INDIRECT(_xlfn.CONCAT("weather.tbl[",R$1,"]")),MATCH(vp.tbl[[#This Row],[SDate]],weather.tbl[Date],0))</f>
        <v>15.5</v>
      </c>
      <c r="S1553" s="2">
        <f ca="1">INDEX(INDIRECT(_xlfn.CONCAT("weather.tbl[",S$1,"]")),MATCH(vp.tbl[[#This Row],[SDate]],weather.tbl[Date],0))</f>
        <v>17.8</v>
      </c>
      <c r="T1553" s="2">
        <f ca="1">INDEX(INDIRECT(_xlfn.CONCAT("weather.tbl[",T$1,"]")),MATCH(vp.tbl[[#This Row],[SDate]],weather.tbl[Date],0))</f>
        <v>14.5</v>
      </c>
      <c r="U1553" s="2">
        <f ca="1">INDEX(INDIRECT(_xlfn.CONCAT("weather.tbl[",U$1,"]")),MATCH(vp.tbl[[#This Row],[SDate]],weather.tbl[Date],0))</f>
        <v>16</v>
      </c>
      <c r="V1553" s="2">
        <v>3038.6930000000002</v>
      </c>
      <c r="W1553" t="s">
        <v>48</v>
      </c>
      <c r="X1553">
        <f>IF(OR(vp.tbl[[#This Row],[Sulf]]="",vp.tbl[[#This Row],[Dens]]=""),1,0)</f>
        <v>0</v>
      </c>
      <c r="Y1553">
        <f>IF(vp.tbl[[#This Row],[CrudeType]]="C5+",1,0)</f>
        <v>0</v>
      </c>
      <c r="Z1553">
        <f>IF(AND(vp.tbl[[#This Row],[CrudeType]]="Crude",vp.tbl[[#This Row],[Dens]]&lt;=825,vp.tbl[[#This Row],[Sulf]]&gt;0.5,vp.tbl[[#This Row],[Unknown]]=0),1,0)</f>
        <v>0</v>
      </c>
      <c r="AA1553">
        <f>IF(AND(vp.tbl[[#This Row],[CrudeType]]="Crude",vp.tbl[[#This Row],[Dens]]&lt;=825,vp.tbl[[#This Row],[Sulf]]&lt;=0.5,vp.tbl[[#This Row],[Unknown]]=0),1,0)</f>
        <v>0</v>
      </c>
      <c r="AB1553">
        <f>IF(AND(vp.tbl[[#This Row],[CrudeType]]="Crude",vp.tbl[[#This Row],[Dens]]&gt;825,vp.tbl[[#This Row],[Dens]]&lt;=870,vp.tbl[[#This Row],[Sulf]]&gt;0.5,vp.tbl[[#This Row],[Unknown]]=0),1,0)</f>
        <v>1</v>
      </c>
      <c r="AC1553">
        <f>IF(AND(vp.tbl[[#This Row],[CrudeType]]="Crude",vp.tbl[[#This Row],[Dens]]&gt;825,vp.tbl[[#This Row],[Dens]]&lt;=900,vp.tbl[[#This Row],[Sulf]]&lt;=0.5,vp.tbl[[#This Row],[Unknown]]=0),1,0)</f>
        <v>0</v>
      </c>
      <c r="AD1553">
        <f>IF(AND(vp.tbl[[#This Row],[CrudeType]]="Crude",vp.tbl[[#This Row],[Dens]]&gt;870,vp.tbl[[#This Row],[Dens]]&lt;=900,vp.tbl[[#This Row],[Sulf]]&gt;0.5,vp.tbl[[#This Row],[Unknown]]=0),1,0)</f>
        <v>0</v>
      </c>
      <c r="AE1553">
        <f>IF(AND(vp.tbl[[#This Row],[CrudeType]]="Crude",vp.tbl[[#This Row],[Dens]]&gt;900,vp.tbl[[#This Row],[Sulf]]&lt;=0.5,vp.tbl[[#This Row],[Unknown]]=0),1,0)</f>
        <v>0</v>
      </c>
      <c r="AF1553">
        <f>IF(AND(vp.tbl[[#This Row],[CrudeType]]="Crude",vp.tbl[[#This Row],[Dens]]&gt;900,vp.tbl[[#This Row],[Sulf]]&lt;=0.5,vp.tbl[[#This Row],[Unknown]]=0),1,0)</f>
        <v>0</v>
      </c>
      <c r="AG1553" t="str">
        <f>INDEX(vp.tbl[[#Headers],[Unknown]:[Heavy_SW]],MATCH(1,vp.tbl[[#This Row],[Unknown]:[Heavy_SW]],0))</f>
        <v>Medium_LSB</v>
      </c>
      <c r="AH1553" t="e">
        <f>INDEX([1]!crudeBD.lkup[Number],MATCH(vp.tbl[[#This Row],[Crude_Breakdown]],[1]!crudeBD.lkup[Crude Breakdown],0))</f>
        <v>#REF!</v>
      </c>
      <c r="AI1553">
        <f>MONTH(vp.tbl[[#This Row],[SDate]])</f>
        <v>5</v>
      </c>
      <c r="AJ1553" s="5">
        <f>IFERROR(vp.tbl[[#This Row],[Sulf]]*vp.tbl[[#This Row],[Net Dens]],"")</f>
        <v>4603492.2698940001</v>
      </c>
      <c r="AK1553" s="5">
        <f>IFERROR(vp.tbl[[#This Row],[Dens]]*vp.tbl[[#This Row],[VolumeM3]],"")</f>
        <v>2586231.6123000002</v>
      </c>
      <c r="AL1553" s="5">
        <f>IFERROR(vp.tbl[[#This Row],[VP]]*vp.tbl[[#This Row],[VolumeM3]],"")</f>
        <v>230940.66800000001</v>
      </c>
      <c r="AM1553" s="4">
        <f>IFERROR((vp.tbl[[#This Row],[VP]]-INDEX(crudeBD.lkup.complete[Mean_VP],MATCH(vp.tbl[[#This Row],[Crude_Breakdown]],crudeBD.lkup.complete[Crude Breakdown],0)))^2,"")</f>
        <v>17.41889469572153</v>
      </c>
      <c r="AN1553" s="4">
        <f>IFERROR((vp.tbl[[#This Row],[Dens]]-INDEX(crudeBD.lkup.complete[Mean_Dens],MATCH(vp.tbl[[#This Row],[Crude_Breakdown]],crudeBD.lkup.complete[Crude Breakdown],0)))^2,"")</f>
        <v>33.734922563062497</v>
      </c>
      <c r="AO1553" s="4">
        <f>IFERROR((vp.tbl[[#This Row],[Sulf]]-INDEX(crudeBD.lkup.complete[Mean_Sulf],MATCH(vp.tbl[[#This Row],[Crude_Breakdown]],crudeBD.lkup.complete[Crude Breakdown],0)))^2,"")</f>
        <v>0.10567059542584123</v>
      </c>
      <c r="AP1553">
        <f>IF(AND(vp.tbl[[#This Row],[SDate]]&gt;=DATE(YEAR(vp.tbl[[#This Row],[SDate]]),5,1),vp.tbl[[#This Row],[SDate]]&lt;=DATE(YEAR(vp.tbl[[#This Row],[SDate]]),9,15)),1,0)</f>
        <v>1</v>
      </c>
      <c r="AQ1553" s="15">
        <f>IF(vp.tbl[[#This Row],[SDate]]&lt;DATE(2016,12,1),0,1)</f>
        <v>1</v>
      </c>
    </row>
    <row r="1554" spans="1:43" x14ac:dyDescent="0.25">
      <c r="A1554">
        <v>1553</v>
      </c>
      <c r="B1554" t="s">
        <v>46</v>
      </c>
      <c r="C1554" t="s">
        <v>46</v>
      </c>
      <c r="D1554" t="s">
        <v>47</v>
      </c>
      <c r="F1554" s="1">
        <v>42879</v>
      </c>
      <c r="G1554" s="2">
        <v>54.4</v>
      </c>
      <c r="H1554" s="2"/>
      <c r="I1554" s="2">
        <v>2.25</v>
      </c>
      <c r="J1554" s="2"/>
      <c r="K1554" s="2"/>
      <c r="L1554" s="2"/>
      <c r="M1554" s="2">
        <v>868.7</v>
      </c>
      <c r="N1554" s="2">
        <f ca="1">INDEX(INDIRECT(_xlfn.CONCAT("weather.tbl[",N$1,"]")),MATCH(vp.tbl[[#This Row],[SDate]],weather.tbl[Date],0))</f>
        <v>16.116666666666667</v>
      </c>
      <c r="O1554" s="2">
        <f ca="1">INDEX(INDIRECT(_xlfn.CONCAT("weather.tbl[",O$1,"]")),MATCH(vp.tbl[[#This Row],[SDate]],weather.tbl[Date],0))</f>
        <v>11.035714285714286</v>
      </c>
      <c r="P1554" s="2">
        <f ca="1">INDEX(INDIRECT(_xlfn.CONCAT("weather.tbl[",P$1,"]")),MATCH(vp.tbl[[#This Row],[SDate]],weather.tbl[Date],0))</f>
        <v>16.2</v>
      </c>
      <c r="Q1554" s="2">
        <f ca="1">INDEX(INDIRECT(_xlfn.CONCAT("weather.tbl[",Q$1,"]")),MATCH(vp.tbl[[#This Row],[SDate]],weather.tbl[Date],0))</f>
        <v>16.7</v>
      </c>
      <c r="R1554" s="2">
        <f ca="1">INDEX(INDIRECT(_xlfn.CONCAT("weather.tbl[",R$1,"]")),MATCH(vp.tbl[[#This Row],[SDate]],weather.tbl[Date],0))</f>
        <v>15.5</v>
      </c>
      <c r="S1554" s="2">
        <f ca="1">INDEX(INDIRECT(_xlfn.CONCAT("weather.tbl[",S$1,"]")),MATCH(vp.tbl[[#This Row],[SDate]],weather.tbl[Date],0))</f>
        <v>17.8</v>
      </c>
      <c r="T1554" s="2">
        <f ca="1">INDEX(INDIRECT(_xlfn.CONCAT("weather.tbl[",T$1,"]")),MATCH(vp.tbl[[#This Row],[SDate]],weather.tbl[Date],0))</f>
        <v>14.5</v>
      </c>
      <c r="U1554" s="2">
        <f ca="1">INDEX(INDIRECT(_xlfn.CONCAT("weather.tbl[",U$1,"]")),MATCH(vp.tbl[[#This Row],[SDate]],weather.tbl[Date],0))</f>
        <v>16</v>
      </c>
      <c r="V1554" s="2">
        <v>115996.79399999999</v>
      </c>
      <c r="W1554" t="s">
        <v>48</v>
      </c>
      <c r="X1554">
        <f>IF(OR(vp.tbl[[#This Row],[Sulf]]="",vp.tbl[[#This Row],[Dens]]=""),1,0)</f>
        <v>0</v>
      </c>
      <c r="Y1554">
        <f>IF(vp.tbl[[#This Row],[CrudeType]]="C5+",1,0)</f>
        <v>0</v>
      </c>
      <c r="Z1554">
        <f>IF(AND(vp.tbl[[#This Row],[CrudeType]]="Crude",vp.tbl[[#This Row],[Dens]]&lt;=825,vp.tbl[[#This Row],[Sulf]]&gt;0.5,vp.tbl[[#This Row],[Unknown]]=0),1,0)</f>
        <v>0</v>
      </c>
      <c r="AA1554">
        <f>IF(AND(vp.tbl[[#This Row],[CrudeType]]="Crude",vp.tbl[[#This Row],[Dens]]&lt;=825,vp.tbl[[#This Row],[Sulf]]&lt;=0.5,vp.tbl[[#This Row],[Unknown]]=0),1,0)</f>
        <v>0</v>
      </c>
      <c r="AB1554">
        <f>IF(AND(vp.tbl[[#This Row],[CrudeType]]="Crude",vp.tbl[[#This Row],[Dens]]&gt;825,vp.tbl[[#This Row],[Dens]]&lt;=870,vp.tbl[[#This Row],[Sulf]]&gt;0.5,vp.tbl[[#This Row],[Unknown]]=0),1,0)</f>
        <v>1</v>
      </c>
      <c r="AC1554">
        <f>IF(AND(vp.tbl[[#This Row],[CrudeType]]="Crude",vp.tbl[[#This Row],[Dens]]&gt;825,vp.tbl[[#This Row],[Dens]]&lt;=900,vp.tbl[[#This Row],[Sulf]]&lt;=0.5,vp.tbl[[#This Row],[Unknown]]=0),1,0)</f>
        <v>0</v>
      </c>
      <c r="AD1554">
        <f>IF(AND(vp.tbl[[#This Row],[CrudeType]]="Crude",vp.tbl[[#This Row],[Dens]]&gt;870,vp.tbl[[#This Row],[Dens]]&lt;=900,vp.tbl[[#This Row],[Sulf]]&gt;0.5,vp.tbl[[#This Row],[Unknown]]=0),1,0)</f>
        <v>0</v>
      </c>
      <c r="AE1554">
        <f>IF(AND(vp.tbl[[#This Row],[CrudeType]]="Crude",vp.tbl[[#This Row],[Dens]]&gt;900,vp.tbl[[#This Row],[Sulf]]&lt;=0.5,vp.tbl[[#This Row],[Unknown]]=0),1,0)</f>
        <v>0</v>
      </c>
      <c r="AF1554">
        <f>IF(AND(vp.tbl[[#This Row],[CrudeType]]="Crude",vp.tbl[[#This Row],[Dens]]&gt;900,vp.tbl[[#This Row],[Sulf]]&lt;=0.5,vp.tbl[[#This Row],[Unknown]]=0),1,0)</f>
        <v>0</v>
      </c>
      <c r="AG1554" t="str">
        <f>INDEX(vp.tbl[[#Headers],[Unknown]:[Heavy_SW]],MATCH(1,vp.tbl[[#This Row],[Unknown]:[Heavy_SW]],0))</f>
        <v>Medium_LSB</v>
      </c>
      <c r="AH1554" t="e">
        <f>INDEX([1]!crudeBD.lkup[Number],MATCH(vp.tbl[[#This Row],[Crude_Breakdown]],[1]!crudeBD.lkup[Crude Breakdown],0))</f>
        <v>#REF!</v>
      </c>
      <c r="AI1554">
        <f>MONTH(vp.tbl[[#This Row],[SDate]])</f>
        <v>5</v>
      </c>
      <c r="AJ1554" s="5">
        <f>IFERROR(vp.tbl[[#This Row],[Sulf]]*vp.tbl[[#This Row],[Net Dens]],"")</f>
        <v>226724433.63255</v>
      </c>
      <c r="AK1554" s="5">
        <f>IFERROR(vp.tbl[[#This Row],[Dens]]*vp.tbl[[#This Row],[VolumeM3]],"")</f>
        <v>100766414.9478</v>
      </c>
      <c r="AL1554" s="5">
        <f>IFERROR(vp.tbl[[#This Row],[VP]]*vp.tbl[[#This Row],[VolumeM3]],"")</f>
        <v>6310225.5935999993</v>
      </c>
      <c r="AM1554" s="4">
        <f>IFERROR((vp.tbl[[#This Row],[VP]]-INDEX(crudeBD.lkup.complete[Mean_VP],MATCH(vp.tbl[[#This Row],[Crude_Breakdown]],crudeBD.lkup.complete[Crude Breakdown],0)))^2,"")</f>
        <v>664.27819596154279</v>
      </c>
      <c r="AN1554" s="4">
        <f>IFERROR((vp.tbl[[#This Row],[Dens]]-INDEX(crudeBD.lkup.complete[Mean_Dens],MATCH(vp.tbl[[#This Row],[Crude_Breakdown]],crudeBD.lkup.complete[Crude Breakdown],0)))^2,"")</f>
        <v>547.94276053778253</v>
      </c>
      <c r="AO1554" s="4">
        <f>IFERROR((vp.tbl[[#This Row],[Sulf]]-INDEX(crudeBD.lkup.complete[Mean_Sulf],MATCH(vp.tbl[[#This Row],[Crude_Breakdown]],crudeBD.lkup.complete[Crude Breakdown],0)))^2,"")</f>
        <v>0.63213652631191575</v>
      </c>
      <c r="AP1554">
        <f>IF(AND(vp.tbl[[#This Row],[SDate]]&gt;=DATE(YEAR(vp.tbl[[#This Row],[SDate]]),5,1),vp.tbl[[#This Row],[SDate]]&lt;=DATE(YEAR(vp.tbl[[#This Row],[SDate]]),9,15)),1,0)</f>
        <v>1</v>
      </c>
      <c r="AQ1554" s="15">
        <f>IF(vp.tbl[[#This Row],[SDate]]&lt;DATE(2016,12,1),0,1)</f>
        <v>1</v>
      </c>
    </row>
    <row r="1555" spans="1:43" x14ac:dyDescent="0.25">
      <c r="A1555">
        <v>1554</v>
      </c>
      <c r="B1555" t="s">
        <v>60</v>
      </c>
      <c r="C1555" t="s">
        <v>60</v>
      </c>
      <c r="D1555" t="s">
        <v>61</v>
      </c>
      <c r="E1555" t="s">
        <v>289</v>
      </c>
      <c r="F1555" s="1">
        <v>42885</v>
      </c>
      <c r="G1555" s="2">
        <v>92.6</v>
      </c>
      <c r="H1555" s="2"/>
      <c r="I1555" s="2">
        <v>1.0900000000000001</v>
      </c>
      <c r="J1555" s="2"/>
      <c r="K1555" s="2"/>
      <c r="L1555" s="2"/>
      <c r="M1555" s="2">
        <v>824.2</v>
      </c>
      <c r="N1555" s="2">
        <f ca="1">INDEX(INDIRECT(_xlfn.CONCAT("weather.tbl[",N$1,"]")),MATCH(vp.tbl[[#This Row],[SDate]],weather.tbl[Date],0))</f>
        <v>11.366666666666667</v>
      </c>
      <c r="O1555" s="2">
        <f ca="1">INDEX(INDIRECT(_xlfn.CONCAT("weather.tbl[",O$1,"]")),MATCH(vp.tbl[[#This Row],[SDate]],weather.tbl[Date],0))</f>
        <v>13.104761904761906</v>
      </c>
      <c r="P1555" s="2">
        <f ca="1">INDEX(INDIRECT(_xlfn.CONCAT("weather.tbl[",P$1,"]")),MATCH(vp.tbl[[#This Row],[SDate]],weather.tbl[Date],0))</f>
        <v>10.199999999999999</v>
      </c>
      <c r="Q1555" s="2">
        <f ca="1">INDEX(INDIRECT(_xlfn.CONCAT("weather.tbl[",Q$1,"]")),MATCH(vp.tbl[[#This Row],[SDate]],weather.tbl[Date],0))</f>
        <v>12.8</v>
      </c>
      <c r="R1555" s="2">
        <f ca="1">INDEX(INDIRECT(_xlfn.CONCAT("weather.tbl[",R$1,"]")),MATCH(vp.tbl[[#This Row],[SDate]],weather.tbl[Date],0))</f>
        <v>11.3</v>
      </c>
      <c r="S1555" s="2">
        <f ca="1">INDEX(INDIRECT(_xlfn.CONCAT("weather.tbl[",S$1,"]")),MATCH(vp.tbl[[#This Row],[SDate]],weather.tbl[Date],0))</f>
        <v>9.6999999999999993</v>
      </c>
      <c r="T1555" s="2">
        <f ca="1">INDEX(INDIRECT(_xlfn.CONCAT("weather.tbl[",T$1,"]")),MATCH(vp.tbl[[#This Row],[SDate]],weather.tbl[Date],0))</f>
        <v>13.2</v>
      </c>
      <c r="U1555" s="2">
        <f ca="1">INDEX(INDIRECT(_xlfn.CONCAT("weather.tbl[",U$1,"]")),MATCH(vp.tbl[[#This Row],[SDate]],weather.tbl[Date],0))</f>
        <v>11</v>
      </c>
      <c r="V1555" s="2">
        <v>118292.008</v>
      </c>
      <c r="W1555" t="s">
        <v>48</v>
      </c>
      <c r="X1555">
        <f>IF(OR(vp.tbl[[#This Row],[Sulf]]="",vp.tbl[[#This Row],[Dens]]=""),1,0)</f>
        <v>0</v>
      </c>
      <c r="Y1555">
        <f>IF(vp.tbl[[#This Row],[CrudeType]]="C5+",1,0)</f>
        <v>0</v>
      </c>
      <c r="Z1555">
        <f>IF(AND(vp.tbl[[#This Row],[CrudeType]]="Crude",vp.tbl[[#This Row],[Dens]]&lt;=825,vp.tbl[[#This Row],[Sulf]]&gt;0.5,vp.tbl[[#This Row],[Unknown]]=0),1,0)</f>
        <v>1</v>
      </c>
      <c r="AA1555">
        <f>IF(AND(vp.tbl[[#This Row],[CrudeType]]="Crude",vp.tbl[[#This Row],[Dens]]&lt;=825,vp.tbl[[#This Row],[Sulf]]&lt;=0.5,vp.tbl[[#This Row],[Unknown]]=0),1,0)</f>
        <v>0</v>
      </c>
      <c r="AB1555">
        <f>IF(AND(vp.tbl[[#This Row],[CrudeType]]="Crude",vp.tbl[[#This Row],[Dens]]&gt;825,vp.tbl[[#This Row],[Dens]]&lt;=870,vp.tbl[[#This Row],[Sulf]]&gt;0.5,vp.tbl[[#This Row],[Unknown]]=0),1,0)</f>
        <v>0</v>
      </c>
      <c r="AC1555">
        <f>IF(AND(vp.tbl[[#This Row],[CrudeType]]="Crude",vp.tbl[[#This Row],[Dens]]&gt;825,vp.tbl[[#This Row],[Dens]]&lt;=900,vp.tbl[[#This Row],[Sulf]]&lt;=0.5,vp.tbl[[#This Row],[Unknown]]=0),1,0)</f>
        <v>0</v>
      </c>
      <c r="AD1555">
        <f>IF(AND(vp.tbl[[#This Row],[CrudeType]]="Crude",vp.tbl[[#This Row],[Dens]]&gt;870,vp.tbl[[#This Row],[Dens]]&lt;=900,vp.tbl[[#This Row],[Sulf]]&gt;0.5,vp.tbl[[#This Row],[Unknown]]=0),1,0)</f>
        <v>0</v>
      </c>
      <c r="AE1555">
        <f>IF(AND(vp.tbl[[#This Row],[CrudeType]]="Crude",vp.tbl[[#This Row],[Dens]]&gt;900,vp.tbl[[#This Row],[Sulf]]&lt;=0.5,vp.tbl[[#This Row],[Unknown]]=0),1,0)</f>
        <v>0</v>
      </c>
      <c r="AF1555">
        <f>IF(AND(vp.tbl[[#This Row],[CrudeType]]="Crude",vp.tbl[[#This Row],[Dens]]&gt;900,vp.tbl[[#This Row],[Sulf]]&lt;=0.5,vp.tbl[[#This Row],[Unknown]]=0),1,0)</f>
        <v>0</v>
      </c>
      <c r="AG1555" t="str">
        <f>INDEX(vp.tbl[[#Headers],[Unknown]:[Heavy_SW]],MATCH(1,vp.tbl[[#This Row],[Unknown]:[Heavy_SW]],0))</f>
        <v>Light_LSB</v>
      </c>
      <c r="AH1555" t="e">
        <f>INDEX([1]!crudeBD.lkup[Number],MATCH(vp.tbl[[#This Row],[Crude_Breakdown]],[1]!crudeBD.lkup[Crude Breakdown],0))</f>
        <v>#REF!</v>
      </c>
      <c r="AI1555">
        <f>MONTH(vp.tbl[[#This Row],[SDate]])</f>
        <v>5</v>
      </c>
      <c r="AJ1555" s="5">
        <f>IFERROR(vp.tbl[[#This Row],[Sulf]]*vp.tbl[[#This Row],[Net Dens]],"")</f>
        <v>106270937.56302401</v>
      </c>
      <c r="AK1555" s="5">
        <f>IFERROR(vp.tbl[[#This Row],[Dens]]*vp.tbl[[#This Row],[VolumeM3]],"")</f>
        <v>97496272.993600011</v>
      </c>
      <c r="AL1555" s="5">
        <f>IFERROR(vp.tbl[[#This Row],[VP]]*vp.tbl[[#This Row],[VolumeM3]],"")</f>
        <v>10953839.9408</v>
      </c>
      <c r="AM1555" s="4">
        <f>IFERROR((vp.tbl[[#This Row],[VP]]-INDEX(crudeBD.lkup.complete[Mean_VP],MATCH(vp.tbl[[#This Row],[Crude_Breakdown]],crudeBD.lkup.complete[Crude Breakdown],0)))^2,"")</f>
        <v>1.1105248591773058</v>
      </c>
      <c r="AN1555" s="4">
        <f>IFERROR((vp.tbl[[#This Row],[Dens]]-INDEX(crudeBD.lkup.complete[Mean_Dens],MATCH(vp.tbl[[#This Row],[Crude_Breakdown]],crudeBD.lkup.complete[Crude Breakdown],0)))^2,"")</f>
        <v>32.299105967104147</v>
      </c>
      <c r="AO1555" s="4">
        <f>IFERROR((vp.tbl[[#This Row],[Sulf]]-INDEX(crudeBD.lkup.complete[Mean_Sulf],MATCH(vp.tbl[[#This Row],[Crude_Breakdown]],crudeBD.lkup.complete[Crude Breakdown],0)))^2,"")</f>
        <v>2.7898630590712313E-2</v>
      </c>
      <c r="AP1555">
        <f>IF(AND(vp.tbl[[#This Row],[SDate]]&gt;=DATE(YEAR(vp.tbl[[#This Row],[SDate]]),5,1),vp.tbl[[#This Row],[SDate]]&lt;=DATE(YEAR(vp.tbl[[#This Row],[SDate]]),9,15)),1,0)</f>
        <v>1</v>
      </c>
      <c r="AQ1555" s="15">
        <f>IF(vp.tbl[[#This Row],[SDate]]&lt;DATE(2016,12,1),0,1)</f>
        <v>1</v>
      </c>
    </row>
    <row r="1556" spans="1:43" x14ac:dyDescent="0.25">
      <c r="A1556">
        <v>1555</v>
      </c>
      <c r="B1556" t="s">
        <v>60</v>
      </c>
      <c r="C1556" t="s">
        <v>60</v>
      </c>
      <c r="D1556" t="s">
        <v>61</v>
      </c>
      <c r="E1556" t="s">
        <v>290</v>
      </c>
      <c r="F1556" s="1">
        <v>42885</v>
      </c>
      <c r="G1556" s="2">
        <v>72.7</v>
      </c>
      <c r="H1556" s="2"/>
      <c r="I1556" s="2">
        <v>1.0900000000000001</v>
      </c>
      <c r="J1556" s="2"/>
      <c r="K1556" s="2"/>
      <c r="L1556" s="2"/>
      <c r="M1556" s="2">
        <v>824.2</v>
      </c>
      <c r="N1556" s="2">
        <f ca="1">INDEX(INDIRECT(_xlfn.CONCAT("weather.tbl[",N$1,"]")),MATCH(vp.tbl[[#This Row],[SDate]],weather.tbl[Date],0))</f>
        <v>11.366666666666667</v>
      </c>
      <c r="O1556" s="2">
        <f ca="1">INDEX(INDIRECT(_xlfn.CONCAT("weather.tbl[",O$1,"]")),MATCH(vp.tbl[[#This Row],[SDate]],weather.tbl[Date],0))</f>
        <v>13.104761904761906</v>
      </c>
      <c r="P1556" s="2">
        <f ca="1">INDEX(INDIRECT(_xlfn.CONCAT("weather.tbl[",P$1,"]")),MATCH(vp.tbl[[#This Row],[SDate]],weather.tbl[Date],0))</f>
        <v>10.199999999999999</v>
      </c>
      <c r="Q1556" s="2">
        <f ca="1">INDEX(INDIRECT(_xlfn.CONCAT("weather.tbl[",Q$1,"]")),MATCH(vp.tbl[[#This Row],[SDate]],weather.tbl[Date],0))</f>
        <v>12.8</v>
      </c>
      <c r="R1556" s="2">
        <f ca="1">INDEX(INDIRECT(_xlfn.CONCAT("weather.tbl[",R$1,"]")),MATCH(vp.tbl[[#This Row],[SDate]],weather.tbl[Date],0))</f>
        <v>11.3</v>
      </c>
      <c r="S1556" s="2">
        <f ca="1">INDEX(INDIRECT(_xlfn.CONCAT("weather.tbl[",S$1,"]")),MATCH(vp.tbl[[#This Row],[SDate]],weather.tbl[Date],0))</f>
        <v>9.6999999999999993</v>
      </c>
      <c r="T1556" s="2">
        <f ca="1">INDEX(INDIRECT(_xlfn.CONCAT("weather.tbl[",T$1,"]")),MATCH(vp.tbl[[#This Row],[SDate]],weather.tbl[Date],0))</f>
        <v>13.2</v>
      </c>
      <c r="U1556" s="2">
        <f ca="1">INDEX(INDIRECT(_xlfn.CONCAT("weather.tbl[",U$1,"]")),MATCH(vp.tbl[[#This Row],[SDate]],weather.tbl[Date],0))</f>
        <v>11</v>
      </c>
      <c r="V1556" s="2">
        <v>118292.008</v>
      </c>
      <c r="W1556" t="s">
        <v>48</v>
      </c>
      <c r="X1556">
        <f>IF(OR(vp.tbl[[#This Row],[Sulf]]="",vp.tbl[[#This Row],[Dens]]=""),1,0)</f>
        <v>0</v>
      </c>
      <c r="Y1556">
        <f>IF(vp.tbl[[#This Row],[CrudeType]]="C5+",1,0)</f>
        <v>0</v>
      </c>
      <c r="Z1556">
        <f>IF(AND(vp.tbl[[#This Row],[CrudeType]]="Crude",vp.tbl[[#This Row],[Dens]]&lt;=825,vp.tbl[[#This Row],[Sulf]]&gt;0.5,vp.tbl[[#This Row],[Unknown]]=0),1,0)</f>
        <v>1</v>
      </c>
      <c r="AA1556">
        <f>IF(AND(vp.tbl[[#This Row],[CrudeType]]="Crude",vp.tbl[[#This Row],[Dens]]&lt;=825,vp.tbl[[#This Row],[Sulf]]&lt;=0.5,vp.tbl[[#This Row],[Unknown]]=0),1,0)</f>
        <v>0</v>
      </c>
      <c r="AB1556">
        <f>IF(AND(vp.tbl[[#This Row],[CrudeType]]="Crude",vp.tbl[[#This Row],[Dens]]&gt;825,vp.tbl[[#This Row],[Dens]]&lt;=870,vp.tbl[[#This Row],[Sulf]]&gt;0.5,vp.tbl[[#This Row],[Unknown]]=0),1,0)</f>
        <v>0</v>
      </c>
      <c r="AC1556">
        <f>IF(AND(vp.tbl[[#This Row],[CrudeType]]="Crude",vp.tbl[[#This Row],[Dens]]&gt;825,vp.tbl[[#This Row],[Dens]]&lt;=900,vp.tbl[[#This Row],[Sulf]]&lt;=0.5,vp.tbl[[#This Row],[Unknown]]=0),1,0)</f>
        <v>0</v>
      </c>
      <c r="AD1556">
        <f>IF(AND(vp.tbl[[#This Row],[CrudeType]]="Crude",vp.tbl[[#This Row],[Dens]]&gt;870,vp.tbl[[#This Row],[Dens]]&lt;=900,vp.tbl[[#This Row],[Sulf]]&gt;0.5,vp.tbl[[#This Row],[Unknown]]=0),1,0)</f>
        <v>0</v>
      </c>
      <c r="AE1556">
        <f>IF(AND(vp.tbl[[#This Row],[CrudeType]]="Crude",vp.tbl[[#This Row],[Dens]]&gt;900,vp.tbl[[#This Row],[Sulf]]&lt;=0.5,vp.tbl[[#This Row],[Unknown]]=0),1,0)</f>
        <v>0</v>
      </c>
      <c r="AF1556">
        <f>IF(AND(vp.tbl[[#This Row],[CrudeType]]="Crude",vp.tbl[[#This Row],[Dens]]&gt;900,vp.tbl[[#This Row],[Sulf]]&lt;=0.5,vp.tbl[[#This Row],[Unknown]]=0),1,0)</f>
        <v>0</v>
      </c>
      <c r="AG1556" t="str">
        <f>INDEX(vp.tbl[[#Headers],[Unknown]:[Heavy_SW]],MATCH(1,vp.tbl[[#This Row],[Unknown]:[Heavy_SW]],0))</f>
        <v>Light_LSB</v>
      </c>
      <c r="AH1556" t="e">
        <f>INDEX([1]!crudeBD.lkup[Number],MATCH(vp.tbl[[#This Row],[Crude_Breakdown]],[1]!crudeBD.lkup[Crude Breakdown],0))</f>
        <v>#REF!</v>
      </c>
      <c r="AI1556">
        <f>MONTH(vp.tbl[[#This Row],[SDate]])</f>
        <v>5</v>
      </c>
      <c r="AJ1556" s="5">
        <f>IFERROR(vp.tbl[[#This Row],[Sulf]]*vp.tbl[[#This Row],[Net Dens]],"")</f>
        <v>106270937.56302401</v>
      </c>
      <c r="AK1556" s="5">
        <f>IFERROR(vp.tbl[[#This Row],[Dens]]*vp.tbl[[#This Row],[VolumeM3]],"")</f>
        <v>97496272.993600011</v>
      </c>
      <c r="AL1556" s="5">
        <f>IFERROR(vp.tbl[[#This Row],[VP]]*vp.tbl[[#This Row],[VolumeM3]],"")</f>
        <v>8599828.9815999996</v>
      </c>
      <c r="AM1556" s="4">
        <f>IFERROR((vp.tbl[[#This Row],[VP]]-INDEX(crudeBD.lkup.complete[Mean_VP],MATCH(vp.tbl[[#This Row],[Crude_Breakdown]],crudeBD.lkup.complete[Crude Breakdown],0)))^2,"")</f>
        <v>355.17871042618873</v>
      </c>
      <c r="AN1556" s="4">
        <f>IFERROR((vp.tbl[[#This Row],[Dens]]-INDEX(crudeBD.lkup.complete[Mean_Dens],MATCH(vp.tbl[[#This Row],[Crude_Breakdown]],crudeBD.lkup.complete[Crude Breakdown],0)))^2,"")</f>
        <v>32.299105967104147</v>
      </c>
      <c r="AO1556" s="4">
        <f>IFERROR((vp.tbl[[#This Row],[Sulf]]-INDEX(crudeBD.lkup.complete[Mean_Sulf],MATCH(vp.tbl[[#This Row],[Crude_Breakdown]],crudeBD.lkup.complete[Crude Breakdown],0)))^2,"")</f>
        <v>2.7898630590712313E-2</v>
      </c>
      <c r="AP1556">
        <f>IF(AND(vp.tbl[[#This Row],[SDate]]&gt;=DATE(YEAR(vp.tbl[[#This Row],[SDate]]),5,1),vp.tbl[[#This Row],[SDate]]&lt;=DATE(YEAR(vp.tbl[[#This Row],[SDate]]),9,15)),1,0)</f>
        <v>1</v>
      </c>
      <c r="AQ1556" s="15">
        <f>IF(vp.tbl[[#This Row],[SDate]]&lt;DATE(2016,12,1),0,1)</f>
        <v>1</v>
      </c>
    </row>
    <row r="1557" spans="1:43" x14ac:dyDescent="0.25">
      <c r="A1557">
        <v>1556</v>
      </c>
      <c r="B1557" t="s">
        <v>49</v>
      </c>
      <c r="C1557" t="s">
        <v>49</v>
      </c>
      <c r="D1557" t="s">
        <v>78</v>
      </c>
      <c r="F1557" s="1">
        <v>42885</v>
      </c>
      <c r="G1557" s="2">
        <v>74.5</v>
      </c>
      <c r="H1557" s="2"/>
      <c r="I1557" s="2">
        <v>0.24</v>
      </c>
      <c r="J1557" s="2"/>
      <c r="K1557" s="2"/>
      <c r="L1557" s="2"/>
      <c r="M1557" s="2">
        <v>810.9</v>
      </c>
      <c r="N1557" s="2">
        <f ca="1">INDEX(INDIRECT(_xlfn.CONCAT("weather.tbl[",N$1,"]")),MATCH(vp.tbl[[#This Row],[SDate]],weather.tbl[Date],0))</f>
        <v>11.366666666666667</v>
      </c>
      <c r="O1557" s="2">
        <f ca="1">INDEX(INDIRECT(_xlfn.CONCAT("weather.tbl[",O$1,"]")),MATCH(vp.tbl[[#This Row],[SDate]],weather.tbl[Date],0))</f>
        <v>13.104761904761906</v>
      </c>
      <c r="P1557" s="2">
        <f ca="1">INDEX(INDIRECT(_xlfn.CONCAT("weather.tbl[",P$1,"]")),MATCH(vp.tbl[[#This Row],[SDate]],weather.tbl[Date],0))</f>
        <v>10.199999999999999</v>
      </c>
      <c r="Q1557" s="2">
        <f ca="1">INDEX(INDIRECT(_xlfn.CONCAT("weather.tbl[",Q$1,"]")),MATCH(vp.tbl[[#This Row],[SDate]],weather.tbl[Date],0))</f>
        <v>12.8</v>
      </c>
      <c r="R1557" s="2">
        <f ca="1">INDEX(INDIRECT(_xlfn.CONCAT("weather.tbl[",R$1,"]")),MATCH(vp.tbl[[#This Row],[SDate]],weather.tbl[Date],0))</f>
        <v>11.3</v>
      </c>
      <c r="S1557" s="2">
        <f ca="1">INDEX(INDIRECT(_xlfn.CONCAT("weather.tbl[",S$1,"]")),MATCH(vp.tbl[[#This Row],[SDate]],weather.tbl[Date],0))</f>
        <v>9.6999999999999993</v>
      </c>
      <c r="T1557" s="2">
        <f ca="1">INDEX(INDIRECT(_xlfn.CONCAT("weather.tbl[",T$1,"]")),MATCH(vp.tbl[[#This Row],[SDate]],weather.tbl[Date],0))</f>
        <v>13.2</v>
      </c>
      <c r="U1557" s="2">
        <f ca="1">INDEX(INDIRECT(_xlfn.CONCAT("weather.tbl[",U$1,"]")),MATCH(vp.tbl[[#This Row],[SDate]],weather.tbl[Date],0))</f>
        <v>11</v>
      </c>
      <c r="V1557" s="2">
        <v>20016.702000000001</v>
      </c>
      <c r="W1557" t="s">
        <v>48</v>
      </c>
      <c r="X1557">
        <f>IF(OR(vp.tbl[[#This Row],[Sulf]]="",vp.tbl[[#This Row],[Dens]]=""),1,0)</f>
        <v>0</v>
      </c>
      <c r="Y1557">
        <f>IF(vp.tbl[[#This Row],[CrudeType]]="C5+",1,0)</f>
        <v>0</v>
      </c>
      <c r="Z1557">
        <f>IF(AND(vp.tbl[[#This Row],[CrudeType]]="Crude",vp.tbl[[#This Row],[Dens]]&lt;=825,vp.tbl[[#This Row],[Sulf]]&gt;0.5,vp.tbl[[#This Row],[Unknown]]=0),1,0)</f>
        <v>0</v>
      </c>
      <c r="AA1557">
        <f>IF(AND(vp.tbl[[#This Row],[CrudeType]]="Crude",vp.tbl[[#This Row],[Dens]]&lt;=825,vp.tbl[[#This Row],[Sulf]]&lt;=0.5,vp.tbl[[#This Row],[Unknown]]=0),1,0)</f>
        <v>1</v>
      </c>
      <c r="AB1557">
        <f>IF(AND(vp.tbl[[#This Row],[CrudeType]]="Crude",vp.tbl[[#This Row],[Dens]]&gt;825,vp.tbl[[#This Row],[Dens]]&lt;=870,vp.tbl[[#This Row],[Sulf]]&gt;0.5,vp.tbl[[#This Row],[Unknown]]=0),1,0)</f>
        <v>0</v>
      </c>
      <c r="AC1557">
        <f>IF(AND(vp.tbl[[#This Row],[CrudeType]]="Crude",vp.tbl[[#This Row],[Dens]]&gt;825,vp.tbl[[#This Row],[Dens]]&lt;=900,vp.tbl[[#This Row],[Sulf]]&lt;=0.5,vp.tbl[[#This Row],[Unknown]]=0),1,0)</f>
        <v>0</v>
      </c>
      <c r="AD1557">
        <f>IF(AND(vp.tbl[[#This Row],[CrudeType]]="Crude",vp.tbl[[#This Row],[Dens]]&gt;870,vp.tbl[[#This Row],[Dens]]&lt;=900,vp.tbl[[#This Row],[Sulf]]&gt;0.5,vp.tbl[[#This Row],[Unknown]]=0),1,0)</f>
        <v>0</v>
      </c>
      <c r="AE1557">
        <f>IF(AND(vp.tbl[[#This Row],[CrudeType]]="Crude",vp.tbl[[#This Row],[Dens]]&gt;900,vp.tbl[[#This Row],[Sulf]]&lt;=0.5,vp.tbl[[#This Row],[Unknown]]=0),1,0)</f>
        <v>0</v>
      </c>
      <c r="AF1557">
        <f>IF(AND(vp.tbl[[#This Row],[CrudeType]]="Crude",vp.tbl[[#This Row],[Dens]]&gt;900,vp.tbl[[#This Row],[Sulf]]&lt;=0.5,vp.tbl[[#This Row],[Unknown]]=0),1,0)</f>
        <v>0</v>
      </c>
      <c r="AG1557" t="str">
        <f>INDEX(vp.tbl[[#Headers],[Unknown]:[Heavy_SW]],MATCH(1,vp.tbl[[#This Row],[Unknown]:[Heavy_SW]],0))</f>
        <v>Light_SW</v>
      </c>
      <c r="AH1557" t="e">
        <f>INDEX([1]!crudeBD.lkup[Number],MATCH(vp.tbl[[#This Row],[Crude_Breakdown]],[1]!crudeBD.lkup[Crude Breakdown],0))</f>
        <v>#REF!</v>
      </c>
      <c r="AI1557">
        <f>MONTH(vp.tbl[[#This Row],[SDate]])</f>
        <v>5</v>
      </c>
      <c r="AJ1557" s="5">
        <f>IFERROR(vp.tbl[[#This Row],[Sulf]]*vp.tbl[[#This Row],[Net Dens]],"")</f>
        <v>3895570.4764320003</v>
      </c>
      <c r="AK1557" s="5">
        <f>IFERROR(vp.tbl[[#This Row],[Dens]]*vp.tbl[[#This Row],[VolumeM3]],"")</f>
        <v>16231543.651800001</v>
      </c>
      <c r="AL1557" s="5">
        <f>IFERROR(vp.tbl[[#This Row],[VP]]*vp.tbl[[#This Row],[VolumeM3]],"")</f>
        <v>1491244.2990000001</v>
      </c>
      <c r="AM1557" s="4">
        <f>IFERROR((vp.tbl[[#This Row],[VP]]-INDEX(crudeBD.lkup.complete[Mean_VP],MATCH(vp.tbl[[#This Row],[Crude_Breakdown]],crudeBD.lkup.complete[Crude Breakdown],0)))^2,"")</f>
        <v>325.81382065582818</v>
      </c>
      <c r="AN1557" s="4">
        <f>IFERROR((vp.tbl[[#This Row],[Dens]]-INDEX(crudeBD.lkup.complete[Mean_Dens],MATCH(vp.tbl[[#This Row],[Crude_Breakdown]],crudeBD.lkup.complete[Crude Breakdown],0)))^2,"")</f>
        <v>6.7003412691678106</v>
      </c>
      <c r="AO1557" s="4">
        <f>IFERROR((vp.tbl[[#This Row],[Sulf]]-INDEX(crudeBD.lkup.complete[Mean_Sulf],MATCH(vp.tbl[[#This Row],[Crude_Breakdown]],crudeBD.lkup.complete[Crude Breakdown],0)))^2,"")</f>
        <v>1.4123978195681499E-5</v>
      </c>
      <c r="AP1557">
        <f>IF(AND(vp.tbl[[#This Row],[SDate]]&gt;=DATE(YEAR(vp.tbl[[#This Row],[SDate]]),5,1),vp.tbl[[#This Row],[SDate]]&lt;=DATE(YEAR(vp.tbl[[#This Row],[SDate]]),9,15)),1,0)</f>
        <v>1</v>
      </c>
      <c r="AQ1557" s="15">
        <f>IF(vp.tbl[[#This Row],[SDate]]&lt;DATE(2016,12,1),0,1)</f>
        <v>1</v>
      </c>
    </row>
    <row r="1558" spans="1:43" x14ac:dyDescent="0.25">
      <c r="A1558">
        <v>1557</v>
      </c>
      <c r="B1558" t="s">
        <v>49</v>
      </c>
      <c r="C1558" t="s">
        <v>49</v>
      </c>
      <c r="D1558" t="s">
        <v>92</v>
      </c>
      <c r="F1558" s="1">
        <v>42885</v>
      </c>
      <c r="G1558" s="2">
        <v>74.7</v>
      </c>
      <c r="H1558" s="2"/>
      <c r="I1558" s="2">
        <v>0.64</v>
      </c>
      <c r="J1558" s="2"/>
      <c r="K1558" s="2"/>
      <c r="L1558" s="2"/>
      <c r="M1558" s="2">
        <v>822.7</v>
      </c>
      <c r="N1558" s="2">
        <f ca="1">INDEX(INDIRECT(_xlfn.CONCAT("weather.tbl[",N$1,"]")),MATCH(vp.tbl[[#This Row],[SDate]],weather.tbl[Date],0))</f>
        <v>11.366666666666667</v>
      </c>
      <c r="O1558" s="2">
        <f ca="1">INDEX(INDIRECT(_xlfn.CONCAT("weather.tbl[",O$1,"]")),MATCH(vp.tbl[[#This Row],[SDate]],weather.tbl[Date],0))</f>
        <v>13.104761904761906</v>
      </c>
      <c r="P1558" s="2">
        <f ca="1">INDEX(INDIRECT(_xlfn.CONCAT("weather.tbl[",P$1,"]")),MATCH(vp.tbl[[#This Row],[SDate]],weather.tbl[Date],0))</f>
        <v>10.199999999999999</v>
      </c>
      <c r="Q1558" s="2">
        <f ca="1">INDEX(INDIRECT(_xlfn.CONCAT("weather.tbl[",Q$1,"]")),MATCH(vp.tbl[[#This Row],[SDate]],weather.tbl[Date],0))</f>
        <v>12.8</v>
      </c>
      <c r="R1558" s="2">
        <f ca="1">INDEX(INDIRECT(_xlfn.CONCAT("weather.tbl[",R$1,"]")),MATCH(vp.tbl[[#This Row],[SDate]],weather.tbl[Date],0))</f>
        <v>11.3</v>
      </c>
      <c r="S1558" s="2">
        <f ca="1">INDEX(INDIRECT(_xlfn.CONCAT("weather.tbl[",S$1,"]")),MATCH(vp.tbl[[#This Row],[SDate]],weather.tbl[Date],0))</f>
        <v>9.6999999999999993</v>
      </c>
      <c r="T1558" s="2">
        <f ca="1">INDEX(INDIRECT(_xlfn.CONCAT("weather.tbl[",T$1,"]")),MATCH(vp.tbl[[#This Row],[SDate]],weather.tbl[Date],0))</f>
        <v>13.2</v>
      </c>
      <c r="U1558" s="2">
        <f ca="1">INDEX(INDIRECT(_xlfn.CONCAT("weather.tbl[",U$1,"]")),MATCH(vp.tbl[[#This Row],[SDate]],weather.tbl[Date],0))</f>
        <v>11</v>
      </c>
      <c r="V1558" s="2">
        <v>24656.244999999999</v>
      </c>
      <c r="W1558" t="s">
        <v>48</v>
      </c>
      <c r="X1558">
        <f>IF(OR(vp.tbl[[#This Row],[Sulf]]="",vp.tbl[[#This Row],[Dens]]=""),1,0)</f>
        <v>0</v>
      </c>
      <c r="Y1558">
        <f>IF(vp.tbl[[#This Row],[CrudeType]]="C5+",1,0)</f>
        <v>0</v>
      </c>
      <c r="Z1558">
        <f>IF(AND(vp.tbl[[#This Row],[CrudeType]]="Crude",vp.tbl[[#This Row],[Dens]]&lt;=825,vp.tbl[[#This Row],[Sulf]]&gt;0.5,vp.tbl[[#This Row],[Unknown]]=0),1,0)</f>
        <v>1</v>
      </c>
      <c r="AA1558">
        <f>IF(AND(vp.tbl[[#This Row],[CrudeType]]="Crude",vp.tbl[[#This Row],[Dens]]&lt;=825,vp.tbl[[#This Row],[Sulf]]&lt;=0.5,vp.tbl[[#This Row],[Unknown]]=0),1,0)</f>
        <v>0</v>
      </c>
      <c r="AB1558">
        <f>IF(AND(vp.tbl[[#This Row],[CrudeType]]="Crude",vp.tbl[[#This Row],[Dens]]&gt;825,vp.tbl[[#This Row],[Dens]]&lt;=870,vp.tbl[[#This Row],[Sulf]]&gt;0.5,vp.tbl[[#This Row],[Unknown]]=0),1,0)</f>
        <v>0</v>
      </c>
      <c r="AC1558">
        <f>IF(AND(vp.tbl[[#This Row],[CrudeType]]="Crude",vp.tbl[[#This Row],[Dens]]&gt;825,vp.tbl[[#This Row],[Dens]]&lt;=900,vp.tbl[[#This Row],[Sulf]]&lt;=0.5,vp.tbl[[#This Row],[Unknown]]=0),1,0)</f>
        <v>0</v>
      </c>
      <c r="AD1558">
        <f>IF(AND(vp.tbl[[#This Row],[CrudeType]]="Crude",vp.tbl[[#This Row],[Dens]]&gt;870,vp.tbl[[#This Row],[Dens]]&lt;=900,vp.tbl[[#This Row],[Sulf]]&gt;0.5,vp.tbl[[#This Row],[Unknown]]=0),1,0)</f>
        <v>0</v>
      </c>
      <c r="AE1558">
        <f>IF(AND(vp.tbl[[#This Row],[CrudeType]]="Crude",vp.tbl[[#This Row],[Dens]]&gt;900,vp.tbl[[#This Row],[Sulf]]&lt;=0.5,vp.tbl[[#This Row],[Unknown]]=0),1,0)</f>
        <v>0</v>
      </c>
      <c r="AF1558">
        <f>IF(AND(vp.tbl[[#This Row],[CrudeType]]="Crude",vp.tbl[[#This Row],[Dens]]&gt;900,vp.tbl[[#This Row],[Sulf]]&lt;=0.5,vp.tbl[[#This Row],[Unknown]]=0),1,0)</f>
        <v>0</v>
      </c>
      <c r="AG1558" t="str">
        <f>INDEX(vp.tbl[[#Headers],[Unknown]:[Heavy_SW]],MATCH(1,vp.tbl[[#This Row],[Unknown]:[Heavy_SW]],0))</f>
        <v>Light_LSB</v>
      </c>
      <c r="AH1558" t="e">
        <f>INDEX([1]!crudeBD.lkup[Number],MATCH(vp.tbl[[#This Row],[Crude_Breakdown]],[1]!crudeBD.lkup[Crude Breakdown],0))</f>
        <v>#REF!</v>
      </c>
      <c r="AI1558">
        <f>MONTH(vp.tbl[[#This Row],[SDate]])</f>
        <v>5</v>
      </c>
      <c r="AJ1558" s="5">
        <f>IFERROR(vp.tbl[[#This Row],[Sulf]]*vp.tbl[[#This Row],[Net Dens]],"")</f>
        <v>12982203.367360001</v>
      </c>
      <c r="AK1558" s="5">
        <f>IFERROR(vp.tbl[[#This Row],[Dens]]*vp.tbl[[#This Row],[VolumeM3]],"")</f>
        <v>20284692.761500001</v>
      </c>
      <c r="AL1558" s="5">
        <f>IFERROR(vp.tbl[[#This Row],[VP]]*vp.tbl[[#This Row],[VolumeM3]],"")</f>
        <v>1841821.5015</v>
      </c>
      <c r="AM1558" s="4">
        <f>IFERROR((vp.tbl[[#This Row],[VP]]-INDEX(crudeBD.lkup.complete[Mean_VP],MATCH(vp.tbl[[#This Row],[Crude_Breakdown]],crudeBD.lkup.complete[Crude Breakdown],0)))^2,"")</f>
        <v>283.79396815814738</v>
      </c>
      <c r="AN1558" s="4">
        <f>IFERROR((vp.tbl[[#This Row],[Dens]]-INDEX(crudeBD.lkup.complete[Mean_Dens],MATCH(vp.tbl[[#This Row],[Crude_Breakdown]],crudeBD.lkup.complete[Crude Breakdown],0)))^2,"")</f>
        <v>17.499415245453584</v>
      </c>
      <c r="AO1558" s="4">
        <f>IFERROR((vp.tbl[[#This Row],[Sulf]]-INDEX(crudeBD.lkup.complete[Mean_Sulf],MATCH(vp.tbl[[#This Row],[Crude_Breakdown]],crudeBD.lkup.complete[Crude Breakdown],0)))^2,"")</f>
        <v>8.0072682137103807E-2</v>
      </c>
      <c r="AP1558">
        <f>IF(AND(vp.tbl[[#This Row],[SDate]]&gt;=DATE(YEAR(vp.tbl[[#This Row],[SDate]]),5,1),vp.tbl[[#This Row],[SDate]]&lt;=DATE(YEAR(vp.tbl[[#This Row],[SDate]]),9,15)),1,0)</f>
        <v>1</v>
      </c>
      <c r="AQ1558" s="15">
        <f>IF(vp.tbl[[#This Row],[SDate]]&lt;DATE(2016,12,1),0,1)</f>
        <v>1</v>
      </c>
    </row>
    <row r="1559" spans="1:43" x14ac:dyDescent="0.25">
      <c r="A1559">
        <v>1558</v>
      </c>
      <c r="B1559" t="s">
        <v>51</v>
      </c>
      <c r="C1559" t="s">
        <v>51</v>
      </c>
      <c r="D1559" t="s">
        <v>58</v>
      </c>
      <c r="F1559" s="1">
        <v>42885</v>
      </c>
      <c r="G1559" s="2">
        <v>69.3</v>
      </c>
      <c r="H1559" s="2"/>
      <c r="I1559" s="2">
        <v>1.51</v>
      </c>
      <c r="J1559" s="2"/>
      <c r="K1559" s="2"/>
      <c r="L1559" s="2"/>
      <c r="M1559" s="2">
        <v>836.4</v>
      </c>
      <c r="N1559" s="2">
        <f ca="1">INDEX(INDIRECT(_xlfn.CONCAT("weather.tbl[",N$1,"]")),MATCH(vp.tbl[[#This Row],[SDate]],weather.tbl[Date],0))</f>
        <v>11.366666666666667</v>
      </c>
      <c r="O1559" s="2">
        <f ca="1">INDEX(INDIRECT(_xlfn.CONCAT("weather.tbl[",O$1,"]")),MATCH(vp.tbl[[#This Row],[SDate]],weather.tbl[Date],0))</f>
        <v>13.104761904761906</v>
      </c>
      <c r="P1559" s="2">
        <f ca="1">INDEX(INDIRECT(_xlfn.CONCAT("weather.tbl[",P$1,"]")),MATCH(vp.tbl[[#This Row],[SDate]],weather.tbl[Date],0))</f>
        <v>10.199999999999999</v>
      </c>
      <c r="Q1559" s="2">
        <f ca="1">INDEX(INDIRECT(_xlfn.CONCAT("weather.tbl[",Q$1,"]")),MATCH(vp.tbl[[#This Row],[SDate]],weather.tbl[Date],0))</f>
        <v>12.8</v>
      </c>
      <c r="R1559" s="2">
        <f ca="1">INDEX(INDIRECT(_xlfn.CONCAT("weather.tbl[",R$1,"]")),MATCH(vp.tbl[[#This Row],[SDate]],weather.tbl[Date],0))</f>
        <v>11.3</v>
      </c>
      <c r="S1559" s="2">
        <f ca="1">INDEX(INDIRECT(_xlfn.CONCAT("weather.tbl[",S$1,"]")),MATCH(vp.tbl[[#This Row],[SDate]],weather.tbl[Date],0))</f>
        <v>9.6999999999999993</v>
      </c>
      <c r="T1559" s="2">
        <f ca="1">INDEX(INDIRECT(_xlfn.CONCAT("weather.tbl[",T$1,"]")),MATCH(vp.tbl[[#This Row],[SDate]],weather.tbl[Date],0))</f>
        <v>13.2</v>
      </c>
      <c r="U1559" s="2">
        <f ca="1">INDEX(INDIRECT(_xlfn.CONCAT("weather.tbl[",U$1,"]")),MATCH(vp.tbl[[#This Row],[SDate]],weather.tbl[Date],0))</f>
        <v>11</v>
      </c>
      <c r="V1559" s="2">
        <v>5887.6930000000002</v>
      </c>
      <c r="W1559" t="s">
        <v>48</v>
      </c>
      <c r="X1559">
        <f>IF(OR(vp.tbl[[#This Row],[Sulf]]="",vp.tbl[[#This Row],[Dens]]=""),1,0)</f>
        <v>0</v>
      </c>
      <c r="Y1559">
        <f>IF(vp.tbl[[#This Row],[CrudeType]]="C5+",1,0)</f>
        <v>0</v>
      </c>
      <c r="Z1559">
        <f>IF(AND(vp.tbl[[#This Row],[CrudeType]]="Crude",vp.tbl[[#This Row],[Dens]]&lt;=825,vp.tbl[[#This Row],[Sulf]]&gt;0.5,vp.tbl[[#This Row],[Unknown]]=0),1,0)</f>
        <v>0</v>
      </c>
      <c r="AA1559">
        <f>IF(AND(vp.tbl[[#This Row],[CrudeType]]="Crude",vp.tbl[[#This Row],[Dens]]&lt;=825,vp.tbl[[#This Row],[Sulf]]&lt;=0.5,vp.tbl[[#This Row],[Unknown]]=0),1,0)</f>
        <v>0</v>
      </c>
      <c r="AB1559">
        <f>IF(AND(vp.tbl[[#This Row],[CrudeType]]="Crude",vp.tbl[[#This Row],[Dens]]&gt;825,vp.tbl[[#This Row],[Dens]]&lt;=870,vp.tbl[[#This Row],[Sulf]]&gt;0.5,vp.tbl[[#This Row],[Unknown]]=0),1,0)</f>
        <v>1</v>
      </c>
      <c r="AC1559">
        <f>IF(AND(vp.tbl[[#This Row],[CrudeType]]="Crude",vp.tbl[[#This Row],[Dens]]&gt;825,vp.tbl[[#This Row],[Dens]]&lt;=900,vp.tbl[[#This Row],[Sulf]]&lt;=0.5,vp.tbl[[#This Row],[Unknown]]=0),1,0)</f>
        <v>0</v>
      </c>
      <c r="AD1559">
        <f>IF(AND(vp.tbl[[#This Row],[CrudeType]]="Crude",vp.tbl[[#This Row],[Dens]]&gt;870,vp.tbl[[#This Row],[Dens]]&lt;=900,vp.tbl[[#This Row],[Sulf]]&gt;0.5,vp.tbl[[#This Row],[Unknown]]=0),1,0)</f>
        <v>0</v>
      </c>
      <c r="AE1559">
        <f>IF(AND(vp.tbl[[#This Row],[CrudeType]]="Crude",vp.tbl[[#This Row],[Dens]]&gt;900,vp.tbl[[#This Row],[Sulf]]&lt;=0.5,vp.tbl[[#This Row],[Unknown]]=0),1,0)</f>
        <v>0</v>
      </c>
      <c r="AF1559">
        <f>IF(AND(vp.tbl[[#This Row],[CrudeType]]="Crude",vp.tbl[[#This Row],[Dens]]&gt;900,vp.tbl[[#This Row],[Sulf]]&lt;=0.5,vp.tbl[[#This Row],[Unknown]]=0),1,0)</f>
        <v>0</v>
      </c>
      <c r="AG1559" t="str">
        <f>INDEX(vp.tbl[[#Headers],[Unknown]:[Heavy_SW]],MATCH(1,vp.tbl[[#This Row],[Unknown]:[Heavy_SW]],0))</f>
        <v>Medium_LSB</v>
      </c>
      <c r="AH1559" t="e">
        <f>INDEX([1]!crudeBD.lkup[Number],MATCH(vp.tbl[[#This Row],[Crude_Breakdown]],[1]!crudeBD.lkup[Crude Breakdown],0))</f>
        <v>#REF!</v>
      </c>
      <c r="AI1559">
        <f>MONTH(vp.tbl[[#This Row],[SDate]])</f>
        <v>5</v>
      </c>
      <c r="AJ1559" s="5">
        <f>IFERROR(vp.tbl[[#This Row],[Sulf]]*vp.tbl[[#This Row],[Net Dens]],"")</f>
        <v>7435944.3020520005</v>
      </c>
      <c r="AK1559" s="5">
        <f>IFERROR(vp.tbl[[#This Row],[Dens]]*vp.tbl[[#This Row],[VolumeM3]],"")</f>
        <v>4924466.4252000004</v>
      </c>
      <c r="AL1559" s="5">
        <f>IFERROR(vp.tbl[[#This Row],[VP]]*vp.tbl[[#This Row],[VolumeM3]],"")</f>
        <v>408017.1249</v>
      </c>
      <c r="AM1559" s="4">
        <f>IFERROR((vp.tbl[[#This Row],[VP]]-INDEX(crudeBD.lkup.complete[Mean_VP],MATCH(vp.tbl[[#This Row],[Crude_Breakdown]],crudeBD.lkup.complete[Crude Breakdown],0)))^2,"")</f>
        <v>118.23506684761983</v>
      </c>
      <c r="AN1559" s="4">
        <f>IFERROR((vp.tbl[[#This Row],[Dens]]-INDEX(crudeBD.lkup.complete[Mean_Dens],MATCH(vp.tbl[[#This Row],[Crude_Breakdown]],crudeBD.lkup.complete[Crude Breakdown],0)))^2,"")</f>
        <v>79.064512436451409</v>
      </c>
      <c r="AO1559" s="4">
        <f>IFERROR((vp.tbl[[#This Row],[Sulf]]-INDEX(crudeBD.lkup.complete[Mean_Sulf],MATCH(vp.tbl[[#This Row],[Crude_Breakdown]],crudeBD.lkup.complete[Crude Breakdown],0)))^2,"")</f>
        <v>3.0327202359685928E-3</v>
      </c>
      <c r="AP1559">
        <f>IF(AND(vp.tbl[[#This Row],[SDate]]&gt;=DATE(YEAR(vp.tbl[[#This Row],[SDate]]),5,1),vp.tbl[[#This Row],[SDate]]&lt;=DATE(YEAR(vp.tbl[[#This Row],[SDate]]),9,15)),1,0)</f>
        <v>1</v>
      </c>
      <c r="AQ1559" s="15">
        <f>IF(vp.tbl[[#This Row],[SDate]]&lt;DATE(2016,12,1),0,1)</f>
        <v>1</v>
      </c>
    </row>
    <row r="1560" spans="1:43" x14ac:dyDescent="0.25">
      <c r="A1560">
        <v>1559</v>
      </c>
      <c r="B1560" t="s">
        <v>292</v>
      </c>
      <c r="C1560" t="s">
        <v>292</v>
      </c>
      <c r="D1560" t="s">
        <v>57</v>
      </c>
      <c r="F1560" s="1">
        <v>42885</v>
      </c>
      <c r="G1560" s="2">
        <v>74.099999999999994</v>
      </c>
      <c r="H1560" s="2"/>
      <c r="I1560" s="2">
        <v>1.78</v>
      </c>
      <c r="J1560" s="2"/>
      <c r="K1560" s="2"/>
      <c r="L1560" s="2"/>
      <c r="M1560" s="2">
        <v>851.1</v>
      </c>
      <c r="N1560" s="2">
        <f ca="1">INDEX(INDIRECT(_xlfn.CONCAT("weather.tbl[",N$1,"]")),MATCH(vp.tbl[[#This Row],[SDate]],weather.tbl[Date],0))</f>
        <v>11.366666666666667</v>
      </c>
      <c r="O1560" s="2">
        <f ca="1">INDEX(INDIRECT(_xlfn.CONCAT("weather.tbl[",O$1,"]")),MATCH(vp.tbl[[#This Row],[SDate]],weather.tbl[Date],0))</f>
        <v>13.104761904761906</v>
      </c>
      <c r="P1560" s="2">
        <f ca="1">INDEX(INDIRECT(_xlfn.CONCAT("weather.tbl[",P$1,"]")),MATCH(vp.tbl[[#This Row],[SDate]],weather.tbl[Date],0))</f>
        <v>10.199999999999999</v>
      </c>
      <c r="Q1560" s="2">
        <f ca="1">INDEX(INDIRECT(_xlfn.CONCAT("weather.tbl[",Q$1,"]")),MATCH(vp.tbl[[#This Row],[SDate]],weather.tbl[Date],0))</f>
        <v>12.8</v>
      </c>
      <c r="R1560" s="2">
        <f ca="1">INDEX(INDIRECT(_xlfn.CONCAT("weather.tbl[",R$1,"]")),MATCH(vp.tbl[[#This Row],[SDate]],weather.tbl[Date],0))</f>
        <v>11.3</v>
      </c>
      <c r="S1560" s="2">
        <f ca="1">INDEX(INDIRECT(_xlfn.CONCAT("weather.tbl[",S$1,"]")),MATCH(vp.tbl[[#This Row],[SDate]],weather.tbl[Date],0))</f>
        <v>9.6999999999999993</v>
      </c>
      <c r="T1560" s="2">
        <f ca="1">INDEX(INDIRECT(_xlfn.CONCAT("weather.tbl[",T$1,"]")),MATCH(vp.tbl[[#This Row],[SDate]],weather.tbl[Date],0))</f>
        <v>13.2</v>
      </c>
      <c r="U1560" s="2">
        <f ca="1">INDEX(INDIRECT(_xlfn.CONCAT("weather.tbl[",U$1,"]")),MATCH(vp.tbl[[#This Row],[SDate]],weather.tbl[Date],0))</f>
        <v>11</v>
      </c>
      <c r="V1560" s="2">
        <v>3038.6930000000002</v>
      </c>
      <c r="W1560" t="s">
        <v>48</v>
      </c>
      <c r="X1560">
        <f>IF(OR(vp.tbl[[#This Row],[Sulf]]="",vp.tbl[[#This Row],[Dens]]=""),1,0)</f>
        <v>0</v>
      </c>
      <c r="Y1560">
        <f>IF(vp.tbl[[#This Row],[CrudeType]]="C5+",1,0)</f>
        <v>0</v>
      </c>
      <c r="Z1560">
        <f>IF(AND(vp.tbl[[#This Row],[CrudeType]]="Crude",vp.tbl[[#This Row],[Dens]]&lt;=825,vp.tbl[[#This Row],[Sulf]]&gt;0.5,vp.tbl[[#This Row],[Unknown]]=0),1,0)</f>
        <v>0</v>
      </c>
      <c r="AA1560">
        <f>IF(AND(vp.tbl[[#This Row],[CrudeType]]="Crude",vp.tbl[[#This Row],[Dens]]&lt;=825,vp.tbl[[#This Row],[Sulf]]&lt;=0.5,vp.tbl[[#This Row],[Unknown]]=0),1,0)</f>
        <v>0</v>
      </c>
      <c r="AB1560">
        <f>IF(AND(vp.tbl[[#This Row],[CrudeType]]="Crude",vp.tbl[[#This Row],[Dens]]&gt;825,vp.tbl[[#This Row],[Dens]]&lt;=870,vp.tbl[[#This Row],[Sulf]]&gt;0.5,vp.tbl[[#This Row],[Unknown]]=0),1,0)</f>
        <v>1</v>
      </c>
      <c r="AC1560">
        <f>IF(AND(vp.tbl[[#This Row],[CrudeType]]="Crude",vp.tbl[[#This Row],[Dens]]&gt;825,vp.tbl[[#This Row],[Dens]]&lt;=900,vp.tbl[[#This Row],[Sulf]]&lt;=0.5,vp.tbl[[#This Row],[Unknown]]=0),1,0)</f>
        <v>0</v>
      </c>
      <c r="AD1560">
        <f>IF(AND(vp.tbl[[#This Row],[CrudeType]]="Crude",vp.tbl[[#This Row],[Dens]]&gt;870,vp.tbl[[#This Row],[Dens]]&lt;=900,vp.tbl[[#This Row],[Sulf]]&gt;0.5,vp.tbl[[#This Row],[Unknown]]=0),1,0)</f>
        <v>0</v>
      </c>
      <c r="AE1560">
        <f>IF(AND(vp.tbl[[#This Row],[CrudeType]]="Crude",vp.tbl[[#This Row],[Dens]]&gt;900,vp.tbl[[#This Row],[Sulf]]&lt;=0.5,vp.tbl[[#This Row],[Unknown]]=0),1,0)</f>
        <v>0</v>
      </c>
      <c r="AF1560">
        <f>IF(AND(vp.tbl[[#This Row],[CrudeType]]="Crude",vp.tbl[[#This Row],[Dens]]&gt;900,vp.tbl[[#This Row],[Sulf]]&lt;=0.5,vp.tbl[[#This Row],[Unknown]]=0),1,0)</f>
        <v>0</v>
      </c>
      <c r="AG1560" t="str">
        <f>INDEX(vp.tbl[[#Headers],[Unknown]:[Heavy_SW]],MATCH(1,vp.tbl[[#This Row],[Unknown]:[Heavy_SW]],0))</f>
        <v>Medium_LSB</v>
      </c>
      <c r="AH1560" t="e">
        <f>INDEX([1]!crudeBD.lkup[Number],MATCH(vp.tbl[[#This Row],[Crude_Breakdown]],[1]!crudeBD.lkup[Crude Breakdown],0))</f>
        <v>#REF!</v>
      </c>
      <c r="AI1560">
        <f>MONTH(vp.tbl[[#This Row],[SDate]])</f>
        <v>5</v>
      </c>
      <c r="AJ1560" s="5">
        <f>IFERROR(vp.tbl[[#This Row],[Sulf]]*vp.tbl[[#This Row],[Net Dens]],"")</f>
        <v>4603492.2698940001</v>
      </c>
      <c r="AK1560" s="5">
        <f>IFERROR(vp.tbl[[#This Row],[Dens]]*vp.tbl[[#This Row],[VolumeM3]],"")</f>
        <v>2586231.6123000002</v>
      </c>
      <c r="AL1560" s="5">
        <f>IFERROR(vp.tbl[[#This Row],[VP]]*vp.tbl[[#This Row],[VolumeM3]],"")</f>
        <v>225167.1513</v>
      </c>
      <c r="AM1560" s="4">
        <f>IFERROR((vp.tbl[[#This Row],[VP]]-INDEX(crudeBD.lkup.complete[Mean_VP],MATCH(vp.tbl[[#This Row],[Crude_Breakdown]],crudeBD.lkup.complete[Crude Breakdown],0)))^2,"")</f>
        <v>36.888555455215133</v>
      </c>
      <c r="AN1560" s="4">
        <f>IFERROR((vp.tbl[[#This Row],[Dens]]-INDEX(crudeBD.lkup.complete[Mean_Dens],MATCH(vp.tbl[[#This Row],[Crude_Breakdown]],crudeBD.lkup.complete[Crude Breakdown],0)))^2,"")</f>
        <v>33.734922563062497</v>
      </c>
      <c r="AO1560" s="4">
        <f>IFERROR((vp.tbl[[#This Row],[Sulf]]-INDEX(crudeBD.lkup.complete[Mean_Sulf],MATCH(vp.tbl[[#This Row],[Crude_Breakdown]],crudeBD.lkup.complete[Crude Breakdown],0)))^2,"")</f>
        <v>0.10567059542584123</v>
      </c>
      <c r="AP1560">
        <f>IF(AND(vp.tbl[[#This Row],[SDate]]&gt;=DATE(YEAR(vp.tbl[[#This Row],[SDate]]),5,1),vp.tbl[[#This Row],[SDate]]&lt;=DATE(YEAR(vp.tbl[[#This Row],[SDate]]),9,15)),1,0)</f>
        <v>1</v>
      </c>
      <c r="AQ1560" s="15">
        <f>IF(vp.tbl[[#This Row],[SDate]]&lt;DATE(2016,12,1),0,1)</f>
        <v>1</v>
      </c>
    </row>
    <row r="1561" spans="1:43" x14ac:dyDescent="0.25">
      <c r="A1561">
        <v>1560</v>
      </c>
      <c r="B1561" t="s">
        <v>292</v>
      </c>
      <c r="C1561" t="s">
        <v>292</v>
      </c>
      <c r="D1561" t="s">
        <v>94</v>
      </c>
      <c r="F1561" s="1">
        <v>42885</v>
      </c>
      <c r="G1561" s="2">
        <v>71.5</v>
      </c>
      <c r="H1561" s="2"/>
      <c r="I1561" s="2">
        <v>1.96</v>
      </c>
      <c r="J1561" s="2"/>
      <c r="K1561" s="2"/>
      <c r="L1561" s="2"/>
      <c r="M1561" s="2">
        <v>865.5</v>
      </c>
      <c r="N1561" s="2">
        <f ca="1">INDEX(INDIRECT(_xlfn.CONCAT("weather.tbl[",N$1,"]")),MATCH(vp.tbl[[#This Row],[SDate]],weather.tbl[Date],0))</f>
        <v>11.366666666666667</v>
      </c>
      <c r="O1561" s="2">
        <f ca="1">INDEX(INDIRECT(_xlfn.CONCAT("weather.tbl[",O$1,"]")),MATCH(vp.tbl[[#This Row],[SDate]],weather.tbl[Date],0))</f>
        <v>13.104761904761906</v>
      </c>
      <c r="P1561" s="2">
        <f ca="1">INDEX(INDIRECT(_xlfn.CONCAT("weather.tbl[",P$1,"]")),MATCH(vp.tbl[[#This Row],[SDate]],weather.tbl[Date],0))</f>
        <v>10.199999999999999</v>
      </c>
      <c r="Q1561" s="2">
        <f ca="1">INDEX(INDIRECT(_xlfn.CONCAT("weather.tbl[",Q$1,"]")),MATCH(vp.tbl[[#This Row],[SDate]],weather.tbl[Date],0))</f>
        <v>12.8</v>
      </c>
      <c r="R1561" s="2">
        <f ca="1">INDEX(INDIRECT(_xlfn.CONCAT("weather.tbl[",R$1,"]")),MATCH(vp.tbl[[#This Row],[SDate]],weather.tbl[Date],0))</f>
        <v>11.3</v>
      </c>
      <c r="S1561" s="2">
        <f ca="1">INDEX(INDIRECT(_xlfn.CONCAT("weather.tbl[",S$1,"]")),MATCH(vp.tbl[[#This Row],[SDate]],weather.tbl[Date],0))</f>
        <v>9.6999999999999993</v>
      </c>
      <c r="T1561" s="2">
        <f ca="1">INDEX(INDIRECT(_xlfn.CONCAT("weather.tbl[",T$1,"]")),MATCH(vp.tbl[[#This Row],[SDate]],weather.tbl[Date],0))</f>
        <v>13.2</v>
      </c>
      <c r="U1561" s="2">
        <f ca="1">INDEX(INDIRECT(_xlfn.CONCAT("weather.tbl[",U$1,"]")),MATCH(vp.tbl[[#This Row],[SDate]],weather.tbl[Date],0))</f>
        <v>11</v>
      </c>
      <c r="V1561" s="2">
        <v>4763.951</v>
      </c>
      <c r="W1561" t="s">
        <v>48</v>
      </c>
      <c r="X1561">
        <f>IF(OR(vp.tbl[[#This Row],[Sulf]]="",vp.tbl[[#This Row],[Dens]]=""),1,0)</f>
        <v>0</v>
      </c>
      <c r="Y1561">
        <f>IF(vp.tbl[[#This Row],[CrudeType]]="C5+",1,0)</f>
        <v>0</v>
      </c>
      <c r="Z1561">
        <f>IF(AND(vp.tbl[[#This Row],[CrudeType]]="Crude",vp.tbl[[#This Row],[Dens]]&lt;=825,vp.tbl[[#This Row],[Sulf]]&gt;0.5,vp.tbl[[#This Row],[Unknown]]=0),1,0)</f>
        <v>0</v>
      </c>
      <c r="AA1561">
        <f>IF(AND(vp.tbl[[#This Row],[CrudeType]]="Crude",vp.tbl[[#This Row],[Dens]]&lt;=825,vp.tbl[[#This Row],[Sulf]]&lt;=0.5,vp.tbl[[#This Row],[Unknown]]=0),1,0)</f>
        <v>0</v>
      </c>
      <c r="AB1561">
        <f>IF(AND(vp.tbl[[#This Row],[CrudeType]]="Crude",vp.tbl[[#This Row],[Dens]]&gt;825,vp.tbl[[#This Row],[Dens]]&lt;=870,vp.tbl[[#This Row],[Sulf]]&gt;0.5,vp.tbl[[#This Row],[Unknown]]=0),1,0)</f>
        <v>1</v>
      </c>
      <c r="AC1561">
        <f>IF(AND(vp.tbl[[#This Row],[CrudeType]]="Crude",vp.tbl[[#This Row],[Dens]]&gt;825,vp.tbl[[#This Row],[Dens]]&lt;=900,vp.tbl[[#This Row],[Sulf]]&lt;=0.5,vp.tbl[[#This Row],[Unknown]]=0),1,0)</f>
        <v>0</v>
      </c>
      <c r="AD1561">
        <f>IF(AND(vp.tbl[[#This Row],[CrudeType]]="Crude",vp.tbl[[#This Row],[Dens]]&gt;870,vp.tbl[[#This Row],[Dens]]&lt;=900,vp.tbl[[#This Row],[Sulf]]&gt;0.5,vp.tbl[[#This Row],[Unknown]]=0),1,0)</f>
        <v>0</v>
      </c>
      <c r="AE1561">
        <f>IF(AND(vp.tbl[[#This Row],[CrudeType]]="Crude",vp.tbl[[#This Row],[Dens]]&gt;900,vp.tbl[[#This Row],[Sulf]]&lt;=0.5,vp.tbl[[#This Row],[Unknown]]=0),1,0)</f>
        <v>0</v>
      </c>
      <c r="AF1561">
        <f>IF(AND(vp.tbl[[#This Row],[CrudeType]]="Crude",vp.tbl[[#This Row],[Dens]]&gt;900,vp.tbl[[#This Row],[Sulf]]&lt;=0.5,vp.tbl[[#This Row],[Unknown]]=0),1,0)</f>
        <v>0</v>
      </c>
      <c r="AG1561" t="str">
        <f>INDEX(vp.tbl[[#Headers],[Unknown]:[Heavy_SW]],MATCH(1,vp.tbl[[#This Row],[Unknown]:[Heavy_SW]],0))</f>
        <v>Medium_LSB</v>
      </c>
      <c r="AH1561" t="e">
        <f>INDEX([1]!crudeBD.lkup[Number],MATCH(vp.tbl[[#This Row],[Crude_Breakdown]],[1]!crudeBD.lkup[Crude Breakdown],0))</f>
        <v>#REF!</v>
      </c>
      <c r="AI1561">
        <f>MONTH(vp.tbl[[#This Row],[SDate]])</f>
        <v>5</v>
      </c>
      <c r="AJ1561" s="5">
        <f>IFERROR(vp.tbl[[#This Row],[Sulf]]*vp.tbl[[#This Row],[Net Dens]],"")</f>
        <v>8081471.1973799998</v>
      </c>
      <c r="AK1561" s="5">
        <f>IFERROR(vp.tbl[[#This Row],[Dens]]*vp.tbl[[#This Row],[VolumeM3]],"")</f>
        <v>4123199.5904999999</v>
      </c>
      <c r="AL1561" s="5">
        <f>IFERROR(vp.tbl[[#This Row],[VP]]*vp.tbl[[#This Row],[VolumeM3]],"")</f>
        <v>340622.49650000001</v>
      </c>
      <c r="AM1561" s="4">
        <f>IFERROR((vp.tbl[[#This Row],[VP]]-INDEX(crudeBD.lkup.complete[Mean_VP],MATCH(vp.tbl[[#This Row],[Crude_Breakdown]],crudeBD.lkup.complete[Crude Breakdown],0)))^2,"")</f>
        <v>75.231249126100948</v>
      </c>
      <c r="AN1561" s="4">
        <f>IFERROR((vp.tbl[[#This Row],[Dens]]-INDEX(crudeBD.lkup.complete[Mean_Dens],MATCH(vp.tbl[[#This Row],[Crude_Breakdown]],crudeBD.lkup.complete[Crude Breakdown],0)))^2,"")</f>
        <v>408.37042636055895</v>
      </c>
      <c r="AO1561" s="4">
        <f>IFERROR((vp.tbl[[#This Row],[Sulf]]-INDEX(crudeBD.lkup.complete[Mean_Sulf],MATCH(vp.tbl[[#This Row],[Crude_Breakdown]],crudeBD.lkup.complete[Crude Breakdown],0)))^2,"")</f>
        <v>0.25509584555242293</v>
      </c>
      <c r="AP1561">
        <f>IF(AND(vp.tbl[[#This Row],[SDate]]&gt;=DATE(YEAR(vp.tbl[[#This Row],[SDate]]),5,1),vp.tbl[[#This Row],[SDate]]&lt;=DATE(YEAR(vp.tbl[[#This Row],[SDate]]),9,15)),1,0)</f>
        <v>1</v>
      </c>
      <c r="AQ1561" s="15">
        <f>IF(vp.tbl[[#This Row],[SDate]]&lt;DATE(2016,12,1),0,1)</f>
        <v>1</v>
      </c>
    </row>
    <row r="1562" spans="1:43" x14ac:dyDescent="0.25">
      <c r="A1562">
        <v>1561</v>
      </c>
      <c r="B1562" t="s">
        <v>62</v>
      </c>
      <c r="C1562" t="s">
        <v>62</v>
      </c>
      <c r="D1562" t="s">
        <v>63</v>
      </c>
      <c r="F1562" s="1">
        <v>42885</v>
      </c>
      <c r="G1562" s="2">
        <v>74</v>
      </c>
      <c r="H1562" s="2"/>
      <c r="I1562" s="2">
        <v>0.8</v>
      </c>
      <c r="J1562" s="2"/>
      <c r="K1562" s="2"/>
      <c r="L1562" s="2"/>
      <c r="M1562" s="2">
        <v>821.4</v>
      </c>
      <c r="N1562" s="2">
        <f ca="1">INDEX(INDIRECT(_xlfn.CONCAT("weather.tbl[",N$1,"]")),MATCH(vp.tbl[[#This Row],[SDate]],weather.tbl[Date],0))</f>
        <v>11.366666666666667</v>
      </c>
      <c r="O1562" s="2">
        <f ca="1">INDEX(INDIRECT(_xlfn.CONCAT("weather.tbl[",O$1,"]")),MATCH(vp.tbl[[#This Row],[SDate]],weather.tbl[Date],0))</f>
        <v>13.104761904761906</v>
      </c>
      <c r="P1562" s="2">
        <f ca="1">INDEX(INDIRECT(_xlfn.CONCAT("weather.tbl[",P$1,"]")),MATCH(vp.tbl[[#This Row],[SDate]],weather.tbl[Date],0))</f>
        <v>10.199999999999999</v>
      </c>
      <c r="Q1562" s="2">
        <f ca="1">INDEX(INDIRECT(_xlfn.CONCAT("weather.tbl[",Q$1,"]")),MATCH(vp.tbl[[#This Row],[SDate]],weather.tbl[Date],0))</f>
        <v>12.8</v>
      </c>
      <c r="R1562" s="2">
        <f ca="1">INDEX(INDIRECT(_xlfn.CONCAT("weather.tbl[",R$1,"]")),MATCH(vp.tbl[[#This Row],[SDate]],weather.tbl[Date],0))</f>
        <v>11.3</v>
      </c>
      <c r="S1562" s="2">
        <f ca="1">INDEX(INDIRECT(_xlfn.CONCAT("weather.tbl[",S$1,"]")),MATCH(vp.tbl[[#This Row],[SDate]],weather.tbl[Date],0))</f>
        <v>9.6999999999999993</v>
      </c>
      <c r="T1562" s="2">
        <f ca="1">INDEX(INDIRECT(_xlfn.CONCAT("weather.tbl[",T$1,"]")),MATCH(vp.tbl[[#This Row],[SDate]],weather.tbl[Date],0))</f>
        <v>13.2</v>
      </c>
      <c r="U1562" s="2">
        <f ca="1">INDEX(INDIRECT(_xlfn.CONCAT("weather.tbl[",U$1,"]")),MATCH(vp.tbl[[#This Row],[SDate]],weather.tbl[Date],0))</f>
        <v>11</v>
      </c>
      <c r="V1562" s="2">
        <v>9174.1849999999995</v>
      </c>
      <c r="W1562" t="s">
        <v>48</v>
      </c>
      <c r="X1562">
        <f>IF(OR(vp.tbl[[#This Row],[Sulf]]="",vp.tbl[[#This Row],[Dens]]=""),1,0)</f>
        <v>0</v>
      </c>
      <c r="Y1562">
        <f>IF(vp.tbl[[#This Row],[CrudeType]]="C5+",1,0)</f>
        <v>0</v>
      </c>
      <c r="Z1562">
        <f>IF(AND(vp.tbl[[#This Row],[CrudeType]]="Crude",vp.tbl[[#This Row],[Dens]]&lt;=825,vp.tbl[[#This Row],[Sulf]]&gt;0.5,vp.tbl[[#This Row],[Unknown]]=0),1,0)</f>
        <v>1</v>
      </c>
      <c r="AA1562">
        <f>IF(AND(vp.tbl[[#This Row],[CrudeType]]="Crude",vp.tbl[[#This Row],[Dens]]&lt;=825,vp.tbl[[#This Row],[Sulf]]&lt;=0.5,vp.tbl[[#This Row],[Unknown]]=0),1,0)</f>
        <v>0</v>
      </c>
      <c r="AB1562">
        <f>IF(AND(vp.tbl[[#This Row],[CrudeType]]="Crude",vp.tbl[[#This Row],[Dens]]&gt;825,vp.tbl[[#This Row],[Dens]]&lt;=870,vp.tbl[[#This Row],[Sulf]]&gt;0.5,vp.tbl[[#This Row],[Unknown]]=0),1,0)</f>
        <v>0</v>
      </c>
      <c r="AC1562">
        <f>IF(AND(vp.tbl[[#This Row],[CrudeType]]="Crude",vp.tbl[[#This Row],[Dens]]&gt;825,vp.tbl[[#This Row],[Dens]]&lt;=900,vp.tbl[[#This Row],[Sulf]]&lt;=0.5,vp.tbl[[#This Row],[Unknown]]=0),1,0)</f>
        <v>0</v>
      </c>
      <c r="AD1562">
        <f>IF(AND(vp.tbl[[#This Row],[CrudeType]]="Crude",vp.tbl[[#This Row],[Dens]]&gt;870,vp.tbl[[#This Row],[Dens]]&lt;=900,vp.tbl[[#This Row],[Sulf]]&gt;0.5,vp.tbl[[#This Row],[Unknown]]=0),1,0)</f>
        <v>0</v>
      </c>
      <c r="AE1562">
        <f>IF(AND(vp.tbl[[#This Row],[CrudeType]]="Crude",vp.tbl[[#This Row],[Dens]]&gt;900,vp.tbl[[#This Row],[Sulf]]&lt;=0.5,vp.tbl[[#This Row],[Unknown]]=0),1,0)</f>
        <v>0</v>
      </c>
      <c r="AF1562">
        <f>IF(AND(vp.tbl[[#This Row],[CrudeType]]="Crude",vp.tbl[[#This Row],[Dens]]&gt;900,vp.tbl[[#This Row],[Sulf]]&lt;=0.5,vp.tbl[[#This Row],[Unknown]]=0),1,0)</f>
        <v>0</v>
      </c>
      <c r="AG1562" t="str">
        <f>INDEX(vp.tbl[[#Headers],[Unknown]:[Heavy_SW]],MATCH(1,vp.tbl[[#This Row],[Unknown]:[Heavy_SW]],0))</f>
        <v>Light_LSB</v>
      </c>
      <c r="AH1562" t="e">
        <f>INDEX([1]!crudeBD.lkup[Number],MATCH(vp.tbl[[#This Row],[Crude_Breakdown]],[1]!crudeBD.lkup[Crude Breakdown],0))</f>
        <v>#REF!</v>
      </c>
      <c r="AI1562">
        <f>MONTH(vp.tbl[[#This Row],[SDate]])</f>
        <v>5</v>
      </c>
      <c r="AJ1562" s="5">
        <f>IFERROR(vp.tbl[[#This Row],[Sulf]]*vp.tbl[[#This Row],[Net Dens]],"")</f>
        <v>6028540.4472000003</v>
      </c>
      <c r="AK1562" s="5">
        <f>IFERROR(vp.tbl[[#This Row],[Dens]]*vp.tbl[[#This Row],[VolumeM3]],"")</f>
        <v>7535675.5589999994</v>
      </c>
      <c r="AL1562" s="5">
        <f>IFERROR(vp.tbl[[#This Row],[VP]]*vp.tbl[[#This Row],[VolumeM3]],"")</f>
        <v>678889.69</v>
      </c>
      <c r="AM1562" s="4">
        <f>IFERROR((vp.tbl[[#This Row],[VP]]-INDEX(crudeBD.lkup.complete[Mean_VP],MATCH(vp.tbl[[#This Row],[Crude_Breakdown]],crudeBD.lkup.complete[Crude Breakdown],0)))^2,"")</f>
        <v>307.86862795196197</v>
      </c>
      <c r="AN1562" s="4">
        <f>IFERROR((vp.tbl[[#This Row],[Dens]]-INDEX(crudeBD.lkup.complete[Mean_Dens],MATCH(vp.tbl[[#This Row],[Crude_Breakdown]],crudeBD.lkup.complete[Crude Breakdown],0)))^2,"")</f>
        <v>8.3130166200227009</v>
      </c>
      <c r="AO1562" s="4">
        <f>IFERROR((vp.tbl[[#This Row],[Sulf]]-INDEX(crudeBD.lkup.complete[Mean_Sulf],MATCH(vp.tbl[[#This Row],[Crude_Breakdown]],crudeBD.lkup.complete[Crude Breakdown],0)))^2,"")</f>
        <v>1.5121908253942369E-2</v>
      </c>
      <c r="AP1562">
        <f>IF(AND(vp.tbl[[#This Row],[SDate]]&gt;=DATE(YEAR(vp.tbl[[#This Row],[SDate]]),5,1),vp.tbl[[#This Row],[SDate]]&lt;=DATE(YEAR(vp.tbl[[#This Row],[SDate]]),9,15)),1,0)</f>
        <v>1</v>
      </c>
      <c r="AQ1562" s="15">
        <f>IF(vp.tbl[[#This Row],[SDate]]&lt;DATE(2016,12,1),0,1)</f>
        <v>1</v>
      </c>
    </row>
    <row r="1563" spans="1:43" x14ac:dyDescent="0.25">
      <c r="A1563">
        <v>1562</v>
      </c>
      <c r="B1563" t="s">
        <v>51</v>
      </c>
      <c r="C1563" t="s">
        <v>51</v>
      </c>
      <c r="D1563" t="s">
        <v>72</v>
      </c>
      <c r="F1563" s="1">
        <v>42886</v>
      </c>
      <c r="G1563" s="2">
        <v>87.7</v>
      </c>
      <c r="H1563" s="2"/>
      <c r="I1563" s="2">
        <v>1.06</v>
      </c>
      <c r="J1563" s="2"/>
      <c r="K1563" s="2"/>
      <c r="L1563" s="2"/>
      <c r="M1563" s="2">
        <v>829.4</v>
      </c>
      <c r="N1563" s="2">
        <f ca="1">INDEX(INDIRECT(_xlfn.CONCAT("weather.tbl[",N$1,"]")),MATCH(vp.tbl[[#This Row],[SDate]],weather.tbl[Date],0))</f>
        <v>13.600000000000001</v>
      </c>
      <c r="O1563" s="2">
        <f ca="1">INDEX(INDIRECT(_xlfn.CONCAT("weather.tbl[",O$1,"]")),MATCH(vp.tbl[[#This Row],[SDate]],weather.tbl[Date],0))</f>
        <v>12.745238095238095</v>
      </c>
      <c r="P1563" s="2">
        <f ca="1">INDEX(INDIRECT(_xlfn.CONCAT("weather.tbl[",P$1,"]")),MATCH(vp.tbl[[#This Row],[SDate]],weather.tbl[Date],0))</f>
        <v>13.9</v>
      </c>
      <c r="Q1563" s="2">
        <f ca="1">INDEX(INDIRECT(_xlfn.CONCAT("weather.tbl[",Q$1,"]")),MATCH(vp.tbl[[#This Row],[SDate]],weather.tbl[Date],0))</f>
        <v>13.7</v>
      </c>
      <c r="R1563" s="2">
        <f ca="1">INDEX(INDIRECT(_xlfn.CONCAT("weather.tbl[",R$1,"]")),MATCH(vp.tbl[[#This Row],[SDate]],weather.tbl[Date],0))</f>
        <v>12.8</v>
      </c>
      <c r="S1563" s="2">
        <f ca="1">INDEX(INDIRECT(_xlfn.CONCAT("weather.tbl[",S$1,"]")),MATCH(vp.tbl[[#This Row],[SDate]],weather.tbl[Date],0))</f>
        <v>13.5</v>
      </c>
      <c r="T1563" s="2">
        <f ca="1">INDEX(INDIRECT(_xlfn.CONCAT("weather.tbl[",T$1,"]")),MATCH(vp.tbl[[#This Row],[SDate]],weather.tbl[Date],0))</f>
        <v>14.2</v>
      </c>
      <c r="U1563" s="2">
        <f ca="1">INDEX(INDIRECT(_xlfn.CONCAT("weather.tbl[",U$1,"]")),MATCH(vp.tbl[[#This Row],[SDate]],weather.tbl[Date],0))</f>
        <v>13.5</v>
      </c>
      <c r="V1563" s="2">
        <v>14195.075000000001</v>
      </c>
      <c r="W1563" t="s">
        <v>48</v>
      </c>
      <c r="X1563">
        <f>IF(OR(vp.tbl[[#This Row],[Sulf]]="",vp.tbl[[#This Row],[Dens]]=""),1,0)</f>
        <v>0</v>
      </c>
      <c r="Y1563">
        <f>IF(vp.tbl[[#This Row],[CrudeType]]="C5+",1,0)</f>
        <v>0</v>
      </c>
      <c r="Z1563">
        <f>IF(AND(vp.tbl[[#This Row],[CrudeType]]="Crude",vp.tbl[[#This Row],[Dens]]&lt;=825,vp.tbl[[#This Row],[Sulf]]&gt;0.5,vp.tbl[[#This Row],[Unknown]]=0),1,0)</f>
        <v>0</v>
      </c>
      <c r="AA1563">
        <f>IF(AND(vp.tbl[[#This Row],[CrudeType]]="Crude",vp.tbl[[#This Row],[Dens]]&lt;=825,vp.tbl[[#This Row],[Sulf]]&lt;=0.5,vp.tbl[[#This Row],[Unknown]]=0),1,0)</f>
        <v>0</v>
      </c>
      <c r="AB1563">
        <f>IF(AND(vp.tbl[[#This Row],[CrudeType]]="Crude",vp.tbl[[#This Row],[Dens]]&gt;825,vp.tbl[[#This Row],[Dens]]&lt;=870,vp.tbl[[#This Row],[Sulf]]&gt;0.5,vp.tbl[[#This Row],[Unknown]]=0),1,0)</f>
        <v>1</v>
      </c>
      <c r="AC1563">
        <f>IF(AND(vp.tbl[[#This Row],[CrudeType]]="Crude",vp.tbl[[#This Row],[Dens]]&gt;825,vp.tbl[[#This Row],[Dens]]&lt;=900,vp.tbl[[#This Row],[Sulf]]&lt;=0.5,vp.tbl[[#This Row],[Unknown]]=0),1,0)</f>
        <v>0</v>
      </c>
      <c r="AD1563">
        <f>IF(AND(vp.tbl[[#This Row],[CrudeType]]="Crude",vp.tbl[[#This Row],[Dens]]&gt;870,vp.tbl[[#This Row],[Dens]]&lt;=900,vp.tbl[[#This Row],[Sulf]]&gt;0.5,vp.tbl[[#This Row],[Unknown]]=0),1,0)</f>
        <v>0</v>
      </c>
      <c r="AE1563">
        <f>IF(AND(vp.tbl[[#This Row],[CrudeType]]="Crude",vp.tbl[[#This Row],[Dens]]&gt;900,vp.tbl[[#This Row],[Sulf]]&lt;=0.5,vp.tbl[[#This Row],[Unknown]]=0),1,0)</f>
        <v>0</v>
      </c>
      <c r="AF1563">
        <f>IF(AND(vp.tbl[[#This Row],[CrudeType]]="Crude",vp.tbl[[#This Row],[Dens]]&gt;900,vp.tbl[[#This Row],[Sulf]]&lt;=0.5,vp.tbl[[#This Row],[Unknown]]=0),1,0)</f>
        <v>0</v>
      </c>
      <c r="AG1563" t="str">
        <f>INDEX(vp.tbl[[#Headers],[Unknown]:[Heavy_SW]],MATCH(1,vp.tbl[[#This Row],[Unknown]:[Heavy_SW]],0))</f>
        <v>Medium_LSB</v>
      </c>
      <c r="AH1563" t="e">
        <f>INDEX([1]!crudeBD.lkup[Number],MATCH(vp.tbl[[#This Row],[Crude_Breakdown]],[1]!crudeBD.lkup[Crude Breakdown],0))</f>
        <v>#REF!</v>
      </c>
      <c r="AI1563">
        <f>MONTH(vp.tbl[[#This Row],[SDate]])</f>
        <v>5</v>
      </c>
      <c r="AJ1563" s="5">
        <f>IFERROR(vp.tbl[[#This Row],[Sulf]]*vp.tbl[[#This Row],[Net Dens]],"")</f>
        <v>12479798.917300001</v>
      </c>
      <c r="AK1563" s="5">
        <f>IFERROR(vp.tbl[[#This Row],[Dens]]*vp.tbl[[#This Row],[VolumeM3]],"")</f>
        <v>11773395.205</v>
      </c>
      <c r="AL1563" s="5">
        <f>IFERROR(vp.tbl[[#This Row],[VP]]*vp.tbl[[#This Row],[VolumeM3]],"")</f>
        <v>1244908.0775000001</v>
      </c>
      <c r="AM1563" s="4">
        <f>IFERROR((vp.tbl[[#This Row],[VP]]-INDEX(crudeBD.lkup.complete[Mean_VP],MATCH(vp.tbl[[#This Row],[Crude_Breakdown]],crudeBD.lkup.complete[Crude Breakdown],0)))^2,"")</f>
        <v>56.646773176735095</v>
      </c>
      <c r="AN1563" s="4">
        <f>IFERROR((vp.tbl[[#This Row],[Dens]]-INDEX(crudeBD.lkup.complete[Mean_Dens],MATCH(vp.tbl[[#This Row],[Crude_Breakdown]],crudeBD.lkup.complete[Crude Breakdown],0)))^2,"")</f>
        <v>252.5500314237797</v>
      </c>
      <c r="AO1563" s="4">
        <f>IFERROR((vp.tbl[[#This Row],[Sulf]]-INDEX(crudeBD.lkup.complete[Mean_Sulf],MATCH(vp.tbl[[#This Row],[Crude_Breakdown]],crudeBD.lkup.complete[Crude Breakdown],0)))^2,"")</f>
        <v>0.15596959491951418</v>
      </c>
      <c r="AP1563">
        <f>IF(AND(vp.tbl[[#This Row],[SDate]]&gt;=DATE(YEAR(vp.tbl[[#This Row],[SDate]]),5,1),vp.tbl[[#This Row],[SDate]]&lt;=DATE(YEAR(vp.tbl[[#This Row],[SDate]]),9,15)),1,0)</f>
        <v>1</v>
      </c>
      <c r="AQ1563" s="15">
        <f>IF(vp.tbl[[#This Row],[SDate]]&lt;DATE(2016,12,1),0,1)</f>
        <v>1</v>
      </c>
    </row>
    <row r="1564" spans="1:43" x14ac:dyDescent="0.25">
      <c r="A1564">
        <v>1563</v>
      </c>
      <c r="B1564" t="s">
        <v>60</v>
      </c>
      <c r="C1564" t="s">
        <v>60</v>
      </c>
      <c r="D1564" t="s">
        <v>61</v>
      </c>
      <c r="E1564" t="s">
        <v>289</v>
      </c>
      <c r="F1564" s="1">
        <v>42886</v>
      </c>
      <c r="G1564" s="2">
        <v>89.8</v>
      </c>
      <c r="H1564" s="2"/>
      <c r="I1564" s="2">
        <v>1.0900000000000001</v>
      </c>
      <c r="J1564" s="2"/>
      <c r="K1564" s="2"/>
      <c r="L1564" s="2"/>
      <c r="M1564" s="2">
        <v>824.2</v>
      </c>
      <c r="N1564" s="2">
        <f ca="1">INDEX(INDIRECT(_xlfn.CONCAT("weather.tbl[",N$1,"]")),MATCH(vp.tbl[[#This Row],[SDate]],weather.tbl[Date],0))</f>
        <v>13.600000000000001</v>
      </c>
      <c r="O1564" s="2">
        <f ca="1">INDEX(INDIRECT(_xlfn.CONCAT("weather.tbl[",O$1,"]")),MATCH(vp.tbl[[#This Row],[SDate]],weather.tbl[Date],0))</f>
        <v>12.745238095238095</v>
      </c>
      <c r="P1564" s="2">
        <f ca="1">INDEX(INDIRECT(_xlfn.CONCAT("weather.tbl[",P$1,"]")),MATCH(vp.tbl[[#This Row],[SDate]],weather.tbl[Date],0))</f>
        <v>13.9</v>
      </c>
      <c r="Q1564" s="2">
        <f ca="1">INDEX(INDIRECT(_xlfn.CONCAT("weather.tbl[",Q$1,"]")),MATCH(vp.tbl[[#This Row],[SDate]],weather.tbl[Date],0))</f>
        <v>13.7</v>
      </c>
      <c r="R1564" s="2">
        <f ca="1">INDEX(INDIRECT(_xlfn.CONCAT("weather.tbl[",R$1,"]")),MATCH(vp.tbl[[#This Row],[SDate]],weather.tbl[Date],0))</f>
        <v>12.8</v>
      </c>
      <c r="S1564" s="2">
        <f ca="1">INDEX(INDIRECT(_xlfn.CONCAT("weather.tbl[",S$1,"]")),MATCH(vp.tbl[[#This Row],[SDate]],weather.tbl[Date],0))</f>
        <v>13.5</v>
      </c>
      <c r="T1564" s="2">
        <f ca="1">INDEX(INDIRECT(_xlfn.CONCAT("weather.tbl[",T$1,"]")),MATCH(vp.tbl[[#This Row],[SDate]],weather.tbl[Date],0))</f>
        <v>14.2</v>
      </c>
      <c r="U1564" s="2">
        <f ca="1">INDEX(INDIRECT(_xlfn.CONCAT("weather.tbl[",U$1,"]")),MATCH(vp.tbl[[#This Row],[SDate]],weather.tbl[Date],0))</f>
        <v>13.5</v>
      </c>
      <c r="V1564" s="2">
        <v>118292.008</v>
      </c>
      <c r="W1564" t="s">
        <v>48</v>
      </c>
      <c r="X1564">
        <f>IF(OR(vp.tbl[[#This Row],[Sulf]]="",vp.tbl[[#This Row],[Dens]]=""),1,0)</f>
        <v>0</v>
      </c>
      <c r="Y1564">
        <f>IF(vp.tbl[[#This Row],[CrudeType]]="C5+",1,0)</f>
        <v>0</v>
      </c>
      <c r="Z1564">
        <f>IF(AND(vp.tbl[[#This Row],[CrudeType]]="Crude",vp.tbl[[#This Row],[Dens]]&lt;=825,vp.tbl[[#This Row],[Sulf]]&gt;0.5,vp.tbl[[#This Row],[Unknown]]=0),1,0)</f>
        <v>1</v>
      </c>
      <c r="AA1564">
        <f>IF(AND(vp.tbl[[#This Row],[CrudeType]]="Crude",vp.tbl[[#This Row],[Dens]]&lt;=825,vp.tbl[[#This Row],[Sulf]]&lt;=0.5,vp.tbl[[#This Row],[Unknown]]=0),1,0)</f>
        <v>0</v>
      </c>
      <c r="AB1564">
        <f>IF(AND(vp.tbl[[#This Row],[CrudeType]]="Crude",vp.tbl[[#This Row],[Dens]]&gt;825,vp.tbl[[#This Row],[Dens]]&lt;=870,vp.tbl[[#This Row],[Sulf]]&gt;0.5,vp.tbl[[#This Row],[Unknown]]=0),1,0)</f>
        <v>0</v>
      </c>
      <c r="AC1564">
        <f>IF(AND(vp.tbl[[#This Row],[CrudeType]]="Crude",vp.tbl[[#This Row],[Dens]]&gt;825,vp.tbl[[#This Row],[Dens]]&lt;=900,vp.tbl[[#This Row],[Sulf]]&lt;=0.5,vp.tbl[[#This Row],[Unknown]]=0),1,0)</f>
        <v>0</v>
      </c>
      <c r="AD1564">
        <f>IF(AND(vp.tbl[[#This Row],[CrudeType]]="Crude",vp.tbl[[#This Row],[Dens]]&gt;870,vp.tbl[[#This Row],[Dens]]&lt;=900,vp.tbl[[#This Row],[Sulf]]&gt;0.5,vp.tbl[[#This Row],[Unknown]]=0),1,0)</f>
        <v>0</v>
      </c>
      <c r="AE1564">
        <f>IF(AND(vp.tbl[[#This Row],[CrudeType]]="Crude",vp.tbl[[#This Row],[Dens]]&gt;900,vp.tbl[[#This Row],[Sulf]]&lt;=0.5,vp.tbl[[#This Row],[Unknown]]=0),1,0)</f>
        <v>0</v>
      </c>
      <c r="AF1564">
        <f>IF(AND(vp.tbl[[#This Row],[CrudeType]]="Crude",vp.tbl[[#This Row],[Dens]]&gt;900,vp.tbl[[#This Row],[Sulf]]&lt;=0.5,vp.tbl[[#This Row],[Unknown]]=0),1,0)</f>
        <v>0</v>
      </c>
      <c r="AG1564" t="str">
        <f>INDEX(vp.tbl[[#Headers],[Unknown]:[Heavy_SW]],MATCH(1,vp.tbl[[#This Row],[Unknown]:[Heavy_SW]],0))</f>
        <v>Light_LSB</v>
      </c>
      <c r="AH1564" t="e">
        <f>INDEX([1]!crudeBD.lkup[Number],MATCH(vp.tbl[[#This Row],[Crude_Breakdown]],[1]!crudeBD.lkup[Crude Breakdown],0))</f>
        <v>#REF!</v>
      </c>
      <c r="AI1564">
        <f>MONTH(vp.tbl[[#This Row],[SDate]])</f>
        <v>5</v>
      </c>
      <c r="AJ1564" s="5">
        <f>IFERROR(vp.tbl[[#This Row],[Sulf]]*vp.tbl[[#This Row],[Net Dens]],"")</f>
        <v>106270937.56302401</v>
      </c>
      <c r="AK1564" s="5">
        <f>IFERROR(vp.tbl[[#This Row],[Dens]]*vp.tbl[[#This Row],[VolumeM3]],"")</f>
        <v>97496272.993600011</v>
      </c>
      <c r="AL1564" s="5">
        <f>IFERROR(vp.tbl[[#This Row],[VP]]*vp.tbl[[#This Row],[VolumeM3]],"")</f>
        <v>10622622.318399999</v>
      </c>
      <c r="AM1564" s="4">
        <f>IFERROR((vp.tbl[[#This Row],[VP]]-INDEX(crudeBD.lkup.complete[Mean_VP],MATCH(vp.tbl[[#This Row],[Crude_Breakdown]],crudeBD.lkup.complete[Crude Breakdown],0)))^2,"")</f>
        <v>3.049164034435234</v>
      </c>
      <c r="AN1564" s="4">
        <f>IFERROR((vp.tbl[[#This Row],[Dens]]-INDEX(crudeBD.lkup.complete[Mean_Dens],MATCH(vp.tbl[[#This Row],[Crude_Breakdown]],crudeBD.lkup.complete[Crude Breakdown],0)))^2,"")</f>
        <v>32.299105967104147</v>
      </c>
      <c r="AO1564" s="4">
        <f>IFERROR((vp.tbl[[#This Row],[Sulf]]-INDEX(crudeBD.lkup.complete[Mean_Sulf],MATCH(vp.tbl[[#This Row],[Crude_Breakdown]],crudeBD.lkup.complete[Crude Breakdown],0)))^2,"")</f>
        <v>2.7898630590712313E-2</v>
      </c>
      <c r="AP1564">
        <f>IF(AND(vp.tbl[[#This Row],[SDate]]&gt;=DATE(YEAR(vp.tbl[[#This Row],[SDate]]),5,1),vp.tbl[[#This Row],[SDate]]&lt;=DATE(YEAR(vp.tbl[[#This Row],[SDate]]),9,15)),1,0)</f>
        <v>1</v>
      </c>
      <c r="AQ1564" s="15">
        <f>IF(vp.tbl[[#This Row],[SDate]]&lt;DATE(2016,12,1),0,1)</f>
        <v>1</v>
      </c>
    </row>
    <row r="1565" spans="1:43" x14ac:dyDescent="0.25">
      <c r="A1565">
        <v>1564</v>
      </c>
      <c r="B1565" t="s">
        <v>60</v>
      </c>
      <c r="C1565" t="s">
        <v>60</v>
      </c>
      <c r="D1565" t="s">
        <v>61</v>
      </c>
      <c r="E1565" t="s">
        <v>290</v>
      </c>
      <c r="F1565" s="1">
        <v>42886</v>
      </c>
      <c r="G1565" s="2">
        <v>72.900000000000006</v>
      </c>
      <c r="H1565" s="2"/>
      <c r="I1565" s="2">
        <v>1.0900000000000001</v>
      </c>
      <c r="J1565" s="2"/>
      <c r="K1565" s="2"/>
      <c r="L1565" s="2"/>
      <c r="M1565" s="2">
        <v>824.2</v>
      </c>
      <c r="N1565" s="2">
        <f ca="1">INDEX(INDIRECT(_xlfn.CONCAT("weather.tbl[",N$1,"]")),MATCH(vp.tbl[[#This Row],[SDate]],weather.tbl[Date],0))</f>
        <v>13.600000000000001</v>
      </c>
      <c r="O1565" s="2">
        <f ca="1">INDEX(INDIRECT(_xlfn.CONCAT("weather.tbl[",O$1,"]")),MATCH(vp.tbl[[#This Row],[SDate]],weather.tbl[Date],0))</f>
        <v>12.745238095238095</v>
      </c>
      <c r="P1565" s="2">
        <f ca="1">INDEX(INDIRECT(_xlfn.CONCAT("weather.tbl[",P$1,"]")),MATCH(vp.tbl[[#This Row],[SDate]],weather.tbl[Date],0))</f>
        <v>13.9</v>
      </c>
      <c r="Q1565" s="2">
        <f ca="1">INDEX(INDIRECT(_xlfn.CONCAT("weather.tbl[",Q$1,"]")),MATCH(vp.tbl[[#This Row],[SDate]],weather.tbl[Date],0))</f>
        <v>13.7</v>
      </c>
      <c r="R1565" s="2">
        <f ca="1">INDEX(INDIRECT(_xlfn.CONCAT("weather.tbl[",R$1,"]")),MATCH(vp.tbl[[#This Row],[SDate]],weather.tbl[Date],0))</f>
        <v>12.8</v>
      </c>
      <c r="S1565" s="2">
        <f ca="1">INDEX(INDIRECT(_xlfn.CONCAT("weather.tbl[",S$1,"]")),MATCH(vp.tbl[[#This Row],[SDate]],weather.tbl[Date],0))</f>
        <v>13.5</v>
      </c>
      <c r="T1565" s="2">
        <f ca="1">INDEX(INDIRECT(_xlfn.CONCAT("weather.tbl[",T$1,"]")),MATCH(vp.tbl[[#This Row],[SDate]],weather.tbl[Date],0))</f>
        <v>14.2</v>
      </c>
      <c r="U1565" s="2">
        <f ca="1">INDEX(INDIRECT(_xlfn.CONCAT("weather.tbl[",U$1,"]")),MATCH(vp.tbl[[#This Row],[SDate]],weather.tbl[Date],0))</f>
        <v>13.5</v>
      </c>
      <c r="V1565" s="2">
        <v>118292.008</v>
      </c>
      <c r="W1565" t="s">
        <v>48</v>
      </c>
      <c r="X1565">
        <f>IF(OR(vp.tbl[[#This Row],[Sulf]]="",vp.tbl[[#This Row],[Dens]]=""),1,0)</f>
        <v>0</v>
      </c>
      <c r="Y1565">
        <f>IF(vp.tbl[[#This Row],[CrudeType]]="C5+",1,0)</f>
        <v>0</v>
      </c>
      <c r="Z1565">
        <f>IF(AND(vp.tbl[[#This Row],[CrudeType]]="Crude",vp.tbl[[#This Row],[Dens]]&lt;=825,vp.tbl[[#This Row],[Sulf]]&gt;0.5,vp.tbl[[#This Row],[Unknown]]=0),1,0)</f>
        <v>1</v>
      </c>
      <c r="AA1565">
        <f>IF(AND(vp.tbl[[#This Row],[CrudeType]]="Crude",vp.tbl[[#This Row],[Dens]]&lt;=825,vp.tbl[[#This Row],[Sulf]]&lt;=0.5,vp.tbl[[#This Row],[Unknown]]=0),1,0)</f>
        <v>0</v>
      </c>
      <c r="AB1565">
        <f>IF(AND(vp.tbl[[#This Row],[CrudeType]]="Crude",vp.tbl[[#This Row],[Dens]]&gt;825,vp.tbl[[#This Row],[Dens]]&lt;=870,vp.tbl[[#This Row],[Sulf]]&gt;0.5,vp.tbl[[#This Row],[Unknown]]=0),1,0)</f>
        <v>0</v>
      </c>
      <c r="AC1565">
        <f>IF(AND(vp.tbl[[#This Row],[CrudeType]]="Crude",vp.tbl[[#This Row],[Dens]]&gt;825,vp.tbl[[#This Row],[Dens]]&lt;=900,vp.tbl[[#This Row],[Sulf]]&lt;=0.5,vp.tbl[[#This Row],[Unknown]]=0),1,0)</f>
        <v>0</v>
      </c>
      <c r="AD1565">
        <f>IF(AND(vp.tbl[[#This Row],[CrudeType]]="Crude",vp.tbl[[#This Row],[Dens]]&gt;870,vp.tbl[[#This Row],[Dens]]&lt;=900,vp.tbl[[#This Row],[Sulf]]&gt;0.5,vp.tbl[[#This Row],[Unknown]]=0),1,0)</f>
        <v>0</v>
      </c>
      <c r="AE1565">
        <f>IF(AND(vp.tbl[[#This Row],[CrudeType]]="Crude",vp.tbl[[#This Row],[Dens]]&gt;900,vp.tbl[[#This Row],[Sulf]]&lt;=0.5,vp.tbl[[#This Row],[Unknown]]=0),1,0)</f>
        <v>0</v>
      </c>
      <c r="AF1565">
        <f>IF(AND(vp.tbl[[#This Row],[CrudeType]]="Crude",vp.tbl[[#This Row],[Dens]]&gt;900,vp.tbl[[#This Row],[Sulf]]&lt;=0.5,vp.tbl[[#This Row],[Unknown]]=0),1,0)</f>
        <v>0</v>
      </c>
      <c r="AG1565" t="str">
        <f>INDEX(vp.tbl[[#Headers],[Unknown]:[Heavy_SW]],MATCH(1,vp.tbl[[#This Row],[Unknown]:[Heavy_SW]],0))</f>
        <v>Light_LSB</v>
      </c>
      <c r="AH1565" t="e">
        <f>INDEX([1]!crudeBD.lkup[Number],MATCH(vp.tbl[[#This Row],[Crude_Breakdown]],[1]!crudeBD.lkup[Crude Breakdown],0))</f>
        <v>#REF!</v>
      </c>
      <c r="AI1565">
        <f>MONTH(vp.tbl[[#This Row],[SDate]])</f>
        <v>5</v>
      </c>
      <c r="AJ1565" s="5">
        <f>IFERROR(vp.tbl[[#This Row],[Sulf]]*vp.tbl[[#This Row],[Net Dens]],"")</f>
        <v>106270937.56302401</v>
      </c>
      <c r="AK1565" s="5">
        <f>IFERROR(vp.tbl[[#This Row],[Dens]]*vp.tbl[[#This Row],[VolumeM3]],"")</f>
        <v>97496272.993600011</v>
      </c>
      <c r="AL1565" s="5">
        <f>IFERROR(vp.tbl[[#This Row],[VP]]*vp.tbl[[#This Row],[VolumeM3]],"")</f>
        <v>8623487.383200001</v>
      </c>
      <c r="AM1565" s="4">
        <f>IFERROR((vp.tbl[[#This Row],[VP]]-INDEX(crudeBD.lkup.complete[Mean_VP],MATCH(vp.tbl[[#This Row],[Crude_Breakdown]],crudeBD.lkup.complete[Crude Breakdown],0)))^2,"")</f>
        <v>347.68023619938452</v>
      </c>
      <c r="AN1565" s="4">
        <f>IFERROR((vp.tbl[[#This Row],[Dens]]-INDEX(crudeBD.lkup.complete[Mean_Dens],MATCH(vp.tbl[[#This Row],[Crude_Breakdown]],crudeBD.lkup.complete[Crude Breakdown],0)))^2,"")</f>
        <v>32.299105967104147</v>
      </c>
      <c r="AO1565" s="4">
        <f>IFERROR((vp.tbl[[#This Row],[Sulf]]-INDEX(crudeBD.lkup.complete[Mean_Sulf],MATCH(vp.tbl[[#This Row],[Crude_Breakdown]],crudeBD.lkup.complete[Crude Breakdown],0)))^2,"")</f>
        <v>2.7898630590712313E-2</v>
      </c>
      <c r="AP1565">
        <f>IF(AND(vp.tbl[[#This Row],[SDate]]&gt;=DATE(YEAR(vp.tbl[[#This Row],[SDate]]),5,1),vp.tbl[[#This Row],[SDate]]&lt;=DATE(YEAR(vp.tbl[[#This Row],[SDate]]),9,15)),1,0)</f>
        <v>1</v>
      </c>
      <c r="AQ1565" s="15">
        <f>IF(vp.tbl[[#This Row],[SDate]]&lt;DATE(2016,12,1),0,1)</f>
        <v>1</v>
      </c>
    </row>
    <row r="1566" spans="1:43" x14ac:dyDescent="0.25">
      <c r="A1566">
        <v>1565</v>
      </c>
      <c r="B1566" t="s">
        <v>49</v>
      </c>
      <c r="C1566" t="s">
        <v>49</v>
      </c>
      <c r="D1566" t="s">
        <v>90</v>
      </c>
      <c r="F1566" s="1">
        <v>42886</v>
      </c>
      <c r="G1566" s="2">
        <v>66.2</v>
      </c>
      <c r="H1566" s="2"/>
      <c r="I1566" s="2">
        <v>1.28</v>
      </c>
      <c r="J1566" s="2"/>
      <c r="K1566" s="2"/>
      <c r="L1566" s="2"/>
      <c r="M1566" s="2">
        <v>847.4</v>
      </c>
      <c r="N1566" s="2">
        <f ca="1">INDEX(INDIRECT(_xlfn.CONCAT("weather.tbl[",N$1,"]")),MATCH(vp.tbl[[#This Row],[SDate]],weather.tbl[Date],0))</f>
        <v>13.600000000000001</v>
      </c>
      <c r="O1566" s="2">
        <f ca="1">INDEX(INDIRECT(_xlfn.CONCAT("weather.tbl[",O$1,"]")),MATCH(vp.tbl[[#This Row],[SDate]],weather.tbl[Date],0))</f>
        <v>12.745238095238095</v>
      </c>
      <c r="P1566" s="2">
        <f ca="1">INDEX(INDIRECT(_xlfn.CONCAT("weather.tbl[",P$1,"]")),MATCH(vp.tbl[[#This Row],[SDate]],weather.tbl[Date],0))</f>
        <v>13.9</v>
      </c>
      <c r="Q1566" s="2">
        <f ca="1">INDEX(INDIRECT(_xlfn.CONCAT("weather.tbl[",Q$1,"]")),MATCH(vp.tbl[[#This Row],[SDate]],weather.tbl[Date],0))</f>
        <v>13.7</v>
      </c>
      <c r="R1566" s="2">
        <f ca="1">INDEX(INDIRECT(_xlfn.CONCAT("weather.tbl[",R$1,"]")),MATCH(vp.tbl[[#This Row],[SDate]],weather.tbl[Date],0))</f>
        <v>12.8</v>
      </c>
      <c r="S1566" s="2">
        <f ca="1">INDEX(INDIRECT(_xlfn.CONCAT("weather.tbl[",S$1,"]")),MATCH(vp.tbl[[#This Row],[SDate]],weather.tbl[Date],0))</f>
        <v>13.5</v>
      </c>
      <c r="T1566" s="2">
        <f ca="1">INDEX(INDIRECT(_xlfn.CONCAT("weather.tbl[",T$1,"]")),MATCH(vp.tbl[[#This Row],[SDate]],weather.tbl[Date],0))</f>
        <v>14.2</v>
      </c>
      <c r="U1566" s="2">
        <f ca="1">INDEX(INDIRECT(_xlfn.CONCAT("weather.tbl[",U$1,"]")),MATCH(vp.tbl[[#This Row],[SDate]],weather.tbl[Date],0))</f>
        <v>13.5</v>
      </c>
      <c r="V1566" s="2">
        <v>4681.2809999999999</v>
      </c>
      <c r="W1566" t="s">
        <v>48</v>
      </c>
      <c r="X1566">
        <f>IF(OR(vp.tbl[[#This Row],[Sulf]]="",vp.tbl[[#This Row],[Dens]]=""),1,0)</f>
        <v>0</v>
      </c>
      <c r="Y1566">
        <f>IF(vp.tbl[[#This Row],[CrudeType]]="C5+",1,0)</f>
        <v>0</v>
      </c>
      <c r="Z1566">
        <f>IF(AND(vp.tbl[[#This Row],[CrudeType]]="Crude",vp.tbl[[#This Row],[Dens]]&lt;=825,vp.tbl[[#This Row],[Sulf]]&gt;0.5,vp.tbl[[#This Row],[Unknown]]=0),1,0)</f>
        <v>0</v>
      </c>
      <c r="AA1566">
        <f>IF(AND(vp.tbl[[#This Row],[CrudeType]]="Crude",vp.tbl[[#This Row],[Dens]]&lt;=825,vp.tbl[[#This Row],[Sulf]]&lt;=0.5,vp.tbl[[#This Row],[Unknown]]=0),1,0)</f>
        <v>0</v>
      </c>
      <c r="AB1566">
        <f>IF(AND(vp.tbl[[#This Row],[CrudeType]]="Crude",vp.tbl[[#This Row],[Dens]]&gt;825,vp.tbl[[#This Row],[Dens]]&lt;=870,vp.tbl[[#This Row],[Sulf]]&gt;0.5,vp.tbl[[#This Row],[Unknown]]=0),1,0)</f>
        <v>1</v>
      </c>
      <c r="AC1566">
        <f>IF(AND(vp.tbl[[#This Row],[CrudeType]]="Crude",vp.tbl[[#This Row],[Dens]]&gt;825,vp.tbl[[#This Row],[Dens]]&lt;=900,vp.tbl[[#This Row],[Sulf]]&lt;=0.5,vp.tbl[[#This Row],[Unknown]]=0),1,0)</f>
        <v>0</v>
      </c>
      <c r="AD1566">
        <f>IF(AND(vp.tbl[[#This Row],[CrudeType]]="Crude",vp.tbl[[#This Row],[Dens]]&gt;870,vp.tbl[[#This Row],[Dens]]&lt;=900,vp.tbl[[#This Row],[Sulf]]&gt;0.5,vp.tbl[[#This Row],[Unknown]]=0),1,0)</f>
        <v>0</v>
      </c>
      <c r="AE1566">
        <f>IF(AND(vp.tbl[[#This Row],[CrudeType]]="Crude",vp.tbl[[#This Row],[Dens]]&gt;900,vp.tbl[[#This Row],[Sulf]]&lt;=0.5,vp.tbl[[#This Row],[Unknown]]=0),1,0)</f>
        <v>0</v>
      </c>
      <c r="AF1566">
        <f>IF(AND(vp.tbl[[#This Row],[CrudeType]]="Crude",vp.tbl[[#This Row],[Dens]]&gt;900,vp.tbl[[#This Row],[Sulf]]&lt;=0.5,vp.tbl[[#This Row],[Unknown]]=0),1,0)</f>
        <v>0</v>
      </c>
      <c r="AG1566" t="str">
        <f>INDEX(vp.tbl[[#Headers],[Unknown]:[Heavy_SW]],MATCH(1,vp.tbl[[#This Row],[Unknown]:[Heavy_SW]],0))</f>
        <v>Medium_LSB</v>
      </c>
      <c r="AH1566" t="e">
        <f>INDEX([1]!crudeBD.lkup[Number],MATCH(vp.tbl[[#This Row],[Crude_Breakdown]],[1]!crudeBD.lkup[Crude Breakdown],0))</f>
        <v>#REF!</v>
      </c>
      <c r="AI1566">
        <f>MONTH(vp.tbl[[#This Row],[SDate]])</f>
        <v>5</v>
      </c>
      <c r="AJ1566" s="5">
        <f>IFERROR(vp.tbl[[#This Row],[Sulf]]*vp.tbl[[#This Row],[Net Dens]],"")</f>
        <v>5077654.4248319995</v>
      </c>
      <c r="AK1566" s="5">
        <f>IFERROR(vp.tbl[[#This Row],[Dens]]*vp.tbl[[#This Row],[VolumeM3]],"")</f>
        <v>3966917.5193999996</v>
      </c>
      <c r="AL1566" s="5">
        <f>IFERROR(vp.tbl[[#This Row],[VP]]*vp.tbl[[#This Row],[VolumeM3]],"")</f>
        <v>309900.80220000003</v>
      </c>
      <c r="AM1566" s="4">
        <f>IFERROR((vp.tbl[[#This Row],[VP]]-INDEX(crudeBD.lkup.complete[Mean_VP],MATCH(vp.tbl[[#This Row],[Crude_Breakdown]],crudeBD.lkup.complete[Crude Breakdown],0)))^2,"")</f>
        <v>195.26135545521441</v>
      </c>
      <c r="AN1566" s="4">
        <f>IFERROR((vp.tbl[[#This Row],[Dens]]-INDEX(crudeBD.lkup.complete[Mean_Dens],MATCH(vp.tbl[[#This Row],[Crude_Breakdown]],crudeBD.lkup.complete[Crude Breakdown],0)))^2,"")</f>
        <v>4.4444111706497855</v>
      </c>
      <c r="AO1566" s="4">
        <f>IFERROR((vp.tbl[[#This Row],[Sulf]]-INDEX(crudeBD.lkup.complete[Mean_Sulf],MATCH(vp.tbl[[#This Row],[Crude_Breakdown]],crudeBD.lkup.complete[Crude Breakdown],0)))^2,"")</f>
        <v>3.0600456185336352E-2</v>
      </c>
      <c r="AP1566">
        <f>IF(AND(vp.tbl[[#This Row],[SDate]]&gt;=DATE(YEAR(vp.tbl[[#This Row],[SDate]]),5,1),vp.tbl[[#This Row],[SDate]]&lt;=DATE(YEAR(vp.tbl[[#This Row],[SDate]]),9,15)),1,0)</f>
        <v>1</v>
      </c>
      <c r="AQ1566" s="15">
        <f>IF(vp.tbl[[#This Row],[SDate]]&lt;DATE(2016,12,1),0,1)</f>
        <v>1</v>
      </c>
    </row>
    <row r="1567" spans="1:43" x14ac:dyDescent="0.25">
      <c r="A1567">
        <v>1566</v>
      </c>
      <c r="B1567" t="s">
        <v>49</v>
      </c>
      <c r="C1567" t="s">
        <v>49</v>
      </c>
      <c r="D1567" t="s">
        <v>100</v>
      </c>
      <c r="F1567" s="1">
        <v>42886</v>
      </c>
      <c r="G1567" s="2">
        <v>81.900000000000006</v>
      </c>
      <c r="H1567" s="2"/>
      <c r="I1567" s="2">
        <v>0.75</v>
      </c>
      <c r="J1567" s="2"/>
      <c r="K1567" s="2"/>
      <c r="L1567" s="2"/>
      <c r="M1567" s="2">
        <v>823.6</v>
      </c>
      <c r="N1567" s="2">
        <f ca="1">INDEX(INDIRECT(_xlfn.CONCAT("weather.tbl[",N$1,"]")),MATCH(vp.tbl[[#This Row],[SDate]],weather.tbl[Date],0))</f>
        <v>13.600000000000001</v>
      </c>
      <c r="O1567" s="2">
        <f ca="1">INDEX(INDIRECT(_xlfn.CONCAT("weather.tbl[",O$1,"]")),MATCH(vp.tbl[[#This Row],[SDate]],weather.tbl[Date],0))</f>
        <v>12.745238095238095</v>
      </c>
      <c r="P1567" s="2">
        <f ca="1">INDEX(INDIRECT(_xlfn.CONCAT("weather.tbl[",P$1,"]")),MATCH(vp.tbl[[#This Row],[SDate]],weather.tbl[Date],0))</f>
        <v>13.9</v>
      </c>
      <c r="Q1567" s="2">
        <f ca="1">INDEX(INDIRECT(_xlfn.CONCAT("weather.tbl[",Q$1,"]")),MATCH(vp.tbl[[#This Row],[SDate]],weather.tbl[Date],0))</f>
        <v>13.7</v>
      </c>
      <c r="R1567" s="2">
        <f ca="1">INDEX(INDIRECT(_xlfn.CONCAT("weather.tbl[",R$1,"]")),MATCH(vp.tbl[[#This Row],[SDate]],weather.tbl[Date],0))</f>
        <v>12.8</v>
      </c>
      <c r="S1567" s="2">
        <f ca="1">INDEX(INDIRECT(_xlfn.CONCAT("weather.tbl[",S$1,"]")),MATCH(vp.tbl[[#This Row],[SDate]],weather.tbl[Date],0))</f>
        <v>13.5</v>
      </c>
      <c r="T1567" s="2">
        <f ca="1">INDEX(INDIRECT(_xlfn.CONCAT("weather.tbl[",T$1,"]")),MATCH(vp.tbl[[#This Row],[SDate]],weather.tbl[Date],0))</f>
        <v>14.2</v>
      </c>
      <c r="U1567" s="2">
        <f ca="1">INDEX(INDIRECT(_xlfn.CONCAT("weather.tbl[",U$1,"]")),MATCH(vp.tbl[[#This Row],[SDate]],weather.tbl[Date],0))</f>
        <v>13.5</v>
      </c>
      <c r="V1567" s="2">
        <v>12872.544</v>
      </c>
      <c r="W1567" t="s">
        <v>48</v>
      </c>
      <c r="X1567">
        <f>IF(OR(vp.tbl[[#This Row],[Sulf]]="",vp.tbl[[#This Row],[Dens]]=""),1,0)</f>
        <v>0</v>
      </c>
      <c r="Y1567">
        <f>IF(vp.tbl[[#This Row],[CrudeType]]="C5+",1,0)</f>
        <v>0</v>
      </c>
      <c r="Z1567">
        <f>IF(AND(vp.tbl[[#This Row],[CrudeType]]="Crude",vp.tbl[[#This Row],[Dens]]&lt;=825,vp.tbl[[#This Row],[Sulf]]&gt;0.5,vp.tbl[[#This Row],[Unknown]]=0),1,0)</f>
        <v>1</v>
      </c>
      <c r="AA1567">
        <f>IF(AND(vp.tbl[[#This Row],[CrudeType]]="Crude",vp.tbl[[#This Row],[Dens]]&lt;=825,vp.tbl[[#This Row],[Sulf]]&lt;=0.5,vp.tbl[[#This Row],[Unknown]]=0),1,0)</f>
        <v>0</v>
      </c>
      <c r="AB1567">
        <f>IF(AND(vp.tbl[[#This Row],[CrudeType]]="Crude",vp.tbl[[#This Row],[Dens]]&gt;825,vp.tbl[[#This Row],[Dens]]&lt;=870,vp.tbl[[#This Row],[Sulf]]&gt;0.5,vp.tbl[[#This Row],[Unknown]]=0),1,0)</f>
        <v>0</v>
      </c>
      <c r="AC1567">
        <f>IF(AND(vp.tbl[[#This Row],[CrudeType]]="Crude",vp.tbl[[#This Row],[Dens]]&gt;825,vp.tbl[[#This Row],[Dens]]&lt;=900,vp.tbl[[#This Row],[Sulf]]&lt;=0.5,vp.tbl[[#This Row],[Unknown]]=0),1,0)</f>
        <v>0</v>
      </c>
      <c r="AD1567">
        <f>IF(AND(vp.tbl[[#This Row],[CrudeType]]="Crude",vp.tbl[[#This Row],[Dens]]&gt;870,vp.tbl[[#This Row],[Dens]]&lt;=900,vp.tbl[[#This Row],[Sulf]]&gt;0.5,vp.tbl[[#This Row],[Unknown]]=0),1,0)</f>
        <v>0</v>
      </c>
      <c r="AE1567">
        <f>IF(AND(vp.tbl[[#This Row],[CrudeType]]="Crude",vp.tbl[[#This Row],[Dens]]&gt;900,vp.tbl[[#This Row],[Sulf]]&lt;=0.5,vp.tbl[[#This Row],[Unknown]]=0),1,0)</f>
        <v>0</v>
      </c>
      <c r="AF1567">
        <f>IF(AND(vp.tbl[[#This Row],[CrudeType]]="Crude",vp.tbl[[#This Row],[Dens]]&gt;900,vp.tbl[[#This Row],[Sulf]]&lt;=0.5,vp.tbl[[#This Row],[Unknown]]=0),1,0)</f>
        <v>0</v>
      </c>
      <c r="AG1567" t="str">
        <f>INDEX(vp.tbl[[#Headers],[Unknown]:[Heavy_SW]],MATCH(1,vp.tbl[[#This Row],[Unknown]:[Heavy_SW]],0))</f>
        <v>Light_LSB</v>
      </c>
      <c r="AH1567" t="e">
        <f>INDEX([1]!crudeBD.lkup[Number],MATCH(vp.tbl[[#This Row],[Crude_Breakdown]],[1]!crudeBD.lkup[Crude Breakdown],0))</f>
        <v>#REF!</v>
      </c>
      <c r="AI1567">
        <f>MONTH(vp.tbl[[#This Row],[SDate]])</f>
        <v>5</v>
      </c>
      <c r="AJ1567" s="5">
        <f>IFERROR(vp.tbl[[#This Row],[Sulf]]*vp.tbl[[#This Row],[Net Dens]],"")</f>
        <v>7951370.4288000008</v>
      </c>
      <c r="AK1567" s="5">
        <f>IFERROR(vp.tbl[[#This Row],[Dens]]*vp.tbl[[#This Row],[VolumeM3]],"")</f>
        <v>10601827.238400001</v>
      </c>
      <c r="AL1567" s="5">
        <f>IFERROR(vp.tbl[[#This Row],[VP]]*vp.tbl[[#This Row],[VolumeM3]],"")</f>
        <v>1054261.3536</v>
      </c>
      <c r="AM1567" s="4">
        <f>IFERROR((vp.tbl[[#This Row],[VP]]-INDEX(crudeBD.lkup.complete[Mean_VP],MATCH(vp.tbl[[#This Row],[Crude_Breakdown]],crudeBD.lkup.complete[Crude Breakdown],0)))^2,"")</f>
        <v>93.048895993198485</v>
      </c>
      <c r="AN1567" s="4">
        <f>IFERROR((vp.tbl[[#This Row],[Dens]]-INDEX(crudeBD.lkup.complete[Mean_Dens],MATCH(vp.tbl[[#This Row],[Crude_Breakdown]],crudeBD.lkup.complete[Crude Breakdown],0)))^2,"")</f>
        <v>25.83922967844369</v>
      </c>
      <c r="AO1567" s="4">
        <f>IFERROR((vp.tbl[[#This Row],[Sulf]]-INDEX(crudeBD.lkup.complete[Mean_Sulf],MATCH(vp.tbl[[#This Row],[Crude_Breakdown]],crudeBD.lkup.complete[Crude Breakdown],0)))^2,"")</f>
        <v>2.9919025092430326E-2</v>
      </c>
      <c r="AP1567">
        <f>IF(AND(vp.tbl[[#This Row],[SDate]]&gt;=DATE(YEAR(vp.tbl[[#This Row],[SDate]]),5,1),vp.tbl[[#This Row],[SDate]]&lt;=DATE(YEAR(vp.tbl[[#This Row],[SDate]]),9,15)),1,0)</f>
        <v>1</v>
      </c>
      <c r="AQ1567" s="15">
        <f>IF(vp.tbl[[#This Row],[SDate]]&lt;DATE(2016,12,1),0,1)</f>
        <v>1</v>
      </c>
    </row>
    <row r="1568" spans="1:43" x14ac:dyDescent="0.25">
      <c r="A1568">
        <v>1567</v>
      </c>
      <c r="B1568" t="s">
        <v>49</v>
      </c>
      <c r="C1568" t="s">
        <v>49</v>
      </c>
      <c r="D1568" t="s">
        <v>80</v>
      </c>
      <c r="F1568" s="1">
        <v>42886</v>
      </c>
      <c r="G1568" s="2">
        <v>82.2</v>
      </c>
      <c r="H1568" s="2"/>
      <c r="I1568" s="2">
        <v>0.76</v>
      </c>
      <c r="J1568" s="2"/>
      <c r="K1568" s="2"/>
      <c r="L1568" s="2"/>
      <c r="M1568" s="2">
        <v>822.4</v>
      </c>
      <c r="N1568" s="2">
        <f ca="1">INDEX(INDIRECT(_xlfn.CONCAT("weather.tbl[",N$1,"]")),MATCH(vp.tbl[[#This Row],[SDate]],weather.tbl[Date],0))</f>
        <v>13.600000000000001</v>
      </c>
      <c r="O1568" s="2">
        <f ca="1">INDEX(INDIRECT(_xlfn.CONCAT("weather.tbl[",O$1,"]")),MATCH(vp.tbl[[#This Row],[SDate]],weather.tbl[Date],0))</f>
        <v>12.745238095238095</v>
      </c>
      <c r="P1568" s="2">
        <f ca="1">INDEX(INDIRECT(_xlfn.CONCAT("weather.tbl[",P$1,"]")),MATCH(vp.tbl[[#This Row],[SDate]],weather.tbl[Date],0))</f>
        <v>13.9</v>
      </c>
      <c r="Q1568" s="2">
        <f ca="1">INDEX(INDIRECT(_xlfn.CONCAT("weather.tbl[",Q$1,"]")),MATCH(vp.tbl[[#This Row],[SDate]],weather.tbl[Date],0))</f>
        <v>13.7</v>
      </c>
      <c r="R1568" s="2">
        <f ca="1">INDEX(INDIRECT(_xlfn.CONCAT("weather.tbl[",R$1,"]")),MATCH(vp.tbl[[#This Row],[SDate]],weather.tbl[Date],0))</f>
        <v>12.8</v>
      </c>
      <c r="S1568" s="2">
        <f ca="1">INDEX(INDIRECT(_xlfn.CONCAT("weather.tbl[",S$1,"]")),MATCH(vp.tbl[[#This Row],[SDate]],weather.tbl[Date],0))</f>
        <v>13.5</v>
      </c>
      <c r="T1568" s="2">
        <f ca="1">INDEX(INDIRECT(_xlfn.CONCAT("weather.tbl[",T$1,"]")),MATCH(vp.tbl[[#This Row],[SDate]],weather.tbl[Date],0))</f>
        <v>14.2</v>
      </c>
      <c r="U1568" s="2">
        <f ca="1">INDEX(INDIRECT(_xlfn.CONCAT("weather.tbl[",U$1,"]")),MATCH(vp.tbl[[#This Row],[SDate]],weather.tbl[Date],0))</f>
        <v>13.5</v>
      </c>
      <c r="V1568" s="2">
        <v>22699.566999999999</v>
      </c>
      <c r="W1568" t="s">
        <v>48</v>
      </c>
      <c r="X1568">
        <f>IF(OR(vp.tbl[[#This Row],[Sulf]]="",vp.tbl[[#This Row],[Dens]]=""),1,0)</f>
        <v>0</v>
      </c>
      <c r="Y1568">
        <f>IF(vp.tbl[[#This Row],[CrudeType]]="C5+",1,0)</f>
        <v>0</v>
      </c>
      <c r="Z1568">
        <f>IF(AND(vp.tbl[[#This Row],[CrudeType]]="Crude",vp.tbl[[#This Row],[Dens]]&lt;=825,vp.tbl[[#This Row],[Sulf]]&gt;0.5,vp.tbl[[#This Row],[Unknown]]=0),1,0)</f>
        <v>1</v>
      </c>
      <c r="AA1568">
        <f>IF(AND(vp.tbl[[#This Row],[CrudeType]]="Crude",vp.tbl[[#This Row],[Dens]]&lt;=825,vp.tbl[[#This Row],[Sulf]]&lt;=0.5,vp.tbl[[#This Row],[Unknown]]=0),1,0)</f>
        <v>0</v>
      </c>
      <c r="AB1568">
        <f>IF(AND(vp.tbl[[#This Row],[CrudeType]]="Crude",vp.tbl[[#This Row],[Dens]]&gt;825,vp.tbl[[#This Row],[Dens]]&lt;=870,vp.tbl[[#This Row],[Sulf]]&gt;0.5,vp.tbl[[#This Row],[Unknown]]=0),1,0)</f>
        <v>0</v>
      </c>
      <c r="AC1568">
        <f>IF(AND(vp.tbl[[#This Row],[CrudeType]]="Crude",vp.tbl[[#This Row],[Dens]]&gt;825,vp.tbl[[#This Row],[Dens]]&lt;=900,vp.tbl[[#This Row],[Sulf]]&lt;=0.5,vp.tbl[[#This Row],[Unknown]]=0),1,0)</f>
        <v>0</v>
      </c>
      <c r="AD1568">
        <f>IF(AND(vp.tbl[[#This Row],[CrudeType]]="Crude",vp.tbl[[#This Row],[Dens]]&gt;870,vp.tbl[[#This Row],[Dens]]&lt;=900,vp.tbl[[#This Row],[Sulf]]&gt;0.5,vp.tbl[[#This Row],[Unknown]]=0),1,0)</f>
        <v>0</v>
      </c>
      <c r="AE1568">
        <f>IF(AND(vp.tbl[[#This Row],[CrudeType]]="Crude",vp.tbl[[#This Row],[Dens]]&gt;900,vp.tbl[[#This Row],[Sulf]]&lt;=0.5,vp.tbl[[#This Row],[Unknown]]=0),1,0)</f>
        <v>0</v>
      </c>
      <c r="AF1568">
        <f>IF(AND(vp.tbl[[#This Row],[CrudeType]]="Crude",vp.tbl[[#This Row],[Dens]]&gt;900,vp.tbl[[#This Row],[Sulf]]&lt;=0.5,vp.tbl[[#This Row],[Unknown]]=0),1,0)</f>
        <v>0</v>
      </c>
      <c r="AG1568" t="str">
        <f>INDEX(vp.tbl[[#Headers],[Unknown]:[Heavy_SW]],MATCH(1,vp.tbl[[#This Row],[Unknown]:[Heavy_SW]],0))</f>
        <v>Light_LSB</v>
      </c>
      <c r="AH1568" t="e">
        <f>INDEX([1]!crudeBD.lkup[Number],MATCH(vp.tbl[[#This Row],[Crude_Breakdown]],[1]!crudeBD.lkup[Crude Breakdown],0))</f>
        <v>#REF!</v>
      </c>
      <c r="AI1568">
        <f>MONTH(vp.tbl[[#This Row],[SDate]])</f>
        <v>5</v>
      </c>
      <c r="AJ1568" s="5">
        <f>IFERROR(vp.tbl[[#This Row],[Sulf]]*vp.tbl[[#This Row],[Net Dens]],"")</f>
        <v>14187774.164607998</v>
      </c>
      <c r="AK1568" s="5">
        <f>IFERROR(vp.tbl[[#This Row],[Dens]]*vp.tbl[[#This Row],[VolumeM3]],"")</f>
        <v>18668123.900799997</v>
      </c>
      <c r="AL1568" s="5">
        <f>IFERROR(vp.tbl[[#This Row],[VP]]*vp.tbl[[#This Row],[VolumeM3]],"")</f>
        <v>1865904.4073999999</v>
      </c>
      <c r="AM1568" s="4">
        <f>IFERROR((vp.tbl[[#This Row],[VP]]-INDEX(crudeBD.lkup.complete[Mean_VP],MATCH(vp.tbl[[#This Row],[Crude_Breakdown]],crudeBD.lkup.complete[Crude Breakdown],0)))^2,"")</f>
        <v>87.351184652992345</v>
      </c>
      <c r="AN1568" s="4">
        <f>IFERROR((vp.tbl[[#This Row],[Dens]]-INDEX(crudeBD.lkup.complete[Mean_Dens],MATCH(vp.tbl[[#This Row],[Crude_Breakdown]],crudeBD.lkup.complete[Crude Breakdown],0)))^2,"")</f>
        <v>15.07947710112294</v>
      </c>
      <c r="AO1568" s="4">
        <f>IFERROR((vp.tbl[[#This Row],[Sulf]]-INDEX(crudeBD.lkup.complete[Mean_Sulf],MATCH(vp.tbl[[#This Row],[Crude_Breakdown]],crudeBD.lkup.complete[Crude Breakdown],0)))^2,"")</f>
        <v>2.6559601724732734E-2</v>
      </c>
      <c r="AP1568">
        <f>IF(AND(vp.tbl[[#This Row],[SDate]]&gt;=DATE(YEAR(vp.tbl[[#This Row],[SDate]]),5,1),vp.tbl[[#This Row],[SDate]]&lt;=DATE(YEAR(vp.tbl[[#This Row],[SDate]]),9,15)),1,0)</f>
        <v>1</v>
      </c>
      <c r="AQ1568" s="15">
        <f>IF(vp.tbl[[#This Row],[SDate]]&lt;DATE(2016,12,1),0,1)</f>
        <v>1</v>
      </c>
    </row>
    <row r="1569" spans="1:43" x14ac:dyDescent="0.25">
      <c r="A1569">
        <v>1568</v>
      </c>
      <c r="B1569" t="s">
        <v>49</v>
      </c>
      <c r="C1569" t="s">
        <v>49</v>
      </c>
      <c r="D1569" t="s">
        <v>67</v>
      </c>
      <c r="F1569" s="1">
        <v>42886</v>
      </c>
      <c r="G1569" s="2">
        <v>82.5</v>
      </c>
      <c r="H1569" s="2"/>
      <c r="I1569" s="2">
        <v>0.63</v>
      </c>
      <c r="J1569" s="2"/>
      <c r="K1569" s="2"/>
      <c r="L1569" s="2"/>
      <c r="M1569" s="2">
        <v>822.8</v>
      </c>
      <c r="N1569" s="2">
        <f ca="1">INDEX(INDIRECT(_xlfn.CONCAT("weather.tbl[",N$1,"]")),MATCH(vp.tbl[[#This Row],[SDate]],weather.tbl[Date],0))</f>
        <v>13.600000000000001</v>
      </c>
      <c r="O1569" s="2">
        <f ca="1">INDEX(INDIRECT(_xlfn.CONCAT("weather.tbl[",O$1,"]")),MATCH(vp.tbl[[#This Row],[SDate]],weather.tbl[Date],0))</f>
        <v>12.745238095238095</v>
      </c>
      <c r="P1569" s="2">
        <f ca="1">INDEX(INDIRECT(_xlfn.CONCAT("weather.tbl[",P$1,"]")),MATCH(vp.tbl[[#This Row],[SDate]],weather.tbl[Date],0))</f>
        <v>13.9</v>
      </c>
      <c r="Q1569" s="2">
        <f ca="1">INDEX(INDIRECT(_xlfn.CONCAT("weather.tbl[",Q$1,"]")),MATCH(vp.tbl[[#This Row],[SDate]],weather.tbl[Date],0))</f>
        <v>13.7</v>
      </c>
      <c r="R1569" s="2">
        <f ca="1">INDEX(INDIRECT(_xlfn.CONCAT("weather.tbl[",R$1,"]")),MATCH(vp.tbl[[#This Row],[SDate]],weather.tbl[Date],0))</f>
        <v>12.8</v>
      </c>
      <c r="S1569" s="2">
        <f ca="1">INDEX(INDIRECT(_xlfn.CONCAT("weather.tbl[",S$1,"]")),MATCH(vp.tbl[[#This Row],[SDate]],weather.tbl[Date],0))</f>
        <v>13.5</v>
      </c>
      <c r="T1569" s="2">
        <f ca="1">INDEX(INDIRECT(_xlfn.CONCAT("weather.tbl[",T$1,"]")),MATCH(vp.tbl[[#This Row],[SDate]],weather.tbl[Date],0))</f>
        <v>14.2</v>
      </c>
      <c r="U1569" s="2">
        <f ca="1">INDEX(INDIRECT(_xlfn.CONCAT("weather.tbl[",U$1,"]")),MATCH(vp.tbl[[#This Row],[SDate]],weather.tbl[Date],0))</f>
        <v>13.5</v>
      </c>
      <c r="V1569" s="2">
        <v>152210.65299999999</v>
      </c>
      <c r="W1569" t="s">
        <v>48</v>
      </c>
      <c r="X1569">
        <f>IF(OR(vp.tbl[[#This Row],[Sulf]]="",vp.tbl[[#This Row],[Dens]]=""),1,0)</f>
        <v>0</v>
      </c>
      <c r="Y1569">
        <f>IF(vp.tbl[[#This Row],[CrudeType]]="C5+",1,0)</f>
        <v>0</v>
      </c>
      <c r="Z1569">
        <f>IF(AND(vp.tbl[[#This Row],[CrudeType]]="Crude",vp.tbl[[#This Row],[Dens]]&lt;=825,vp.tbl[[#This Row],[Sulf]]&gt;0.5,vp.tbl[[#This Row],[Unknown]]=0),1,0)</f>
        <v>1</v>
      </c>
      <c r="AA1569">
        <f>IF(AND(vp.tbl[[#This Row],[CrudeType]]="Crude",vp.tbl[[#This Row],[Dens]]&lt;=825,vp.tbl[[#This Row],[Sulf]]&lt;=0.5,vp.tbl[[#This Row],[Unknown]]=0),1,0)</f>
        <v>0</v>
      </c>
      <c r="AB1569">
        <f>IF(AND(vp.tbl[[#This Row],[CrudeType]]="Crude",vp.tbl[[#This Row],[Dens]]&gt;825,vp.tbl[[#This Row],[Dens]]&lt;=870,vp.tbl[[#This Row],[Sulf]]&gt;0.5,vp.tbl[[#This Row],[Unknown]]=0),1,0)</f>
        <v>0</v>
      </c>
      <c r="AC1569">
        <f>IF(AND(vp.tbl[[#This Row],[CrudeType]]="Crude",vp.tbl[[#This Row],[Dens]]&gt;825,vp.tbl[[#This Row],[Dens]]&lt;=900,vp.tbl[[#This Row],[Sulf]]&lt;=0.5,vp.tbl[[#This Row],[Unknown]]=0),1,0)</f>
        <v>0</v>
      </c>
      <c r="AD1569">
        <f>IF(AND(vp.tbl[[#This Row],[CrudeType]]="Crude",vp.tbl[[#This Row],[Dens]]&gt;870,vp.tbl[[#This Row],[Dens]]&lt;=900,vp.tbl[[#This Row],[Sulf]]&gt;0.5,vp.tbl[[#This Row],[Unknown]]=0),1,0)</f>
        <v>0</v>
      </c>
      <c r="AE1569">
        <f>IF(AND(vp.tbl[[#This Row],[CrudeType]]="Crude",vp.tbl[[#This Row],[Dens]]&gt;900,vp.tbl[[#This Row],[Sulf]]&lt;=0.5,vp.tbl[[#This Row],[Unknown]]=0),1,0)</f>
        <v>0</v>
      </c>
      <c r="AF1569">
        <f>IF(AND(vp.tbl[[#This Row],[CrudeType]]="Crude",vp.tbl[[#This Row],[Dens]]&gt;900,vp.tbl[[#This Row],[Sulf]]&lt;=0.5,vp.tbl[[#This Row],[Unknown]]=0),1,0)</f>
        <v>0</v>
      </c>
      <c r="AG1569" t="str">
        <f>INDEX(vp.tbl[[#Headers],[Unknown]:[Heavy_SW]],MATCH(1,vp.tbl[[#This Row],[Unknown]:[Heavy_SW]],0))</f>
        <v>Light_LSB</v>
      </c>
      <c r="AH1569" t="e">
        <f>INDEX([1]!crudeBD.lkup[Number],MATCH(vp.tbl[[#This Row],[Crude_Breakdown]],[1]!crudeBD.lkup[Crude Breakdown],0))</f>
        <v>#REF!</v>
      </c>
      <c r="AI1569">
        <f>MONTH(vp.tbl[[#This Row],[SDate]])</f>
        <v>5</v>
      </c>
      <c r="AJ1569" s="5">
        <f>IFERROR(vp.tbl[[#This Row],[Sulf]]*vp.tbl[[#This Row],[Net Dens]],"")</f>
        <v>78900522.931691989</v>
      </c>
      <c r="AK1569" s="5">
        <f>IFERROR(vp.tbl[[#This Row],[Dens]]*vp.tbl[[#This Row],[VolumeM3]],"")</f>
        <v>125238925.28839998</v>
      </c>
      <c r="AL1569" s="5">
        <f>IFERROR(vp.tbl[[#This Row],[VP]]*vp.tbl[[#This Row],[VolumeM3]],"")</f>
        <v>12557378.872499999</v>
      </c>
      <c r="AM1569" s="4">
        <f>IFERROR((vp.tbl[[#This Row],[VP]]-INDEX(crudeBD.lkup.complete[Mean_VP],MATCH(vp.tbl[[#This Row],[Crude_Breakdown]],crudeBD.lkup.complete[Crude Breakdown],0)))^2,"")</f>
        <v>81.833473312786197</v>
      </c>
      <c r="AN1569" s="4">
        <f>IFERROR((vp.tbl[[#This Row],[Dens]]-INDEX(crudeBD.lkup.complete[Mean_Dens],MATCH(vp.tbl[[#This Row],[Crude_Breakdown]],crudeBD.lkup.complete[Crude Breakdown],0)))^2,"")</f>
        <v>18.34606129356284</v>
      </c>
      <c r="AO1569" s="4">
        <f>IFERROR((vp.tbl[[#This Row],[Sulf]]-INDEX(crudeBD.lkup.complete[Mean_Sulf],MATCH(vp.tbl[[#This Row],[Crude_Breakdown]],crudeBD.lkup.complete[Crude Breakdown],0)))^2,"")</f>
        <v>8.5832105504801401E-2</v>
      </c>
      <c r="AP1569">
        <f>IF(AND(vp.tbl[[#This Row],[SDate]]&gt;=DATE(YEAR(vp.tbl[[#This Row],[SDate]]),5,1),vp.tbl[[#This Row],[SDate]]&lt;=DATE(YEAR(vp.tbl[[#This Row],[SDate]]),9,15)),1,0)</f>
        <v>1</v>
      </c>
      <c r="AQ1569" s="15">
        <f>IF(vp.tbl[[#This Row],[SDate]]&lt;DATE(2016,12,1),0,1)</f>
        <v>1</v>
      </c>
    </row>
    <row r="1570" spans="1:43" x14ac:dyDescent="0.25">
      <c r="A1570">
        <v>1569</v>
      </c>
      <c r="B1570" t="s">
        <v>49</v>
      </c>
      <c r="C1570" t="s">
        <v>49</v>
      </c>
      <c r="D1570" t="s">
        <v>59</v>
      </c>
      <c r="F1570" s="1">
        <v>42886</v>
      </c>
      <c r="G1570" s="2">
        <v>72.2</v>
      </c>
      <c r="H1570" s="2"/>
      <c r="I1570" s="2">
        <v>1.43</v>
      </c>
      <c r="J1570" s="2"/>
      <c r="K1570" s="2"/>
      <c r="L1570" s="2"/>
      <c r="M1570" s="2">
        <v>845</v>
      </c>
      <c r="N1570" s="2">
        <f ca="1">INDEX(INDIRECT(_xlfn.CONCAT("weather.tbl[",N$1,"]")),MATCH(vp.tbl[[#This Row],[SDate]],weather.tbl[Date],0))</f>
        <v>13.600000000000001</v>
      </c>
      <c r="O1570" s="2">
        <f ca="1">INDEX(INDIRECT(_xlfn.CONCAT("weather.tbl[",O$1,"]")),MATCH(vp.tbl[[#This Row],[SDate]],weather.tbl[Date],0))</f>
        <v>12.745238095238095</v>
      </c>
      <c r="P1570" s="2">
        <f ca="1">INDEX(INDIRECT(_xlfn.CONCAT("weather.tbl[",P$1,"]")),MATCH(vp.tbl[[#This Row],[SDate]],weather.tbl[Date],0))</f>
        <v>13.9</v>
      </c>
      <c r="Q1570" s="2">
        <f ca="1">INDEX(INDIRECT(_xlfn.CONCAT("weather.tbl[",Q$1,"]")),MATCH(vp.tbl[[#This Row],[SDate]],weather.tbl[Date],0))</f>
        <v>13.7</v>
      </c>
      <c r="R1570" s="2">
        <f ca="1">INDEX(INDIRECT(_xlfn.CONCAT("weather.tbl[",R$1,"]")),MATCH(vp.tbl[[#This Row],[SDate]],weather.tbl[Date],0))</f>
        <v>12.8</v>
      </c>
      <c r="S1570" s="2">
        <f ca="1">INDEX(INDIRECT(_xlfn.CONCAT("weather.tbl[",S$1,"]")),MATCH(vp.tbl[[#This Row],[SDate]],weather.tbl[Date],0))</f>
        <v>13.5</v>
      </c>
      <c r="T1570" s="2">
        <f ca="1">INDEX(INDIRECT(_xlfn.CONCAT("weather.tbl[",T$1,"]")),MATCH(vp.tbl[[#This Row],[SDate]],weather.tbl[Date],0))</f>
        <v>14.2</v>
      </c>
      <c r="U1570" s="2">
        <f ca="1">INDEX(INDIRECT(_xlfn.CONCAT("weather.tbl[",U$1,"]")),MATCH(vp.tbl[[#This Row],[SDate]],weather.tbl[Date],0))</f>
        <v>13.5</v>
      </c>
      <c r="V1570" s="2">
        <v>1309.8610000000001</v>
      </c>
      <c r="W1570" t="s">
        <v>48</v>
      </c>
      <c r="X1570">
        <f>IF(OR(vp.tbl[[#This Row],[Sulf]]="",vp.tbl[[#This Row],[Dens]]=""),1,0)</f>
        <v>0</v>
      </c>
      <c r="Y1570">
        <f>IF(vp.tbl[[#This Row],[CrudeType]]="C5+",1,0)</f>
        <v>0</v>
      </c>
      <c r="Z1570">
        <f>IF(AND(vp.tbl[[#This Row],[CrudeType]]="Crude",vp.tbl[[#This Row],[Dens]]&lt;=825,vp.tbl[[#This Row],[Sulf]]&gt;0.5,vp.tbl[[#This Row],[Unknown]]=0),1,0)</f>
        <v>0</v>
      </c>
      <c r="AA1570">
        <f>IF(AND(vp.tbl[[#This Row],[CrudeType]]="Crude",vp.tbl[[#This Row],[Dens]]&lt;=825,vp.tbl[[#This Row],[Sulf]]&lt;=0.5,vp.tbl[[#This Row],[Unknown]]=0),1,0)</f>
        <v>0</v>
      </c>
      <c r="AB1570">
        <f>IF(AND(vp.tbl[[#This Row],[CrudeType]]="Crude",vp.tbl[[#This Row],[Dens]]&gt;825,vp.tbl[[#This Row],[Dens]]&lt;=870,vp.tbl[[#This Row],[Sulf]]&gt;0.5,vp.tbl[[#This Row],[Unknown]]=0),1,0)</f>
        <v>1</v>
      </c>
      <c r="AC1570">
        <f>IF(AND(vp.tbl[[#This Row],[CrudeType]]="Crude",vp.tbl[[#This Row],[Dens]]&gt;825,vp.tbl[[#This Row],[Dens]]&lt;=900,vp.tbl[[#This Row],[Sulf]]&lt;=0.5,vp.tbl[[#This Row],[Unknown]]=0),1,0)</f>
        <v>0</v>
      </c>
      <c r="AD1570">
        <f>IF(AND(vp.tbl[[#This Row],[CrudeType]]="Crude",vp.tbl[[#This Row],[Dens]]&gt;870,vp.tbl[[#This Row],[Dens]]&lt;=900,vp.tbl[[#This Row],[Sulf]]&gt;0.5,vp.tbl[[#This Row],[Unknown]]=0),1,0)</f>
        <v>0</v>
      </c>
      <c r="AE1570">
        <f>IF(AND(vp.tbl[[#This Row],[CrudeType]]="Crude",vp.tbl[[#This Row],[Dens]]&gt;900,vp.tbl[[#This Row],[Sulf]]&lt;=0.5,vp.tbl[[#This Row],[Unknown]]=0),1,0)</f>
        <v>0</v>
      </c>
      <c r="AF1570">
        <f>IF(AND(vp.tbl[[#This Row],[CrudeType]]="Crude",vp.tbl[[#This Row],[Dens]]&gt;900,vp.tbl[[#This Row],[Sulf]]&lt;=0.5,vp.tbl[[#This Row],[Unknown]]=0),1,0)</f>
        <v>0</v>
      </c>
      <c r="AG1570" t="str">
        <f>INDEX(vp.tbl[[#Headers],[Unknown]:[Heavy_SW]],MATCH(1,vp.tbl[[#This Row],[Unknown]:[Heavy_SW]],0))</f>
        <v>Medium_LSB</v>
      </c>
      <c r="AH1570" t="e">
        <f>INDEX([1]!crudeBD.lkup[Number],MATCH(vp.tbl[[#This Row],[Crude_Breakdown]],[1]!crudeBD.lkup[Crude Breakdown],0))</f>
        <v>#REF!</v>
      </c>
      <c r="AI1570">
        <f>MONTH(vp.tbl[[#This Row],[SDate]])</f>
        <v>5</v>
      </c>
      <c r="AJ1570" s="5">
        <f>IFERROR(vp.tbl[[#This Row],[Sulf]]*vp.tbl[[#This Row],[Net Dens]],"")</f>
        <v>1582770.5393500002</v>
      </c>
      <c r="AK1570" s="5">
        <f>IFERROR(vp.tbl[[#This Row],[Dens]]*vp.tbl[[#This Row],[VolumeM3]],"")</f>
        <v>1106832.5450000002</v>
      </c>
      <c r="AL1570" s="5">
        <f>IFERROR(vp.tbl[[#This Row],[VP]]*vp.tbl[[#This Row],[VolumeM3]],"")</f>
        <v>94571.964200000017</v>
      </c>
      <c r="AM1570" s="4">
        <f>IFERROR((vp.tbl[[#This Row],[VP]]-INDEX(crudeBD.lkup.complete[Mean_VP],MATCH(vp.tbl[[#This Row],[Crude_Breakdown]],crudeBD.lkup.complete[Crude Breakdown],0)))^2,"")</f>
        <v>63.578216214708547</v>
      </c>
      <c r="AN1570" s="4">
        <f>IFERROR((vp.tbl[[#This Row],[Dens]]-INDEX(crudeBD.lkup.complete[Mean_Dens],MATCH(vp.tbl[[#This Row],[Crude_Breakdown]],crudeBD.lkup.complete[Crude Breakdown],0)))^2,"")</f>
        <v>8.5160537733762753E-2</v>
      </c>
      <c r="AO1570" s="4">
        <f>IFERROR((vp.tbl[[#This Row],[Sulf]]-INDEX(crudeBD.lkup.complete[Mean_Sulf],MATCH(vp.tbl[[#This Row],[Crude_Breakdown]],crudeBD.lkup.complete[Crude Breakdown],0)))^2,"")</f>
        <v>6.2149795748781933E-4</v>
      </c>
      <c r="AP1570">
        <f>IF(AND(vp.tbl[[#This Row],[SDate]]&gt;=DATE(YEAR(vp.tbl[[#This Row],[SDate]]),5,1),vp.tbl[[#This Row],[SDate]]&lt;=DATE(YEAR(vp.tbl[[#This Row],[SDate]]),9,15)),1,0)</f>
        <v>1</v>
      </c>
      <c r="AQ1570" s="15">
        <f>IF(vp.tbl[[#This Row],[SDate]]&lt;DATE(2016,12,1),0,1)</f>
        <v>1</v>
      </c>
    </row>
    <row r="1571" spans="1:43" x14ac:dyDescent="0.25">
      <c r="A1571">
        <v>1570</v>
      </c>
      <c r="B1571" t="s">
        <v>49</v>
      </c>
      <c r="C1571" t="s">
        <v>49</v>
      </c>
      <c r="D1571" t="s">
        <v>81</v>
      </c>
      <c r="F1571" s="1">
        <v>42886</v>
      </c>
      <c r="G1571" s="2">
        <v>80.599999999999994</v>
      </c>
      <c r="H1571" s="2"/>
      <c r="I1571" s="2">
        <v>0.53</v>
      </c>
      <c r="J1571" s="2"/>
      <c r="K1571" s="2"/>
      <c r="L1571" s="2"/>
      <c r="M1571" s="2">
        <v>824.7</v>
      </c>
      <c r="N1571" s="2">
        <f ca="1">INDEX(INDIRECT(_xlfn.CONCAT("weather.tbl[",N$1,"]")),MATCH(vp.tbl[[#This Row],[SDate]],weather.tbl[Date],0))</f>
        <v>13.600000000000001</v>
      </c>
      <c r="O1571" s="2">
        <f ca="1">INDEX(INDIRECT(_xlfn.CONCAT("weather.tbl[",O$1,"]")),MATCH(vp.tbl[[#This Row],[SDate]],weather.tbl[Date],0))</f>
        <v>12.745238095238095</v>
      </c>
      <c r="P1571" s="2">
        <f ca="1">INDEX(INDIRECT(_xlfn.CONCAT("weather.tbl[",P$1,"]")),MATCH(vp.tbl[[#This Row],[SDate]],weather.tbl[Date],0))</f>
        <v>13.9</v>
      </c>
      <c r="Q1571" s="2">
        <f ca="1">INDEX(INDIRECT(_xlfn.CONCAT("weather.tbl[",Q$1,"]")),MATCH(vp.tbl[[#This Row],[SDate]],weather.tbl[Date],0))</f>
        <v>13.7</v>
      </c>
      <c r="R1571" s="2">
        <f ca="1">INDEX(INDIRECT(_xlfn.CONCAT("weather.tbl[",R$1,"]")),MATCH(vp.tbl[[#This Row],[SDate]],weather.tbl[Date],0))</f>
        <v>12.8</v>
      </c>
      <c r="S1571" s="2">
        <f ca="1">INDEX(INDIRECT(_xlfn.CONCAT("weather.tbl[",S$1,"]")),MATCH(vp.tbl[[#This Row],[SDate]],weather.tbl[Date],0))</f>
        <v>13.5</v>
      </c>
      <c r="T1571" s="2">
        <f ca="1">INDEX(INDIRECT(_xlfn.CONCAT("weather.tbl[",T$1,"]")),MATCH(vp.tbl[[#This Row],[SDate]],weather.tbl[Date],0))</f>
        <v>14.2</v>
      </c>
      <c r="U1571" s="2">
        <f ca="1">INDEX(INDIRECT(_xlfn.CONCAT("weather.tbl[",U$1,"]")),MATCH(vp.tbl[[#This Row],[SDate]],weather.tbl[Date],0))</f>
        <v>13.5</v>
      </c>
      <c r="V1571" s="2">
        <v>19932.741000000002</v>
      </c>
      <c r="W1571" t="s">
        <v>48</v>
      </c>
      <c r="X1571">
        <f>IF(OR(vp.tbl[[#This Row],[Sulf]]="",vp.tbl[[#This Row],[Dens]]=""),1,0)</f>
        <v>0</v>
      </c>
      <c r="Y1571">
        <f>IF(vp.tbl[[#This Row],[CrudeType]]="C5+",1,0)</f>
        <v>0</v>
      </c>
      <c r="Z1571">
        <f>IF(AND(vp.tbl[[#This Row],[CrudeType]]="Crude",vp.tbl[[#This Row],[Dens]]&lt;=825,vp.tbl[[#This Row],[Sulf]]&gt;0.5,vp.tbl[[#This Row],[Unknown]]=0),1,0)</f>
        <v>1</v>
      </c>
      <c r="AA1571">
        <f>IF(AND(vp.tbl[[#This Row],[CrudeType]]="Crude",vp.tbl[[#This Row],[Dens]]&lt;=825,vp.tbl[[#This Row],[Sulf]]&lt;=0.5,vp.tbl[[#This Row],[Unknown]]=0),1,0)</f>
        <v>0</v>
      </c>
      <c r="AB1571">
        <f>IF(AND(vp.tbl[[#This Row],[CrudeType]]="Crude",vp.tbl[[#This Row],[Dens]]&gt;825,vp.tbl[[#This Row],[Dens]]&lt;=870,vp.tbl[[#This Row],[Sulf]]&gt;0.5,vp.tbl[[#This Row],[Unknown]]=0),1,0)</f>
        <v>0</v>
      </c>
      <c r="AC1571">
        <f>IF(AND(vp.tbl[[#This Row],[CrudeType]]="Crude",vp.tbl[[#This Row],[Dens]]&gt;825,vp.tbl[[#This Row],[Dens]]&lt;=900,vp.tbl[[#This Row],[Sulf]]&lt;=0.5,vp.tbl[[#This Row],[Unknown]]=0),1,0)</f>
        <v>0</v>
      </c>
      <c r="AD1571">
        <f>IF(AND(vp.tbl[[#This Row],[CrudeType]]="Crude",vp.tbl[[#This Row],[Dens]]&gt;870,vp.tbl[[#This Row],[Dens]]&lt;=900,vp.tbl[[#This Row],[Sulf]]&gt;0.5,vp.tbl[[#This Row],[Unknown]]=0),1,0)</f>
        <v>0</v>
      </c>
      <c r="AE1571">
        <f>IF(AND(vp.tbl[[#This Row],[CrudeType]]="Crude",vp.tbl[[#This Row],[Dens]]&gt;900,vp.tbl[[#This Row],[Sulf]]&lt;=0.5,vp.tbl[[#This Row],[Unknown]]=0),1,0)</f>
        <v>0</v>
      </c>
      <c r="AF1571">
        <f>IF(AND(vp.tbl[[#This Row],[CrudeType]]="Crude",vp.tbl[[#This Row],[Dens]]&gt;900,vp.tbl[[#This Row],[Sulf]]&lt;=0.5,vp.tbl[[#This Row],[Unknown]]=0),1,0)</f>
        <v>0</v>
      </c>
      <c r="AG1571" t="str">
        <f>INDEX(vp.tbl[[#Headers],[Unknown]:[Heavy_SW]],MATCH(1,vp.tbl[[#This Row],[Unknown]:[Heavy_SW]],0))</f>
        <v>Light_LSB</v>
      </c>
      <c r="AH1571" t="e">
        <f>INDEX([1]!crudeBD.lkup[Number],MATCH(vp.tbl[[#This Row],[Crude_Breakdown]],[1]!crudeBD.lkup[Crude Breakdown],0))</f>
        <v>#REF!</v>
      </c>
      <c r="AI1571">
        <f>MONTH(vp.tbl[[#This Row],[SDate]])</f>
        <v>5</v>
      </c>
      <c r="AJ1571" s="5">
        <f>IFERROR(vp.tbl[[#This Row],[Sulf]]*vp.tbl[[#This Row],[Net Dens]],"")</f>
        <v>8712421.6964310016</v>
      </c>
      <c r="AK1571" s="5">
        <f>IFERROR(vp.tbl[[#This Row],[Dens]]*vp.tbl[[#This Row],[VolumeM3]],"")</f>
        <v>16438531.502700003</v>
      </c>
      <c r="AL1571" s="5">
        <f>IFERROR(vp.tbl[[#This Row],[VP]]*vp.tbl[[#This Row],[VolumeM3]],"")</f>
        <v>1606578.9246</v>
      </c>
      <c r="AM1571" s="4">
        <f>IFERROR((vp.tbl[[#This Row],[VP]]-INDEX(crudeBD.lkup.complete[Mean_VP],MATCH(vp.tbl[[#This Row],[Crude_Breakdown]],crudeBD.lkup.complete[Crude Breakdown],0)))^2,"")</f>
        <v>119.81897846742561</v>
      </c>
      <c r="AN1571" s="4">
        <f>IFERROR((vp.tbl[[#This Row],[Dens]]-INDEX(crudeBD.lkup.complete[Mean_Dens],MATCH(vp.tbl[[#This Row],[Crude_Breakdown]],crudeBD.lkup.complete[Crude Breakdown],0)))^2,"")</f>
        <v>38.232336207654335</v>
      </c>
      <c r="AO1571" s="4">
        <f>IFERROR((vp.tbl[[#This Row],[Sulf]]-INDEX(crudeBD.lkup.complete[Mean_Sulf],MATCH(vp.tbl[[#This Row],[Crude_Breakdown]],crudeBD.lkup.complete[Crude Breakdown],0)))^2,"")</f>
        <v>0.15442633918177728</v>
      </c>
      <c r="AP1571">
        <f>IF(AND(vp.tbl[[#This Row],[SDate]]&gt;=DATE(YEAR(vp.tbl[[#This Row],[SDate]]),5,1),vp.tbl[[#This Row],[SDate]]&lt;=DATE(YEAR(vp.tbl[[#This Row],[SDate]]),9,15)),1,0)</f>
        <v>1</v>
      </c>
      <c r="AQ1571" s="15">
        <f>IF(vp.tbl[[#This Row],[SDate]]&lt;DATE(2016,12,1),0,1)</f>
        <v>1</v>
      </c>
    </row>
    <row r="1572" spans="1:43" x14ac:dyDescent="0.25">
      <c r="A1572">
        <v>1571</v>
      </c>
      <c r="B1572" t="s">
        <v>49</v>
      </c>
      <c r="C1572" t="s">
        <v>49</v>
      </c>
      <c r="D1572" t="s">
        <v>70</v>
      </c>
      <c r="F1572" s="1">
        <v>42886</v>
      </c>
      <c r="G1572" s="2">
        <v>73</v>
      </c>
      <c r="H1572" s="2"/>
      <c r="I1572" s="2">
        <v>0.94</v>
      </c>
      <c r="J1572" s="2"/>
      <c r="K1572" s="2"/>
      <c r="L1572" s="2"/>
      <c r="M1572" s="2">
        <v>834.5</v>
      </c>
      <c r="N1572" s="2">
        <f ca="1">INDEX(INDIRECT(_xlfn.CONCAT("weather.tbl[",N$1,"]")),MATCH(vp.tbl[[#This Row],[SDate]],weather.tbl[Date],0))</f>
        <v>13.600000000000001</v>
      </c>
      <c r="O1572" s="2">
        <f ca="1">INDEX(INDIRECT(_xlfn.CONCAT("weather.tbl[",O$1,"]")),MATCH(vp.tbl[[#This Row],[SDate]],weather.tbl[Date],0))</f>
        <v>12.745238095238095</v>
      </c>
      <c r="P1572" s="2">
        <f ca="1">INDEX(INDIRECT(_xlfn.CONCAT("weather.tbl[",P$1,"]")),MATCH(vp.tbl[[#This Row],[SDate]],weather.tbl[Date],0))</f>
        <v>13.9</v>
      </c>
      <c r="Q1572" s="2">
        <f ca="1">INDEX(INDIRECT(_xlfn.CONCAT("weather.tbl[",Q$1,"]")),MATCH(vp.tbl[[#This Row],[SDate]],weather.tbl[Date],0))</f>
        <v>13.7</v>
      </c>
      <c r="R1572" s="2">
        <f ca="1">INDEX(INDIRECT(_xlfn.CONCAT("weather.tbl[",R$1,"]")),MATCH(vp.tbl[[#This Row],[SDate]],weather.tbl[Date],0))</f>
        <v>12.8</v>
      </c>
      <c r="S1572" s="2">
        <f ca="1">INDEX(INDIRECT(_xlfn.CONCAT("weather.tbl[",S$1,"]")),MATCH(vp.tbl[[#This Row],[SDate]],weather.tbl[Date],0))</f>
        <v>13.5</v>
      </c>
      <c r="T1572" s="2">
        <f ca="1">INDEX(INDIRECT(_xlfn.CONCAT("weather.tbl[",T$1,"]")),MATCH(vp.tbl[[#This Row],[SDate]],weather.tbl[Date],0))</f>
        <v>14.2</v>
      </c>
      <c r="U1572" s="2">
        <f ca="1">INDEX(INDIRECT(_xlfn.CONCAT("weather.tbl[",U$1,"]")),MATCH(vp.tbl[[#This Row],[SDate]],weather.tbl[Date],0))</f>
        <v>13.5</v>
      </c>
      <c r="V1572" s="2">
        <v>2413.8069999999998</v>
      </c>
      <c r="W1572" t="s">
        <v>48</v>
      </c>
      <c r="X1572">
        <f>IF(OR(vp.tbl[[#This Row],[Sulf]]="",vp.tbl[[#This Row],[Dens]]=""),1,0)</f>
        <v>0</v>
      </c>
      <c r="Y1572">
        <f>IF(vp.tbl[[#This Row],[CrudeType]]="C5+",1,0)</f>
        <v>0</v>
      </c>
      <c r="Z1572">
        <f>IF(AND(vp.tbl[[#This Row],[CrudeType]]="Crude",vp.tbl[[#This Row],[Dens]]&lt;=825,vp.tbl[[#This Row],[Sulf]]&gt;0.5,vp.tbl[[#This Row],[Unknown]]=0),1,0)</f>
        <v>0</v>
      </c>
      <c r="AA1572">
        <f>IF(AND(vp.tbl[[#This Row],[CrudeType]]="Crude",vp.tbl[[#This Row],[Dens]]&lt;=825,vp.tbl[[#This Row],[Sulf]]&lt;=0.5,vp.tbl[[#This Row],[Unknown]]=0),1,0)</f>
        <v>0</v>
      </c>
      <c r="AB1572">
        <f>IF(AND(vp.tbl[[#This Row],[CrudeType]]="Crude",vp.tbl[[#This Row],[Dens]]&gt;825,vp.tbl[[#This Row],[Dens]]&lt;=870,vp.tbl[[#This Row],[Sulf]]&gt;0.5,vp.tbl[[#This Row],[Unknown]]=0),1,0)</f>
        <v>1</v>
      </c>
      <c r="AC1572">
        <f>IF(AND(vp.tbl[[#This Row],[CrudeType]]="Crude",vp.tbl[[#This Row],[Dens]]&gt;825,vp.tbl[[#This Row],[Dens]]&lt;=900,vp.tbl[[#This Row],[Sulf]]&lt;=0.5,vp.tbl[[#This Row],[Unknown]]=0),1,0)</f>
        <v>0</v>
      </c>
      <c r="AD1572">
        <f>IF(AND(vp.tbl[[#This Row],[CrudeType]]="Crude",vp.tbl[[#This Row],[Dens]]&gt;870,vp.tbl[[#This Row],[Dens]]&lt;=900,vp.tbl[[#This Row],[Sulf]]&gt;0.5,vp.tbl[[#This Row],[Unknown]]=0),1,0)</f>
        <v>0</v>
      </c>
      <c r="AE1572">
        <f>IF(AND(vp.tbl[[#This Row],[CrudeType]]="Crude",vp.tbl[[#This Row],[Dens]]&gt;900,vp.tbl[[#This Row],[Sulf]]&lt;=0.5,vp.tbl[[#This Row],[Unknown]]=0),1,0)</f>
        <v>0</v>
      </c>
      <c r="AF1572">
        <f>IF(AND(vp.tbl[[#This Row],[CrudeType]]="Crude",vp.tbl[[#This Row],[Dens]]&gt;900,vp.tbl[[#This Row],[Sulf]]&lt;=0.5,vp.tbl[[#This Row],[Unknown]]=0),1,0)</f>
        <v>0</v>
      </c>
      <c r="AG1572" t="str">
        <f>INDEX(vp.tbl[[#Headers],[Unknown]:[Heavy_SW]],MATCH(1,vp.tbl[[#This Row],[Unknown]:[Heavy_SW]],0))</f>
        <v>Medium_LSB</v>
      </c>
      <c r="AH1572" t="e">
        <f>INDEX([1]!crudeBD.lkup[Number],MATCH(vp.tbl[[#This Row],[Crude_Breakdown]],[1]!crudeBD.lkup[Crude Breakdown],0))</f>
        <v>#REF!</v>
      </c>
      <c r="AI1572">
        <f>MONTH(vp.tbl[[#This Row],[SDate]])</f>
        <v>5</v>
      </c>
      <c r="AJ1572" s="5">
        <f>IFERROR(vp.tbl[[#This Row],[Sulf]]*vp.tbl[[#This Row],[Net Dens]],"")</f>
        <v>1893462.6250099996</v>
      </c>
      <c r="AK1572" s="5">
        <f>IFERROR(vp.tbl[[#This Row],[Dens]]*vp.tbl[[#This Row],[VolumeM3]],"")</f>
        <v>2014321.9414999997</v>
      </c>
      <c r="AL1572" s="5">
        <f>IFERROR(vp.tbl[[#This Row],[VP]]*vp.tbl[[#This Row],[VolumeM3]],"")</f>
        <v>176207.91099999999</v>
      </c>
      <c r="AM1572" s="4">
        <f>IFERROR((vp.tbl[[#This Row],[VP]]-INDEX(crudeBD.lkup.complete[Mean_VP],MATCH(vp.tbl[[#This Row],[Crude_Breakdown]],crudeBD.lkup.complete[Crude Breakdown],0)))^2,"")</f>
        <v>51.460464315974477</v>
      </c>
      <c r="AN1572" s="4">
        <f>IFERROR((vp.tbl[[#This Row],[Dens]]-INDEX(crudeBD.lkup.complete[Mean_Dens],MATCH(vp.tbl[[#This Row],[Crude_Breakdown]],crudeBD.lkup.complete[Crude Breakdown],0)))^2,"")</f>
        <v>116.46343901872574</v>
      </c>
      <c r="AO1572" s="4">
        <f>IFERROR((vp.tbl[[#This Row],[Sulf]]-INDEX(crudeBD.lkup.complete[Mean_Sulf],MATCH(vp.tbl[[#This Row],[Crude_Breakdown]],crudeBD.lkup.complete[Crude Breakdown],0)))^2,"")</f>
        <v>0.26515276150179312</v>
      </c>
      <c r="AP1572">
        <f>IF(AND(vp.tbl[[#This Row],[SDate]]&gt;=DATE(YEAR(vp.tbl[[#This Row],[SDate]]),5,1),vp.tbl[[#This Row],[SDate]]&lt;=DATE(YEAR(vp.tbl[[#This Row],[SDate]]),9,15)),1,0)</f>
        <v>1</v>
      </c>
      <c r="AQ1572" s="15">
        <f>IF(vp.tbl[[#This Row],[SDate]]&lt;DATE(2016,12,1),0,1)</f>
        <v>1</v>
      </c>
    </row>
    <row r="1573" spans="1:43" x14ac:dyDescent="0.25">
      <c r="A1573">
        <v>1572</v>
      </c>
      <c r="B1573" t="s">
        <v>51</v>
      </c>
      <c r="C1573" t="s">
        <v>51</v>
      </c>
      <c r="D1573" t="s">
        <v>95</v>
      </c>
      <c r="F1573" s="1">
        <v>42886</v>
      </c>
      <c r="G1573" s="2">
        <v>67.7</v>
      </c>
      <c r="H1573" s="2"/>
      <c r="I1573" s="2">
        <v>1.19</v>
      </c>
      <c r="J1573" s="2"/>
      <c r="K1573" s="2"/>
      <c r="L1573" s="2"/>
      <c r="M1573" s="2">
        <v>848.6</v>
      </c>
      <c r="N1573" s="2">
        <f ca="1">INDEX(INDIRECT(_xlfn.CONCAT("weather.tbl[",N$1,"]")),MATCH(vp.tbl[[#This Row],[SDate]],weather.tbl[Date],0))</f>
        <v>13.600000000000001</v>
      </c>
      <c r="O1573" s="2">
        <f ca="1">INDEX(INDIRECT(_xlfn.CONCAT("weather.tbl[",O$1,"]")),MATCH(vp.tbl[[#This Row],[SDate]],weather.tbl[Date],0))</f>
        <v>12.745238095238095</v>
      </c>
      <c r="P1573" s="2">
        <f ca="1">INDEX(INDIRECT(_xlfn.CONCAT("weather.tbl[",P$1,"]")),MATCH(vp.tbl[[#This Row],[SDate]],weather.tbl[Date],0))</f>
        <v>13.9</v>
      </c>
      <c r="Q1573" s="2">
        <f ca="1">INDEX(INDIRECT(_xlfn.CONCAT("weather.tbl[",Q$1,"]")),MATCH(vp.tbl[[#This Row],[SDate]],weather.tbl[Date],0))</f>
        <v>13.7</v>
      </c>
      <c r="R1573" s="2">
        <f ca="1">INDEX(INDIRECT(_xlfn.CONCAT("weather.tbl[",R$1,"]")),MATCH(vp.tbl[[#This Row],[SDate]],weather.tbl[Date],0))</f>
        <v>12.8</v>
      </c>
      <c r="S1573" s="2">
        <f ca="1">INDEX(INDIRECT(_xlfn.CONCAT("weather.tbl[",S$1,"]")),MATCH(vp.tbl[[#This Row],[SDate]],weather.tbl[Date],0))</f>
        <v>13.5</v>
      </c>
      <c r="T1573" s="2">
        <f ca="1">INDEX(INDIRECT(_xlfn.CONCAT("weather.tbl[",T$1,"]")),MATCH(vp.tbl[[#This Row],[SDate]],weather.tbl[Date],0))</f>
        <v>14.2</v>
      </c>
      <c r="U1573" s="2">
        <f ca="1">INDEX(INDIRECT(_xlfn.CONCAT("weather.tbl[",U$1,"]")),MATCH(vp.tbl[[#This Row],[SDate]],weather.tbl[Date],0))</f>
        <v>13.5</v>
      </c>
      <c r="V1573" s="2">
        <v>5507.5879999999997</v>
      </c>
      <c r="W1573" t="s">
        <v>48</v>
      </c>
      <c r="X1573">
        <f>IF(OR(vp.tbl[[#This Row],[Sulf]]="",vp.tbl[[#This Row],[Dens]]=""),1,0)</f>
        <v>0</v>
      </c>
      <c r="Y1573">
        <f>IF(vp.tbl[[#This Row],[CrudeType]]="C5+",1,0)</f>
        <v>0</v>
      </c>
      <c r="Z1573">
        <f>IF(AND(vp.tbl[[#This Row],[CrudeType]]="Crude",vp.tbl[[#This Row],[Dens]]&lt;=825,vp.tbl[[#This Row],[Sulf]]&gt;0.5,vp.tbl[[#This Row],[Unknown]]=0),1,0)</f>
        <v>0</v>
      </c>
      <c r="AA1573">
        <f>IF(AND(vp.tbl[[#This Row],[CrudeType]]="Crude",vp.tbl[[#This Row],[Dens]]&lt;=825,vp.tbl[[#This Row],[Sulf]]&lt;=0.5,vp.tbl[[#This Row],[Unknown]]=0),1,0)</f>
        <v>0</v>
      </c>
      <c r="AB1573">
        <f>IF(AND(vp.tbl[[#This Row],[CrudeType]]="Crude",vp.tbl[[#This Row],[Dens]]&gt;825,vp.tbl[[#This Row],[Dens]]&lt;=870,vp.tbl[[#This Row],[Sulf]]&gt;0.5,vp.tbl[[#This Row],[Unknown]]=0),1,0)</f>
        <v>1</v>
      </c>
      <c r="AC1573">
        <f>IF(AND(vp.tbl[[#This Row],[CrudeType]]="Crude",vp.tbl[[#This Row],[Dens]]&gt;825,vp.tbl[[#This Row],[Dens]]&lt;=900,vp.tbl[[#This Row],[Sulf]]&lt;=0.5,vp.tbl[[#This Row],[Unknown]]=0),1,0)</f>
        <v>0</v>
      </c>
      <c r="AD1573">
        <f>IF(AND(vp.tbl[[#This Row],[CrudeType]]="Crude",vp.tbl[[#This Row],[Dens]]&gt;870,vp.tbl[[#This Row],[Dens]]&lt;=900,vp.tbl[[#This Row],[Sulf]]&gt;0.5,vp.tbl[[#This Row],[Unknown]]=0),1,0)</f>
        <v>0</v>
      </c>
      <c r="AE1573">
        <f>IF(AND(vp.tbl[[#This Row],[CrudeType]]="Crude",vp.tbl[[#This Row],[Dens]]&gt;900,vp.tbl[[#This Row],[Sulf]]&lt;=0.5,vp.tbl[[#This Row],[Unknown]]=0),1,0)</f>
        <v>0</v>
      </c>
      <c r="AF1573">
        <f>IF(AND(vp.tbl[[#This Row],[CrudeType]]="Crude",vp.tbl[[#This Row],[Dens]]&gt;900,vp.tbl[[#This Row],[Sulf]]&lt;=0.5,vp.tbl[[#This Row],[Unknown]]=0),1,0)</f>
        <v>0</v>
      </c>
      <c r="AG1573" t="str">
        <f>INDEX(vp.tbl[[#Headers],[Unknown]:[Heavy_SW]],MATCH(1,vp.tbl[[#This Row],[Unknown]:[Heavy_SW]],0))</f>
        <v>Medium_LSB</v>
      </c>
      <c r="AH1573" t="e">
        <f>INDEX([1]!crudeBD.lkup[Number],MATCH(vp.tbl[[#This Row],[Crude_Breakdown]],[1]!crudeBD.lkup[Crude Breakdown],0))</f>
        <v>#REF!</v>
      </c>
      <c r="AI1573">
        <f>MONTH(vp.tbl[[#This Row],[SDate]])</f>
        <v>5</v>
      </c>
      <c r="AJ1573" s="5">
        <f>IFERROR(vp.tbl[[#This Row],[Sulf]]*vp.tbl[[#This Row],[Net Dens]],"")</f>
        <v>5561749.6203919994</v>
      </c>
      <c r="AK1573" s="5">
        <f>IFERROR(vp.tbl[[#This Row],[Dens]]*vp.tbl[[#This Row],[VolumeM3]],"")</f>
        <v>4673739.1767999995</v>
      </c>
      <c r="AL1573" s="5">
        <f>IFERROR(vp.tbl[[#This Row],[VP]]*vp.tbl[[#This Row],[VolumeM3]],"")</f>
        <v>372863.70760000002</v>
      </c>
      <c r="AM1573" s="4">
        <f>IFERROR((vp.tbl[[#This Row],[VP]]-INDEX(crudeBD.lkup.complete[Mean_VP],MATCH(vp.tbl[[#This Row],[Crude_Breakdown]],crudeBD.lkup.complete[Crude Breakdown],0)))^2,"")</f>
        <v>155.59057064508795</v>
      </c>
      <c r="AN1573" s="4">
        <f>IFERROR((vp.tbl[[#This Row],[Dens]]-INDEX(crudeBD.lkup.complete[Mean_Dens],MATCH(vp.tbl[[#This Row],[Crude_Breakdown]],crudeBD.lkup.complete[Crude Breakdown],0)))^2,"")</f>
        <v>10.944036487108091</v>
      </c>
      <c r="AO1573" s="4">
        <f>IFERROR((vp.tbl[[#This Row],[Sulf]]-INDEX(crudeBD.lkup.complete[Mean_Sulf],MATCH(vp.tbl[[#This Row],[Crude_Breakdown]],crudeBD.lkup.complete[Crude Breakdown],0)))^2,"")</f>
        <v>7.0187831122045519E-2</v>
      </c>
      <c r="AP1573">
        <f>IF(AND(vp.tbl[[#This Row],[SDate]]&gt;=DATE(YEAR(vp.tbl[[#This Row],[SDate]]),5,1),vp.tbl[[#This Row],[SDate]]&lt;=DATE(YEAR(vp.tbl[[#This Row],[SDate]]),9,15)),1,0)</f>
        <v>1</v>
      </c>
      <c r="AQ1573" s="15">
        <f>IF(vp.tbl[[#This Row],[SDate]]&lt;DATE(2016,12,1),0,1)</f>
        <v>1</v>
      </c>
    </row>
    <row r="1574" spans="1:43" x14ac:dyDescent="0.25">
      <c r="A1574">
        <v>1573</v>
      </c>
      <c r="B1574" t="s">
        <v>51</v>
      </c>
      <c r="C1574" t="s">
        <v>51</v>
      </c>
      <c r="D1574" t="s">
        <v>52</v>
      </c>
      <c r="F1574" s="1">
        <v>42886</v>
      </c>
      <c r="G1574" s="2">
        <v>73.2</v>
      </c>
      <c r="H1574" s="2"/>
      <c r="I1574" s="2">
        <v>2.4</v>
      </c>
      <c r="J1574" s="2"/>
      <c r="K1574" s="2"/>
      <c r="L1574" s="2"/>
      <c r="M1574" s="2">
        <v>870.9</v>
      </c>
      <c r="N1574" s="2">
        <f ca="1">INDEX(INDIRECT(_xlfn.CONCAT("weather.tbl[",N$1,"]")),MATCH(vp.tbl[[#This Row],[SDate]],weather.tbl[Date],0))</f>
        <v>13.600000000000001</v>
      </c>
      <c r="O1574" s="2">
        <f ca="1">INDEX(INDIRECT(_xlfn.CONCAT("weather.tbl[",O$1,"]")),MATCH(vp.tbl[[#This Row],[SDate]],weather.tbl[Date],0))</f>
        <v>12.745238095238095</v>
      </c>
      <c r="P1574" s="2">
        <f ca="1">INDEX(INDIRECT(_xlfn.CONCAT("weather.tbl[",P$1,"]")),MATCH(vp.tbl[[#This Row],[SDate]],weather.tbl[Date],0))</f>
        <v>13.9</v>
      </c>
      <c r="Q1574" s="2">
        <f ca="1">INDEX(INDIRECT(_xlfn.CONCAT("weather.tbl[",Q$1,"]")),MATCH(vp.tbl[[#This Row],[SDate]],weather.tbl[Date],0))</f>
        <v>13.7</v>
      </c>
      <c r="R1574" s="2">
        <f ca="1">INDEX(INDIRECT(_xlfn.CONCAT("weather.tbl[",R$1,"]")),MATCH(vp.tbl[[#This Row],[SDate]],weather.tbl[Date],0))</f>
        <v>12.8</v>
      </c>
      <c r="S1574" s="2">
        <f ca="1">INDEX(INDIRECT(_xlfn.CONCAT("weather.tbl[",S$1,"]")),MATCH(vp.tbl[[#This Row],[SDate]],weather.tbl[Date],0))</f>
        <v>13.5</v>
      </c>
      <c r="T1574" s="2">
        <f ca="1">INDEX(INDIRECT(_xlfn.CONCAT("weather.tbl[",T$1,"]")),MATCH(vp.tbl[[#This Row],[SDate]],weather.tbl[Date],0))</f>
        <v>14.2</v>
      </c>
      <c r="U1574" s="2">
        <f ca="1">INDEX(INDIRECT(_xlfn.CONCAT("weather.tbl[",U$1,"]")),MATCH(vp.tbl[[#This Row],[SDate]],weather.tbl[Date],0))</f>
        <v>13.5</v>
      </c>
      <c r="V1574" s="2">
        <v>7049.7860000000001</v>
      </c>
      <c r="W1574" t="s">
        <v>48</v>
      </c>
      <c r="X1574">
        <f>IF(OR(vp.tbl[[#This Row],[Sulf]]="",vp.tbl[[#This Row],[Dens]]=""),1,0)</f>
        <v>0</v>
      </c>
      <c r="Y1574">
        <f>IF(vp.tbl[[#This Row],[CrudeType]]="C5+",1,0)</f>
        <v>0</v>
      </c>
      <c r="Z1574">
        <f>IF(AND(vp.tbl[[#This Row],[CrudeType]]="Crude",vp.tbl[[#This Row],[Dens]]&lt;=825,vp.tbl[[#This Row],[Sulf]]&gt;0.5,vp.tbl[[#This Row],[Unknown]]=0),1,0)</f>
        <v>0</v>
      </c>
      <c r="AA1574">
        <f>IF(AND(vp.tbl[[#This Row],[CrudeType]]="Crude",vp.tbl[[#This Row],[Dens]]&lt;=825,vp.tbl[[#This Row],[Sulf]]&lt;=0.5,vp.tbl[[#This Row],[Unknown]]=0),1,0)</f>
        <v>0</v>
      </c>
      <c r="AB1574">
        <f>IF(AND(vp.tbl[[#This Row],[CrudeType]]="Crude",vp.tbl[[#This Row],[Dens]]&gt;825,vp.tbl[[#This Row],[Dens]]&lt;=870,vp.tbl[[#This Row],[Sulf]]&gt;0.5,vp.tbl[[#This Row],[Unknown]]=0),1,0)</f>
        <v>0</v>
      </c>
      <c r="AC1574">
        <f>IF(AND(vp.tbl[[#This Row],[CrudeType]]="Crude",vp.tbl[[#This Row],[Dens]]&gt;825,vp.tbl[[#This Row],[Dens]]&lt;=900,vp.tbl[[#This Row],[Sulf]]&lt;=0.5,vp.tbl[[#This Row],[Unknown]]=0),1,0)</f>
        <v>0</v>
      </c>
      <c r="AD1574">
        <f>IF(AND(vp.tbl[[#This Row],[CrudeType]]="Crude",vp.tbl[[#This Row],[Dens]]&gt;870,vp.tbl[[#This Row],[Dens]]&lt;=900,vp.tbl[[#This Row],[Sulf]]&gt;0.5,vp.tbl[[#This Row],[Unknown]]=0),1,0)</f>
        <v>1</v>
      </c>
      <c r="AE1574">
        <f>IF(AND(vp.tbl[[#This Row],[CrudeType]]="Crude",vp.tbl[[#This Row],[Dens]]&gt;900,vp.tbl[[#This Row],[Sulf]]&lt;=0.5,vp.tbl[[#This Row],[Unknown]]=0),1,0)</f>
        <v>0</v>
      </c>
      <c r="AF1574">
        <f>IF(AND(vp.tbl[[#This Row],[CrudeType]]="Crude",vp.tbl[[#This Row],[Dens]]&gt;900,vp.tbl[[#This Row],[Sulf]]&lt;=0.5,vp.tbl[[#This Row],[Unknown]]=0),1,0)</f>
        <v>0</v>
      </c>
      <c r="AG1574" t="str">
        <f>INDEX(vp.tbl[[#Headers],[Unknown]:[Heavy_SW]],MATCH(1,vp.tbl[[#This Row],[Unknown]:[Heavy_SW]],0))</f>
        <v>Midale</v>
      </c>
      <c r="AH1574" t="e">
        <f>INDEX([1]!crudeBD.lkup[Number],MATCH(vp.tbl[[#This Row],[Crude_Breakdown]],[1]!crudeBD.lkup[Crude Breakdown],0))</f>
        <v>#REF!</v>
      </c>
      <c r="AI1574">
        <f>MONTH(vp.tbl[[#This Row],[SDate]])</f>
        <v>5</v>
      </c>
      <c r="AJ1574" s="5">
        <f>IFERROR(vp.tbl[[#This Row],[Sulf]]*vp.tbl[[#This Row],[Net Dens]],"")</f>
        <v>14735180.705759998</v>
      </c>
      <c r="AK1574" s="5">
        <f>IFERROR(vp.tbl[[#This Row],[Dens]]*vp.tbl[[#This Row],[VolumeM3]],"")</f>
        <v>6139658.6273999996</v>
      </c>
      <c r="AL1574" s="5">
        <f>IFERROR(vp.tbl[[#This Row],[VP]]*vp.tbl[[#This Row],[VolumeM3]],"")</f>
        <v>516044.33520000003</v>
      </c>
      <c r="AM1574" s="4">
        <f>IFERROR((vp.tbl[[#This Row],[VP]]-INDEX(crudeBD.lkup.complete[Mean_VP],MATCH(vp.tbl[[#This Row],[Crude_Breakdown]],crudeBD.lkup.complete[Crude Breakdown],0)))^2,"")</f>
        <v>24.6179095515105</v>
      </c>
      <c r="AN1574" s="4">
        <f>IFERROR((vp.tbl[[#This Row],[Dens]]-INDEX(crudeBD.lkup.complete[Mean_Dens],MATCH(vp.tbl[[#This Row],[Crude_Breakdown]],crudeBD.lkup.complete[Crude Breakdown],0)))^2,"")</f>
        <v>44.249832989300081</v>
      </c>
      <c r="AO1574" s="4">
        <f>IFERROR((vp.tbl[[#This Row],[Sulf]]-INDEX(crudeBD.lkup.complete[Mean_Sulf],MATCH(vp.tbl[[#This Row],[Crude_Breakdown]],crudeBD.lkup.complete[Crude Breakdown],0)))^2,"")</f>
        <v>2.3531980275845577E-4</v>
      </c>
      <c r="AP1574">
        <f>IF(AND(vp.tbl[[#This Row],[SDate]]&gt;=DATE(YEAR(vp.tbl[[#This Row],[SDate]]),5,1),vp.tbl[[#This Row],[SDate]]&lt;=DATE(YEAR(vp.tbl[[#This Row],[SDate]]),9,15)),1,0)</f>
        <v>1</v>
      </c>
      <c r="AQ1574" s="15">
        <f>IF(vp.tbl[[#This Row],[SDate]]&lt;DATE(2016,12,1),0,1)</f>
        <v>1</v>
      </c>
    </row>
    <row r="1575" spans="1:43" x14ac:dyDescent="0.25">
      <c r="A1575">
        <v>1574</v>
      </c>
      <c r="B1575" t="s">
        <v>51</v>
      </c>
      <c r="C1575" t="s">
        <v>51</v>
      </c>
      <c r="D1575" t="s">
        <v>66</v>
      </c>
      <c r="F1575" s="1">
        <v>42886</v>
      </c>
      <c r="G1575" s="2">
        <v>94.9</v>
      </c>
      <c r="H1575" s="2"/>
      <c r="I1575" s="2">
        <v>1.79</v>
      </c>
      <c r="J1575" s="2"/>
      <c r="K1575" s="2"/>
      <c r="L1575" s="2"/>
      <c r="M1575" s="2">
        <v>824.4</v>
      </c>
      <c r="N1575" s="2">
        <f ca="1">INDEX(INDIRECT(_xlfn.CONCAT("weather.tbl[",N$1,"]")),MATCH(vp.tbl[[#This Row],[SDate]],weather.tbl[Date],0))</f>
        <v>13.600000000000001</v>
      </c>
      <c r="O1575" s="2">
        <f ca="1">INDEX(INDIRECT(_xlfn.CONCAT("weather.tbl[",O$1,"]")),MATCH(vp.tbl[[#This Row],[SDate]],weather.tbl[Date],0))</f>
        <v>12.745238095238095</v>
      </c>
      <c r="P1575" s="2">
        <f ca="1">INDEX(INDIRECT(_xlfn.CONCAT("weather.tbl[",P$1,"]")),MATCH(vp.tbl[[#This Row],[SDate]],weather.tbl[Date],0))</f>
        <v>13.9</v>
      </c>
      <c r="Q1575" s="2">
        <f ca="1">INDEX(INDIRECT(_xlfn.CONCAT("weather.tbl[",Q$1,"]")),MATCH(vp.tbl[[#This Row],[SDate]],weather.tbl[Date],0))</f>
        <v>13.7</v>
      </c>
      <c r="R1575" s="2">
        <f ca="1">INDEX(INDIRECT(_xlfn.CONCAT("weather.tbl[",R$1,"]")),MATCH(vp.tbl[[#This Row],[SDate]],weather.tbl[Date],0))</f>
        <v>12.8</v>
      </c>
      <c r="S1575" s="2">
        <f ca="1">INDEX(INDIRECT(_xlfn.CONCAT("weather.tbl[",S$1,"]")),MATCH(vp.tbl[[#This Row],[SDate]],weather.tbl[Date],0))</f>
        <v>13.5</v>
      </c>
      <c r="T1575" s="2">
        <f ca="1">INDEX(INDIRECT(_xlfn.CONCAT("weather.tbl[",T$1,"]")),MATCH(vp.tbl[[#This Row],[SDate]],weather.tbl[Date],0))</f>
        <v>14.2</v>
      </c>
      <c r="U1575" s="2">
        <f ca="1">INDEX(INDIRECT(_xlfn.CONCAT("weather.tbl[",U$1,"]")),MATCH(vp.tbl[[#This Row],[SDate]],weather.tbl[Date],0))</f>
        <v>13.5</v>
      </c>
      <c r="V1575" s="2">
        <v>5197.7240000000002</v>
      </c>
      <c r="W1575" t="s">
        <v>48</v>
      </c>
      <c r="X1575">
        <f>IF(OR(vp.tbl[[#This Row],[Sulf]]="",vp.tbl[[#This Row],[Dens]]=""),1,0)</f>
        <v>0</v>
      </c>
      <c r="Y1575">
        <f>IF(vp.tbl[[#This Row],[CrudeType]]="C5+",1,0)</f>
        <v>0</v>
      </c>
      <c r="Z1575">
        <f>IF(AND(vp.tbl[[#This Row],[CrudeType]]="Crude",vp.tbl[[#This Row],[Dens]]&lt;=825,vp.tbl[[#This Row],[Sulf]]&gt;0.5,vp.tbl[[#This Row],[Unknown]]=0),1,0)</f>
        <v>1</v>
      </c>
      <c r="AA1575">
        <f>IF(AND(vp.tbl[[#This Row],[CrudeType]]="Crude",vp.tbl[[#This Row],[Dens]]&lt;=825,vp.tbl[[#This Row],[Sulf]]&lt;=0.5,vp.tbl[[#This Row],[Unknown]]=0),1,0)</f>
        <v>0</v>
      </c>
      <c r="AB1575">
        <f>IF(AND(vp.tbl[[#This Row],[CrudeType]]="Crude",vp.tbl[[#This Row],[Dens]]&gt;825,vp.tbl[[#This Row],[Dens]]&lt;=870,vp.tbl[[#This Row],[Sulf]]&gt;0.5,vp.tbl[[#This Row],[Unknown]]=0),1,0)</f>
        <v>0</v>
      </c>
      <c r="AC1575">
        <f>IF(AND(vp.tbl[[#This Row],[CrudeType]]="Crude",vp.tbl[[#This Row],[Dens]]&gt;825,vp.tbl[[#This Row],[Dens]]&lt;=900,vp.tbl[[#This Row],[Sulf]]&lt;=0.5,vp.tbl[[#This Row],[Unknown]]=0),1,0)</f>
        <v>0</v>
      </c>
      <c r="AD1575">
        <f>IF(AND(vp.tbl[[#This Row],[CrudeType]]="Crude",vp.tbl[[#This Row],[Dens]]&gt;870,vp.tbl[[#This Row],[Dens]]&lt;=900,vp.tbl[[#This Row],[Sulf]]&gt;0.5,vp.tbl[[#This Row],[Unknown]]=0),1,0)</f>
        <v>0</v>
      </c>
      <c r="AE1575">
        <f>IF(AND(vp.tbl[[#This Row],[CrudeType]]="Crude",vp.tbl[[#This Row],[Dens]]&gt;900,vp.tbl[[#This Row],[Sulf]]&lt;=0.5,vp.tbl[[#This Row],[Unknown]]=0),1,0)</f>
        <v>0</v>
      </c>
      <c r="AF1575">
        <f>IF(AND(vp.tbl[[#This Row],[CrudeType]]="Crude",vp.tbl[[#This Row],[Dens]]&gt;900,vp.tbl[[#This Row],[Sulf]]&lt;=0.5,vp.tbl[[#This Row],[Unknown]]=0),1,0)</f>
        <v>0</v>
      </c>
      <c r="AG1575" t="str">
        <f>INDEX(vp.tbl[[#Headers],[Unknown]:[Heavy_SW]],MATCH(1,vp.tbl[[#This Row],[Unknown]:[Heavy_SW]],0))</f>
        <v>Light_LSB</v>
      </c>
      <c r="AH1575" t="e">
        <f>INDEX([1]!crudeBD.lkup[Number],MATCH(vp.tbl[[#This Row],[Crude_Breakdown]],[1]!crudeBD.lkup[Crude Breakdown],0))</f>
        <v>#REF!</v>
      </c>
      <c r="AI1575">
        <f>MONTH(vp.tbl[[#This Row],[SDate]])</f>
        <v>5</v>
      </c>
      <c r="AJ1575" s="5">
        <f>IFERROR(vp.tbl[[#This Row],[Sulf]]*vp.tbl[[#This Row],[Net Dens]],"")</f>
        <v>7670156.5614240002</v>
      </c>
      <c r="AK1575" s="5">
        <f>IFERROR(vp.tbl[[#This Row],[Dens]]*vp.tbl[[#This Row],[VolumeM3]],"")</f>
        <v>4285003.6655999999</v>
      </c>
      <c r="AL1575" s="5">
        <f>IFERROR(vp.tbl[[#This Row],[VP]]*vp.tbl[[#This Row],[VolumeM3]],"")</f>
        <v>493264.00760000007</v>
      </c>
      <c r="AM1575" s="4">
        <f>IFERROR((vp.tbl[[#This Row],[VP]]-INDEX(crudeBD.lkup.complete[Mean_VP],MATCH(vp.tbl[[#This Row],[Crude_Breakdown]],crudeBD.lkup.complete[Crude Breakdown],0)))^2,"")</f>
        <v>11.24807125092979</v>
      </c>
      <c r="AN1575" s="4">
        <f>IFERROR((vp.tbl[[#This Row],[Dens]]-INDEX(crudeBD.lkup.complete[Mean_Dens],MATCH(vp.tbl[[#This Row],[Crude_Breakdown]],crudeBD.lkup.complete[Crude Breakdown],0)))^2,"")</f>
        <v>34.612398063323418</v>
      </c>
      <c r="AO1575" s="4">
        <f>IFERROR((vp.tbl[[#This Row],[Sulf]]-INDEX(crudeBD.lkup.complete[Mean_Sulf],MATCH(vp.tbl[[#This Row],[Crude_Breakdown]],crudeBD.lkup.complete[Crude Breakdown],0)))^2,"")</f>
        <v>0.75173899485188111</v>
      </c>
      <c r="AP1575">
        <f>IF(AND(vp.tbl[[#This Row],[SDate]]&gt;=DATE(YEAR(vp.tbl[[#This Row],[SDate]]),5,1),vp.tbl[[#This Row],[SDate]]&lt;=DATE(YEAR(vp.tbl[[#This Row],[SDate]]),9,15)),1,0)</f>
        <v>1</v>
      </c>
      <c r="AQ1575" s="15">
        <f>IF(vp.tbl[[#This Row],[SDate]]&lt;DATE(2016,12,1),0,1)</f>
        <v>1</v>
      </c>
    </row>
    <row r="1576" spans="1:43" x14ac:dyDescent="0.25">
      <c r="A1576">
        <v>1575</v>
      </c>
      <c r="B1576" t="s">
        <v>62</v>
      </c>
      <c r="C1576" t="s">
        <v>62</v>
      </c>
      <c r="D1576" t="s">
        <v>79</v>
      </c>
      <c r="F1576" s="1">
        <v>42886</v>
      </c>
      <c r="G1576" s="2">
        <v>78.599999999999994</v>
      </c>
      <c r="H1576" s="2"/>
      <c r="I1576" s="2">
        <v>0.35</v>
      </c>
      <c r="J1576" s="2"/>
      <c r="K1576" s="2"/>
      <c r="L1576" s="2"/>
      <c r="M1576" s="2">
        <v>809</v>
      </c>
      <c r="N1576" s="2">
        <f ca="1">INDEX(INDIRECT(_xlfn.CONCAT("weather.tbl[",N$1,"]")),MATCH(vp.tbl[[#This Row],[SDate]],weather.tbl[Date],0))</f>
        <v>13.600000000000001</v>
      </c>
      <c r="O1576" s="2">
        <f ca="1">INDEX(INDIRECT(_xlfn.CONCAT("weather.tbl[",O$1,"]")),MATCH(vp.tbl[[#This Row],[SDate]],weather.tbl[Date],0))</f>
        <v>12.745238095238095</v>
      </c>
      <c r="P1576" s="2">
        <f ca="1">INDEX(INDIRECT(_xlfn.CONCAT("weather.tbl[",P$1,"]")),MATCH(vp.tbl[[#This Row],[SDate]],weather.tbl[Date],0))</f>
        <v>13.9</v>
      </c>
      <c r="Q1576" s="2">
        <f ca="1">INDEX(INDIRECT(_xlfn.CONCAT("weather.tbl[",Q$1,"]")),MATCH(vp.tbl[[#This Row],[SDate]],weather.tbl[Date],0))</f>
        <v>13.7</v>
      </c>
      <c r="R1576" s="2">
        <f ca="1">INDEX(INDIRECT(_xlfn.CONCAT("weather.tbl[",R$1,"]")),MATCH(vp.tbl[[#This Row],[SDate]],weather.tbl[Date],0))</f>
        <v>12.8</v>
      </c>
      <c r="S1576" s="2">
        <f ca="1">INDEX(INDIRECT(_xlfn.CONCAT("weather.tbl[",S$1,"]")),MATCH(vp.tbl[[#This Row],[SDate]],weather.tbl[Date],0))</f>
        <v>13.5</v>
      </c>
      <c r="T1576" s="2">
        <f ca="1">INDEX(INDIRECT(_xlfn.CONCAT("weather.tbl[",T$1,"]")),MATCH(vp.tbl[[#This Row],[SDate]],weather.tbl[Date],0))</f>
        <v>14.2</v>
      </c>
      <c r="U1576" s="2">
        <f ca="1">INDEX(INDIRECT(_xlfn.CONCAT("weather.tbl[",U$1,"]")),MATCH(vp.tbl[[#This Row],[SDate]],weather.tbl[Date],0))</f>
        <v>13.5</v>
      </c>
      <c r="V1576" s="2">
        <v>12983.781000000001</v>
      </c>
      <c r="W1576" t="s">
        <v>48</v>
      </c>
      <c r="X1576">
        <f>IF(OR(vp.tbl[[#This Row],[Sulf]]="",vp.tbl[[#This Row],[Dens]]=""),1,0)</f>
        <v>0</v>
      </c>
      <c r="Y1576">
        <f>IF(vp.tbl[[#This Row],[CrudeType]]="C5+",1,0)</f>
        <v>0</v>
      </c>
      <c r="Z1576">
        <f>IF(AND(vp.tbl[[#This Row],[CrudeType]]="Crude",vp.tbl[[#This Row],[Dens]]&lt;=825,vp.tbl[[#This Row],[Sulf]]&gt;0.5,vp.tbl[[#This Row],[Unknown]]=0),1,0)</f>
        <v>0</v>
      </c>
      <c r="AA1576">
        <f>IF(AND(vp.tbl[[#This Row],[CrudeType]]="Crude",vp.tbl[[#This Row],[Dens]]&lt;=825,vp.tbl[[#This Row],[Sulf]]&lt;=0.5,vp.tbl[[#This Row],[Unknown]]=0),1,0)</f>
        <v>1</v>
      </c>
      <c r="AB1576">
        <f>IF(AND(vp.tbl[[#This Row],[CrudeType]]="Crude",vp.tbl[[#This Row],[Dens]]&gt;825,vp.tbl[[#This Row],[Dens]]&lt;=870,vp.tbl[[#This Row],[Sulf]]&gt;0.5,vp.tbl[[#This Row],[Unknown]]=0),1,0)</f>
        <v>0</v>
      </c>
      <c r="AC1576">
        <f>IF(AND(vp.tbl[[#This Row],[CrudeType]]="Crude",vp.tbl[[#This Row],[Dens]]&gt;825,vp.tbl[[#This Row],[Dens]]&lt;=900,vp.tbl[[#This Row],[Sulf]]&lt;=0.5,vp.tbl[[#This Row],[Unknown]]=0),1,0)</f>
        <v>0</v>
      </c>
      <c r="AD1576">
        <f>IF(AND(vp.tbl[[#This Row],[CrudeType]]="Crude",vp.tbl[[#This Row],[Dens]]&gt;870,vp.tbl[[#This Row],[Dens]]&lt;=900,vp.tbl[[#This Row],[Sulf]]&gt;0.5,vp.tbl[[#This Row],[Unknown]]=0),1,0)</f>
        <v>0</v>
      </c>
      <c r="AE1576">
        <f>IF(AND(vp.tbl[[#This Row],[CrudeType]]="Crude",vp.tbl[[#This Row],[Dens]]&gt;900,vp.tbl[[#This Row],[Sulf]]&lt;=0.5,vp.tbl[[#This Row],[Unknown]]=0),1,0)</f>
        <v>0</v>
      </c>
      <c r="AF1576">
        <f>IF(AND(vp.tbl[[#This Row],[CrudeType]]="Crude",vp.tbl[[#This Row],[Dens]]&gt;900,vp.tbl[[#This Row],[Sulf]]&lt;=0.5,vp.tbl[[#This Row],[Unknown]]=0),1,0)</f>
        <v>0</v>
      </c>
      <c r="AG1576" t="str">
        <f>INDEX(vp.tbl[[#Headers],[Unknown]:[Heavy_SW]],MATCH(1,vp.tbl[[#This Row],[Unknown]:[Heavy_SW]],0))</f>
        <v>Light_SW</v>
      </c>
      <c r="AH1576" t="e">
        <f>INDEX([1]!crudeBD.lkup[Number],MATCH(vp.tbl[[#This Row],[Crude_Breakdown]],[1]!crudeBD.lkup[Crude Breakdown],0))</f>
        <v>#REF!</v>
      </c>
      <c r="AI1576">
        <f>MONTH(vp.tbl[[#This Row],[SDate]])</f>
        <v>5</v>
      </c>
      <c r="AJ1576" s="5">
        <f>IFERROR(vp.tbl[[#This Row],[Sulf]]*vp.tbl[[#This Row],[Net Dens]],"")</f>
        <v>3676357.5901499996</v>
      </c>
      <c r="AK1576" s="5">
        <f>IFERROR(vp.tbl[[#This Row],[Dens]]*vp.tbl[[#This Row],[VolumeM3]],"")</f>
        <v>10503878.829</v>
      </c>
      <c r="AL1576" s="5">
        <f>IFERROR(vp.tbl[[#This Row],[VP]]*vp.tbl[[#This Row],[VolumeM3]],"")</f>
        <v>1020525.1866</v>
      </c>
      <c r="AM1576" s="4">
        <f>IFERROR((vp.tbl[[#This Row],[VP]]-INDEX(crudeBD.lkup.complete[Mean_VP],MATCH(vp.tbl[[#This Row],[Crude_Breakdown]],crudeBD.lkup.complete[Crude Breakdown],0)))^2,"")</f>
        <v>194.61124922725716</v>
      </c>
      <c r="AN1576" s="4">
        <f>IFERROR((vp.tbl[[#This Row],[Dens]]-INDEX(crudeBD.lkup.complete[Mean_Dens],MATCH(vp.tbl[[#This Row],[Crude_Breakdown]],crudeBD.lkup.complete[Crude Breakdown],0)))^2,"")</f>
        <v>0.4740346489580396</v>
      </c>
      <c r="AO1576" s="4">
        <f>IFERROR((vp.tbl[[#This Row],[Sulf]]-INDEX(crudeBD.lkup.complete[Mean_Sulf],MATCH(vp.tbl[[#This Row],[Crude_Breakdown]],crudeBD.lkup.complete[Crude Breakdown],0)))^2,"")</f>
        <v>1.2940925371923933E-2</v>
      </c>
      <c r="AP1576">
        <f>IF(AND(vp.tbl[[#This Row],[SDate]]&gt;=DATE(YEAR(vp.tbl[[#This Row],[SDate]]),5,1),vp.tbl[[#This Row],[SDate]]&lt;=DATE(YEAR(vp.tbl[[#This Row],[SDate]]),9,15)),1,0)</f>
        <v>1</v>
      </c>
      <c r="AQ1576" s="15">
        <f>IF(vp.tbl[[#This Row],[SDate]]&lt;DATE(2016,12,1),0,1)</f>
        <v>1</v>
      </c>
    </row>
    <row r="1577" spans="1:43" x14ac:dyDescent="0.25">
      <c r="A1577">
        <v>1576</v>
      </c>
      <c r="B1577" t="s">
        <v>62</v>
      </c>
      <c r="C1577" t="s">
        <v>62</v>
      </c>
      <c r="D1577" t="s">
        <v>87</v>
      </c>
      <c r="F1577" s="1">
        <v>42886</v>
      </c>
      <c r="G1577" s="2">
        <v>76.8</v>
      </c>
      <c r="H1577" s="2"/>
      <c r="I1577" s="2">
        <v>0.26</v>
      </c>
      <c r="J1577" s="2"/>
      <c r="K1577" s="2"/>
      <c r="L1577" s="2"/>
      <c r="M1577" s="2">
        <v>811.8</v>
      </c>
      <c r="N1577" s="2">
        <f ca="1">INDEX(INDIRECT(_xlfn.CONCAT("weather.tbl[",N$1,"]")),MATCH(vp.tbl[[#This Row],[SDate]],weather.tbl[Date],0))</f>
        <v>13.600000000000001</v>
      </c>
      <c r="O1577" s="2">
        <f ca="1">INDEX(INDIRECT(_xlfn.CONCAT("weather.tbl[",O$1,"]")),MATCH(vp.tbl[[#This Row],[SDate]],weather.tbl[Date],0))</f>
        <v>12.745238095238095</v>
      </c>
      <c r="P1577" s="2">
        <f ca="1">INDEX(INDIRECT(_xlfn.CONCAT("weather.tbl[",P$1,"]")),MATCH(vp.tbl[[#This Row],[SDate]],weather.tbl[Date],0))</f>
        <v>13.9</v>
      </c>
      <c r="Q1577" s="2">
        <f ca="1">INDEX(INDIRECT(_xlfn.CONCAT("weather.tbl[",Q$1,"]")),MATCH(vp.tbl[[#This Row],[SDate]],weather.tbl[Date],0))</f>
        <v>13.7</v>
      </c>
      <c r="R1577" s="2">
        <f ca="1">INDEX(INDIRECT(_xlfn.CONCAT("weather.tbl[",R$1,"]")),MATCH(vp.tbl[[#This Row],[SDate]],weather.tbl[Date],0))</f>
        <v>12.8</v>
      </c>
      <c r="S1577" s="2">
        <f ca="1">INDEX(INDIRECT(_xlfn.CONCAT("weather.tbl[",S$1,"]")),MATCH(vp.tbl[[#This Row],[SDate]],weather.tbl[Date],0))</f>
        <v>13.5</v>
      </c>
      <c r="T1577" s="2">
        <f ca="1">INDEX(INDIRECT(_xlfn.CONCAT("weather.tbl[",T$1,"]")),MATCH(vp.tbl[[#This Row],[SDate]],weather.tbl[Date],0))</f>
        <v>14.2</v>
      </c>
      <c r="U1577" s="2">
        <f ca="1">INDEX(INDIRECT(_xlfn.CONCAT("weather.tbl[",U$1,"]")),MATCH(vp.tbl[[#This Row],[SDate]],weather.tbl[Date],0))</f>
        <v>13.5</v>
      </c>
      <c r="V1577" s="2">
        <v>3329.3429999999998</v>
      </c>
      <c r="W1577" t="s">
        <v>48</v>
      </c>
      <c r="X1577">
        <f>IF(OR(vp.tbl[[#This Row],[Sulf]]="",vp.tbl[[#This Row],[Dens]]=""),1,0)</f>
        <v>0</v>
      </c>
      <c r="Y1577">
        <f>IF(vp.tbl[[#This Row],[CrudeType]]="C5+",1,0)</f>
        <v>0</v>
      </c>
      <c r="Z1577">
        <f>IF(AND(vp.tbl[[#This Row],[CrudeType]]="Crude",vp.tbl[[#This Row],[Dens]]&lt;=825,vp.tbl[[#This Row],[Sulf]]&gt;0.5,vp.tbl[[#This Row],[Unknown]]=0),1,0)</f>
        <v>0</v>
      </c>
      <c r="AA1577">
        <f>IF(AND(vp.tbl[[#This Row],[CrudeType]]="Crude",vp.tbl[[#This Row],[Dens]]&lt;=825,vp.tbl[[#This Row],[Sulf]]&lt;=0.5,vp.tbl[[#This Row],[Unknown]]=0),1,0)</f>
        <v>1</v>
      </c>
      <c r="AB1577">
        <f>IF(AND(vp.tbl[[#This Row],[CrudeType]]="Crude",vp.tbl[[#This Row],[Dens]]&gt;825,vp.tbl[[#This Row],[Dens]]&lt;=870,vp.tbl[[#This Row],[Sulf]]&gt;0.5,vp.tbl[[#This Row],[Unknown]]=0),1,0)</f>
        <v>0</v>
      </c>
      <c r="AC1577">
        <f>IF(AND(vp.tbl[[#This Row],[CrudeType]]="Crude",vp.tbl[[#This Row],[Dens]]&gt;825,vp.tbl[[#This Row],[Dens]]&lt;=900,vp.tbl[[#This Row],[Sulf]]&lt;=0.5,vp.tbl[[#This Row],[Unknown]]=0),1,0)</f>
        <v>0</v>
      </c>
      <c r="AD1577">
        <f>IF(AND(vp.tbl[[#This Row],[CrudeType]]="Crude",vp.tbl[[#This Row],[Dens]]&gt;870,vp.tbl[[#This Row],[Dens]]&lt;=900,vp.tbl[[#This Row],[Sulf]]&gt;0.5,vp.tbl[[#This Row],[Unknown]]=0),1,0)</f>
        <v>0</v>
      </c>
      <c r="AE1577">
        <f>IF(AND(vp.tbl[[#This Row],[CrudeType]]="Crude",vp.tbl[[#This Row],[Dens]]&gt;900,vp.tbl[[#This Row],[Sulf]]&lt;=0.5,vp.tbl[[#This Row],[Unknown]]=0),1,0)</f>
        <v>0</v>
      </c>
      <c r="AF1577">
        <f>IF(AND(vp.tbl[[#This Row],[CrudeType]]="Crude",vp.tbl[[#This Row],[Dens]]&gt;900,vp.tbl[[#This Row],[Sulf]]&lt;=0.5,vp.tbl[[#This Row],[Unknown]]=0),1,0)</f>
        <v>0</v>
      </c>
      <c r="AG1577" t="str">
        <f>INDEX(vp.tbl[[#Headers],[Unknown]:[Heavy_SW]],MATCH(1,vp.tbl[[#This Row],[Unknown]:[Heavy_SW]],0))</f>
        <v>Light_SW</v>
      </c>
      <c r="AH1577" t="e">
        <f>INDEX([1]!crudeBD.lkup[Number],MATCH(vp.tbl[[#This Row],[Crude_Breakdown]],[1]!crudeBD.lkup[Crude Breakdown],0))</f>
        <v>#REF!</v>
      </c>
      <c r="AI1577">
        <f>MONTH(vp.tbl[[#This Row],[SDate]])</f>
        <v>5</v>
      </c>
      <c r="AJ1577" s="5">
        <f>IFERROR(vp.tbl[[#This Row],[Sulf]]*vp.tbl[[#This Row],[Net Dens]],"")</f>
        <v>702717.76832399995</v>
      </c>
      <c r="AK1577" s="5">
        <f>IFERROR(vp.tbl[[#This Row],[Dens]]*vp.tbl[[#This Row],[VolumeM3]],"")</f>
        <v>2702760.6473999997</v>
      </c>
      <c r="AL1577" s="5">
        <f>IFERROR(vp.tbl[[#This Row],[VP]]*vp.tbl[[#This Row],[VolumeM3]],"")</f>
        <v>255693.54239999998</v>
      </c>
      <c r="AM1577" s="4">
        <f>IFERROR((vp.tbl[[#This Row],[VP]]-INDEX(crudeBD.lkup.complete[Mean_VP],MATCH(vp.tbl[[#This Row],[Crude_Breakdown]],crudeBD.lkup.complete[Crude Breakdown],0)))^2,"")</f>
        <v>248.0723781471176</v>
      </c>
      <c r="AN1577" s="4">
        <f>IFERROR((vp.tbl[[#This Row],[Dens]]-INDEX(crudeBD.lkup.complete[Mean_Dens],MATCH(vp.tbl[[#This Row],[Crude_Breakdown]],crudeBD.lkup.complete[Crude Breakdown],0)))^2,"")</f>
        <v>12.169644405056506</v>
      </c>
      <c r="AO1577" s="4">
        <f>IFERROR((vp.tbl[[#This Row],[Sulf]]-INDEX(crudeBD.lkup.complete[Mean_Sulf],MATCH(vp.tbl[[#This Row],[Crude_Breakdown]],crudeBD.lkup.complete[Crude Breakdown],0)))^2,"")</f>
        <v>5.644515043280923E-4</v>
      </c>
      <c r="AP1577">
        <f>IF(AND(vp.tbl[[#This Row],[SDate]]&gt;=DATE(YEAR(vp.tbl[[#This Row],[SDate]]),5,1),vp.tbl[[#This Row],[SDate]]&lt;=DATE(YEAR(vp.tbl[[#This Row],[SDate]]),9,15)),1,0)</f>
        <v>1</v>
      </c>
      <c r="AQ1577" s="15">
        <f>IF(vp.tbl[[#This Row],[SDate]]&lt;DATE(2016,12,1),0,1)</f>
        <v>1</v>
      </c>
    </row>
    <row r="1578" spans="1:43" x14ac:dyDescent="0.25">
      <c r="A1578">
        <v>1577</v>
      </c>
      <c r="B1578" t="s">
        <v>62</v>
      </c>
      <c r="C1578" t="s">
        <v>62</v>
      </c>
      <c r="D1578" t="s">
        <v>83</v>
      </c>
      <c r="F1578" s="1">
        <v>42886</v>
      </c>
      <c r="G1578" s="2">
        <v>77</v>
      </c>
      <c r="H1578" s="2"/>
      <c r="I1578" s="2">
        <v>0.19</v>
      </c>
      <c r="J1578" s="2"/>
      <c r="K1578" s="2"/>
      <c r="L1578" s="2"/>
      <c r="M1578" s="2">
        <v>810.1</v>
      </c>
      <c r="N1578" s="2">
        <f ca="1">INDEX(INDIRECT(_xlfn.CONCAT("weather.tbl[",N$1,"]")),MATCH(vp.tbl[[#This Row],[SDate]],weather.tbl[Date],0))</f>
        <v>13.600000000000001</v>
      </c>
      <c r="O1578" s="2">
        <f ca="1">INDEX(INDIRECT(_xlfn.CONCAT("weather.tbl[",O$1,"]")),MATCH(vp.tbl[[#This Row],[SDate]],weather.tbl[Date],0))</f>
        <v>12.745238095238095</v>
      </c>
      <c r="P1578" s="2">
        <f ca="1">INDEX(INDIRECT(_xlfn.CONCAT("weather.tbl[",P$1,"]")),MATCH(vp.tbl[[#This Row],[SDate]],weather.tbl[Date],0))</f>
        <v>13.9</v>
      </c>
      <c r="Q1578" s="2">
        <f ca="1">INDEX(INDIRECT(_xlfn.CONCAT("weather.tbl[",Q$1,"]")),MATCH(vp.tbl[[#This Row],[SDate]],weather.tbl[Date],0))</f>
        <v>13.7</v>
      </c>
      <c r="R1578" s="2">
        <f ca="1">INDEX(INDIRECT(_xlfn.CONCAT("weather.tbl[",R$1,"]")),MATCH(vp.tbl[[#This Row],[SDate]],weather.tbl[Date],0))</f>
        <v>12.8</v>
      </c>
      <c r="S1578" s="2">
        <f ca="1">INDEX(INDIRECT(_xlfn.CONCAT("weather.tbl[",S$1,"]")),MATCH(vp.tbl[[#This Row],[SDate]],weather.tbl[Date],0))</f>
        <v>13.5</v>
      </c>
      <c r="T1578" s="2">
        <f ca="1">INDEX(INDIRECT(_xlfn.CONCAT("weather.tbl[",T$1,"]")),MATCH(vp.tbl[[#This Row],[SDate]],weather.tbl[Date],0))</f>
        <v>14.2</v>
      </c>
      <c r="U1578" s="2">
        <f ca="1">INDEX(INDIRECT(_xlfn.CONCAT("weather.tbl[",U$1,"]")),MATCH(vp.tbl[[#This Row],[SDate]],weather.tbl[Date],0))</f>
        <v>13.5</v>
      </c>
      <c r="V1578" s="2">
        <v>8729.3289999999997</v>
      </c>
      <c r="W1578" t="s">
        <v>48</v>
      </c>
      <c r="X1578">
        <f>IF(OR(vp.tbl[[#This Row],[Sulf]]="",vp.tbl[[#This Row],[Dens]]=""),1,0)</f>
        <v>0</v>
      </c>
      <c r="Y1578">
        <f>IF(vp.tbl[[#This Row],[CrudeType]]="C5+",1,0)</f>
        <v>0</v>
      </c>
      <c r="Z1578">
        <f>IF(AND(vp.tbl[[#This Row],[CrudeType]]="Crude",vp.tbl[[#This Row],[Dens]]&lt;=825,vp.tbl[[#This Row],[Sulf]]&gt;0.5,vp.tbl[[#This Row],[Unknown]]=0),1,0)</f>
        <v>0</v>
      </c>
      <c r="AA1578">
        <f>IF(AND(vp.tbl[[#This Row],[CrudeType]]="Crude",vp.tbl[[#This Row],[Dens]]&lt;=825,vp.tbl[[#This Row],[Sulf]]&lt;=0.5,vp.tbl[[#This Row],[Unknown]]=0),1,0)</f>
        <v>1</v>
      </c>
      <c r="AB1578">
        <f>IF(AND(vp.tbl[[#This Row],[CrudeType]]="Crude",vp.tbl[[#This Row],[Dens]]&gt;825,vp.tbl[[#This Row],[Dens]]&lt;=870,vp.tbl[[#This Row],[Sulf]]&gt;0.5,vp.tbl[[#This Row],[Unknown]]=0),1,0)</f>
        <v>0</v>
      </c>
      <c r="AC1578">
        <f>IF(AND(vp.tbl[[#This Row],[CrudeType]]="Crude",vp.tbl[[#This Row],[Dens]]&gt;825,vp.tbl[[#This Row],[Dens]]&lt;=900,vp.tbl[[#This Row],[Sulf]]&lt;=0.5,vp.tbl[[#This Row],[Unknown]]=0),1,0)</f>
        <v>0</v>
      </c>
      <c r="AD1578">
        <f>IF(AND(vp.tbl[[#This Row],[CrudeType]]="Crude",vp.tbl[[#This Row],[Dens]]&gt;870,vp.tbl[[#This Row],[Dens]]&lt;=900,vp.tbl[[#This Row],[Sulf]]&gt;0.5,vp.tbl[[#This Row],[Unknown]]=0),1,0)</f>
        <v>0</v>
      </c>
      <c r="AE1578">
        <f>IF(AND(vp.tbl[[#This Row],[CrudeType]]="Crude",vp.tbl[[#This Row],[Dens]]&gt;900,vp.tbl[[#This Row],[Sulf]]&lt;=0.5,vp.tbl[[#This Row],[Unknown]]=0),1,0)</f>
        <v>0</v>
      </c>
      <c r="AF1578">
        <f>IF(AND(vp.tbl[[#This Row],[CrudeType]]="Crude",vp.tbl[[#This Row],[Dens]]&gt;900,vp.tbl[[#This Row],[Sulf]]&lt;=0.5,vp.tbl[[#This Row],[Unknown]]=0),1,0)</f>
        <v>0</v>
      </c>
      <c r="AG1578" t="str">
        <f>INDEX(vp.tbl[[#Headers],[Unknown]:[Heavy_SW]],MATCH(1,vp.tbl[[#This Row],[Unknown]:[Heavy_SW]],0))</f>
        <v>Light_SW</v>
      </c>
      <c r="AH1578" t="e">
        <f>INDEX([1]!crudeBD.lkup[Number],MATCH(vp.tbl[[#This Row],[Crude_Breakdown]],[1]!crudeBD.lkup[Crude Breakdown],0))</f>
        <v>#REF!</v>
      </c>
      <c r="AI1578">
        <f>MONTH(vp.tbl[[#This Row],[SDate]])</f>
        <v>5</v>
      </c>
      <c r="AJ1578" s="5">
        <f>IFERROR(vp.tbl[[#This Row],[Sulf]]*vp.tbl[[#This Row],[Net Dens]],"")</f>
        <v>1343609.590351</v>
      </c>
      <c r="AK1578" s="5">
        <f>IFERROR(vp.tbl[[#This Row],[Dens]]*vp.tbl[[#This Row],[VolumeM3]],"")</f>
        <v>7071629.4228999997</v>
      </c>
      <c r="AL1578" s="5">
        <f>IFERROR(vp.tbl[[#This Row],[VP]]*vp.tbl[[#This Row],[VolumeM3]],"")</f>
        <v>672158.33299999998</v>
      </c>
      <c r="AM1578" s="4">
        <f>IFERROR((vp.tbl[[#This Row],[VP]]-INDEX(crudeBD.lkup.complete[Mean_VP],MATCH(vp.tbl[[#This Row],[Crude_Breakdown]],crudeBD.lkup.complete[Crude Breakdown],0)))^2,"")</f>
        <v>241.81225271157746</v>
      </c>
      <c r="AN1578" s="4">
        <f>IFERROR((vp.tbl[[#This Row],[Dens]]-INDEX(crudeBD.lkup.complete[Mean_Dens],MATCH(vp.tbl[[#This Row],[Crude_Breakdown]],crudeBD.lkup.complete[Crude Breakdown],0)))^2,"")</f>
        <v>3.1987384817112146</v>
      </c>
      <c r="AO1578" s="4">
        <f>IFERROR((vp.tbl[[#This Row],[Sulf]]-INDEX(crudeBD.lkup.complete[Mean_Sulf],MATCH(vp.tbl[[#This Row],[Crude_Breakdown]],crudeBD.lkup.complete[Crude Breakdown],0)))^2,"")</f>
        <v>2.1383051628646554E-3</v>
      </c>
      <c r="AP1578">
        <f>IF(AND(vp.tbl[[#This Row],[SDate]]&gt;=DATE(YEAR(vp.tbl[[#This Row],[SDate]]),5,1),vp.tbl[[#This Row],[SDate]]&lt;=DATE(YEAR(vp.tbl[[#This Row],[SDate]]),9,15)),1,0)</f>
        <v>1</v>
      </c>
      <c r="AQ1578" s="15">
        <f>IF(vp.tbl[[#This Row],[SDate]]&lt;DATE(2016,12,1),0,1)</f>
        <v>1</v>
      </c>
    </row>
    <row r="1579" spans="1:43" x14ac:dyDescent="0.25">
      <c r="A1579">
        <v>1578</v>
      </c>
      <c r="B1579" t="s">
        <v>64</v>
      </c>
      <c r="C1579" t="s">
        <v>64</v>
      </c>
      <c r="D1579" t="s">
        <v>65</v>
      </c>
      <c r="F1579" s="1">
        <v>42886</v>
      </c>
      <c r="G1579" s="2">
        <v>47.2</v>
      </c>
      <c r="H1579" s="2"/>
      <c r="I1579" s="2">
        <v>2.0699999999999998</v>
      </c>
      <c r="J1579" s="2"/>
      <c r="K1579" s="2"/>
      <c r="L1579" s="2"/>
      <c r="M1579" s="2">
        <v>876.5</v>
      </c>
      <c r="N1579" s="2">
        <f ca="1">INDEX(INDIRECT(_xlfn.CONCAT("weather.tbl[",N$1,"]")),MATCH(vp.tbl[[#This Row],[SDate]],weather.tbl[Date],0))</f>
        <v>13.600000000000001</v>
      </c>
      <c r="O1579" s="2">
        <f ca="1">INDEX(INDIRECT(_xlfn.CONCAT("weather.tbl[",O$1,"]")),MATCH(vp.tbl[[#This Row],[SDate]],weather.tbl[Date],0))</f>
        <v>12.745238095238095</v>
      </c>
      <c r="P1579" s="2">
        <f ca="1">INDEX(INDIRECT(_xlfn.CONCAT("weather.tbl[",P$1,"]")),MATCH(vp.tbl[[#This Row],[SDate]],weather.tbl[Date],0))</f>
        <v>13.9</v>
      </c>
      <c r="Q1579" s="2">
        <f ca="1">INDEX(INDIRECT(_xlfn.CONCAT("weather.tbl[",Q$1,"]")),MATCH(vp.tbl[[#This Row],[SDate]],weather.tbl[Date],0))</f>
        <v>13.7</v>
      </c>
      <c r="R1579" s="2">
        <f ca="1">INDEX(INDIRECT(_xlfn.CONCAT("weather.tbl[",R$1,"]")),MATCH(vp.tbl[[#This Row],[SDate]],weather.tbl[Date],0))</f>
        <v>12.8</v>
      </c>
      <c r="S1579" s="2">
        <f ca="1">INDEX(INDIRECT(_xlfn.CONCAT("weather.tbl[",S$1,"]")),MATCH(vp.tbl[[#This Row],[SDate]],weather.tbl[Date],0))</f>
        <v>13.5</v>
      </c>
      <c r="T1579" s="2">
        <f ca="1">INDEX(INDIRECT(_xlfn.CONCAT("weather.tbl[",T$1,"]")),MATCH(vp.tbl[[#This Row],[SDate]],weather.tbl[Date],0))</f>
        <v>14.2</v>
      </c>
      <c r="U1579" s="2">
        <f ca="1">INDEX(INDIRECT(_xlfn.CONCAT("weather.tbl[",U$1,"]")),MATCH(vp.tbl[[#This Row],[SDate]],weather.tbl[Date],0))</f>
        <v>13.5</v>
      </c>
      <c r="V1579" s="2">
        <v>21822.753000000001</v>
      </c>
      <c r="W1579" t="s">
        <v>48</v>
      </c>
      <c r="X1579">
        <f>IF(OR(vp.tbl[[#This Row],[Sulf]]="",vp.tbl[[#This Row],[Dens]]=""),1,0)</f>
        <v>0</v>
      </c>
      <c r="Y1579">
        <f>IF(vp.tbl[[#This Row],[CrudeType]]="C5+",1,0)</f>
        <v>0</v>
      </c>
      <c r="Z1579">
        <f>IF(AND(vp.tbl[[#This Row],[CrudeType]]="Crude",vp.tbl[[#This Row],[Dens]]&lt;=825,vp.tbl[[#This Row],[Sulf]]&gt;0.5,vp.tbl[[#This Row],[Unknown]]=0),1,0)</f>
        <v>0</v>
      </c>
      <c r="AA1579">
        <f>IF(AND(vp.tbl[[#This Row],[CrudeType]]="Crude",vp.tbl[[#This Row],[Dens]]&lt;=825,vp.tbl[[#This Row],[Sulf]]&lt;=0.5,vp.tbl[[#This Row],[Unknown]]=0),1,0)</f>
        <v>0</v>
      </c>
      <c r="AB1579">
        <f>IF(AND(vp.tbl[[#This Row],[CrudeType]]="Crude",vp.tbl[[#This Row],[Dens]]&gt;825,vp.tbl[[#This Row],[Dens]]&lt;=870,vp.tbl[[#This Row],[Sulf]]&gt;0.5,vp.tbl[[#This Row],[Unknown]]=0),1,0)</f>
        <v>0</v>
      </c>
      <c r="AC1579">
        <f>IF(AND(vp.tbl[[#This Row],[CrudeType]]="Crude",vp.tbl[[#This Row],[Dens]]&gt;825,vp.tbl[[#This Row],[Dens]]&lt;=900,vp.tbl[[#This Row],[Sulf]]&lt;=0.5,vp.tbl[[#This Row],[Unknown]]=0),1,0)</f>
        <v>0</v>
      </c>
      <c r="AD1579">
        <f>IF(AND(vp.tbl[[#This Row],[CrudeType]]="Crude",vp.tbl[[#This Row],[Dens]]&gt;870,vp.tbl[[#This Row],[Dens]]&lt;=900,vp.tbl[[#This Row],[Sulf]]&gt;0.5,vp.tbl[[#This Row],[Unknown]]=0),1,0)</f>
        <v>1</v>
      </c>
      <c r="AE1579">
        <f>IF(AND(vp.tbl[[#This Row],[CrudeType]]="Crude",vp.tbl[[#This Row],[Dens]]&gt;900,vp.tbl[[#This Row],[Sulf]]&lt;=0.5,vp.tbl[[#This Row],[Unknown]]=0),1,0)</f>
        <v>0</v>
      </c>
      <c r="AF1579">
        <f>IF(AND(vp.tbl[[#This Row],[CrudeType]]="Crude",vp.tbl[[#This Row],[Dens]]&gt;900,vp.tbl[[#This Row],[Sulf]]&lt;=0.5,vp.tbl[[#This Row],[Unknown]]=0),1,0)</f>
        <v>0</v>
      </c>
      <c r="AG1579" t="str">
        <f>INDEX(vp.tbl[[#Headers],[Unknown]:[Heavy_SW]],MATCH(1,vp.tbl[[#This Row],[Unknown]:[Heavy_SW]],0))</f>
        <v>Midale</v>
      </c>
      <c r="AH1579" t="e">
        <f>INDEX([1]!crudeBD.lkup[Number],MATCH(vp.tbl[[#This Row],[Crude_Breakdown]],[1]!crudeBD.lkup[Crude Breakdown],0))</f>
        <v>#REF!</v>
      </c>
      <c r="AI1579">
        <f>MONTH(vp.tbl[[#This Row],[SDate]])</f>
        <v>5</v>
      </c>
      <c r="AJ1579" s="5">
        <f>IFERROR(vp.tbl[[#This Row],[Sulf]]*vp.tbl[[#This Row],[Net Dens]],"")</f>
        <v>39594221.019314997</v>
      </c>
      <c r="AK1579" s="5">
        <f>IFERROR(vp.tbl[[#This Row],[Dens]]*vp.tbl[[#This Row],[VolumeM3]],"")</f>
        <v>19127643.004500002</v>
      </c>
      <c r="AL1579" s="5">
        <f>IFERROR(vp.tbl[[#This Row],[VP]]*vp.tbl[[#This Row],[VolumeM3]],"")</f>
        <v>1030033.9416000001</v>
      </c>
      <c r="AM1579" s="4">
        <f>IFERROR((vp.tbl[[#This Row],[VP]]-INDEX(crudeBD.lkup.complete[Mean_VP],MATCH(vp.tbl[[#This Row],[Crude_Breakdown]],crudeBD.lkup.complete[Crude Breakdown],0)))^2,"")</f>
        <v>442.61243009945622</v>
      </c>
      <c r="AN1579" s="4">
        <f>IFERROR((vp.tbl[[#This Row],[Dens]]-INDEX(crudeBD.lkup.complete[Mean_Dens],MATCH(vp.tbl[[#This Row],[Crude_Breakdown]],crudeBD.lkup.complete[Crude Breakdown],0)))^2,"")</f>
        <v>1.1068192906730354</v>
      </c>
      <c r="AO1579" s="4">
        <f>IFERROR((vp.tbl[[#This Row],[Sulf]]-INDEX(crudeBD.lkup.complete[Mean_Sulf],MATCH(vp.tbl[[#This Row],[Crude_Breakdown]],crudeBD.lkup.complete[Crude Breakdown],0)))^2,"")</f>
        <v>0.11925981021371665</v>
      </c>
      <c r="AP1579">
        <f>IF(AND(vp.tbl[[#This Row],[SDate]]&gt;=DATE(YEAR(vp.tbl[[#This Row],[SDate]]),5,1),vp.tbl[[#This Row],[SDate]]&lt;=DATE(YEAR(vp.tbl[[#This Row],[SDate]]),9,15)),1,0)</f>
        <v>1</v>
      </c>
      <c r="AQ1579" s="15">
        <f>IF(vp.tbl[[#This Row],[SDate]]&lt;DATE(2016,12,1),0,1)</f>
        <v>1</v>
      </c>
    </row>
    <row r="1580" spans="1:43" x14ac:dyDescent="0.25">
      <c r="A1580">
        <v>1579</v>
      </c>
      <c r="B1580" t="s">
        <v>46</v>
      </c>
      <c r="C1580" t="s">
        <v>46</v>
      </c>
      <c r="D1580" t="s">
        <v>47</v>
      </c>
      <c r="F1580" s="1">
        <v>42886</v>
      </c>
      <c r="G1580" s="2">
        <v>53.3</v>
      </c>
      <c r="H1580" s="2"/>
      <c r="I1580" s="2">
        <v>2.25</v>
      </c>
      <c r="J1580" s="2"/>
      <c r="K1580" s="2"/>
      <c r="L1580" s="2"/>
      <c r="M1580" s="2">
        <v>868.7</v>
      </c>
      <c r="N1580" s="2">
        <f ca="1">INDEX(INDIRECT(_xlfn.CONCAT("weather.tbl[",N$1,"]")),MATCH(vp.tbl[[#This Row],[SDate]],weather.tbl[Date],0))</f>
        <v>13.600000000000001</v>
      </c>
      <c r="O1580" s="2">
        <f ca="1">INDEX(INDIRECT(_xlfn.CONCAT("weather.tbl[",O$1,"]")),MATCH(vp.tbl[[#This Row],[SDate]],weather.tbl[Date],0))</f>
        <v>12.745238095238095</v>
      </c>
      <c r="P1580" s="2">
        <f ca="1">INDEX(INDIRECT(_xlfn.CONCAT("weather.tbl[",P$1,"]")),MATCH(vp.tbl[[#This Row],[SDate]],weather.tbl[Date],0))</f>
        <v>13.9</v>
      </c>
      <c r="Q1580" s="2">
        <f ca="1">INDEX(INDIRECT(_xlfn.CONCAT("weather.tbl[",Q$1,"]")),MATCH(vp.tbl[[#This Row],[SDate]],weather.tbl[Date],0))</f>
        <v>13.7</v>
      </c>
      <c r="R1580" s="2">
        <f ca="1">INDEX(INDIRECT(_xlfn.CONCAT("weather.tbl[",R$1,"]")),MATCH(vp.tbl[[#This Row],[SDate]],weather.tbl[Date],0))</f>
        <v>12.8</v>
      </c>
      <c r="S1580" s="2">
        <f ca="1">INDEX(INDIRECT(_xlfn.CONCAT("weather.tbl[",S$1,"]")),MATCH(vp.tbl[[#This Row],[SDate]],weather.tbl[Date],0))</f>
        <v>13.5</v>
      </c>
      <c r="T1580" s="2">
        <f ca="1">INDEX(INDIRECT(_xlfn.CONCAT("weather.tbl[",T$1,"]")),MATCH(vp.tbl[[#This Row],[SDate]],weather.tbl[Date],0))</f>
        <v>14.2</v>
      </c>
      <c r="U1580" s="2">
        <f ca="1">INDEX(INDIRECT(_xlfn.CONCAT("weather.tbl[",U$1,"]")),MATCH(vp.tbl[[#This Row],[SDate]],weather.tbl[Date],0))</f>
        <v>13.5</v>
      </c>
      <c r="V1580" s="2">
        <v>115996.79399999999</v>
      </c>
      <c r="W1580" t="s">
        <v>48</v>
      </c>
      <c r="X1580">
        <f>IF(OR(vp.tbl[[#This Row],[Sulf]]="",vp.tbl[[#This Row],[Dens]]=""),1,0)</f>
        <v>0</v>
      </c>
      <c r="Y1580">
        <f>IF(vp.tbl[[#This Row],[CrudeType]]="C5+",1,0)</f>
        <v>0</v>
      </c>
      <c r="Z1580">
        <f>IF(AND(vp.tbl[[#This Row],[CrudeType]]="Crude",vp.tbl[[#This Row],[Dens]]&lt;=825,vp.tbl[[#This Row],[Sulf]]&gt;0.5,vp.tbl[[#This Row],[Unknown]]=0),1,0)</f>
        <v>0</v>
      </c>
      <c r="AA1580">
        <f>IF(AND(vp.tbl[[#This Row],[CrudeType]]="Crude",vp.tbl[[#This Row],[Dens]]&lt;=825,vp.tbl[[#This Row],[Sulf]]&lt;=0.5,vp.tbl[[#This Row],[Unknown]]=0),1,0)</f>
        <v>0</v>
      </c>
      <c r="AB1580">
        <f>IF(AND(vp.tbl[[#This Row],[CrudeType]]="Crude",vp.tbl[[#This Row],[Dens]]&gt;825,vp.tbl[[#This Row],[Dens]]&lt;=870,vp.tbl[[#This Row],[Sulf]]&gt;0.5,vp.tbl[[#This Row],[Unknown]]=0),1,0)</f>
        <v>1</v>
      </c>
      <c r="AC1580">
        <f>IF(AND(vp.tbl[[#This Row],[CrudeType]]="Crude",vp.tbl[[#This Row],[Dens]]&gt;825,vp.tbl[[#This Row],[Dens]]&lt;=900,vp.tbl[[#This Row],[Sulf]]&lt;=0.5,vp.tbl[[#This Row],[Unknown]]=0),1,0)</f>
        <v>0</v>
      </c>
      <c r="AD1580">
        <f>IF(AND(vp.tbl[[#This Row],[CrudeType]]="Crude",vp.tbl[[#This Row],[Dens]]&gt;870,vp.tbl[[#This Row],[Dens]]&lt;=900,vp.tbl[[#This Row],[Sulf]]&gt;0.5,vp.tbl[[#This Row],[Unknown]]=0),1,0)</f>
        <v>0</v>
      </c>
      <c r="AE1580">
        <f>IF(AND(vp.tbl[[#This Row],[CrudeType]]="Crude",vp.tbl[[#This Row],[Dens]]&gt;900,vp.tbl[[#This Row],[Sulf]]&lt;=0.5,vp.tbl[[#This Row],[Unknown]]=0),1,0)</f>
        <v>0</v>
      </c>
      <c r="AF1580">
        <f>IF(AND(vp.tbl[[#This Row],[CrudeType]]="Crude",vp.tbl[[#This Row],[Dens]]&gt;900,vp.tbl[[#This Row],[Sulf]]&lt;=0.5,vp.tbl[[#This Row],[Unknown]]=0),1,0)</f>
        <v>0</v>
      </c>
      <c r="AG1580" t="str">
        <f>INDEX(vp.tbl[[#Headers],[Unknown]:[Heavy_SW]],MATCH(1,vp.tbl[[#This Row],[Unknown]:[Heavy_SW]],0))</f>
        <v>Medium_LSB</v>
      </c>
      <c r="AH1580" t="e">
        <f>INDEX([1]!crudeBD.lkup[Number],MATCH(vp.tbl[[#This Row],[Crude_Breakdown]],[1]!crudeBD.lkup[Crude Breakdown],0))</f>
        <v>#REF!</v>
      </c>
      <c r="AI1580">
        <f>MONTH(vp.tbl[[#This Row],[SDate]])</f>
        <v>5</v>
      </c>
      <c r="AJ1580" s="5">
        <f>IFERROR(vp.tbl[[#This Row],[Sulf]]*vp.tbl[[#This Row],[Net Dens]],"")</f>
        <v>226724433.63255</v>
      </c>
      <c r="AK1580" s="5">
        <f>IFERROR(vp.tbl[[#This Row],[Dens]]*vp.tbl[[#This Row],[VolumeM3]],"")</f>
        <v>100766414.9478</v>
      </c>
      <c r="AL1580" s="5">
        <f>IFERROR(vp.tbl[[#This Row],[VP]]*vp.tbl[[#This Row],[VolumeM3]],"")</f>
        <v>6182629.1201999998</v>
      </c>
      <c r="AM1580" s="4">
        <f>IFERROR((vp.tbl[[#This Row],[VP]]-INDEX(crudeBD.lkup.complete[Mean_VP],MATCH(vp.tbl[[#This Row],[Crude_Breakdown]],crudeBD.lkup.complete[Crude Breakdown],0)))^2,"")</f>
        <v>722.19010482230226</v>
      </c>
      <c r="AN1580" s="4">
        <f>IFERROR((vp.tbl[[#This Row],[Dens]]-INDEX(crudeBD.lkup.complete[Mean_Dens],MATCH(vp.tbl[[#This Row],[Crude_Breakdown]],crudeBD.lkup.complete[Crude Breakdown],0)))^2,"")</f>
        <v>547.94276053778253</v>
      </c>
      <c r="AO1580" s="4">
        <f>IFERROR((vp.tbl[[#This Row],[Sulf]]-INDEX(crudeBD.lkup.complete[Mean_Sulf],MATCH(vp.tbl[[#This Row],[Crude_Breakdown]],crudeBD.lkup.complete[Crude Breakdown],0)))^2,"")</f>
        <v>0.63213652631191575</v>
      </c>
      <c r="AP1580">
        <f>IF(AND(vp.tbl[[#This Row],[SDate]]&gt;=DATE(YEAR(vp.tbl[[#This Row],[SDate]]),5,1),vp.tbl[[#This Row],[SDate]]&lt;=DATE(YEAR(vp.tbl[[#This Row],[SDate]]),9,15)),1,0)</f>
        <v>1</v>
      </c>
      <c r="AQ1580" s="15">
        <f>IF(vp.tbl[[#This Row],[SDate]]&lt;DATE(2016,12,1),0,1)</f>
        <v>1</v>
      </c>
    </row>
    <row r="1581" spans="1:43" x14ac:dyDescent="0.25">
      <c r="A1581">
        <v>1580</v>
      </c>
      <c r="B1581" t="s">
        <v>111</v>
      </c>
      <c r="C1581" t="s">
        <v>111</v>
      </c>
      <c r="D1581" t="s">
        <v>112</v>
      </c>
      <c r="F1581" s="1">
        <v>42886</v>
      </c>
      <c r="G1581" s="2">
        <v>69.5</v>
      </c>
      <c r="H1581" s="2"/>
      <c r="I1581" s="2">
        <v>1.77</v>
      </c>
      <c r="J1581" s="2"/>
      <c r="K1581" s="2"/>
      <c r="L1581" s="2"/>
      <c r="M1581" s="2">
        <v>856.7</v>
      </c>
      <c r="N1581" s="2">
        <f ca="1">INDEX(INDIRECT(_xlfn.CONCAT("weather.tbl[",N$1,"]")),MATCH(vp.tbl[[#This Row],[SDate]],weather.tbl[Date],0))</f>
        <v>13.600000000000001</v>
      </c>
      <c r="O1581" s="2">
        <f ca="1">INDEX(INDIRECT(_xlfn.CONCAT("weather.tbl[",O$1,"]")),MATCH(vp.tbl[[#This Row],[SDate]],weather.tbl[Date],0))</f>
        <v>12.745238095238095</v>
      </c>
      <c r="P1581" s="2">
        <f ca="1">INDEX(INDIRECT(_xlfn.CONCAT("weather.tbl[",P$1,"]")),MATCH(vp.tbl[[#This Row],[SDate]],weather.tbl[Date],0))</f>
        <v>13.9</v>
      </c>
      <c r="Q1581" s="2">
        <f ca="1">INDEX(INDIRECT(_xlfn.CONCAT("weather.tbl[",Q$1,"]")),MATCH(vp.tbl[[#This Row],[SDate]],weather.tbl[Date],0))</f>
        <v>13.7</v>
      </c>
      <c r="R1581" s="2">
        <f ca="1">INDEX(INDIRECT(_xlfn.CONCAT("weather.tbl[",R$1,"]")),MATCH(vp.tbl[[#This Row],[SDate]],weather.tbl[Date],0))</f>
        <v>12.8</v>
      </c>
      <c r="S1581" s="2">
        <f ca="1">INDEX(INDIRECT(_xlfn.CONCAT("weather.tbl[",S$1,"]")),MATCH(vp.tbl[[#This Row],[SDate]],weather.tbl[Date],0))</f>
        <v>13.5</v>
      </c>
      <c r="T1581" s="2">
        <f ca="1">INDEX(INDIRECT(_xlfn.CONCAT("weather.tbl[",T$1,"]")),MATCH(vp.tbl[[#This Row],[SDate]],weather.tbl[Date],0))</f>
        <v>14.2</v>
      </c>
      <c r="U1581" s="2">
        <f ca="1">INDEX(INDIRECT(_xlfn.CONCAT("weather.tbl[",U$1,"]")),MATCH(vp.tbl[[#This Row],[SDate]],weather.tbl[Date],0))</f>
        <v>13.5</v>
      </c>
      <c r="V1581" s="2">
        <v>8074.473</v>
      </c>
      <c r="W1581" t="s">
        <v>48</v>
      </c>
      <c r="X1581">
        <f>IF(OR(vp.tbl[[#This Row],[Sulf]]="",vp.tbl[[#This Row],[Dens]]=""),1,0)</f>
        <v>0</v>
      </c>
      <c r="Y1581">
        <f>IF(vp.tbl[[#This Row],[CrudeType]]="C5+",1,0)</f>
        <v>0</v>
      </c>
      <c r="Z1581">
        <f>IF(AND(vp.tbl[[#This Row],[CrudeType]]="Crude",vp.tbl[[#This Row],[Dens]]&lt;=825,vp.tbl[[#This Row],[Sulf]]&gt;0.5,vp.tbl[[#This Row],[Unknown]]=0),1,0)</f>
        <v>0</v>
      </c>
      <c r="AA1581">
        <f>IF(AND(vp.tbl[[#This Row],[CrudeType]]="Crude",vp.tbl[[#This Row],[Dens]]&lt;=825,vp.tbl[[#This Row],[Sulf]]&lt;=0.5,vp.tbl[[#This Row],[Unknown]]=0),1,0)</f>
        <v>0</v>
      </c>
      <c r="AB1581">
        <f>IF(AND(vp.tbl[[#This Row],[CrudeType]]="Crude",vp.tbl[[#This Row],[Dens]]&gt;825,vp.tbl[[#This Row],[Dens]]&lt;=870,vp.tbl[[#This Row],[Sulf]]&gt;0.5,vp.tbl[[#This Row],[Unknown]]=0),1,0)</f>
        <v>1</v>
      </c>
      <c r="AC1581">
        <f>IF(AND(vp.tbl[[#This Row],[CrudeType]]="Crude",vp.tbl[[#This Row],[Dens]]&gt;825,vp.tbl[[#This Row],[Dens]]&lt;=900,vp.tbl[[#This Row],[Sulf]]&lt;=0.5,vp.tbl[[#This Row],[Unknown]]=0),1,0)</f>
        <v>0</v>
      </c>
      <c r="AD1581">
        <f>IF(AND(vp.tbl[[#This Row],[CrudeType]]="Crude",vp.tbl[[#This Row],[Dens]]&gt;870,vp.tbl[[#This Row],[Dens]]&lt;=900,vp.tbl[[#This Row],[Sulf]]&gt;0.5,vp.tbl[[#This Row],[Unknown]]=0),1,0)</f>
        <v>0</v>
      </c>
      <c r="AE1581">
        <f>IF(AND(vp.tbl[[#This Row],[CrudeType]]="Crude",vp.tbl[[#This Row],[Dens]]&gt;900,vp.tbl[[#This Row],[Sulf]]&lt;=0.5,vp.tbl[[#This Row],[Unknown]]=0),1,0)</f>
        <v>0</v>
      </c>
      <c r="AF1581">
        <f>IF(AND(vp.tbl[[#This Row],[CrudeType]]="Crude",vp.tbl[[#This Row],[Dens]]&gt;900,vp.tbl[[#This Row],[Sulf]]&lt;=0.5,vp.tbl[[#This Row],[Unknown]]=0),1,0)</f>
        <v>0</v>
      </c>
      <c r="AG1581" t="str">
        <f>INDEX(vp.tbl[[#Headers],[Unknown]:[Heavy_SW]],MATCH(1,vp.tbl[[#This Row],[Unknown]:[Heavy_SW]],0))</f>
        <v>Medium_LSB</v>
      </c>
      <c r="AH1581" t="e">
        <f>INDEX([1]!crudeBD.lkup[Number],MATCH(vp.tbl[[#This Row],[Crude_Breakdown]],[1]!crudeBD.lkup[Crude Breakdown],0))</f>
        <v>#REF!</v>
      </c>
      <c r="AI1581">
        <f>MONTH(vp.tbl[[#This Row],[SDate]])</f>
        <v>5</v>
      </c>
      <c r="AJ1581" s="5">
        <f>IFERROR(vp.tbl[[#This Row],[Sulf]]*vp.tbl[[#This Row],[Net Dens]],"")</f>
        <v>12243799.803807</v>
      </c>
      <c r="AK1581" s="5">
        <f>IFERROR(vp.tbl[[#This Row],[Dens]]*vp.tbl[[#This Row],[VolumeM3]],"")</f>
        <v>6917401.0191000002</v>
      </c>
      <c r="AL1581" s="5">
        <f>IFERROR(vp.tbl[[#This Row],[VP]]*vp.tbl[[#This Row],[VolumeM3]],"")</f>
        <v>561175.87349999999</v>
      </c>
      <c r="AM1581" s="4">
        <f>IFERROR((vp.tbl[[#This Row],[VP]]-INDEX(crudeBD.lkup.complete[Mean_VP],MATCH(vp.tbl[[#This Row],[Crude_Breakdown]],crudeBD.lkup.complete[Crude Breakdown],0)))^2,"")</f>
        <v>113.92562887293624</v>
      </c>
      <c r="AN1581" s="4">
        <f>IFERROR((vp.tbl[[#This Row],[Dens]]-INDEX(crudeBD.lkup.complete[Mean_Dens],MATCH(vp.tbl[[#This Row],[Crude_Breakdown]],crudeBD.lkup.complete[Crude Breakdown],0)))^2,"")</f>
        <v>130.14650737320088</v>
      </c>
      <c r="AO1581" s="4">
        <f>IFERROR((vp.tbl[[#This Row],[Sulf]]-INDEX(crudeBD.lkup.complete[Mean_Sulf],MATCH(vp.tbl[[#This Row],[Crude_Breakdown]],crudeBD.lkup.complete[Crude Breakdown],0)))^2,"")</f>
        <v>9.9269192641031123E-2</v>
      </c>
      <c r="AP1581">
        <f>IF(AND(vp.tbl[[#This Row],[SDate]]&gt;=DATE(YEAR(vp.tbl[[#This Row],[SDate]]),5,1),vp.tbl[[#This Row],[SDate]]&lt;=DATE(YEAR(vp.tbl[[#This Row],[SDate]]),9,15)),1,0)</f>
        <v>1</v>
      </c>
      <c r="AQ1581" s="15">
        <f>IF(vp.tbl[[#This Row],[SDate]]&lt;DATE(2016,12,1),0,1)</f>
        <v>1</v>
      </c>
    </row>
    <row r="1582" spans="1:43" x14ac:dyDescent="0.25">
      <c r="A1582">
        <v>1581</v>
      </c>
      <c r="B1582" t="s">
        <v>111</v>
      </c>
      <c r="C1582" t="s">
        <v>111</v>
      </c>
      <c r="D1582" t="s">
        <v>234</v>
      </c>
      <c r="F1582" s="1">
        <v>42886</v>
      </c>
      <c r="G1582" s="2">
        <v>64.5</v>
      </c>
      <c r="H1582" s="2"/>
      <c r="I1582" s="2">
        <v>2.75</v>
      </c>
      <c r="J1582" s="2"/>
      <c r="K1582" s="2"/>
      <c r="L1582" s="2"/>
      <c r="M1582" s="2">
        <v>884.4</v>
      </c>
      <c r="N1582" s="2">
        <f ca="1">INDEX(INDIRECT(_xlfn.CONCAT("weather.tbl[",N$1,"]")),MATCH(vp.tbl[[#This Row],[SDate]],weather.tbl[Date],0))</f>
        <v>13.600000000000001</v>
      </c>
      <c r="O1582" s="2">
        <f ca="1">INDEX(INDIRECT(_xlfn.CONCAT("weather.tbl[",O$1,"]")),MATCH(vp.tbl[[#This Row],[SDate]],weather.tbl[Date],0))</f>
        <v>12.745238095238095</v>
      </c>
      <c r="P1582" s="2">
        <f ca="1">INDEX(INDIRECT(_xlfn.CONCAT("weather.tbl[",P$1,"]")),MATCH(vp.tbl[[#This Row],[SDate]],weather.tbl[Date],0))</f>
        <v>13.9</v>
      </c>
      <c r="Q1582" s="2">
        <f ca="1">INDEX(INDIRECT(_xlfn.CONCAT("weather.tbl[",Q$1,"]")),MATCH(vp.tbl[[#This Row],[SDate]],weather.tbl[Date],0))</f>
        <v>13.7</v>
      </c>
      <c r="R1582" s="2">
        <f ca="1">INDEX(INDIRECT(_xlfn.CONCAT("weather.tbl[",R$1,"]")),MATCH(vp.tbl[[#This Row],[SDate]],weather.tbl[Date],0))</f>
        <v>12.8</v>
      </c>
      <c r="S1582" s="2">
        <f ca="1">INDEX(INDIRECT(_xlfn.CONCAT("weather.tbl[",S$1,"]")),MATCH(vp.tbl[[#This Row],[SDate]],weather.tbl[Date],0))</f>
        <v>13.5</v>
      </c>
      <c r="T1582" s="2">
        <f ca="1">INDEX(INDIRECT(_xlfn.CONCAT("weather.tbl[",T$1,"]")),MATCH(vp.tbl[[#This Row],[SDate]],weather.tbl[Date],0))</f>
        <v>14.2</v>
      </c>
      <c r="U1582" s="2">
        <f ca="1">INDEX(INDIRECT(_xlfn.CONCAT("weather.tbl[",U$1,"]")),MATCH(vp.tbl[[#This Row],[SDate]],weather.tbl[Date],0))</f>
        <v>13.5</v>
      </c>
      <c r="V1582" s="2">
        <v>2844.9769999999999</v>
      </c>
      <c r="W1582" t="s">
        <v>48</v>
      </c>
      <c r="X1582">
        <f>IF(OR(vp.tbl[[#This Row],[Sulf]]="",vp.tbl[[#This Row],[Dens]]=""),1,0)</f>
        <v>0</v>
      </c>
      <c r="Y1582">
        <f>IF(vp.tbl[[#This Row],[CrudeType]]="C5+",1,0)</f>
        <v>0</v>
      </c>
      <c r="Z1582">
        <f>IF(AND(vp.tbl[[#This Row],[CrudeType]]="Crude",vp.tbl[[#This Row],[Dens]]&lt;=825,vp.tbl[[#This Row],[Sulf]]&gt;0.5,vp.tbl[[#This Row],[Unknown]]=0),1,0)</f>
        <v>0</v>
      </c>
      <c r="AA1582">
        <f>IF(AND(vp.tbl[[#This Row],[CrudeType]]="Crude",vp.tbl[[#This Row],[Dens]]&lt;=825,vp.tbl[[#This Row],[Sulf]]&lt;=0.5,vp.tbl[[#This Row],[Unknown]]=0),1,0)</f>
        <v>0</v>
      </c>
      <c r="AB1582">
        <f>IF(AND(vp.tbl[[#This Row],[CrudeType]]="Crude",vp.tbl[[#This Row],[Dens]]&gt;825,vp.tbl[[#This Row],[Dens]]&lt;=870,vp.tbl[[#This Row],[Sulf]]&gt;0.5,vp.tbl[[#This Row],[Unknown]]=0),1,0)</f>
        <v>0</v>
      </c>
      <c r="AC1582">
        <f>IF(AND(vp.tbl[[#This Row],[CrudeType]]="Crude",vp.tbl[[#This Row],[Dens]]&gt;825,vp.tbl[[#This Row],[Dens]]&lt;=900,vp.tbl[[#This Row],[Sulf]]&lt;=0.5,vp.tbl[[#This Row],[Unknown]]=0),1,0)</f>
        <v>0</v>
      </c>
      <c r="AD1582">
        <f>IF(AND(vp.tbl[[#This Row],[CrudeType]]="Crude",vp.tbl[[#This Row],[Dens]]&gt;870,vp.tbl[[#This Row],[Dens]]&lt;=900,vp.tbl[[#This Row],[Sulf]]&gt;0.5,vp.tbl[[#This Row],[Unknown]]=0),1,0)</f>
        <v>1</v>
      </c>
      <c r="AE1582">
        <f>IF(AND(vp.tbl[[#This Row],[CrudeType]]="Crude",vp.tbl[[#This Row],[Dens]]&gt;900,vp.tbl[[#This Row],[Sulf]]&lt;=0.5,vp.tbl[[#This Row],[Unknown]]=0),1,0)</f>
        <v>0</v>
      </c>
      <c r="AF1582">
        <f>IF(AND(vp.tbl[[#This Row],[CrudeType]]="Crude",vp.tbl[[#This Row],[Dens]]&gt;900,vp.tbl[[#This Row],[Sulf]]&lt;=0.5,vp.tbl[[#This Row],[Unknown]]=0),1,0)</f>
        <v>0</v>
      </c>
      <c r="AG1582" t="str">
        <f>INDEX(vp.tbl[[#Headers],[Unknown]:[Heavy_SW]],MATCH(1,vp.tbl[[#This Row],[Unknown]:[Heavy_SW]],0))</f>
        <v>Midale</v>
      </c>
      <c r="AH1582" t="e">
        <f>INDEX([1]!crudeBD.lkup[Number],MATCH(vp.tbl[[#This Row],[Crude_Breakdown]],[1]!crudeBD.lkup[Crude Breakdown],0))</f>
        <v>#REF!</v>
      </c>
      <c r="AI1582">
        <f>MONTH(vp.tbl[[#This Row],[SDate]])</f>
        <v>5</v>
      </c>
      <c r="AJ1582" s="5">
        <f>IFERROR(vp.tbl[[#This Row],[Sulf]]*vp.tbl[[#This Row],[Net Dens]],"")</f>
        <v>6919268.5616999995</v>
      </c>
      <c r="AK1582" s="5">
        <f>IFERROR(vp.tbl[[#This Row],[Dens]]*vp.tbl[[#This Row],[VolumeM3]],"")</f>
        <v>2516097.6587999999</v>
      </c>
      <c r="AL1582" s="5">
        <f>IFERROR(vp.tbl[[#This Row],[VP]]*vp.tbl[[#This Row],[VolumeM3]],"")</f>
        <v>183501.0165</v>
      </c>
      <c r="AM1582" s="4">
        <f>IFERROR((vp.tbl[[#This Row],[VP]]-INDEX(crudeBD.lkup.complete[Mean_VP],MATCH(vp.tbl[[#This Row],[Crude_Breakdown]],crudeBD.lkup.complete[Crude Breakdown],0)))^2,"")</f>
        <v>13.975306811784673</v>
      </c>
      <c r="AN1582" s="4">
        <f>IFERROR((vp.tbl[[#This Row],[Dens]]-INDEX(crudeBD.lkup.complete[Mean_Dens],MATCH(vp.tbl[[#This Row],[Crude_Breakdown]],crudeBD.lkup.complete[Crude Breakdown],0)))^2,"")</f>
        <v>46.894353537252847</v>
      </c>
      <c r="AO1582" s="4">
        <f>IFERROR((vp.tbl[[#This Row],[Sulf]]-INDEX(crudeBD.lkup.complete[Mean_Sulf],MATCH(vp.tbl[[#This Row],[Crude_Breakdown]],crudeBD.lkup.complete[Crude Breakdown],0)))^2,"")</f>
        <v>0.11199722391234837</v>
      </c>
      <c r="AP1582">
        <f>IF(AND(vp.tbl[[#This Row],[SDate]]&gt;=DATE(YEAR(vp.tbl[[#This Row],[SDate]]),5,1),vp.tbl[[#This Row],[SDate]]&lt;=DATE(YEAR(vp.tbl[[#This Row],[SDate]]),9,15)),1,0)</f>
        <v>1</v>
      </c>
      <c r="AQ1582" s="15">
        <f>IF(vp.tbl[[#This Row],[SDate]]&lt;DATE(2016,12,1),0,1)</f>
        <v>1</v>
      </c>
    </row>
    <row r="1583" spans="1:43" x14ac:dyDescent="0.25">
      <c r="A1583">
        <v>1582</v>
      </c>
      <c r="B1583" t="s">
        <v>68</v>
      </c>
      <c r="C1583" t="s">
        <v>68</v>
      </c>
      <c r="D1583" t="s">
        <v>98</v>
      </c>
      <c r="F1583" s="1">
        <v>42886</v>
      </c>
      <c r="G1583" s="2">
        <v>58.4</v>
      </c>
      <c r="H1583" s="2"/>
      <c r="I1583" s="2">
        <v>1.32</v>
      </c>
      <c r="J1583" s="2"/>
      <c r="K1583" s="2"/>
      <c r="L1583" s="2"/>
      <c r="M1583" s="2">
        <v>850.4</v>
      </c>
      <c r="N1583" s="2">
        <f ca="1">INDEX(INDIRECT(_xlfn.CONCAT("weather.tbl[",N$1,"]")),MATCH(vp.tbl[[#This Row],[SDate]],weather.tbl[Date],0))</f>
        <v>13.600000000000001</v>
      </c>
      <c r="O1583" s="2">
        <f ca="1">INDEX(INDIRECT(_xlfn.CONCAT("weather.tbl[",O$1,"]")),MATCH(vp.tbl[[#This Row],[SDate]],weather.tbl[Date],0))</f>
        <v>12.745238095238095</v>
      </c>
      <c r="P1583" s="2">
        <f ca="1">INDEX(INDIRECT(_xlfn.CONCAT("weather.tbl[",P$1,"]")),MATCH(vp.tbl[[#This Row],[SDate]],weather.tbl[Date],0))</f>
        <v>13.9</v>
      </c>
      <c r="Q1583" s="2">
        <f ca="1">INDEX(INDIRECT(_xlfn.CONCAT("weather.tbl[",Q$1,"]")),MATCH(vp.tbl[[#This Row],[SDate]],weather.tbl[Date],0))</f>
        <v>13.7</v>
      </c>
      <c r="R1583" s="2">
        <f ca="1">INDEX(INDIRECT(_xlfn.CONCAT("weather.tbl[",R$1,"]")),MATCH(vp.tbl[[#This Row],[SDate]],weather.tbl[Date],0))</f>
        <v>12.8</v>
      </c>
      <c r="S1583" s="2">
        <f ca="1">INDEX(INDIRECT(_xlfn.CONCAT("weather.tbl[",S$1,"]")),MATCH(vp.tbl[[#This Row],[SDate]],weather.tbl[Date],0))</f>
        <v>13.5</v>
      </c>
      <c r="T1583" s="2">
        <f ca="1">INDEX(INDIRECT(_xlfn.CONCAT("weather.tbl[",T$1,"]")),MATCH(vp.tbl[[#This Row],[SDate]],weather.tbl[Date],0))</f>
        <v>14.2</v>
      </c>
      <c r="U1583" s="2">
        <f ca="1">INDEX(INDIRECT(_xlfn.CONCAT("weather.tbl[",U$1,"]")),MATCH(vp.tbl[[#This Row],[SDate]],weather.tbl[Date],0))</f>
        <v>13.5</v>
      </c>
      <c r="V1583" s="2">
        <v>4675.3909999999996</v>
      </c>
      <c r="W1583" t="s">
        <v>48</v>
      </c>
      <c r="X1583">
        <f>IF(OR(vp.tbl[[#This Row],[Sulf]]="",vp.tbl[[#This Row],[Dens]]=""),1,0)</f>
        <v>0</v>
      </c>
      <c r="Y1583">
        <f>IF(vp.tbl[[#This Row],[CrudeType]]="C5+",1,0)</f>
        <v>0</v>
      </c>
      <c r="Z1583">
        <f>IF(AND(vp.tbl[[#This Row],[CrudeType]]="Crude",vp.tbl[[#This Row],[Dens]]&lt;=825,vp.tbl[[#This Row],[Sulf]]&gt;0.5,vp.tbl[[#This Row],[Unknown]]=0),1,0)</f>
        <v>0</v>
      </c>
      <c r="AA1583">
        <f>IF(AND(vp.tbl[[#This Row],[CrudeType]]="Crude",vp.tbl[[#This Row],[Dens]]&lt;=825,vp.tbl[[#This Row],[Sulf]]&lt;=0.5,vp.tbl[[#This Row],[Unknown]]=0),1,0)</f>
        <v>0</v>
      </c>
      <c r="AB1583">
        <f>IF(AND(vp.tbl[[#This Row],[CrudeType]]="Crude",vp.tbl[[#This Row],[Dens]]&gt;825,vp.tbl[[#This Row],[Dens]]&lt;=870,vp.tbl[[#This Row],[Sulf]]&gt;0.5,vp.tbl[[#This Row],[Unknown]]=0),1,0)</f>
        <v>1</v>
      </c>
      <c r="AC1583">
        <f>IF(AND(vp.tbl[[#This Row],[CrudeType]]="Crude",vp.tbl[[#This Row],[Dens]]&gt;825,vp.tbl[[#This Row],[Dens]]&lt;=900,vp.tbl[[#This Row],[Sulf]]&lt;=0.5,vp.tbl[[#This Row],[Unknown]]=0),1,0)</f>
        <v>0</v>
      </c>
      <c r="AD1583">
        <f>IF(AND(vp.tbl[[#This Row],[CrudeType]]="Crude",vp.tbl[[#This Row],[Dens]]&gt;870,vp.tbl[[#This Row],[Dens]]&lt;=900,vp.tbl[[#This Row],[Sulf]]&gt;0.5,vp.tbl[[#This Row],[Unknown]]=0),1,0)</f>
        <v>0</v>
      </c>
      <c r="AE1583">
        <f>IF(AND(vp.tbl[[#This Row],[CrudeType]]="Crude",vp.tbl[[#This Row],[Dens]]&gt;900,vp.tbl[[#This Row],[Sulf]]&lt;=0.5,vp.tbl[[#This Row],[Unknown]]=0),1,0)</f>
        <v>0</v>
      </c>
      <c r="AF1583">
        <f>IF(AND(vp.tbl[[#This Row],[CrudeType]]="Crude",vp.tbl[[#This Row],[Dens]]&gt;900,vp.tbl[[#This Row],[Sulf]]&lt;=0.5,vp.tbl[[#This Row],[Unknown]]=0),1,0)</f>
        <v>0</v>
      </c>
      <c r="AG1583" t="str">
        <f>INDEX(vp.tbl[[#Headers],[Unknown]:[Heavy_SW]],MATCH(1,vp.tbl[[#This Row],[Unknown]:[Heavy_SW]],0))</f>
        <v>Medium_LSB</v>
      </c>
      <c r="AH1583" t="e">
        <f>INDEX([1]!crudeBD.lkup[Number],MATCH(vp.tbl[[#This Row],[Crude_Breakdown]],[1]!crudeBD.lkup[Crude Breakdown],0))</f>
        <v>#REF!</v>
      </c>
      <c r="AI1583">
        <f>MONTH(vp.tbl[[#This Row],[SDate]])</f>
        <v>5</v>
      </c>
      <c r="AJ1583" s="5">
        <f>IFERROR(vp.tbl[[#This Row],[Sulf]]*vp.tbl[[#This Row],[Net Dens]],"")</f>
        <v>5248257.3084479999</v>
      </c>
      <c r="AK1583" s="5">
        <f>IFERROR(vp.tbl[[#This Row],[Dens]]*vp.tbl[[#This Row],[VolumeM3]],"")</f>
        <v>3975952.5063999994</v>
      </c>
      <c r="AL1583" s="5">
        <f>IFERROR(vp.tbl[[#This Row],[VP]]*vp.tbl[[#This Row],[VolumeM3]],"")</f>
        <v>273042.83439999999</v>
      </c>
      <c r="AM1583" s="4">
        <f>IFERROR((vp.tbl[[#This Row],[VP]]-INDEX(crudeBD.lkup.complete[Mean_VP],MATCH(vp.tbl[[#This Row],[Crude_Breakdown]],crudeBD.lkup.complete[Crude Breakdown],0)))^2,"")</f>
        <v>474.08943646787219</v>
      </c>
      <c r="AN1583" s="4">
        <f>IFERROR((vp.tbl[[#This Row],[Dens]]-INDEX(crudeBD.lkup.complete[Mean_Dens],MATCH(vp.tbl[[#This Row],[Crude_Breakdown]],crudeBD.lkup.complete[Crude Breakdown],0)))^2,"")</f>
        <v>26.093474461794798</v>
      </c>
      <c r="AO1583" s="4">
        <f>IFERROR((vp.tbl[[#This Row],[Sulf]]-INDEX(crudeBD.lkup.complete[Mean_Sulf],MATCH(vp.tbl[[#This Row],[Crude_Breakdown]],crudeBD.lkup.complete[Crude Breakdown],0)))^2,"")</f>
        <v>1.8206067324576733E-2</v>
      </c>
      <c r="AP1583">
        <f>IF(AND(vp.tbl[[#This Row],[SDate]]&gt;=DATE(YEAR(vp.tbl[[#This Row],[SDate]]),5,1),vp.tbl[[#This Row],[SDate]]&lt;=DATE(YEAR(vp.tbl[[#This Row],[SDate]]),9,15)),1,0)</f>
        <v>1</v>
      </c>
      <c r="AQ1583" s="15">
        <f>IF(vp.tbl[[#This Row],[SDate]]&lt;DATE(2016,12,1),0,1)</f>
        <v>1</v>
      </c>
    </row>
    <row r="1584" spans="1:43" x14ac:dyDescent="0.25">
      <c r="A1584">
        <v>1583</v>
      </c>
      <c r="B1584" t="s">
        <v>68</v>
      </c>
      <c r="C1584" t="s">
        <v>68</v>
      </c>
      <c r="D1584" t="s">
        <v>110</v>
      </c>
      <c r="F1584" s="1">
        <v>42886</v>
      </c>
      <c r="G1584" s="2">
        <v>66</v>
      </c>
      <c r="H1584" s="2"/>
      <c r="I1584" s="2">
        <v>1.45</v>
      </c>
      <c r="J1584" s="2"/>
      <c r="K1584" s="2"/>
      <c r="L1584" s="2"/>
      <c r="M1584" s="2">
        <v>854.2</v>
      </c>
      <c r="N1584" s="2">
        <f ca="1">INDEX(INDIRECT(_xlfn.CONCAT("weather.tbl[",N$1,"]")),MATCH(vp.tbl[[#This Row],[SDate]],weather.tbl[Date],0))</f>
        <v>13.600000000000001</v>
      </c>
      <c r="O1584" s="2">
        <f ca="1">INDEX(INDIRECT(_xlfn.CONCAT("weather.tbl[",O$1,"]")),MATCH(vp.tbl[[#This Row],[SDate]],weather.tbl[Date],0))</f>
        <v>12.745238095238095</v>
      </c>
      <c r="P1584" s="2">
        <f ca="1">INDEX(INDIRECT(_xlfn.CONCAT("weather.tbl[",P$1,"]")),MATCH(vp.tbl[[#This Row],[SDate]],weather.tbl[Date],0))</f>
        <v>13.9</v>
      </c>
      <c r="Q1584" s="2">
        <f ca="1">INDEX(INDIRECT(_xlfn.CONCAT("weather.tbl[",Q$1,"]")),MATCH(vp.tbl[[#This Row],[SDate]],weather.tbl[Date],0))</f>
        <v>13.7</v>
      </c>
      <c r="R1584" s="2">
        <f ca="1">INDEX(INDIRECT(_xlfn.CONCAT("weather.tbl[",R$1,"]")),MATCH(vp.tbl[[#This Row],[SDate]],weather.tbl[Date],0))</f>
        <v>12.8</v>
      </c>
      <c r="S1584" s="2">
        <f ca="1">INDEX(INDIRECT(_xlfn.CONCAT("weather.tbl[",S$1,"]")),MATCH(vp.tbl[[#This Row],[SDate]],weather.tbl[Date],0))</f>
        <v>13.5</v>
      </c>
      <c r="T1584" s="2">
        <f ca="1">INDEX(INDIRECT(_xlfn.CONCAT("weather.tbl[",T$1,"]")),MATCH(vp.tbl[[#This Row],[SDate]],weather.tbl[Date],0))</f>
        <v>14.2</v>
      </c>
      <c r="U1584" s="2">
        <f ca="1">INDEX(INDIRECT(_xlfn.CONCAT("weather.tbl[",U$1,"]")),MATCH(vp.tbl[[#This Row],[SDate]],weather.tbl[Date],0))</f>
        <v>13.5</v>
      </c>
      <c r="V1584" s="2">
        <v>3812.1930000000002</v>
      </c>
      <c r="W1584" t="s">
        <v>48</v>
      </c>
      <c r="X1584">
        <f>IF(OR(vp.tbl[[#This Row],[Sulf]]="",vp.tbl[[#This Row],[Dens]]=""),1,0)</f>
        <v>0</v>
      </c>
      <c r="Y1584">
        <f>IF(vp.tbl[[#This Row],[CrudeType]]="C5+",1,0)</f>
        <v>0</v>
      </c>
      <c r="Z1584">
        <f>IF(AND(vp.tbl[[#This Row],[CrudeType]]="Crude",vp.tbl[[#This Row],[Dens]]&lt;=825,vp.tbl[[#This Row],[Sulf]]&gt;0.5,vp.tbl[[#This Row],[Unknown]]=0),1,0)</f>
        <v>0</v>
      </c>
      <c r="AA1584">
        <f>IF(AND(vp.tbl[[#This Row],[CrudeType]]="Crude",vp.tbl[[#This Row],[Dens]]&lt;=825,vp.tbl[[#This Row],[Sulf]]&lt;=0.5,vp.tbl[[#This Row],[Unknown]]=0),1,0)</f>
        <v>0</v>
      </c>
      <c r="AB1584">
        <f>IF(AND(vp.tbl[[#This Row],[CrudeType]]="Crude",vp.tbl[[#This Row],[Dens]]&gt;825,vp.tbl[[#This Row],[Dens]]&lt;=870,vp.tbl[[#This Row],[Sulf]]&gt;0.5,vp.tbl[[#This Row],[Unknown]]=0),1,0)</f>
        <v>1</v>
      </c>
      <c r="AC1584">
        <f>IF(AND(vp.tbl[[#This Row],[CrudeType]]="Crude",vp.tbl[[#This Row],[Dens]]&gt;825,vp.tbl[[#This Row],[Dens]]&lt;=900,vp.tbl[[#This Row],[Sulf]]&lt;=0.5,vp.tbl[[#This Row],[Unknown]]=0),1,0)</f>
        <v>0</v>
      </c>
      <c r="AD1584">
        <f>IF(AND(vp.tbl[[#This Row],[CrudeType]]="Crude",vp.tbl[[#This Row],[Dens]]&gt;870,vp.tbl[[#This Row],[Dens]]&lt;=900,vp.tbl[[#This Row],[Sulf]]&gt;0.5,vp.tbl[[#This Row],[Unknown]]=0),1,0)</f>
        <v>0</v>
      </c>
      <c r="AE1584">
        <f>IF(AND(vp.tbl[[#This Row],[CrudeType]]="Crude",vp.tbl[[#This Row],[Dens]]&gt;900,vp.tbl[[#This Row],[Sulf]]&lt;=0.5,vp.tbl[[#This Row],[Unknown]]=0),1,0)</f>
        <v>0</v>
      </c>
      <c r="AF1584">
        <f>IF(AND(vp.tbl[[#This Row],[CrudeType]]="Crude",vp.tbl[[#This Row],[Dens]]&gt;900,vp.tbl[[#This Row],[Sulf]]&lt;=0.5,vp.tbl[[#This Row],[Unknown]]=0),1,0)</f>
        <v>0</v>
      </c>
      <c r="AG1584" t="str">
        <f>INDEX(vp.tbl[[#Headers],[Unknown]:[Heavy_SW]],MATCH(1,vp.tbl[[#This Row],[Unknown]:[Heavy_SW]],0))</f>
        <v>Medium_LSB</v>
      </c>
      <c r="AH1584" t="e">
        <f>INDEX([1]!crudeBD.lkup[Number],MATCH(vp.tbl[[#This Row],[Crude_Breakdown]],[1]!crudeBD.lkup[Crude Breakdown],0))</f>
        <v>#REF!</v>
      </c>
      <c r="AI1584">
        <f>MONTH(vp.tbl[[#This Row],[SDate]])</f>
        <v>5</v>
      </c>
      <c r="AJ1584" s="5">
        <f>IFERROR(vp.tbl[[#This Row],[Sulf]]*vp.tbl[[#This Row],[Net Dens]],"")</f>
        <v>4721744.12787</v>
      </c>
      <c r="AK1584" s="5">
        <f>IFERROR(vp.tbl[[#This Row],[Dens]]*vp.tbl[[#This Row],[VolumeM3]],"")</f>
        <v>3256375.2606000002</v>
      </c>
      <c r="AL1584" s="5">
        <f>IFERROR(vp.tbl[[#This Row],[VP]]*vp.tbl[[#This Row],[VolumeM3]],"")</f>
        <v>251604.73800000001</v>
      </c>
      <c r="AM1584" s="4">
        <f>IFERROR((vp.tbl[[#This Row],[VP]]-INDEX(crudeBD.lkup.complete[Mean_VP],MATCH(vp.tbl[[#This Row],[Crude_Breakdown]],crudeBD.lkup.complete[Crude Breakdown],0)))^2,"")</f>
        <v>200.890793429898</v>
      </c>
      <c r="AN1584" s="4">
        <f>IFERROR((vp.tbl[[#This Row],[Dens]]-INDEX(crudeBD.lkup.complete[Mean_Dens],MATCH(vp.tbl[[#This Row],[Crude_Breakdown]],crudeBD.lkup.complete[Crude Breakdown],0)))^2,"")</f>
        <v>79.355621297246358</v>
      </c>
      <c r="AO1584" s="4">
        <f>IFERROR((vp.tbl[[#This Row],[Sulf]]-INDEX(crudeBD.lkup.complete[Mean_Sulf],MATCH(vp.tbl[[#This Row],[Crude_Breakdown]],crudeBD.lkup.complete[Crude Breakdown],0)))^2,"")</f>
        <v>2.4303527108010561E-5</v>
      </c>
      <c r="AP1584">
        <f>IF(AND(vp.tbl[[#This Row],[SDate]]&gt;=DATE(YEAR(vp.tbl[[#This Row],[SDate]]),5,1),vp.tbl[[#This Row],[SDate]]&lt;=DATE(YEAR(vp.tbl[[#This Row],[SDate]]),9,15)),1,0)</f>
        <v>1</v>
      </c>
      <c r="AQ1584" s="15">
        <f>IF(vp.tbl[[#This Row],[SDate]]&lt;DATE(2016,12,1),0,1)</f>
        <v>1</v>
      </c>
    </row>
    <row r="1585" spans="1:43" x14ac:dyDescent="0.25">
      <c r="A1585">
        <v>1584</v>
      </c>
      <c r="B1585" t="s">
        <v>68</v>
      </c>
      <c r="C1585" t="s">
        <v>68</v>
      </c>
      <c r="D1585" t="s">
        <v>69</v>
      </c>
      <c r="F1585" s="1">
        <v>42886</v>
      </c>
      <c r="G1585" s="2">
        <v>69.5</v>
      </c>
      <c r="H1585" s="2"/>
      <c r="I1585" s="2">
        <v>1.61</v>
      </c>
      <c r="J1585" s="2"/>
      <c r="K1585" s="2"/>
      <c r="L1585" s="2"/>
      <c r="M1585" s="2">
        <v>859.3</v>
      </c>
      <c r="N1585" s="2">
        <f ca="1">INDEX(INDIRECT(_xlfn.CONCAT("weather.tbl[",N$1,"]")),MATCH(vp.tbl[[#This Row],[SDate]],weather.tbl[Date],0))</f>
        <v>13.600000000000001</v>
      </c>
      <c r="O1585" s="2">
        <f ca="1">INDEX(INDIRECT(_xlfn.CONCAT("weather.tbl[",O$1,"]")),MATCH(vp.tbl[[#This Row],[SDate]],weather.tbl[Date],0))</f>
        <v>12.745238095238095</v>
      </c>
      <c r="P1585" s="2">
        <f ca="1">INDEX(INDIRECT(_xlfn.CONCAT("weather.tbl[",P$1,"]")),MATCH(vp.tbl[[#This Row],[SDate]],weather.tbl[Date],0))</f>
        <v>13.9</v>
      </c>
      <c r="Q1585" s="2">
        <f ca="1">INDEX(INDIRECT(_xlfn.CONCAT("weather.tbl[",Q$1,"]")),MATCH(vp.tbl[[#This Row],[SDate]],weather.tbl[Date],0))</f>
        <v>13.7</v>
      </c>
      <c r="R1585" s="2">
        <f ca="1">INDEX(INDIRECT(_xlfn.CONCAT("weather.tbl[",R$1,"]")),MATCH(vp.tbl[[#This Row],[SDate]],weather.tbl[Date],0))</f>
        <v>12.8</v>
      </c>
      <c r="S1585" s="2">
        <f ca="1">INDEX(INDIRECT(_xlfn.CONCAT("weather.tbl[",S$1,"]")),MATCH(vp.tbl[[#This Row],[SDate]],weather.tbl[Date],0))</f>
        <v>13.5</v>
      </c>
      <c r="T1585" s="2">
        <f ca="1">INDEX(INDIRECT(_xlfn.CONCAT("weather.tbl[",T$1,"]")),MATCH(vp.tbl[[#This Row],[SDate]],weather.tbl[Date],0))</f>
        <v>14.2</v>
      </c>
      <c r="U1585" s="2">
        <f ca="1">INDEX(INDIRECT(_xlfn.CONCAT("weather.tbl[",U$1,"]")),MATCH(vp.tbl[[#This Row],[SDate]],weather.tbl[Date],0))</f>
        <v>13.5</v>
      </c>
      <c r="V1585" s="2">
        <v>1702.229</v>
      </c>
      <c r="W1585" t="s">
        <v>48</v>
      </c>
      <c r="X1585">
        <f>IF(OR(vp.tbl[[#This Row],[Sulf]]="",vp.tbl[[#This Row],[Dens]]=""),1,0)</f>
        <v>0</v>
      </c>
      <c r="Y1585">
        <f>IF(vp.tbl[[#This Row],[CrudeType]]="C5+",1,0)</f>
        <v>0</v>
      </c>
      <c r="Z1585">
        <f>IF(AND(vp.tbl[[#This Row],[CrudeType]]="Crude",vp.tbl[[#This Row],[Dens]]&lt;=825,vp.tbl[[#This Row],[Sulf]]&gt;0.5,vp.tbl[[#This Row],[Unknown]]=0),1,0)</f>
        <v>0</v>
      </c>
      <c r="AA1585">
        <f>IF(AND(vp.tbl[[#This Row],[CrudeType]]="Crude",vp.tbl[[#This Row],[Dens]]&lt;=825,vp.tbl[[#This Row],[Sulf]]&lt;=0.5,vp.tbl[[#This Row],[Unknown]]=0),1,0)</f>
        <v>0</v>
      </c>
      <c r="AB1585">
        <f>IF(AND(vp.tbl[[#This Row],[CrudeType]]="Crude",vp.tbl[[#This Row],[Dens]]&gt;825,vp.tbl[[#This Row],[Dens]]&lt;=870,vp.tbl[[#This Row],[Sulf]]&gt;0.5,vp.tbl[[#This Row],[Unknown]]=0),1,0)</f>
        <v>1</v>
      </c>
      <c r="AC1585">
        <f>IF(AND(vp.tbl[[#This Row],[CrudeType]]="Crude",vp.tbl[[#This Row],[Dens]]&gt;825,vp.tbl[[#This Row],[Dens]]&lt;=900,vp.tbl[[#This Row],[Sulf]]&lt;=0.5,vp.tbl[[#This Row],[Unknown]]=0),1,0)</f>
        <v>0</v>
      </c>
      <c r="AD1585">
        <f>IF(AND(vp.tbl[[#This Row],[CrudeType]]="Crude",vp.tbl[[#This Row],[Dens]]&gt;870,vp.tbl[[#This Row],[Dens]]&lt;=900,vp.tbl[[#This Row],[Sulf]]&gt;0.5,vp.tbl[[#This Row],[Unknown]]=0),1,0)</f>
        <v>0</v>
      </c>
      <c r="AE1585">
        <f>IF(AND(vp.tbl[[#This Row],[CrudeType]]="Crude",vp.tbl[[#This Row],[Dens]]&gt;900,vp.tbl[[#This Row],[Sulf]]&lt;=0.5,vp.tbl[[#This Row],[Unknown]]=0),1,0)</f>
        <v>0</v>
      </c>
      <c r="AF1585">
        <f>IF(AND(vp.tbl[[#This Row],[CrudeType]]="Crude",vp.tbl[[#This Row],[Dens]]&gt;900,vp.tbl[[#This Row],[Sulf]]&lt;=0.5,vp.tbl[[#This Row],[Unknown]]=0),1,0)</f>
        <v>0</v>
      </c>
      <c r="AG1585" t="str">
        <f>INDEX(vp.tbl[[#Headers],[Unknown]:[Heavy_SW]],MATCH(1,vp.tbl[[#This Row],[Unknown]:[Heavy_SW]],0))</f>
        <v>Medium_LSB</v>
      </c>
      <c r="AH1585" t="e">
        <f>INDEX([1]!crudeBD.lkup[Number],MATCH(vp.tbl[[#This Row],[Crude_Breakdown]],[1]!crudeBD.lkup[Crude Breakdown],0))</f>
        <v>#REF!</v>
      </c>
      <c r="AI1585">
        <f>MONTH(vp.tbl[[#This Row],[SDate]])</f>
        <v>5</v>
      </c>
      <c r="AJ1585" s="5">
        <f>IFERROR(vp.tbl[[#This Row],[Sulf]]*vp.tbl[[#This Row],[Net Dens]],"")</f>
        <v>2354987.8613169999</v>
      </c>
      <c r="AK1585" s="5">
        <f>IFERROR(vp.tbl[[#This Row],[Dens]]*vp.tbl[[#This Row],[VolumeM3]],"")</f>
        <v>1462725.3796999999</v>
      </c>
      <c r="AL1585" s="5">
        <f>IFERROR(vp.tbl[[#This Row],[VP]]*vp.tbl[[#This Row],[VolumeM3]],"")</f>
        <v>118304.9155</v>
      </c>
      <c r="AM1585" s="4">
        <f>IFERROR((vp.tbl[[#This Row],[VP]]-INDEX(crudeBD.lkup.complete[Mean_VP],MATCH(vp.tbl[[#This Row],[Crude_Breakdown]],crudeBD.lkup.complete[Crude Breakdown],0)))^2,"")</f>
        <v>113.92562887293624</v>
      </c>
      <c r="AN1585" s="4">
        <f>IFERROR((vp.tbl[[#This Row],[Dens]]-INDEX(crudeBD.lkup.complete[Mean_Dens],MATCH(vp.tbl[[#This Row],[Crude_Breakdown]],crudeBD.lkup.complete[Crude Breakdown],0)))^2,"")</f>
        <v>196.22902889219102</v>
      </c>
      <c r="AO1585" s="4">
        <f>IFERROR((vp.tbl[[#This Row],[Sulf]]-INDEX(crudeBD.lkup.complete[Mean_Sulf],MATCH(vp.tbl[[#This Row],[Crude_Breakdown]],crudeBD.lkup.complete[Crude Breakdown],0)))^2,"")</f>
        <v>2.4046748084069591E-2</v>
      </c>
      <c r="AP1585">
        <f>IF(AND(vp.tbl[[#This Row],[SDate]]&gt;=DATE(YEAR(vp.tbl[[#This Row],[SDate]]),5,1),vp.tbl[[#This Row],[SDate]]&lt;=DATE(YEAR(vp.tbl[[#This Row],[SDate]]),9,15)),1,0)</f>
        <v>1</v>
      </c>
      <c r="AQ1585" s="15">
        <f>IF(vp.tbl[[#This Row],[SDate]]&lt;DATE(2016,12,1),0,1)</f>
        <v>1</v>
      </c>
    </row>
    <row r="1586" spans="1:43" x14ac:dyDescent="0.25">
      <c r="A1586">
        <v>1585</v>
      </c>
      <c r="B1586" t="s">
        <v>96</v>
      </c>
      <c r="C1586" t="s">
        <v>96</v>
      </c>
      <c r="D1586" t="s">
        <v>97</v>
      </c>
      <c r="F1586" s="1">
        <v>42886</v>
      </c>
      <c r="G1586" s="2">
        <v>73.2</v>
      </c>
      <c r="H1586" s="2"/>
      <c r="I1586" s="2">
        <v>0.73</v>
      </c>
      <c r="J1586" s="2"/>
      <c r="K1586" s="2"/>
      <c r="L1586" s="2"/>
      <c r="M1586" s="2">
        <v>821.8</v>
      </c>
      <c r="N1586" s="2">
        <f ca="1">INDEX(INDIRECT(_xlfn.CONCAT("weather.tbl[",N$1,"]")),MATCH(vp.tbl[[#This Row],[SDate]],weather.tbl[Date],0))</f>
        <v>13.600000000000001</v>
      </c>
      <c r="O1586" s="2">
        <f ca="1">INDEX(INDIRECT(_xlfn.CONCAT("weather.tbl[",O$1,"]")),MATCH(vp.tbl[[#This Row],[SDate]],weather.tbl[Date],0))</f>
        <v>12.745238095238095</v>
      </c>
      <c r="P1586" s="2">
        <f ca="1">INDEX(INDIRECT(_xlfn.CONCAT("weather.tbl[",P$1,"]")),MATCH(vp.tbl[[#This Row],[SDate]],weather.tbl[Date],0))</f>
        <v>13.9</v>
      </c>
      <c r="Q1586" s="2">
        <f ca="1">INDEX(INDIRECT(_xlfn.CONCAT("weather.tbl[",Q$1,"]")),MATCH(vp.tbl[[#This Row],[SDate]],weather.tbl[Date],0))</f>
        <v>13.7</v>
      </c>
      <c r="R1586" s="2">
        <f ca="1">INDEX(INDIRECT(_xlfn.CONCAT("weather.tbl[",R$1,"]")),MATCH(vp.tbl[[#This Row],[SDate]],weather.tbl[Date],0))</f>
        <v>12.8</v>
      </c>
      <c r="S1586" s="2">
        <f ca="1">INDEX(INDIRECT(_xlfn.CONCAT("weather.tbl[",S$1,"]")),MATCH(vp.tbl[[#This Row],[SDate]],weather.tbl[Date],0))</f>
        <v>13.5</v>
      </c>
      <c r="T1586" s="2">
        <f ca="1">INDEX(INDIRECT(_xlfn.CONCAT("weather.tbl[",T$1,"]")),MATCH(vp.tbl[[#This Row],[SDate]],weather.tbl[Date],0))</f>
        <v>14.2</v>
      </c>
      <c r="U1586" s="2">
        <f ca="1">INDEX(INDIRECT(_xlfn.CONCAT("weather.tbl[",U$1,"]")),MATCH(vp.tbl[[#This Row],[SDate]],weather.tbl[Date],0))</f>
        <v>13.5</v>
      </c>
      <c r="V1586" s="2">
        <v>7702.1589999999997</v>
      </c>
      <c r="W1586" t="s">
        <v>48</v>
      </c>
      <c r="X1586">
        <f>IF(OR(vp.tbl[[#This Row],[Sulf]]="",vp.tbl[[#This Row],[Dens]]=""),1,0)</f>
        <v>0</v>
      </c>
      <c r="Y1586">
        <f>IF(vp.tbl[[#This Row],[CrudeType]]="C5+",1,0)</f>
        <v>0</v>
      </c>
      <c r="Z1586">
        <f>IF(AND(vp.tbl[[#This Row],[CrudeType]]="Crude",vp.tbl[[#This Row],[Dens]]&lt;=825,vp.tbl[[#This Row],[Sulf]]&gt;0.5,vp.tbl[[#This Row],[Unknown]]=0),1,0)</f>
        <v>1</v>
      </c>
      <c r="AA1586">
        <f>IF(AND(vp.tbl[[#This Row],[CrudeType]]="Crude",vp.tbl[[#This Row],[Dens]]&lt;=825,vp.tbl[[#This Row],[Sulf]]&lt;=0.5,vp.tbl[[#This Row],[Unknown]]=0),1,0)</f>
        <v>0</v>
      </c>
      <c r="AB1586">
        <f>IF(AND(vp.tbl[[#This Row],[CrudeType]]="Crude",vp.tbl[[#This Row],[Dens]]&gt;825,vp.tbl[[#This Row],[Dens]]&lt;=870,vp.tbl[[#This Row],[Sulf]]&gt;0.5,vp.tbl[[#This Row],[Unknown]]=0),1,0)</f>
        <v>0</v>
      </c>
      <c r="AC1586">
        <f>IF(AND(vp.tbl[[#This Row],[CrudeType]]="Crude",vp.tbl[[#This Row],[Dens]]&gt;825,vp.tbl[[#This Row],[Dens]]&lt;=900,vp.tbl[[#This Row],[Sulf]]&lt;=0.5,vp.tbl[[#This Row],[Unknown]]=0),1,0)</f>
        <v>0</v>
      </c>
      <c r="AD1586">
        <f>IF(AND(vp.tbl[[#This Row],[CrudeType]]="Crude",vp.tbl[[#This Row],[Dens]]&gt;870,vp.tbl[[#This Row],[Dens]]&lt;=900,vp.tbl[[#This Row],[Sulf]]&gt;0.5,vp.tbl[[#This Row],[Unknown]]=0),1,0)</f>
        <v>0</v>
      </c>
      <c r="AE1586">
        <f>IF(AND(vp.tbl[[#This Row],[CrudeType]]="Crude",vp.tbl[[#This Row],[Dens]]&gt;900,vp.tbl[[#This Row],[Sulf]]&lt;=0.5,vp.tbl[[#This Row],[Unknown]]=0),1,0)</f>
        <v>0</v>
      </c>
      <c r="AF1586">
        <f>IF(AND(vp.tbl[[#This Row],[CrudeType]]="Crude",vp.tbl[[#This Row],[Dens]]&gt;900,vp.tbl[[#This Row],[Sulf]]&lt;=0.5,vp.tbl[[#This Row],[Unknown]]=0),1,0)</f>
        <v>0</v>
      </c>
      <c r="AG1586" t="str">
        <f>INDEX(vp.tbl[[#Headers],[Unknown]:[Heavy_SW]],MATCH(1,vp.tbl[[#This Row],[Unknown]:[Heavy_SW]],0))</f>
        <v>Light_LSB</v>
      </c>
      <c r="AH1586" t="e">
        <f>INDEX([1]!crudeBD.lkup[Number],MATCH(vp.tbl[[#This Row],[Crude_Breakdown]],[1]!crudeBD.lkup[Crude Breakdown],0))</f>
        <v>#REF!</v>
      </c>
      <c r="AI1586">
        <f>MONTH(vp.tbl[[#This Row],[SDate]])</f>
        <v>5</v>
      </c>
      <c r="AJ1586" s="5">
        <f>IFERROR(vp.tbl[[#This Row],[Sulf]]*vp.tbl[[#This Row],[Net Dens]],"")</f>
        <v>4620633.0143259997</v>
      </c>
      <c r="AK1586" s="5">
        <f>IFERROR(vp.tbl[[#This Row],[Dens]]*vp.tbl[[#This Row],[VolumeM3]],"")</f>
        <v>6329634.2661999995</v>
      </c>
      <c r="AL1586" s="5">
        <f>IFERROR(vp.tbl[[#This Row],[VP]]*vp.tbl[[#This Row],[VolumeM3]],"")</f>
        <v>563798.03879999998</v>
      </c>
      <c r="AM1586" s="4">
        <f>IFERROR((vp.tbl[[#This Row],[VP]]-INDEX(crudeBD.lkup.complete[Mean_VP],MATCH(vp.tbl[[#This Row],[Crude_Breakdown]],crudeBD.lkup.complete[Crude Breakdown],0)))^2,"")</f>
        <v>336.58252485917842</v>
      </c>
      <c r="AN1586" s="4">
        <f>IFERROR((vp.tbl[[#This Row],[Dens]]-INDEX(crudeBD.lkup.complete[Mean_Dens],MATCH(vp.tbl[[#This Row],[Crude_Breakdown]],crudeBD.lkup.complete[Crude Breakdown],0)))^2,"")</f>
        <v>10.779600812462647</v>
      </c>
      <c r="AO1586" s="4">
        <f>IFERROR((vp.tbl[[#This Row],[Sulf]]-INDEX(crudeBD.lkup.complete[Mean_Sulf],MATCH(vp.tbl[[#This Row],[Crude_Breakdown]],crudeBD.lkup.complete[Crude Breakdown],0)))^2,"")</f>
        <v>3.7237871827825515E-2</v>
      </c>
      <c r="AP1586">
        <f>IF(AND(vp.tbl[[#This Row],[SDate]]&gt;=DATE(YEAR(vp.tbl[[#This Row],[SDate]]),5,1),vp.tbl[[#This Row],[SDate]]&lt;=DATE(YEAR(vp.tbl[[#This Row],[SDate]]),9,15)),1,0)</f>
        <v>1</v>
      </c>
      <c r="AQ1586" s="15">
        <f>IF(vp.tbl[[#This Row],[SDate]]&lt;DATE(2016,12,1),0,1)</f>
        <v>1</v>
      </c>
    </row>
    <row r="1587" spans="1:43" x14ac:dyDescent="0.25">
      <c r="A1587">
        <v>1586</v>
      </c>
      <c r="B1587" t="s">
        <v>291</v>
      </c>
      <c r="C1587" t="s">
        <v>291</v>
      </c>
      <c r="D1587" t="s">
        <v>109</v>
      </c>
      <c r="F1587" s="1">
        <v>42886</v>
      </c>
      <c r="G1587" s="2">
        <v>78.5</v>
      </c>
      <c r="H1587" s="2"/>
      <c r="I1587" s="2">
        <v>0.77</v>
      </c>
      <c r="J1587" s="2"/>
      <c r="K1587" s="2"/>
      <c r="L1587" s="2"/>
      <c r="M1587" s="2">
        <v>837.8</v>
      </c>
      <c r="N1587" s="2">
        <f ca="1">INDEX(INDIRECT(_xlfn.CONCAT("weather.tbl[",N$1,"]")),MATCH(vp.tbl[[#This Row],[SDate]],weather.tbl[Date],0))</f>
        <v>13.600000000000001</v>
      </c>
      <c r="O1587" s="2">
        <f ca="1">INDEX(INDIRECT(_xlfn.CONCAT("weather.tbl[",O$1,"]")),MATCH(vp.tbl[[#This Row],[SDate]],weather.tbl[Date],0))</f>
        <v>12.745238095238095</v>
      </c>
      <c r="P1587" s="2">
        <f ca="1">INDEX(INDIRECT(_xlfn.CONCAT("weather.tbl[",P$1,"]")),MATCH(vp.tbl[[#This Row],[SDate]],weather.tbl[Date],0))</f>
        <v>13.9</v>
      </c>
      <c r="Q1587" s="2">
        <f ca="1">INDEX(INDIRECT(_xlfn.CONCAT("weather.tbl[",Q$1,"]")),MATCH(vp.tbl[[#This Row],[SDate]],weather.tbl[Date],0))</f>
        <v>13.7</v>
      </c>
      <c r="R1587" s="2">
        <f ca="1">INDEX(INDIRECT(_xlfn.CONCAT("weather.tbl[",R$1,"]")),MATCH(vp.tbl[[#This Row],[SDate]],weather.tbl[Date],0))</f>
        <v>12.8</v>
      </c>
      <c r="S1587" s="2">
        <f ca="1">INDEX(INDIRECT(_xlfn.CONCAT("weather.tbl[",S$1,"]")),MATCH(vp.tbl[[#This Row],[SDate]],weather.tbl[Date],0))</f>
        <v>13.5</v>
      </c>
      <c r="T1587" s="2">
        <f ca="1">INDEX(INDIRECT(_xlfn.CONCAT("weather.tbl[",T$1,"]")),MATCH(vp.tbl[[#This Row],[SDate]],weather.tbl[Date],0))</f>
        <v>14.2</v>
      </c>
      <c r="U1587" s="2">
        <f ca="1">INDEX(INDIRECT(_xlfn.CONCAT("weather.tbl[",U$1,"]")),MATCH(vp.tbl[[#This Row],[SDate]],weather.tbl[Date],0))</f>
        <v>13.5</v>
      </c>
      <c r="V1587" s="2">
        <v>13057.414000000001</v>
      </c>
      <c r="W1587" t="s">
        <v>48</v>
      </c>
      <c r="X1587">
        <f>IF(OR(vp.tbl[[#This Row],[Sulf]]="",vp.tbl[[#This Row],[Dens]]=""),1,0)</f>
        <v>0</v>
      </c>
      <c r="Y1587">
        <f>IF(vp.tbl[[#This Row],[CrudeType]]="C5+",1,0)</f>
        <v>0</v>
      </c>
      <c r="Z1587">
        <f>IF(AND(vp.tbl[[#This Row],[CrudeType]]="Crude",vp.tbl[[#This Row],[Dens]]&lt;=825,vp.tbl[[#This Row],[Sulf]]&gt;0.5,vp.tbl[[#This Row],[Unknown]]=0),1,0)</f>
        <v>0</v>
      </c>
      <c r="AA1587">
        <f>IF(AND(vp.tbl[[#This Row],[CrudeType]]="Crude",vp.tbl[[#This Row],[Dens]]&lt;=825,vp.tbl[[#This Row],[Sulf]]&lt;=0.5,vp.tbl[[#This Row],[Unknown]]=0),1,0)</f>
        <v>0</v>
      </c>
      <c r="AB1587">
        <f>IF(AND(vp.tbl[[#This Row],[CrudeType]]="Crude",vp.tbl[[#This Row],[Dens]]&gt;825,vp.tbl[[#This Row],[Dens]]&lt;=870,vp.tbl[[#This Row],[Sulf]]&gt;0.5,vp.tbl[[#This Row],[Unknown]]=0),1,0)</f>
        <v>1</v>
      </c>
      <c r="AC1587">
        <f>IF(AND(vp.tbl[[#This Row],[CrudeType]]="Crude",vp.tbl[[#This Row],[Dens]]&gt;825,vp.tbl[[#This Row],[Dens]]&lt;=900,vp.tbl[[#This Row],[Sulf]]&lt;=0.5,vp.tbl[[#This Row],[Unknown]]=0),1,0)</f>
        <v>0</v>
      </c>
      <c r="AD1587">
        <f>IF(AND(vp.tbl[[#This Row],[CrudeType]]="Crude",vp.tbl[[#This Row],[Dens]]&gt;870,vp.tbl[[#This Row],[Dens]]&lt;=900,vp.tbl[[#This Row],[Sulf]]&gt;0.5,vp.tbl[[#This Row],[Unknown]]=0),1,0)</f>
        <v>0</v>
      </c>
      <c r="AE1587">
        <f>IF(AND(vp.tbl[[#This Row],[CrudeType]]="Crude",vp.tbl[[#This Row],[Dens]]&gt;900,vp.tbl[[#This Row],[Sulf]]&lt;=0.5,vp.tbl[[#This Row],[Unknown]]=0),1,0)</f>
        <v>0</v>
      </c>
      <c r="AF1587">
        <f>IF(AND(vp.tbl[[#This Row],[CrudeType]]="Crude",vp.tbl[[#This Row],[Dens]]&gt;900,vp.tbl[[#This Row],[Sulf]]&lt;=0.5,vp.tbl[[#This Row],[Unknown]]=0),1,0)</f>
        <v>0</v>
      </c>
      <c r="AG1587" t="str">
        <f>INDEX(vp.tbl[[#Headers],[Unknown]:[Heavy_SW]],MATCH(1,vp.tbl[[#This Row],[Unknown]:[Heavy_SW]],0))</f>
        <v>Medium_LSB</v>
      </c>
      <c r="AH1587" t="e">
        <f>INDEX([1]!crudeBD.lkup[Number],MATCH(vp.tbl[[#This Row],[Crude_Breakdown]],[1]!crudeBD.lkup[Crude Breakdown],0))</f>
        <v>#REF!</v>
      </c>
      <c r="AI1587">
        <f>MONTH(vp.tbl[[#This Row],[SDate]])</f>
        <v>5</v>
      </c>
      <c r="AJ1587" s="5">
        <f>IFERROR(vp.tbl[[#This Row],[Sulf]]*vp.tbl[[#This Row],[Net Dens]],"")</f>
        <v>8423416.1158840004</v>
      </c>
      <c r="AK1587" s="5">
        <f>IFERROR(vp.tbl[[#This Row],[Dens]]*vp.tbl[[#This Row],[VolumeM3]],"")</f>
        <v>10939501.449200001</v>
      </c>
      <c r="AL1587" s="5">
        <f>IFERROR(vp.tbl[[#This Row],[VP]]*vp.tbl[[#This Row],[VolumeM3]],"")</f>
        <v>1025006.9990000001</v>
      </c>
      <c r="AM1587" s="4">
        <f>IFERROR((vp.tbl[[#This Row],[VP]]-INDEX(crudeBD.lkup.complete[Mean_VP],MATCH(vp.tbl[[#This Row],[Crude_Breakdown]],crudeBD.lkup.complete[Crude Breakdown],0)))^2,"")</f>
        <v>2.800920012177412</v>
      </c>
      <c r="AN1587" s="4">
        <f>IFERROR((vp.tbl[[#This Row],[Dens]]-INDEX(crudeBD.lkup.complete[Mean_Dens],MATCH(vp.tbl[[#This Row],[Crude_Breakdown]],crudeBD.lkup.complete[Crude Breakdown],0)))^2,"")</f>
        <v>56.12740863898609</v>
      </c>
      <c r="AO1587" s="4">
        <f>IFERROR((vp.tbl[[#This Row],[Sulf]]-INDEX(crudeBD.lkup.complete[Mean_Sulf],MATCH(vp.tbl[[#This Row],[Crude_Breakdown]],crudeBD.lkup.complete[Crude Breakdown],0)))^2,"")</f>
        <v>0.46912891416002139</v>
      </c>
      <c r="AP1587">
        <f>IF(AND(vp.tbl[[#This Row],[SDate]]&gt;=DATE(YEAR(vp.tbl[[#This Row],[SDate]]),5,1),vp.tbl[[#This Row],[SDate]]&lt;=DATE(YEAR(vp.tbl[[#This Row],[SDate]]),9,15)),1,0)</f>
        <v>1</v>
      </c>
      <c r="AQ1587" s="15">
        <f>IF(vp.tbl[[#This Row],[SDate]]&lt;DATE(2016,12,1),0,1)</f>
        <v>1</v>
      </c>
    </row>
    <row r="1588" spans="1:43" x14ac:dyDescent="0.25">
      <c r="A1588">
        <v>1587</v>
      </c>
      <c r="B1588" t="s">
        <v>49</v>
      </c>
      <c r="C1588" t="s">
        <v>49</v>
      </c>
      <c r="D1588" t="s">
        <v>89</v>
      </c>
      <c r="F1588" s="1">
        <v>42886</v>
      </c>
      <c r="G1588" s="2">
        <v>91.6</v>
      </c>
      <c r="H1588" s="2"/>
      <c r="I1588" s="2">
        <v>0.68</v>
      </c>
      <c r="J1588" s="2"/>
      <c r="K1588" s="2"/>
      <c r="L1588" s="2"/>
      <c r="M1588" s="2">
        <v>826.5</v>
      </c>
      <c r="N1588" s="2">
        <f ca="1">INDEX(INDIRECT(_xlfn.CONCAT("weather.tbl[",N$1,"]")),MATCH(vp.tbl[[#This Row],[SDate]],weather.tbl[Date],0))</f>
        <v>13.600000000000001</v>
      </c>
      <c r="O1588" s="2">
        <f ca="1">INDEX(INDIRECT(_xlfn.CONCAT("weather.tbl[",O$1,"]")),MATCH(vp.tbl[[#This Row],[SDate]],weather.tbl[Date],0))</f>
        <v>12.745238095238095</v>
      </c>
      <c r="P1588" s="2">
        <f ca="1">INDEX(INDIRECT(_xlfn.CONCAT("weather.tbl[",P$1,"]")),MATCH(vp.tbl[[#This Row],[SDate]],weather.tbl[Date],0))</f>
        <v>13.9</v>
      </c>
      <c r="Q1588" s="2">
        <f ca="1">INDEX(INDIRECT(_xlfn.CONCAT("weather.tbl[",Q$1,"]")),MATCH(vp.tbl[[#This Row],[SDate]],weather.tbl[Date],0))</f>
        <v>13.7</v>
      </c>
      <c r="R1588" s="2">
        <f ca="1">INDEX(INDIRECT(_xlfn.CONCAT("weather.tbl[",R$1,"]")),MATCH(vp.tbl[[#This Row],[SDate]],weather.tbl[Date],0))</f>
        <v>12.8</v>
      </c>
      <c r="S1588" s="2">
        <f ca="1">INDEX(INDIRECT(_xlfn.CONCAT("weather.tbl[",S$1,"]")),MATCH(vp.tbl[[#This Row],[SDate]],weather.tbl[Date],0))</f>
        <v>13.5</v>
      </c>
      <c r="T1588" s="2">
        <f ca="1">INDEX(INDIRECT(_xlfn.CONCAT("weather.tbl[",T$1,"]")),MATCH(vp.tbl[[#This Row],[SDate]],weather.tbl[Date],0))</f>
        <v>14.2</v>
      </c>
      <c r="U1588" s="2">
        <f ca="1">INDEX(INDIRECT(_xlfn.CONCAT("weather.tbl[",U$1,"]")),MATCH(vp.tbl[[#This Row],[SDate]],weather.tbl[Date],0))</f>
        <v>13.5</v>
      </c>
      <c r="V1588" s="2">
        <v>6839.1149999999998</v>
      </c>
      <c r="W1588" t="s">
        <v>48</v>
      </c>
      <c r="X1588">
        <f>IF(OR(vp.tbl[[#This Row],[Sulf]]="",vp.tbl[[#This Row],[Dens]]=""),1,0)</f>
        <v>0</v>
      </c>
      <c r="Y1588">
        <f>IF(vp.tbl[[#This Row],[CrudeType]]="C5+",1,0)</f>
        <v>0</v>
      </c>
      <c r="Z1588">
        <f>IF(AND(vp.tbl[[#This Row],[CrudeType]]="Crude",vp.tbl[[#This Row],[Dens]]&lt;=825,vp.tbl[[#This Row],[Sulf]]&gt;0.5,vp.tbl[[#This Row],[Unknown]]=0),1,0)</f>
        <v>0</v>
      </c>
      <c r="AA1588">
        <f>IF(AND(vp.tbl[[#This Row],[CrudeType]]="Crude",vp.tbl[[#This Row],[Dens]]&lt;=825,vp.tbl[[#This Row],[Sulf]]&lt;=0.5,vp.tbl[[#This Row],[Unknown]]=0),1,0)</f>
        <v>0</v>
      </c>
      <c r="AB1588">
        <f>IF(AND(vp.tbl[[#This Row],[CrudeType]]="Crude",vp.tbl[[#This Row],[Dens]]&gt;825,vp.tbl[[#This Row],[Dens]]&lt;=870,vp.tbl[[#This Row],[Sulf]]&gt;0.5,vp.tbl[[#This Row],[Unknown]]=0),1,0)</f>
        <v>1</v>
      </c>
      <c r="AC1588">
        <f>IF(AND(vp.tbl[[#This Row],[CrudeType]]="Crude",vp.tbl[[#This Row],[Dens]]&gt;825,vp.tbl[[#This Row],[Dens]]&lt;=900,vp.tbl[[#This Row],[Sulf]]&lt;=0.5,vp.tbl[[#This Row],[Unknown]]=0),1,0)</f>
        <v>0</v>
      </c>
      <c r="AD1588">
        <f>IF(AND(vp.tbl[[#This Row],[CrudeType]]="Crude",vp.tbl[[#This Row],[Dens]]&gt;870,vp.tbl[[#This Row],[Dens]]&lt;=900,vp.tbl[[#This Row],[Sulf]]&gt;0.5,vp.tbl[[#This Row],[Unknown]]=0),1,0)</f>
        <v>0</v>
      </c>
      <c r="AE1588">
        <f>IF(AND(vp.tbl[[#This Row],[CrudeType]]="Crude",vp.tbl[[#This Row],[Dens]]&gt;900,vp.tbl[[#This Row],[Sulf]]&lt;=0.5,vp.tbl[[#This Row],[Unknown]]=0),1,0)</f>
        <v>0</v>
      </c>
      <c r="AF1588">
        <f>IF(AND(vp.tbl[[#This Row],[CrudeType]]="Crude",vp.tbl[[#This Row],[Dens]]&gt;900,vp.tbl[[#This Row],[Sulf]]&lt;=0.5,vp.tbl[[#This Row],[Unknown]]=0),1,0)</f>
        <v>0</v>
      </c>
      <c r="AG1588" t="str">
        <f>INDEX(vp.tbl[[#Headers],[Unknown]:[Heavy_SW]],MATCH(1,vp.tbl[[#This Row],[Unknown]:[Heavy_SW]],0))</f>
        <v>Medium_LSB</v>
      </c>
      <c r="AH1588" t="e">
        <f>INDEX([1]!crudeBD.lkup[Number],MATCH(vp.tbl[[#This Row],[Crude_Breakdown]],[1]!crudeBD.lkup[Crude Breakdown],0))</f>
        <v>#REF!</v>
      </c>
      <c r="AI1588">
        <f>MONTH(vp.tbl[[#This Row],[SDate]])</f>
        <v>5</v>
      </c>
      <c r="AJ1588" s="5">
        <f>IFERROR(vp.tbl[[#This Row],[Sulf]]*vp.tbl[[#This Row],[Net Dens]],"")</f>
        <v>3843719.4123</v>
      </c>
      <c r="AK1588" s="5">
        <f>IFERROR(vp.tbl[[#This Row],[Dens]]*vp.tbl[[#This Row],[VolumeM3]],"")</f>
        <v>5652528.5474999994</v>
      </c>
      <c r="AL1588" s="5">
        <f>IFERROR(vp.tbl[[#This Row],[VP]]*vp.tbl[[#This Row],[VolumeM3]],"")</f>
        <v>626462.93399999989</v>
      </c>
      <c r="AM1588" s="4">
        <f>IFERROR((vp.tbl[[#This Row],[VP]]-INDEX(crudeBD.lkup.complete[Mean_VP],MATCH(vp.tbl[[#This Row],[Crude_Breakdown]],crudeBD.lkup.complete[Crude Breakdown],0)))^2,"")</f>
        <v>130.56273267040609</v>
      </c>
      <c r="AN1588" s="4">
        <f>IFERROR((vp.tbl[[#This Row],[Dens]]-INDEX(crudeBD.lkup.complete[Mean_Dens],MATCH(vp.tbl[[#This Row],[Crude_Breakdown]],crudeBD.lkup.complete[Crude Breakdown],0)))^2,"")</f>
        <v>353.13260357567202</v>
      </c>
      <c r="AO1588" s="4">
        <f>IFERROR((vp.tbl[[#This Row],[Sulf]]-INDEX(crudeBD.lkup.complete[Mean_Sulf],MATCH(vp.tbl[[#This Row],[Crude_Breakdown]],crudeBD.lkup.complete[Crude Breakdown],0)))^2,"")</f>
        <v>0.60051628909673049</v>
      </c>
      <c r="AP1588">
        <f>IF(AND(vp.tbl[[#This Row],[SDate]]&gt;=DATE(YEAR(vp.tbl[[#This Row],[SDate]]),5,1),vp.tbl[[#This Row],[SDate]]&lt;=DATE(YEAR(vp.tbl[[#This Row],[SDate]]),9,15)),1,0)</f>
        <v>1</v>
      </c>
      <c r="AQ1588" s="15">
        <f>IF(vp.tbl[[#This Row],[SDate]]&lt;DATE(2016,12,1),0,1)</f>
        <v>1</v>
      </c>
    </row>
    <row r="1589" spans="1:43" x14ac:dyDescent="0.25">
      <c r="A1589">
        <v>1588</v>
      </c>
      <c r="B1589" t="s">
        <v>49</v>
      </c>
      <c r="C1589" t="s">
        <v>49</v>
      </c>
      <c r="D1589" t="s">
        <v>50</v>
      </c>
      <c r="F1589" s="1">
        <v>42888</v>
      </c>
      <c r="G1589" s="2">
        <v>76.400000000000006</v>
      </c>
      <c r="H1589" s="2"/>
      <c r="I1589" s="2" t="s">
        <v>310</v>
      </c>
      <c r="J1589" s="2"/>
      <c r="K1589" s="2"/>
      <c r="L1589" s="2"/>
      <c r="M1589" s="2" t="s">
        <v>310</v>
      </c>
      <c r="N1589" s="2">
        <f ca="1">INDEX(INDIRECT(_xlfn.CONCAT("weather.tbl[",N$1,"]")),MATCH(vp.tbl[[#This Row],[SDate]],weather.tbl[Date],0))</f>
        <v>21.95</v>
      </c>
      <c r="O1589" s="2">
        <f ca="1">INDEX(INDIRECT(_xlfn.CONCAT("weather.tbl[",O$1,"]")),MATCH(vp.tbl[[#This Row],[SDate]],weather.tbl[Date],0))</f>
        <v>14.923809523809526</v>
      </c>
      <c r="P1589" s="2">
        <f ca="1">INDEX(INDIRECT(_xlfn.CONCAT("weather.tbl[",P$1,"]")),MATCH(vp.tbl[[#This Row],[SDate]],weather.tbl[Date],0))</f>
        <v>22.7</v>
      </c>
      <c r="Q1589" s="2">
        <f ca="1">INDEX(INDIRECT(_xlfn.CONCAT("weather.tbl[",Q$1,"]")),MATCH(vp.tbl[[#This Row],[SDate]],weather.tbl[Date],0))</f>
        <v>20.9</v>
      </c>
      <c r="R1589" s="2">
        <f ca="1">INDEX(INDIRECT(_xlfn.CONCAT("weather.tbl[",R$1,"]")),MATCH(vp.tbl[[#This Row],[SDate]],weather.tbl[Date],0))</f>
        <v>21.3</v>
      </c>
      <c r="S1589" s="2">
        <f ca="1">INDEX(INDIRECT(_xlfn.CONCAT("weather.tbl[",S$1,"]")),MATCH(vp.tbl[[#This Row],[SDate]],weather.tbl[Date],0))</f>
        <v>20.5</v>
      </c>
      <c r="T1589" s="2">
        <f ca="1">INDEX(INDIRECT(_xlfn.CONCAT("weather.tbl[",T$1,"]")),MATCH(vp.tbl[[#This Row],[SDate]],weather.tbl[Date],0))</f>
        <v>24.8</v>
      </c>
      <c r="U1589" s="2">
        <f ca="1">INDEX(INDIRECT(_xlfn.CONCAT("weather.tbl[",U$1,"]")),MATCH(vp.tbl[[#This Row],[SDate]],weather.tbl[Date],0))</f>
        <v>21.5</v>
      </c>
      <c r="V1589" s="2" t="s">
        <v>310</v>
      </c>
      <c r="W1589" t="s">
        <v>48</v>
      </c>
      <c r="X1589">
        <f>IF(OR(vp.tbl[[#This Row],[Sulf]]="",vp.tbl[[#This Row],[Dens]]=""),1,0)</f>
        <v>1</v>
      </c>
      <c r="Y1589">
        <f>IF(vp.tbl[[#This Row],[CrudeType]]="C5+",1,0)</f>
        <v>0</v>
      </c>
      <c r="Z1589">
        <f>IF(AND(vp.tbl[[#This Row],[CrudeType]]="Crude",vp.tbl[[#This Row],[Dens]]&lt;=825,vp.tbl[[#This Row],[Sulf]]&gt;0.5,vp.tbl[[#This Row],[Unknown]]=0),1,0)</f>
        <v>0</v>
      </c>
      <c r="AA1589">
        <f>IF(AND(vp.tbl[[#This Row],[CrudeType]]="Crude",vp.tbl[[#This Row],[Dens]]&lt;=825,vp.tbl[[#This Row],[Sulf]]&lt;=0.5,vp.tbl[[#This Row],[Unknown]]=0),1,0)</f>
        <v>0</v>
      </c>
      <c r="AB1589">
        <f>IF(AND(vp.tbl[[#This Row],[CrudeType]]="Crude",vp.tbl[[#This Row],[Dens]]&gt;825,vp.tbl[[#This Row],[Dens]]&lt;=870,vp.tbl[[#This Row],[Sulf]]&gt;0.5,vp.tbl[[#This Row],[Unknown]]=0),1,0)</f>
        <v>0</v>
      </c>
      <c r="AC1589">
        <f>IF(AND(vp.tbl[[#This Row],[CrudeType]]="Crude",vp.tbl[[#This Row],[Dens]]&gt;825,vp.tbl[[#This Row],[Dens]]&lt;=900,vp.tbl[[#This Row],[Sulf]]&lt;=0.5,vp.tbl[[#This Row],[Unknown]]=0),1,0)</f>
        <v>0</v>
      </c>
      <c r="AD1589">
        <f>IF(AND(vp.tbl[[#This Row],[CrudeType]]="Crude",vp.tbl[[#This Row],[Dens]]&gt;870,vp.tbl[[#This Row],[Dens]]&lt;=900,vp.tbl[[#This Row],[Sulf]]&gt;0.5,vp.tbl[[#This Row],[Unknown]]=0),1,0)</f>
        <v>0</v>
      </c>
      <c r="AE1589">
        <f>IF(AND(vp.tbl[[#This Row],[CrudeType]]="Crude",vp.tbl[[#This Row],[Dens]]&gt;900,vp.tbl[[#This Row],[Sulf]]&lt;=0.5,vp.tbl[[#This Row],[Unknown]]=0),1,0)</f>
        <v>0</v>
      </c>
      <c r="AF1589">
        <f>IF(AND(vp.tbl[[#This Row],[CrudeType]]="Crude",vp.tbl[[#This Row],[Dens]]&gt;900,vp.tbl[[#This Row],[Sulf]]&lt;=0.5,vp.tbl[[#This Row],[Unknown]]=0),1,0)</f>
        <v>0</v>
      </c>
      <c r="AG1589" t="str">
        <f>INDEX(vp.tbl[[#Headers],[Unknown]:[Heavy_SW]],MATCH(1,vp.tbl[[#This Row],[Unknown]:[Heavy_SW]],0))</f>
        <v>Unknown</v>
      </c>
      <c r="AH1589" t="e">
        <f>INDEX([1]!crudeBD.lkup[Number],MATCH(vp.tbl[[#This Row],[Crude_Breakdown]],[1]!crudeBD.lkup[Crude Breakdown],0))</f>
        <v>#REF!</v>
      </c>
      <c r="AI1589">
        <f>MONTH(vp.tbl[[#This Row],[SDate]])</f>
        <v>6</v>
      </c>
      <c r="AJ1589" s="5" t="str">
        <f>IFERROR(vp.tbl[[#This Row],[Sulf]]*vp.tbl[[#This Row],[Net Dens]],"")</f>
        <v/>
      </c>
      <c r="AK1589" s="5" t="str">
        <f>IFERROR(vp.tbl[[#This Row],[Dens]]*vp.tbl[[#This Row],[VolumeM3]],"")</f>
        <v/>
      </c>
      <c r="AL1589" s="5" t="str">
        <f>IFERROR(vp.tbl[[#This Row],[VP]]*vp.tbl[[#This Row],[VolumeM3]],"")</f>
        <v/>
      </c>
      <c r="AM1589" s="4">
        <f>IFERROR((vp.tbl[[#This Row],[VP]]-INDEX(crudeBD.lkup.complete[Mean_VP],MATCH(vp.tbl[[#This Row],[Crude_Breakdown]],crudeBD.lkup.complete[Crude Breakdown],0)))^2,"")</f>
        <v>6.5273250187654224</v>
      </c>
      <c r="AN1589" s="4" t="str">
        <f>IFERROR((vp.tbl[[#This Row],[Dens]]-INDEX(crudeBD.lkup.complete[Mean_Dens],MATCH(vp.tbl[[#This Row],[Crude_Breakdown]],crudeBD.lkup.complete[Crude Breakdown],0)))^2,"")</f>
        <v/>
      </c>
      <c r="AO1589" s="4" t="str">
        <f>IFERROR((vp.tbl[[#This Row],[Sulf]]-INDEX(crudeBD.lkup.complete[Mean_Sulf],MATCH(vp.tbl[[#This Row],[Crude_Breakdown]],crudeBD.lkup.complete[Crude Breakdown],0)))^2,"")</f>
        <v/>
      </c>
      <c r="AP1589">
        <f>IF(AND(vp.tbl[[#This Row],[SDate]]&gt;=DATE(YEAR(vp.tbl[[#This Row],[SDate]]),5,1),vp.tbl[[#This Row],[SDate]]&lt;=DATE(YEAR(vp.tbl[[#This Row],[SDate]]),9,15)),1,0)</f>
        <v>1</v>
      </c>
      <c r="AQ1589" s="15">
        <f>IF(vp.tbl[[#This Row],[SDate]]&lt;DATE(2016,12,1),0,1)</f>
        <v>1</v>
      </c>
    </row>
    <row r="1590" spans="1:43" x14ac:dyDescent="0.25">
      <c r="A1590">
        <v>1589</v>
      </c>
      <c r="B1590" t="s">
        <v>51</v>
      </c>
      <c r="C1590" t="s">
        <v>51</v>
      </c>
      <c r="D1590" t="s">
        <v>71</v>
      </c>
      <c r="F1590" s="1">
        <v>42888</v>
      </c>
      <c r="G1590" s="2">
        <v>73.599999999999994</v>
      </c>
      <c r="H1590" s="2"/>
      <c r="I1590" s="2" t="s">
        <v>310</v>
      </c>
      <c r="J1590" s="2"/>
      <c r="K1590" s="2"/>
      <c r="L1590" s="2"/>
      <c r="M1590" s="2" t="s">
        <v>310</v>
      </c>
      <c r="N1590" s="2">
        <f ca="1">INDEX(INDIRECT(_xlfn.CONCAT("weather.tbl[",N$1,"]")),MATCH(vp.tbl[[#This Row],[SDate]],weather.tbl[Date],0))</f>
        <v>21.95</v>
      </c>
      <c r="O1590" s="2">
        <f ca="1">INDEX(INDIRECT(_xlfn.CONCAT("weather.tbl[",O$1,"]")),MATCH(vp.tbl[[#This Row],[SDate]],weather.tbl[Date],0))</f>
        <v>14.923809523809526</v>
      </c>
      <c r="P1590" s="2">
        <f ca="1">INDEX(INDIRECT(_xlfn.CONCAT("weather.tbl[",P$1,"]")),MATCH(vp.tbl[[#This Row],[SDate]],weather.tbl[Date],0))</f>
        <v>22.7</v>
      </c>
      <c r="Q1590" s="2">
        <f ca="1">INDEX(INDIRECT(_xlfn.CONCAT("weather.tbl[",Q$1,"]")),MATCH(vp.tbl[[#This Row],[SDate]],weather.tbl[Date],0))</f>
        <v>20.9</v>
      </c>
      <c r="R1590" s="2">
        <f ca="1">INDEX(INDIRECT(_xlfn.CONCAT("weather.tbl[",R$1,"]")),MATCH(vp.tbl[[#This Row],[SDate]],weather.tbl[Date],0))</f>
        <v>21.3</v>
      </c>
      <c r="S1590" s="2">
        <f ca="1">INDEX(INDIRECT(_xlfn.CONCAT("weather.tbl[",S$1,"]")),MATCH(vp.tbl[[#This Row],[SDate]],weather.tbl[Date],0))</f>
        <v>20.5</v>
      </c>
      <c r="T1590" s="2">
        <f ca="1">INDEX(INDIRECT(_xlfn.CONCAT("weather.tbl[",T$1,"]")),MATCH(vp.tbl[[#This Row],[SDate]],weather.tbl[Date],0))</f>
        <v>24.8</v>
      </c>
      <c r="U1590" s="2">
        <f ca="1">INDEX(INDIRECT(_xlfn.CONCAT("weather.tbl[",U$1,"]")),MATCH(vp.tbl[[#This Row],[SDate]],weather.tbl[Date],0))</f>
        <v>21.5</v>
      </c>
      <c r="V1590" s="2" t="s">
        <v>310</v>
      </c>
      <c r="W1590" t="s">
        <v>48</v>
      </c>
      <c r="X1590">
        <f>IF(OR(vp.tbl[[#This Row],[Sulf]]="",vp.tbl[[#This Row],[Dens]]=""),1,0)</f>
        <v>1</v>
      </c>
      <c r="Y1590">
        <f>IF(vp.tbl[[#This Row],[CrudeType]]="C5+",1,0)</f>
        <v>0</v>
      </c>
      <c r="Z1590">
        <f>IF(AND(vp.tbl[[#This Row],[CrudeType]]="Crude",vp.tbl[[#This Row],[Dens]]&lt;=825,vp.tbl[[#This Row],[Sulf]]&gt;0.5,vp.tbl[[#This Row],[Unknown]]=0),1,0)</f>
        <v>0</v>
      </c>
      <c r="AA1590">
        <f>IF(AND(vp.tbl[[#This Row],[CrudeType]]="Crude",vp.tbl[[#This Row],[Dens]]&lt;=825,vp.tbl[[#This Row],[Sulf]]&lt;=0.5,vp.tbl[[#This Row],[Unknown]]=0),1,0)</f>
        <v>0</v>
      </c>
      <c r="AB1590">
        <f>IF(AND(vp.tbl[[#This Row],[CrudeType]]="Crude",vp.tbl[[#This Row],[Dens]]&gt;825,vp.tbl[[#This Row],[Dens]]&lt;=870,vp.tbl[[#This Row],[Sulf]]&gt;0.5,vp.tbl[[#This Row],[Unknown]]=0),1,0)</f>
        <v>0</v>
      </c>
      <c r="AC1590">
        <f>IF(AND(vp.tbl[[#This Row],[CrudeType]]="Crude",vp.tbl[[#This Row],[Dens]]&gt;825,vp.tbl[[#This Row],[Dens]]&lt;=900,vp.tbl[[#This Row],[Sulf]]&lt;=0.5,vp.tbl[[#This Row],[Unknown]]=0),1,0)</f>
        <v>0</v>
      </c>
      <c r="AD1590">
        <f>IF(AND(vp.tbl[[#This Row],[CrudeType]]="Crude",vp.tbl[[#This Row],[Dens]]&gt;870,vp.tbl[[#This Row],[Dens]]&lt;=900,vp.tbl[[#This Row],[Sulf]]&gt;0.5,vp.tbl[[#This Row],[Unknown]]=0),1,0)</f>
        <v>0</v>
      </c>
      <c r="AE1590">
        <f>IF(AND(vp.tbl[[#This Row],[CrudeType]]="Crude",vp.tbl[[#This Row],[Dens]]&gt;900,vp.tbl[[#This Row],[Sulf]]&lt;=0.5,vp.tbl[[#This Row],[Unknown]]=0),1,0)</f>
        <v>0</v>
      </c>
      <c r="AF1590">
        <f>IF(AND(vp.tbl[[#This Row],[CrudeType]]="Crude",vp.tbl[[#This Row],[Dens]]&gt;900,vp.tbl[[#This Row],[Sulf]]&lt;=0.5,vp.tbl[[#This Row],[Unknown]]=0),1,0)</f>
        <v>0</v>
      </c>
      <c r="AG1590" t="str">
        <f>INDEX(vp.tbl[[#Headers],[Unknown]:[Heavy_SW]],MATCH(1,vp.tbl[[#This Row],[Unknown]:[Heavy_SW]],0))</f>
        <v>Unknown</v>
      </c>
      <c r="AH1590" t="e">
        <f>INDEX([1]!crudeBD.lkup[Number],MATCH(vp.tbl[[#This Row],[Crude_Breakdown]],[1]!crudeBD.lkup[Crude Breakdown],0))</f>
        <v>#REF!</v>
      </c>
      <c r="AI1590">
        <f>MONTH(vp.tbl[[#This Row],[SDate]])</f>
        <v>6</v>
      </c>
      <c r="AJ1590" s="5" t="str">
        <f>IFERROR(vp.tbl[[#This Row],[Sulf]]*vp.tbl[[#This Row],[Net Dens]],"")</f>
        <v/>
      </c>
      <c r="AK1590" s="5" t="str">
        <f>IFERROR(vp.tbl[[#This Row],[Dens]]*vp.tbl[[#This Row],[VolumeM3]],"")</f>
        <v/>
      </c>
      <c r="AL1590" s="5" t="str">
        <f>IFERROR(vp.tbl[[#This Row],[VP]]*vp.tbl[[#This Row],[VolumeM3]],"")</f>
        <v/>
      </c>
      <c r="AM1590" s="4">
        <f>IFERROR((vp.tbl[[#This Row],[VP]]-INDEX(crudeBD.lkup.complete[Mean_VP],MATCH(vp.tbl[[#This Row],[Crude_Breakdown]],crudeBD.lkup.complete[Crude Breakdown],0)))^2,"")</f>
        <v>6.0092142052906708E-2</v>
      </c>
      <c r="AN1590" s="4" t="str">
        <f>IFERROR((vp.tbl[[#This Row],[Dens]]-INDEX(crudeBD.lkup.complete[Mean_Dens],MATCH(vp.tbl[[#This Row],[Crude_Breakdown]],crudeBD.lkup.complete[Crude Breakdown],0)))^2,"")</f>
        <v/>
      </c>
      <c r="AO1590" s="4" t="str">
        <f>IFERROR((vp.tbl[[#This Row],[Sulf]]-INDEX(crudeBD.lkup.complete[Mean_Sulf],MATCH(vp.tbl[[#This Row],[Crude_Breakdown]],crudeBD.lkup.complete[Crude Breakdown],0)))^2,"")</f>
        <v/>
      </c>
      <c r="AP1590">
        <f>IF(AND(vp.tbl[[#This Row],[SDate]]&gt;=DATE(YEAR(vp.tbl[[#This Row],[SDate]]),5,1),vp.tbl[[#This Row],[SDate]]&lt;=DATE(YEAR(vp.tbl[[#This Row],[SDate]]),9,15)),1,0)</f>
        <v>1</v>
      </c>
      <c r="AQ1590" s="15">
        <f>IF(vp.tbl[[#This Row],[SDate]]&lt;DATE(2016,12,1),0,1)</f>
        <v>1</v>
      </c>
    </row>
    <row r="1591" spans="1:43" x14ac:dyDescent="0.25">
      <c r="A1591">
        <v>1590</v>
      </c>
      <c r="B1591" t="s">
        <v>329</v>
      </c>
      <c r="C1591" t="s">
        <v>329</v>
      </c>
      <c r="D1591" t="s">
        <v>330</v>
      </c>
      <c r="F1591" s="1">
        <v>42888</v>
      </c>
      <c r="G1591" s="2">
        <v>79.3</v>
      </c>
      <c r="H1591" s="2"/>
      <c r="I1591" s="2" t="s">
        <v>310</v>
      </c>
      <c r="J1591" s="2"/>
      <c r="K1591" s="2"/>
      <c r="L1591" s="2"/>
      <c r="M1591" s="2" t="s">
        <v>310</v>
      </c>
      <c r="N1591" s="2">
        <f ca="1">INDEX(INDIRECT(_xlfn.CONCAT("weather.tbl[",N$1,"]")),MATCH(vp.tbl[[#This Row],[SDate]],weather.tbl[Date],0))</f>
        <v>21.95</v>
      </c>
      <c r="O1591" s="2">
        <f ca="1">INDEX(INDIRECT(_xlfn.CONCAT("weather.tbl[",O$1,"]")),MATCH(vp.tbl[[#This Row],[SDate]],weather.tbl[Date],0))</f>
        <v>14.923809523809526</v>
      </c>
      <c r="P1591" s="2">
        <f ca="1">INDEX(INDIRECT(_xlfn.CONCAT("weather.tbl[",P$1,"]")),MATCH(vp.tbl[[#This Row],[SDate]],weather.tbl[Date],0))</f>
        <v>22.7</v>
      </c>
      <c r="Q1591" s="2">
        <f ca="1">INDEX(INDIRECT(_xlfn.CONCAT("weather.tbl[",Q$1,"]")),MATCH(vp.tbl[[#This Row],[SDate]],weather.tbl[Date],0))</f>
        <v>20.9</v>
      </c>
      <c r="R1591" s="2">
        <f ca="1">INDEX(INDIRECT(_xlfn.CONCAT("weather.tbl[",R$1,"]")),MATCH(vp.tbl[[#This Row],[SDate]],weather.tbl[Date],0))</f>
        <v>21.3</v>
      </c>
      <c r="S1591" s="2">
        <f ca="1">INDEX(INDIRECT(_xlfn.CONCAT("weather.tbl[",S$1,"]")),MATCH(vp.tbl[[#This Row],[SDate]],weather.tbl[Date],0))</f>
        <v>20.5</v>
      </c>
      <c r="T1591" s="2">
        <f ca="1">INDEX(INDIRECT(_xlfn.CONCAT("weather.tbl[",T$1,"]")),MATCH(vp.tbl[[#This Row],[SDate]],weather.tbl[Date],0))</f>
        <v>24.8</v>
      </c>
      <c r="U1591" s="2">
        <f ca="1">INDEX(INDIRECT(_xlfn.CONCAT("weather.tbl[",U$1,"]")),MATCH(vp.tbl[[#This Row],[SDate]],weather.tbl[Date],0))</f>
        <v>21.5</v>
      </c>
      <c r="V1591" s="2" t="s">
        <v>310</v>
      </c>
      <c r="W1591" t="s">
        <v>48</v>
      </c>
      <c r="X1591">
        <f>IF(OR(vp.tbl[[#This Row],[Sulf]]="",vp.tbl[[#This Row],[Dens]]=""),1,0)</f>
        <v>1</v>
      </c>
      <c r="Y1591">
        <f>IF(vp.tbl[[#This Row],[CrudeType]]="C5+",1,0)</f>
        <v>0</v>
      </c>
      <c r="Z1591">
        <f>IF(AND(vp.tbl[[#This Row],[CrudeType]]="Crude",vp.tbl[[#This Row],[Dens]]&lt;=825,vp.tbl[[#This Row],[Sulf]]&gt;0.5,vp.tbl[[#This Row],[Unknown]]=0),1,0)</f>
        <v>0</v>
      </c>
      <c r="AA1591">
        <f>IF(AND(vp.tbl[[#This Row],[CrudeType]]="Crude",vp.tbl[[#This Row],[Dens]]&lt;=825,vp.tbl[[#This Row],[Sulf]]&lt;=0.5,vp.tbl[[#This Row],[Unknown]]=0),1,0)</f>
        <v>0</v>
      </c>
      <c r="AB1591">
        <f>IF(AND(vp.tbl[[#This Row],[CrudeType]]="Crude",vp.tbl[[#This Row],[Dens]]&gt;825,vp.tbl[[#This Row],[Dens]]&lt;=870,vp.tbl[[#This Row],[Sulf]]&gt;0.5,vp.tbl[[#This Row],[Unknown]]=0),1,0)</f>
        <v>0</v>
      </c>
      <c r="AC1591">
        <f>IF(AND(vp.tbl[[#This Row],[CrudeType]]="Crude",vp.tbl[[#This Row],[Dens]]&gt;825,vp.tbl[[#This Row],[Dens]]&lt;=900,vp.tbl[[#This Row],[Sulf]]&lt;=0.5,vp.tbl[[#This Row],[Unknown]]=0),1,0)</f>
        <v>0</v>
      </c>
      <c r="AD1591">
        <f>IF(AND(vp.tbl[[#This Row],[CrudeType]]="Crude",vp.tbl[[#This Row],[Dens]]&gt;870,vp.tbl[[#This Row],[Dens]]&lt;=900,vp.tbl[[#This Row],[Sulf]]&gt;0.5,vp.tbl[[#This Row],[Unknown]]=0),1,0)</f>
        <v>0</v>
      </c>
      <c r="AE1591">
        <f>IF(AND(vp.tbl[[#This Row],[CrudeType]]="Crude",vp.tbl[[#This Row],[Dens]]&gt;900,vp.tbl[[#This Row],[Sulf]]&lt;=0.5,vp.tbl[[#This Row],[Unknown]]=0),1,0)</f>
        <v>0</v>
      </c>
      <c r="AF1591">
        <f>IF(AND(vp.tbl[[#This Row],[CrudeType]]="Crude",vp.tbl[[#This Row],[Dens]]&gt;900,vp.tbl[[#This Row],[Sulf]]&lt;=0.5,vp.tbl[[#This Row],[Unknown]]=0),1,0)</f>
        <v>0</v>
      </c>
      <c r="AG1591" t="str">
        <f>INDEX(vp.tbl[[#Headers],[Unknown]:[Heavy_SW]],MATCH(1,vp.tbl[[#This Row],[Unknown]:[Heavy_SW]],0))</f>
        <v>Unknown</v>
      </c>
      <c r="AH1591" t="e">
        <f>INDEX([1]!crudeBD.lkup[Number],MATCH(vp.tbl[[#This Row],[Crude_Breakdown]],[1]!crudeBD.lkup[Crude Breakdown],0))</f>
        <v>#REF!</v>
      </c>
      <c r="AI1591">
        <f>MONTH(vp.tbl[[#This Row],[SDate]])</f>
        <v>6</v>
      </c>
      <c r="AJ1591" s="5" t="str">
        <f>IFERROR(vp.tbl[[#This Row],[Sulf]]*vp.tbl[[#This Row],[Net Dens]],"")</f>
        <v/>
      </c>
      <c r="AK1591" s="5" t="str">
        <f>IFERROR(vp.tbl[[#This Row],[Dens]]*vp.tbl[[#This Row],[VolumeM3]],"")</f>
        <v/>
      </c>
      <c r="AL1591" s="5" t="str">
        <f>IFERROR(vp.tbl[[#This Row],[VP]]*vp.tbl[[#This Row],[VolumeM3]],"")</f>
        <v/>
      </c>
      <c r="AM1591" s="4">
        <f>IFERROR((vp.tbl[[#This Row],[VP]]-INDEX(crudeBD.lkup.complete[Mean_VP],MATCH(vp.tbl[[#This Row],[Crude_Breakdown]],crudeBD.lkup.complete[Crude Breakdown],0)))^2,"")</f>
        <v>29.755530498217585</v>
      </c>
      <c r="AN1591" s="4" t="str">
        <f>IFERROR((vp.tbl[[#This Row],[Dens]]-INDEX(crudeBD.lkup.complete[Mean_Dens],MATCH(vp.tbl[[#This Row],[Crude_Breakdown]],crudeBD.lkup.complete[Crude Breakdown],0)))^2,"")</f>
        <v/>
      </c>
      <c r="AO1591" s="4" t="str">
        <f>IFERROR((vp.tbl[[#This Row],[Sulf]]-INDEX(crudeBD.lkup.complete[Mean_Sulf],MATCH(vp.tbl[[#This Row],[Crude_Breakdown]],crudeBD.lkup.complete[Crude Breakdown],0)))^2,"")</f>
        <v/>
      </c>
      <c r="AP1591">
        <f>IF(AND(vp.tbl[[#This Row],[SDate]]&gt;=DATE(YEAR(vp.tbl[[#This Row],[SDate]]),5,1),vp.tbl[[#This Row],[SDate]]&lt;=DATE(YEAR(vp.tbl[[#This Row],[SDate]]),9,15)),1,0)</f>
        <v>1</v>
      </c>
      <c r="AQ1591" s="15">
        <f>IF(vp.tbl[[#This Row],[SDate]]&lt;DATE(2016,12,1),0,1)</f>
        <v>1</v>
      </c>
    </row>
    <row r="1592" spans="1:43" x14ac:dyDescent="0.25">
      <c r="A1592">
        <v>1591</v>
      </c>
      <c r="B1592" t="s">
        <v>49</v>
      </c>
      <c r="C1592" t="s">
        <v>49</v>
      </c>
      <c r="D1592" t="s">
        <v>175</v>
      </c>
      <c r="F1592" s="1">
        <v>42892</v>
      </c>
      <c r="G1592" s="2">
        <v>75.8</v>
      </c>
      <c r="H1592" s="2"/>
      <c r="I1592" s="2" t="s">
        <v>310</v>
      </c>
      <c r="J1592" s="2"/>
      <c r="K1592" s="2"/>
      <c r="L1592" s="2"/>
      <c r="M1592" s="2" t="s">
        <v>310</v>
      </c>
      <c r="N1592" s="2">
        <f ca="1">INDEX(INDIRECT(_xlfn.CONCAT("weather.tbl[",N$1,"]")),MATCH(vp.tbl[[#This Row],[SDate]],weather.tbl[Date],0))</f>
        <v>14.583333333333334</v>
      </c>
      <c r="O1592" s="2">
        <f ca="1">INDEX(INDIRECT(_xlfn.CONCAT("weather.tbl[",O$1,"]")),MATCH(vp.tbl[[#This Row],[SDate]],weather.tbl[Date],0))</f>
        <v>18.273809523809526</v>
      </c>
      <c r="P1592" s="2">
        <f ca="1">INDEX(INDIRECT(_xlfn.CONCAT("weather.tbl[",P$1,"]")),MATCH(vp.tbl[[#This Row],[SDate]],weather.tbl[Date],0))</f>
        <v>14.7</v>
      </c>
      <c r="Q1592" s="2">
        <f ca="1">INDEX(INDIRECT(_xlfn.CONCAT("weather.tbl[",Q$1,"]")),MATCH(vp.tbl[[#This Row],[SDate]],weather.tbl[Date],0))</f>
        <v>13.1</v>
      </c>
      <c r="R1592" s="2">
        <f ca="1">INDEX(INDIRECT(_xlfn.CONCAT("weather.tbl[",R$1,"]")),MATCH(vp.tbl[[#This Row],[SDate]],weather.tbl[Date],0))</f>
        <v>14.8</v>
      </c>
      <c r="S1592" s="2">
        <f ca="1">INDEX(INDIRECT(_xlfn.CONCAT("weather.tbl[",S$1,"]")),MATCH(vp.tbl[[#This Row],[SDate]],weather.tbl[Date],0))</f>
        <v>13.4</v>
      </c>
      <c r="T1592" s="2">
        <f ca="1">INDEX(INDIRECT(_xlfn.CONCAT("weather.tbl[",T$1,"]")),MATCH(vp.tbl[[#This Row],[SDate]],weather.tbl[Date],0))</f>
        <v>18</v>
      </c>
      <c r="U1592" s="2">
        <f ca="1">INDEX(INDIRECT(_xlfn.CONCAT("weather.tbl[",U$1,"]")),MATCH(vp.tbl[[#This Row],[SDate]],weather.tbl[Date],0))</f>
        <v>13.5</v>
      </c>
      <c r="V1592" s="2" t="s">
        <v>310</v>
      </c>
      <c r="W1592" t="s">
        <v>48</v>
      </c>
      <c r="X1592">
        <f>IF(OR(vp.tbl[[#This Row],[Sulf]]="",vp.tbl[[#This Row],[Dens]]=""),1,0)</f>
        <v>1</v>
      </c>
      <c r="Y1592">
        <f>IF(vp.tbl[[#This Row],[CrudeType]]="C5+",1,0)</f>
        <v>0</v>
      </c>
      <c r="Z1592">
        <f>IF(AND(vp.tbl[[#This Row],[CrudeType]]="Crude",vp.tbl[[#This Row],[Dens]]&lt;=825,vp.tbl[[#This Row],[Sulf]]&gt;0.5,vp.tbl[[#This Row],[Unknown]]=0),1,0)</f>
        <v>0</v>
      </c>
      <c r="AA1592">
        <f>IF(AND(vp.tbl[[#This Row],[CrudeType]]="Crude",vp.tbl[[#This Row],[Dens]]&lt;=825,vp.tbl[[#This Row],[Sulf]]&lt;=0.5,vp.tbl[[#This Row],[Unknown]]=0),1,0)</f>
        <v>0</v>
      </c>
      <c r="AB1592">
        <f>IF(AND(vp.tbl[[#This Row],[CrudeType]]="Crude",vp.tbl[[#This Row],[Dens]]&gt;825,vp.tbl[[#This Row],[Dens]]&lt;=870,vp.tbl[[#This Row],[Sulf]]&gt;0.5,vp.tbl[[#This Row],[Unknown]]=0),1,0)</f>
        <v>0</v>
      </c>
      <c r="AC1592">
        <f>IF(AND(vp.tbl[[#This Row],[CrudeType]]="Crude",vp.tbl[[#This Row],[Dens]]&gt;825,vp.tbl[[#This Row],[Dens]]&lt;=900,vp.tbl[[#This Row],[Sulf]]&lt;=0.5,vp.tbl[[#This Row],[Unknown]]=0),1,0)</f>
        <v>0</v>
      </c>
      <c r="AD1592">
        <f>IF(AND(vp.tbl[[#This Row],[CrudeType]]="Crude",vp.tbl[[#This Row],[Dens]]&gt;870,vp.tbl[[#This Row],[Dens]]&lt;=900,vp.tbl[[#This Row],[Sulf]]&gt;0.5,vp.tbl[[#This Row],[Unknown]]=0),1,0)</f>
        <v>0</v>
      </c>
      <c r="AE1592">
        <f>IF(AND(vp.tbl[[#This Row],[CrudeType]]="Crude",vp.tbl[[#This Row],[Dens]]&gt;900,vp.tbl[[#This Row],[Sulf]]&lt;=0.5,vp.tbl[[#This Row],[Unknown]]=0),1,0)</f>
        <v>0</v>
      </c>
      <c r="AF1592">
        <f>IF(AND(vp.tbl[[#This Row],[CrudeType]]="Crude",vp.tbl[[#This Row],[Dens]]&gt;900,vp.tbl[[#This Row],[Sulf]]&lt;=0.5,vp.tbl[[#This Row],[Unknown]]=0),1,0)</f>
        <v>0</v>
      </c>
      <c r="AG1592" t="str">
        <f>INDEX(vp.tbl[[#Headers],[Unknown]:[Heavy_SW]],MATCH(1,vp.tbl[[#This Row],[Unknown]:[Heavy_SW]],0))</f>
        <v>Unknown</v>
      </c>
      <c r="AH1592" t="e">
        <f>INDEX([1]!crudeBD.lkup[Number],MATCH(vp.tbl[[#This Row],[Crude_Breakdown]],[1]!crudeBD.lkup[Crude Breakdown],0))</f>
        <v>#REF!</v>
      </c>
      <c r="AI1592">
        <f>MONTH(vp.tbl[[#This Row],[SDate]])</f>
        <v>6</v>
      </c>
      <c r="AJ1592" s="5" t="str">
        <f>IFERROR(vp.tbl[[#This Row],[Sulf]]*vp.tbl[[#This Row],[Net Dens]],"")</f>
        <v/>
      </c>
      <c r="AK1592" s="5" t="str">
        <f>IFERROR(vp.tbl[[#This Row],[Dens]]*vp.tbl[[#This Row],[VolumeM3]],"")</f>
        <v/>
      </c>
      <c r="AL1592" s="5" t="str">
        <f>IFERROR(vp.tbl[[#This Row],[VP]]*vp.tbl[[#This Row],[VolumeM3]],"")</f>
        <v/>
      </c>
      <c r="AM1592" s="4">
        <f>IFERROR((vp.tbl[[#This Row],[VP]]-INDEX(crudeBD.lkup.complete[Mean_VP],MATCH(vp.tbl[[#This Row],[Crude_Breakdown]],crudeBD.lkup.complete[Crude Breakdown],0)))^2,"")</f>
        <v>3.8214894023269919</v>
      </c>
      <c r="AN1592" s="4" t="str">
        <f>IFERROR((vp.tbl[[#This Row],[Dens]]-INDEX(crudeBD.lkup.complete[Mean_Dens],MATCH(vp.tbl[[#This Row],[Crude_Breakdown]],crudeBD.lkup.complete[Crude Breakdown],0)))^2,"")</f>
        <v/>
      </c>
      <c r="AO1592" s="4" t="str">
        <f>IFERROR((vp.tbl[[#This Row],[Sulf]]-INDEX(crudeBD.lkup.complete[Mean_Sulf],MATCH(vp.tbl[[#This Row],[Crude_Breakdown]],crudeBD.lkup.complete[Crude Breakdown],0)))^2,"")</f>
        <v/>
      </c>
      <c r="AP1592">
        <f>IF(AND(vp.tbl[[#This Row],[SDate]]&gt;=DATE(YEAR(vp.tbl[[#This Row],[SDate]]),5,1),vp.tbl[[#This Row],[SDate]]&lt;=DATE(YEAR(vp.tbl[[#This Row],[SDate]]),9,15)),1,0)</f>
        <v>1</v>
      </c>
      <c r="AQ1592" s="15">
        <f>IF(vp.tbl[[#This Row],[SDate]]&lt;DATE(2016,12,1),0,1)</f>
        <v>1</v>
      </c>
    </row>
    <row r="1593" spans="1:43" x14ac:dyDescent="0.25">
      <c r="A1593">
        <v>1592</v>
      </c>
      <c r="B1593" t="s">
        <v>49</v>
      </c>
      <c r="C1593" t="s">
        <v>49</v>
      </c>
      <c r="D1593" t="s">
        <v>90</v>
      </c>
      <c r="F1593" s="1">
        <v>42892</v>
      </c>
      <c r="G1593" s="2">
        <v>65</v>
      </c>
      <c r="H1593" s="2"/>
      <c r="I1593" s="2" t="s">
        <v>310</v>
      </c>
      <c r="J1593" s="2"/>
      <c r="K1593" s="2"/>
      <c r="L1593" s="2"/>
      <c r="M1593" s="2" t="s">
        <v>310</v>
      </c>
      <c r="N1593" s="2">
        <f ca="1">INDEX(INDIRECT(_xlfn.CONCAT("weather.tbl[",N$1,"]")),MATCH(vp.tbl[[#This Row],[SDate]],weather.tbl[Date],0))</f>
        <v>14.583333333333334</v>
      </c>
      <c r="O1593" s="2">
        <f ca="1">INDEX(INDIRECT(_xlfn.CONCAT("weather.tbl[",O$1,"]")),MATCH(vp.tbl[[#This Row],[SDate]],weather.tbl[Date],0))</f>
        <v>18.273809523809526</v>
      </c>
      <c r="P1593" s="2">
        <f ca="1">INDEX(INDIRECT(_xlfn.CONCAT("weather.tbl[",P$1,"]")),MATCH(vp.tbl[[#This Row],[SDate]],weather.tbl[Date],0))</f>
        <v>14.7</v>
      </c>
      <c r="Q1593" s="2">
        <f ca="1">INDEX(INDIRECT(_xlfn.CONCAT("weather.tbl[",Q$1,"]")),MATCH(vp.tbl[[#This Row],[SDate]],weather.tbl[Date],0))</f>
        <v>13.1</v>
      </c>
      <c r="R1593" s="2">
        <f ca="1">INDEX(INDIRECT(_xlfn.CONCAT("weather.tbl[",R$1,"]")),MATCH(vp.tbl[[#This Row],[SDate]],weather.tbl[Date],0))</f>
        <v>14.8</v>
      </c>
      <c r="S1593" s="2">
        <f ca="1">INDEX(INDIRECT(_xlfn.CONCAT("weather.tbl[",S$1,"]")),MATCH(vp.tbl[[#This Row],[SDate]],weather.tbl[Date],0))</f>
        <v>13.4</v>
      </c>
      <c r="T1593" s="2">
        <f ca="1">INDEX(INDIRECT(_xlfn.CONCAT("weather.tbl[",T$1,"]")),MATCH(vp.tbl[[#This Row],[SDate]],weather.tbl[Date],0))</f>
        <v>18</v>
      </c>
      <c r="U1593" s="2">
        <f ca="1">INDEX(INDIRECT(_xlfn.CONCAT("weather.tbl[",U$1,"]")),MATCH(vp.tbl[[#This Row],[SDate]],weather.tbl[Date],0))</f>
        <v>13.5</v>
      </c>
      <c r="V1593" s="2" t="s">
        <v>310</v>
      </c>
      <c r="W1593" t="s">
        <v>48</v>
      </c>
      <c r="X1593">
        <f>IF(OR(vp.tbl[[#This Row],[Sulf]]="",vp.tbl[[#This Row],[Dens]]=""),1,0)</f>
        <v>1</v>
      </c>
      <c r="Y1593">
        <f>IF(vp.tbl[[#This Row],[CrudeType]]="C5+",1,0)</f>
        <v>0</v>
      </c>
      <c r="Z1593">
        <f>IF(AND(vp.tbl[[#This Row],[CrudeType]]="Crude",vp.tbl[[#This Row],[Dens]]&lt;=825,vp.tbl[[#This Row],[Sulf]]&gt;0.5,vp.tbl[[#This Row],[Unknown]]=0),1,0)</f>
        <v>0</v>
      </c>
      <c r="AA1593">
        <f>IF(AND(vp.tbl[[#This Row],[CrudeType]]="Crude",vp.tbl[[#This Row],[Dens]]&lt;=825,vp.tbl[[#This Row],[Sulf]]&lt;=0.5,vp.tbl[[#This Row],[Unknown]]=0),1,0)</f>
        <v>0</v>
      </c>
      <c r="AB1593">
        <f>IF(AND(vp.tbl[[#This Row],[CrudeType]]="Crude",vp.tbl[[#This Row],[Dens]]&gt;825,vp.tbl[[#This Row],[Dens]]&lt;=870,vp.tbl[[#This Row],[Sulf]]&gt;0.5,vp.tbl[[#This Row],[Unknown]]=0),1,0)</f>
        <v>0</v>
      </c>
      <c r="AC1593">
        <f>IF(AND(vp.tbl[[#This Row],[CrudeType]]="Crude",vp.tbl[[#This Row],[Dens]]&gt;825,vp.tbl[[#This Row],[Dens]]&lt;=900,vp.tbl[[#This Row],[Sulf]]&lt;=0.5,vp.tbl[[#This Row],[Unknown]]=0),1,0)</f>
        <v>0</v>
      </c>
      <c r="AD1593">
        <f>IF(AND(vp.tbl[[#This Row],[CrudeType]]="Crude",vp.tbl[[#This Row],[Dens]]&gt;870,vp.tbl[[#This Row],[Dens]]&lt;=900,vp.tbl[[#This Row],[Sulf]]&gt;0.5,vp.tbl[[#This Row],[Unknown]]=0),1,0)</f>
        <v>0</v>
      </c>
      <c r="AE1593">
        <f>IF(AND(vp.tbl[[#This Row],[CrudeType]]="Crude",vp.tbl[[#This Row],[Dens]]&gt;900,vp.tbl[[#This Row],[Sulf]]&lt;=0.5,vp.tbl[[#This Row],[Unknown]]=0),1,0)</f>
        <v>0</v>
      </c>
      <c r="AF1593">
        <f>IF(AND(vp.tbl[[#This Row],[CrudeType]]="Crude",vp.tbl[[#This Row],[Dens]]&gt;900,vp.tbl[[#This Row],[Sulf]]&lt;=0.5,vp.tbl[[#This Row],[Unknown]]=0),1,0)</f>
        <v>0</v>
      </c>
      <c r="AG1593" t="str">
        <f>INDEX(vp.tbl[[#Headers],[Unknown]:[Heavy_SW]],MATCH(1,vp.tbl[[#This Row],[Unknown]:[Heavy_SW]],0))</f>
        <v>Unknown</v>
      </c>
      <c r="AH1593" t="e">
        <f>INDEX([1]!crudeBD.lkup[Number],MATCH(vp.tbl[[#This Row],[Crude_Breakdown]],[1]!crudeBD.lkup[Crude Breakdown],0))</f>
        <v>#REF!</v>
      </c>
      <c r="AI1593">
        <f>MONTH(vp.tbl[[#This Row],[SDate]])</f>
        <v>6</v>
      </c>
      <c r="AJ1593" s="5" t="str">
        <f>IFERROR(vp.tbl[[#This Row],[Sulf]]*vp.tbl[[#This Row],[Net Dens]],"")</f>
        <v/>
      </c>
      <c r="AK1593" s="5" t="str">
        <f>IFERROR(vp.tbl[[#This Row],[Dens]]*vp.tbl[[#This Row],[VolumeM3]],"")</f>
        <v/>
      </c>
      <c r="AL1593" s="5" t="str">
        <f>IFERROR(vp.tbl[[#This Row],[VP]]*vp.tbl[[#This Row],[VolumeM3]],"")</f>
        <v/>
      </c>
      <c r="AM1593" s="4">
        <f>IFERROR((vp.tbl[[#This Row],[VP]]-INDEX(crudeBD.lkup.complete[Mean_VP],MATCH(vp.tbl[[#This Row],[Crude_Breakdown]],crudeBD.lkup.complete[Crude Breakdown],0)))^2,"")</f>
        <v>78.236448306435975</v>
      </c>
      <c r="AN1593" s="4" t="str">
        <f>IFERROR((vp.tbl[[#This Row],[Dens]]-INDEX(crudeBD.lkup.complete[Mean_Dens],MATCH(vp.tbl[[#This Row],[Crude_Breakdown]],crudeBD.lkup.complete[Crude Breakdown],0)))^2,"")</f>
        <v/>
      </c>
      <c r="AO1593" s="4" t="str">
        <f>IFERROR((vp.tbl[[#This Row],[Sulf]]-INDEX(crudeBD.lkup.complete[Mean_Sulf],MATCH(vp.tbl[[#This Row],[Crude_Breakdown]],crudeBD.lkup.complete[Crude Breakdown],0)))^2,"")</f>
        <v/>
      </c>
      <c r="AP1593">
        <f>IF(AND(vp.tbl[[#This Row],[SDate]]&gt;=DATE(YEAR(vp.tbl[[#This Row],[SDate]]),5,1),vp.tbl[[#This Row],[SDate]]&lt;=DATE(YEAR(vp.tbl[[#This Row],[SDate]]),9,15)),1,0)</f>
        <v>1</v>
      </c>
      <c r="AQ1593" s="15">
        <f>IF(vp.tbl[[#This Row],[SDate]]&lt;DATE(2016,12,1),0,1)</f>
        <v>1</v>
      </c>
    </row>
    <row r="1594" spans="1:43" x14ac:dyDescent="0.25">
      <c r="A1594">
        <v>1593</v>
      </c>
      <c r="B1594" t="s">
        <v>49</v>
      </c>
      <c r="C1594" t="s">
        <v>49</v>
      </c>
      <c r="D1594" t="s">
        <v>80</v>
      </c>
      <c r="F1594" s="1">
        <v>42892</v>
      </c>
      <c r="G1594" s="2">
        <v>78.2</v>
      </c>
      <c r="H1594" s="2"/>
      <c r="I1594" s="2" t="s">
        <v>310</v>
      </c>
      <c r="J1594" s="2"/>
      <c r="K1594" s="2"/>
      <c r="L1594" s="2"/>
      <c r="M1594" s="2" t="s">
        <v>310</v>
      </c>
      <c r="N1594" s="2">
        <f ca="1">INDEX(INDIRECT(_xlfn.CONCAT("weather.tbl[",N$1,"]")),MATCH(vp.tbl[[#This Row],[SDate]],weather.tbl[Date],0))</f>
        <v>14.583333333333334</v>
      </c>
      <c r="O1594" s="2">
        <f ca="1">INDEX(INDIRECT(_xlfn.CONCAT("weather.tbl[",O$1,"]")),MATCH(vp.tbl[[#This Row],[SDate]],weather.tbl[Date],0))</f>
        <v>18.273809523809526</v>
      </c>
      <c r="P1594" s="2">
        <f ca="1">INDEX(INDIRECT(_xlfn.CONCAT("weather.tbl[",P$1,"]")),MATCH(vp.tbl[[#This Row],[SDate]],weather.tbl[Date],0))</f>
        <v>14.7</v>
      </c>
      <c r="Q1594" s="2">
        <f ca="1">INDEX(INDIRECT(_xlfn.CONCAT("weather.tbl[",Q$1,"]")),MATCH(vp.tbl[[#This Row],[SDate]],weather.tbl[Date],0))</f>
        <v>13.1</v>
      </c>
      <c r="R1594" s="2">
        <f ca="1">INDEX(INDIRECT(_xlfn.CONCAT("weather.tbl[",R$1,"]")),MATCH(vp.tbl[[#This Row],[SDate]],weather.tbl[Date],0))</f>
        <v>14.8</v>
      </c>
      <c r="S1594" s="2">
        <f ca="1">INDEX(INDIRECT(_xlfn.CONCAT("weather.tbl[",S$1,"]")),MATCH(vp.tbl[[#This Row],[SDate]],weather.tbl[Date],0))</f>
        <v>13.4</v>
      </c>
      <c r="T1594" s="2">
        <f ca="1">INDEX(INDIRECT(_xlfn.CONCAT("weather.tbl[",T$1,"]")),MATCH(vp.tbl[[#This Row],[SDate]],weather.tbl[Date],0))</f>
        <v>18</v>
      </c>
      <c r="U1594" s="2">
        <f ca="1">INDEX(INDIRECT(_xlfn.CONCAT("weather.tbl[",U$1,"]")),MATCH(vp.tbl[[#This Row],[SDate]],weather.tbl[Date],0))</f>
        <v>13.5</v>
      </c>
      <c r="V1594" s="2" t="s">
        <v>310</v>
      </c>
      <c r="W1594" t="s">
        <v>48</v>
      </c>
      <c r="X1594">
        <f>IF(OR(vp.tbl[[#This Row],[Sulf]]="",vp.tbl[[#This Row],[Dens]]=""),1,0)</f>
        <v>1</v>
      </c>
      <c r="Y1594">
        <f>IF(vp.tbl[[#This Row],[CrudeType]]="C5+",1,0)</f>
        <v>0</v>
      </c>
      <c r="Z1594">
        <f>IF(AND(vp.tbl[[#This Row],[CrudeType]]="Crude",vp.tbl[[#This Row],[Dens]]&lt;=825,vp.tbl[[#This Row],[Sulf]]&gt;0.5,vp.tbl[[#This Row],[Unknown]]=0),1,0)</f>
        <v>0</v>
      </c>
      <c r="AA1594">
        <f>IF(AND(vp.tbl[[#This Row],[CrudeType]]="Crude",vp.tbl[[#This Row],[Dens]]&lt;=825,vp.tbl[[#This Row],[Sulf]]&lt;=0.5,vp.tbl[[#This Row],[Unknown]]=0),1,0)</f>
        <v>0</v>
      </c>
      <c r="AB1594">
        <f>IF(AND(vp.tbl[[#This Row],[CrudeType]]="Crude",vp.tbl[[#This Row],[Dens]]&gt;825,vp.tbl[[#This Row],[Dens]]&lt;=870,vp.tbl[[#This Row],[Sulf]]&gt;0.5,vp.tbl[[#This Row],[Unknown]]=0),1,0)</f>
        <v>0</v>
      </c>
      <c r="AC1594">
        <f>IF(AND(vp.tbl[[#This Row],[CrudeType]]="Crude",vp.tbl[[#This Row],[Dens]]&gt;825,vp.tbl[[#This Row],[Dens]]&lt;=900,vp.tbl[[#This Row],[Sulf]]&lt;=0.5,vp.tbl[[#This Row],[Unknown]]=0),1,0)</f>
        <v>0</v>
      </c>
      <c r="AD1594">
        <f>IF(AND(vp.tbl[[#This Row],[CrudeType]]="Crude",vp.tbl[[#This Row],[Dens]]&gt;870,vp.tbl[[#This Row],[Dens]]&lt;=900,vp.tbl[[#This Row],[Sulf]]&gt;0.5,vp.tbl[[#This Row],[Unknown]]=0),1,0)</f>
        <v>0</v>
      </c>
      <c r="AE1594">
        <f>IF(AND(vp.tbl[[#This Row],[CrudeType]]="Crude",vp.tbl[[#This Row],[Dens]]&gt;900,vp.tbl[[#This Row],[Sulf]]&lt;=0.5,vp.tbl[[#This Row],[Unknown]]=0),1,0)</f>
        <v>0</v>
      </c>
      <c r="AF1594">
        <f>IF(AND(vp.tbl[[#This Row],[CrudeType]]="Crude",vp.tbl[[#This Row],[Dens]]&gt;900,vp.tbl[[#This Row],[Sulf]]&lt;=0.5,vp.tbl[[#This Row],[Unknown]]=0),1,0)</f>
        <v>0</v>
      </c>
      <c r="AG1594" t="str">
        <f>INDEX(vp.tbl[[#Headers],[Unknown]:[Heavy_SW]],MATCH(1,vp.tbl[[#This Row],[Unknown]:[Heavy_SW]],0))</f>
        <v>Unknown</v>
      </c>
      <c r="AH1594" t="e">
        <f>INDEX([1]!crudeBD.lkup[Number],MATCH(vp.tbl[[#This Row],[Crude_Breakdown]],[1]!crudeBD.lkup[Crude Breakdown],0))</f>
        <v>#REF!</v>
      </c>
      <c r="AI1594">
        <f>MONTH(vp.tbl[[#This Row],[SDate]])</f>
        <v>6</v>
      </c>
      <c r="AJ1594" s="5" t="str">
        <f>IFERROR(vp.tbl[[#This Row],[Sulf]]*vp.tbl[[#This Row],[Net Dens]],"")</f>
        <v/>
      </c>
      <c r="AK1594" s="5" t="str">
        <f>IFERROR(vp.tbl[[#This Row],[Dens]]*vp.tbl[[#This Row],[VolumeM3]],"")</f>
        <v/>
      </c>
      <c r="AL1594" s="5" t="str">
        <f>IFERROR(vp.tbl[[#This Row],[VP]]*vp.tbl[[#This Row],[VolumeM3]],"")</f>
        <v/>
      </c>
      <c r="AM1594" s="4">
        <f>IFERROR((vp.tbl[[#This Row],[VP]]-INDEX(crudeBD.lkup.complete[Mean_VP],MATCH(vp.tbl[[#This Row],[Crude_Breakdown]],crudeBD.lkup.complete[Crude Breakdown],0)))^2,"")</f>
        <v>18.964831868080591</v>
      </c>
      <c r="AN1594" s="4" t="str">
        <f>IFERROR((vp.tbl[[#This Row],[Dens]]-INDEX(crudeBD.lkup.complete[Mean_Dens],MATCH(vp.tbl[[#This Row],[Crude_Breakdown]],crudeBD.lkup.complete[Crude Breakdown],0)))^2,"")</f>
        <v/>
      </c>
      <c r="AO1594" s="4" t="str">
        <f>IFERROR((vp.tbl[[#This Row],[Sulf]]-INDEX(crudeBD.lkup.complete[Mean_Sulf],MATCH(vp.tbl[[#This Row],[Crude_Breakdown]],crudeBD.lkup.complete[Crude Breakdown],0)))^2,"")</f>
        <v/>
      </c>
      <c r="AP1594">
        <f>IF(AND(vp.tbl[[#This Row],[SDate]]&gt;=DATE(YEAR(vp.tbl[[#This Row],[SDate]]),5,1),vp.tbl[[#This Row],[SDate]]&lt;=DATE(YEAR(vp.tbl[[#This Row],[SDate]]),9,15)),1,0)</f>
        <v>1</v>
      </c>
      <c r="AQ1594" s="15">
        <f>IF(vp.tbl[[#This Row],[SDate]]&lt;DATE(2016,12,1),0,1)</f>
        <v>1</v>
      </c>
    </row>
    <row r="1595" spans="1:43" x14ac:dyDescent="0.25">
      <c r="A1595">
        <v>1594</v>
      </c>
      <c r="B1595" t="s">
        <v>49</v>
      </c>
      <c r="C1595" t="s">
        <v>49</v>
      </c>
      <c r="D1595" t="s">
        <v>100</v>
      </c>
      <c r="F1595" s="1">
        <v>42892</v>
      </c>
      <c r="G1595" s="2">
        <v>79.400000000000006</v>
      </c>
      <c r="H1595" s="2"/>
      <c r="I1595" s="2" t="s">
        <v>310</v>
      </c>
      <c r="J1595" s="2"/>
      <c r="K1595" s="2"/>
      <c r="L1595" s="2"/>
      <c r="M1595" s="2" t="s">
        <v>310</v>
      </c>
      <c r="N1595" s="2">
        <f ca="1">INDEX(INDIRECT(_xlfn.CONCAT("weather.tbl[",N$1,"]")),MATCH(vp.tbl[[#This Row],[SDate]],weather.tbl[Date],0))</f>
        <v>14.583333333333334</v>
      </c>
      <c r="O1595" s="2">
        <f ca="1">INDEX(INDIRECT(_xlfn.CONCAT("weather.tbl[",O$1,"]")),MATCH(vp.tbl[[#This Row],[SDate]],weather.tbl[Date],0))</f>
        <v>18.273809523809526</v>
      </c>
      <c r="P1595" s="2">
        <f ca="1">INDEX(INDIRECT(_xlfn.CONCAT("weather.tbl[",P$1,"]")),MATCH(vp.tbl[[#This Row],[SDate]],weather.tbl[Date],0))</f>
        <v>14.7</v>
      </c>
      <c r="Q1595" s="2">
        <f ca="1">INDEX(INDIRECT(_xlfn.CONCAT("weather.tbl[",Q$1,"]")),MATCH(vp.tbl[[#This Row],[SDate]],weather.tbl[Date],0))</f>
        <v>13.1</v>
      </c>
      <c r="R1595" s="2">
        <f ca="1">INDEX(INDIRECT(_xlfn.CONCAT("weather.tbl[",R$1,"]")),MATCH(vp.tbl[[#This Row],[SDate]],weather.tbl[Date],0))</f>
        <v>14.8</v>
      </c>
      <c r="S1595" s="2">
        <f ca="1">INDEX(INDIRECT(_xlfn.CONCAT("weather.tbl[",S$1,"]")),MATCH(vp.tbl[[#This Row],[SDate]],weather.tbl[Date],0))</f>
        <v>13.4</v>
      </c>
      <c r="T1595" s="2">
        <f ca="1">INDEX(INDIRECT(_xlfn.CONCAT("weather.tbl[",T$1,"]")),MATCH(vp.tbl[[#This Row],[SDate]],weather.tbl[Date],0))</f>
        <v>18</v>
      </c>
      <c r="U1595" s="2">
        <f ca="1">INDEX(INDIRECT(_xlfn.CONCAT("weather.tbl[",U$1,"]")),MATCH(vp.tbl[[#This Row],[SDate]],weather.tbl[Date],0))</f>
        <v>13.5</v>
      </c>
      <c r="V1595" s="2" t="s">
        <v>310</v>
      </c>
      <c r="W1595" t="s">
        <v>48</v>
      </c>
      <c r="X1595">
        <f>IF(OR(vp.tbl[[#This Row],[Sulf]]="",vp.tbl[[#This Row],[Dens]]=""),1,0)</f>
        <v>1</v>
      </c>
      <c r="Y1595">
        <f>IF(vp.tbl[[#This Row],[CrudeType]]="C5+",1,0)</f>
        <v>0</v>
      </c>
      <c r="Z1595">
        <f>IF(AND(vp.tbl[[#This Row],[CrudeType]]="Crude",vp.tbl[[#This Row],[Dens]]&lt;=825,vp.tbl[[#This Row],[Sulf]]&gt;0.5,vp.tbl[[#This Row],[Unknown]]=0),1,0)</f>
        <v>0</v>
      </c>
      <c r="AA1595">
        <f>IF(AND(vp.tbl[[#This Row],[CrudeType]]="Crude",vp.tbl[[#This Row],[Dens]]&lt;=825,vp.tbl[[#This Row],[Sulf]]&lt;=0.5,vp.tbl[[#This Row],[Unknown]]=0),1,0)</f>
        <v>0</v>
      </c>
      <c r="AB1595">
        <f>IF(AND(vp.tbl[[#This Row],[CrudeType]]="Crude",vp.tbl[[#This Row],[Dens]]&gt;825,vp.tbl[[#This Row],[Dens]]&lt;=870,vp.tbl[[#This Row],[Sulf]]&gt;0.5,vp.tbl[[#This Row],[Unknown]]=0),1,0)</f>
        <v>0</v>
      </c>
      <c r="AC1595">
        <f>IF(AND(vp.tbl[[#This Row],[CrudeType]]="Crude",vp.tbl[[#This Row],[Dens]]&gt;825,vp.tbl[[#This Row],[Dens]]&lt;=900,vp.tbl[[#This Row],[Sulf]]&lt;=0.5,vp.tbl[[#This Row],[Unknown]]=0),1,0)</f>
        <v>0</v>
      </c>
      <c r="AD1595">
        <f>IF(AND(vp.tbl[[#This Row],[CrudeType]]="Crude",vp.tbl[[#This Row],[Dens]]&gt;870,vp.tbl[[#This Row],[Dens]]&lt;=900,vp.tbl[[#This Row],[Sulf]]&gt;0.5,vp.tbl[[#This Row],[Unknown]]=0),1,0)</f>
        <v>0</v>
      </c>
      <c r="AE1595">
        <f>IF(AND(vp.tbl[[#This Row],[CrudeType]]="Crude",vp.tbl[[#This Row],[Dens]]&gt;900,vp.tbl[[#This Row],[Sulf]]&lt;=0.5,vp.tbl[[#This Row],[Unknown]]=0),1,0)</f>
        <v>0</v>
      </c>
      <c r="AF1595">
        <f>IF(AND(vp.tbl[[#This Row],[CrudeType]]="Crude",vp.tbl[[#This Row],[Dens]]&gt;900,vp.tbl[[#This Row],[Sulf]]&lt;=0.5,vp.tbl[[#This Row],[Unknown]]=0),1,0)</f>
        <v>0</v>
      </c>
      <c r="AG1595" t="str">
        <f>INDEX(vp.tbl[[#Headers],[Unknown]:[Heavy_SW]],MATCH(1,vp.tbl[[#This Row],[Unknown]:[Heavy_SW]],0))</f>
        <v>Unknown</v>
      </c>
      <c r="AH1595" t="e">
        <f>INDEX([1]!crudeBD.lkup[Number],MATCH(vp.tbl[[#This Row],[Crude_Breakdown]],[1]!crudeBD.lkup[Crude Breakdown],0))</f>
        <v>#REF!</v>
      </c>
      <c r="AI1595">
        <f>MONTH(vp.tbl[[#This Row],[SDate]])</f>
        <v>6</v>
      </c>
      <c r="AJ1595" s="5" t="str">
        <f>IFERROR(vp.tbl[[#This Row],[Sulf]]*vp.tbl[[#This Row],[Net Dens]],"")</f>
        <v/>
      </c>
      <c r="AK1595" s="5" t="str">
        <f>IFERROR(vp.tbl[[#This Row],[Dens]]*vp.tbl[[#This Row],[VolumeM3]],"")</f>
        <v/>
      </c>
      <c r="AL1595" s="5" t="str">
        <f>IFERROR(vp.tbl[[#This Row],[VP]]*vp.tbl[[#This Row],[VolumeM3]],"")</f>
        <v/>
      </c>
      <c r="AM1595" s="4">
        <f>IFERROR((vp.tbl[[#This Row],[VP]]-INDEX(crudeBD.lkup.complete[Mean_VP],MATCH(vp.tbl[[#This Row],[Crude_Breakdown]],crudeBD.lkup.complete[Crude Breakdown],0)))^2,"")</f>
        <v>30.856503100957411</v>
      </c>
      <c r="AN1595" s="4" t="str">
        <f>IFERROR((vp.tbl[[#This Row],[Dens]]-INDEX(crudeBD.lkup.complete[Mean_Dens],MATCH(vp.tbl[[#This Row],[Crude_Breakdown]],crudeBD.lkup.complete[Crude Breakdown],0)))^2,"")</f>
        <v/>
      </c>
      <c r="AO1595" s="4" t="str">
        <f>IFERROR((vp.tbl[[#This Row],[Sulf]]-INDEX(crudeBD.lkup.complete[Mean_Sulf],MATCH(vp.tbl[[#This Row],[Crude_Breakdown]],crudeBD.lkup.complete[Crude Breakdown],0)))^2,"")</f>
        <v/>
      </c>
      <c r="AP1595">
        <f>IF(AND(vp.tbl[[#This Row],[SDate]]&gt;=DATE(YEAR(vp.tbl[[#This Row],[SDate]]),5,1),vp.tbl[[#This Row],[SDate]]&lt;=DATE(YEAR(vp.tbl[[#This Row],[SDate]]),9,15)),1,0)</f>
        <v>1</v>
      </c>
      <c r="AQ1595" s="15">
        <f>IF(vp.tbl[[#This Row],[SDate]]&lt;DATE(2016,12,1),0,1)</f>
        <v>1</v>
      </c>
    </row>
    <row r="1596" spans="1:43" x14ac:dyDescent="0.25">
      <c r="A1596">
        <v>1595</v>
      </c>
      <c r="B1596" t="s">
        <v>49</v>
      </c>
      <c r="C1596" t="s">
        <v>49</v>
      </c>
      <c r="D1596" t="s">
        <v>67</v>
      </c>
      <c r="F1596" s="1">
        <v>42892</v>
      </c>
      <c r="G1596" s="2">
        <v>82.8</v>
      </c>
      <c r="H1596" s="2"/>
      <c r="I1596" s="2" t="s">
        <v>310</v>
      </c>
      <c r="J1596" s="2"/>
      <c r="K1596" s="2"/>
      <c r="L1596" s="2"/>
      <c r="M1596" s="2" t="s">
        <v>310</v>
      </c>
      <c r="N1596" s="2">
        <f ca="1">INDEX(INDIRECT(_xlfn.CONCAT("weather.tbl[",N$1,"]")),MATCH(vp.tbl[[#This Row],[SDate]],weather.tbl[Date],0))</f>
        <v>14.583333333333334</v>
      </c>
      <c r="O1596" s="2">
        <f ca="1">INDEX(INDIRECT(_xlfn.CONCAT("weather.tbl[",O$1,"]")),MATCH(vp.tbl[[#This Row],[SDate]],weather.tbl[Date],0))</f>
        <v>18.273809523809526</v>
      </c>
      <c r="P1596" s="2">
        <f ca="1">INDEX(INDIRECT(_xlfn.CONCAT("weather.tbl[",P$1,"]")),MATCH(vp.tbl[[#This Row],[SDate]],weather.tbl[Date],0))</f>
        <v>14.7</v>
      </c>
      <c r="Q1596" s="2">
        <f ca="1">INDEX(INDIRECT(_xlfn.CONCAT("weather.tbl[",Q$1,"]")),MATCH(vp.tbl[[#This Row],[SDate]],weather.tbl[Date],0))</f>
        <v>13.1</v>
      </c>
      <c r="R1596" s="2">
        <f ca="1">INDEX(INDIRECT(_xlfn.CONCAT("weather.tbl[",R$1,"]")),MATCH(vp.tbl[[#This Row],[SDate]],weather.tbl[Date],0))</f>
        <v>14.8</v>
      </c>
      <c r="S1596" s="2">
        <f ca="1">INDEX(INDIRECT(_xlfn.CONCAT("weather.tbl[",S$1,"]")),MATCH(vp.tbl[[#This Row],[SDate]],weather.tbl[Date],0))</f>
        <v>13.4</v>
      </c>
      <c r="T1596" s="2">
        <f ca="1">INDEX(INDIRECT(_xlfn.CONCAT("weather.tbl[",T$1,"]")),MATCH(vp.tbl[[#This Row],[SDate]],weather.tbl[Date],0))</f>
        <v>18</v>
      </c>
      <c r="U1596" s="2">
        <f ca="1">INDEX(INDIRECT(_xlfn.CONCAT("weather.tbl[",U$1,"]")),MATCH(vp.tbl[[#This Row],[SDate]],weather.tbl[Date],0))</f>
        <v>13.5</v>
      </c>
      <c r="V1596" s="2" t="s">
        <v>310</v>
      </c>
      <c r="W1596" t="s">
        <v>48</v>
      </c>
      <c r="X1596">
        <f>IF(OR(vp.tbl[[#This Row],[Sulf]]="",vp.tbl[[#This Row],[Dens]]=""),1,0)</f>
        <v>1</v>
      </c>
      <c r="Y1596">
        <f>IF(vp.tbl[[#This Row],[CrudeType]]="C5+",1,0)</f>
        <v>0</v>
      </c>
      <c r="Z1596">
        <f>IF(AND(vp.tbl[[#This Row],[CrudeType]]="Crude",vp.tbl[[#This Row],[Dens]]&lt;=825,vp.tbl[[#This Row],[Sulf]]&gt;0.5,vp.tbl[[#This Row],[Unknown]]=0),1,0)</f>
        <v>0</v>
      </c>
      <c r="AA1596">
        <f>IF(AND(vp.tbl[[#This Row],[CrudeType]]="Crude",vp.tbl[[#This Row],[Dens]]&lt;=825,vp.tbl[[#This Row],[Sulf]]&lt;=0.5,vp.tbl[[#This Row],[Unknown]]=0),1,0)</f>
        <v>0</v>
      </c>
      <c r="AB1596">
        <f>IF(AND(vp.tbl[[#This Row],[CrudeType]]="Crude",vp.tbl[[#This Row],[Dens]]&gt;825,vp.tbl[[#This Row],[Dens]]&lt;=870,vp.tbl[[#This Row],[Sulf]]&gt;0.5,vp.tbl[[#This Row],[Unknown]]=0),1,0)</f>
        <v>0</v>
      </c>
      <c r="AC1596">
        <f>IF(AND(vp.tbl[[#This Row],[CrudeType]]="Crude",vp.tbl[[#This Row],[Dens]]&gt;825,vp.tbl[[#This Row],[Dens]]&lt;=900,vp.tbl[[#This Row],[Sulf]]&lt;=0.5,vp.tbl[[#This Row],[Unknown]]=0),1,0)</f>
        <v>0</v>
      </c>
      <c r="AD1596">
        <f>IF(AND(vp.tbl[[#This Row],[CrudeType]]="Crude",vp.tbl[[#This Row],[Dens]]&gt;870,vp.tbl[[#This Row],[Dens]]&lt;=900,vp.tbl[[#This Row],[Sulf]]&gt;0.5,vp.tbl[[#This Row],[Unknown]]=0),1,0)</f>
        <v>0</v>
      </c>
      <c r="AE1596">
        <f>IF(AND(vp.tbl[[#This Row],[CrudeType]]="Crude",vp.tbl[[#This Row],[Dens]]&gt;900,vp.tbl[[#This Row],[Sulf]]&lt;=0.5,vp.tbl[[#This Row],[Unknown]]=0),1,0)</f>
        <v>0</v>
      </c>
      <c r="AF1596">
        <f>IF(AND(vp.tbl[[#This Row],[CrudeType]]="Crude",vp.tbl[[#This Row],[Dens]]&gt;900,vp.tbl[[#This Row],[Sulf]]&lt;=0.5,vp.tbl[[#This Row],[Unknown]]=0),1,0)</f>
        <v>0</v>
      </c>
      <c r="AG1596" t="str">
        <f>INDEX(vp.tbl[[#Headers],[Unknown]:[Heavy_SW]],MATCH(1,vp.tbl[[#This Row],[Unknown]:[Heavy_SW]],0))</f>
        <v>Unknown</v>
      </c>
      <c r="AH1596" t="e">
        <f>INDEX([1]!crudeBD.lkup[Number],MATCH(vp.tbl[[#This Row],[Crude_Breakdown]],[1]!crudeBD.lkup[Crude Breakdown],0))</f>
        <v>#REF!</v>
      </c>
      <c r="AI1596">
        <f>MONTH(vp.tbl[[#This Row],[SDate]])</f>
        <v>6</v>
      </c>
      <c r="AJ1596" s="5" t="str">
        <f>IFERROR(vp.tbl[[#This Row],[Sulf]]*vp.tbl[[#This Row],[Net Dens]],"")</f>
        <v/>
      </c>
      <c r="AK1596" s="5" t="str">
        <f>IFERROR(vp.tbl[[#This Row],[Dens]]*vp.tbl[[#This Row],[VolumeM3]],"")</f>
        <v/>
      </c>
      <c r="AL1596" s="5" t="str">
        <f>IFERROR(vp.tbl[[#This Row],[VP]]*vp.tbl[[#This Row],[VolumeM3]],"")</f>
        <v/>
      </c>
      <c r="AM1596" s="4">
        <f>IFERROR((vp.tbl[[#This Row],[VP]]-INDEX(crudeBD.lkup.complete[Mean_VP],MATCH(vp.tbl[[#This Row],[Crude_Breakdown]],crudeBD.lkup.complete[Crude Breakdown],0)))^2,"")</f>
        <v>80.189571594108173</v>
      </c>
      <c r="AN1596" s="4" t="str">
        <f>IFERROR((vp.tbl[[#This Row],[Dens]]-INDEX(crudeBD.lkup.complete[Mean_Dens],MATCH(vp.tbl[[#This Row],[Crude_Breakdown]],crudeBD.lkup.complete[Crude Breakdown],0)))^2,"")</f>
        <v/>
      </c>
      <c r="AO1596" s="4" t="str">
        <f>IFERROR((vp.tbl[[#This Row],[Sulf]]-INDEX(crudeBD.lkup.complete[Mean_Sulf],MATCH(vp.tbl[[#This Row],[Crude_Breakdown]],crudeBD.lkup.complete[Crude Breakdown],0)))^2,"")</f>
        <v/>
      </c>
      <c r="AP1596">
        <f>IF(AND(vp.tbl[[#This Row],[SDate]]&gt;=DATE(YEAR(vp.tbl[[#This Row],[SDate]]),5,1),vp.tbl[[#This Row],[SDate]]&lt;=DATE(YEAR(vp.tbl[[#This Row],[SDate]]),9,15)),1,0)</f>
        <v>1</v>
      </c>
      <c r="AQ1596" s="15">
        <f>IF(vp.tbl[[#This Row],[SDate]]&lt;DATE(2016,12,1),0,1)</f>
        <v>1</v>
      </c>
    </row>
    <row r="1597" spans="1:43" x14ac:dyDescent="0.25">
      <c r="A1597">
        <v>1596</v>
      </c>
      <c r="B1597" t="s">
        <v>60</v>
      </c>
      <c r="C1597" t="s">
        <v>60</v>
      </c>
      <c r="D1597" t="s">
        <v>61</v>
      </c>
      <c r="E1597" t="s">
        <v>289</v>
      </c>
      <c r="F1597" s="1">
        <v>42892</v>
      </c>
      <c r="G1597" s="2">
        <v>92.1</v>
      </c>
      <c r="H1597" s="2"/>
      <c r="I1597" s="2" t="s">
        <v>310</v>
      </c>
      <c r="J1597" s="2"/>
      <c r="K1597" s="2"/>
      <c r="L1597" s="2"/>
      <c r="M1597" s="2" t="s">
        <v>310</v>
      </c>
      <c r="N1597" s="2">
        <f ca="1">INDEX(INDIRECT(_xlfn.CONCAT("weather.tbl[",N$1,"]")),MATCH(vp.tbl[[#This Row],[SDate]],weather.tbl[Date],0))</f>
        <v>14.583333333333334</v>
      </c>
      <c r="O1597" s="2">
        <f ca="1">INDEX(INDIRECT(_xlfn.CONCAT("weather.tbl[",O$1,"]")),MATCH(vp.tbl[[#This Row],[SDate]],weather.tbl[Date],0))</f>
        <v>18.273809523809526</v>
      </c>
      <c r="P1597" s="2">
        <f ca="1">INDEX(INDIRECT(_xlfn.CONCAT("weather.tbl[",P$1,"]")),MATCH(vp.tbl[[#This Row],[SDate]],weather.tbl[Date],0))</f>
        <v>14.7</v>
      </c>
      <c r="Q1597" s="2">
        <f ca="1">INDEX(INDIRECT(_xlfn.CONCAT("weather.tbl[",Q$1,"]")),MATCH(vp.tbl[[#This Row],[SDate]],weather.tbl[Date],0))</f>
        <v>13.1</v>
      </c>
      <c r="R1597" s="2">
        <f ca="1">INDEX(INDIRECT(_xlfn.CONCAT("weather.tbl[",R$1,"]")),MATCH(vp.tbl[[#This Row],[SDate]],weather.tbl[Date],0))</f>
        <v>14.8</v>
      </c>
      <c r="S1597" s="2">
        <f ca="1">INDEX(INDIRECT(_xlfn.CONCAT("weather.tbl[",S$1,"]")),MATCH(vp.tbl[[#This Row],[SDate]],weather.tbl[Date],0))</f>
        <v>13.4</v>
      </c>
      <c r="T1597" s="2">
        <f ca="1">INDEX(INDIRECT(_xlfn.CONCAT("weather.tbl[",T$1,"]")),MATCH(vp.tbl[[#This Row],[SDate]],weather.tbl[Date],0))</f>
        <v>18</v>
      </c>
      <c r="U1597" s="2">
        <f ca="1">INDEX(INDIRECT(_xlfn.CONCAT("weather.tbl[",U$1,"]")),MATCH(vp.tbl[[#This Row],[SDate]],weather.tbl[Date],0))</f>
        <v>13.5</v>
      </c>
      <c r="V1597" s="2" t="s">
        <v>310</v>
      </c>
      <c r="W1597" t="s">
        <v>48</v>
      </c>
      <c r="X1597">
        <f>IF(OR(vp.tbl[[#This Row],[Sulf]]="",vp.tbl[[#This Row],[Dens]]=""),1,0)</f>
        <v>1</v>
      </c>
      <c r="Y1597">
        <f>IF(vp.tbl[[#This Row],[CrudeType]]="C5+",1,0)</f>
        <v>0</v>
      </c>
      <c r="Z1597">
        <f>IF(AND(vp.tbl[[#This Row],[CrudeType]]="Crude",vp.tbl[[#This Row],[Dens]]&lt;=825,vp.tbl[[#This Row],[Sulf]]&gt;0.5,vp.tbl[[#This Row],[Unknown]]=0),1,0)</f>
        <v>0</v>
      </c>
      <c r="AA1597">
        <f>IF(AND(vp.tbl[[#This Row],[CrudeType]]="Crude",vp.tbl[[#This Row],[Dens]]&lt;=825,vp.tbl[[#This Row],[Sulf]]&lt;=0.5,vp.tbl[[#This Row],[Unknown]]=0),1,0)</f>
        <v>0</v>
      </c>
      <c r="AB1597">
        <f>IF(AND(vp.tbl[[#This Row],[CrudeType]]="Crude",vp.tbl[[#This Row],[Dens]]&gt;825,vp.tbl[[#This Row],[Dens]]&lt;=870,vp.tbl[[#This Row],[Sulf]]&gt;0.5,vp.tbl[[#This Row],[Unknown]]=0),1,0)</f>
        <v>0</v>
      </c>
      <c r="AC1597">
        <f>IF(AND(vp.tbl[[#This Row],[CrudeType]]="Crude",vp.tbl[[#This Row],[Dens]]&gt;825,vp.tbl[[#This Row],[Dens]]&lt;=900,vp.tbl[[#This Row],[Sulf]]&lt;=0.5,vp.tbl[[#This Row],[Unknown]]=0),1,0)</f>
        <v>0</v>
      </c>
      <c r="AD1597">
        <f>IF(AND(vp.tbl[[#This Row],[CrudeType]]="Crude",vp.tbl[[#This Row],[Dens]]&gt;870,vp.tbl[[#This Row],[Dens]]&lt;=900,vp.tbl[[#This Row],[Sulf]]&gt;0.5,vp.tbl[[#This Row],[Unknown]]=0),1,0)</f>
        <v>0</v>
      </c>
      <c r="AE1597">
        <f>IF(AND(vp.tbl[[#This Row],[CrudeType]]="Crude",vp.tbl[[#This Row],[Dens]]&gt;900,vp.tbl[[#This Row],[Sulf]]&lt;=0.5,vp.tbl[[#This Row],[Unknown]]=0),1,0)</f>
        <v>0</v>
      </c>
      <c r="AF1597">
        <f>IF(AND(vp.tbl[[#This Row],[CrudeType]]="Crude",vp.tbl[[#This Row],[Dens]]&gt;900,vp.tbl[[#This Row],[Sulf]]&lt;=0.5,vp.tbl[[#This Row],[Unknown]]=0),1,0)</f>
        <v>0</v>
      </c>
      <c r="AG1597" t="str">
        <f>INDEX(vp.tbl[[#Headers],[Unknown]:[Heavy_SW]],MATCH(1,vp.tbl[[#This Row],[Unknown]:[Heavy_SW]],0))</f>
        <v>Unknown</v>
      </c>
      <c r="AH1597" t="e">
        <f>INDEX([1]!crudeBD.lkup[Number],MATCH(vp.tbl[[#This Row],[Crude_Breakdown]],[1]!crudeBD.lkup[Crude Breakdown],0))</f>
        <v>#REF!</v>
      </c>
      <c r="AI1597">
        <f>MONTH(vp.tbl[[#This Row],[SDate]])</f>
        <v>6</v>
      </c>
      <c r="AJ1597" s="5" t="str">
        <f>IFERROR(vp.tbl[[#This Row],[Sulf]]*vp.tbl[[#This Row],[Net Dens]],"")</f>
        <v/>
      </c>
      <c r="AK1597" s="5" t="str">
        <f>IFERROR(vp.tbl[[#This Row],[Dens]]*vp.tbl[[#This Row],[VolumeM3]],"")</f>
        <v/>
      </c>
      <c r="AL1597" s="5" t="str">
        <f>IFERROR(vp.tbl[[#This Row],[VP]]*vp.tbl[[#This Row],[VolumeM3]],"")</f>
        <v/>
      </c>
      <c r="AM1597" s="4">
        <f>IFERROR((vp.tbl[[#This Row],[VP]]-INDEX(crudeBD.lkup.complete[Mean_VP],MATCH(vp.tbl[[#This Row],[Crude_Breakdown]],crudeBD.lkup.complete[Crude Breakdown],0)))^2,"")</f>
        <v>333.24002364890305</v>
      </c>
      <c r="AN1597" s="4" t="str">
        <f>IFERROR((vp.tbl[[#This Row],[Dens]]-INDEX(crudeBD.lkup.complete[Mean_Dens],MATCH(vp.tbl[[#This Row],[Crude_Breakdown]],crudeBD.lkup.complete[Crude Breakdown],0)))^2,"")</f>
        <v/>
      </c>
      <c r="AO1597" s="4" t="str">
        <f>IFERROR((vp.tbl[[#This Row],[Sulf]]-INDEX(crudeBD.lkup.complete[Mean_Sulf],MATCH(vp.tbl[[#This Row],[Crude_Breakdown]],crudeBD.lkup.complete[Crude Breakdown],0)))^2,"")</f>
        <v/>
      </c>
      <c r="AP1597">
        <f>IF(AND(vp.tbl[[#This Row],[SDate]]&gt;=DATE(YEAR(vp.tbl[[#This Row],[SDate]]),5,1),vp.tbl[[#This Row],[SDate]]&lt;=DATE(YEAR(vp.tbl[[#This Row],[SDate]]),9,15)),1,0)</f>
        <v>1</v>
      </c>
      <c r="AQ1597" s="15">
        <f>IF(vp.tbl[[#This Row],[SDate]]&lt;DATE(2016,12,1),0,1)</f>
        <v>1</v>
      </c>
    </row>
    <row r="1598" spans="1:43" x14ac:dyDescent="0.25">
      <c r="A1598">
        <v>1597</v>
      </c>
      <c r="B1598" t="s">
        <v>60</v>
      </c>
      <c r="C1598" t="s">
        <v>60</v>
      </c>
      <c r="D1598" t="s">
        <v>61</v>
      </c>
      <c r="E1598" t="s">
        <v>290</v>
      </c>
      <c r="F1598" s="1">
        <v>42892</v>
      </c>
      <c r="G1598" s="2">
        <v>69</v>
      </c>
      <c r="H1598" s="2"/>
      <c r="I1598" s="2" t="s">
        <v>310</v>
      </c>
      <c r="J1598" s="2"/>
      <c r="K1598" s="2"/>
      <c r="L1598" s="2"/>
      <c r="M1598" s="2" t="s">
        <v>310</v>
      </c>
      <c r="N1598" s="2">
        <f ca="1">INDEX(INDIRECT(_xlfn.CONCAT("weather.tbl[",N$1,"]")),MATCH(vp.tbl[[#This Row],[SDate]],weather.tbl[Date],0))</f>
        <v>14.583333333333334</v>
      </c>
      <c r="O1598" s="2">
        <f ca="1">INDEX(INDIRECT(_xlfn.CONCAT("weather.tbl[",O$1,"]")),MATCH(vp.tbl[[#This Row],[SDate]],weather.tbl[Date],0))</f>
        <v>18.273809523809526</v>
      </c>
      <c r="P1598" s="2">
        <f ca="1">INDEX(INDIRECT(_xlfn.CONCAT("weather.tbl[",P$1,"]")),MATCH(vp.tbl[[#This Row],[SDate]],weather.tbl[Date],0))</f>
        <v>14.7</v>
      </c>
      <c r="Q1598" s="2">
        <f ca="1">INDEX(INDIRECT(_xlfn.CONCAT("weather.tbl[",Q$1,"]")),MATCH(vp.tbl[[#This Row],[SDate]],weather.tbl[Date],0))</f>
        <v>13.1</v>
      </c>
      <c r="R1598" s="2">
        <f ca="1">INDEX(INDIRECT(_xlfn.CONCAT("weather.tbl[",R$1,"]")),MATCH(vp.tbl[[#This Row],[SDate]],weather.tbl[Date],0))</f>
        <v>14.8</v>
      </c>
      <c r="S1598" s="2">
        <f ca="1">INDEX(INDIRECT(_xlfn.CONCAT("weather.tbl[",S$1,"]")),MATCH(vp.tbl[[#This Row],[SDate]],weather.tbl[Date],0))</f>
        <v>13.4</v>
      </c>
      <c r="T1598" s="2">
        <f ca="1">INDEX(INDIRECT(_xlfn.CONCAT("weather.tbl[",T$1,"]")),MATCH(vp.tbl[[#This Row],[SDate]],weather.tbl[Date],0))</f>
        <v>18</v>
      </c>
      <c r="U1598" s="2">
        <f ca="1">INDEX(INDIRECT(_xlfn.CONCAT("weather.tbl[",U$1,"]")),MATCH(vp.tbl[[#This Row],[SDate]],weather.tbl[Date],0))</f>
        <v>13.5</v>
      </c>
      <c r="V1598" s="2" t="s">
        <v>310</v>
      </c>
      <c r="W1598" t="s">
        <v>48</v>
      </c>
      <c r="X1598">
        <f>IF(OR(vp.tbl[[#This Row],[Sulf]]="",vp.tbl[[#This Row],[Dens]]=""),1,0)</f>
        <v>1</v>
      </c>
      <c r="Y1598">
        <f>IF(vp.tbl[[#This Row],[CrudeType]]="C5+",1,0)</f>
        <v>0</v>
      </c>
      <c r="Z1598">
        <f>IF(AND(vp.tbl[[#This Row],[CrudeType]]="Crude",vp.tbl[[#This Row],[Dens]]&lt;=825,vp.tbl[[#This Row],[Sulf]]&gt;0.5,vp.tbl[[#This Row],[Unknown]]=0),1,0)</f>
        <v>0</v>
      </c>
      <c r="AA1598">
        <f>IF(AND(vp.tbl[[#This Row],[CrudeType]]="Crude",vp.tbl[[#This Row],[Dens]]&lt;=825,vp.tbl[[#This Row],[Sulf]]&lt;=0.5,vp.tbl[[#This Row],[Unknown]]=0),1,0)</f>
        <v>0</v>
      </c>
      <c r="AB1598">
        <f>IF(AND(vp.tbl[[#This Row],[CrudeType]]="Crude",vp.tbl[[#This Row],[Dens]]&gt;825,vp.tbl[[#This Row],[Dens]]&lt;=870,vp.tbl[[#This Row],[Sulf]]&gt;0.5,vp.tbl[[#This Row],[Unknown]]=0),1,0)</f>
        <v>0</v>
      </c>
      <c r="AC1598">
        <f>IF(AND(vp.tbl[[#This Row],[CrudeType]]="Crude",vp.tbl[[#This Row],[Dens]]&gt;825,vp.tbl[[#This Row],[Dens]]&lt;=900,vp.tbl[[#This Row],[Sulf]]&lt;=0.5,vp.tbl[[#This Row],[Unknown]]=0),1,0)</f>
        <v>0</v>
      </c>
      <c r="AD1598">
        <f>IF(AND(vp.tbl[[#This Row],[CrudeType]]="Crude",vp.tbl[[#This Row],[Dens]]&gt;870,vp.tbl[[#This Row],[Dens]]&lt;=900,vp.tbl[[#This Row],[Sulf]]&gt;0.5,vp.tbl[[#This Row],[Unknown]]=0),1,0)</f>
        <v>0</v>
      </c>
      <c r="AE1598">
        <f>IF(AND(vp.tbl[[#This Row],[CrudeType]]="Crude",vp.tbl[[#This Row],[Dens]]&gt;900,vp.tbl[[#This Row],[Sulf]]&lt;=0.5,vp.tbl[[#This Row],[Unknown]]=0),1,0)</f>
        <v>0</v>
      </c>
      <c r="AF1598">
        <f>IF(AND(vp.tbl[[#This Row],[CrudeType]]="Crude",vp.tbl[[#This Row],[Dens]]&gt;900,vp.tbl[[#This Row],[Sulf]]&lt;=0.5,vp.tbl[[#This Row],[Unknown]]=0),1,0)</f>
        <v>0</v>
      </c>
      <c r="AG1598" t="str">
        <f>INDEX(vp.tbl[[#Headers],[Unknown]:[Heavy_SW]],MATCH(1,vp.tbl[[#This Row],[Unknown]:[Heavy_SW]],0))</f>
        <v>Unknown</v>
      </c>
      <c r="AH1598" t="e">
        <f>INDEX([1]!crudeBD.lkup[Number],MATCH(vp.tbl[[#This Row],[Crude_Breakdown]],[1]!crudeBD.lkup[Crude Breakdown],0))</f>
        <v>#REF!</v>
      </c>
      <c r="AI1598">
        <f>MONTH(vp.tbl[[#This Row],[SDate]])</f>
        <v>6</v>
      </c>
      <c r="AJ1598" s="5" t="str">
        <f>IFERROR(vp.tbl[[#This Row],[Sulf]]*vp.tbl[[#This Row],[Net Dens]],"")</f>
        <v/>
      </c>
      <c r="AK1598" s="5" t="str">
        <f>IFERROR(vp.tbl[[#This Row],[Dens]]*vp.tbl[[#This Row],[VolumeM3]],"")</f>
        <v/>
      </c>
      <c r="AL1598" s="5" t="str">
        <f>IFERROR(vp.tbl[[#This Row],[VP]]*vp.tbl[[#This Row],[VolumeM3]],"")</f>
        <v/>
      </c>
      <c r="AM1598" s="4">
        <f>IFERROR((vp.tbl[[#This Row],[VP]]-INDEX(crudeBD.lkup.complete[Mean_VP],MATCH(vp.tbl[[#This Row],[Crude_Breakdown]],crudeBD.lkup.complete[Crude Breakdown],0)))^2,"")</f>
        <v>23.475352416025242</v>
      </c>
      <c r="AN1598" s="4" t="str">
        <f>IFERROR((vp.tbl[[#This Row],[Dens]]-INDEX(crudeBD.lkup.complete[Mean_Dens],MATCH(vp.tbl[[#This Row],[Crude_Breakdown]],crudeBD.lkup.complete[Crude Breakdown],0)))^2,"")</f>
        <v/>
      </c>
      <c r="AO1598" s="4" t="str">
        <f>IFERROR((vp.tbl[[#This Row],[Sulf]]-INDEX(crudeBD.lkup.complete[Mean_Sulf],MATCH(vp.tbl[[#This Row],[Crude_Breakdown]],crudeBD.lkup.complete[Crude Breakdown],0)))^2,"")</f>
        <v/>
      </c>
      <c r="AP1598">
        <f>IF(AND(vp.tbl[[#This Row],[SDate]]&gt;=DATE(YEAR(vp.tbl[[#This Row],[SDate]]),5,1),vp.tbl[[#This Row],[SDate]]&lt;=DATE(YEAR(vp.tbl[[#This Row],[SDate]]),9,15)),1,0)</f>
        <v>1</v>
      </c>
      <c r="AQ1598" s="15">
        <f>IF(vp.tbl[[#This Row],[SDate]]&lt;DATE(2016,12,1),0,1)</f>
        <v>1</v>
      </c>
    </row>
    <row r="1599" spans="1:43" x14ac:dyDescent="0.25">
      <c r="A1599">
        <v>1598</v>
      </c>
      <c r="B1599" t="s">
        <v>62</v>
      </c>
      <c r="C1599" t="s">
        <v>62</v>
      </c>
      <c r="D1599" t="s">
        <v>63</v>
      </c>
      <c r="F1599" s="1">
        <v>42892</v>
      </c>
      <c r="G1599" s="2">
        <v>73</v>
      </c>
      <c r="H1599" s="2"/>
      <c r="I1599" s="2" t="s">
        <v>310</v>
      </c>
      <c r="J1599" s="2"/>
      <c r="K1599" s="2"/>
      <c r="L1599" s="2"/>
      <c r="M1599" s="2" t="s">
        <v>310</v>
      </c>
      <c r="N1599" s="2">
        <f ca="1">INDEX(INDIRECT(_xlfn.CONCAT("weather.tbl[",N$1,"]")),MATCH(vp.tbl[[#This Row],[SDate]],weather.tbl[Date],0))</f>
        <v>14.583333333333334</v>
      </c>
      <c r="O1599" s="2">
        <f ca="1">INDEX(INDIRECT(_xlfn.CONCAT("weather.tbl[",O$1,"]")),MATCH(vp.tbl[[#This Row],[SDate]],weather.tbl[Date],0))</f>
        <v>18.273809523809526</v>
      </c>
      <c r="P1599" s="2">
        <f ca="1">INDEX(INDIRECT(_xlfn.CONCAT("weather.tbl[",P$1,"]")),MATCH(vp.tbl[[#This Row],[SDate]],weather.tbl[Date],0))</f>
        <v>14.7</v>
      </c>
      <c r="Q1599" s="2">
        <f ca="1">INDEX(INDIRECT(_xlfn.CONCAT("weather.tbl[",Q$1,"]")),MATCH(vp.tbl[[#This Row],[SDate]],weather.tbl[Date],0))</f>
        <v>13.1</v>
      </c>
      <c r="R1599" s="2">
        <f ca="1">INDEX(INDIRECT(_xlfn.CONCAT("weather.tbl[",R$1,"]")),MATCH(vp.tbl[[#This Row],[SDate]],weather.tbl[Date],0))</f>
        <v>14.8</v>
      </c>
      <c r="S1599" s="2">
        <f ca="1">INDEX(INDIRECT(_xlfn.CONCAT("weather.tbl[",S$1,"]")),MATCH(vp.tbl[[#This Row],[SDate]],weather.tbl[Date],0))</f>
        <v>13.4</v>
      </c>
      <c r="T1599" s="2">
        <f ca="1">INDEX(INDIRECT(_xlfn.CONCAT("weather.tbl[",T$1,"]")),MATCH(vp.tbl[[#This Row],[SDate]],weather.tbl[Date],0))</f>
        <v>18</v>
      </c>
      <c r="U1599" s="2">
        <f ca="1">INDEX(INDIRECT(_xlfn.CONCAT("weather.tbl[",U$1,"]")),MATCH(vp.tbl[[#This Row],[SDate]],weather.tbl[Date],0))</f>
        <v>13.5</v>
      </c>
      <c r="V1599" s="2" t="s">
        <v>310</v>
      </c>
      <c r="W1599" t="s">
        <v>48</v>
      </c>
      <c r="X1599">
        <f>IF(OR(vp.tbl[[#This Row],[Sulf]]="",vp.tbl[[#This Row],[Dens]]=""),1,0)</f>
        <v>1</v>
      </c>
      <c r="Y1599">
        <f>IF(vp.tbl[[#This Row],[CrudeType]]="C5+",1,0)</f>
        <v>0</v>
      </c>
      <c r="Z1599">
        <f>IF(AND(vp.tbl[[#This Row],[CrudeType]]="Crude",vp.tbl[[#This Row],[Dens]]&lt;=825,vp.tbl[[#This Row],[Sulf]]&gt;0.5,vp.tbl[[#This Row],[Unknown]]=0),1,0)</f>
        <v>0</v>
      </c>
      <c r="AA1599">
        <f>IF(AND(vp.tbl[[#This Row],[CrudeType]]="Crude",vp.tbl[[#This Row],[Dens]]&lt;=825,vp.tbl[[#This Row],[Sulf]]&lt;=0.5,vp.tbl[[#This Row],[Unknown]]=0),1,0)</f>
        <v>0</v>
      </c>
      <c r="AB1599">
        <f>IF(AND(vp.tbl[[#This Row],[CrudeType]]="Crude",vp.tbl[[#This Row],[Dens]]&gt;825,vp.tbl[[#This Row],[Dens]]&lt;=870,vp.tbl[[#This Row],[Sulf]]&gt;0.5,vp.tbl[[#This Row],[Unknown]]=0),1,0)</f>
        <v>0</v>
      </c>
      <c r="AC1599">
        <f>IF(AND(vp.tbl[[#This Row],[CrudeType]]="Crude",vp.tbl[[#This Row],[Dens]]&gt;825,vp.tbl[[#This Row],[Dens]]&lt;=900,vp.tbl[[#This Row],[Sulf]]&lt;=0.5,vp.tbl[[#This Row],[Unknown]]=0),1,0)</f>
        <v>0</v>
      </c>
      <c r="AD1599">
        <f>IF(AND(vp.tbl[[#This Row],[CrudeType]]="Crude",vp.tbl[[#This Row],[Dens]]&gt;870,vp.tbl[[#This Row],[Dens]]&lt;=900,vp.tbl[[#This Row],[Sulf]]&gt;0.5,vp.tbl[[#This Row],[Unknown]]=0),1,0)</f>
        <v>0</v>
      </c>
      <c r="AE1599">
        <f>IF(AND(vp.tbl[[#This Row],[CrudeType]]="Crude",vp.tbl[[#This Row],[Dens]]&gt;900,vp.tbl[[#This Row],[Sulf]]&lt;=0.5,vp.tbl[[#This Row],[Unknown]]=0),1,0)</f>
        <v>0</v>
      </c>
      <c r="AF1599">
        <f>IF(AND(vp.tbl[[#This Row],[CrudeType]]="Crude",vp.tbl[[#This Row],[Dens]]&gt;900,vp.tbl[[#This Row],[Sulf]]&lt;=0.5,vp.tbl[[#This Row],[Unknown]]=0),1,0)</f>
        <v>0</v>
      </c>
      <c r="AG1599" t="str">
        <f>INDEX(vp.tbl[[#Headers],[Unknown]:[Heavy_SW]],MATCH(1,vp.tbl[[#This Row],[Unknown]:[Heavy_SW]],0))</f>
        <v>Unknown</v>
      </c>
      <c r="AH1599" t="e">
        <f>INDEX([1]!crudeBD.lkup[Number],MATCH(vp.tbl[[#This Row],[Crude_Breakdown]],[1]!crudeBD.lkup[Crude Breakdown],0))</f>
        <v>#REF!</v>
      </c>
      <c r="AI1599">
        <f>MONTH(vp.tbl[[#This Row],[SDate]])</f>
        <v>6</v>
      </c>
      <c r="AJ1599" s="5" t="str">
        <f>IFERROR(vp.tbl[[#This Row],[Sulf]]*vp.tbl[[#This Row],[Net Dens]],"")</f>
        <v/>
      </c>
      <c r="AK1599" s="5" t="str">
        <f>IFERROR(vp.tbl[[#This Row],[Dens]]*vp.tbl[[#This Row],[VolumeM3]],"")</f>
        <v/>
      </c>
      <c r="AL1599" s="5" t="str">
        <f>IFERROR(vp.tbl[[#This Row],[VP]]*vp.tbl[[#This Row],[VolumeM3]],"")</f>
        <v/>
      </c>
      <c r="AM1599" s="4">
        <f>IFERROR((vp.tbl[[#This Row],[VP]]-INDEX(crudeBD.lkup.complete[Mean_VP],MATCH(vp.tbl[[#This Row],[Crude_Breakdown]],crudeBD.lkup.complete[Crude Breakdown],0)))^2,"")</f>
        <v>0.71425652561451325</v>
      </c>
      <c r="AN1599" s="4" t="str">
        <f>IFERROR((vp.tbl[[#This Row],[Dens]]-INDEX(crudeBD.lkup.complete[Mean_Dens],MATCH(vp.tbl[[#This Row],[Crude_Breakdown]],crudeBD.lkup.complete[Crude Breakdown],0)))^2,"")</f>
        <v/>
      </c>
      <c r="AO1599" s="4" t="str">
        <f>IFERROR((vp.tbl[[#This Row],[Sulf]]-INDEX(crudeBD.lkup.complete[Mean_Sulf],MATCH(vp.tbl[[#This Row],[Crude_Breakdown]],crudeBD.lkup.complete[Crude Breakdown],0)))^2,"")</f>
        <v/>
      </c>
      <c r="AP1599">
        <f>IF(AND(vp.tbl[[#This Row],[SDate]]&gt;=DATE(YEAR(vp.tbl[[#This Row],[SDate]]),5,1),vp.tbl[[#This Row],[SDate]]&lt;=DATE(YEAR(vp.tbl[[#This Row],[SDate]]),9,15)),1,0)</f>
        <v>1</v>
      </c>
      <c r="AQ1599" s="15">
        <f>IF(vp.tbl[[#This Row],[SDate]]&lt;DATE(2016,12,1),0,1)</f>
        <v>1</v>
      </c>
    </row>
    <row r="1600" spans="1:43" x14ac:dyDescent="0.25">
      <c r="A1600">
        <v>1599</v>
      </c>
      <c r="B1600" t="s">
        <v>51</v>
      </c>
      <c r="C1600" t="s">
        <v>51</v>
      </c>
      <c r="D1600" t="s">
        <v>95</v>
      </c>
      <c r="F1600" s="1">
        <v>42892</v>
      </c>
      <c r="G1600" s="2">
        <v>69.3</v>
      </c>
      <c r="H1600" s="2"/>
      <c r="I1600" s="2" t="s">
        <v>310</v>
      </c>
      <c r="J1600" s="2"/>
      <c r="K1600" s="2"/>
      <c r="L1600" s="2"/>
      <c r="M1600" s="2" t="s">
        <v>310</v>
      </c>
      <c r="N1600" s="2">
        <f ca="1">INDEX(INDIRECT(_xlfn.CONCAT("weather.tbl[",N$1,"]")),MATCH(vp.tbl[[#This Row],[SDate]],weather.tbl[Date],0))</f>
        <v>14.583333333333334</v>
      </c>
      <c r="O1600" s="2">
        <f ca="1">INDEX(INDIRECT(_xlfn.CONCAT("weather.tbl[",O$1,"]")),MATCH(vp.tbl[[#This Row],[SDate]],weather.tbl[Date],0))</f>
        <v>18.273809523809526</v>
      </c>
      <c r="P1600" s="2">
        <f ca="1">INDEX(INDIRECT(_xlfn.CONCAT("weather.tbl[",P$1,"]")),MATCH(vp.tbl[[#This Row],[SDate]],weather.tbl[Date],0))</f>
        <v>14.7</v>
      </c>
      <c r="Q1600" s="2">
        <f ca="1">INDEX(INDIRECT(_xlfn.CONCAT("weather.tbl[",Q$1,"]")),MATCH(vp.tbl[[#This Row],[SDate]],weather.tbl[Date],0))</f>
        <v>13.1</v>
      </c>
      <c r="R1600" s="2">
        <f ca="1">INDEX(INDIRECT(_xlfn.CONCAT("weather.tbl[",R$1,"]")),MATCH(vp.tbl[[#This Row],[SDate]],weather.tbl[Date],0))</f>
        <v>14.8</v>
      </c>
      <c r="S1600" s="2">
        <f ca="1">INDEX(INDIRECT(_xlfn.CONCAT("weather.tbl[",S$1,"]")),MATCH(vp.tbl[[#This Row],[SDate]],weather.tbl[Date],0))</f>
        <v>13.4</v>
      </c>
      <c r="T1600" s="2">
        <f ca="1">INDEX(INDIRECT(_xlfn.CONCAT("weather.tbl[",T$1,"]")),MATCH(vp.tbl[[#This Row],[SDate]],weather.tbl[Date],0))</f>
        <v>18</v>
      </c>
      <c r="U1600" s="2">
        <f ca="1">INDEX(INDIRECT(_xlfn.CONCAT("weather.tbl[",U$1,"]")),MATCH(vp.tbl[[#This Row],[SDate]],weather.tbl[Date],0))</f>
        <v>13.5</v>
      </c>
      <c r="V1600" s="2" t="s">
        <v>310</v>
      </c>
      <c r="W1600" t="s">
        <v>48</v>
      </c>
      <c r="X1600">
        <f>IF(OR(vp.tbl[[#This Row],[Sulf]]="",vp.tbl[[#This Row],[Dens]]=""),1,0)</f>
        <v>1</v>
      </c>
      <c r="Y1600">
        <f>IF(vp.tbl[[#This Row],[CrudeType]]="C5+",1,0)</f>
        <v>0</v>
      </c>
      <c r="Z1600">
        <f>IF(AND(vp.tbl[[#This Row],[CrudeType]]="Crude",vp.tbl[[#This Row],[Dens]]&lt;=825,vp.tbl[[#This Row],[Sulf]]&gt;0.5,vp.tbl[[#This Row],[Unknown]]=0),1,0)</f>
        <v>0</v>
      </c>
      <c r="AA1600">
        <f>IF(AND(vp.tbl[[#This Row],[CrudeType]]="Crude",vp.tbl[[#This Row],[Dens]]&lt;=825,vp.tbl[[#This Row],[Sulf]]&lt;=0.5,vp.tbl[[#This Row],[Unknown]]=0),1,0)</f>
        <v>0</v>
      </c>
      <c r="AB1600">
        <f>IF(AND(vp.tbl[[#This Row],[CrudeType]]="Crude",vp.tbl[[#This Row],[Dens]]&gt;825,vp.tbl[[#This Row],[Dens]]&lt;=870,vp.tbl[[#This Row],[Sulf]]&gt;0.5,vp.tbl[[#This Row],[Unknown]]=0),1,0)</f>
        <v>0</v>
      </c>
      <c r="AC1600">
        <f>IF(AND(vp.tbl[[#This Row],[CrudeType]]="Crude",vp.tbl[[#This Row],[Dens]]&gt;825,vp.tbl[[#This Row],[Dens]]&lt;=900,vp.tbl[[#This Row],[Sulf]]&lt;=0.5,vp.tbl[[#This Row],[Unknown]]=0),1,0)</f>
        <v>0</v>
      </c>
      <c r="AD1600">
        <f>IF(AND(vp.tbl[[#This Row],[CrudeType]]="Crude",vp.tbl[[#This Row],[Dens]]&gt;870,vp.tbl[[#This Row],[Dens]]&lt;=900,vp.tbl[[#This Row],[Sulf]]&gt;0.5,vp.tbl[[#This Row],[Unknown]]=0),1,0)</f>
        <v>0</v>
      </c>
      <c r="AE1600">
        <f>IF(AND(vp.tbl[[#This Row],[CrudeType]]="Crude",vp.tbl[[#This Row],[Dens]]&gt;900,vp.tbl[[#This Row],[Sulf]]&lt;=0.5,vp.tbl[[#This Row],[Unknown]]=0),1,0)</f>
        <v>0</v>
      </c>
      <c r="AF1600">
        <f>IF(AND(vp.tbl[[#This Row],[CrudeType]]="Crude",vp.tbl[[#This Row],[Dens]]&gt;900,vp.tbl[[#This Row],[Sulf]]&lt;=0.5,vp.tbl[[#This Row],[Unknown]]=0),1,0)</f>
        <v>0</v>
      </c>
      <c r="AG1600" t="str">
        <f>INDEX(vp.tbl[[#Headers],[Unknown]:[Heavy_SW]],MATCH(1,vp.tbl[[#This Row],[Unknown]:[Heavy_SW]],0))</f>
        <v>Unknown</v>
      </c>
      <c r="AH1600" t="e">
        <f>INDEX([1]!crudeBD.lkup[Number],MATCH(vp.tbl[[#This Row],[Crude_Breakdown]],[1]!crudeBD.lkup[Crude Breakdown],0))</f>
        <v>#REF!</v>
      </c>
      <c r="AI1600">
        <f>MONTH(vp.tbl[[#This Row],[SDate]])</f>
        <v>6</v>
      </c>
      <c r="AJ1600" s="5" t="str">
        <f>IFERROR(vp.tbl[[#This Row],[Sulf]]*vp.tbl[[#This Row],[Net Dens]],"")</f>
        <v/>
      </c>
      <c r="AK1600" s="5" t="str">
        <f>IFERROR(vp.tbl[[#This Row],[Dens]]*vp.tbl[[#This Row],[VolumeM3]],"")</f>
        <v/>
      </c>
      <c r="AL1600" s="5" t="str">
        <f>IFERROR(vp.tbl[[#This Row],[VP]]*vp.tbl[[#This Row],[VolumeM3]],"")</f>
        <v/>
      </c>
      <c r="AM1600" s="4">
        <f>IFERROR((vp.tbl[[#This Row],[VP]]-INDEX(crudeBD.lkup.complete[Mean_VP],MATCH(vp.tbl[[#This Row],[Crude_Breakdown]],crudeBD.lkup.complete[Crude Breakdown],0)))^2,"")</f>
        <v>20.658270224244465</v>
      </c>
      <c r="AN1600" s="4" t="str">
        <f>IFERROR((vp.tbl[[#This Row],[Dens]]-INDEX(crudeBD.lkup.complete[Mean_Dens],MATCH(vp.tbl[[#This Row],[Crude_Breakdown]],crudeBD.lkup.complete[Crude Breakdown],0)))^2,"")</f>
        <v/>
      </c>
      <c r="AO1600" s="4" t="str">
        <f>IFERROR((vp.tbl[[#This Row],[Sulf]]-INDEX(crudeBD.lkup.complete[Mean_Sulf],MATCH(vp.tbl[[#This Row],[Crude_Breakdown]],crudeBD.lkup.complete[Crude Breakdown],0)))^2,"")</f>
        <v/>
      </c>
      <c r="AP1600">
        <f>IF(AND(vp.tbl[[#This Row],[SDate]]&gt;=DATE(YEAR(vp.tbl[[#This Row],[SDate]]),5,1),vp.tbl[[#This Row],[SDate]]&lt;=DATE(YEAR(vp.tbl[[#This Row],[SDate]]),9,15)),1,0)</f>
        <v>1</v>
      </c>
      <c r="AQ1600" s="15">
        <f>IF(vp.tbl[[#This Row],[SDate]]&lt;DATE(2016,12,1),0,1)</f>
        <v>1</v>
      </c>
    </row>
    <row r="1601" spans="1:43" x14ac:dyDescent="0.25">
      <c r="A1601">
        <v>1600</v>
      </c>
      <c r="B1601" t="s">
        <v>68</v>
      </c>
      <c r="C1601" t="s">
        <v>68</v>
      </c>
      <c r="D1601" t="s">
        <v>110</v>
      </c>
      <c r="F1601" s="1">
        <v>42892</v>
      </c>
      <c r="G1601" s="2">
        <v>70.099999999999994</v>
      </c>
      <c r="H1601" s="2"/>
      <c r="I1601" s="2" t="s">
        <v>310</v>
      </c>
      <c r="J1601" s="2"/>
      <c r="K1601" s="2"/>
      <c r="L1601" s="2"/>
      <c r="M1601" s="2" t="s">
        <v>310</v>
      </c>
      <c r="N1601" s="2">
        <f ca="1">INDEX(INDIRECT(_xlfn.CONCAT("weather.tbl[",N$1,"]")),MATCH(vp.tbl[[#This Row],[SDate]],weather.tbl[Date],0))</f>
        <v>14.583333333333334</v>
      </c>
      <c r="O1601" s="2">
        <f ca="1">INDEX(INDIRECT(_xlfn.CONCAT("weather.tbl[",O$1,"]")),MATCH(vp.tbl[[#This Row],[SDate]],weather.tbl[Date],0))</f>
        <v>18.273809523809526</v>
      </c>
      <c r="P1601" s="2">
        <f ca="1">INDEX(INDIRECT(_xlfn.CONCAT("weather.tbl[",P$1,"]")),MATCH(vp.tbl[[#This Row],[SDate]],weather.tbl[Date],0))</f>
        <v>14.7</v>
      </c>
      <c r="Q1601" s="2">
        <f ca="1">INDEX(INDIRECT(_xlfn.CONCAT("weather.tbl[",Q$1,"]")),MATCH(vp.tbl[[#This Row],[SDate]],weather.tbl[Date],0))</f>
        <v>13.1</v>
      </c>
      <c r="R1601" s="2">
        <f ca="1">INDEX(INDIRECT(_xlfn.CONCAT("weather.tbl[",R$1,"]")),MATCH(vp.tbl[[#This Row],[SDate]],weather.tbl[Date],0))</f>
        <v>14.8</v>
      </c>
      <c r="S1601" s="2">
        <f ca="1">INDEX(INDIRECT(_xlfn.CONCAT("weather.tbl[",S$1,"]")),MATCH(vp.tbl[[#This Row],[SDate]],weather.tbl[Date],0))</f>
        <v>13.4</v>
      </c>
      <c r="T1601" s="2">
        <f ca="1">INDEX(INDIRECT(_xlfn.CONCAT("weather.tbl[",T$1,"]")),MATCH(vp.tbl[[#This Row],[SDate]],weather.tbl[Date],0))</f>
        <v>18</v>
      </c>
      <c r="U1601" s="2">
        <f ca="1">INDEX(INDIRECT(_xlfn.CONCAT("weather.tbl[",U$1,"]")),MATCH(vp.tbl[[#This Row],[SDate]],weather.tbl[Date],0))</f>
        <v>13.5</v>
      </c>
      <c r="V1601" s="2" t="s">
        <v>310</v>
      </c>
      <c r="W1601" t="s">
        <v>48</v>
      </c>
      <c r="X1601">
        <f>IF(OR(vp.tbl[[#This Row],[Sulf]]="",vp.tbl[[#This Row],[Dens]]=""),1,0)</f>
        <v>1</v>
      </c>
      <c r="Y1601">
        <f>IF(vp.tbl[[#This Row],[CrudeType]]="C5+",1,0)</f>
        <v>0</v>
      </c>
      <c r="Z1601">
        <f>IF(AND(vp.tbl[[#This Row],[CrudeType]]="Crude",vp.tbl[[#This Row],[Dens]]&lt;=825,vp.tbl[[#This Row],[Sulf]]&gt;0.5,vp.tbl[[#This Row],[Unknown]]=0),1,0)</f>
        <v>0</v>
      </c>
      <c r="AA1601">
        <f>IF(AND(vp.tbl[[#This Row],[CrudeType]]="Crude",vp.tbl[[#This Row],[Dens]]&lt;=825,vp.tbl[[#This Row],[Sulf]]&lt;=0.5,vp.tbl[[#This Row],[Unknown]]=0),1,0)</f>
        <v>0</v>
      </c>
      <c r="AB1601">
        <f>IF(AND(vp.tbl[[#This Row],[CrudeType]]="Crude",vp.tbl[[#This Row],[Dens]]&gt;825,vp.tbl[[#This Row],[Dens]]&lt;=870,vp.tbl[[#This Row],[Sulf]]&gt;0.5,vp.tbl[[#This Row],[Unknown]]=0),1,0)</f>
        <v>0</v>
      </c>
      <c r="AC1601">
        <f>IF(AND(vp.tbl[[#This Row],[CrudeType]]="Crude",vp.tbl[[#This Row],[Dens]]&gt;825,vp.tbl[[#This Row],[Dens]]&lt;=900,vp.tbl[[#This Row],[Sulf]]&lt;=0.5,vp.tbl[[#This Row],[Unknown]]=0),1,0)</f>
        <v>0</v>
      </c>
      <c r="AD1601">
        <f>IF(AND(vp.tbl[[#This Row],[CrudeType]]="Crude",vp.tbl[[#This Row],[Dens]]&gt;870,vp.tbl[[#This Row],[Dens]]&lt;=900,vp.tbl[[#This Row],[Sulf]]&gt;0.5,vp.tbl[[#This Row],[Unknown]]=0),1,0)</f>
        <v>0</v>
      </c>
      <c r="AE1601">
        <f>IF(AND(vp.tbl[[#This Row],[CrudeType]]="Crude",vp.tbl[[#This Row],[Dens]]&gt;900,vp.tbl[[#This Row],[Sulf]]&lt;=0.5,vp.tbl[[#This Row],[Unknown]]=0),1,0)</f>
        <v>0</v>
      </c>
      <c r="AF1601">
        <f>IF(AND(vp.tbl[[#This Row],[CrudeType]]="Crude",vp.tbl[[#This Row],[Dens]]&gt;900,vp.tbl[[#This Row],[Sulf]]&lt;=0.5,vp.tbl[[#This Row],[Unknown]]=0),1,0)</f>
        <v>0</v>
      </c>
      <c r="AG1601" t="str">
        <f>INDEX(vp.tbl[[#Headers],[Unknown]:[Heavy_SW]],MATCH(1,vp.tbl[[#This Row],[Unknown]:[Heavy_SW]],0))</f>
        <v>Unknown</v>
      </c>
      <c r="AH1601" t="e">
        <f>INDEX([1]!crudeBD.lkup[Number],MATCH(vp.tbl[[#This Row],[Crude_Breakdown]],[1]!crudeBD.lkup[Crude Breakdown],0))</f>
        <v>#REF!</v>
      </c>
      <c r="AI1601">
        <f>MONTH(vp.tbl[[#This Row],[SDate]])</f>
        <v>6</v>
      </c>
      <c r="AJ1601" s="5" t="str">
        <f>IFERROR(vp.tbl[[#This Row],[Sulf]]*vp.tbl[[#This Row],[Net Dens]],"")</f>
        <v/>
      </c>
      <c r="AK1601" s="5" t="str">
        <f>IFERROR(vp.tbl[[#This Row],[Dens]]*vp.tbl[[#This Row],[VolumeM3]],"")</f>
        <v/>
      </c>
      <c r="AL1601" s="5" t="str">
        <f>IFERROR(vp.tbl[[#This Row],[VP]]*vp.tbl[[#This Row],[VolumeM3]],"")</f>
        <v/>
      </c>
      <c r="AM1601" s="4">
        <f>IFERROR((vp.tbl[[#This Row],[VP]]-INDEX(crudeBD.lkup.complete[Mean_VP],MATCH(vp.tbl[[#This Row],[Crude_Breakdown]],crudeBD.lkup.complete[Crude Breakdown],0)))^2,"")</f>
        <v>14.026051046162335</v>
      </c>
      <c r="AN1601" s="4" t="str">
        <f>IFERROR((vp.tbl[[#This Row],[Dens]]-INDEX(crudeBD.lkup.complete[Mean_Dens],MATCH(vp.tbl[[#This Row],[Crude_Breakdown]],crudeBD.lkup.complete[Crude Breakdown],0)))^2,"")</f>
        <v/>
      </c>
      <c r="AO1601" s="4" t="str">
        <f>IFERROR((vp.tbl[[#This Row],[Sulf]]-INDEX(crudeBD.lkup.complete[Mean_Sulf],MATCH(vp.tbl[[#This Row],[Crude_Breakdown]],crudeBD.lkup.complete[Crude Breakdown],0)))^2,"")</f>
        <v/>
      </c>
      <c r="AP1601">
        <f>IF(AND(vp.tbl[[#This Row],[SDate]]&gt;=DATE(YEAR(vp.tbl[[#This Row],[SDate]]),5,1),vp.tbl[[#This Row],[SDate]]&lt;=DATE(YEAR(vp.tbl[[#This Row],[SDate]]),9,15)),1,0)</f>
        <v>1</v>
      </c>
      <c r="AQ1601" s="15">
        <f>IF(vp.tbl[[#This Row],[SDate]]&lt;DATE(2016,12,1),0,1)</f>
        <v>1</v>
      </c>
    </row>
    <row r="1602" spans="1:43" x14ac:dyDescent="0.25">
      <c r="A1602">
        <v>1601</v>
      </c>
      <c r="B1602" t="s">
        <v>49</v>
      </c>
      <c r="C1602" t="s">
        <v>49</v>
      </c>
      <c r="D1602" t="s">
        <v>89</v>
      </c>
      <c r="F1602" s="1">
        <v>42892</v>
      </c>
      <c r="G1602" s="2">
        <v>86.7</v>
      </c>
      <c r="H1602" s="2"/>
      <c r="I1602" s="2" t="s">
        <v>310</v>
      </c>
      <c r="J1602" s="2"/>
      <c r="K1602" s="2"/>
      <c r="L1602" s="2"/>
      <c r="M1602" s="2" t="s">
        <v>310</v>
      </c>
      <c r="N1602" s="2">
        <f ca="1">INDEX(INDIRECT(_xlfn.CONCAT("weather.tbl[",N$1,"]")),MATCH(vp.tbl[[#This Row],[SDate]],weather.tbl[Date],0))</f>
        <v>14.583333333333334</v>
      </c>
      <c r="O1602" s="2">
        <f ca="1">INDEX(INDIRECT(_xlfn.CONCAT("weather.tbl[",O$1,"]")),MATCH(vp.tbl[[#This Row],[SDate]],weather.tbl[Date],0))</f>
        <v>18.273809523809526</v>
      </c>
      <c r="P1602" s="2">
        <f ca="1">INDEX(INDIRECT(_xlfn.CONCAT("weather.tbl[",P$1,"]")),MATCH(vp.tbl[[#This Row],[SDate]],weather.tbl[Date],0))</f>
        <v>14.7</v>
      </c>
      <c r="Q1602" s="2">
        <f ca="1">INDEX(INDIRECT(_xlfn.CONCAT("weather.tbl[",Q$1,"]")),MATCH(vp.tbl[[#This Row],[SDate]],weather.tbl[Date],0))</f>
        <v>13.1</v>
      </c>
      <c r="R1602" s="2">
        <f ca="1">INDEX(INDIRECT(_xlfn.CONCAT("weather.tbl[",R$1,"]")),MATCH(vp.tbl[[#This Row],[SDate]],weather.tbl[Date],0))</f>
        <v>14.8</v>
      </c>
      <c r="S1602" s="2">
        <f ca="1">INDEX(INDIRECT(_xlfn.CONCAT("weather.tbl[",S$1,"]")),MATCH(vp.tbl[[#This Row],[SDate]],weather.tbl[Date],0))</f>
        <v>13.4</v>
      </c>
      <c r="T1602" s="2">
        <f ca="1">INDEX(INDIRECT(_xlfn.CONCAT("weather.tbl[",T$1,"]")),MATCH(vp.tbl[[#This Row],[SDate]],weather.tbl[Date],0))</f>
        <v>18</v>
      </c>
      <c r="U1602" s="2">
        <f ca="1">INDEX(INDIRECT(_xlfn.CONCAT("weather.tbl[",U$1,"]")),MATCH(vp.tbl[[#This Row],[SDate]],weather.tbl[Date],0))</f>
        <v>13.5</v>
      </c>
      <c r="V1602" s="2" t="s">
        <v>310</v>
      </c>
      <c r="W1602" t="s">
        <v>48</v>
      </c>
      <c r="X1602">
        <f>IF(OR(vp.tbl[[#This Row],[Sulf]]="",vp.tbl[[#This Row],[Dens]]=""),1,0)</f>
        <v>1</v>
      </c>
      <c r="Y1602">
        <f>IF(vp.tbl[[#This Row],[CrudeType]]="C5+",1,0)</f>
        <v>0</v>
      </c>
      <c r="Z1602">
        <f>IF(AND(vp.tbl[[#This Row],[CrudeType]]="Crude",vp.tbl[[#This Row],[Dens]]&lt;=825,vp.tbl[[#This Row],[Sulf]]&gt;0.5,vp.tbl[[#This Row],[Unknown]]=0),1,0)</f>
        <v>0</v>
      </c>
      <c r="AA1602">
        <f>IF(AND(vp.tbl[[#This Row],[CrudeType]]="Crude",vp.tbl[[#This Row],[Dens]]&lt;=825,vp.tbl[[#This Row],[Sulf]]&lt;=0.5,vp.tbl[[#This Row],[Unknown]]=0),1,0)</f>
        <v>0</v>
      </c>
      <c r="AB1602">
        <f>IF(AND(vp.tbl[[#This Row],[CrudeType]]="Crude",vp.tbl[[#This Row],[Dens]]&gt;825,vp.tbl[[#This Row],[Dens]]&lt;=870,vp.tbl[[#This Row],[Sulf]]&gt;0.5,vp.tbl[[#This Row],[Unknown]]=0),1,0)</f>
        <v>0</v>
      </c>
      <c r="AC1602">
        <f>IF(AND(vp.tbl[[#This Row],[CrudeType]]="Crude",vp.tbl[[#This Row],[Dens]]&gt;825,vp.tbl[[#This Row],[Dens]]&lt;=900,vp.tbl[[#This Row],[Sulf]]&lt;=0.5,vp.tbl[[#This Row],[Unknown]]=0),1,0)</f>
        <v>0</v>
      </c>
      <c r="AD1602">
        <f>IF(AND(vp.tbl[[#This Row],[CrudeType]]="Crude",vp.tbl[[#This Row],[Dens]]&gt;870,vp.tbl[[#This Row],[Dens]]&lt;=900,vp.tbl[[#This Row],[Sulf]]&gt;0.5,vp.tbl[[#This Row],[Unknown]]=0),1,0)</f>
        <v>0</v>
      </c>
      <c r="AE1602">
        <f>IF(AND(vp.tbl[[#This Row],[CrudeType]]="Crude",vp.tbl[[#This Row],[Dens]]&gt;900,vp.tbl[[#This Row],[Sulf]]&lt;=0.5,vp.tbl[[#This Row],[Unknown]]=0),1,0)</f>
        <v>0</v>
      </c>
      <c r="AF1602">
        <f>IF(AND(vp.tbl[[#This Row],[CrudeType]]="Crude",vp.tbl[[#This Row],[Dens]]&gt;900,vp.tbl[[#This Row],[Sulf]]&lt;=0.5,vp.tbl[[#This Row],[Unknown]]=0),1,0)</f>
        <v>0</v>
      </c>
      <c r="AG1602" t="str">
        <f>INDEX(vp.tbl[[#Headers],[Unknown]:[Heavy_SW]],MATCH(1,vp.tbl[[#This Row],[Unknown]:[Heavy_SW]],0))</f>
        <v>Unknown</v>
      </c>
      <c r="AH1602" t="e">
        <f>INDEX([1]!crudeBD.lkup[Number],MATCH(vp.tbl[[#This Row],[Crude_Breakdown]],[1]!crudeBD.lkup[Crude Breakdown],0))</f>
        <v>#REF!</v>
      </c>
      <c r="AI1602">
        <f>MONTH(vp.tbl[[#This Row],[SDate]])</f>
        <v>6</v>
      </c>
      <c r="AJ1602" s="5" t="str">
        <f>IFERROR(vp.tbl[[#This Row],[Sulf]]*vp.tbl[[#This Row],[Net Dens]],"")</f>
        <v/>
      </c>
      <c r="AK1602" s="5" t="str">
        <f>IFERROR(vp.tbl[[#This Row],[Dens]]*vp.tbl[[#This Row],[VolumeM3]],"")</f>
        <v/>
      </c>
      <c r="AL1602" s="5" t="str">
        <f>IFERROR(vp.tbl[[#This Row],[VP]]*vp.tbl[[#This Row],[VolumeM3]],"")</f>
        <v/>
      </c>
      <c r="AM1602" s="4">
        <f>IFERROR((vp.tbl[[#This Row],[VP]]-INDEX(crudeBD.lkup.complete[Mean_VP],MATCH(vp.tbl[[#This Row],[Crude_Breakdown]],crudeBD.lkup.complete[Crude Breakdown],0)))^2,"")</f>
        <v>165.24750310095783</v>
      </c>
      <c r="AN1602" s="4" t="str">
        <f>IFERROR((vp.tbl[[#This Row],[Dens]]-INDEX(crudeBD.lkup.complete[Mean_Dens],MATCH(vp.tbl[[#This Row],[Crude_Breakdown]],crudeBD.lkup.complete[Crude Breakdown],0)))^2,"")</f>
        <v/>
      </c>
      <c r="AO1602" s="4" t="str">
        <f>IFERROR((vp.tbl[[#This Row],[Sulf]]-INDEX(crudeBD.lkup.complete[Mean_Sulf],MATCH(vp.tbl[[#This Row],[Crude_Breakdown]],crudeBD.lkup.complete[Crude Breakdown],0)))^2,"")</f>
        <v/>
      </c>
      <c r="AP1602">
        <f>IF(AND(vp.tbl[[#This Row],[SDate]]&gt;=DATE(YEAR(vp.tbl[[#This Row],[SDate]]),5,1),vp.tbl[[#This Row],[SDate]]&lt;=DATE(YEAR(vp.tbl[[#This Row],[SDate]]),9,15)),1,0)</f>
        <v>1</v>
      </c>
      <c r="AQ1602" s="15">
        <f>IF(vp.tbl[[#This Row],[SDate]]&lt;DATE(2016,12,1),0,1)</f>
        <v>1</v>
      </c>
    </row>
    <row r="1603" spans="1:43" x14ac:dyDescent="0.25">
      <c r="A1603">
        <v>1602</v>
      </c>
      <c r="B1603" t="s">
        <v>51</v>
      </c>
      <c r="C1603" t="s">
        <v>51</v>
      </c>
      <c r="D1603" t="s">
        <v>72</v>
      </c>
      <c r="F1603" s="1">
        <v>42893</v>
      </c>
      <c r="G1603" s="2">
        <v>95.6</v>
      </c>
      <c r="H1603" s="2"/>
      <c r="I1603" s="2" t="s">
        <v>310</v>
      </c>
      <c r="J1603" s="2"/>
      <c r="K1603" s="2"/>
      <c r="L1603" s="2"/>
      <c r="M1603" s="2" t="s">
        <v>310</v>
      </c>
      <c r="N1603" s="2">
        <f ca="1">INDEX(INDIRECT(_xlfn.CONCAT("weather.tbl[",N$1,"]")),MATCH(vp.tbl[[#This Row],[SDate]],weather.tbl[Date],0))</f>
        <v>16.900000000000002</v>
      </c>
      <c r="O1603" s="2">
        <f ca="1">INDEX(INDIRECT(_xlfn.CONCAT("weather.tbl[",O$1,"]")),MATCH(vp.tbl[[#This Row],[SDate]],weather.tbl[Date],0))</f>
        <v>18.745238095238097</v>
      </c>
      <c r="P1603" s="2">
        <f ca="1">INDEX(INDIRECT(_xlfn.CONCAT("weather.tbl[",P$1,"]")),MATCH(vp.tbl[[#This Row],[SDate]],weather.tbl[Date],0))</f>
        <v>17.100000000000001</v>
      </c>
      <c r="Q1603" s="2">
        <f ca="1">INDEX(INDIRECT(_xlfn.CONCAT("weather.tbl[",Q$1,"]")),MATCH(vp.tbl[[#This Row],[SDate]],weather.tbl[Date],0))</f>
        <v>15.6</v>
      </c>
      <c r="R1603" s="2">
        <f ca="1">INDEX(INDIRECT(_xlfn.CONCAT("weather.tbl[",R$1,"]")),MATCH(vp.tbl[[#This Row],[SDate]],weather.tbl[Date],0))</f>
        <v>18</v>
      </c>
      <c r="S1603" s="2">
        <f ca="1">INDEX(INDIRECT(_xlfn.CONCAT("weather.tbl[",S$1,"]")),MATCH(vp.tbl[[#This Row],[SDate]],weather.tbl[Date],0))</f>
        <v>15.7</v>
      </c>
      <c r="T1603" s="2">
        <f ca="1">INDEX(INDIRECT(_xlfn.CONCAT("weather.tbl[",T$1,"]")),MATCH(vp.tbl[[#This Row],[SDate]],weather.tbl[Date],0))</f>
        <v>18</v>
      </c>
      <c r="U1603" s="2">
        <f ca="1">INDEX(INDIRECT(_xlfn.CONCAT("weather.tbl[",U$1,"]")),MATCH(vp.tbl[[#This Row],[SDate]],weather.tbl[Date],0))</f>
        <v>17</v>
      </c>
      <c r="V1603" s="2" t="s">
        <v>310</v>
      </c>
      <c r="W1603" t="s">
        <v>48</v>
      </c>
      <c r="X1603">
        <f>IF(OR(vp.tbl[[#This Row],[Sulf]]="",vp.tbl[[#This Row],[Dens]]=""),1,0)</f>
        <v>1</v>
      </c>
      <c r="Y1603">
        <f>IF(vp.tbl[[#This Row],[CrudeType]]="C5+",1,0)</f>
        <v>0</v>
      </c>
      <c r="Z1603">
        <f>IF(AND(vp.tbl[[#This Row],[CrudeType]]="Crude",vp.tbl[[#This Row],[Dens]]&lt;=825,vp.tbl[[#This Row],[Sulf]]&gt;0.5,vp.tbl[[#This Row],[Unknown]]=0),1,0)</f>
        <v>0</v>
      </c>
      <c r="AA1603">
        <f>IF(AND(vp.tbl[[#This Row],[CrudeType]]="Crude",vp.tbl[[#This Row],[Dens]]&lt;=825,vp.tbl[[#This Row],[Sulf]]&lt;=0.5,vp.tbl[[#This Row],[Unknown]]=0),1,0)</f>
        <v>0</v>
      </c>
      <c r="AB1603">
        <f>IF(AND(vp.tbl[[#This Row],[CrudeType]]="Crude",vp.tbl[[#This Row],[Dens]]&gt;825,vp.tbl[[#This Row],[Dens]]&lt;=870,vp.tbl[[#This Row],[Sulf]]&gt;0.5,vp.tbl[[#This Row],[Unknown]]=0),1,0)</f>
        <v>0</v>
      </c>
      <c r="AC1603">
        <f>IF(AND(vp.tbl[[#This Row],[CrudeType]]="Crude",vp.tbl[[#This Row],[Dens]]&gt;825,vp.tbl[[#This Row],[Dens]]&lt;=900,vp.tbl[[#This Row],[Sulf]]&lt;=0.5,vp.tbl[[#This Row],[Unknown]]=0),1,0)</f>
        <v>0</v>
      </c>
      <c r="AD1603">
        <f>IF(AND(vp.tbl[[#This Row],[CrudeType]]="Crude",vp.tbl[[#This Row],[Dens]]&gt;870,vp.tbl[[#This Row],[Dens]]&lt;=900,vp.tbl[[#This Row],[Sulf]]&gt;0.5,vp.tbl[[#This Row],[Unknown]]=0),1,0)</f>
        <v>0</v>
      </c>
      <c r="AE1603">
        <f>IF(AND(vp.tbl[[#This Row],[CrudeType]]="Crude",vp.tbl[[#This Row],[Dens]]&gt;900,vp.tbl[[#This Row],[Sulf]]&lt;=0.5,vp.tbl[[#This Row],[Unknown]]=0),1,0)</f>
        <v>0</v>
      </c>
      <c r="AF1603">
        <f>IF(AND(vp.tbl[[#This Row],[CrudeType]]="Crude",vp.tbl[[#This Row],[Dens]]&gt;900,vp.tbl[[#This Row],[Sulf]]&lt;=0.5,vp.tbl[[#This Row],[Unknown]]=0),1,0)</f>
        <v>0</v>
      </c>
      <c r="AG1603" t="str">
        <f>INDEX(vp.tbl[[#Headers],[Unknown]:[Heavy_SW]],MATCH(1,vp.tbl[[#This Row],[Unknown]:[Heavy_SW]],0))</f>
        <v>Unknown</v>
      </c>
      <c r="AH1603" t="e">
        <f>INDEX([1]!crudeBD.lkup[Number],MATCH(vp.tbl[[#This Row],[Crude_Breakdown]],[1]!crudeBD.lkup[Crude Breakdown],0))</f>
        <v>#REF!</v>
      </c>
      <c r="AI1603">
        <f>MONTH(vp.tbl[[#This Row],[SDate]])</f>
        <v>6</v>
      </c>
      <c r="AJ1603" s="5" t="str">
        <f>IFERROR(vp.tbl[[#This Row],[Sulf]]*vp.tbl[[#This Row],[Net Dens]],"")</f>
        <v/>
      </c>
      <c r="AK1603" s="5" t="str">
        <f>IFERROR(vp.tbl[[#This Row],[Dens]]*vp.tbl[[#This Row],[VolumeM3]],"")</f>
        <v/>
      </c>
      <c r="AL1603" s="5" t="str">
        <f>IFERROR(vp.tbl[[#This Row],[VP]]*vp.tbl[[#This Row],[VolumeM3]],"")</f>
        <v/>
      </c>
      <c r="AM1603" s="4">
        <f>IFERROR((vp.tbl[[#This Row],[VP]]-INDEX(crudeBD.lkup.complete[Mean_VP],MATCH(vp.tbl[[#This Row],[Crude_Breakdown]],crudeBD.lkup.complete[Crude Breakdown],0)))^2,"")</f>
        <v>473.27406474479363</v>
      </c>
      <c r="AN1603" s="4" t="str">
        <f>IFERROR((vp.tbl[[#This Row],[Dens]]-INDEX(crudeBD.lkup.complete[Mean_Dens],MATCH(vp.tbl[[#This Row],[Crude_Breakdown]],crudeBD.lkup.complete[Crude Breakdown],0)))^2,"")</f>
        <v/>
      </c>
      <c r="AO1603" s="4" t="str">
        <f>IFERROR((vp.tbl[[#This Row],[Sulf]]-INDEX(crudeBD.lkup.complete[Mean_Sulf],MATCH(vp.tbl[[#This Row],[Crude_Breakdown]],crudeBD.lkup.complete[Crude Breakdown],0)))^2,"")</f>
        <v/>
      </c>
      <c r="AP1603">
        <f>IF(AND(vp.tbl[[#This Row],[SDate]]&gt;=DATE(YEAR(vp.tbl[[#This Row],[SDate]]),5,1),vp.tbl[[#This Row],[SDate]]&lt;=DATE(YEAR(vp.tbl[[#This Row],[SDate]]),9,15)),1,0)</f>
        <v>1</v>
      </c>
      <c r="AQ1603" s="15">
        <f>IF(vp.tbl[[#This Row],[SDate]]&lt;DATE(2016,12,1),0,1)</f>
        <v>1</v>
      </c>
    </row>
    <row r="1604" spans="1:43" x14ac:dyDescent="0.25">
      <c r="A1604">
        <v>1603</v>
      </c>
      <c r="B1604" t="s">
        <v>49</v>
      </c>
      <c r="C1604" t="s">
        <v>49</v>
      </c>
      <c r="D1604" t="s">
        <v>70</v>
      </c>
      <c r="F1604" s="1">
        <v>42893</v>
      </c>
      <c r="G1604" s="2">
        <v>75.099999999999994</v>
      </c>
      <c r="H1604" s="2"/>
      <c r="I1604" s="2" t="s">
        <v>310</v>
      </c>
      <c r="J1604" s="2"/>
      <c r="K1604" s="2"/>
      <c r="L1604" s="2"/>
      <c r="M1604" s="2" t="s">
        <v>310</v>
      </c>
      <c r="N1604" s="2">
        <f ca="1">INDEX(INDIRECT(_xlfn.CONCAT("weather.tbl[",N$1,"]")),MATCH(vp.tbl[[#This Row],[SDate]],weather.tbl[Date],0))</f>
        <v>16.900000000000002</v>
      </c>
      <c r="O1604" s="2">
        <f ca="1">INDEX(INDIRECT(_xlfn.CONCAT("weather.tbl[",O$1,"]")),MATCH(vp.tbl[[#This Row],[SDate]],weather.tbl[Date],0))</f>
        <v>18.745238095238097</v>
      </c>
      <c r="P1604" s="2">
        <f ca="1">INDEX(INDIRECT(_xlfn.CONCAT("weather.tbl[",P$1,"]")),MATCH(vp.tbl[[#This Row],[SDate]],weather.tbl[Date],0))</f>
        <v>17.100000000000001</v>
      </c>
      <c r="Q1604" s="2">
        <f ca="1">INDEX(INDIRECT(_xlfn.CONCAT("weather.tbl[",Q$1,"]")),MATCH(vp.tbl[[#This Row],[SDate]],weather.tbl[Date],0))</f>
        <v>15.6</v>
      </c>
      <c r="R1604" s="2">
        <f ca="1">INDEX(INDIRECT(_xlfn.CONCAT("weather.tbl[",R$1,"]")),MATCH(vp.tbl[[#This Row],[SDate]],weather.tbl[Date],0))</f>
        <v>18</v>
      </c>
      <c r="S1604" s="2">
        <f ca="1">INDEX(INDIRECT(_xlfn.CONCAT("weather.tbl[",S$1,"]")),MATCH(vp.tbl[[#This Row],[SDate]],weather.tbl[Date],0))</f>
        <v>15.7</v>
      </c>
      <c r="T1604" s="2">
        <f ca="1">INDEX(INDIRECT(_xlfn.CONCAT("weather.tbl[",T$1,"]")),MATCH(vp.tbl[[#This Row],[SDate]],weather.tbl[Date],0))</f>
        <v>18</v>
      </c>
      <c r="U1604" s="2">
        <f ca="1">INDEX(INDIRECT(_xlfn.CONCAT("weather.tbl[",U$1,"]")),MATCH(vp.tbl[[#This Row],[SDate]],weather.tbl[Date],0))</f>
        <v>17</v>
      </c>
      <c r="V1604" s="2" t="s">
        <v>310</v>
      </c>
      <c r="W1604" t="s">
        <v>48</v>
      </c>
      <c r="X1604">
        <f>IF(OR(vp.tbl[[#This Row],[Sulf]]="",vp.tbl[[#This Row],[Dens]]=""),1,0)</f>
        <v>1</v>
      </c>
      <c r="Y1604">
        <f>IF(vp.tbl[[#This Row],[CrudeType]]="C5+",1,0)</f>
        <v>0</v>
      </c>
      <c r="Z1604">
        <f>IF(AND(vp.tbl[[#This Row],[CrudeType]]="Crude",vp.tbl[[#This Row],[Dens]]&lt;=825,vp.tbl[[#This Row],[Sulf]]&gt;0.5,vp.tbl[[#This Row],[Unknown]]=0),1,0)</f>
        <v>0</v>
      </c>
      <c r="AA1604">
        <f>IF(AND(vp.tbl[[#This Row],[CrudeType]]="Crude",vp.tbl[[#This Row],[Dens]]&lt;=825,vp.tbl[[#This Row],[Sulf]]&lt;=0.5,vp.tbl[[#This Row],[Unknown]]=0),1,0)</f>
        <v>0</v>
      </c>
      <c r="AB1604">
        <f>IF(AND(vp.tbl[[#This Row],[CrudeType]]="Crude",vp.tbl[[#This Row],[Dens]]&gt;825,vp.tbl[[#This Row],[Dens]]&lt;=870,vp.tbl[[#This Row],[Sulf]]&gt;0.5,vp.tbl[[#This Row],[Unknown]]=0),1,0)</f>
        <v>0</v>
      </c>
      <c r="AC1604">
        <f>IF(AND(vp.tbl[[#This Row],[CrudeType]]="Crude",vp.tbl[[#This Row],[Dens]]&gt;825,vp.tbl[[#This Row],[Dens]]&lt;=900,vp.tbl[[#This Row],[Sulf]]&lt;=0.5,vp.tbl[[#This Row],[Unknown]]=0),1,0)</f>
        <v>0</v>
      </c>
      <c r="AD1604">
        <f>IF(AND(vp.tbl[[#This Row],[CrudeType]]="Crude",vp.tbl[[#This Row],[Dens]]&gt;870,vp.tbl[[#This Row],[Dens]]&lt;=900,vp.tbl[[#This Row],[Sulf]]&gt;0.5,vp.tbl[[#This Row],[Unknown]]=0),1,0)</f>
        <v>0</v>
      </c>
      <c r="AE1604">
        <f>IF(AND(vp.tbl[[#This Row],[CrudeType]]="Crude",vp.tbl[[#This Row],[Dens]]&gt;900,vp.tbl[[#This Row],[Sulf]]&lt;=0.5,vp.tbl[[#This Row],[Unknown]]=0),1,0)</f>
        <v>0</v>
      </c>
      <c r="AF1604">
        <f>IF(AND(vp.tbl[[#This Row],[CrudeType]]="Crude",vp.tbl[[#This Row],[Dens]]&gt;900,vp.tbl[[#This Row],[Sulf]]&lt;=0.5,vp.tbl[[#This Row],[Unknown]]=0),1,0)</f>
        <v>0</v>
      </c>
      <c r="AG1604" t="str">
        <f>INDEX(vp.tbl[[#Headers],[Unknown]:[Heavy_SW]],MATCH(1,vp.tbl[[#This Row],[Unknown]:[Heavy_SW]],0))</f>
        <v>Unknown</v>
      </c>
      <c r="AH1604" t="e">
        <f>INDEX([1]!crudeBD.lkup[Number],MATCH(vp.tbl[[#This Row],[Crude_Breakdown]],[1]!crudeBD.lkup[Crude Breakdown],0))</f>
        <v>#REF!</v>
      </c>
      <c r="AI1604">
        <f>MONTH(vp.tbl[[#This Row],[SDate]])</f>
        <v>6</v>
      </c>
      <c r="AJ1604" s="5" t="str">
        <f>IFERROR(vp.tbl[[#This Row],[Sulf]]*vp.tbl[[#This Row],[Net Dens]],"")</f>
        <v/>
      </c>
      <c r="AK1604" s="5" t="str">
        <f>IFERROR(vp.tbl[[#This Row],[Dens]]*vp.tbl[[#This Row],[VolumeM3]],"")</f>
        <v/>
      </c>
      <c r="AL1604" s="5" t="str">
        <f>IFERROR(vp.tbl[[#This Row],[VP]]*vp.tbl[[#This Row],[VolumeM3]],"")</f>
        <v/>
      </c>
      <c r="AM1604" s="4">
        <f>IFERROR((vp.tbl[[#This Row],[VP]]-INDEX(crudeBD.lkup.complete[Mean_VP],MATCH(vp.tbl[[#This Row],[Crude_Breakdown]],crudeBD.lkup.complete[Crude Breakdown],0)))^2,"")</f>
        <v>1.5746811831488663</v>
      </c>
      <c r="AN1604" s="4" t="str">
        <f>IFERROR((vp.tbl[[#This Row],[Dens]]-INDEX(crudeBD.lkup.complete[Mean_Dens],MATCH(vp.tbl[[#This Row],[Crude_Breakdown]],crudeBD.lkup.complete[Crude Breakdown],0)))^2,"")</f>
        <v/>
      </c>
      <c r="AO1604" s="4" t="str">
        <f>IFERROR((vp.tbl[[#This Row],[Sulf]]-INDEX(crudeBD.lkup.complete[Mean_Sulf],MATCH(vp.tbl[[#This Row],[Crude_Breakdown]],crudeBD.lkup.complete[Crude Breakdown],0)))^2,"")</f>
        <v/>
      </c>
      <c r="AP1604">
        <f>IF(AND(vp.tbl[[#This Row],[SDate]]&gt;=DATE(YEAR(vp.tbl[[#This Row],[SDate]]),5,1),vp.tbl[[#This Row],[SDate]]&lt;=DATE(YEAR(vp.tbl[[#This Row],[SDate]]),9,15)),1,0)</f>
        <v>1</v>
      </c>
      <c r="AQ1604" s="15">
        <f>IF(vp.tbl[[#This Row],[SDate]]&lt;DATE(2016,12,1),0,1)</f>
        <v>1</v>
      </c>
    </row>
    <row r="1605" spans="1:43" x14ac:dyDescent="0.25">
      <c r="A1605">
        <v>1604</v>
      </c>
      <c r="B1605" t="s">
        <v>49</v>
      </c>
      <c r="C1605" t="s">
        <v>49</v>
      </c>
      <c r="D1605" t="s">
        <v>81</v>
      </c>
      <c r="F1605" s="1">
        <v>42893</v>
      </c>
      <c r="G1605" s="2">
        <v>72.8</v>
      </c>
      <c r="H1605" s="2"/>
      <c r="I1605" s="2" t="s">
        <v>310</v>
      </c>
      <c r="J1605" s="2"/>
      <c r="K1605" s="2"/>
      <c r="L1605" s="2"/>
      <c r="M1605" s="2" t="s">
        <v>310</v>
      </c>
      <c r="N1605" s="2">
        <f ca="1">INDEX(INDIRECT(_xlfn.CONCAT("weather.tbl[",N$1,"]")),MATCH(vp.tbl[[#This Row],[SDate]],weather.tbl[Date],0))</f>
        <v>16.900000000000002</v>
      </c>
      <c r="O1605" s="2">
        <f ca="1">INDEX(INDIRECT(_xlfn.CONCAT("weather.tbl[",O$1,"]")),MATCH(vp.tbl[[#This Row],[SDate]],weather.tbl[Date],0))</f>
        <v>18.745238095238097</v>
      </c>
      <c r="P1605" s="2">
        <f ca="1">INDEX(INDIRECT(_xlfn.CONCAT("weather.tbl[",P$1,"]")),MATCH(vp.tbl[[#This Row],[SDate]],weather.tbl[Date],0))</f>
        <v>17.100000000000001</v>
      </c>
      <c r="Q1605" s="2">
        <f ca="1">INDEX(INDIRECT(_xlfn.CONCAT("weather.tbl[",Q$1,"]")),MATCH(vp.tbl[[#This Row],[SDate]],weather.tbl[Date],0))</f>
        <v>15.6</v>
      </c>
      <c r="R1605" s="2">
        <f ca="1">INDEX(INDIRECT(_xlfn.CONCAT("weather.tbl[",R$1,"]")),MATCH(vp.tbl[[#This Row],[SDate]],weather.tbl[Date],0))</f>
        <v>18</v>
      </c>
      <c r="S1605" s="2">
        <f ca="1">INDEX(INDIRECT(_xlfn.CONCAT("weather.tbl[",S$1,"]")),MATCH(vp.tbl[[#This Row],[SDate]],weather.tbl[Date],0))</f>
        <v>15.7</v>
      </c>
      <c r="T1605" s="2">
        <f ca="1">INDEX(INDIRECT(_xlfn.CONCAT("weather.tbl[",T$1,"]")),MATCH(vp.tbl[[#This Row],[SDate]],weather.tbl[Date],0))</f>
        <v>18</v>
      </c>
      <c r="U1605" s="2">
        <f ca="1">INDEX(INDIRECT(_xlfn.CONCAT("weather.tbl[",U$1,"]")),MATCH(vp.tbl[[#This Row],[SDate]],weather.tbl[Date],0))</f>
        <v>17</v>
      </c>
      <c r="V1605" s="2" t="s">
        <v>310</v>
      </c>
      <c r="W1605" t="s">
        <v>48</v>
      </c>
      <c r="X1605">
        <f>IF(OR(vp.tbl[[#This Row],[Sulf]]="",vp.tbl[[#This Row],[Dens]]=""),1,0)</f>
        <v>1</v>
      </c>
      <c r="Y1605">
        <f>IF(vp.tbl[[#This Row],[CrudeType]]="C5+",1,0)</f>
        <v>0</v>
      </c>
      <c r="Z1605">
        <f>IF(AND(vp.tbl[[#This Row],[CrudeType]]="Crude",vp.tbl[[#This Row],[Dens]]&lt;=825,vp.tbl[[#This Row],[Sulf]]&gt;0.5,vp.tbl[[#This Row],[Unknown]]=0),1,0)</f>
        <v>0</v>
      </c>
      <c r="AA1605">
        <f>IF(AND(vp.tbl[[#This Row],[CrudeType]]="Crude",vp.tbl[[#This Row],[Dens]]&lt;=825,vp.tbl[[#This Row],[Sulf]]&lt;=0.5,vp.tbl[[#This Row],[Unknown]]=0),1,0)</f>
        <v>0</v>
      </c>
      <c r="AB1605">
        <f>IF(AND(vp.tbl[[#This Row],[CrudeType]]="Crude",vp.tbl[[#This Row],[Dens]]&gt;825,vp.tbl[[#This Row],[Dens]]&lt;=870,vp.tbl[[#This Row],[Sulf]]&gt;0.5,vp.tbl[[#This Row],[Unknown]]=0),1,0)</f>
        <v>0</v>
      </c>
      <c r="AC1605">
        <f>IF(AND(vp.tbl[[#This Row],[CrudeType]]="Crude",vp.tbl[[#This Row],[Dens]]&gt;825,vp.tbl[[#This Row],[Dens]]&lt;=900,vp.tbl[[#This Row],[Sulf]]&lt;=0.5,vp.tbl[[#This Row],[Unknown]]=0),1,0)</f>
        <v>0</v>
      </c>
      <c r="AD1605">
        <f>IF(AND(vp.tbl[[#This Row],[CrudeType]]="Crude",vp.tbl[[#This Row],[Dens]]&gt;870,vp.tbl[[#This Row],[Dens]]&lt;=900,vp.tbl[[#This Row],[Sulf]]&gt;0.5,vp.tbl[[#This Row],[Unknown]]=0),1,0)</f>
        <v>0</v>
      </c>
      <c r="AE1605">
        <f>IF(AND(vp.tbl[[#This Row],[CrudeType]]="Crude",vp.tbl[[#This Row],[Dens]]&gt;900,vp.tbl[[#This Row],[Sulf]]&lt;=0.5,vp.tbl[[#This Row],[Unknown]]=0),1,0)</f>
        <v>0</v>
      </c>
      <c r="AF1605">
        <f>IF(AND(vp.tbl[[#This Row],[CrudeType]]="Crude",vp.tbl[[#This Row],[Dens]]&gt;900,vp.tbl[[#This Row],[Sulf]]&lt;=0.5,vp.tbl[[#This Row],[Unknown]]=0),1,0)</f>
        <v>0</v>
      </c>
      <c r="AG1605" t="str">
        <f>INDEX(vp.tbl[[#Headers],[Unknown]:[Heavy_SW]],MATCH(1,vp.tbl[[#This Row],[Unknown]:[Heavy_SW]],0))</f>
        <v>Unknown</v>
      </c>
      <c r="AH1605" t="e">
        <f>INDEX([1]!crudeBD.lkup[Number],MATCH(vp.tbl[[#This Row],[Crude_Breakdown]],[1]!crudeBD.lkup[Crude Breakdown],0))</f>
        <v>#REF!</v>
      </c>
      <c r="AI1605">
        <f>MONTH(vp.tbl[[#This Row],[SDate]])</f>
        <v>6</v>
      </c>
      <c r="AJ1605" s="5" t="str">
        <f>IFERROR(vp.tbl[[#This Row],[Sulf]]*vp.tbl[[#This Row],[Net Dens]],"")</f>
        <v/>
      </c>
      <c r="AK1605" s="5" t="str">
        <f>IFERROR(vp.tbl[[#This Row],[Dens]]*vp.tbl[[#This Row],[VolumeM3]],"")</f>
        <v/>
      </c>
      <c r="AL1605" s="5" t="str">
        <f>IFERROR(vp.tbl[[#This Row],[VP]]*vp.tbl[[#This Row],[VolumeM3]],"")</f>
        <v/>
      </c>
      <c r="AM1605" s="4">
        <f>IFERROR((vp.tbl[[#This Row],[VP]]-INDEX(crudeBD.lkup.complete[Mean_VP],MATCH(vp.tbl[[#This Row],[Crude_Breakdown]],crudeBD.lkup.complete[Crude Breakdown],0)))^2,"")</f>
        <v>1.0923113201350556</v>
      </c>
      <c r="AN1605" s="4" t="str">
        <f>IFERROR((vp.tbl[[#This Row],[Dens]]-INDEX(crudeBD.lkup.complete[Mean_Dens],MATCH(vp.tbl[[#This Row],[Crude_Breakdown]],crudeBD.lkup.complete[Crude Breakdown],0)))^2,"")</f>
        <v/>
      </c>
      <c r="AO1605" s="4" t="str">
        <f>IFERROR((vp.tbl[[#This Row],[Sulf]]-INDEX(crudeBD.lkup.complete[Mean_Sulf],MATCH(vp.tbl[[#This Row],[Crude_Breakdown]],crudeBD.lkup.complete[Crude Breakdown],0)))^2,"")</f>
        <v/>
      </c>
      <c r="AP1605">
        <f>IF(AND(vp.tbl[[#This Row],[SDate]]&gt;=DATE(YEAR(vp.tbl[[#This Row],[SDate]]),5,1),vp.tbl[[#This Row],[SDate]]&lt;=DATE(YEAR(vp.tbl[[#This Row],[SDate]]),9,15)),1,0)</f>
        <v>1</v>
      </c>
      <c r="AQ1605" s="15">
        <f>IF(vp.tbl[[#This Row],[SDate]]&lt;DATE(2016,12,1),0,1)</f>
        <v>1</v>
      </c>
    </row>
    <row r="1606" spans="1:43" x14ac:dyDescent="0.25">
      <c r="A1606">
        <v>1605</v>
      </c>
      <c r="B1606" t="s">
        <v>49</v>
      </c>
      <c r="C1606" t="s">
        <v>49</v>
      </c>
      <c r="D1606" t="s">
        <v>59</v>
      </c>
      <c r="F1606" s="1">
        <v>42893</v>
      </c>
      <c r="G1606" s="2">
        <v>75.5</v>
      </c>
      <c r="H1606" s="2"/>
      <c r="I1606" s="2" t="s">
        <v>310</v>
      </c>
      <c r="J1606" s="2"/>
      <c r="K1606" s="2"/>
      <c r="L1606" s="2"/>
      <c r="M1606" s="2" t="s">
        <v>310</v>
      </c>
      <c r="N1606" s="2">
        <f ca="1">INDEX(INDIRECT(_xlfn.CONCAT("weather.tbl[",N$1,"]")),MATCH(vp.tbl[[#This Row],[SDate]],weather.tbl[Date],0))</f>
        <v>16.900000000000002</v>
      </c>
      <c r="O1606" s="2">
        <f ca="1">INDEX(INDIRECT(_xlfn.CONCAT("weather.tbl[",O$1,"]")),MATCH(vp.tbl[[#This Row],[SDate]],weather.tbl[Date],0))</f>
        <v>18.745238095238097</v>
      </c>
      <c r="P1606" s="2">
        <f ca="1">INDEX(INDIRECT(_xlfn.CONCAT("weather.tbl[",P$1,"]")),MATCH(vp.tbl[[#This Row],[SDate]],weather.tbl[Date],0))</f>
        <v>17.100000000000001</v>
      </c>
      <c r="Q1606" s="2">
        <f ca="1">INDEX(INDIRECT(_xlfn.CONCAT("weather.tbl[",Q$1,"]")),MATCH(vp.tbl[[#This Row],[SDate]],weather.tbl[Date],0))</f>
        <v>15.6</v>
      </c>
      <c r="R1606" s="2">
        <f ca="1">INDEX(INDIRECT(_xlfn.CONCAT("weather.tbl[",R$1,"]")),MATCH(vp.tbl[[#This Row],[SDate]],weather.tbl[Date],0))</f>
        <v>18</v>
      </c>
      <c r="S1606" s="2">
        <f ca="1">INDEX(INDIRECT(_xlfn.CONCAT("weather.tbl[",S$1,"]")),MATCH(vp.tbl[[#This Row],[SDate]],weather.tbl[Date],0))</f>
        <v>15.7</v>
      </c>
      <c r="T1606" s="2">
        <f ca="1">INDEX(INDIRECT(_xlfn.CONCAT("weather.tbl[",T$1,"]")),MATCH(vp.tbl[[#This Row],[SDate]],weather.tbl[Date],0))</f>
        <v>18</v>
      </c>
      <c r="U1606" s="2">
        <f ca="1">INDEX(INDIRECT(_xlfn.CONCAT("weather.tbl[",U$1,"]")),MATCH(vp.tbl[[#This Row],[SDate]],weather.tbl[Date],0))</f>
        <v>17</v>
      </c>
      <c r="V1606" s="2" t="s">
        <v>310</v>
      </c>
      <c r="W1606" t="s">
        <v>48</v>
      </c>
      <c r="X1606">
        <f>IF(OR(vp.tbl[[#This Row],[Sulf]]="",vp.tbl[[#This Row],[Dens]]=""),1,0)</f>
        <v>1</v>
      </c>
      <c r="Y1606">
        <f>IF(vp.tbl[[#This Row],[CrudeType]]="C5+",1,0)</f>
        <v>0</v>
      </c>
      <c r="Z1606">
        <f>IF(AND(vp.tbl[[#This Row],[CrudeType]]="Crude",vp.tbl[[#This Row],[Dens]]&lt;=825,vp.tbl[[#This Row],[Sulf]]&gt;0.5,vp.tbl[[#This Row],[Unknown]]=0),1,0)</f>
        <v>0</v>
      </c>
      <c r="AA1606">
        <f>IF(AND(vp.tbl[[#This Row],[CrudeType]]="Crude",vp.tbl[[#This Row],[Dens]]&lt;=825,vp.tbl[[#This Row],[Sulf]]&lt;=0.5,vp.tbl[[#This Row],[Unknown]]=0),1,0)</f>
        <v>0</v>
      </c>
      <c r="AB1606">
        <f>IF(AND(vp.tbl[[#This Row],[CrudeType]]="Crude",vp.tbl[[#This Row],[Dens]]&gt;825,vp.tbl[[#This Row],[Dens]]&lt;=870,vp.tbl[[#This Row],[Sulf]]&gt;0.5,vp.tbl[[#This Row],[Unknown]]=0),1,0)</f>
        <v>0</v>
      </c>
      <c r="AC1606">
        <f>IF(AND(vp.tbl[[#This Row],[CrudeType]]="Crude",vp.tbl[[#This Row],[Dens]]&gt;825,vp.tbl[[#This Row],[Dens]]&lt;=900,vp.tbl[[#This Row],[Sulf]]&lt;=0.5,vp.tbl[[#This Row],[Unknown]]=0),1,0)</f>
        <v>0</v>
      </c>
      <c r="AD1606">
        <f>IF(AND(vp.tbl[[#This Row],[CrudeType]]="Crude",vp.tbl[[#This Row],[Dens]]&gt;870,vp.tbl[[#This Row],[Dens]]&lt;=900,vp.tbl[[#This Row],[Sulf]]&gt;0.5,vp.tbl[[#This Row],[Unknown]]=0),1,0)</f>
        <v>0</v>
      </c>
      <c r="AE1606">
        <f>IF(AND(vp.tbl[[#This Row],[CrudeType]]="Crude",vp.tbl[[#This Row],[Dens]]&gt;900,vp.tbl[[#This Row],[Sulf]]&lt;=0.5,vp.tbl[[#This Row],[Unknown]]=0),1,0)</f>
        <v>0</v>
      </c>
      <c r="AF1606">
        <f>IF(AND(vp.tbl[[#This Row],[CrudeType]]="Crude",vp.tbl[[#This Row],[Dens]]&gt;900,vp.tbl[[#This Row],[Sulf]]&lt;=0.5,vp.tbl[[#This Row],[Unknown]]=0),1,0)</f>
        <v>0</v>
      </c>
      <c r="AG1606" t="str">
        <f>INDEX(vp.tbl[[#Headers],[Unknown]:[Heavy_SW]],MATCH(1,vp.tbl[[#This Row],[Unknown]:[Heavy_SW]],0))</f>
        <v>Unknown</v>
      </c>
      <c r="AH1606" t="e">
        <f>INDEX([1]!crudeBD.lkup[Number],MATCH(vp.tbl[[#This Row],[Crude_Breakdown]],[1]!crudeBD.lkup[Crude Breakdown],0))</f>
        <v>#REF!</v>
      </c>
      <c r="AI1606">
        <f>MONTH(vp.tbl[[#This Row],[SDate]])</f>
        <v>6</v>
      </c>
      <c r="AJ1606" s="5" t="str">
        <f>IFERROR(vp.tbl[[#This Row],[Sulf]]*vp.tbl[[#This Row],[Net Dens]],"")</f>
        <v/>
      </c>
      <c r="AK1606" s="5" t="str">
        <f>IFERROR(vp.tbl[[#This Row],[Dens]]*vp.tbl[[#This Row],[VolumeM3]],"")</f>
        <v/>
      </c>
      <c r="AL1606" s="5" t="str">
        <f>IFERROR(vp.tbl[[#This Row],[VP]]*vp.tbl[[#This Row],[VolumeM3]],"")</f>
        <v/>
      </c>
      <c r="AM1606" s="4">
        <f>IFERROR((vp.tbl[[#This Row],[VP]]-INDEX(crudeBD.lkup.complete[Mean_VP],MATCH(vp.tbl[[#This Row],[Crude_Breakdown]],crudeBD.lkup.complete[Crude Breakdown],0)))^2,"")</f>
        <v>2.7385715941078077</v>
      </c>
      <c r="AN1606" s="4" t="str">
        <f>IFERROR((vp.tbl[[#This Row],[Dens]]-INDEX(crudeBD.lkup.complete[Mean_Dens],MATCH(vp.tbl[[#This Row],[Crude_Breakdown]],crudeBD.lkup.complete[Crude Breakdown],0)))^2,"")</f>
        <v/>
      </c>
      <c r="AO1606" s="4" t="str">
        <f>IFERROR((vp.tbl[[#This Row],[Sulf]]-INDEX(crudeBD.lkup.complete[Mean_Sulf],MATCH(vp.tbl[[#This Row],[Crude_Breakdown]],crudeBD.lkup.complete[Crude Breakdown],0)))^2,"")</f>
        <v/>
      </c>
      <c r="AP1606">
        <f>IF(AND(vp.tbl[[#This Row],[SDate]]&gt;=DATE(YEAR(vp.tbl[[#This Row],[SDate]]),5,1),vp.tbl[[#This Row],[SDate]]&lt;=DATE(YEAR(vp.tbl[[#This Row],[SDate]]),9,15)),1,0)</f>
        <v>1</v>
      </c>
      <c r="AQ1606" s="15">
        <f>IF(vp.tbl[[#This Row],[SDate]]&lt;DATE(2016,12,1),0,1)</f>
        <v>1</v>
      </c>
    </row>
    <row r="1607" spans="1:43" x14ac:dyDescent="0.25">
      <c r="A1607">
        <v>1606</v>
      </c>
      <c r="B1607" t="s">
        <v>49</v>
      </c>
      <c r="C1607" t="s">
        <v>49</v>
      </c>
      <c r="D1607" t="s">
        <v>50</v>
      </c>
      <c r="F1607" s="1">
        <v>42893</v>
      </c>
      <c r="G1607" s="2">
        <v>75.2</v>
      </c>
      <c r="H1607" s="2"/>
      <c r="I1607" s="2" t="s">
        <v>310</v>
      </c>
      <c r="J1607" s="2"/>
      <c r="K1607" s="2"/>
      <c r="L1607" s="2"/>
      <c r="M1607" s="2" t="s">
        <v>310</v>
      </c>
      <c r="N1607" s="2">
        <f ca="1">INDEX(INDIRECT(_xlfn.CONCAT("weather.tbl[",N$1,"]")),MATCH(vp.tbl[[#This Row],[SDate]],weather.tbl[Date],0))</f>
        <v>16.900000000000002</v>
      </c>
      <c r="O1607" s="2">
        <f ca="1">INDEX(INDIRECT(_xlfn.CONCAT("weather.tbl[",O$1,"]")),MATCH(vp.tbl[[#This Row],[SDate]],weather.tbl[Date],0))</f>
        <v>18.745238095238097</v>
      </c>
      <c r="P1607" s="2">
        <f ca="1">INDEX(INDIRECT(_xlfn.CONCAT("weather.tbl[",P$1,"]")),MATCH(vp.tbl[[#This Row],[SDate]],weather.tbl[Date],0))</f>
        <v>17.100000000000001</v>
      </c>
      <c r="Q1607" s="2">
        <f ca="1">INDEX(INDIRECT(_xlfn.CONCAT("weather.tbl[",Q$1,"]")),MATCH(vp.tbl[[#This Row],[SDate]],weather.tbl[Date],0))</f>
        <v>15.6</v>
      </c>
      <c r="R1607" s="2">
        <f ca="1">INDEX(INDIRECT(_xlfn.CONCAT("weather.tbl[",R$1,"]")),MATCH(vp.tbl[[#This Row],[SDate]],weather.tbl[Date],0))</f>
        <v>18</v>
      </c>
      <c r="S1607" s="2">
        <f ca="1">INDEX(INDIRECT(_xlfn.CONCAT("weather.tbl[",S$1,"]")),MATCH(vp.tbl[[#This Row],[SDate]],weather.tbl[Date],0))</f>
        <v>15.7</v>
      </c>
      <c r="T1607" s="2">
        <f ca="1">INDEX(INDIRECT(_xlfn.CONCAT("weather.tbl[",T$1,"]")),MATCH(vp.tbl[[#This Row],[SDate]],weather.tbl[Date],0))</f>
        <v>18</v>
      </c>
      <c r="U1607" s="2">
        <f ca="1">INDEX(INDIRECT(_xlfn.CONCAT("weather.tbl[",U$1,"]")),MATCH(vp.tbl[[#This Row],[SDate]],weather.tbl[Date],0))</f>
        <v>17</v>
      </c>
      <c r="V1607" s="2" t="s">
        <v>310</v>
      </c>
      <c r="W1607" t="s">
        <v>48</v>
      </c>
      <c r="X1607">
        <f>IF(OR(vp.tbl[[#This Row],[Sulf]]="",vp.tbl[[#This Row],[Dens]]=""),1,0)</f>
        <v>1</v>
      </c>
      <c r="Y1607">
        <f>IF(vp.tbl[[#This Row],[CrudeType]]="C5+",1,0)</f>
        <v>0</v>
      </c>
      <c r="Z1607">
        <f>IF(AND(vp.tbl[[#This Row],[CrudeType]]="Crude",vp.tbl[[#This Row],[Dens]]&lt;=825,vp.tbl[[#This Row],[Sulf]]&gt;0.5,vp.tbl[[#This Row],[Unknown]]=0),1,0)</f>
        <v>0</v>
      </c>
      <c r="AA1607">
        <f>IF(AND(vp.tbl[[#This Row],[CrudeType]]="Crude",vp.tbl[[#This Row],[Dens]]&lt;=825,vp.tbl[[#This Row],[Sulf]]&lt;=0.5,vp.tbl[[#This Row],[Unknown]]=0),1,0)</f>
        <v>0</v>
      </c>
      <c r="AB1607">
        <f>IF(AND(vp.tbl[[#This Row],[CrudeType]]="Crude",vp.tbl[[#This Row],[Dens]]&gt;825,vp.tbl[[#This Row],[Dens]]&lt;=870,vp.tbl[[#This Row],[Sulf]]&gt;0.5,vp.tbl[[#This Row],[Unknown]]=0),1,0)</f>
        <v>0</v>
      </c>
      <c r="AC1607">
        <f>IF(AND(vp.tbl[[#This Row],[CrudeType]]="Crude",vp.tbl[[#This Row],[Dens]]&gt;825,vp.tbl[[#This Row],[Dens]]&lt;=900,vp.tbl[[#This Row],[Sulf]]&lt;=0.5,vp.tbl[[#This Row],[Unknown]]=0),1,0)</f>
        <v>0</v>
      </c>
      <c r="AD1607">
        <f>IF(AND(vp.tbl[[#This Row],[CrudeType]]="Crude",vp.tbl[[#This Row],[Dens]]&gt;870,vp.tbl[[#This Row],[Dens]]&lt;=900,vp.tbl[[#This Row],[Sulf]]&gt;0.5,vp.tbl[[#This Row],[Unknown]]=0),1,0)</f>
        <v>0</v>
      </c>
      <c r="AE1607">
        <f>IF(AND(vp.tbl[[#This Row],[CrudeType]]="Crude",vp.tbl[[#This Row],[Dens]]&gt;900,vp.tbl[[#This Row],[Sulf]]&lt;=0.5,vp.tbl[[#This Row],[Unknown]]=0),1,0)</f>
        <v>0</v>
      </c>
      <c r="AF1607">
        <f>IF(AND(vp.tbl[[#This Row],[CrudeType]]="Crude",vp.tbl[[#This Row],[Dens]]&gt;900,vp.tbl[[#This Row],[Sulf]]&lt;=0.5,vp.tbl[[#This Row],[Unknown]]=0),1,0)</f>
        <v>0</v>
      </c>
      <c r="AG1607" t="str">
        <f>INDEX(vp.tbl[[#Headers],[Unknown]:[Heavy_SW]],MATCH(1,vp.tbl[[#This Row],[Unknown]:[Heavy_SW]],0))</f>
        <v>Unknown</v>
      </c>
      <c r="AH1607" t="e">
        <f>INDEX([1]!crudeBD.lkup[Number],MATCH(vp.tbl[[#This Row],[Crude_Breakdown]],[1]!crudeBD.lkup[Crude Breakdown],0))</f>
        <v>#REF!</v>
      </c>
      <c r="AI1607">
        <f>MONTH(vp.tbl[[#This Row],[SDate]])</f>
        <v>6</v>
      </c>
      <c r="AJ1607" s="5" t="str">
        <f>IFERROR(vp.tbl[[#This Row],[Sulf]]*vp.tbl[[#This Row],[Net Dens]],"")</f>
        <v/>
      </c>
      <c r="AK1607" s="5" t="str">
        <f>IFERROR(vp.tbl[[#This Row],[Dens]]*vp.tbl[[#This Row],[VolumeM3]],"")</f>
        <v/>
      </c>
      <c r="AL1607" s="5" t="str">
        <f>IFERROR(vp.tbl[[#This Row],[VP]]*vp.tbl[[#This Row],[VolumeM3]],"")</f>
        <v/>
      </c>
      <c r="AM1607" s="4">
        <f>IFERROR((vp.tbl[[#This Row],[VP]]-INDEX(crudeBD.lkup.complete[Mean_VP],MATCH(vp.tbl[[#This Row],[Crude_Breakdown]],crudeBD.lkup.complete[Crude Breakdown],0)))^2,"")</f>
        <v>1.8356537858886199</v>
      </c>
      <c r="AN1607" s="4" t="str">
        <f>IFERROR((vp.tbl[[#This Row],[Dens]]-INDEX(crudeBD.lkup.complete[Mean_Dens],MATCH(vp.tbl[[#This Row],[Crude_Breakdown]],crudeBD.lkup.complete[Crude Breakdown],0)))^2,"")</f>
        <v/>
      </c>
      <c r="AO1607" s="4" t="str">
        <f>IFERROR((vp.tbl[[#This Row],[Sulf]]-INDEX(crudeBD.lkup.complete[Mean_Sulf],MATCH(vp.tbl[[#This Row],[Crude_Breakdown]],crudeBD.lkup.complete[Crude Breakdown],0)))^2,"")</f>
        <v/>
      </c>
      <c r="AP1607">
        <f>IF(AND(vp.tbl[[#This Row],[SDate]]&gt;=DATE(YEAR(vp.tbl[[#This Row],[SDate]]),5,1),vp.tbl[[#This Row],[SDate]]&lt;=DATE(YEAR(vp.tbl[[#This Row],[SDate]]),9,15)),1,0)</f>
        <v>1</v>
      </c>
      <c r="AQ1607" s="15">
        <f>IF(vp.tbl[[#This Row],[SDate]]&lt;DATE(2016,12,1),0,1)</f>
        <v>1</v>
      </c>
    </row>
    <row r="1608" spans="1:43" x14ac:dyDescent="0.25">
      <c r="A1608">
        <v>1607</v>
      </c>
      <c r="B1608" t="s">
        <v>49</v>
      </c>
      <c r="C1608" t="s">
        <v>49</v>
      </c>
      <c r="D1608" t="s">
        <v>92</v>
      </c>
      <c r="F1608" s="1">
        <v>42893</v>
      </c>
      <c r="G1608" s="2">
        <v>69.599999999999994</v>
      </c>
      <c r="H1608" s="2"/>
      <c r="I1608" s="2" t="s">
        <v>310</v>
      </c>
      <c r="J1608" s="2"/>
      <c r="K1608" s="2"/>
      <c r="L1608" s="2"/>
      <c r="M1608" s="2" t="s">
        <v>310</v>
      </c>
      <c r="N1608" s="2">
        <f ca="1">INDEX(INDIRECT(_xlfn.CONCAT("weather.tbl[",N$1,"]")),MATCH(vp.tbl[[#This Row],[SDate]],weather.tbl[Date],0))</f>
        <v>16.900000000000002</v>
      </c>
      <c r="O1608" s="2">
        <f ca="1">INDEX(INDIRECT(_xlfn.CONCAT("weather.tbl[",O$1,"]")),MATCH(vp.tbl[[#This Row],[SDate]],weather.tbl[Date],0))</f>
        <v>18.745238095238097</v>
      </c>
      <c r="P1608" s="2">
        <f ca="1">INDEX(INDIRECT(_xlfn.CONCAT("weather.tbl[",P$1,"]")),MATCH(vp.tbl[[#This Row],[SDate]],weather.tbl[Date],0))</f>
        <v>17.100000000000001</v>
      </c>
      <c r="Q1608" s="2">
        <f ca="1">INDEX(INDIRECT(_xlfn.CONCAT("weather.tbl[",Q$1,"]")),MATCH(vp.tbl[[#This Row],[SDate]],weather.tbl[Date],0))</f>
        <v>15.6</v>
      </c>
      <c r="R1608" s="2">
        <f ca="1">INDEX(INDIRECT(_xlfn.CONCAT("weather.tbl[",R$1,"]")),MATCH(vp.tbl[[#This Row],[SDate]],weather.tbl[Date],0))</f>
        <v>18</v>
      </c>
      <c r="S1608" s="2">
        <f ca="1">INDEX(INDIRECT(_xlfn.CONCAT("weather.tbl[",S$1,"]")),MATCH(vp.tbl[[#This Row],[SDate]],weather.tbl[Date],0))</f>
        <v>15.7</v>
      </c>
      <c r="T1608" s="2">
        <f ca="1">INDEX(INDIRECT(_xlfn.CONCAT("weather.tbl[",T$1,"]")),MATCH(vp.tbl[[#This Row],[SDate]],weather.tbl[Date],0))</f>
        <v>18</v>
      </c>
      <c r="U1608" s="2">
        <f ca="1">INDEX(INDIRECT(_xlfn.CONCAT("weather.tbl[",U$1,"]")),MATCH(vp.tbl[[#This Row],[SDate]],weather.tbl[Date],0))</f>
        <v>17</v>
      </c>
      <c r="V1608" s="2" t="s">
        <v>310</v>
      </c>
      <c r="W1608" t="s">
        <v>48</v>
      </c>
      <c r="X1608">
        <f>IF(OR(vp.tbl[[#This Row],[Sulf]]="",vp.tbl[[#This Row],[Dens]]=""),1,0)</f>
        <v>1</v>
      </c>
      <c r="Y1608">
        <f>IF(vp.tbl[[#This Row],[CrudeType]]="C5+",1,0)</f>
        <v>0</v>
      </c>
      <c r="Z1608">
        <f>IF(AND(vp.tbl[[#This Row],[CrudeType]]="Crude",vp.tbl[[#This Row],[Dens]]&lt;=825,vp.tbl[[#This Row],[Sulf]]&gt;0.5,vp.tbl[[#This Row],[Unknown]]=0),1,0)</f>
        <v>0</v>
      </c>
      <c r="AA1608">
        <f>IF(AND(vp.tbl[[#This Row],[CrudeType]]="Crude",vp.tbl[[#This Row],[Dens]]&lt;=825,vp.tbl[[#This Row],[Sulf]]&lt;=0.5,vp.tbl[[#This Row],[Unknown]]=0),1,0)</f>
        <v>0</v>
      </c>
      <c r="AB1608">
        <f>IF(AND(vp.tbl[[#This Row],[CrudeType]]="Crude",vp.tbl[[#This Row],[Dens]]&gt;825,vp.tbl[[#This Row],[Dens]]&lt;=870,vp.tbl[[#This Row],[Sulf]]&gt;0.5,vp.tbl[[#This Row],[Unknown]]=0),1,0)</f>
        <v>0</v>
      </c>
      <c r="AC1608">
        <f>IF(AND(vp.tbl[[#This Row],[CrudeType]]="Crude",vp.tbl[[#This Row],[Dens]]&gt;825,vp.tbl[[#This Row],[Dens]]&lt;=900,vp.tbl[[#This Row],[Sulf]]&lt;=0.5,vp.tbl[[#This Row],[Unknown]]=0),1,0)</f>
        <v>0</v>
      </c>
      <c r="AD1608">
        <f>IF(AND(vp.tbl[[#This Row],[CrudeType]]="Crude",vp.tbl[[#This Row],[Dens]]&gt;870,vp.tbl[[#This Row],[Dens]]&lt;=900,vp.tbl[[#This Row],[Sulf]]&gt;0.5,vp.tbl[[#This Row],[Unknown]]=0),1,0)</f>
        <v>0</v>
      </c>
      <c r="AE1608">
        <f>IF(AND(vp.tbl[[#This Row],[CrudeType]]="Crude",vp.tbl[[#This Row],[Dens]]&gt;900,vp.tbl[[#This Row],[Sulf]]&lt;=0.5,vp.tbl[[#This Row],[Unknown]]=0),1,0)</f>
        <v>0</v>
      </c>
      <c r="AF1608">
        <f>IF(AND(vp.tbl[[#This Row],[CrudeType]]="Crude",vp.tbl[[#This Row],[Dens]]&gt;900,vp.tbl[[#This Row],[Sulf]]&lt;=0.5,vp.tbl[[#This Row],[Unknown]]=0),1,0)</f>
        <v>0</v>
      </c>
      <c r="AG1608" t="str">
        <f>INDEX(vp.tbl[[#Headers],[Unknown]:[Heavy_SW]],MATCH(1,vp.tbl[[#This Row],[Unknown]:[Heavy_SW]],0))</f>
        <v>Unknown</v>
      </c>
      <c r="AH1608" t="e">
        <f>INDEX([1]!crudeBD.lkup[Number],MATCH(vp.tbl[[#This Row],[Crude_Breakdown]],[1]!crudeBD.lkup[Crude Breakdown],0))</f>
        <v>#REF!</v>
      </c>
      <c r="AI1608">
        <f>MONTH(vp.tbl[[#This Row],[SDate]])</f>
        <v>6</v>
      </c>
      <c r="AJ1608" s="5" t="str">
        <f>IFERROR(vp.tbl[[#This Row],[Sulf]]*vp.tbl[[#This Row],[Net Dens]],"")</f>
        <v/>
      </c>
      <c r="AK1608" s="5" t="str">
        <f>IFERROR(vp.tbl[[#This Row],[Dens]]*vp.tbl[[#This Row],[VolumeM3]],"")</f>
        <v/>
      </c>
      <c r="AL1608" s="5" t="str">
        <f>IFERROR(vp.tbl[[#This Row],[VP]]*vp.tbl[[#This Row],[VolumeM3]],"")</f>
        <v/>
      </c>
      <c r="AM1608" s="4">
        <f>IFERROR((vp.tbl[[#This Row],[VP]]-INDEX(crudeBD.lkup.complete[Mean_VP],MATCH(vp.tbl[[#This Row],[Crude_Breakdown]],crudeBD.lkup.complete[Crude Breakdown],0)))^2,"")</f>
        <v>18.02118803246368</v>
      </c>
      <c r="AN1608" s="4" t="str">
        <f>IFERROR((vp.tbl[[#This Row],[Dens]]-INDEX(crudeBD.lkup.complete[Mean_Dens],MATCH(vp.tbl[[#This Row],[Crude_Breakdown]],crudeBD.lkup.complete[Crude Breakdown],0)))^2,"")</f>
        <v/>
      </c>
      <c r="AO1608" s="4" t="str">
        <f>IFERROR((vp.tbl[[#This Row],[Sulf]]-INDEX(crudeBD.lkup.complete[Mean_Sulf],MATCH(vp.tbl[[#This Row],[Crude_Breakdown]],crudeBD.lkup.complete[Crude Breakdown],0)))^2,"")</f>
        <v/>
      </c>
      <c r="AP1608">
        <f>IF(AND(vp.tbl[[#This Row],[SDate]]&gt;=DATE(YEAR(vp.tbl[[#This Row],[SDate]]),5,1),vp.tbl[[#This Row],[SDate]]&lt;=DATE(YEAR(vp.tbl[[#This Row],[SDate]]),9,15)),1,0)</f>
        <v>1</v>
      </c>
      <c r="AQ1608" s="15">
        <f>IF(vp.tbl[[#This Row],[SDate]]&lt;DATE(2016,12,1),0,1)</f>
        <v>1</v>
      </c>
    </row>
    <row r="1609" spans="1:43" x14ac:dyDescent="0.25">
      <c r="A1609">
        <v>1608</v>
      </c>
      <c r="B1609" t="s">
        <v>51</v>
      </c>
      <c r="C1609" t="s">
        <v>51</v>
      </c>
      <c r="D1609" t="s">
        <v>66</v>
      </c>
      <c r="F1609" s="1">
        <v>42893</v>
      </c>
      <c r="G1609" s="2">
        <v>91.4</v>
      </c>
      <c r="H1609" s="2"/>
      <c r="I1609" s="2" t="s">
        <v>310</v>
      </c>
      <c r="J1609" s="2"/>
      <c r="K1609" s="2"/>
      <c r="L1609" s="2"/>
      <c r="M1609" s="2" t="s">
        <v>310</v>
      </c>
      <c r="N1609" s="2">
        <f ca="1">INDEX(INDIRECT(_xlfn.CONCAT("weather.tbl[",N$1,"]")),MATCH(vp.tbl[[#This Row],[SDate]],weather.tbl[Date],0))</f>
        <v>16.900000000000002</v>
      </c>
      <c r="O1609" s="2">
        <f ca="1">INDEX(INDIRECT(_xlfn.CONCAT("weather.tbl[",O$1,"]")),MATCH(vp.tbl[[#This Row],[SDate]],weather.tbl[Date],0))</f>
        <v>18.745238095238097</v>
      </c>
      <c r="P1609" s="2">
        <f ca="1">INDEX(INDIRECT(_xlfn.CONCAT("weather.tbl[",P$1,"]")),MATCH(vp.tbl[[#This Row],[SDate]],weather.tbl[Date],0))</f>
        <v>17.100000000000001</v>
      </c>
      <c r="Q1609" s="2">
        <f ca="1">INDEX(INDIRECT(_xlfn.CONCAT("weather.tbl[",Q$1,"]")),MATCH(vp.tbl[[#This Row],[SDate]],weather.tbl[Date],0))</f>
        <v>15.6</v>
      </c>
      <c r="R1609" s="2">
        <f ca="1">INDEX(INDIRECT(_xlfn.CONCAT("weather.tbl[",R$1,"]")),MATCH(vp.tbl[[#This Row],[SDate]],weather.tbl[Date],0))</f>
        <v>18</v>
      </c>
      <c r="S1609" s="2">
        <f ca="1">INDEX(INDIRECT(_xlfn.CONCAT("weather.tbl[",S$1,"]")),MATCH(vp.tbl[[#This Row],[SDate]],weather.tbl[Date],0))</f>
        <v>15.7</v>
      </c>
      <c r="T1609" s="2">
        <f ca="1">INDEX(INDIRECT(_xlfn.CONCAT("weather.tbl[",T$1,"]")),MATCH(vp.tbl[[#This Row],[SDate]],weather.tbl[Date],0))</f>
        <v>18</v>
      </c>
      <c r="U1609" s="2">
        <f ca="1">INDEX(INDIRECT(_xlfn.CONCAT("weather.tbl[",U$1,"]")),MATCH(vp.tbl[[#This Row],[SDate]],weather.tbl[Date],0))</f>
        <v>17</v>
      </c>
      <c r="V1609" s="2" t="s">
        <v>310</v>
      </c>
      <c r="W1609" t="s">
        <v>48</v>
      </c>
      <c r="X1609">
        <f>IF(OR(vp.tbl[[#This Row],[Sulf]]="",vp.tbl[[#This Row],[Dens]]=""),1,0)</f>
        <v>1</v>
      </c>
      <c r="Y1609">
        <f>IF(vp.tbl[[#This Row],[CrudeType]]="C5+",1,0)</f>
        <v>0</v>
      </c>
      <c r="Z1609">
        <f>IF(AND(vp.tbl[[#This Row],[CrudeType]]="Crude",vp.tbl[[#This Row],[Dens]]&lt;=825,vp.tbl[[#This Row],[Sulf]]&gt;0.5,vp.tbl[[#This Row],[Unknown]]=0),1,0)</f>
        <v>0</v>
      </c>
      <c r="AA1609">
        <f>IF(AND(vp.tbl[[#This Row],[CrudeType]]="Crude",vp.tbl[[#This Row],[Dens]]&lt;=825,vp.tbl[[#This Row],[Sulf]]&lt;=0.5,vp.tbl[[#This Row],[Unknown]]=0),1,0)</f>
        <v>0</v>
      </c>
      <c r="AB1609">
        <f>IF(AND(vp.tbl[[#This Row],[CrudeType]]="Crude",vp.tbl[[#This Row],[Dens]]&gt;825,vp.tbl[[#This Row],[Dens]]&lt;=870,vp.tbl[[#This Row],[Sulf]]&gt;0.5,vp.tbl[[#This Row],[Unknown]]=0),1,0)</f>
        <v>0</v>
      </c>
      <c r="AC1609">
        <f>IF(AND(vp.tbl[[#This Row],[CrudeType]]="Crude",vp.tbl[[#This Row],[Dens]]&gt;825,vp.tbl[[#This Row],[Dens]]&lt;=900,vp.tbl[[#This Row],[Sulf]]&lt;=0.5,vp.tbl[[#This Row],[Unknown]]=0),1,0)</f>
        <v>0</v>
      </c>
      <c r="AD1609">
        <f>IF(AND(vp.tbl[[#This Row],[CrudeType]]="Crude",vp.tbl[[#This Row],[Dens]]&gt;870,vp.tbl[[#This Row],[Dens]]&lt;=900,vp.tbl[[#This Row],[Sulf]]&gt;0.5,vp.tbl[[#This Row],[Unknown]]=0),1,0)</f>
        <v>0</v>
      </c>
      <c r="AE1609">
        <f>IF(AND(vp.tbl[[#This Row],[CrudeType]]="Crude",vp.tbl[[#This Row],[Dens]]&gt;900,vp.tbl[[#This Row],[Sulf]]&lt;=0.5,vp.tbl[[#This Row],[Unknown]]=0),1,0)</f>
        <v>0</v>
      </c>
      <c r="AF1609">
        <f>IF(AND(vp.tbl[[#This Row],[CrudeType]]="Crude",vp.tbl[[#This Row],[Dens]]&gt;900,vp.tbl[[#This Row],[Sulf]]&lt;=0.5,vp.tbl[[#This Row],[Unknown]]=0),1,0)</f>
        <v>0</v>
      </c>
      <c r="AG1609" t="str">
        <f>INDEX(vp.tbl[[#Headers],[Unknown]:[Heavy_SW]],MATCH(1,vp.tbl[[#This Row],[Unknown]:[Heavy_SW]],0))</f>
        <v>Unknown</v>
      </c>
      <c r="AH1609" t="e">
        <f>INDEX([1]!crudeBD.lkup[Number],MATCH(vp.tbl[[#This Row],[Crude_Breakdown]],[1]!crudeBD.lkup[Crude Breakdown],0))</f>
        <v>#REF!</v>
      </c>
      <c r="AI1609">
        <f>MONTH(vp.tbl[[#This Row],[SDate]])</f>
        <v>6</v>
      </c>
      <c r="AJ1609" s="5" t="str">
        <f>IFERROR(vp.tbl[[#This Row],[Sulf]]*vp.tbl[[#This Row],[Net Dens]],"")</f>
        <v/>
      </c>
      <c r="AK1609" s="5" t="str">
        <f>IFERROR(vp.tbl[[#This Row],[Dens]]*vp.tbl[[#This Row],[VolumeM3]],"")</f>
        <v/>
      </c>
      <c r="AL1609" s="5" t="str">
        <f>IFERROR(vp.tbl[[#This Row],[VP]]*vp.tbl[[#This Row],[VolumeM3]],"")</f>
        <v/>
      </c>
      <c r="AM1609" s="4">
        <f>IFERROR((vp.tbl[[#This Row],[VP]]-INDEX(crudeBD.lkup.complete[Mean_VP],MATCH(vp.tbl[[#This Row],[Crude_Breakdown]],crudeBD.lkup.complete[Crude Breakdown],0)))^2,"")</f>
        <v>308.17321542972536</v>
      </c>
      <c r="AN1609" s="4" t="str">
        <f>IFERROR((vp.tbl[[#This Row],[Dens]]-INDEX(crudeBD.lkup.complete[Mean_Dens],MATCH(vp.tbl[[#This Row],[Crude_Breakdown]],crudeBD.lkup.complete[Crude Breakdown],0)))^2,"")</f>
        <v/>
      </c>
      <c r="AO1609" s="4" t="str">
        <f>IFERROR((vp.tbl[[#This Row],[Sulf]]-INDEX(crudeBD.lkup.complete[Mean_Sulf],MATCH(vp.tbl[[#This Row],[Crude_Breakdown]],crudeBD.lkup.complete[Crude Breakdown],0)))^2,"")</f>
        <v/>
      </c>
      <c r="AP1609">
        <f>IF(AND(vp.tbl[[#This Row],[SDate]]&gt;=DATE(YEAR(vp.tbl[[#This Row],[SDate]]),5,1),vp.tbl[[#This Row],[SDate]]&lt;=DATE(YEAR(vp.tbl[[#This Row],[SDate]]),9,15)),1,0)</f>
        <v>1</v>
      </c>
      <c r="AQ1609" s="15">
        <f>IF(vp.tbl[[#This Row],[SDate]]&lt;DATE(2016,12,1),0,1)</f>
        <v>1</v>
      </c>
    </row>
    <row r="1610" spans="1:43" x14ac:dyDescent="0.25">
      <c r="A1610">
        <v>1609</v>
      </c>
      <c r="B1610" t="s">
        <v>51</v>
      </c>
      <c r="C1610" t="s">
        <v>51</v>
      </c>
      <c r="D1610" t="s">
        <v>52</v>
      </c>
      <c r="F1610" s="1">
        <v>42893</v>
      </c>
      <c r="G1610" s="2">
        <v>68.599999999999994</v>
      </c>
      <c r="H1610" s="2"/>
      <c r="I1610" s="2" t="s">
        <v>310</v>
      </c>
      <c r="J1610" s="2"/>
      <c r="K1610" s="2"/>
      <c r="L1610" s="2"/>
      <c r="M1610" s="2" t="s">
        <v>310</v>
      </c>
      <c r="N1610" s="2">
        <f ca="1">INDEX(INDIRECT(_xlfn.CONCAT("weather.tbl[",N$1,"]")),MATCH(vp.tbl[[#This Row],[SDate]],weather.tbl[Date],0))</f>
        <v>16.900000000000002</v>
      </c>
      <c r="O1610" s="2">
        <f ca="1">INDEX(INDIRECT(_xlfn.CONCAT("weather.tbl[",O$1,"]")),MATCH(vp.tbl[[#This Row],[SDate]],weather.tbl[Date],0))</f>
        <v>18.745238095238097</v>
      </c>
      <c r="P1610" s="2">
        <f ca="1">INDEX(INDIRECT(_xlfn.CONCAT("weather.tbl[",P$1,"]")),MATCH(vp.tbl[[#This Row],[SDate]],weather.tbl[Date],0))</f>
        <v>17.100000000000001</v>
      </c>
      <c r="Q1610" s="2">
        <f ca="1">INDEX(INDIRECT(_xlfn.CONCAT("weather.tbl[",Q$1,"]")),MATCH(vp.tbl[[#This Row],[SDate]],weather.tbl[Date],0))</f>
        <v>15.6</v>
      </c>
      <c r="R1610" s="2">
        <f ca="1">INDEX(INDIRECT(_xlfn.CONCAT("weather.tbl[",R$1,"]")),MATCH(vp.tbl[[#This Row],[SDate]],weather.tbl[Date],0))</f>
        <v>18</v>
      </c>
      <c r="S1610" s="2">
        <f ca="1">INDEX(INDIRECT(_xlfn.CONCAT("weather.tbl[",S$1,"]")),MATCH(vp.tbl[[#This Row],[SDate]],weather.tbl[Date],0))</f>
        <v>15.7</v>
      </c>
      <c r="T1610" s="2">
        <f ca="1">INDEX(INDIRECT(_xlfn.CONCAT("weather.tbl[",T$1,"]")),MATCH(vp.tbl[[#This Row],[SDate]],weather.tbl[Date],0))</f>
        <v>18</v>
      </c>
      <c r="U1610" s="2">
        <f ca="1">INDEX(INDIRECT(_xlfn.CONCAT("weather.tbl[",U$1,"]")),MATCH(vp.tbl[[#This Row],[SDate]],weather.tbl[Date],0))</f>
        <v>17</v>
      </c>
      <c r="V1610" s="2" t="s">
        <v>310</v>
      </c>
      <c r="W1610" t="s">
        <v>48</v>
      </c>
      <c r="X1610">
        <f>IF(OR(vp.tbl[[#This Row],[Sulf]]="",vp.tbl[[#This Row],[Dens]]=""),1,0)</f>
        <v>1</v>
      </c>
      <c r="Y1610">
        <f>IF(vp.tbl[[#This Row],[CrudeType]]="C5+",1,0)</f>
        <v>0</v>
      </c>
      <c r="Z1610">
        <f>IF(AND(vp.tbl[[#This Row],[CrudeType]]="Crude",vp.tbl[[#This Row],[Dens]]&lt;=825,vp.tbl[[#This Row],[Sulf]]&gt;0.5,vp.tbl[[#This Row],[Unknown]]=0),1,0)</f>
        <v>0</v>
      </c>
      <c r="AA1610">
        <f>IF(AND(vp.tbl[[#This Row],[CrudeType]]="Crude",vp.tbl[[#This Row],[Dens]]&lt;=825,vp.tbl[[#This Row],[Sulf]]&lt;=0.5,vp.tbl[[#This Row],[Unknown]]=0),1,0)</f>
        <v>0</v>
      </c>
      <c r="AB1610">
        <f>IF(AND(vp.tbl[[#This Row],[CrudeType]]="Crude",vp.tbl[[#This Row],[Dens]]&gt;825,vp.tbl[[#This Row],[Dens]]&lt;=870,vp.tbl[[#This Row],[Sulf]]&gt;0.5,vp.tbl[[#This Row],[Unknown]]=0),1,0)</f>
        <v>0</v>
      </c>
      <c r="AC1610">
        <f>IF(AND(vp.tbl[[#This Row],[CrudeType]]="Crude",vp.tbl[[#This Row],[Dens]]&gt;825,vp.tbl[[#This Row],[Dens]]&lt;=900,vp.tbl[[#This Row],[Sulf]]&lt;=0.5,vp.tbl[[#This Row],[Unknown]]=0),1,0)</f>
        <v>0</v>
      </c>
      <c r="AD1610">
        <f>IF(AND(vp.tbl[[#This Row],[CrudeType]]="Crude",vp.tbl[[#This Row],[Dens]]&gt;870,vp.tbl[[#This Row],[Dens]]&lt;=900,vp.tbl[[#This Row],[Sulf]]&gt;0.5,vp.tbl[[#This Row],[Unknown]]=0),1,0)</f>
        <v>0</v>
      </c>
      <c r="AE1610">
        <f>IF(AND(vp.tbl[[#This Row],[CrudeType]]="Crude",vp.tbl[[#This Row],[Dens]]&gt;900,vp.tbl[[#This Row],[Sulf]]&lt;=0.5,vp.tbl[[#This Row],[Unknown]]=0),1,0)</f>
        <v>0</v>
      </c>
      <c r="AF1610">
        <f>IF(AND(vp.tbl[[#This Row],[CrudeType]]="Crude",vp.tbl[[#This Row],[Dens]]&gt;900,vp.tbl[[#This Row],[Sulf]]&lt;=0.5,vp.tbl[[#This Row],[Unknown]]=0),1,0)</f>
        <v>0</v>
      </c>
      <c r="AG1610" t="str">
        <f>INDEX(vp.tbl[[#Headers],[Unknown]:[Heavy_SW]],MATCH(1,vp.tbl[[#This Row],[Unknown]:[Heavy_SW]],0))</f>
        <v>Unknown</v>
      </c>
      <c r="AH1610" t="e">
        <f>INDEX([1]!crudeBD.lkup[Number],MATCH(vp.tbl[[#This Row],[Crude_Breakdown]],[1]!crudeBD.lkup[Crude Breakdown],0))</f>
        <v>#REF!</v>
      </c>
      <c r="AI1610">
        <f>MONTH(vp.tbl[[#This Row],[SDate]])</f>
        <v>6</v>
      </c>
      <c r="AJ1610" s="5" t="str">
        <f>IFERROR(vp.tbl[[#This Row],[Sulf]]*vp.tbl[[#This Row],[Net Dens]],"")</f>
        <v/>
      </c>
      <c r="AK1610" s="5" t="str">
        <f>IFERROR(vp.tbl[[#This Row],[Dens]]*vp.tbl[[#This Row],[VolumeM3]],"")</f>
        <v/>
      </c>
      <c r="AL1610" s="5" t="str">
        <f>IFERROR(vp.tbl[[#This Row],[VP]]*vp.tbl[[#This Row],[VolumeM3]],"")</f>
        <v/>
      </c>
      <c r="AM1610" s="4">
        <f>IFERROR((vp.tbl[[#This Row],[VP]]-INDEX(crudeBD.lkup.complete[Mean_VP],MATCH(vp.tbl[[#This Row],[Crude_Breakdown]],crudeBD.lkup.complete[Crude Breakdown],0)))^2,"")</f>
        <v>27.511462005066374</v>
      </c>
      <c r="AN1610" s="4" t="str">
        <f>IFERROR((vp.tbl[[#This Row],[Dens]]-INDEX(crudeBD.lkup.complete[Mean_Dens],MATCH(vp.tbl[[#This Row],[Crude_Breakdown]],crudeBD.lkup.complete[Crude Breakdown],0)))^2,"")</f>
        <v/>
      </c>
      <c r="AO1610" s="4" t="str">
        <f>IFERROR((vp.tbl[[#This Row],[Sulf]]-INDEX(crudeBD.lkup.complete[Mean_Sulf],MATCH(vp.tbl[[#This Row],[Crude_Breakdown]],crudeBD.lkup.complete[Crude Breakdown],0)))^2,"")</f>
        <v/>
      </c>
      <c r="AP1610">
        <f>IF(AND(vp.tbl[[#This Row],[SDate]]&gt;=DATE(YEAR(vp.tbl[[#This Row],[SDate]]),5,1),vp.tbl[[#This Row],[SDate]]&lt;=DATE(YEAR(vp.tbl[[#This Row],[SDate]]),9,15)),1,0)</f>
        <v>1</v>
      </c>
      <c r="AQ1610" s="15">
        <f>IF(vp.tbl[[#This Row],[SDate]]&lt;DATE(2016,12,1),0,1)</f>
        <v>1</v>
      </c>
    </row>
    <row r="1611" spans="1:43" x14ac:dyDescent="0.25">
      <c r="A1611">
        <v>1610</v>
      </c>
      <c r="B1611" t="s">
        <v>51</v>
      </c>
      <c r="C1611" t="s">
        <v>51</v>
      </c>
      <c r="D1611" t="s">
        <v>58</v>
      </c>
      <c r="F1611" s="1">
        <v>42893</v>
      </c>
      <c r="G1611" s="2">
        <v>81.5</v>
      </c>
      <c r="H1611" s="2"/>
      <c r="I1611" s="2" t="s">
        <v>310</v>
      </c>
      <c r="J1611" s="2"/>
      <c r="K1611" s="2"/>
      <c r="L1611" s="2"/>
      <c r="M1611" s="2" t="s">
        <v>310</v>
      </c>
      <c r="N1611" s="2">
        <f ca="1">INDEX(INDIRECT(_xlfn.CONCAT("weather.tbl[",N$1,"]")),MATCH(vp.tbl[[#This Row],[SDate]],weather.tbl[Date],0))</f>
        <v>16.900000000000002</v>
      </c>
      <c r="O1611" s="2">
        <f ca="1">INDEX(INDIRECT(_xlfn.CONCAT("weather.tbl[",O$1,"]")),MATCH(vp.tbl[[#This Row],[SDate]],weather.tbl[Date],0))</f>
        <v>18.745238095238097</v>
      </c>
      <c r="P1611" s="2">
        <f ca="1">INDEX(INDIRECT(_xlfn.CONCAT("weather.tbl[",P$1,"]")),MATCH(vp.tbl[[#This Row],[SDate]],weather.tbl[Date],0))</f>
        <v>17.100000000000001</v>
      </c>
      <c r="Q1611" s="2">
        <f ca="1">INDEX(INDIRECT(_xlfn.CONCAT("weather.tbl[",Q$1,"]")),MATCH(vp.tbl[[#This Row],[SDate]],weather.tbl[Date],0))</f>
        <v>15.6</v>
      </c>
      <c r="R1611" s="2">
        <f ca="1">INDEX(INDIRECT(_xlfn.CONCAT("weather.tbl[",R$1,"]")),MATCH(vp.tbl[[#This Row],[SDate]],weather.tbl[Date],0))</f>
        <v>18</v>
      </c>
      <c r="S1611" s="2">
        <f ca="1">INDEX(INDIRECT(_xlfn.CONCAT("weather.tbl[",S$1,"]")),MATCH(vp.tbl[[#This Row],[SDate]],weather.tbl[Date],0))</f>
        <v>15.7</v>
      </c>
      <c r="T1611" s="2">
        <f ca="1">INDEX(INDIRECT(_xlfn.CONCAT("weather.tbl[",T$1,"]")),MATCH(vp.tbl[[#This Row],[SDate]],weather.tbl[Date],0))</f>
        <v>18</v>
      </c>
      <c r="U1611" s="2">
        <f ca="1">INDEX(INDIRECT(_xlfn.CONCAT("weather.tbl[",U$1,"]")),MATCH(vp.tbl[[#This Row],[SDate]],weather.tbl[Date],0))</f>
        <v>17</v>
      </c>
      <c r="V1611" s="2" t="s">
        <v>310</v>
      </c>
      <c r="W1611" t="s">
        <v>48</v>
      </c>
      <c r="X1611">
        <f>IF(OR(vp.tbl[[#This Row],[Sulf]]="",vp.tbl[[#This Row],[Dens]]=""),1,0)</f>
        <v>1</v>
      </c>
      <c r="Y1611">
        <f>IF(vp.tbl[[#This Row],[CrudeType]]="C5+",1,0)</f>
        <v>0</v>
      </c>
      <c r="Z1611">
        <f>IF(AND(vp.tbl[[#This Row],[CrudeType]]="Crude",vp.tbl[[#This Row],[Dens]]&lt;=825,vp.tbl[[#This Row],[Sulf]]&gt;0.5,vp.tbl[[#This Row],[Unknown]]=0),1,0)</f>
        <v>0</v>
      </c>
      <c r="AA1611">
        <f>IF(AND(vp.tbl[[#This Row],[CrudeType]]="Crude",vp.tbl[[#This Row],[Dens]]&lt;=825,vp.tbl[[#This Row],[Sulf]]&lt;=0.5,vp.tbl[[#This Row],[Unknown]]=0),1,0)</f>
        <v>0</v>
      </c>
      <c r="AB1611">
        <f>IF(AND(vp.tbl[[#This Row],[CrudeType]]="Crude",vp.tbl[[#This Row],[Dens]]&gt;825,vp.tbl[[#This Row],[Dens]]&lt;=870,vp.tbl[[#This Row],[Sulf]]&gt;0.5,vp.tbl[[#This Row],[Unknown]]=0),1,0)</f>
        <v>0</v>
      </c>
      <c r="AC1611">
        <f>IF(AND(vp.tbl[[#This Row],[CrudeType]]="Crude",vp.tbl[[#This Row],[Dens]]&gt;825,vp.tbl[[#This Row],[Dens]]&lt;=900,vp.tbl[[#This Row],[Sulf]]&lt;=0.5,vp.tbl[[#This Row],[Unknown]]=0),1,0)</f>
        <v>0</v>
      </c>
      <c r="AD1611">
        <f>IF(AND(vp.tbl[[#This Row],[CrudeType]]="Crude",vp.tbl[[#This Row],[Dens]]&gt;870,vp.tbl[[#This Row],[Dens]]&lt;=900,vp.tbl[[#This Row],[Sulf]]&gt;0.5,vp.tbl[[#This Row],[Unknown]]=0),1,0)</f>
        <v>0</v>
      </c>
      <c r="AE1611">
        <f>IF(AND(vp.tbl[[#This Row],[CrudeType]]="Crude",vp.tbl[[#This Row],[Dens]]&gt;900,vp.tbl[[#This Row],[Sulf]]&lt;=0.5,vp.tbl[[#This Row],[Unknown]]=0),1,0)</f>
        <v>0</v>
      </c>
      <c r="AF1611">
        <f>IF(AND(vp.tbl[[#This Row],[CrudeType]]="Crude",vp.tbl[[#This Row],[Dens]]&gt;900,vp.tbl[[#This Row],[Sulf]]&lt;=0.5,vp.tbl[[#This Row],[Unknown]]=0),1,0)</f>
        <v>0</v>
      </c>
      <c r="AG1611" t="str">
        <f>INDEX(vp.tbl[[#Headers],[Unknown]:[Heavy_SW]],MATCH(1,vp.tbl[[#This Row],[Unknown]:[Heavy_SW]],0))</f>
        <v>Unknown</v>
      </c>
      <c r="AH1611" t="e">
        <f>INDEX([1]!crudeBD.lkup[Number],MATCH(vp.tbl[[#This Row],[Crude_Breakdown]],[1]!crudeBD.lkup[Crude Breakdown],0))</f>
        <v>#REF!</v>
      </c>
      <c r="AI1611">
        <f>MONTH(vp.tbl[[#This Row],[SDate]])</f>
        <v>6</v>
      </c>
      <c r="AJ1611" s="5" t="str">
        <f>IFERROR(vp.tbl[[#This Row],[Sulf]]*vp.tbl[[#This Row],[Net Dens]],"")</f>
        <v/>
      </c>
      <c r="AK1611" s="5" t="str">
        <f>IFERROR(vp.tbl[[#This Row],[Dens]]*vp.tbl[[#This Row],[VolumeM3]],"")</f>
        <v/>
      </c>
      <c r="AL1611" s="5" t="str">
        <f>IFERROR(vp.tbl[[#This Row],[VP]]*vp.tbl[[#This Row],[VolumeM3]],"")</f>
        <v/>
      </c>
      <c r="AM1611" s="4">
        <f>IFERROR((vp.tbl[[#This Row],[VP]]-INDEX(crudeBD.lkup.complete[Mean_VP],MATCH(vp.tbl[[#This Row],[Crude_Breakdown]],crudeBD.lkup.complete[Crude Breakdown],0)))^2,"")</f>
        <v>58.596927758491717</v>
      </c>
      <c r="AN1611" s="4" t="str">
        <f>IFERROR((vp.tbl[[#This Row],[Dens]]-INDEX(crudeBD.lkup.complete[Mean_Dens],MATCH(vp.tbl[[#This Row],[Crude_Breakdown]],crudeBD.lkup.complete[Crude Breakdown],0)))^2,"")</f>
        <v/>
      </c>
      <c r="AO1611" s="4" t="str">
        <f>IFERROR((vp.tbl[[#This Row],[Sulf]]-INDEX(crudeBD.lkup.complete[Mean_Sulf],MATCH(vp.tbl[[#This Row],[Crude_Breakdown]],crudeBD.lkup.complete[Crude Breakdown],0)))^2,"")</f>
        <v/>
      </c>
      <c r="AP1611">
        <f>IF(AND(vp.tbl[[#This Row],[SDate]]&gt;=DATE(YEAR(vp.tbl[[#This Row],[SDate]]),5,1),vp.tbl[[#This Row],[SDate]]&lt;=DATE(YEAR(vp.tbl[[#This Row],[SDate]]),9,15)),1,0)</f>
        <v>1</v>
      </c>
      <c r="AQ1611" s="15">
        <f>IF(vp.tbl[[#This Row],[SDate]]&lt;DATE(2016,12,1),0,1)</f>
        <v>1</v>
      </c>
    </row>
    <row r="1612" spans="1:43" x14ac:dyDescent="0.25">
      <c r="A1612">
        <v>1611</v>
      </c>
      <c r="B1612" t="s">
        <v>62</v>
      </c>
      <c r="C1612" t="s">
        <v>62</v>
      </c>
      <c r="D1612" t="s">
        <v>79</v>
      </c>
      <c r="F1612" s="1">
        <v>42893</v>
      </c>
      <c r="G1612" s="2">
        <v>81.599999999999994</v>
      </c>
      <c r="H1612" s="2"/>
      <c r="I1612" s="2" t="s">
        <v>310</v>
      </c>
      <c r="J1612" s="2"/>
      <c r="K1612" s="2"/>
      <c r="L1612" s="2"/>
      <c r="M1612" s="2" t="s">
        <v>310</v>
      </c>
      <c r="N1612" s="2">
        <f ca="1">INDEX(INDIRECT(_xlfn.CONCAT("weather.tbl[",N$1,"]")),MATCH(vp.tbl[[#This Row],[SDate]],weather.tbl[Date],0))</f>
        <v>16.900000000000002</v>
      </c>
      <c r="O1612" s="2">
        <f ca="1">INDEX(INDIRECT(_xlfn.CONCAT("weather.tbl[",O$1,"]")),MATCH(vp.tbl[[#This Row],[SDate]],weather.tbl[Date],0))</f>
        <v>18.745238095238097</v>
      </c>
      <c r="P1612" s="2">
        <f ca="1">INDEX(INDIRECT(_xlfn.CONCAT("weather.tbl[",P$1,"]")),MATCH(vp.tbl[[#This Row],[SDate]],weather.tbl[Date],0))</f>
        <v>17.100000000000001</v>
      </c>
      <c r="Q1612" s="2">
        <f ca="1">INDEX(INDIRECT(_xlfn.CONCAT("weather.tbl[",Q$1,"]")),MATCH(vp.tbl[[#This Row],[SDate]],weather.tbl[Date],0))</f>
        <v>15.6</v>
      </c>
      <c r="R1612" s="2">
        <f ca="1">INDEX(INDIRECT(_xlfn.CONCAT("weather.tbl[",R$1,"]")),MATCH(vp.tbl[[#This Row],[SDate]],weather.tbl[Date],0))</f>
        <v>18</v>
      </c>
      <c r="S1612" s="2">
        <f ca="1">INDEX(INDIRECT(_xlfn.CONCAT("weather.tbl[",S$1,"]")),MATCH(vp.tbl[[#This Row],[SDate]],weather.tbl[Date],0))</f>
        <v>15.7</v>
      </c>
      <c r="T1612" s="2">
        <f ca="1">INDEX(INDIRECT(_xlfn.CONCAT("weather.tbl[",T$1,"]")),MATCH(vp.tbl[[#This Row],[SDate]],weather.tbl[Date],0))</f>
        <v>18</v>
      </c>
      <c r="U1612" s="2">
        <f ca="1">INDEX(INDIRECT(_xlfn.CONCAT("weather.tbl[",U$1,"]")),MATCH(vp.tbl[[#This Row],[SDate]],weather.tbl[Date],0))</f>
        <v>17</v>
      </c>
      <c r="V1612" s="2" t="s">
        <v>310</v>
      </c>
      <c r="W1612" t="s">
        <v>48</v>
      </c>
      <c r="X1612">
        <f>IF(OR(vp.tbl[[#This Row],[Sulf]]="",vp.tbl[[#This Row],[Dens]]=""),1,0)</f>
        <v>1</v>
      </c>
      <c r="Y1612">
        <f>IF(vp.tbl[[#This Row],[CrudeType]]="C5+",1,0)</f>
        <v>0</v>
      </c>
      <c r="Z1612">
        <f>IF(AND(vp.tbl[[#This Row],[CrudeType]]="Crude",vp.tbl[[#This Row],[Dens]]&lt;=825,vp.tbl[[#This Row],[Sulf]]&gt;0.5,vp.tbl[[#This Row],[Unknown]]=0),1,0)</f>
        <v>0</v>
      </c>
      <c r="AA1612">
        <f>IF(AND(vp.tbl[[#This Row],[CrudeType]]="Crude",vp.tbl[[#This Row],[Dens]]&lt;=825,vp.tbl[[#This Row],[Sulf]]&lt;=0.5,vp.tbl[[#This Row],[Unknown]]=0),1,0)</f>
        <v>0</v>
      </c>
      <c r="AB1612">
        <f>IF(AND(vp.tbl[[#This Row],[CrudeType]]="Crude",vp.tbl[[#This Row],[Dens]]&gt;825,vp.tbl[[#This Row],[Dens]]&lt;=870,vp.tbl[[#This Row],[Sulf]]&gt;0.5,vp.tbl[[#This Row],[Unknown]]=0),1,0)</f>
        <v>0</v>
      </c>
      <c r="AC1612">
        <f>IF(AND(vp.tbl[[#This Row],[CrudeType]]="Crude",vp.tbl[[#This Row],[Dens]]&gt;825,vp.tbl[[#This Row],[Dens]]&lt;=900,vp.tbl[[#This Row],[Sulf]]&lt;=0.5,vp.tbl[[#This Row],[Unknown]]=0),1,0)</f>
        <v>0</v>
      </c>
      <c r="AD1612">
        <f>IF(AND(vp.tbl[[#This Row],[CrudeType]]="Crude",vp.tbl[[#This Row],[Dens]]&gt;870,vp.tbl[[#This Row],[Dens]]&lt;=900,vp.tbl[[#This Row],[Sulf]]&gt;0.5,vp.tbl[[#This Row],[Unknown]]=0),1,0)</f>
        <v>0</v>
      </c>
      <c r="AE1612">
        <f>IF(AND(vp.tbl[[#This Row],[CrudeType]]="Crude",vp.tbl[[#This Row],[Dens]]&gt;900,vp.tbl[[#This Row],[Sulf]]&lt;=0.5,vp.tbl[[#This Row],[Unknown]]=0),1,0)</f>
        <v>0</v>
      </c>
      <c r="AF1612">
        <f>IF(AND(vp.tbl[[#This Row],[CrudeType]]="Crude",vp.tbl[[#This Row],[Dens]]&gt;900,vp.tbl[[#This Row],[Sulf]]&lt;=0.5,vp.tbl[[#This Row],[Unknown]]=0),1,0)</f>
        <v>0</v>
      </c>
      <c r="AG1612" t="str">
        <f>INDEX(vp.tbl[[#Headers],[Unknown]:[Heavy_SW]],MATCH(1,vp.tbl[[#This Row],[Unknown]:[Heavy_SW]],0))</f>
        <v>Unknown</v>
      </c>
      <c r="AH1612" t="e">
        <f>INDEX([1]!crudeBD.lkup[Number],MATCH(vp.tbl[[#This Row],[Crude_Breakdown]],[1]!crudeBD.lkup[Crude Breakdown],0))</f>
        <v>#REF!</v>
      </c>
      <c r="AI1612">
        <f>MONTH(vp.tbl[[#This Row],[SDate]])</f>
        <v>6</v>
      </c>
      <c r="AJ1612" s="5" t="str">
        <f>IFERROR(vp.tbl[[#This Row],[Sulf]]*vp.tbl[[#This Row],[Net Dens]],"")</f>
        <v/>
      </c>
      <c r="AK1612" s="5" t="str">
        <f>IFERROR(vp.tbl[[#This Row],[Dens]]*vp.tbl[[#This Row],[VolumeM3]],"")</f>
        <v/>
      </c>
      <c r="AL1612" s="5" t="str">
        <f>IFERROR(vp.tbl[[#This Row],[VP]]*vp.tbl[[#This Row],[VolumeM3]],"")</f>
        <v/>
      </c>
      <c r="AM1612" s="4">
        <f>IFERROR((vp.tbl[[#This Row],[VP]]-INDEX(crudeBD.lkup.complete[Mean_VP],MATCH(vp.tbl[[#This Row],[Crude_Breakdown]],crudeBD.lkup.complete[Crude Breakdown],0)))^2,"")</f>
        <v>60.13790036123136</v>
      </c>
      <c r="AN1612" s="4" t="str">
        <f>IFERROR((vp.tbl[[#This Row],[Dens]]-INDEX(crudeBD.lkup.complete[Mean_Dens],MATCH(vp.tbl[[#This Row],[Crude_Breakdown]],crudeBD.lkup.complete[Crude Breakdown],0)))^2,"")</f>
        <v/>
      </c>
      <c r="AO1612" s="4" t="str">
        <f>IFERROR((vp.tbl[[#This Row],[Sulf]]-INDEX(crudeBD.lkup.complete[Mean_Sulf],MATCH(vp.tbl[[#This Row],[Crude_Breakdown]],crudeBD.lkup.complete[Crude Breakdown],0)))^2,"")</f>
        <v/>
      </c>
      <c r="AP1612">
        <f>IF(AND(vp.tbl[[#This Row],[SDate]]&gt;=DATE(YEAR(vp.tbl[[#This Row],[SDate]]),5,1),vp.tbl[[#This Row],[SDate]]&lt;=DATE(YEAR(vp.tbl[[#This Row],[SDate]]),9,15)),1,0)</f>
        <v>1</v>
      </c>
      <c r="AQ1612" s="15">
        <f>IF(vp.tbl[[#This Row],[SDate]]&lt;DATE(2016,12,1),0,1)</f>
        <v>1</v>
      </c>
    </row>
    <row r="1613" spans="1:43" x14ac:dyDescent="0.25">
      <c r="A1613">
        <v>1612</v>
      </c>
      <c r="B1613" t="s">
        <v>62</v>
      </c>
      <c r="C1613" t="s">
        <v>62</v>
      </c>
      <c r="D1613" t="s">
        <v>83</v>
      </c>
      <c r="F1613" s="1">
        <v>42893</v>
      </c>
      <c r="G1613" s="2">
        <v>76.2</v>
      </c>
      <c r="H1613" s="2"/>
      <c r="I1613" s="2" t="s">
        <v>310</v>
      </c>
      <c r="J1613" s="2"/>
      <c r="K1613" s="2"/>
      <c r="L1613" s="2"/>
      <c r="M1613" s="2" t="s">
        <v>310</v>
      </c>
      <c r="N1613" s="2">
        <f ca="1">INDEX(INDIRECT(_xlfn.CONCAT("weather.tbl[",N$1,"]")),MATCH(vp.tbl[[#This Row],[SDate]],weather.tbl[Date],0))</f>
        <v>16.900000000000002</v>
      </c>
      <c r="O1613" s="2">
        <f ca="1">INDEX(INDIRECT(_xlfn.CONCAT("weather.tbl[",O$1,"]")),MATCH(vp.tbl[[#This Row],[SDate]],weather.tbl[Date],0))</f>
        <v>18.745238095238097</v>
      </c>
      <c r="P1613" s="2">
        <f ca="1">INDEX(INDIRECT(_xlfn.CONCAT("weather.tbl[",P$1,"]")),MATCH(vp.tbl[[#This Row],[SDate]],weather.tbl[Date],0))</f>
        <v>17.100000000000001</v>
      </c>
      <c r="Q1613" s="2">
        <f ca="1">INDEX(INDIRECT(_xlfn.CONCAT("weather.tbl[",Q$1,"]")),MATCH(vp.tbl[[#This Row],[SDate]],weather.tbl[Date],0))</f>
        <v>15.6</v>
      </c>
      <c r="R1613" s="2">
        <f ca="1">INDEX(INDIRECT(_xlfn.CONCAT("weather.tbl[",R$1,"]")),MATCH(vp.tbl[[#This Row],[SDate]],weather.tbl[Date],0))</f>
        <v>18</v>
      </c>
      <c r="S1613" s="2">
        <f ca="1">INDEX(INDIRECT(_xlfn.CONCAT("weather.tbl[",S$1,"]")),MATCH(vp.tbl[[#This Row],[SDate]],weather.tbl[Date],0))</f>
        <v>15.7</v>
      </c>
      <c r="T1613" s="2">
        <f ca="1">INDEX(INDIRECT(_xlfn.CONCAT("weather.tbl[",T$1,"]")),MATCH(vp.tbl[[#This Row],[SDate]],weather.tbl[Date],0))</f>
        <v>18</v>
      </c>
      <c r="U1613" s="2">
        <f ca="1">INDEX(INDIRECT(_xlfn.CONCAT("weather.tbl[",U$1,"]")),MATCH(vp.tbl[[#This Row],[SDate]],weather.tbl[Date],0))</f>
        <v>17</v>
      </c>
      <c r="V1613" s="2" t="s">
        <v>310</v>
      </c>
      <c r="W1613" t="s">
        <v>48</v>
      </c>
      <c r="X1613">
        <f>IF(OR(vp.tbl[[#This Row],[Sulf]]="",vp.tbl[[#This Row],[Dens]]=""),1,0)</f>
        <v>1</v>
      </c>
      <c r="Y1613">
        <f>IF(vp.tbl[[#This Row],[CrudeType]]="C5+",1,0)</f>
        <v>0</v>
      </c>
      <c r="Z1613">
        <f>IF(AND(vp.tbl[[#This Row],[CrudeType]]="Crude",vp.tbl[[#This Row],[Dens]]&lt;=825,vp.tbl[[#This Row],[Sulf]]&gt;0.5,vp.tbl[[#This Row],[Unknown]]=0),1,0)</f>
        <v>0</v>
      </c>
      <c r="AA1613">
        <f>IF(AND(vp.tbl[[#This Row],[CrudeType]]="Crude",vp.tbl[[#This Row],[Dens]]&lt;=825,vp.tbl[[#This Row],[Sulf]]&lt;=0.5,vp.tbl[[#This Row],[Unknown]]=0),1,0)</f>
        <v>0</v>
      </c>
      <c r="AB1613">
        <f>IF(AND(vp.tbl[[#This Row],[CrudeType]]="Crude",vp.tbl[[#This Row],[Dens]]&gt;825,vp.tbl[[#This Row],[Dens]]&lt;=870,vp.tbl[[#This Row],[Sulf]]&gt;0.5,vp.tbl[[#This Row],[Unknown]]=0),1,0)</f>
        <v>0</v>
      </c>
      <c r="AC1613">
        <f>IF(AND(vp.tbl[[#This Row],[CrudeType]]="Crude",vp.tbl[[#This Row],[Dens]]&gt;825,vp.tbl[[#This Row],[Dens]]&lt;=900,vp.tbl[[#This Row],[Sulf]]&lt;=0.5,vp.tbl[[#This Row],[Unknown]]=0),1,0)</f>
        <v>0</v>
      </c>
      <c r="AD1613">
        <f>IF(AND(vp.tbl[[#This Row],[CrudeType]]="Crude",vp.tbl[[#This Row],[Dens]]&gt;870,vp.tbl[[#This Row],[Dens]]&lt;=900,vp.tbl[[#This Row],[Sulf]]&gt;0.5,vp.tbl[[#This Row],[Unknown]]=0),1,0)</f>
        <v>0</v>
      </c>
      <c r="AE1613">
        <f>IF(AND(vp.tbl[[#This Row],[CrudeType]]="Crude",vp.tbl[[#This Row],[Dens]]&gt;900,vp.tbl[[#This Row],[Sulf]]&lt;=0.5,vp.tbl[[#This Row],[Unknown]]=0),1,0)</f>
        <v>0</v>
      </c>
      <c r="AF1613">
        <f>IF(AND(vp.tbl[[#This Row],[CrudeType]]="Crude",vp.tbl[[#This Row],[Dens]]&gt;900,vp.tbl[[#This Row],[Sulf]]&lt;=0.5,vp.tbl[[#This Row],[Unknown]]=0),1,0)</f>
        <v>0</v>
      </c>
      <c r="AG1613" t="str">
        <f>INDEX(vp.tbl[[#Headers],[Unknown]:[Heavy_SW]],MATCH(1,vp.tbl[[#This Row],[Unknown]:[Heavy_SW]],0))</f>
        <v>Unknown</v>
      </c>
      <c r="AH1613" t="e">
        <f>INDEX([1]!crudeBD.lkup[Number],MATCH(vp.tbl[[#This Row],[Crude_Breakdown]],[1]!crudeBD.lkup[Crude Breakdown],0))</f>
        <v>#REF!</v>
      </c>
      <c r="AI1613">
        <f>MONTH(vp.tbl[[#This Row],[SDate]])</f>
        <v>6</v>
      </c>
      <c r="AJ1613" s="5" t="str">
        <f>IFERROR(vp.tbl[[#This Row],[Sulf]]*vp.tbl[[#This Row],[Net Dens]],"")</f>
        <v/>
      </c>
      <c r="AK1613" s="5" t="str">
        <f>IFERROR(vp.tbl[[#This Row],[Dens]]*vp.tbl[[#This Row],[VolumeM3]],"")</f>
        <v/>
      </c>
      <c r="AL1613" s="5" t="str">
        <f>IFERROR(vp.tbl[[#This Row],[VP]]*vp.tbl[[#This Row],[VolumeM3]],"")</f>
        <v/>
      </c>
      <c r="AM1613" s="4">
        <f>IFERROR((vp.tbl[[#This Row],[VP]]-INDEX(crudeBD.lkup.complete[Mean_VP],MATCH(vp.tbl[[#This Row],[Crude_Breakdown]],crudeBD.lkup.complete[Crude Breakdown],0)))^2,"")</f>
        <v>5.5453798132859431</v>
      </c>
      <c r="AN1613" s="4" t="str">
        <f>IFERROR((vp.tbl[[#This Row],[Dens]]-INDEX(crudeBD.lkup.complete[Mean_Dens],MATCH(vp.tbl[[#This Row],[Crude_Breakdown]],crudeBD.lkup.complete[Crude Breakdown],0)))^2,"")</f>
        <v/>
      </c>
      <c r="AO1613" s="4" t="str">
        <f>IFERROR((vp.tbl[[#This Row],[Sulf]]-INDEX(crudeBD.lkup.complete[Mean_Sulf],MATCH(vp.tbl[[#This Row],[Crude_Breakdown]],crudeBD.lkup.complete[Crude Breakdown],0)))^2,"")</f>
        <v/>
      </c>
      <c r="AP1613">
        <f>IF(AND(vp.tbl[[#This Row],[SDate]]&gt;=DATE(YEAR(vp.tbl[[#This Row],[SDate]]),5,1),vp.tbl[[#This Row],[SDate]]&lt;=DATE(YEAR(vp.tbl[[#This Row],[SDate]]),9,15)),1,0)</f>
        <v>1</v>
      </c>
      <c r="AQ1613" s="15">
        <f>IF(vp.tbl[[#This Row],[SDate]]&lt;DATE(2016,12,1),0,1)</f>
        <v>1</v>
      </c>
    </row>
    <row r="1614" spans="1:43" x14ac:dyDescent="0.25">
      <c r="A1614">
        <v>1613</v>
      </c>
      <c r="B1614" t="s">
        <v>62</v>
      </c>
      <c r="C1614" t="s">
        <v>62</v>
      </c>
      <c r="D1614" t="s">
        <v>87</v>
      </c>
      <c r="F1614" s="1">
        <v>42893</v>
      </c>
      <c r="G1614" s="2">
        <v>96.7</v>
      </c>
      <c r="H1614" s="2"/>
      <c r="I1614" s="2" t="s">
        <v>310</v>
      </c>
      <c r="J1614" s="2"/>
      <c r="K1614" s="2"/>
      <c r="L1614" s="2"/>
      <c r="M1614" s="2" t="s">
        <v>310</v>
      </c>
      <c r="N1614" s="2">
        <f ca="1">INDEX(INDIRECT(_xlfn.CONCAT("weather.tbl[",N$1,"]")),MATCH(vp.tbl[[#This Row],[SDate]],weather.tbl[Date],0))</f>
        <v>16.900000000000002</v>
      </c>
      <c r="O1614" s="2">
        <f ca="1">INDEX(INDIRECT(_xlfn.CONCAT("weather.tbl[",O$1,"]")),MATCH(vp.tbl[[#This Row],[SDate]],weather.tbl[Date],0))</f>
        <v>18.745238095238097</v>
      </c>
      <c r="P1614" s="2">
        <f ca="1">INDEX(INDIRECT(_xlfn.CONCAT("weather.tbl[",P$1,"]")),MATCH(vp.tbl[[#This Row],[SDate]],weather.tbl[Date],0))</f>
        <v>17.100000000000001</v>
      </c>
      <c r="Q1614" s="2">
        <f ca="1">INDEX(INDIRECT(_xlfn.CONCAT("weather.tbl[",Q$1,"]")),MATCH(vp.tbl[[#This Row],[SDate]],weather.tbl[Date],0))</f>
        <v>15.6</v>
      </c>
      <c r="R1614" s="2">
        <f ca="1">INDEX(INDIRECT(_xlfn.CONCAT("weather.tbl[",R$1,"]")),MATCH(vp.tbl[[#This Row],[SDate]],weather.tbl[Date],0))</f>
        <v>18</v>
      </c>
      <c r="S1614" s="2">
        <f ca="1">INDEX(INDIRECT(_xlfn.CONCAT("weather.tbl[",S$1,"]")),MATCH(vp.tbl[[#This Row],[SDate]],weather.tbl[Date],0))</f>
        <v>15.7</v>
      </c>
      <c r="T1614" s="2">
        <f ca="1">INDEX(INDIRECT(_xlfn.CONCAT("weather.tbl[",T$1,"]")),MATCH(vp.tbl[[#This Row],[SDate]],weather.tbl[Date],0))</f>
        <v>18</v>
      </c>
      <c r="U1614" s="2">
        <f ca="1">INDEX(INDIRECT(_xlfn.CONCAT("weather.tbl[",U$1,"]")),MATCH(vp.tbl[[#This Row],[SDate]],weather.tbl[Date],0))</f>
        <v>17</v>
      </c>
      <c r="V1614" s="2" t="s">
        <v>310</v>
      </c>
      <c r="W1614" t="s">
        <v>48</v>
      </c>
      <c r="X1614">
        <f>IF(OR(vp.tbl[[#This Row],[Sulf]]="",vp.tbl[[#This Row],[Dens]]=""),1,0)</f>
        <v>1</v>
      </c>
      <c r="Y1614">
        <f>IF(vp.tbl[[#This Row],[CrudeType]]="C5+",1,0)</f>
        <v>0</v>
      </c>
      <c r="Z1614">
        <f>IF(AND(vp.tbl[[#This Row],[CrudeType]]="Crude",vp.tbl[[#This Row],[Dens]]&lt;=825,vp.tbl[[#This Row],[Sulf]]&gt;0.5,vp.tbl[[#This Row],[Unknown]]=0),1,0)</f>
        <v>0</v>
      </c>
      <c r="AA1614">
        <f>IF(AND(vp.tbl[[#This Row],[CrudeType]]="Crude",vp.tbl[[#This Row],[Dens]]&lt;=825,vp.tbl[[#This Row],[Sulf]]&lt;=0.5,vp.tbl[[#This Row],[Unknown]]=0),1,0)</f>
        <v>0</v>
      </c>
      <c r="AB1614">
        <f>IF(AND(vp.tbl[[#This Row],[CrudeType]]="Crude",vp.tbl[[#This Row],[Dens]]&gt;825,vp.tbl[[#This Row],[Dens]]&lt;=870,vp.tbl[[#This Row],[Sulf]]&gt;0.5,vp.tbl[[#This Row],[Unknown]]=0),1,0)</f>
        <v>0</v>
      </c>
      <c r="AC1614">
        <f>IF(AND(vp.tbl[[#This Row],[CrudeType]]="Crude",vp.tbl[[#This Row],[Dens]]&gt;825,vp.tbl[[#This Row],[Dens]]&lt;=900,vp.tbl[[#This Row],[Sulf]]&lt;=0.5,vp.tbl[[#This Row],[Unknown]]=0),1,0)</f>
        <v>0</v>
      </c>
      <c r="AD1614">
        <f>IF(AND(vp.tbl[[#This Row],[CrudeType]]="Crude",vp.tbl[[#This Row],[Dens]]&gt;870,vp.tbl[[#This Row],[Dens]]&lt;=900,vp.tbl[[#This Row],[Sulf]]&gt;0.5,vp.tbl[[#This Row],[Unknown]]=0),1,0)</f>
        <v>0</v>
      </c>
      <c r="AE1614">
        <f>IF(AND(vp.tbl[[#This Row],[CrudeType]]="Crude",vp.tbl[[#This Row],[Dens]]&gt;900,vp.tbl[[#This Row],[Sulf]]&lt;=0.5,vp.tbl[[#This Row],[Unknown]]=0),1,0)</f>
        <v>0</v>
      </c>
      <c r="AF1614">
        <f>IF(AND(vp.tbl[[#This Row],[CrudeType]]="Crude",vp.tbl[[#This Row],[Dens]]&gt;900,vp.tbl[[#This Row],[Sulf]]&lt;=0.5,vp.tbl[[#This Row],[Unknown]]=0),1,0)</f>
        <v>0</v>
      </c>
      <c r="AG1614" t="str">
        <f>INDEX(vp.tbl[[#Headers],[Unknown]:[Heavy_SW]],MATCH(1,vp.tbl[[#This Row],[Unknown]:[Heavy_SW]],0))</f>
        <v>Unknown</v>
      </c>
      <c r="AH1614" t="e">
        <f>INDEX([1]!crudeBD.lkup[Number],MATCH(vp.tbl[[#This Row],[Crude_Breakdown]],[1]!crudeBD.lkup[Crude Breakdown],0))</f>
        <v>#REF!</v>
      </c>
      <c r="AI1614">
        <f>MONTH(vp.tbl[[#This Row],[SDate]])</f>
        <v>6</v>
      </c>
      <c r="AJ1614" s="5" t="str">
        <f>IFERROR(vp.tbl[[#This Row],[Sulf]]*vp.tbl[[#This Row],[Net Dens]],"")</f>
        <v/>
      </c>
      <c r="AK1614" s="5" t="str">
        <f>IFERROR(vp.tbl[[#This Row],[Dens]]*vp.tbl[[#This Row],[VolumeM3]],"")</f>
        <v/>
      </c>
      <c r="AL1614" s="5" t="str">
        <f>IFERROR(vp.tbl[[#This Row],[VP]]*vp.tbl[[#This Row],[VolumeM3]],"")</f>
        <v/>
      </c>
      <c r="AM1614" s="4">
        <f>IFERROR((vp.tbl[[#This Row],[VP]]-INDEX(crudeBD.lkup.complete[Mean_VP],MATCH(vp.tbl[[#This Row],[Crude_Breakdown]],crudeBD.lkup.complete[Crude Breakdown],0)))^2,"")</f>
        <v>522.34476337493106</v>
      </c>
      <c r="AN1614" s="4" t="str">
        <f>IFERROR((vp.tbl[[#This Row],[Dens]]-INDEX(crudeBD.lkup.complete[Mean_Dens],MATCH(vp.tbl[[#This Row],[Crude_Breakdown]],crudeBD.lkup.complete[Crude Breakdown],0)))^2,"")</f>
        <v/>
      </c>
      <c r="AO1614" s="4" t="str">
        <f>IFERROR((vp.tbl[[#This Row],[Sulf]]-INDEX(crudeBD.lkup.complete[Mean_Sulf],MATCH(vp.tbl[[#This Row],[Crude_Breakdown]],crudeBD.lkup.complete[Crude Breakdown],0)))^2,"")</f>
        <v/>
      </c>
      <c r="AP1614">
        <f>IF(AND(vp.tbl[[#This Row],[SDate]]&gt;=DATE(YEAR(vp.tbl[[#This Row],[SDate]]),5,1),vp.tbl[[#This Row],[SDate]]&lt;=DATE(YEAR(vp.tbl[[#This Row],[SDate]]),9,15)),1,0)</f>
        <v>1</v>
      </c>
      <c r="AQ1614" s="15">
        <f>IF(vp.tbl[[#This Row],[SDate]]&lt;DATE(2016,12,1),0,1)</f>
        <v>1</v>
      </c>
    </row>
    <row r="1615" spans="1:43" x14ac:dyDescent="0.25">
      <c r="A1615">
        <v>1614</v>
      </c>
      <c r="B1615" t="s">
        <v>68</v>
      </c>
      <c r="C1615" t="s">
        <v>68</v>
      </c>
      <c r="D1615" t="s">
        <v>69</v>
      </c>
      <c r="F1615" s="1">
        <v>42893</v>
      </c>
      <c r="G1615" s="2">
        <v>66.5</v>
      </c>
      <c r="H1615" s="2"/>
      <c r="I1615" s="2" t="s">
        <v>310</v>
      </c>
      <c r="J1615" s="2"/>
      <c r="K1615" s="2"/>
      <c r="L1615" s="2"/>
      <c r="M1615" s="2" t="s">
        <v>310</v>
      </c>
      <c r="N1615" s="2">
        <f ca="1">INDEX(INDIRECT(_xlfn.CONCAT("weather.tbl[",N$1,"]")),MATCH(vp.tbl[[#This Row],[SDate]],weather.tbl[Date],0))</f>
        <v>16.900000000000002</v>
      </c>
      <c r="O1615" s="2">
        <f ca="1">INDEX(INDIRECT(_xlfn.CONCAT("weather.tbl[",O$1,"]")),MATCH(vp.tbl[[#This Row],[SDate]],weather.tbl[Date],0))</f>
        <v>18.745238095238097</v>
      </c>
      <c r="P1615" s="2">
        <f ca="1">INDEX(INDIRECT(_xlfn.CONCAT("weather.tbl[",P$1,"]")),MATCH(vp.tbl[[#This Row],[SDate]],weather.tbl[Date],0))</f>
        <v>17.100000000000001</v>
      </c>
      <c r="Q1615" s="2">
        <f ca="1">INDEX(INDIRECT(_xlfn.CONCAT("weather.tbl[",Q$1,"]")),MATCH(vp.tbl[[#This Row],[SDate]],weather.tbl[Date],0))</f>
        <v>15.6</v>
      </c>
      <c r="R1615" s="2">
        <f ca="1">INDEX(INDIRECT(_xlfn.CONCAT("weather.tbl[",R$1,"]")),MATCH(vp.tbl[[#This Row],[SDate]],weather.tbl[Date],0))</f>
        <v>18</v>
      </c>
      <c r="S1615" s="2">
        <f ca="1">INDEX(INDIRECT(_xlfn.CONCAT("weather.tbl[",S$1,"]")),MATCH(vp.tbl[[#This Row],[SDate]],weather.tbl[Date],0))</f>
        <v>15.7</v>
      </c>
      <c r="T1615" s="2">
        <f ca="1">INDEX(INDIRECT(_xlfn.CONCAT("weather.tbl[",T$1,"]")),MATCH(vp.tbl[[#This Row],[SDate]],weather.tbl[Date],0))</f>
        <v>18</v>
      </c>
      <c r="U1615" s="2">
        <f ca="1">INDEX(INDIRECT(_xlfn.CONCAT("weather.tbl[",U$1,"]")),MATCH(vp.tbl[[#This Row],[SDate]],weather.tbl[Date],0))</f>
        <v>17</v>
      </c>
      <c r="V1615" s="2" t="s">
        <v>310</v>
      </c>
      <c r="W1615" t="s">
        <v>48</v>
      </c>
      <c r="X1615">
        <f>IF(OR(vp.tbl[[#This Row],[Sulf]]="",vp.tbl[[#This Row],[Dens]]=""),1,0)</f>
        <v>1</v>
      </c>
      <c r="Y1615">
        <f>IF(vp.tbl[[#This Row],[CrudeType]]="C5+",1,0)</f>
        <v>0</v>
      </c>
      <c r="Z1615">
        <f>IF(AND(vp.tbl[[#This Row],[CrudeType]]="Crude",vp.tbl[[#This Row],[Dens]]&lt;=825,vp.tbl[[#This Row],[Sulf]]&gt;0.5,vp.tbl[[#This Row],[Unknown]]=0),1,0)</f>
        <v>0</v>
      </c>
      <c r="AA1615">
        <f>IF(AND(vp.tbl[[#This Row],[CrudeType]]="Crude",vp.tbl[[#This Row],[Dens]]&lt;=825,vp.tbl[[#This Row],[Sulf]]&lt;=0.5,vp.tbl[[#This Row],[Unknown]]=0),1,0)</f>
        <v>0</v>
      </c>
      <c r="AB1615">
        <f>IF(AND(vp.tbl[[#This Row],[CrudeType]]="Crude",vp.tbl[[#This Row],[Dens]]&gt;825,vp.tbl[[#This Row],[Dens]]&lt;=870,vp.tbl[[#This Row],[Sulf]]&gt;0.5,vp.tbl[[#This Row],[Unknown]]=0),1,0)</f>
        <v>0</v>
      </c>
      <c r="AC1615">
        <f>IF(AND(vp.tbl[[#This Row],[CrudeType]]="Crude",vp.tbl[[#This Row],[Dens]]&gt;825,vp.tbl[[#This Row],[Dens]]&lt;=900,vp.tbl[[#This Row],[Sulf]]&lt;=0.5,vp.tbl[[#This Row],[Unknown]]=0),1,0)</f>
        <v>0</v>
      </c>
      <c r="AD1615">
        <f>IF(AND(vp.tbl[[#This Row],[CrudeType]]="Crude",vp.tbl[[#This Row],[Dens]]&gt;870,vp.tbl[[#This Row],[Dens]]&lt;=900,vp.tbl[[#This Row],[Sulf]]&gt;0.5,vp.tbl[[#This Row],[Unknown]]=0),1,0)</f>
        <v>0</v>
      </c>
      <c r="AE1615">
        <f>IF(AND(vp.tbl[[#This Row],[CrudeType]]="Crude",vp.tbl[[#This Row],[Dens]]&gt;900,vp.tbl[[#This Row],[Sulf]]&lt;=0.5,vp.tbl[[#This Row],[Unknown]]=0),1,0)</f>
        <v>0</v>
      </c>
      <c r="AF1615">
        <f>IF(AND(vp.tbl[[#This Row],[CrudeType]]="Crude",vp.tbl[[#This Row],[Dens]]&gt;900,vp.tbl[[#This Row],[Sulf]]&lt;=0.5,vp.tbl[[#This Row],[Unknown]]=0),1,0)</f>
        <v>0</v>
      </c>
      <c r="AG1615" t="str">
        <f>INDEX(vp.tbl[[#Headers],[Unknown]:[Heavy_SW]],MATCH(1,vp.tbl[[#This Row],[Unknown]:[Heavy_SW]],0))</f>
        <v>Unknown</v>
      </c>
      <c r="AH1615" t="e">
        <f>INDEX([1]!crudeBD.lkup[Number],MATCH(vp.tbl[[#This Row],[Crude_Breakdown]],[1]!crudeBD.lkup[Crude Breakdown],0))</f>
        <v>#REF!</v>
      </c>
      <c r="AI1615">
        <f>MONTH(vp.tbl[[#This Row],[SDate]])</f>
        <v>6</v>
      </c>
      <c r="AJ1615" s="5" t="str">
        <f>IFERROR(vp.tbl[[#This Row],[Sulf]]*vp.tbl[[#This Row],[Net Dens]],"")</f>
        <v/>
      </c>
      <c r="AK1615" s="5" t="str">
        <f>IFERROR(vp.tbl[[#This Row],[Dens]]*vp.tbl[[#This Row],[VolumeM3]],"")</f>
        <v/>
      </c>
      <c r="AL1615" s="5" t="str">
        <f>IFERROR(vp.tbl[[#This Row],[VP]]*vp.tbl[[#This Row],[VolumeM3]],"")</f>
        <v/>
      </c>
      <c r="AM1615" s="4">
        <f>IFERROR((vp.tbl[[#This Row],[VP]]-INDEX(crudeBD.lkup.complete[Mean_VP],MATCH(vp.tbl[[#This Row],[Crude_Breakdown]],crudeBD.lkup.complete[Crude Breakdown],0)))^2,"")</f>
        <v>53.951037347531951</v>
      </c>
      <c r="AN1615" s="4" t="str">
        <f>IFERROR((vp.tbl[[#This Row],[Dens]]-INDEX(crudeBD.lkup.complete[Mean_Dens],MATCH(vp.tbl[[#This Row],[Crude_Breakdown]],crudeBD.lkup.complete[Crude Breakdown],0)))^2,"")</f>
        <v/>
      </c>
      <c r="AO1615" s="4" t="str">
        <f>IFERROR((vp.tbl[[#This Row],[Sulf]]-INDEX(crudeBD.lkup.complete[Mean_Sulf],MATCH(vp.tbl[[#This Row],[Crude_Breakdown]],crudeBD.lkup.complete[Crude Breakdown],0)))^2,"")</f>
        <v/>
      </c>
      <c r="AP1615">
        <f>IF(AND(vp.tbl[[#This Row],[SDate]]&gt;=DATE(YEAR(vp.tbl[[#This Row],[SDate]]),5,1),vp.tbl[[#This Row],[SDate]]&lt;=DATE(YEAR(vp.tbl[[#This Row],[SDate]]),9,15)),1,0)</f>
        <v>1</v>
      </c>
      <c r="AQ1615" s="15">
        <f>IF(vp.tbl[[#This Row],[SDate]]&lt;DATE(2016,12,1),0,1)</f>
        <v>1</v>
      </c>
    </row>
    <row r="1616" spans="1:43" x14ac:dyDescent="0.25">
      <c r="A1616">
        <v>1615</v>
      </c>
      <c r="B1616" t="s">
        <v>68</v>
      </c>
      <c r="C1616" t="s">
        <v>68</v>
      </c>
      <c r="D1616" t="s">
        <v>98</v>
      </c>
      <c r="F1616" s="1">
        <v>42893</v>
      </c>
      <c r="G1616" s="2">
        <v>61.2</v>
      </c>
      <c r="H1616" s="2"/>
      <c r="I1616" s="2" t="s">
        <v>310</v>
      </c>
      <c r="J1616" s="2"/>
      <c r="K1616" s="2"/>
      <c r="L1616" s="2"/>
      <c r="M1616" s="2" t="s">
        <v>310</v>
      </c>
      <c r="N1616" s="2">
        <f ca="1">INDEX(INDIRECT(_xlfn.CONCAT("weather.tbl[",N$1,"]")),MATCH(vp.tbl[[#This Row],[SDate]],weather.tbl[Date],0))</f>
        <v>16.900000000000002</v>
      </c>
      <c r="O1616" s="2">
        <f ca="1">INDEX(INDIRECT(_xlfn.CONCAT("weather.tbl[",O$1,"]")),MATCH(vp.tbl[[#This Row],[SDate]],weather.tbl[Date],0))</f>
        <v>18.745238095238097</v>
      </c>
      <c r="P1616" s="2">
        <f ca="1">INDEX(INDIRECT(_xlfn.CONCAT("weather.tbl[",P$1,"]")),MATCH(vp.tbl[[#This Row],[SDate]],weather.tbl[Date],0))</f>
        <v>17.100000000000001</v>
      </c>
      <c r="Q1616" s="2">
        <f ca="1">INDEX(INDIRECT(_xlfn.CONCAT("weather.tbl[",Q$1,"]")),MATCH(vp.tbl[[#This Row],[SDate]],weather.tbl[Date],0))</f>
        <v>15.6</v>
      </c>
      <c r="R1616" s="2">
        <f ca="1">INDEX(INDIRECT(_xlfn.CONCAT("weather.tbl[",R$1,"]")),MATCH(vp.tbl[[#This Row],[SDate]],weather.tbl[Date],0))</f>
        <v>18</v>
      </c>
      <c r="S1616" s="2">
        <f ca="1">INDEX(INDIRECT(_xlfn.CONCAT("weather.tbl[",S$1,"]")),MATCH(vp.tbl[[#This Row],[SDate]],weather.tbl[Date],0))</f>
        <v>15.7</v>
      </c>
      <c r="T1616" s="2">
        <f ca="1">INDEX(INDIRECT(_xlfn.CONCAT("weather.tbl[",T$1,"]")),MATCH(vp.tbl[[#This Row],[SDate]],weather.tbl[Date],0))</f>
        <v>18</v>
      </c>
      <c r="U1616" s="2">
        <f ca="1">INDEX(INDIRECT(_xlfn.CONCAT("weather.tbl[",U$1,"]")),MATCH(vp.tbl[[#This Row],[SDate]],weather.tbl[Date],0))</f>
        <v>17</v>
      </c>
      <c r="V1616" s="2" t="s">
        <v>310</v>
      </c>
      <c r="W1616" t="s">
        <v>48</v>
      </c>
      <c r="X1616">
        <f>IF(OR(vp.tbl[[#This Row],[Sulf]]="",vp.tbl[[#This Row],[Dens]]=""),1,0)</f>
        <v>1</v>
      </c>
      <c r="Y1616">
        <f>IF(vp.tbl[[#This Row],[CrudeType]]="C5+",1,0)</f>
        <v>0</v>
      </c>
      <c r="Z1616">
        <f>IF(AND(vp.tbl[[#This Row],[CrudeType]]="Crude",vp.tbl[[#This Row],[Dens]]&lt;=825,vp.tbl[[#This Row],[Sulf]]&gt;0.5,vp.tbl[[#This Row],[Unknown]]=0),1,0)</f>
        <v>0</v>
      </c>
      <c r="AA1616">
        <f>IF(AND(vp.tbl[[#This Row],[CrudeType]]="Crude",vp.tbl[[#This Row],[Dens]]&lt;=825,vp.tbl[[#This Row],[Sulf]]&lt;=0.5,vp.tbl[[#This Row],[Unknown]]=0),1,0)</f>
        <v>0</v>
      </c>
      <c r="AB1616">
        <f>IF(AND(vp.tbl[[#This Row],[CrudeType]]="Crude",vp.tbl[[#This Row],[Dens]]&gt;825,vp.tbl[[#This Row],[Dens]]&lt;=870,vp.tbl[[#This Row],[Sulf]]&gt;0.5,vp.tbl[[#This Row],[Unknown]]=0),1,0)</f>
        <v>0</v>
      </c>
      <c r="AC1616">
        <f>IF(AND(vp.tbl[[#This Row],[CrudeType]]="Crude",vp.tbl[[#This Row],[Dens]]&gt;825,vp.tbl[[#This Row],[Dens]]&lt;=900,vp.tbl[[#This Row],[Sulf]]&lt;=0.5,vp.tbl[[#This Row],[Unknown]]=0),1,0)</f>
        <v>0</v>
      </c>
      <c r="AD1616">
        <f>IF(AND(vp.tbl[[#This Row],[CrudeType]]="Crude",vp.tbl[[#This Row],[Dens]]&gt;870,vp.tbl[[#This Row],[Dens]]&lt;=900,vp.tbl[[#This Row],[Sulf]]&gt;0.5,vp.tbl[[#This Row],[Unknown]]=0),1,0)</f>
        <v>0</v>
      </c>
      <c r="AE1616">
        <f>IF(AND(vp.tbl[[#This Row],[CrudeType]]="Crude",vp.tbl[[#This Row],[Dens]]&gt;900,vp.tbl[[#This Row],[Sulf]]&lt;=0.5,vp.tbl[[#This Row],[Unknown]]=0),1,0)</f>
        <v>0</v>
      </c>
      <c r="AF1616">
        <f>IF(AND(vp.tbl[[#This Row],[CrudeType]]="Crude",vp.tbl[[#This Row],[Dens]]&gt;900,vp.tbl[[#This Row],[Sulf]]&lt;=0.5,vp.tbl[[#This Row],[Unknown]]=0),1,0)</f>
        <v>0</v>
      </c>
      <c r="AG1616" t="str">
        <f>INDEX(vp.tbl[[#Headers],[Unknown]:[Heavy_SW]],MATCH(1,vp.tbl[[#This Row],[Unknown]:[Heavy_SW]],0))</f>
        <v>Unknown</v>
      </c>
      <c r="AH1616" t="e">
        <f>INDEX([1]!crudeBD.lkup[Number],MATCH(vp.tbl[[#This Row],[Crude_Breakdown]],[1]!crudeBD.lkup[Crude Breakdown],0))</f>
        <v>#REF!</v>
      </c>
      <c r="AI1616">
        <f>MONTH(vp.tbl[[#This Row],[SDate]])</f>
        <v>6</v>
      </c>
      <c r="AJ1616" s="5" t="str">
        <f>IFERROR(vp.tbl[[#This Row],[Sulf]]*vp.tbl[[#This Row],[Net Dens]],"")</f>
        <v/>
      </c>
      <c r="AK1616" s="5" t="str">
        <f>IFERROR(vp.tbl[[#This Row],[Dens]]*vp.tbl[[#This Row],[VolumeM3]],"")</f>
        <v/>
      </c>
      <c r="AL1616" s="5" t="str">
        <f>IFERROR(vp.tbl[[#This Row],[VP]]*vp.tbl[[#This Row],[VolumeM3]],"")</f>
        <v/>
      </c>
      <c r="AM1616" s="4">
        <f>IFERROR((vp.tbl[[#This Row],[VP]]-INDEX(crudeBD.lkup.complete[Mean_VP],MATCH(vp.tbl[[#This Row],[Crude_Breakdown]],crudeBD.lkup.complete[Crude Breakdown],0)))^2,"")</f>
        <v>159.89948940232608</v>
      </c>
      <c r="AN1616" s="4" t="str">
        <f>IFERROR((vp.tbl[[#This Row],[Dens]]-INDEX(crudeBD.lkup.complete[Mean_Dens],MATCH(vp.tbl[[#This Row],[Crude_Breakdown]],crudeBD.lkup.complete[Crude Breakdown],0)))^2,"")</f>
        <v/>
      </c>
      <c r="AO1616" s="4" t="str">
        <f>IFERROR((vp.tbl[[#This Row],[Sulf]]-INDEX(crudeBD.lkup.complete[Mean_Sulf],MATCH(vp.tbl[[#This Row],[Crude_Breakdown]],crudeBD.lkup.complete[Crude Breakdown],0)))^2,"")</f>
        <v/>
      </c>
      <c r="AP1616">
        <f>IF(AND(vp.tbl[[#This Row],[SDate]]&gt;=DATE(YEAR(vp.tbl[[#This Row],[SDate]]),5,1),vp.tbl[[#This Row],[SDate]]&lt;=DATE(YEAR(vp.tbl[[#This Row],[SDate]]),9,15)),1,0)</f>
        <v>1</v>
      </c>
      <c r="AQ1616" s="15">
        <f>IF(vp.tbl[[#This Row],[SDate]]&lt;DATE(2016,12,1),0,1)</f>
        <v>1</v>
      </c>
    </row>
    <row r="1617" spans="1:43" x14ac:dyDescent="0.25">
      <c r="A1617">
        <v>1616</v>
      </c>
      <c r="B1617" t="s">
        <v>292</v>
      </c>
      <c r="C1617" t="s">
        <v>292</v>
      </c>
      <c r="D1617" t="s">
        <v>57</v>
      </c>
      <c r="F1617" s="1">
        <v>42893</v>
      </c>
      <c r="G1617" s="2">
        <v>72.5</v>
      </c>
      <c r="H1617" s="2"/>
      <c r="I1617" s="2" t="s">
        <v>310</v>
      </c>
      <c r="J1617" s="2"/>
      <c r="K1617" s="2"/>
      <c r="L1617" s="2"/>
      <c r="M1617" s="2" t="s">
        <v>310</v>
      </c>
      <c r="N1617" s="2">
        <f ca="1">INDEX(INDIRECT(_xlfn.CONCAT("weather.tbl[",N$1,"]")),MATCH(vp.tbl[[#This Row],[SDate]],weather.tbl[Date],0))</f>
        <v>16.900000000000002</v>
      </c>
      <c r="O1617" s="2">
        <f ca="1">INDEX(INDIRECT(_xlfn.CONCAT("weather.tbl[",O$1,"]")),MATCH(vp.tbl[[#This Row],[SDate]],weather.tbl[Date],0))</f>
        <v>18.745238095238097</v>
      </c>
      <c r="P1617" s="2">
        <f ca="1">INDEX(INDIRECT(_xlfn.CONCAT("weather.tbl[",P$1,"]")),MATCH(vp.tbl[[#This Row],[SDate]],weather.tbl[Date],0))</f>
        <v>17.100000000000001</v>
      </c>
      <c r="Q1617" s="2">
        <f ca="1">INDEX(INDIRECT(_xlfn.CONCAT("weather.tbl[",Q$1,"]")),MATCH(vp.tbl[[#This Row],[SDate]],weather.tbl[Date],0))</f>
        <v>15.6</v>
      </c>
      <c r="R1617" s="2">
        <f ca="1">INDEX(INDIRECT(_xlfn.CONCAT("weather.tbl[",R$1,"]")),MATCH(vp.tbl[[#This Row],[SDate]],weather.tbl[Date],0))</f>
        <v>18</v>
      </c>
      <c r="S1617" s="2">
        <f ca="1">INDEX(INDIRECT(_xlfn.CONCAT("weather.tbl[",S$1,"]")),MATCH(vp.tbl[[#This Row],[SDate]],weather.tbl[Date],0))</f>
        <v>15.7</v>
      </c>
      <c r="T1617" s="2">
        <f ca="1">INDEX(INDIRECT(_xlfn.CONCAT("weather.tbl[",T$1,"]")),MATCH(vp.tbl[[#This Row],[SDate]],weather.tbl[Date],0))</f>
        <v>18</v>
      </c>
      <c r="U1617" s="2">
        <f ca="1">INDEX(INDIRECT(_xlfn.CONCAT("weather.tbl[",U$1,"]")),MATCH(vp.tbl[[#This Row],[SDate]],weather.tbl[Date],0))</f>
        <v>17</v>
      </c>
      <c r="V1617" s="2" t="s">
        <v>310</v>
      </c>
      <c r="W1617" t="s">
        <v>48</v>
      </c>
      <c r="X1617">
        <f>IF(OR(vp.tbl[[#This Row],[Sulf]]="",vp.tbl[[#This Row],[Dens]]=""),1,0)</f>
        <v>1</v>
      </c>
      <c r="Y1617">
        <f>IF(vp.tbl[[#This Row],[CrudeType]]="C5+",1,0)</f>
        <v>0</v>
      </c>
      <c r="Z1617">
        <f>IF(AND(vp.tbl[[#This Row],[CrudeType]]="Crude",vp.tbl[[#This Row],[Dens]]&lt;=825,vp.tbl[[#This Row],[Sulf]]&gt;0.5,vp.tbl[[#This Row],[Unknown]]=0),1,0)</f>
        <v>0</v>
      </c>
      <c r="AA1617">
        <f>IF(AND(vp.tbl[[#This Row],[CrudeType]]="Crude",vp.tbl[[#This Row],[Dens]]&lt;=825,vp.tbl[[#This Row],[Sulf]]&lt;=0.5,vp.tbl[[#This Row],[Unknown]]=0),1,0)</f>
        <v>0</v>
      </c>
      <c r="AB1617">
        <f>IF(AND(vp.tbl[[#This Row],[CrudeType]]="Crude",vp.tbl[[#This Row],[Dens]]&gt;825,vp.tbl[[#This Row],[Dens]]&lt;=870,vp.tbl[[#This Row],[Sulf]]&gt;0.5,vp.tbl[[#This Row],[Unknown]]=0),1,0)</f>
        <v>0</v>
      </c>
      <c r="AC1617">
        <f>IF(AND(vp.tbl[[#This Row],[CrudeType]]="Crude",vp.tbl[[#This Row],[Dens]]&gt;825,vp.tbl[[#This Row],[Dens]]&lt;=900,vp.tbl[[#This Row],[Sulf]]&lt;=0.5,vp.tbl[[#This Row],[Unknown]]=0),1,0)</f>
        <v>0</v>
      </c>
      <c r="AD1617">
        <f>IF(AND(vp.tbl[[#This Row],[CrudeType]]="Crude",vp.tbl[[#This Row],[Dens]]&gt;870,vp.tbl[[#This Row],[Dens]]&lt;=900,vp.tbl[[#This Row],[Sulf]]&gt;0.5,vp.tbl[[#This Row],[Unknown]]=0),1,0)</f>
        <v>0</v>
      </c>
      <c r="AE1617">
        <f>IF(AND(vp.tbl[[#This Row],[CrudeType]]="Crude",vp.tbl[[#This Row],[Dens]]&gt;900,vp.tbl[[#This Row],[Sulf]]&lt;=0.5,vp.tbl[[#This Row],[Unknown]]=0),1,0)</f>
        <v>0</v>
      </c>
      <c r="AF1617">
        <f>IF(AND(vp.tbl[[#This Row],[CrudeType]]="Crude",vp.tbl[[#This Row],[Dens]]&gt;900,vp.tbl[[#This Row],[Sulf]]&lt;=0.5,vp.tbl[[#This Row],[Unknown]]=0),1,0)</f>
        <v>0</v>
      </c>
      <c r="AG1617" t="str">
        <f>INDEX(vp.tbl[[#Headers],[Unknown]:[Heavy_SW]],MATCH(1,vp.tbl[[#This Row],[Unknown]:[Heavy_SW]],0))</f>
        <v>Unknown</v>
      </c>
      <c r="AH1617" t="e">
        <f>INDEX([1]!crudeBD.lkup[Number],MATCH(vp.tbl[[#This Row],[Crude_Breakdown]],[1]!crudeBD.lkup[Crude Breakdown],0))</f>
        <v>#REF!</v>
      </c>
      <c r="AI1617">
        <f>MONTH(vp.tbl[[#This Row],[SDate]])</f>
        <v>6</v>
      </c>
      <c r="AJ1617" s="5" t="str">
        <f>IFERROR(vp.tbl[[#This Row],[Sulf]]*vp.tbl[[#This Row],[Net Dens]],"")</f>
        <v/>
      </c>
      <c r="AK1617" s="5" t="str">
        <f>IFERROR(vp.tbl[[#This Row],[Dens]]*vp.tbl[[#This Row],[VolumeM3]],"")</f>
        <v/>
      </c>
      <c r="AL1617" s="5" t="str">
        <f>IFERROR(vp.tbl[[#This Row],[VP]]*vp.tbl[[#This Row],[VolumeM3]],"")</f>
        <v/>
      </c>
      <c r="AM1617" s="4">
        <f>IFERROR((vp.tbl[[#This Row],[VP]]-INDEX(crudeBD.lkup.complete[Mean_VP],MATCH(vp.tbl[[#This Row],[Crude_Breakdown]],crudeBD.lkup.complete[Crude Breakdown],0)))^2,"")</f>
        <v>1.8093935119158544</v>
      </c>
      <c r="AN1617" s="4" t="str">
        <f>IFERROR((vp.tbl[[#This Row],[Dens]]-INDEX(crudeBD.lkup.complete[Mean_Dens],MATCH(vp.tbl[[#This Row],[Crude_Breakdown]],crudeBD.lkup.complete[Crude Breakdown],0)))^2,"")</f>
        <v/>
      </c>
      <c r="AO1617" s="4" t="str">
        <f>IFERROR((vp.tbl[[#This Row],[Sulf]]-INDEX(crudeBD.lkup.complete[Mean_Sulf],MATCH(vp.tbl[[#This Row],[Crude_Breakdown]],crudeBD.lkup.complete[Crude Breakdown],0)))^2,"")</f>
        <v/>
      </c>
      <c r="AP1617">
        <f>IF(AND(vp.tbl[[#This Row],[SDate]]&gt;=DATE(YEAR(vp.tbl[[#This Row],[SDate]]),5,1),vp.tbl[[#This Row],[SDate]]&lt;=DATE(YEAR(vp.tbl[[#This Row],[SDate]]),9,15)),1,0)</f>
        <v>1</v>
      </c>
      <c r="AQ1617" s="15">
        <f>IF(vp.tbl[[#This Row],[SDate]]&lt;DATE(2016,12,1),0,1)</f>
        <v>1</v>
      </c>
    </row>
    <row r="1618" spans="1:43" x14ac:dyDescent="0.25">
      <c r="A1618">
        <v>1617</v>
      </c>
      <c r="B1618" t="s">
        <v>111</v>
      </c>
      <c r="C1618" t="s">
        <v>111</v>
      </c>
      <c r="D1618" t="s">
        <v>112</v>
      </c>
      <c r="F1618" s="1">
        <v>42893</v>
      </c>
      <c r="G1618" s="2">
        <v>76.099999999999994</v>
      </c>
      <c r="H1618" s="2"/>
      <c r="I1618" s="2" t="s">
        <v>310</v>
      </c>
      <c r="J1618" s="2"/>
      <c r="K1618" s="2"/>
      <c r="L1618" s="2"/>
      <c r="M1618" s="2" t="s">
        <v>310</v>
      </c>
      <c r="N1618" s="2">
        <f ca="1">INDEX(INDIRECT(_xlfn.CONCAT("weather.tbl[",N$1,"]")),MATCH(vp.tbl[[#This Row],[SDate]],weather.tbl[Date],0))</f>
        <v>16.900000000000002</v>
      </c>
      <c r="O1618" s="2">
        <f ca="1">INDEX(INDIRECT(_xlfn.CONCAT("weather.tbl[",O$1,"]")),MATCH(vp.tbl[[#This Row],[SDate]],weather.tbl[Date],0))</f>
        <v>18.745238095238097</v>
      </c>
      <c r="P1618" s="2">
        <f ca="1">INDEX(INDIRECT(_xlfn.CONCAT("weather.tbl[",P$1,"]")),MATCH(vp.tbl[[#This Row],[SDate]],weather.tbl[Date],0))</f>
        <v>17.100000000000001</v>
      </c>
      <c r="Q1618" s="2">
        <f ca="1">INDEX(INDIRECT(_xlfn.CONCAT("weather.tbl[",Q$1,"]")),MATCH(vp.tbl[[#This Row],[SDate]],weather.tbl[Date],0))</f>
        <v>15.6</v>
      </c>
      <c r="R1618" s="2">
        <f ca="1">INDEX(INDIRECT(_xlfn.CONCAT("weather.tbl[",R$1,"]")),MATCH(vp.tbl[[#This Row],[SDate]],weather.tbl[Date],0))</f>
        <v>18</v>
      </c>
      <c r="S1618" s="2">
        <f ca="1">INDEX(INDIRECT(_xlfn.CONCAT("weather.tbl[",S$1,"]")),MATCH(vp.tbl[[#This Row],[SDate]],weather.tbl[Date],0))</f>
        <v>15.7</v>
      </c>
      <c r="T1618" s="2">
        <f ca="1">INDEX(INDIRECT(_xlfn.CONCAT("weather.tbl[",T$1,"]")),MATCH(vp.tbl[[#This Row],[SDate]],weather.tbl[Date],0))</f>
        <v>18</v>
      </c>
      <c r="U1618" s="2">
        <f ca="1">INDEX(INDIRECT(_xlfn.CONCAT("weather.tbl[",U$1,"]")),MATCH(vp.tbl[[#This Row],[SDate]],weather.tbl[Date],0))</f>
        <v>17</v>
      </c>
      <c r="V1618" s="2" t="s">
        <v>310</v>
      </c>
      <c r="W1618" t="s">
        <v>48</v>
      </c>
      <c r="X1618">
        <f>IF(OR(vp.tbl[[#This Row],[Sulf]]="",vp.tbl[[#This Row],[Dens]]=""),1,0)</f>
        <v>1</v>
      </c>
      <c r="Y1618">
        <f>IF(vp.tbl[[#This Row],[CrudeType]]="C5+",1,0)</f>
        <v>0</v>
      </c>
      <c r="Z1618">
        <f>IF(AND(vp.tbl[[#This Row],[CrudeType]]="Crude",vp.tbl[[#This Row],[Dens]]&lt;=825,vp.tbl[[#This Row],[Sulf]]&gt;0.5,vp.tbl[[#This Row],[Unknown]]=0),1,0)</f>
        <v>0</v>
      </c>
      <c r="AA1618">
        <f>IF(AND(vp.tbl[[#This Row],[CrudeType]]="Crude",vp.tbl[[#This Row],[Dens]]&lt;=825,vp.tbl[[#This Row],[Sulf]]&lt;=0.5,vp.tbl[[#This Row],[Unknown]]=0),1,0)</f>
        <v>0</v>
      </c>
      <c r="AB1618">
        <f>IF(AND(vp.tbl[[#This Row],[CrudeType]]="Crude",vp.tbl[[#This Row],[Dens]]&gt;825,vp.tbl[[#This Row],[Dens]]&lt;=870,vp.tbl[[#This Row],[Sulf]]&gt;0.5,vp.tbl[[#This Row],[Unknown]]=0),1,0)</f>
        <v>0</v>
      </c>
      <c r="AC1618">
        <f>IF(AND(vp.tbl[[#This Row],[CrudeType]]="Crude",vp.tbl[[#This Row],[Dens]]&gt;825,vp.tbl[[#This Row],[Dens]]&lt;=900,vp.tbl[[#This Row],[Sulf]]&lt;=0.5,vp.tbl[[#This Row],[Unknown]]=0),1,0)</f>
        <v>0</v>
      </c>
      <c r="AD1618">
        <f>IF(AND(vp.tbl[[#This Row],[CrudeType]]="Crude",vp.tbl[[#This Row],[Dens]]&gt;870,vp.tbl[[#This Row],[Dens]]&lt;=900,vp.tbl[[#This Row],[Sulf]]&gt;0.5,vp.tbl[[#This Row],[Unknown]]=0),1,0)</f>
        <v>0</v>
      </c>
      <c r="AE1618">
        <f>IF(AND(vp.tbl[[#This Row],[CrudeType]]="Crude",vp.tbl[[#This Row],[Dens]]&gt;900,vp.tbl[[#This Row],[Sulf]]&lt;=0.5,vp.tbl[[#This Row],[Unknown]]=0),1,0)</f>
        <v>0</v>
      </c>
      <c r="AF1618">
        <f>IF(AND(vp.tbl[[#This Row],[CrudeType]]="Crude",vp.tbl[[#This Row],[Dens]]&gt;900,vp.tbl[[#This Row],[Sulf]]&lt;=0.5,vp.tbl[[#This Row],[Unknown]]=0),1,0)</f>
        <v>0</v>
      </c>
      <c r="AG1618" t="str">
        <f>INDEX(vp.tbl[[#Headers],[Unknown]:[Heavy_SW]],MATCH(1,vp.tbl[[#This Row],[Unknown]:[Heavy_SW]],0))</f>
        <v>Unknown</v>
      </c>
      <c r="AH1618" t="e">
        <f>INDEX([1]!crudeBD.lkup[Number],MATCH(vp.tbl[[#This Row],[Crude_Breakdown]],[1]!crudeBD.lkup[Crude Breakdown],0))</f>
        <v>#REF!</v>
      </c>
      <c r="AI1618">
        <f>MONTH(vp.tbl[[#This Row],[SDate]])</f>
        <v>6</v>
      </c>
      <c r="AJ1618" s="5" t="str">
        <f>IFERROR(vp.tbl[[#This Row],[Sulf]]*vp.tbl[[#This Row],[Net Dens]],"")</f>
        <v/>
      </c>
      <c r="AK1618" s="5" t="str">
        <f>IFERROR(vp.tbl[[#This Row],[Dens]]*vp.tbl[[#This Row],[VolumeM3]],"")</f>
        <v/>
      </c>
      <c r="AL1618" s="5" t="str">
        <f>IFERROR(vp.tbl[[#This Row],[VP]]*vp.tbl[[#This Row],[VolumeM3]],"")</f>
        <v/>
      </c>
      <c r="AM1618" s="4">
        <f>IFERROR((vp.tbl[[#This Row],[VP]]-INDEX(crudeBD.lkup.complete[Mean_VP],MATCH(vp.tbl[[#This Row],[Crude_Breakdown]],crudeBD.lkup.complete[Crude Breakdown],0)))^2,"")</f>
        <v>5.0844072105461722</v>
      </c>
      <c r="AN1618" s="4" t="str">
        <f>IFERROR((vp.tbl[[#This Row],[Dens]]-INDEX(crudeBD.lkup.complete[Mean_Dens],MATCH(vp.tbl[[#This Row],[Crude_Breakdown]],crudeBD.lkup.complete[Crude Breakdown],0)))^2,"")</f>
        <v/>
      </c>
      <c r="AO1618" s="4" t="str">
        <f>IFERROR((vp.tbl[[#This Row],[Sulf]]-INDEX(crudeBD.lkup.complete[Mean_Sulf],MATCH(vp.tbl[[#This Row],[Crude_Breakdown]],crudeBD.lkup.complete[Crude Breakdown],0)))^2,"")</f>
        <v/>
      </c>
      <c r="AP1618">
        <f>IF(AND(vp.tbl[[#This Row],[SDate]]&gt;=DATE(YEAR(vp.tbl[[#This Row],[SDate]]),5,1),vp.tbl[[#This Row],[SDate]]&lt;=DATE(YEAR(vp.tbl[[#This Row],[SDate]]),9,15)),1,0)</f>
        <v>1</v>
      </c>
      <c r="AQ1618" s="15">
        <f>IF(vp.tbl[[#This Row],[SDate]]&lt;DATE(2016,12,1),0,1)</f>
        <v>1</v>
      </c>
    </row>
    <row r="1619" spans="1:43" x14ac:dyDescent="0.25">
      <c r="A1619">
        <v>1618</v>
      </c>
      <c r="B1619" t="s">
        <v>111</v>
      </c>
      <c r="C1619" t="s">
        <v>111</v>
      </c>
      <c r="D1619" t="s">
        <v>234</v>
      </c>
      <c r="F1619" s="1">
        <v>42893</v>
      </c>
      <c r="G1619" s="2">
        <v>77</v>
      </c>
      <c r="H1619" s="2"/>
      <c r="I1619" s="2" t="s">
        <v>310</v>
      </c>
      <c r="J1619" s="2"/>
      <c r="K1619" s="2"/>
      <c r="L1619" s="2"/>
      <c r="M1619" s="2" t="s">
        <v>310</v>
      </c>
      <c r="N1619" s="2">
        <f ca="1">INDEX(INDIRECT(_xlfn.CONCAT("weather.tbl[",N$1,"]")),MATCH(vp.tbl[[#This Row],[SDate]],weather.tbl[Date],0))</f>
        <v>16.900000000000002</v>
      </c>
      <c r="O1619" s="2">
        <f ca="1">INDEX(INDIRECT(_xlfn.CONCAT("weather.tbl[",O$1,"]")),MATCH(vp.tbl[[#This Row],[SDate]],weather.tbl[Date],0))</f>
        <v>18.745238095238097</v>
      </c>
      <c r="P1619" s="2">
        <f ca="1">INDEX(INDIRECT(_xlfn.CONCAT("weather.tbl[",P$1,"]")),MATCH(vp.tbl[[#This Row],[SDate]],weather.tbl[Date],0))</f>
        <v>17.100000000000001</v>
      </c>
      <c r="Q1619" s="2">
        <f ca="1">INDEX(INDIRECT(_xlfn.CONCAT("weather.tbl[",Q$1,"]")),MATCH(vp.tbl[[#This Row],[SDate]],weather.tbl[Date],0))</f>
        <v>15.6</v>
      </c>
      <c r="R1619" s="2">
        <f ca="1">INDEX(INDIRECT(_xlfn.CONCAT("weather.tbl[",R$1,"]")),MATCH(vp.tbl[[#This Row],[SDate]],weather.tbl[Date],0))</f>
        <v>18</v>
      </c>
      <c r="S1619" s="2">
        <f ca="1">INDEX(INDIRECT(_xlfn.CONCAT("weather.tbl[",S$1,"]")),MATCH(vp.tbl[[#This Row],[SDate]],weather.tbl[Date],0))</f>
        <v>15.7</v>
      </c>
      <c r="T1619" s="2">
        <f ca="1">INDEX(INDIRECT(_xlfn.CONCAT("weather.tbl[",T$1,"]")),MATCH(vp.tbl[[#This Row],[SDate]],weather.tbl[Date],0))</f>
        <v>18</v>
      </c>
      <c r="U1619" s="2">
        <f ca="1">INDEX(INDIRECT(_xlfn.CONCAT("weather.tbl[",U$1,"]")),MATCH(vp.tbl[[#This Row],[SDate]],weather.tbl[Date],0))</f>
        <v>17</v>
      </c>
      <c r="V1619" s="2" t="s">
        <v>310</v>
      </c>
      <c r="W1619" t="s">
        <v>48</v>
      </c>
      <c r="X1619">
        <f>IF(OR(vp.tbl[[#This Row],[Sulf]]="",vp.tbl[[#This Row],[Dens]]=""),1,0)</f>
        <v>1</v>
      </c>
      <c r="Y1619">
        <f>IF(vp.tbl[[#This Row],[CrudeType]]="C5+",1,0)</f>
        <v>0</v>
      </c>
      <c r="Z1619">
        <f>IF(AND(vp.tbl[[#This Row],[CrudeType]]="Crude",vp.tbl[[#This Row],[Dens]]&lt;=825,vp.tbl[[#This Row],[Sulf]]&gt;0.5,vp.tbl[[#This Row],[Unknown]]=0),1,0)</f>
        <v>0</v>
      </c>
      <c r="AA1619">
        <f>IF(AND(vp.tbl[[#This Row],[CrudeType]]="Crude",vp.tbl[[#This Row],[Dens]]&lt;=825,vp.tbl[[#This Row],[Sulf]]&lt;=0.5,vp.tbl[[#This Row],[Unknown]]=0),1,0)</f>
        <v>0</v>
      </c>
      <c r="AB1619">
        <f>IF(AND(vp.tbl[[#This Row],[CrudeType]]="Crude",vp.tbl[[#This Row],[Dens]]&gt;825,vp.tbl[[#This Row],[Dens]]&lt;=870,vp.tbl[[#This Row],[Sulf]]&gt;0.5,vp.tbl[[#This Row],[Unknown]]=0),1,0)</f>
        <v>0</v>
      </c>
      <c r="AC1619">
        <f>IF(AND(vp.tbl[[#This Row],[CrudeType]]="Crude",vp.tbl[[#This Row],[Dens]]&gt;825,vp.tbl[[#This Row],[Dens]]&lt;=900,vp.tbl[[#This Row],[Sulf]]&lt;=0.5,vp.tbl[[#This Row],[Unknown]]=0),1,0)</f>
        <v>0</v>
      </c>
      <c r="AD1619">
        <f>IF(AND(vp.tbl[[#This Row],[CrudeType]]="Crude",vp.tbl[[#This Row],[Dens]]&gt;870,vp.tbl[[#This Row],[Dens]]&lt;=900,vp.tbl[[#This Row],[Sulf]]&gt;0.5,vp.tbl[[#This Row],[Unknown]]=0),1,0)</f>
        <v>0</v>
      </c>
      <c r="AE1619">
        <f>IF(AND(vp.tbl[[#This Row],[CrudeType]]="Crude",vp.tbl[[#This Row],[Dens]]&gt;900,vp.tbl[[#This Row],[Sulf]]&lt;=0.5,vp.tbl[[#This Row],[Unknown]]=0),1,0)</f>
        <v>0</v>
      </c>
      <c r="AF1619">
        <f>IF(AND(vp.tbl[[#This Row],[CrudeType]]="Crude",vp.tbl[[#This Row],[Dens]]&gt;900,vp.tbl[[#This Row],[Sulf]]&lt;=0.5,vp.tbl[[#This Row],[Unknown]]=0),1,0)</f>
        <v>0</v>
      </c>
      <c r="AG1619" t="str">
        <f>INDEX(vp.tbl[[#Headers],[Unknown]:[Heavy_SW]],MATCH(1,vp.tbl[[#This Row],[Unknown]:[Heavy_SW]],0))</f>
        <v>Unknown</v>
      </c>
      <c r="AH1619" t="e">
        <f>INDEX([1]!crudeBD.lkup[Number],MATCH(vp.tbl[[#This Row],[Crude_Breakdown]],[1]!crudeBD.lkup[Crude Breakdown],0))</f>
        <v>#REF!</v>
      </c>
      <c r="AI1619">
        <f>MONTH(vp.tbl[[#This Row],[SDate]])</f>
        <v>6</v>
      </c>
      <c r="AJ1619" s="5" t="str">
        <f>IFERROR(vp.tbl[[#This Row],[Sulf]]*vp.tbl[[#This Row],[Net Dens]],"")</f>
        <v/>
      </c>
      <c r="AK1619" s="5" t="str">
        <f>IFERROR(vp.tbl[[#This Row],[Dens]]*vp.tbl[[#This Row],[VolumeM3]],"")</f>
        <v/>
      </c>
      <c r="AL1619" s="5" t="str">
        <f>IFERROR(vp.tbl[[#This Row],[VP]]*vp.tbl[[#This Row],[VolumeM3]],"")</f>
        <v/>
      </c>
      <c r="AM1619" s="4">
        <f>IFERROR((vp.tbl[[#This Row],[VP]]-INDEX(crudeBD.lkup.complete[Mean_VP],MATCH(vp.tbl[[#This Row],[Crude_Breakdown]],crudeBD.lkup.complete[Crude Breakdown],0)))^2,"")</f>
        <v>9.9531606352037834</v>
      </c>
      <c r="AN1619" s="4" t="str">
        <f>IFERROR((vp.tbl[[#This Row],[Dens]]-INDEX(crudeBD.lkup.complete[Mean_Dens],MATCH(vp.tbl[[#This Row],[Crude_Breakdown]],crudeBD.lkup.complete[Crude Breakdown],0)))^2,"")</f>
        <v/>
      </c>
      <c r="AO1619" s="4" t="str">
        <f>IFERROR((vp.tbl[[#This Row],[Sulf]]-INDEX(crudeBD.lkup.complete[Mean_Sulf],MATCH(vp.tbl[[#This Row],[Crude_Breakdown]],crudeBD.lkup.complete[Crude Breakdown],0)))^2,"")</f>
        <v/>
      </c>
      <c r="AP1619">
        <f>IF(AND(vp.tbl[[#This Row],[SDate]]&gt;=DATE(YEAR(vp.tbl[[#This Row],[SDate]]),5,1),vp.tbl[[#This Row],[SDate]]&lt;=DATE(YEAR(vp.tbl[[#This Row],[SDate]]),9,15)),1,0)</f>
        <v>1</v>
      </c>
      <c r="AQ1619" s="15">
        <f>IF(vp.tbl[[#This Row],[SDate]]&lt;DATE(2016,12,1),0,1)</f>
        <v>1</v>
      </c>
    </row>
    <row r="1620" spans="1:43" x14ac:dyDescent="0.25">
      <c r="A1620">
        <v>1619</v>
      </c>
      <c r="B1620" t="s">
        <v>291</v>
      </c>
      <c r="C1620" t="s">
        <v>291</v>
      </c>
      <c r="D1620" t="s">
        <v>109</v>
      </c>
      <c r="F1620" s="1">
        <v>42893</v>
      </c>
      <c r="G1620" s="2">
        <v>77.8</v>
      </c>
      <c r="H1620" s="2"/>
      <c r="I1620" s="2" t="s">
        <v>310</v>
      </c>
      <c r="J1620" s="2"/>
      <c r="K1620" s="2"/>
      <c r="L1620" s="2"/>
      <c r="M1620" s="2" t="s">
        <v>310</v>
      </c>
      <c r="N1620" s="2">
        <f ca="1">INDEX(INDIRECT(_xlfn.CONCAT("weather.tbl[",N$1,"]")),MATCH(vp.tbl[[#This Row],[SDate]],weather.tbl[Date],0))</f>
        <v>16.900000000000002</v>
      </c>
      <c r="O1620" s="2">
        <f ca="1">INDEX(INDIRECT(_xlfn.CONCAT("weather.tbl[",O$1,"]")),MATCH(vp.tbl[[#This Row],[SDate]],weather.tbl[Date],0))</f>
        <v>18.745238095238097</v>
      </c>
      <c r="P1620" s="2">
        <f ca="1">INDEX(INDIRECT(_xlfn.CONCAT("weather.tbl[",P$1,"]")),MATCH(vp.tbl[[#This Row],[SDate]],weather.tbl[Date],0))</f>
        <v>17.100000000000001</v>
      </c>
      <c r="Q1620" s="2">
        <f ca="1">INDEX(INDIRECT(_xlfn.CONCAT("weather.tbl[",Q$1,"]")),MATCH(vp.tbl[[#This Row],[SDate]],weather.tbl[Date],0))</f>
        <v>15.6</v>
      </c>
      <c r="R1620" s="2">
        <f ca="1">INDEX(INDIRECT(_xlfn.CONCAT("weather.tbl[",R$1,"]")),MATCH(vp.tbl[[#This Row],[SDate]],weather.tbl[Date],0))</f>
        <v>18</v>
      </c>
      <c r="S1620" s="2">
        <f ca="1">INDEX(INDIRECT(_xlfn.CONCAT("weather.tbl[",S$1,"]")),MATCH(vp.tbl[[#This Row],[SDate]],weather.tbl[Date],0))</f>
        <v>15.7</v>
      </c>
      <c r="T1620" s="2">
        <f ca="1">INDEX(INDIRECT(_xlfn.CONCAT("weather.tbl[",T$1,"]")),MATCH(vp.tbl[[#This Row],[SDate]],weather.tbl[Date],0))</f>
        <v>18</v>
      </c>
      <c r="U1620" s="2">
        <f ca="1">INDEX(INDIRECT(_xlfn.CONCAT("weather.tbl[",U$1,"]")),MATCH(vp.tbl[[#This Row],[SDate]],weather.tbl[Date],0))</f>
        <v>17</v>
      </c>
      <c r="V1620" s="2" t="s">
        <v>310</v>
      </c>
      <c r="W1620" t="s">
        <v>48</v>
      </c>
      <c r="X1620">
        <f>IF(OR(vp.tbl[[#This Row],[Sulf]]="",vp.tbl[[#This Row],[Dens]]=""),1,0)</f>
        <v>1</v>
      </c>
      <c r="Y1620">
        <f>IF(vp.tbl[[#This Row],[CrudeType]]="C5+",1,0)</f>
        <v>0</v>
      </c>
      <c r="Z1620">
        <f>IF(AND(vp.tbl[[#This Row],[CrudeType]]="Crude",vp.tbl[[#This Row],[Dens]]&lt;=825,vp.tbl[[#This Row],[Sulf]]&gt;0.5,vp.tbl[[#This Row],[Unknown]]=0),1,0)</f>
        <v>0</v>
      </c>
      <c r="AA1620">
        <f>IF(AND(vp.tbl[[#This Row],[CrudeType]]="Crude",vp.tbl[[#This Row],[Dens]]&lt;=825,vp.tbl[[#This Row],[Sulf]]&lt;=0.5,vp.tbl[[#This Row],[Unknown]]=0),1,0)</f>
        <v>0</v>
      </c>
      <c r="AB1620">
        <f>IF(AND(vp.tbl[[#This Row],[CrudeType]]="Crude",vp.tbl[[#This Row],[Dens]]&gt;825,vp.tbl[[#This Row],[Dens]]&lt;=870,vp.tbl[[#This Row],[Sulf]]&gt;0.5,vp.tbl[[#This Row],[Unknown]]=0),1,0)</f>
        <v>0</v>
      </c>
      <c r="AC1620">
        <f>IF(AND(vp.tbl[[#This Row],[CrudeType]]="Crude",vp.tbl[[#This Row],[Dens]]&gt;825,vp.tbl[[#This Row],[Dens]]&lt;=900,vp.tbl[[#This Row],[Sulf]]&lt;=0.5,vp.tbl[[#This Row],[Unknown]]=0),1,0)</f>
        <v>0</v>
      </c>
      <c r="AD1620">
        <f>IF(AND(vp.tbl[[#This Row],[CrudeType]]="Crude",vp.tbl[[#This Row],[Dens]]&gt;870,vp.tbl[[#This Row],[Dens]]&lt;=900,vp.tbl[[#This Row],[Sulf]]&gt;0.5,vp.tbl[[#This Row],[Unknown]]=0),1,0)</f>
        <v>0</v>
      </c>
      <c r="AE1620">
        <f>IF(AND(vp.tbl[[#This Row],[CrudeType]]="Crude",vp.tbl[[#This Row],[Dens]]&gt;900,vp.tbl[[#This Row],[Sulf]]&lt;=0.5,vp.tbl[[#This Row],[Unknown]]=0),1,0)</f>
        <v>0</v>
      </c>
      <c r="AF1620">
        <f>IF(AND(vp.tbl[[#This Row],[CrudeType]]="Crude",vp.tbl[[#This Row],[Dens]]&gt;900,vp.tbl[[#This Row],[Sulf]]&lt;=0.5,vp.tbl[[#This Row],[Unknown]]=0),1,0)</f>
        <v>0</v>
      </c>
      <c r="AG1620" t="str">
        <f>INDEX(vp.tbl[[#Headers],[Unknown]:[Heavy_SW]],MATCH(1,vp.tbl[[#This Row],[Unknown]:[Heavy_SW]],0))</f>
        <v>Unknown</v>
      </c>
      <c r="AH1620" t="e">
        <f>INDEX([1]!crudeBD.lkup[Number],MATCH(vp.tbl[[#This Row],[Crude_Breakdown]],[1]!crudeBD.lkup[Crude Breakdown],0))</f>
        <v>#REF!</v>
      </c>
      <c r="AI1620">
        <f>MONTH(vp.tbl[[#This Row],[SDate]])</f>
        <v>6</v>
      </c>
      <c r="AJ1620" s="5" t="str">
        <f>IFERROR(vp.tbl[[#This Row],[Sulf]]*vp.tbl[[#This Row],[Net Dens]],"")</f>
        <v/>
      </c>
      <c r="AK1620" s="5" t="str">
        <f>IFERROR(vp.tbl[[#This Row],[Dens]]*vp.tbl[[#This Row],[VolumeM3]],"")</f>
        <v/>
      </c>
      <c r="AL1620" s="5" t="str">
        <f>IFERROR(vp.tbl[[#This Row],[VP]]*vp.tbl[[#This Row],[VolumeM3]],"")</f>
        <v/>
      </c>
      <c r="AM1620" s="4">
        <f>IFERROR((vp.tbl[[#This Row],[VP]]-INDEX(crudeBD.lkup.complete[Mean_VP],MATCH(vp.tbl[[#This Row],[Crude_Breakdown]],crudeBD.lkup.complete[Crude Breakdown],0)))^2,"")</f>
        <v>15.640941457121615</v>
      </c>
      <c r="AN1620" s="4" t="str">
        <f>IFERROR((vp.tbl[[#This Row],[Dens]]-INDEX(crudeBD.lkup.complete[Mean_Dens],MATCH(vp.tbl[[#This Row],[Crude_Breakdown]],crudeBD.lkup.complete[Crude Breakdown],0)))^2,"")</f>
        <v/>
      </c>
      <c r="AO1620" s="4" t="str">
        <f>IFERROR((vp.tbl[[#This Row],[Sulf]]-INDEX(crudeBD.lkup.complete[Mean_Sulf],MATCH(vp.tbl[[#This Row],[Crude_Breakdown]],crudeBD.lkup.complete[Crude Breakdown],0)))^2,"")</f>
        <v/>
      </c>
      <c r="AP1620">
        <f>IF(AND(vp.tbl[[#This Row],[SDate]]&gt;=DATE(YEAR(vp.tbl[[#This Row],[SDate]]),5,1),vp.tbl[[#This Row],[SDate]]&lt;=DATE(YEAR(vp.tbl[[#This Row],[SDate]]),9,15)),1,0)</f>
        <v>1</v>
      </c>
      <c r="AQ1620" s="15">
        <f>IF(vp.tbl[[#This Row],[SDate]]&lt;DATE(2016,12,1),0,1)</f>
        <v>1</v>
      </c>
    </row>
    <row r="1621" spans="1:43" x14ac:dyDescent="0.25">
      <c r="A1621">
        <v>1620</v>
      </c>
      <c r="B1621" t="s">
        <v>96</v>
      </c>
      <c r="C1621" t="s">
        <v>96</v>
      </c>
      <c r="D1621" t="s">
        <v>97</v>
      </c>
      <c r="F1621" s="1">
        <v>42893</v>
      </c>
      <c r="G1621" s="2">
        <v>74.5</v>
      </c>
      <c r="H1621" s="2"/>
      <c r="I1621" s="2" t="s">
        <v>310</v>
      </c>
      <c r="J1621" s="2"/>
      <c r="K1621" s="2"/>
      <c r="L1621" s="2"/>
      <c r="M1621" s="2" t="s">
        <v>310</v>
      </c>
      <c r="N1621" s="2">
        <f ca="1">INDEX(INDIRECT(_xlfn.CONCAT("weather.tbl[",N$1,"]")),MATCH(vp.tbl[[#This Row],[SDate]],weather.tbl[Date],0))</f>
        <v>16.900000000000002</v>
      </c>
      <c r="O1621" s="2">
        <f ca="1">INDEX(INDIRECT(_xlfn.CONCAT("weather.tbl[",O$1,"]")),MATCH(vp.tbl[[#This Row],[SDate]],weather.tbl[Date],0))</f>
        <v>18.745238095238097</v>
      </c>
      <c r="P1621" s="2">
        <f ca="1">INDEX(INDIRECT(_xlfn.CONCAT("weather.tbl[",P$1,"]")),MATCH(vp.tbl[[#This Row],[SDate]],weather.tbl[Date],0))</f>
        <v>17.100000000000001</v>
      </c>
      <c r="Q1621" s="2">
        <f ca="1">INDEX(INDIRECT(_xlfn.CONCAT("weather.tbl[",Q$1,"]")),MATCH(vp.tbl[[#This Row],[SDate]],weather.tbl[Date],0))</f>
        <v>15.6</v>
      </c>
      <c r="R1621" s="2">
        <f ca="1">INDEX(INDIRECT(_xlfn.CONCAT("weather.tbl[",R$1,"]")),MATCH(vp.tbl[[#This Row],[SDate]],weather.tbl[Date],0))</f>
        <v>18</v>
      </c>
      <c r="S1621" s="2">
        <f ca="1">INDEX(INDIRECT(_xlfn.CONCAT("weather.tbl[",S$1,"]")),MATCH(vp.tbl[[#This Row],[SDate]],weather.tbl[Date],0))</f>
        <v>15.7</v>
      </c>
      <c r="T1621" s="2">
        <f ca="1">INDEX(INDIRECT(_xlfn.CONCAT("weather.tbl[",T$1,"]")),MATCH(vp.tbl[[#This Row],[SDate]],weather.tbl[Date],0))</f>
        <v>18</v>
      </c>
      <c r="U1621" s="2">
        <f ca="1">INDEX(INDIRECT(_xlfn.CONCAT("weather.tbl[",U$1,"]")),MATCH(vp.tbl[[#This Row],[SDate]],weather.tbl[Date],0))</f>
        <v>17</v>
      </c>
      <c r="V1621" s="2" t="s">
        <v>310</v>
      </c>
      <c r="W1621" t="s">
        <v>48</v>
      </c>
      <c r="X1621">
        <f>IF(OR(vp.tbl[[#This Row],[Sulf]]="",vp.tbl[[#This Row],[Dens]]=""),1,0)</f>
        <v>1</v>
      </c>
      <c r="Y1621">
        <f>IF(vp.tbl[[#This Row],[CrudeType]]="C5+",1,0)</f>
        <v>0</v>
      </c>
      <c r="Z1621">
        <f>IF(AND(vp.tbl[[#This Row],[CrudeType]]="Crude",vp.tbl[[#This Row],[Dens]]&lt;=825,vp.tbl[[#This Row],[Sulf]]&gt;0.5,vp.tbl[[#This Row],[Unknown]]=0),1,0)</f>
        <v>0</v>
      </c>
      <c r="AA1621">
        <f>IF(AND(vp.tbl[[#This Row],[CrudeType]]="Crude",vp.tbl[[#This Row],[Dens]]&lt;=825,vp.tbl[[#This Row],[Sulf]]&lt;=0.5,vp.tbl[[#This Row],[Unknown]]=0),1,0)</f>
        <v>0</v>
      </c>
      <c r="AB1621">
        <f>IF(AND(vp.tbl[[#This Row],[CrudeType]]="Crude",vp.tbl[[#This Row],[Dens]]&gt;825,vp.tbl[[#This Row],[Dens]]&lt;=870,vp.tbl[[#This Row],[Sulf]]&gt;0.5,vp.tbl[[#This Row],[Unknown]]=0),1,0)</f>
        <v>0</v>
      </c>
      <c r="AC1621">
        <f>IF(AND(vp.tbl[[#This Row],[CrudeType]]="Crude",vp.tbl[[#This Row],[Dens]]&gt;825,vp.tbl[[#This Row],[Dens]]&lt;=900,vp.tbl[[#This Row],[Sulf]]&lt;=0.5,vp.tbl[[#This Row],[Unknown]]=0),1,0)</f>
        <v>0</v>
      </c>
      <c r="AD1621">
        <f>IF(AND(vp.tbl[[#This Row],[CrudeType]]="Crude",vp.tbl[[#This Row],[Dens]]&gt;870,vp.tbl[[#This Row],[Dens]]&lt;=900,vp.tbl[[#This Row],[Sulf]]&gt;0.5,vp.tbl[[#This Row],[Unknown]]=0),1,0)</f>
        <v>0</v>
      </c>
      <c r="AE1621">
        <f>IF(AND(vp.tbl[[#This Row],[CrudeType]]="Crude",vp.tbl[[#This Row],[Dens]]&gt;900,vp.tbl[[#This Row],[Sulf]]&lt;=0.5,vp.tbl[[#This Row],[Unknown]]=0),1,0)</f>
        <v>0</v>
      </c>
      <c r="AF1621">
        <f>IF(AND(vp.tbl[[#This Row],[CrudeType]]="Crude",vp.tbl[[#This Row],[Dens]]&gt;900,vp.tbl[[#This Row],[Sulf]]&lt;=0.5,vp.tbl[[#This Row],[Unknown]]=0),1,0)</f>
        <v>0</v>
      </c>
      <c r="AG1621" t="str">
        <f>INDEX(vp.tbl[[#Headers],[Unknown]:[Heavy_SW]],MATCH(1,vp.tbl[[#This Row],[Unknown]:[Heavy_SW]],0))</f>
        <v>Unknown</v>
      </c>
      <c r="AH1621" t="e">
        <f>INDEX([1]!crudeBD.lkup[Number],MATCH(vp.tbl[[#This Row],[Crude_Breakdown]],[1]!crudeBD.lkup[Crude Breakdown],0))</f>
        <v>#REF!</v>
      </c>
      <c r="AI1621">
        <f>MONTH(vp.tbl[[#This Row],[SDate]])</f>
        <v>6</v>
      </c>
      <c r="AJ1621" s="5" t="str">
        <f>IFERROR(vp.tbl[[#This Row],[Sulf]]*vp.tbl[[#This Row],[Net Dens]],"")</f>
        <v/>
      </c>
      <c r="AK1621" s="5" t="str">
        <f>IFERROR(vp.tbl[[#This Row],[Dens]]*vp.tbl[[#This Row],[VolumeM3]],"")</f>
        <v/>
      </c>
      <c r="AL1621" s="5" t="str">
        <f>IFERROR(vp.tbl[[#This Row],[VP]]*vp.tbl[[#This Row],[VolumeM3]],"")</f>
        <v/>
      </c>
      <c r="AM1621" s="4">
        <f>IFERROR((vp.tbl[[#This Row],[VP]]-INDEX(crudeBD.lkup.complete[Mean_VP],MATCH(vp.tbl[[#This Row],[Crude_Breakdown]],crudeBD.lkup.complete[Crude Breakdown],0)))^2,"")</f>
        <v>0.42884556671048984</v>
      </c>
      <c r="AN1621" s="4" t="str">
        <f>IFERROR((vp.tbl[[#This Row],[Dens]]-INDEX(crudeBD.lkup.complete[Mean_Dens],MATCH(vp.tbl[[#This Row],[Crude_Breakdown]],crudeBD.lkup.complete[Crude Breakdown],0)))^2,"")</f>
        <v/>
      </c>
      <c r="AO1621" s="4" t="str">
        <f>IFERROR((vp.tbl[[#This Row],[Sulf]]-INDEX(crudeBD.lkup.complete[Mean_Sulf],MATCH(vp.tbl[[#This Row],[Crude_Breakdown]],crudeBD.lkup.complete[Crude Breakdown],0)))^2,"")</f>
        <v/>
      </c>
      <c r="AP1621">
        <f>IF(AND(vp.tbl[[#This Row],[SDate]]&gt;=DATE(YEAR(vp.tbl[[#This Row],[SDate]]),5,1),vp.tbl[[#This Row],[SDate]]&lt;=DATE(YEAR(vp.tbl[[#This Row],[SDate]]),9,15)),1,0)</f>
        <v>1</v>
      </c>
      <c r="AQ1621" s="15">
        <f>IF(vp.tbl[[#This Row],[SDate]]&lt;DATE(2016,12,1),0,1)</f>
        <v>1</v>
      </c>
    </row>
    <row r="1622" spans="1:43" x14ac:dyDescent="0.25">
      <c r="A1622">
        <v>1621</v>
      </c>
      <c r="B1622" t="s">
        <v>64</v>
      </c>
      <c r="C1622" t="s">
        <v>64</v>
      </c>
      <c r="D1622" t="s">
        <v>65</v>
      </c>
      <c r="F1622" s="1">
        <v>42893</v>
      </c>
      <c r="G1622" s="2">
        <v>44</v>
      </c>
      <c r="H1622" s="2"/>
      <c r="I1622" s="2" t="s">
        <v>310</v>
      </c>
      <c r="J1622" s="2"/>
      <c r="K1622" s="2"/>
      <c r="L1622" s="2"/>
      <c r="M1622" s="2" t="s">
        <v>310</v>
      </c>
      <c r="N1622" s="2">
        <f ca="1">INDEX(INDIRECT(_xlfn.CONCAT("weather.tbl[",N$1,"]")),MATCH(vp.tbl[[#This Row],[SDate]],weather.tbl[Date],0))</f>
        <v>16.900000000000002</v>
      </c>
      <c r="O1622" s="2">
        <f ca="1">INDEX(INDIRECT(_xlfn.CONCAT("weather.tbl[",O$1,"]")),MATCH(vp.tbl[[#This Row],[SDate]],weather.tbl[Date],0))</f>
        <v>18.745238095238097</v>
      </c>
      <c r="P1622" s="2">
        <f ca="1">INDEX(INDIRECT(_xlfn.CONCAT("weather.tbl[",P$1,"]")),MATCH(vp.tbl[[#This Row],[SDate]],weather.tbl[Date],0))</f>
        <v>17.100000000000001</v>
      </c>
      <c r="Q1622" s="2">
        <f ca="1">INDEX(INDIRECT(_xlfn.CONCAT("weather.tbl[",Q$1,"]")),MATCH(vp.tbl[[#This Row],[SDate]],weather.tbl[Date],0))</f>
        <v>15.6</v>
      </c>
      <c r="R1622" s="2">
        <f ca="1">INDEX(INDIRECT(_xlfn.CONCAT("weather.tbl[",R$1,"]")),MATCH(vp.tbl[[#This Row],[SDate]],weather.tbl[Date],0))</f>
        <v>18</v>
      </c>
      <c r="S1622" s="2">
        <f ca="1">INDEX(INDIRECT(_xlfn.CONCAT("weather.tbl[",S$1,"]")),MATCH(vp.tbl[[#This Row],[SDate]],weather.tbl[Date],0))</f>
        <v>15.7</v>
      </c>
      <c r="T1622" s="2">
        <f ca="1">INDEX(INDIRECT(_xlfn.CONCAT("weather.tbl[",T$1,"]")),MATCH(vp.tbl[[#This Row],[SDate]],weather.tbl[Date],0))</f>
        <v>18</v>
      </c>
      <c r="U1622" s="2">
        <f ca="1">INDEX(INDIRECT(_xlfn.CONCAT("weather.tbl[",U$1,"]")),MATCH(vp.tbl[[#This Row],[SDate]],weather.tbl[Date],0))</f>
        <v>17</v>
      </c>
      <c r="V1622" s="2" t="s">
        <v>310</v>
      </c>
      <c r="W1622" t="s">
        <v>48</v>
      </c>
      <c r="X1622">
        <f>IF(OR(vp.tbl[[#This Row],[Sulf]]="",vp.tbl[[#This Row],[Dens]]=""),1,0)</f>
        <v>1</v>
      </c>
      <c r="Y1622">
        <f>IF(vp.tbl[[#This Row],[CrudeType]]="C5+",1,0)</f>
        <v>0</v>
      </c>
      <c r="Z1622">
        <f>IF(AND(vp.tbl[[#This Row],[CrudeType]]="Crude",vp.tbl[[#This Row],[Dens]]&lt;=825,vp.tbl[[#This Row],[Sulf]]&gt;0.5,vp.tbl[[#This Row],[Unknown]]=0),1,0)</f>
        <v>0</v>
      </c>
      <c r="AA1622">
        <f>IF(AND(vp.tbl[[#This Row],[CrudeType]]="Crude",vp.tbl[[#This Row],[Dens]]&lt;=825,vp.tbl[[#This Row],[Sulf]]&lt;=0.5,vp.tbl[[#This Row],[Unknown]]=0),1,0)</f>
        <v>0</v>
      </c>
      <c r="AB1622">
        <f>IF(AND(vp.tbl[[#This Row],[CrudeType]]="Crude",vp.tbl[[#This Row],[Dens]]&gt;825,vp.tbl[[#This Row],[Dens]]&lt;=870,vp.tbl[[#This Row],[Sulf]]&gt;0.5,vp.tbl[[#This Row],[Unknown]]=0),1,0)</f>
        <v>0</v>
      </c>
      <c r="AC1622">
        <f>IF(AND(vp.tbl[[#This Row],[CrudeType]]="Crude",vp.tbl[[#This Row],[Dens]]&gt;825,vp.tbl[[#This Row],[Dens]]&lt;=900,vp.tbl[[#This Row],[Sulf]]&lt;=0.5,vp.tbl[[#This Row],[Unknown]]=0),1,0)</f>
        <v>0</v>
      </c>
      <c r="AD1622">
        <f>IF(AND(vp.tbl[[#This Row],[CrudeType]]="Crude",vp.tbl[[#This Row],[Dens]]&gt;870,vp.tbl[[#This Row],[Dens]]&lt;=900,vp.tbl[[#This Row],[Sulf]]&gt;0.5,vp.tbl[[#This Row],[Unknown]]=0),1,0)</f>
        <v>0</v>
      </c>
      <c r="AE1622">
        <f>IF(AND(vp.tbl[[#This Row],[CrudeType]]="Crude",vp.tbl[[#This Row],[Dens]]&gt;900,vp.tbl[[#This Row],[Sulf]]&lt;=0.5,vp.tbl[[#This Row],[Unknown]]=0),1,0)</f>
        <v>0</v>
      </c>
      <c r="AF1622">
        <f>IF(AND(vp.tbl[[#This Row],[CrudeType]]="Crude",vp.tbl[[#This Row],[Dens]]&gt;900,vp.tbl[[#This Row],[Sulf]]&lt;=0.5,vp.tbl[[#This Row],[Unknown]]=0),1,0)</f>
        <v>0</v>
      </c>
      <c r="AG1622" t="str">
        <f>INDEX(vp.tbl[[#Headers],[Unknown]:[Heavy_SW]],MATCH(1,vp.tbl[[#This Row],[Unknown]:[Heavy_SW]],0))</f>
        <v>Unknown</v>
      </c>
      <c r="AH1622" t="e">
        <f>INDEX([1]!crudeBD.lkup[Number],MATCH(vp.tbl[[#This Row],[Crude_Breakdown]],[1]!crudeBD.lkup[Crude Breakdown],0))</f>
        <v>#REF!</v>
      </c>
      <c r="AI1622">
        <f>MONTH(vp.tbl[[#This Row],[SDate]])</f>
        <v>6</v>
      </c>
      <c r="AJ1622" s="5" t="str">
        <f>IFERROR(vp.tbl[[#This Row],[Sulf]]*vp.tbl[[#This Row],[Net Dens]],"")</f>
        <v/>
      </c>
      <c r="AK1622" s="5" t="str">
        <f>IFERROR(vp.tbl[[#This Row],[Dens]]*vp.tbl[[#This Row],[VolumeM3]],"")</f>
        <v/>
      </c>
      <c r="AL1622" s="5" t="str">
        <f>IFERROR(vp.tbl[[#This Row],[VP]]*vp.tbl[[#This Row],[VolumeM3]],"")</f>
        <v/>
      </c>
      <c r="AM1622" s="4">
        <f>IFERROR((vp.tbl[[#This Row],[VP]]-INDEX(crudeBD.lkup.complete[Mean_VP],MATCH(vp.tbl[[#This Row],[Crude_Breakdown]],crudeBD.lkup.complete[Crude Breakdown],0)))^2,"")</f>
        <v>890.73220173109235</v>
      </c>
      <c r="AN1622" s="4" t="str">
        <f>IFERROR((vp.tbl[[#This Row],[Dens]]-INDEX(crudeBD.lkup.complete[Mean_Dens],MATCH(vp.tbl[[#This Row],[Crude_Breakdown]],crudeBD.lkup.complete[Crude Breakdown],0)))^2,"")</f>
        <v/>
      </c>
      <c r="AO1622" s="4" t="str">
        <f>IFERROR((vp.tbl[[#This Row],[Sulf]]-INDEX(crudeBD.lkup.complete[Mean_Sulf],MATCH(vp.tbl[[#This Row],[Crude_Breakdown]],crudeBD.lkup.complete[Crude Breakdown],0)))^2,"")</f>
        <v/>
      </c>
      <c r="AP1622">
        <f>IF(AND(vp.tbl[[#This Row],[SDate]]&gt;=DATE(YEAR(vp.tbl[[#This Row],[SDate]]),5,1),vp.tbl[[#This Row],[SDate]]&lt;=DATE(YEAR(vp.tbl[[#This Row],[SDate]]),9,15)),1,0)</f>
        <v>1</v>
      </c>
      <c r="AQ1622" s="15">
        <f>IF(vp.tbl[[#This Row],[SDate]]&lt;DATE(2016,12,1),0,1)</f>
        <v>1</v>
      </c>
    </row>
    <row r="1623" spans="1:43" x14ac:dyDescent="0.25">
      <c r="A1623">
        <v>1622</v>
      </c>
      <c r="B1623" t="s">
        <v>46</v>
      </c>
      <c r="C1623" t="s">
        <v>46</v>
      </c>
      <c r="D1623" t="s">
        <v>47</v>
      </c>
      <c r="F1623" s="1">
        <v>42893</v>
      </c>
      <c r="G1623" s="2">
        <v>51.5</v>
      </c>
      <c r="H1623" s="2"/>
      <c r="I1623" s="2" t="s">
        <v>310</v>
      </c>
      <c r="J1623" s="2"/>
      <c r="K1623" s="2"/>
      <c r="L1623" s="2"/>
      <c r="M1623" s="2" t="s">
        <v>310</v>
      </c>
      <c r="N1623" s="2">
        <f ca="1">INDEX(INDIRECT(_xlfn.CONCAT("weather.tbl[",N$1,"]")),MATCH(vp.tbl[[#This Row],[SDate]],weather.tbl[Date],0))</f>
        <v>16.900000000000002</v>
      </c>
      <c r="O1623" s="2">
        <f ca="1">INDEX(INDIRECT(_xlfn.CONCAT("weather.tbl[",O$1,"]")),MATCH(vp.tbl[[#This Row],[SDate]],weather.tbl[Date],0))</f>
        <v>18.745238095238097</v>
      </c>
      <c r="P1623" s="2">
        <f ca="1">INDEX(INDIRECT(_xlfn.CONCAT("weather.tbl[",P$1,"]")),MATCH(vp.tbl[[#This Row],[SDate]],weather.tbl[Date],0))</f>
        <v>17.100000000000001</v>
      </c>
      <c r="Q1623" s="2">
        <f ca="1">INDEX(INDIRECT(_xlfn.CONCAT("weather.tbl[",Q$1,"]")),MATCH(vp.tbl[[#This Row],[SDate]],weather.tbl[Date],0))</f>
        <v>15.6</v>
      </c>
      <c r="R1623" s="2">
        <f ca="1">INDEX(INDIRECT(_xlfn.CONCAT("weather.tbl[",R$1,"]")),MATCH(vp.tbl[[#This Row],[SDate]],weather.tbl[Date],0))</f>
        <v>18</v>
      </c>
      <c r="S1623" s="2">
        <f ca="1">INDEX(INDIRECT(_xlfn.CONCAT("weather.tbl[",S$1,"]")),MATCH(vp.tbl[[#This Row],[SDate]],weather.tbl[Date],0))</f>
        <v>15.7</v>
      </c>
      <c r="T1623" s="2">
        <f ca="1">INDEX(INDIRECT(_xlfn.CONCAT("weather.tbl[",T$1,"]")),MATCH(vp.tbl[[#This Row],[SDate]],weather.tbl[Date],0))</f>
        <v>18</v>
      </c>
      <c r="U1623" s="2">
        <f ca="1">INDEX(INDIRECT(_xlfn.CONCAT("weather.tbl[",U$1,"]")),MATCH(vp.tbl[[#This Row],[SDate]],weather.tbl[Date],0))</f>
        <v>17</v>
      </c>
      <c r="V1623" s="2" t="s">
        <v>310</v>
      </c>
      <c r="W1623" t="s">
        <v>48</v>
      </c>
      <c r="X1623">
        <f>IF(OR(vp.tbl[[#This Row],[Sulf]]="",vp.tbl[[#This Row],[Dens]]=""),1,0)</f>
        <v>1</v>
      </c>
      <c r="Y1623">
        <f>IF(vp.tbl[[#This Row],[CrudeType]]="C5+",1,0)</f>
        <v>0</v>
      </c>
      <c r="Z1623">
        <f>IF(AND(vp.tbl[[#This Row],[CrudeType]]="Crude",vp.tbl[[#This Row],[Dens]]&lt;=825,vp.tbl[[#This Row],[Sulf]]&gt;0.5,vp.tbl[[#This Row],[Unknown]]=0),1,0)</f>
        <v>0</v>
      </c>
      <c r="AA1623">
        <f>IF(AND(vp.tbl[[#This Row],[CrudeType]]="Crude",vp.tbl[[#This Row],[Dens]]&lt;=825,vp.tbl[[#This Row],[Sulf]]&lt;=0.5,vp.tbl[[#This Row],[Unknown]]=0),1,0)</f>
        <v>0</v>
      </c>
      <c r="AB1623">
        <f>IF(AND(vp.tbl[[#This Row],[CrudeType]]="Crude",vp.tbl[[#This Row],[Dens]]&gt;825,vp.tbl[[#This Row],[Dens]]&lt;=870,vp.tbl[[#This Row],[Sulf]]&gt;0.5,vp.tbl[[#This Row],[Unknown]]=0),1,0)</f>
        <v>0</v>
      </c>
      <c r="AC1623">
        <f>IF(AND(vp.tbl[[#This Row],[CrudeType]]="Crude",vp.tbl[[#This Row],[Dens]]&gt;825,vp.tbl[[#This Row],[Dens]]&lt;=900,vp.tbl[[#This Row],[Sulf]]&lt;=0.5,vp.tbl[[#This Row],[Unknown]]=0),1,0)</f>
        <v>0</v>
      </c>
      <c r="AD1623">
        <f>IF(AND(vp.tbl[[#This Row],[CrudeType]]="Crude",vp.tbl[[#This Row],[Dens]]&gt;870,vp.tbl[[#This Row],[Dens]]&lt;=900,vp.tbl[[#This Row],[Sulf]]&gt;0.5,vp.tbl[[#This Row],[Unknown]]=0),1,0)</f>
        <v>0</v>
      </c>
      <c r="AE1623">
        <f>IF(AND(vp.tbl[[#This Row],[CrudeType]]="Crude",vp.tbl[[#This Row],[Dens]]&gt;900,vp.tbl[[#This Row],[Sulf]]&lt;=0.5,vp.tbl[[#This Row],[Unknown]]=0),1,0)</f>
        <v>0</v>
      </c>
      <c r="AF1623">
        <f>IF(AND(vp.tbl[[#This Row],[CrudeType]]="Crude",vp.tbl[[#This Row],[Dens]]&gt;900,vp.tbl[[#This Row],[Sulf]]&lt;=0.5,vp.tbl[[#This Row],[Unknown]]=0),1,0)</f>
        <v>0</v>
      </c>
      <c r="AG1623" t="str">
        <f>INDEX(vp.tbl[[#Headers],[Unknown]:[Heavy_SW]],MATCH(1,vp.tbl[[#This Row],[Unknown]:[Heavy_SW]],0))</f>
        <v>Unknown</v>
      </c>
      <c r="AH1623" t="e">
        <f>INDEX([1]!crudeBD.lkup[Number],MATCH(vp.tbl[[#This Row],[Crude_Breakdown]],[1]!crudeBD.lkup[Crude Breakdown],0))</f>
        <v>#REF!</v>
      </c>
      <c r="AI1623">
        <f>MONTH(vp.tbl[[#This Row],[SDate]])</f>
        <v>6</v>
      </c>
      <c r="AJ1623" s="5" t="str">
        <f>IFERROR(vp.tbl[[#This Row],[Sulf]]*vp.tbl[[#This Row],[Net Dens]],"")</f>
        <v/>
      </c>
      <c r="AK1623" s="5" t="str">
        <f>IFERROR(vp.tbl[[#This Row],[Dens]]*vp.tbl[[#This Row],[VolumeM3]],"")</f>
        <v/>
      </c>
      <c r="AL1623" s="5" t="str">
        <f>IFERROR(vp.tbl[[#This Row],[VP]]*vp.tbl[[#This Row],[VolumeM3]],"")</f>
        <v/>
      </c>
      <c r="AM1623" s="4">
        <f>IFERROR((vp.tbl[[#This Row],[VP]]-INDEX(crudeBD.lkup.complete[Mean_VP],MATCH(vp.tbl[[#This Row],[Crude_Breakdown]],crudeBD.lkup.complete[Crude Breakdown],0)))^2,"")</f>
        <v>499.30514693657216</v>
      </c>
      <c r="AN1623" s="4" t="str">
        <f>IFERROR((vp.tbl[[#This Row],[Dens]]-INDEX(crudeBD.lkup.complete[Mean_Dens],MATCH(vp.tbl[[#This Row],[Crude_Breakdown]],crudeBD.lkup.complete[Crude Breakdown],0)))^2,"")</f>
        <v/>
      </c>
      <c r="AO1623" s="4" t="str">
        <f>IFERROR((vp.tbl[[#This Row],[Sulf]]-INDEX(crudeBD.lkup.complete[Mean_Sulf],MATCH(vp.tbl[[#This Row],[Crude_Breakdown]],crudeBD.lkup.complete[Crude Breakdown],0)))^2,"")</f>
        <v/>
      </c>
      <c r="AP1623">
        <f>IF(AND(vp.tbl[[#This Row],[SDate]]&gt;=DATE(YEAR(vp.tbl[[#This Row],[SDate]]),5,1),vp.tbl[[#This Row],[SDate]]&lt;=DATE(YEAR(vp.tbl[[#This Row],[SDate]]),9,15)),1,0)</f>
        <v>1</v>
      </c>
      <c r="AQ1623" s="15">
        <f>IF(vp.tbl[[#This Row],[SDate]]&lt;DATE(2016,12,1),0,1)</f>
        <v>1</v>
      </c>
    </row>
    <row r="1624" spans="1:43" x14ac:dyDescent="0.25">
      <c r="A1624">
        <v>1623</v>
      </c>
      <c r="B1624" t="s">
        <v>51</v>
      </c>
      <c r="C1624" t="s">
        <v>51</v>
      </c>
      <c r="D1624" t="s">
        <v>72</v>
      </c>
      <c r="F1624" s="1">
        <v>42895</v>
      </c>
      <c r="G1624" s="2">
        <v>89.7</v>
      </c>
      <c r="H1624" s="2"/>
      <c r="I1624" s="2" t="s">
        <v>310</v>
      </c>
      <c r="J1624" s="2"/>
      <c r="K1624" s="2"/>
      <c r="L1624" s="2"/>
      <c r="M1624" s="2" t="s">
        <v>310</v>
      </c>
      <c r="N1624" s="2">
        <f ca="1">INDEX(INDIRECT(_xlfn.CONCAT("weather.tbl[",N$1,"]")),MATCH(vp.tbl[[#This Row],[SDate]],weather.tbl[Date],0))</f>
        <v>19.233333333333331</v>
      </c>
      <c r="O1624" s="2">
        <f ca="1">INDEX(INDIRECT(_xlfn.CONCAT("weather.tbl[",O$1,"]")),MATCH(vp.tbl[[#This Row],[SDate]],weather.tbl[Date],0))</f>
        <v>18.188095238095237</v>
      </c>
      <c r="P1624" s="2">
        <f ca="1">INDEX(INDIRECT(_xlfn.CONCAT("weather.tbl[",P$1,"]")),MATCH(vp.tbl[[#This Row],[SDate]],weather.tbl[Date],0))</f>
        <v>19.899999999999999</v>
      </c>
      <c r="Q1624" s="2">
        <f ca="1">INDEX(INDIRECT(_xlfn.CONCAT("weather.tbl[",Q$1,"]")),MATCH(vp.tbl[[#This Row],[SDate]],weather.tbl[Date],0))</f>
        <v>20.100000000000001</v>
      </c>
      <c r="R1624" s="2">
        <f ca="1">INDEX(INDIRECT(_xlfn.CONCAT("weather.tbl[",R$1,"]")),MATCH(vp.tbl[[#This Row],[SDate]],weather.tbl[Date],0))</f>
        <v>19.3</v>
      </c>
      <c r="S1624" s="2">
        <f ca="1">INDEX(INDIRECT(_xlfn.CONCAT("weather.tbl[",S$1,"]")),MATCH(vp.tbl[[#This Row],[SDate]],weather.tbl[Date],0))</f>
        <v>19.8</v>
      </c>
      <c r="T1624" s="2">
        <f ca="1">INDEX(INDIRECT(_xlfn.CONCAT("weather.tbl[",T$1,"]")),MATCH(vp.tbl[[#This Row],[SDate]],weather.tbl[Date],0))</f>
        <v>17.8</v>
      </c>
      <c r="U1624" s="2">
        <f ca="1">INDEX(INDIRECT(_xlfn.CONCAT("weather.tbl[",U$1,"]")),MATCH(vp.tbl[[#This Row],[SDate]],weather.tbl[Date],0))</f>
        <v>18.5</v>
      </c>
      <c r="V1624" s="2" t="s">
        <v>310</v>
      </c>
      <c r="W1624" t="s">
        <v>48</v>
      </c>
      <c r="X1624">
        <f>IF(OR(vp.tbl[[#This Row],[Sulf]]="",vp.tbl[[#This Row],[Dens]]=""),1,0)</f>
        <v>1</v>
      </c>
      <c r="Y1624">
        <f>IF(vp.tbl[[#This Row],[CrudeType]]="C5+",1,0)</f>
        <v>0</v>
      </c>
      <c r="Z1624">
        <f>IF(AND(vp.tbl[[#This Row],[CrudeType]]="Crude",vp.tbl[[#This Row],[Dens]]&lt;=825,vp.tbl[[#This Row],[Sulf]]&gt;0.5,vp.tbl[[#This Row],[Unknown]]=0),1,0)</f>
        <v>0</v>
      </c>
      <c r="AA1624">
        <f>IF(AND(vp.tbl[[#This Row],[CrudeType]]="Crude",vp.tbl[[#This Row],[Dens]]&lt;=825,vp.tbl[[#This Row],[Sulf]]&lt;=0.5,vp.tbl[[#This Row],[Unknown]]=0),1,0)</f>
        <v>0</v>
      </c>
      <c r="AB1624">
        <f>IF(AND(vp.tbl[[#This Row],[CrudeType]]="Crude",vp.tbl[[#This Row],[Dens]]&gt;825,vp.tbl[[#This Row],[Dens]]&lt;=870,vp.tbl[[#This Row],[Sulf]]&gt;0.5,vp.tbl[[#This Row],[Unknown]]=0),1,0)</f>
        <v>0</v>
      </c>
      <c r="AC1624">
        <f>IF(AND(vp.tbl[[#This Row],[CrudeType]]="Crude",vp.tbl[[#This Row],[Dens]]&gt;825,vp.tbl[[#This Row],[Dens]]&lt;=900,vp.tbl[[#This Row],[Sulf]]&lt;=0.5,vp.tbl[[#This Row],[Unknown]]=0),1,0)</f>
        <v>0</v>
      </c>
      <c r="AD1624">
        <f>IF(AND(vp.tbl[[#This Row],[CrudeType]]="Crude",vp.tbl[[#This Row],[Dens]]&gt;870,vp.tbl[[#This Row],[Dens]]&lt;=900,vp.tbl[[#This Row],[Sulf]]&gt;0.5,vp.tbl[[#This Row],[Unknown]]=0),1,0)</f>
        <v>0</v>
      </c>
      <c r="AE1624">
        <f>IF(AND(vp.tbl[[#This Row],[CrudeType]]="Crude",vp.tbl[[#This Row],[Dens]]&gt;900,vp.tbl[[#This Row],[Sulf]]&lt;=0.5,vp.tbl[[#This Row],[Unknown]]=0),1,0)</f>
        <v>0</v>
      </c>
      <c r="AF1624">
        <f>IF(AND(vp.tbl[[#This Row],[CrudeType]]="Crude",vp.tbl[[#This Row],[Dens]]&gt;900,vp.tbl[[#This Row],[Sulf]]&lt;=0.5,vp.tbl[[#This Row],[Unknown]]=0),1,0)</f>
        <v>0</v>
      </c>
      <c r="AG1624" t="str">
        <f>INDEX(vp.tbl[[#Headers],[Unknown]:[Heavy_SW]],MATCH(1,vp.tbl[[#This Row],[Unknown]:[Heavy_SW]],0))</f>
        <v>Unknown</v>
      </c>
      <c r="AH1624" t="e">
        <f>INDEX([1]!crudeBD.lkup[Number],MATCH(vp.tbl[[#This Row],[Crude_Breakdown]],[1]!crudeBD.lkup[Crude Breakdown],0))</f>
        <v>#REF!</v>
      </c>
      <c r="AI1624">
        <f>MONTH(vp.tbl[[#This Row],[SDate]])</f>
        <v>6</v>
      </c>
      <c r="AJ1624" s="5" t="str">
        <f>IFERROR(vp.tbl[[#This Row],[Sulf]]*vp.tbl[[#This Row],[Net Dens]],"")</f>
        <v/>
      </c>
      <c r="AK1624" s="5" t="str">
        <f>IFERROR(vp.tbl[[#This Row],[Dens]]*vp.tbl[[#This Row],[VolumeM3]],"")</f>
        <v/>
      </c>
      <c r="AL1624" s="5" t="str">
        <f>IFERROR(vp.tbl[[#This Row],[VP]]*vp.tbl[[#This Row],[VolumeM3]],"")</f>
        <v/>
      </c>
      <c r="AM1624" s="4">
        <f>IFERROR((vp.tbl[[#This Row],[VP]]-INDEX(crudeBD.lkup.complete[Mean_VP],MATCH(vp.tbl[[#This Row],[Crude_Breakdown]],crudeBD.lkup.complete[Crude Breakdown],0)))^2,"")</f>
        <v>251.3766811831498</v>
      </c>
      <c r="AN1624" s="4" t="str">
        <f>IFERROR((vp.tbl[[#This Row],[Dens]]-INDEX(crudeBD.lkup.complete[Mean_Dens],MATCH(vp.tbl[[#This Row],[Crude_Breakdown]],crudeBD.lkup.complete[Crude Breakdown],0)))^2,"")</f>
        <v/>
      </c>
      <c r="AO1624" s="4" t="str">
        <f>IFERROR((vp.tbl[[#This Row],[Sulf]]-INDEX(crudeBD.lkup.complete[Mean_Sulf],MATCH(vp.tbl[[#This Row],[Crude_Breakdown]],crudeBD.lkup.complete[Crude Breakdown],0)))^2,"")</f>
        <v/>
      </c>
      <c r="AP1624">
        <f>IF(AND(vp.tbl[[#This Row],[SDate]]&gt;=DATE(YEAR(vp.tbl[[#This Row],[SDate]]),5,1),vp.tbl[[#This Row],[SDate]]&lt;=DATE(YEAR(vp.tbl[[#This Row],[SDate]]),9,15)),1,0)</f>
        <v>1</v>
      </c>
      <c r="AQ1624" s="15">
        <f>IF(vp.tbl[[#This Row],[SDate]]&lt;DATE(2016,12,1),0,1)</f>
        <v>1</v>
      </c>
    </row>
    <row r="1625" spans="1:43" x14ac:dyDescent="0.25">
      <c r="A1625">
        <v>1624</v>
      </c>
      <c r="B1625" t="s">
        <v>49</v>
      </c>
      <c r="C1625" t="s">
        <v>49</v>
      </c>
      <c r="D1625" t="s">
        <v>115</v>
      </c>
      <c r="F1625" s="1">
        <v>42895</v>
      </c>
      <c r="G1625" s="2">
        <v>52.3</v>
      </c>
      <c r="H1625" s="2"/>
      <c r="I1625" s="2" t="s">
        <v>310</v>
      </c>
      <c r="J1625" s="2"/>
      <c r="K1625" s="2"/>
      <c r="L1625" s="2"/>
      <c r="M1625" s="2" t="s">
        <v>310</v>
      </c>
      <c r="N1625" s="2">
        <f ca="1">INDEX(INDIRECT(_xlfn.CONCAT("weather.tbl[",N$1,"]")),MATCH(vp.tbl[[#This Row],[SDate]],weather.tbl[Date],0))</f>
        <v>19.233333333333331</v>
      </c>
      <c r="O1625" s="2">
        <f ca="1">INDEX(INDIRECT(_xlfn.CONCAT("weather.tbl[",O$1,"]")),MATCH(vp.tbl[[#This Row],[SDate]],weather.tbl[Date],0))</f>
        <v>18.188095238095237</v>
      </c>
      <c r="P1625" s="2">
        <f ca="1">INDEX(INDIRECT(_xlfn.CONCAT("weather.tbl[",P$1,"]")),MATCH(vp.tbl[[#This Row],[SDate]],weather.tbl[Date],0))</f>
        <v>19.899999999999999</v>
      </c>
      <c r="Q1625" s="2">
        <f ca="1">INDEX(INDIRECT(_xlfn.CONCAT("weather.tbl[",Q$1,"]")),MATCH(vp.tbl[[#This Row],[SDate]],weather.tbl[Date],0))</f>
        <v>20.100000000000001</v>
      </c>
      <c r="R1625" s="2">
        <f ca="1">INDEX(INDIRECT(_xlfn.CONCAT("weather.tbl[",R$1,"]")),MATCH(vp.tbl[[#This Row],[SDate]],weather.tbl[Date],0))</f>
        <v>19.3</v>
      </c>
      <c r="S1625" s="2">
        <f ca="1">INDEX(INDIRECT(_xlfn.CONCAT("weather.tbl[",S$1,"]")),MATCH(vp.tbl[[#This Row],[SDate]],weather.tbl[Date],0))</f>
        <v>19.8</v>
      </c>
      <c r="T1625" s="2">
        <f ca="1">INDEX(INDIRECT(_xlfn.CONCAT("weather.tbl[",T$1,"]")),MATCH(vp.tbl[[#This Row],[SDate]],weather.tbl[Date],0))</f>
        <v>17.8</v>
      </c>
      <c r="U1625" s="2">
        <f ca="1">INDEX(INDIRECT(_xlfn.CONCAT("weather.tbl[",U$1,"]")),MATCH(vp.tbl[[#This Row],[SDate]],weather.tbl[Date],0))</f>
        <v>18.5</v>
      </c>
      <c r="V1625" s="2" t="s">
        <v>310</v>
      </c>
      <c r="W1625" t="s">
        <v>48</v>
      </c>
      <c r="X1625">
        <f>IF(OR(vp.tbl[[#This Row],[Sulf]]="",vp.tbl[[#This Row],[Dens]]=""),1,0)</f>
        <v>1</v>
      </c>
      <c r="Y1625">
        <f>IF(vp.tbl[[#This Row],[CrudeType]]="C5+",1,0)</f>
        <v>0</v>
      </c>
      <c r="Z1625">
        <f>IF(AND(vp.tbl[[#This Row],[CrudeType]]="Crude",vp.tbl[[#This Row],[Dens]]&lt;=825,vp.tbl[[#This Row],[Sulf]]&gt;0.5,vp.tbl[[#This Row],[Unknown]]=0),1,0)</f>
        <v>0</v>
      </c>
      <c r="AA1625">
        <f>IF(AND(vp.tbl[[#This Row],[CrudeType]]="Crude",vp.tbl[[#This Row],[Dens]]&lt;=825,vp.tbl[[#This Row],[Sulf]]&lt;=0.5,vp.tbl[[#This Row],[Unknown]]=0),1,0)</f>
        <v>0</v>
      </c>
      <c r="AB1625">
        <f>IF(AND(vp.tbl[[#This Row],[CrudeType]]="Crude",vp.tbl[[#This Row],[Dens]]&gt;825,vp.tbl[[#This Row],[Dens]]&lt;=870,vp.tbl[[#This Row],[Sulf]]&gt;0.5,vp.tbl[[#This Row],[Unknown]]=0),1,0)</f>
        <v>0</v>
      </c>
      <c r="AC1625">
        <f>IF(AND(vp.tbl[[#This Row],[CrudeType]]="Crude",vp.tbl[[#This Row],[Dens]]&gt;825,vp.tbl[[#This Row],[Dens]]&lt;=900,vp.tbl[[#This Row],[Sulf]]&lt;=0.5,vp.tbl[[#This Row],[Unknown]]=0),1,0)</f>
        <v>0</v>
      </c>
      <c r="AD1625">
        <f>IF(AND(vp.tbl[[#This Row],[CrudeType]]="Crude",vp.tbl[[#This Row],[Dens]]&gt;870,vp.tbl[[#This Row],[Dens]]&lt;=900,vp.tbl[[#This Row],[Sulf]]&gt;0.5,vp.tbl[[#This Row],[Unknown]]=0),1,0)</f>
        <v>0</v>
      </c>
      <c r="AE1625">
        <f>IF(AND(vp.tbl[[#This Row],[CrudeType]]="Crude",vp.tbl[[#This Row],[Dens]]&gt;900,vp.tbl[[#This Row],[Sulf]]&lt;=0.5,vp.tbl[[#This Row],[Unknown]]=0),1,0)</f>
        <v>0</v>
      </c>
      <c r="AF1625">
        <f>IF(AND(vp.tbl[[#This Row],[CrudeType]]="Crude",vp.tbl[[#This Row],[Dens]]&gt;900,vp.tbl[[#This Row],[Sulf]]&lt;=0.5,vp.tbl[[#This Row],[Unknown]]=0),1,0)</f>
        <v>0</v>
      </c>
      <c r="AG1625" t="str">
        <f>INDEX(vp.tbl[[#Headers],[Unknown]:[Heavy_SW]],MATCH(1,vp.tbl[[#This Row],[Unknown]:[Heavy_SW]],0))</f>
        <v>Unknown</v>
      </c>
      <c r="AH1625" t="e">
        <f>INDEX([1]!crudeBD.lkup[Number],MATCH(vp.tbl[[#This Row],[Crude_Breakdown]],[1]!crudeBD.lkup[Crude Breakdown],0))</f>
        <v>#REF!</v>
      </c>
      <c r="AI1625">
        <f>MONTH(vp.tbl[[#This Row],[SDate]])</f>
        <v>6</v>
      </c>
      <c r="AJ1625" s="5" t="str">
        <f>IFERROR(vp.tbl[[#This Row],[Sulf]]*vp.tbl[[#This Row],[Net Dens]],"")</f>
        <v/>
      </c>
      <c r="AK1625" s="5" t="str">
        <f>IFERROR(vp.tbl[[#This Row],[Dens]]*vp.tbl[[#This Row],[VolumeM3]],"")</f>
        <v/>
      </c>
      <c r="AL1625" s="5" t="str">
        <f>IFERROR(vp.tbl[[#This Row],[VP]]*vp.tbl[[#This Row],[VolumeM3]],"")</f>
        <v/>
      </c>
      <c r="AM1625" s="4">
        <f>IFERROR((vp.tbl[[#This Row],[VP]]-INDEX(crudeBD.lkup.complete[Mean_VP],MATCH(vp.tbl[[#This Row],[Crude_Breakdown]],crudeBD.lkup.complete[Crude Breakdown],0)))^2,"")</f>
        <v>464.19292775849016</v>
      </c>
      <c r="AN1625" s="4" t="str">
        <f>IFERROR((vp.tbl[[#This Row],[Dens]]-INDEX(crudeBD.lkup.complete[Mean_Dens],MATCH(vp.tbl[[#This Row],[Crude_Breakdown]],crudeBD.lkup.complete[Crude Breakdown],0)))^2,"")</f>
        <v/>
      </c>
      <c r="AO1625" s="4" t="str">
        <f>IFERROR((vp.tbl[[#This Row],[Sulf]]-INDEX(crudeBD.lkup.complete[Mean_Sulf],MATCH(vp.tbl[[#This Row],[Crude_Breakdown]],crudeBD.lkup.complete[Crude Breakdown],0)))^2,"")</f>
        <v/>
      </c>
      <c r="AP1625">
        <f>IF(AND(vp.tbl[[#This Row],[SDate]]&gt;=DATE(YEAR(vp.tbl[[#This Row],[SDate]]),5,1),vp.tbl[[#This Row],[SDate]]&lt;=DATE(YEAR(vp.tbl[[#This Row],[SDate]]),9,15)),1,0)</f>
        <v>1</v>
      </c>
      <c r="AQ1625" s="15">
        <f>IF(vp.tbl[[#This Row],[SDate]]&lt;DATE(2016,12,1),0,1)</f>
        <v>1</v>
      </c>
    </row>
    <row r="1626" spans="1:43" x14ac:dyDescent="0.25">
      <c r="A1626">
        <v>1625</v>
      </c>
      <c r="B1626" t="s">
        <v>49</v>
      </c>
      <c r="C1626" t="s">
        <v>49</v>
      </c>
      <c r="D1626" t="s">
        <v>114</v>
      </c>
      <c r="F1626" s="1">
        <v>42895</v>
      </c>
      <c r="G1626" s="2">
        <v>62.7</v>
      </c>
      <c r="H1626" s="2"/>
      <c r="I1626" s="2" t="s">
        <v>310</v>
      </c>
      <c r="J1626" s="2"/>
      <c r="K1626" s="2"/>
      <c r="L1626" s="2"/>
      <c r="M1626" s="2" t="s">
        <v>310</v>
      </c>
      <c r="N1626" s="2">
        <f ca="1">INDEX(INDIRECT(_xlfn.CONCAT("weather.tbl[",N$1,"]")),MATCH(vp.tbl[[#This Row],[SDate]],weather.tbl[Date],0))</f>
        <v>19.233333333333331</v>
      </c>
      <c r="O1626" s="2">
        <f ca="1">INDEX(INDIRECT(_xlfn.CONCAT("weather.tbl[",O$1,"]")),MATCH(vp.tbl[[#This Row],[SDate]],weather.tbl[Date],0))</f>
        <v>18.188095238095237</v>
      </c>
      <c r="P1626" s="2">
        <f ca="1">INDEX(INDIRECT(_xlfn.CONCAT("weather.tbl[",P$1,"]")),MATCH(vp.tbl[[#This Row],[SDate]],weather.tbl[Date],0))</f>
        <v>19.899999999999999</v>
      </c>
      <c r="Q1626" s="2">
        <f ca="1">INDEX(INDIRECT(_xlfn.CONCAT("weather.tbl[",Q$1,"]")),MATCH(vp.tbl[[#This Row],[SDate]],weather.tbl[Date],0))</f>
        <v>20.100000000000001</v>
      </c>
      <c r="R1626" s="2">
        <f ca="1">INDEX(INDIRECT(_xlfn.CONCAT("weather.tbl[",R$1,"]")),MATCH(vp.tbl[[#This Row],[SDate]],weather.tbl[Date],0))</f>
        <v>19.3</v>
      </c>
      <c r="S1626" s="2">
        <f ca="1">INDEX(INDIRECT(_xlfn.CONCAT("weather.tbl[",S$1,"]")),MATCH(vp.tbl[[#This Row],[SDate]],weather.tbl[Date],0))</f>
        <v>19.8</v>
      </c>
      <c r="T1626" s="2">
        <f ca="1">INDEX(INDIRECT(_xlfn.CONCAT("weather.tbl[",T$1,"]")),MATCH(vp.tbl[[#This Row],[SDate]],weather.tbl[Date],0))</f>
        <v>17.8</v>
      </c>
      <c r="U1626" s="2">
        <f ca="1">INDEX(INDIRECT(_xlfn.CONCAT("weather.tbl[",U$1,"]")),MATCH(vp.tbl[[#This Row],[SDate]],weather.tbl[Date],0))</f>
        <v>18.5</v>
      </c>
      <c r="V1626" s="2" t="s">
        <v>310</v>
      </c>
      <c r="W1626" t="s">
        <v>48</v>
      </c>
      <c r="X1626">
        <f>IF(OR(vp.tbl[[#This Row],[Sulf]]="",vp.tbl[[#This Row],[Dens]]=""),1,0)</f>
        <v>1</v>
      </c>
      <c r="Y1626">
        <f>IF(vp.tbl[[#This Row],[CrudeType]]="C5+",1,0)</f>
        <v>0</v>
      </c>
      <c r="Z1626">
        <f>IF(AND(vp.tbl[[#This Row],[CrudeType]]="Crude",vp.tbl[[#This Row],[Dens]]&lt;=825,vp.tbl[[#This Row],[Sulf]]&gt;0.5,vp.tbl[[#This Row],[Unknown]]=0),1,0)</f>
        <v>0</v>
      </c>
      <c r="AA1626">
        <f>IF(AND(vp.tbl[[#This Row],[CrudeType]]="Crude",vp.tbl[[#This Row],[Dens]]&lt;=825,vp.tbl[[#This Row],[Sulf]]&lt;=0.5,vp.tbl[[#This Row],[Unknown]]=0),1,0)</f>
        <v>0</v>
      </c>
      <c r="AB1626">
        <f>IF(AND(vp.tbl[[#This Row],[CrudeType]]="Crude",vp.tbl[[#This Row],[Dens]]&gt;825,vp.tbl[[#This Row],[Dens]]&lt;=870,vp.tbl[[#This Row],[Sulf]]&gt;0.5,vp.tbl[[#This Row],[Unknown]]=0),1,0)</f>
        <v>0</v>
      </c>
      <c r="AC1626">
        <f>IF(AND(vp.tbl[[#This Row],[CrudeType]]="Crude",vp.tbl[[#This Row],[Dens]]&gt;825,vp.tbl[[#This Row],[Dens]]&lt;=900,vp.tbl[[#This Row],[Sulf]]&lt;=0.5,vp.tbl[[#This Row],[Unknown]]=0),1,0)</f>
        <v>0</v>
      </c>
      <c r="AD1626">
        <f>IF(AND(vp.tbl[[#This Row],[CrudeType]]="Crude",vp.tbl[[#This Row],[Dens]]&gt;870,vp.tbl[[#This Row],[Dens]]&lt;=900,vp.tbl[[#This Row],[Sulf]]&gt;0.5,vp.tbl[[#This Row],[Unknown]]=0),1,0)</f>
        <v>0</v>
      </c>
      <c r="AE1626">
        <f>IF(AND(vp.tbl[[#This Row],[CrudeType]]="Crude",vp.tbl[[#This Row],[Dens]]&gt;900,vp.tbl[[#This Row],[Sulf]]&lt;=0.5,vp.tbl[[#This Row],[Unknown]]=0),1,0)</f>
        <v>0</v>
      </c>
      <c r="AF1626">
        <f>IF(AND(vp.tbl[[#This Row],[CrudeType]]="Crude",vp.tbl[[#This Row],[Dens]]&gt;900,vp.tbl[[#This Row],[Sulf]]&lt;=0.5,vp.tbl[[#This Row],[Unknown]]=0),1,0)</f>
        <v>0</v>
      </c>
      <c r="AG1626" t="str">
        <f>INDEX(vp.tbl[[#Headers],[Unknown]:[Heavy_SW]],MATCH(1,vp.tbl[[#This Row],[Unknown]:[Heavy_SW]],0))</f>
        <v>Unknown</v>
      </c>
      <c r="AH1626" t="e">
        <f>INDEX([1]!crudeBD.lkup[Number],MATCH(vp.tbl[[#This Row],[Crude_Breakdown]],[1]!crudeBD.lkup[Crude Breakdown],0))</f>
        <v>#REF!</v>
      </c>
      <c r="AI1626">
        <f>MONTH(vp.tbl[[#This Row],[SDate]])</f>
        <v>6</v>
      </c>
      <c r="AJ1626" s="5" t="str">
        <f>IFERROR(vp.tbl[[#This Row],[Sulf]]*vp.tbl[[#This Row],[Net Dens]],"")</f>
        <v/>
      </c>
      <c r="AK1626" s="5" t="str">
        <f>IFERROR(vp.tbl[[#This Row],[Dens]]*vp.tbl[[#This Row],[VolumeM3]],"")</f>
        <v/>
      </c>
      <c r="AL1626" s="5" t="str">
        <f>IFERROR(vp.tbl[[#This Row],[VP]]*vp.tbl[[#This Row],[VolumeM3]],"")</f>
        <v/>
      </c>
      <c r="AM1626" s="4">
        <f>IFERROR((vp.tbl[[#This Row],[VP]]-INDEX(crudeBD.lkup.complete[Mean_VP],MATCH(vp.tbl[[#This Row],[Crude_Breakdown]],crudeBD.lkup.complete[Crude Breakdown],0)))^2,"")</f>
        <v>124.21407844342208</v>
      </c>
      <c r="AN1626" s="4" t="str">
        <f>IFERROR((vp.tbl[[#This Row],[Dens]]-INDEX(crudeBD.lkup.complete[Mean_Dens],MATCH(vp.tbl[[#This Row],[Crude_Breakdown]],crudeBD.lkup.complete[Crude Breakdown],0)))^2,"")</f>
        <v/>
      </c>
      <c r="AO1626" s="4" t="str">
        <f>IFERROR((vp.tbl[[#This Row],[Sulf]]-INDEX(crudeBD.lkup.complete[Mean_Sulf],MATCH(vp.tbl[[#This Row],[Crude_Breakdown]],crudeBD.lkup.complete[Crude Breakdown],0)))^2,"")</f>
        <v/>
      </c>
      <c r="AP1626">
        <f>IF(AND(vp.tbl[[#This Row],[SDate]]&gt;=DATE(YEAR(vp.tbl[[#This Row],[SDate]]),5,1),vp.tbl[[#This Row],[SDate]]&lt;=DATE(YEAR(vp.tbl[[#This Row],[SDate]]),9,15)),1,0)</f>
        <v>1</v>
      </c>
      <c r="AQ1626" s="15">
        <f>IF(vp.tbl[[#This Row],[SDate]]&lt;DATE(2016,12,1),0,1)</f>
        <v>1</v>
      </c>
    </row>
    <row r="1627" spans="1:43" x14ac:dyDescent="0.25">
      <c r="A1627">
        <v>1626</v>
      </c>
      <c r="B1627" t="s">
        <v>49</v>
      </c>
      <c r="C1627" t="s">
        <v>49</v>
      </c>
      <c r="D1627" t="s">
        <v>101</v>
      </c>
      <c r="F1627" s="1">
        <v>42895</v>
      </c>
      <c r="G1627" s="2">
        <v>68.400000000000006</v>
      </c>
      <c r="H1627" s="2"/>
      <c r="I1627" s="2" t="s">
        <v>310</v>
      </c>
      <c r="J1627" s="2"/>
      <c r="K1627" s="2"/>
      <c r="L1627" s="2"/>
      <c r="M1627" s="2" t="s">
        <v>310</v>
      </c>
      <c r="N1627" s="2">
        <f ca="1">INDEX(INDIRECT(_xlfn.CONCAT("weather.tbl[",N$1,"]")),MATCH(vp.tbl[[#This Row],[SDate]],weather.tbl[Date],0))</f>
        <v>19.233333333333331</v>
      </c>
      <c r="O1627" s="2">
        <f ca="1">INDEX(INDIRECT(_xlfn.CONCAT("weather.tbl[",O$1,"]")),MATCH(vp.tbl[[#This Row],[SDate]],weather.tbl[Date],0))</f>
        <v>18.188095238095237</v>
      </c>
      <c r="P1627" s="2">
        <f ca="1">INDEX(INDIRECT(_xlfn.CONCAT("weather.tbl[",P$1,"]")),MATCH(vp.tbl[[#This Row],[SDate]],weather.tbl[Date],0))</f>
        <v>19.899999999999999</v>
      </c>
      <c r="Q1627" s="2">
        <f ca="1">INDEX(INDIRECT(_xlfn.CONCAT("weather.tbl[",Q$1,"]")),MATCH(vp.tbl[[#This Row],[SDate]],weather.tbl[Date],0))</f>
        <v>20.100000000000001</v>
      </c>
      <c r="R1627" s="2">
        <f ca="1">INDEX(INDIRECT(_xlfn.CONCAT("weather.tbl[",R$1,"]")),MATCH(vp.tbl[[#This Row],[SDate]],weather.tbl[Date],0))</f>
        <v>19.3</v>
      </c>
      <c r="S1627" s="2">
        <f ca="1">INDEX(INDIRECT(_xlfn.CONCAT("weather.tbl[",S$1,"]")),MATCH(vp.tbl[[#This Row],[SDate]],weather.tbl[Date],0))</f>
        <v>19.8</v>
      </c>
      <c r="T1627" s="2">
        <f ca="1">INDEX(INDIRECT(_xlfn.CONCAT("weather.tbl[",T$1,"]")),MATCH(vp.tbl[[#This Row],[SDate]],weather.tbl[Date],0))</f>
        <v>17.8</v>
      </c>
      <c r="U1627" s="2">
        <f ca="1">INDEX(INDIRECT(_xlfn.CONCAT("weather.tbl[",U$1,"]")),MATCH(vp.tbl[[#This Row],[SDate]],weather.tbl[Date],0))</f>
        <v>18.5</v>
      </c>
      <c r="V1627" s="2" t="s">
        <v>310</v>
      </c>
      <c r="W1627" t="s">
        <v>48</v>
      </c>
      <c r="X1627">
        <f>IF(OR(vp.tbl[[#This Row],[Sulf]]="",vp.tbl[[#This Row],[Dens]]=""),1,0)</f>
        <v>1</v>
      </c>
      <c r="Y1627">
        <f>IF(vp.tbl[[#This Row],[CrudeType]]="C5+",1,0)</f>
        <v>0</v>
      </c>
      <c r="Z1627">
        <f>IF(AND(vp.tbl[[#This Row],[CrudeType]]="Crude",vp.tbl[[#This Row],[Dens]]&lt;=825,vp.tbl[[#This Row],[Sulf]]&gt;0.5,vp.tbl[[#This Row],[Unknown]]=0),1,0)</f>
        <v>0</v>
      </c>
      <c r="AA1627">
        <f>IF(AND(vp.tbl[[#This Row],[CrudeType]]="Crude",vp.tbl[[#This Row],[Dens]]&lt;=825,vp.tbl[[#This Row],[Sulf]]&lt;=0.5,vp.tbl[[#This Row],[Unknown]]=0),1,0)</f>
        <v>0</v>
      </c>
      <c r="AB1627">
        <f>IF(AND(vp.tbl[[#This Row],[CrudeType]]="Crude",vp.tbl[[#This Row],[Dens]]&gt;825,vp.tbl[[#This Row],[Dens]]&lt;=870,vp.tbl[[#This Row],[Sulf]]&gt;0.5,vp.tbl[[#This Row],[Unknown]]=0),1,0)</f>
        <v>0</v>
      </c>
      <c r="AC1627">
        <f>IF(AND(vp.tbl[[#This Row],[CrudeType]]="Crude",vp.tbl[[#This Row],[Dens]]&gt;825,vp.tbl[[#This Row],[Dens]]&lt;=900,vp.tbl[[#This Row],[Sulf]]&lt;=0.5,vp.tbl[[#This Row],[Unknown]]=0),1,0)</f>
        <v>0</v>
      </c>
      <c r="AD1627">
        <f>IF(AND(vp.tbl[[#This Row],[CrudeType]]="Crude",vp.tbl[[#This Row],[Dens]]&gt;870,vp.tbl[[#This Row],[Dens]]&lt;=900,vp.tbl[[#This Row],[Sulf]]&gt;0.5,vp.tbl[[#This Row],[Unknown]]=0),1,0)</f>
        <v>0</v>
      </c>
      <c r="AE1627">
        <f>IF(AND(vp.tbl[[#This Row],[CrudeType]]="Crude",vp.tbl[[#This Row],[Dens]]&gt;900,vp.tbl[[#This Row],[Sulf]]&lt;=0.5,vp.tbl[[#This Row],[Unknown]]=0),1,0)</f>
        <v>0</v>
      </c>
      <c r="AF1627">
        <f>IF(AND(vp.tbl[[#This Row],[CrudeType]]="Crude",vp.tbl[[#This Row],[Dens]]&gt;900,vp.tbl[[#This Row],[Sulf]]&lt;=0.5,vp.tbl[[#This Row],[Unknown]]=0),1,0)</f>
        <v>0</v>
      </c>
      <c r="AG1627" t="str">
        <f>INDEX(vp.tbl[[#Headers],[Unknown]:[Heavy_SW]],MATCH(1,vp.tbl[[#This Row],[Unknown]:[Heavy_SW]],0))</f>
        <v>Unknown</v>
      </c>
      <c r="AH1627" t="e">
        <f>INDEX([1]!crudeBD.lkup[Number],MATCH(vp.tbl[[#This Row],[Crude_Breakdown]],[1]!crudeBD.lkup[Crude Breakdown],0))</f>
        <v>#REF!</v>
      </c>
      <c r="AI1627">
        <f>MONTH(vp.tbl[[#This Row],[SDate]])</f>
        <v>6</v>
      </c>
      <c r="AJ1627" s="5" t="str">
        <f>IFERROR(vp.tbl[[#This Row],[Sulf]]*vp.tbl[[#This Row],[Net Dens]],"")</f>
        <v/>
      </c>
      <c r="AK1627" s="5" t="str">
        <f>IFERROR(vp.tbl[[#This Row],[Dens]]*vp.tbl[[#This Row],[VolumeM3]],"")</f>
        <v/>
      </c>
      <c r="AL1627" s="5" t="str">
        <f>IFERROR(vp.tbl[[#This Row],[VP]]*vp.tbl[[#This Row],[VolumeM3]],"")</f>
        <v/>
      </c>
      <c r="AM1627" s="4">
        <f>IFERROR((vp.tbl[[#This Row],[VP]]-INDEX(crudeBD.lkup.complete[Mean_VP],MATCH(vp.tbl[[#This Row],[Crude_Breakdown]],crudeBD.lkup.complete[Crude Breakdown],0)))^2,"")</f>
        <v>29.649516799586792</v>
      </c>
      <c r="AN1627" s="4" t="str">
        <f>IFERROR((vp.tbl[[#This Row],[Dens]]-INDEX(crudeBD.lkup.complete[Mean_Dens],MATCH(vp.tbl[[#This Row],[Crude_Breakdown]],crudeBD.lkup.complete[Crude Breakdown],0)))^2,"")</f>
        <v/>
      </c>
      <c r="AO1627" s="4" t="str">
        <f>IFERROR((vp.tbl[[#This Row],[Sulf]]-INDEX(crudeBD.lkup.complete[Mean_Sulf],MATCH(vp.tbl[[#This Row],[Crude_Breakdown]],crudeBD.lkup.complete[Crude Breakdown],0)))^2,"")</f>
        <v/>
      </c>
      <c r="AP1627">
        <f>IF(AND(vp.tbl[[#This Row],[SDate]]&gt;=DATE(YEAR(vp.tbl[[#This Row],[SDate]]),5,1),vp.tbl[[#This Row],[SDate]]&lt;=DATE(YEAR(vp.tbl[[#This Row],[SDate]]),9,15)),1,0)</f>
        <v>1</v>
      </c>
      <c r="AQ1627" s="15">
        <f>IF(vp.tbl[[#This Row],[SDate]]&lt;DATE(2016,12,1),0,1)</f>
        <v>1</v>
      </c>
    </row>
    <row r="1628" spans="1:43" x14ac:dyDescent="0.25">
      <c r="A1628">
        <v>1627</v>
      </c>
      <c r="B1628" t="s">
        <v>62</v>
      </c>
      <c r="C1628" t="s">
        <v>62</v>
      </c>
      <c r="D1628" t="s">
        <v>87</v>
      </c>
      <c r="F1628" s="1">
        <v>42895</v>
      </c>
      <c r="G1628" s="2">
        <v>94.8</v>
      </c>
      <c r="H1628" s="2"/>
      <c r="I1628" s="2" t="s">
        <v>310</v>
      </c>
      <c r="J1628" s="2"/>
      <c r="K1628" s="2"/>
      <c r="L1628" s="2"/>
      <c r="M1628" s="2" t="s">
        <v>310</v>
      </c>
      <c r="N1628" s="2">
        <f ca="1">INDEX(INDIRECT(_xlfn.CONCAT("weather.tbl[",N$1,"]")),MATCH(vp.tbl[[#This Row],[SDate]],weather.tbl[Date],0))</f>
        <v>19.233333333333331</v>
      </c>
      <c r="O1628" s="2">
        <f ca="1">INDEX(INDIRECT(_xlfn.CONCAT("weather.tbl[",O$1,"]")),MATCH(vp.tbl[[#This Row],[SDate]],weather.tbl[Date],0))</f>
        <v>18.188095238095237</v>
      </c>
      <c r="P1628" s="2">
        <f ca="1">INDEX(INDIRECT(_xlfn.CONCAT("weather.tbl[",P$1,"]")),MATCH(vp.tbl[[#This Row],[SDate]],weather.tbl[Date],0))</f>
        <v>19.899999999999999</v>
      </c>
      <c r="Q1628" s="2">
        <f ca="1">INDEX(INDIRECT(_xlfn.CONCAT("weather.tbl[",Q$1,"]")),MATCH(vp.tbl[[#This Row],[SDate]],weather.tbl[Date],0))</f>
        <v>20.100000000000001</v>
      </c>
      <c r="R1628" s="2">
        <f ca="1">INDEX(INDIRECT(_xlfn.CONCAT("weather.tbl[",R$1,"]")),MATCH(vp.tbl[[#This Row],[SDate]],weather.tbl[Date],0))</f>
        <v>19.3</v>
      </c>
      <c r="S1628" s="2">
        <f ca="1">INDEX(INDIRECT(_xlfn.CONCAT("weather.tbl[",S$1,"]")),MATCH(vp.tbl[[#This Row],[SDate]],weather.tbl[Date],0))</f>
        <v>19.8</v>
      </c>
      <c r="T1628" s="2">
        <f ca="1">INDEX(INDIRECT(_xlfn.CONCAT("weather.tbl[",T$1,"]")),MATCH(vp.tbl[[#This Row],[SDate]],weather.tbl[Date],0))</f>
        <v>17.8</v>
      </c>
      <c r="U1628" s="2">
        <f ca="1">INDEX(INDIRECT(_xlfn.CONCAT("weather.tbl[",U$1,"]")),MATCH(vp.tbl[[#This Row],[SDate]],weather.tbl[Date],0))</f>
        <v>18.5</v>
      </c>
      <c r="V1628" s="2" t="s">
        <v>310</v>
      </c>
      <c r="W1628" t="s">
        <v>48</v>
      </c>
      <c r="X1628">
        <f>IF(OR(vp.tbl[[#This Row],[Sulf]]="",vp.tbl[[#This Row],[Dens]]=""),1,0)</f>
        <v>1</v>
      </c>
      <c r="Y1628">
        <f>IF(vp.tbl[[#This Row],[CrudeType]]="C5+",1,0)</f>
        <v>0</v>
      </c>
      <c r="Z1628">
        <f>IF(AND(vp.tbl[[#This Row],[CrudeType]]="Crude",vp.tbl[[#This Row],[Dens]]&lt;=825,vp.tbl[[#This Row],[Sulf]]&gt;0.5,vp.tbl[[#This Row],[Unknown]]=0),1,0)</f>
        <v>0</v>
      </c>
      <c r="AA1628">
        <f>IF(AND(vp.tbl[[#This Row],[CrudeType]]="Crude",vp.tbl[[#This Row],[Dens]]&lt;=825,vp.tbl[[#This Row],[Sulf]]&lt;=0.5,vp.tbl[[#This Row],[Unknown]]=0),1,0)</f>
        <v>0</v>
      </c>
      <c r="AB1628">
        <f>IF(AND(vp.tbl[[#This Row],[CrudeType]]="Crude",vp.tbl[[#This Row],[Dens]]&gt;825,vp.tbl[[#This Row],[Dens]]&lt;=870,vp.tbl[[#This Row],[Sulf]]&gt;0.5,vp.tbl[[#This Row],[Unknown]]=0),1,0)</f>
        <v>0</v>
      </c>
      <c r="AC1628">
        <f>IF(AND(vp.tbl[[#This Row],[CrudeType]]="Crude",vp.tbl[[#This Row],[Dens]]&gt;825,vp.tbl[[#This Row],[Dens]]&lt;=900,vp.tbl[[#This Row],[Sulf]]&lt;=0.5,vp.tbl[[#This Row],[Unknown]]=0),1,0)</f>
        <v>0</v>
      </c>
      <c r="AD1628">
        <f>IF(AND(vp.tbl[[#This Row],[CrudeType]]="Crude",vp.tbl[[#This Row],[Dens]]&gt;870,vp.tbl[[#This Row],[Dens]]&lt;=900,vp.tbl[[#This Row],[Sulf]]&gt;0.5,vp.tbl[[#This Row],[Unknown]]=0),1,0)</f>
        <v>0</v>
      </c>
      <c r="AE1628">
        <f>IF(AND(vp.tbl[[#This Row],[CrudeType]]="Crude",vp.tbl[[#This Row],[Dens]]&gt;900,vp.tbl[[#This Row],[Sulf]]&lt;=0.5,vp.tbl[[#This Row],[Unknown]]=0),1,0)</f>
        <v>0</v>
      </c>
      <c r="AF1628">
        <f>IF(AND(vp.tbl[[#This Row],[CrudeType]]="Crude",vp.tbl[[#This Row],[Dens]]&gt;900,vp.tbl[[#This Row],[Sulf]]&lt;=0.5,vp.tbl[[#This Row],[Unknown]]=0),1,0)</f>
        <v>0</v>
      </c>
      <c r="AG1628" t="str">
        <f>INDEX(vp.tbl[[#Headers],[Unknown]:[Heavy_SW]],MATCH(1,vp.tbl[[#This Row],[Unknown]:[Heavy_SW]],0))</f>
        <v>Unknown</v>
      </c>
      <c r="AH1628" t="e">
        <f>INDEX([1]!crudeBD.lkup[Number],MATCH(vp.tbl[[#This Row],[Crude_Breakdown]],[1]!crudeBD.lkup[Crude Breakdown],0))</f>
        <v>#REF!</v>
      </c>
      <c r="AI1628">
        <f>MONTH(vp.tbl[[#This Row],[SDate]])</f>
        <v>6</v>
      </c>
      <c r="AJ1628" s="5" t="str">
        <f>IFERROR(vp.tbl[[#This Row],[Sulf]]*vp.tbl[[#This Row],[Net Dens]],"")</f>
        <v/>
      </c>
      <c r="AK1628" s="5" t="str">
        <f>IFERROR(vp.tbl[[#This Row],[Dens]]*vp.tbl[[#This Row],[VolumeM3]],"")</f>
        <v/>
      </c>
      <c r="AL1628" s="5" t="str">
        <f>IFERROR(vp.tbl[[#This Row],[VP]]*vp.tbl[[#This Row],[VolumeM3]],"")</f>
        <v/>
      </c>
      <c r="AM1628" s="4">
        <f>IFERROR((vp.tbl[[#This Row],[VP]]-INDEX(crudeBD.lkup.complete[Mean_VP],MATCH(vp.tbl[[#This Row],[Crude_Breakdown]],crudeBD.lkup.complete[Crude Breakdown],0)))^2,"")</f>
        <v>439.10628392287595</v>
      </c>
      <c r="AN1628" s="4" t="str">
        <f>IFERROR((vp.tbl[[#This Row],[Dens]]-INDEX(crudeBD.lkup.complete[Mean_Dens],MATCH(vp.tbl[[#This Row],[Crude_Breakdown]],crudeBD.lkup.complete[Crude Breakdown],0)))^2,"")</f>
        <v/>
      </c>
      <c r="AO1628" s="4" t="str">
        <f>IFERROR((vp.tbl[[#This Row],[Sulf]]-INDEX(crudeBD.lkup.complete[Mean_Sulf],MATCH(vp.tbl[[#This Row],[Crude_Breakdown]],crudeBD.lkup.complete[Crude Breakdown],0)))^2,"")</f>
        <v/>
      </c>
      <c r="AP1628">
        <f>IF(AND(vp.tbl[[#This Row],[SDate]]&gt;=DATE(YEAR(vp.tbl[[#This Row],[SDate]]),5,1),vp.tbl[[#This Row],[SDate]]&lt;=DATE(YEAR(vp.tbl[[#This Row],[SDate]]),9,15)),1,0)</f>
        <v>1</v>
      </c>
      <c r="AQ1628" s="15">
        <f>IF(vp.tbl[[#This Row],[SDate]]&lt;DATE(2016,12,1),0,1)</f>
        <v>1</v>
      </c>
    </row>
    <row r="1629" spans="1:43" x14ac:dyDescent="0.25">
      <c r="A1629">
        <v>1628</v>
      </c>
      <c r="B1629" t="s">
        <v>211</v>
      </c>
      <c r="C1629" t="s">
        <v>211</v>
      </c>
      <c r="D1629" t="s">
        <v>212</v>
      </c>
      <c r="F1629" s="1">
        <v>42895</v>
      </c>
      <c r="G1629" s="2">
        <v>74</v>
      </c>
      <c r="H1629" s="2"/>
      <c r="I1629" s="2" t="s">
        <v>310</v>
      </c>
      <c r="J1629" s="2"/>
      <c r="K1629" s="2"/>
      <c r="L1629" s="2"/>
      <c r="M1629" s="2" t="s">
        <v>310</v>
      </c>
      <c r="N1629" s="2">
        <f ca="1">INDEX(INDIRECT(_xlfn.CONCAT("weather.tbl[",N$1,"]")),MATCH(vp.tbl[[#This Row],[SDate]],weather.tbl[Date],0))</f>
        <v>19.233333333333331</v>
      </c>
      <c r="O1629" s="2">
        <f ca="1">INDEX(INDIRECT(_xlfn.CONCAT("weather.tbl[",O$1,"]")),MATCH(vp.tbl[[#This Row],[SDate]],weather.tbl[Date],0))</f>
        <v>18.188095238095237</v>
      </c>
      <c r="P1629" s="2">
        <f ca="1">INDEX(INDIRECT(_xlfn.CONCAT("weather.tbl[",P$1,"]")),MATCH(vp.tbl[[#This Row],[SDate]],weather.tbl[Date],0))</f>
        <v>19.899999999999999</v>
      </c>
      <c r="Q1629" s="2">
        <f ca="1">INDEX(INDIRECT(_xlfn.CONCAT("weather.tbl[",Q$1,"]")),MATCH(vp.tbl[[#This Row],[SDate]],weather.tbl[Date],0))</f>
        <v>20.100000000000001</v>
      </c>
      <c r="R1629" s="2">
        <f ca="1">INDEX(INDIRECT(_xlfn.CONCAT("weather.tbl[",R$1,"]")),MATCH(vp.tbl[[#This Row],[SDate]],weather.tbl[Date],0))</f>
        <v>19.3</v>
      </c>
      <c r="S1629" s="2">
        <f ca="1">INDEX(INDIRECT(_xlfn.CONCAT("weather.tbl[",S$1,"]")),MATCH(vp.tbl[[#This Row],[SDate]],weather.tbl[Date],0))</f>
        <v>19.8</v>
      </c>
      <c r="T1629" s="2">
        <f ca="1">INDEX(INDIRECT(_xlfn.CONCAT("weather.tbl[",T$1,"]")),MATCH(vp.tbl[[#This Row],[SDate]],weather.tbl[Date],0))</f>
        <v>17.8</v>
      </c>
      <c r="U1629" s="2">
        <f ca="1">INDEX(INDIRECT(_xlfn.CONCAT("weather.tbl[",U$1,"]")),MATCH(vp.tbl[[#This Row],[SDate]],weather.tbl[Date],0))</f>
        <v>18.5</v>
      </c>
      <c r="V1629" s="2" t="s">
        <v>310</v>
      </c>
      <c r="W1629" t="s">
        <v>48</v>
      </c>
      <c r="X1629">
        <f>IF(OR(vp.tbl[[#This Row],[Sulf]]="",vp.tbl[[#This Row],[Dens]]=""),1,0)</f>
        <v>1</v>
      </c>
      <c r="Y1629">
        <f>IF(vp.tbl[[#This Row],[CrudeType]]="C5+",1,0)</f>
        <v>0</v>
      </c>
      <c r="Z1629">
        <f>IF(AND(vp.tbl[[#This Row],[CrudeType]]="Crude",vp.tbl[[#This Row],[Dens]]&lt;=825,vp.tbl[[#This Row],[Sulf]]&gt;0.5,vp.tbl[[#This Row],[Unknown]]=0),1,0)</f>
        <v>0</v>
      </c>
      <c r="AA1629">
        <f>IF(AND(vp.tbl[[#This Row],[CrudeType]]="Crude",vp.tbl[[#This Row],[Dens]]&lt;=825,vp.tbl[[#This Row],[Sulf]]&lt;=0.5,vp.tbl[[#This Row],[Unknown]]=0),1,0)</f>
        <v>0</v>
      </c>
      <c r="AB1629">
        <f>IF(AND(vp.tbl[[#This Row],[CrudeType]]="Crude",vp.tbl[[#This Row],[Dens]]&gt;825,vp.tbl[[#This Row],[Dens]]&lt;=870,vp.tbl[[#This Row],[Sulf]]&gt;0.5,vp.tbl[[#This Row],[Unknown]]=0),1,0)</f>
        <v>0</v>
      </c>
      <c r="AC1629">
        <f>IF(AND(vp.tbl[[#This Row],[CrudeType]]="Crude",vp.tbl[[#This Row],[Dens]]&gt;825,vp.tbl[[#This Row],[Dens]]&lt;=900,vp.tbl[[#This Row],[Sulf]]&lt;=0.5,vp.tbl[[#This Row],[Unknown]]=0),1,0)</f>
        <v>0</v>
      </c>
      <c r="AD1629">
        <f>IF(AND(vp.tbl[[#This Row],[CrudeType]]="Crude",vp.tbl[[#This Row],[Dens]]&gt;870,vp.tbl[[#This Row],[Dens]]&lt;=900,vp.tbl[[#This Row],[Sulf]]&gt;0.5,vp.tbl[[#This Row],[Unknown]]=0),1,0)</f>
        <v>0</v>
      </c>
      <c r="AE1629">
        <f>IF(AND(vp.tbl[[#This Row],[CrudeType]]="Crude",vp.tbl[[#This Row],[Dens]]&gt;900,vp.tbl[[#This Row],[Sulf]]&lt;=0.5,vp.tbl[[#This Row],[Unknown]]=0),1,0)</f>
        <v>0</v>
      </c>
      <c r="AF1629">
        <f>IF(AND(vp.tbl[[#This Row],[CrudeType]]="Crude",vp.tbl[[#This Row],[Dens]]&gt;900,vp.tbl[[#This Row],[Sulf]]&lt;=0.5,vp.tbl[[#This Row],[Unknown]]=0),1,0)</f>
        <v>0</v>
      </c>
      <c r="AG1629" t="str">
        <f>INDEX(vp.tbl[[#Headers],[Unknown]:[Heavy_SW]],MATCH(1,vp.tbl[[#This Row],[Unknown]:[Heavy_SW]],0))</f>
        <v>Unknown</v>
      </c>
      <c r="AH1629" t="e">
        <f>INDEX([1]!crudeBD.lkup[Number],MATCH(vp.tbl[[#This Row],[Crude_Breakdown]],[1]!crudeBD.lkup[Crude Breakdown],0))</f>
        <v>#REF!</v>
      </c>
      <c r="AI1629">
        <f>MONTH(vp.tbl[[#This Row],[SDate]])</f>
        <v>6</v>
      </c>
      <c r="AJ1629" s="5" t="str">
        <f>IFERROR(vp.tbl[[#This Row],[Sulf]]*vp.tbl[[#This Row],[Net Dens]],"")</f>
        <v/>
      </c>
      <c r="AK1629" s="5" t="str">
        <f>IFERROR(vp.tbl[[#This Row],[Dens]]*vp.tbl[[#This Row],[VolumeM3]],"")</f>
        <v/>
      </c>
      <c r="AL1629" s="5" t="str">
        <f>IFERROR(vp.tbl[[#This Row],[VP]]*vp.tbl[[#This Row],[VolumeM3]],"")</f>
        <v/>
      </c>
      <c r="AM1629" s="4">
        <f>IFERROR((vp.tbl[[#This Row],[VP]]-INDEX(crudeBD.lkup.complete[Mean_VP],MATCH(vp.tbl[[#This Row],[Crude_Breakdown]],crudeBD.lkup.complete[Crude Breakdown],0)))^2,"")</f>
        <v>2.3982553011830998E-2</v>
      </c>
      <c r="AN1629" s="4" t="str">
        <f>IFERROR((vp.tbl[[#This Row],[Dens]]-INDEX(crudeBD.lkup.complete[Mean_Dens],MATCH(vp.tbl[[#This Row],[Crude_Breakdown]],crudeBD.lkup.complete[Crude Breakdown],0)))^2,"")</f>
        <v/>
      </c>
      <c r="AO1629" s="4" t="str">
        <f>IFERROR((vp.tbl[[#This Row],[Sulf]]-INDEX(crudeBD.lkup.complete[Mean_Sulf],MATCH(vp.tbl[[#This Row],[Crude_Breakdown]],crudeBD.lkup.complete[Crude Breakdown],0)))^2,"")</f>
        <v/>
      </c>
      <c r="AP1629">
        <f>IF(AND(vp.tbl[[#This Row],[SDate]]&gt;=DATE(YEAR(vp.tbl[[#This Row],[SDate]]),5,1),vp.tbl[[#This Row],[SDate]]&lt;=DATE(YEAR(vp.tbl[[#This Row],[SDate]]),9,15)),1,0)</f>
        <v>1</v>
      </c>
      <c r="AQ1629" s="15">
        <f>IF(vp.tbl[[#This Row],[SDate]]&lt;DATE(2016,12,1),0,1)</f>
        <v>1</v>
      </c>
    </row>
    <row r="1630" spans="1:43" x14ac:dyDescent="0.25">
      <c r="A1630">
        <v>1629</v>
      </c>
      <c r="B1630" t="s">
        <v>291</v>
      </c>
      <c r="C1630" t="s">
        <v>291</v>
      </c>
      <c r="D1630" t="s">
        <v>113</v>
      </c>
      <c r="F1630" s="1">
        <v>42895</v>
      </c>
      <c r="G1630" s="2">
        <v>75.099999999999994</v>
      </c>
      <c r="H1630" s="2"/>
      <c r="I1630" s="2" t="s">
        <v>310</v>
      </c>
      <c r="J1630" s="2"/>
      <c r="K1630" s="2"/>
      <c r="L1630" s="2"/>
      <c r="M1630" s="2" t="s">
        <v>310</v>
      </c>
      <c r="N1630" s="2">
        <f ca="1">INDEX(INDIRECT(_xlfn.CONCAT("weather.tbl[",N$1,"]")),MATCH(vp.tbl[[#This Row],[SDate]],weather.tbl[Date],0))</f>
        <v>19.233333333333331</v>
      </c>
      <c r="O1630" s="2">
        <f ca="1">INDEX(INDIRECT(_xlfn.CONCAT("weather.tbl[",O$1,"]")),MATCH(vp.tbl[[#This Row],[SDate]],weather.tbl[Date],0))</f>
        <v>18.188095238095237</v>
      </c>
      <c r="P1630" s="2">
        <f ca="1">INDEX(INDIRECT(_xlfn.CONCAT("weather.tbl[",P$1,"]")),MATCH(vp.tbl[[#This Row],[SDate]],weather.tbl[Date],0))</f>
        <v>19.899999999999999</v>
      </c>
      <c r="Q1630" s="2">
        <f ca="1">INDEX(INDIRECT(_xlfn.CONCAT("weather.tbl[",Q$1,"]")),MATCH(vp.tbl[[#This Row],[SDate]],weather.tbl[Date],0))</f>
        <v>20.100000000000001</v>
      </c>
      <c r="R1630" s="2">
        <f ca="1">INDEX(INDIRECT(_xlfn.CONCAT("weather.tbl[",R$1,"]")),MATCH(vp.tbl[[#This Row],[SDate]],weather.tbl[Date],0))</f>
        <v>19.3</v>
      </c>
      <c r="S1630" s="2">
        <f ca="1">INDEX(INDIRECT(_xlfn.CONCAT("weather.tbl[",S$1,"]")),MATCH(vp.tbl[[#This Row],[SDate]],weather.tbl[Date],0))</f>
        <v>19.8</v>
      </c>
      <c r="T1630" s="2">
        <f ca="1">INDEX(INDIRECT(_xlfn.CONCAT("weather.tbl[",T$1,"]")),MATCH(vp.tbl[[#This Row],[SDate]],weather.tbl[Date],0))</f>
        <v>17.8</v>
      </c>
      <c r="U1630" s="2">
        <f ca="1">INDEX(INDIRECT(_xlfn.CONCAT("weather.tbl[",U$1,"]")),MATCH(vp.tbl[[#This Row],[SDate]],weather.tbl[Date],0))</f>
        <v>18.5</v>
      </c>
      <c r="V1630" s="2" t="s">
        <v>310</v>
      </c>
      <c r="W1630" t="s">
        <v>48</v>
      </c>
      <c r="X1630">
        <f>IF(OR(vp.tbl[[#This Row],[Sulf]]="",vp.tbl[[#This Row],[Dens]]=""),1,0)</f>
        <v>1</v>
      </c>
      <c r="Y1630">
        <f>IF(vp.tbl[[#This Row],[CrudeType]]="C5+",1,0)</f>
        <v>0</v>
      </c>
      <c r="Z1630">
        <f>IF(AND(vp.tbl[[#This Row],[CrudeType]]="Crude",vp.tbl[[#This Row],[Dens]]&lt;=825,vp.tbl[[#This Row],[Sulf]]&gt;0.5,vp.tbl[[#This Row],[Unknown]]=0),1,0)</f>
        <v>0</v>
      </c>
      <c r="AA1630">
        <f>IF(AND(vp.tbl[[#This Row],[CrudeType]]="Crude",vp.tbl[[#This Row],[Dens]]&lt;=825,vp.tbl[[#This Row],[Sulf]]&lt;=0.5,vp.tbl[[#This Row],[Unknown]]=0),1,0)</f>
        <v>0</v>
      </c>
      <c r="AB1630">
        <f>IF(AND(vp.tbl[[#This Row],[CrudeType]]="Crude",vp.tbl[[#This Row],[Dens]]&gt;825,vp.tbl[[#This Row],[Dens]]&lt;=870,vp.tbl[[#This Row],[Sulf]]&gt;0.5,vp.tbl[[#This Row],[Unknown]]=0),1,0)</f>
        <v>0</v>
      </c>
      <c r="AC1630">
        <f>IF(AND(vp.tbl[[#This Row],[CrudeType]]="Crude",vp.tbl[[#This Row],[Dens]]&gt;825,vp.tbl[[#This Row],[Dens]]&lt;=900,vp.tbl[[#This Row],[Sulf]]&lt;=0.5,vp.tbl[[#This Row],[Unknown]]=0),1,0)</f>
        <v>0</v>
      </c>
      <c r="AD1630">
        <f>IF(AND(vp.tbl[[#This Row],[CrudeType]]="Crude",vp.tbl[[#This Row],[Dens]]&gt;870,vp.tbl[[#This Row],[Dens]]&lt;=900,vp.tbl[[#This Row],[Sulf]]&gt;0.5,vp.tbl[[#This Row],[Unknown]]=0),1,0)</f>
        <v>0</v>
      </c>
      <c r="AE1630">
        <f>IF(AND(vp.tbl[[#This Row],[CrudeType]]="Crude",vp.tbl[[#This Row],[Dens]]&gt;900,vp.tbl[[#This Row],[Sulf]]&lt;=0.5,vp.tbl[[#This Row],[Unknown]]=0),1,0)</f>
        <v>0</v>
      </c>
      <c r="AF1630">
        <f>IF(AND(vp.tbl[[#This Row],[CrudeType]]="Crude",vp.tbl[[#This Row],[Dens]]&gt;900,vp.tbl[[#This Row],[Sulf]]&lt;=0.5,vp.tbl[[#This Row],[Unknown]]=0),1,0)</f>
        <v>0</v>
      </c>
      <c r="AG1630" t="str">
        <f>INDEX(vp.tbl[[#Headers],[Unknown]:[Heavy_SW]],MATCH(1,vp.tbl[[#This Row],[Unknown]:[Heavy_SW]],0))</f>
        <v>Unknown</v>
      </c>
      <c r="AH1630" t="e">
        <f>INDEX([1]!crudeBD.lkup[Number],MATCH(vp.tbl[[#This Row],[Crude_Breakdown]],[1]!crudeBD.lkup[Crude Breakdown],0))</f>
        <v>#REF!</v>
      </c>
      <c r="AI1630">
        <f>MONTH(vp.tbl[[#This Row],[SDate]])</f>
        <v>6</v>
      </c>
      <c r="AJ1630" s="5" t="str">
        <f>IFERROR(vp.tbl[[#This Row],[Sulf]]*vp.tbl[[#This Row],[Net Dens]],"")</f>
        <v/>
      </c>
      <c r="AK1630" s="5" t="str">
        <f>IFERROR(vp.tbl[[#This Row],[Dens]]*vp.tbl[[#This Row],[VolumeM3]],"")</f>
        <v/>
      </c>
      <c r="AL1630" s="5" t="str">
        <f>IFERROR(vp.tbl[[#This Row],[VP]]*vp.tbl[[#This Row],[VolumeM3]],"")</f>
        <v/>
      </c>
      <c r="AM1630" s="4">
        <f>IFERROR((vp.tbl[[#This Row],[VP]]-INDEX(crudeBD.lkup.complete[Mean_VP],MATCH(vp.tbl[[#This Row],[Crude_Breakdown]],crudeBD.lkup.complete[Crude Breakdown],0)))^2,"")</f>
        <v>1.5746811831488663</v>
      </c>
      <c r="AN1630" s="4" t="str">
        <f>IFERROR((vp.tbl[[#This Row],[Dens]]-INDEX(crudeBD.lkup.complete[Mean_Dens],MATCH(vp.tbl[[#This Row],[Crude_Breakdown]],crudeBD.lkup.complete[Crude Breakdown],0)))^2,"")</f>
        <v/>
      </c>
      <c r="AO1630" s="4" t="str">
        <f>IFERROR((vp.tbl[[#This Row],[Sulf]]-INDEX(crudeBD.lkup.complete[Mean_Sulf],MATCH(vp.tbl[[#This Row],[Crude_Breakdown]],crudeBD.lkup.complete[Crude Breakdown],0)))^2,"")</f>
        <v/>
      </c>
      <c r="AP1630">
        <f>IF(AND(vp.tbl[[#This Row],[SDate]]&gt;=DATE(YEAR(vp.tbl[[#This Row],[SDate]]),5,1),vp.tbl[[#This Row],[SDate]]&lt;=DATE(YEAR(vp.tbl[[#This Row],[SDate]]),9,15)),1,0)</f>
        <v>1</v>
      </c>
      <c r="AQ1630" s="15">
        <f>IF(vp.tbl[[#This Row],[SDate]]&lt;DATE(2016,12,1),0,1)</f>
        <v>1</v>
      </c>
    </row>
    <row r="1631" spans="1:43" x14ac:dyDescent="0.25">
      <c r="A1631">
        <v>1630</v>
      </c>
      <c r="B1631" t="s">
        <v>51</v>
      </c>
      <c r="C1631" t="s">
        <v>51</v>
      </c>
      <c r="D1631" t="s">
        <v>71</v>
      </c>
      <c r="F1631" s="1">
        <v>42895</v>
      </c>
      <c r="G1631" s="2">
        <v>75.400000000000006</v>
      </c>
      <c r="H1631" s="2"/>
      <c r="I1631" s="2" t="s">
        <v>310</v>
      </c>
      <c r="J1631" s="2"/>
      <c r="K1631" s="2"/>
      <c r="L1631" s="2"/>
      <c r="M1631" s="2" t="s">
        <v>310</v>
      </c>
      <c r="N1631" s="2">
        <f ca="1">INDEX(INDIRECT(_xlfn.CONCAT("weather.tbl[",N$1,"]")),MATCH(vp.tbl[[#This Row],[SDate]],weather.tbl[Date],0))</f>
        <v>19.233333333333331</v>
      </c>
      <c r="O1631" s="2">
        <f ca="1">INDEX(INDIRECT(_xlfn.CONCAT("weather.tbl[",O$1,"]")),MATCH(vp.tbl[[#This Row],[SDate]],weather.tbl[Date],0))</f>
        <v>18.188095238095237</v>
      </c>
      <c r="P1631" s="2">
        <f ca="1">INDEX(INDIRECT(_xlfn.CONCAT("weather.tbl[",P$1,"]")),MATCH(vp.tbl[[#This Row],[SDate]],weather.tbl[Date],0))</f>
        <v>19.899999999999999</v>
      </c>
      <c r="Q1631" s="2">
        <f ca="1">INDEX(INDIRECT(_xlfn.CONCAT("weather.tbl[",Q$1,"]")),MATCH(vp.tbl[[#This Row],[SDate]],weather.tbl[Date],0))</f>
        <v>20.100000000000001</v>
      </c>
      <c r="R1631" s="2">
        <f ca="1">INDEX(INDIRECT(_xlfn.CONCAT("weather.tbl[",R$1,"]")),MATCH(vp.tbl[[#This Row],[SDate]],weather.tbl[Date],0))</f>
        <v>19.3</v>
      </c>
      <c r="S1631" s="2">
        <f ca="1">INDEX(INDIRECT(_xlfn.CONCAT("weather.tbl[",S$1,"]")),MATCH(vp.tbl[[#This Row],[SDate]],weather.tbl[Date],0))</f>
        <v>19.8</v>
      </c>
      <c r="T1631" s="2">
        <f ca="1">INDEX(INDIRECT(_xlfn.CONCAT("weather.tbl[",T$1,"]")),MATCH(vp.tbl[[#This Row],[SDate]],weather.tbl[Date],0))</f>
        <v>17.8</v>
      </c>
      <c r="U1631" s="2">
        <f ca="1">INDEX(INDIRECT(_xlfn.CONCAT("weather.tbl[",U$1,"]")),MATCH(vp.tbl[[#This Row],[SDate]],weather.tbl[Date],0))</f>
        <v>18.5</v>
      </c>
      <c r="V1631" s="2" t="s">
        <v>310</v>
      </c>
      <c r="W1631" t="s">
        <v>48</v>
      </c>
      <c r="X1631">
        <f>IF(OR(vp.tbl[[#This Row],[Sulf]]="",vp.tbl[[#This Row],[Dens]]=""),1,0)</f>
        <v>1</v>
      </c>
      <c r="Y1631">
        <f>IF(vp.tbl[[#This Row],[CrudeType]]="C5+",1,0)</f>
        <v>0</v>
      </c>
      <c r="Z1631">
        <f>IF(AND(vp.tbl[[#This Row],[CrudeType]]="Crude",vp.tbl[[#This Row],[Dens]]&lt;=825,vp.tbl[[#This Row],[Sulf]]&gt;0.5,vp.tbl[[#This Row],[Unknown]]=0),1,0)</f>
        <v>0</v>
      </c>
      <c r="AA1631">
        <f>IF(AND(vp.tbl[[#This Row],[CrudeType]]="Crude",vp.tbl[[#This Row],[Dens]]&lt;=825,vp.tbl[[#This Row],[Sulf]]&lt;=0.5,vp.tbl[[#This Row],[Unknown]]=0),1,0)</f>
        <v>0</v>
      </c>
      <c r="AB1631">
        <f>IF(AND(vp.tbl[[#This Row],[CrudeType]]="Crude",vp.tbl[[#This Row],[Dens]]&gt;825,vp.tbl[[#This Row],[Dens]]&lt;=870,vp.tbl[[#This Row],[Sulf]]&gt;0.5,vp.tbl[[#This Row],[Unknown]]=0),1,0)</f>
        <v>0</v>
      </c>
      <c r="AC1631">
        <f>IF(AND(vp.tbl[[#This Row],[CrudeType]]="Crude",vp.tbl[[#This Row],[Dens]]&gt;825,vp.tbl[[#This Row],[Dens]]&lt;=900,vp.tbl[[#This Row],[Sulf]]&lt;=0.5,vp.tbl[[#This Row],[Unknown]]=0),1,0)</f>
        <v>0</v>
      </c>
      <c r="AD1631">
        <f>IF(AND(vp.tbl[[#This Row],[CrudeType]]="Crude",vp.tbl[[#This Row],[Dens]]&gt;870,vp.tbl[[#This Row],[Dens]]&lt;=900,vp.tbl[[#This Row],[Sulf]]&gt;0.5,vp.tbl[[#This Row],[Unknown]]=0),1,0)</f>
        <v>0</v>
      </c>
      <c r="AE1631">
        <f>IF(AND(vp.tbl[[#This Row],[CrudeType]]="Crude",vp.tbl[[#This Row],[Dens]]&gt;900,vp.tbl[[#This Row],[Sulf]]&lt;=0.5,vp.tbl[[#This Row],[Unknown]]=0),1,0)</f>
        <v>0</v>
      </c>
      <c r="AF1631">
        <f>IF(AND(vp.tbl[[#This Row],[CrudeType]]="Crude",vp.tbl[[#This Row],[Dens]]&gt;900,vp.tbl[[#This Row],[Sulf]]&lt;=0.5,vp.tbl[[#This Row],[Unknown]]=0),1,0)</f>
        <v>0</v>
      </c>
      <c r="AG1631" t="str">
        <f>INDEX(vp.tbl[[#Headers],[Unknown]:[Heavy_SW]],MATCH(1,vp.tbl[[#This Row],[Unknown]:[Heavy_SW]],0))</f>
        <v>Unknown</v>
      </c>
      <c r="AH1631" t="e">
        <f>INDEX([1]!crudeBD.lkup[Number],MATCH(vp.tbl[[#This Row],[Crude_Breakdown]],[1]!crudeBD.lkup[Crude Breakdown],0))</f>
        <v>#REF!</v>
      </c>
      <c r="AI1631">
        <f>MONTH(vp.tbl[[#This Row],[SDate]])</f>
        <v>6</v>
      </c>
      <c r="AJ1631" s="5" t="str">
        <f>IFERROR(vp.tbl[[#This Row],[Sulf]]*vp.tbl[[#This Row],[Net Dens]],"")</f>
        <v/>
      </c>
      <c r="AK1631" s="5" t="str">
        <f>IFERROR(vp.tbl[[#This Row],[Dens]]*vp.tbl[[#This Row],[VolumeM3]],"")</f>
        <v/>
      </c>
      <c r="AL1631" s="5" t="str">
        <f>IFERROR(vp.tbl[[#This Row],[VP]]*vp.tbl[[#This Row],[VolumeM3]],"")</f>
        <v/>
      </c>
      <c r="AM1631" s="4">
        <f>IFERROR((vp.tbl[[#This Row],[VP]]-INDEX(crudeBD.lkup.complete[Mean_VP],MATCH(vp.tbl[[#This Row],[Crude_Breakdown]],crudeBD.lkup.complete[Crude Breakdown],0)))^2,"")</f>
        <v>2.4175989913680933</v>
      </c>
      <c r="AN1631" s="4" t="str">
        <f>IFERROR((vp.tbl[[#This Row],[Dens]]-INDEX(crudeBD.lkup.complete[Mean_Dens],MATCH(vp.tbl[[#This Row],[Crude_Breakdown]],crudeBD.lkup.complete[Crude Breakdown],0)))^2,"")</f>
        <v/>
      </c>
      <c r="AO1631" s="4" t="str">
        <f>IFERROR((vp.tbl[[#This Row],[Sulf]]-INDEX(crudeBD.lkup.complete[Mean_Sulf],MATCH(vp.tbl[[#This Row],[Crude_Breakdown]],crudeBD.lkup.complete[Crude Breakdown],0)))^2,"")</f>
        <v/>
      </c>
      <c r="AP1631">
        <f>IF(AND(vp.tbl[[#This Row],[SDate]]&gt;=DATE(YEAR(vp.tbl[[#This Row],[SDate]]),5,1),vp.tbl[[#This Row],[SDate]]&lt;=DATE(YEAR(vp.tbl[[#This Row],[SDate]]),9,15)),1,0)</f>
        <v>1</v>
      </c>
      <c r="AQ1631" s="15">
        <f>IF(vp.tbl[[#This Row],[SDate]]&lt;DATE(2016,12,1),0,1)</f>
        <v>1</v>
      </c>
    </row>
    <row r="1632" spans="1:43" x14ac:dyDescent="0.25">
      <c r="A1632">
        <v>1631</v>
      </c>
      <c r="B1632" t="s">
        <v>51</v>
      </c>
      <c r="C1632" t="s">
        <v>51</v>
      </c>
      <c r="D1632" t="s">
        <v>72</v>
      </c>
      <c r="F1632" s="1">
        <v>42898</v>
      </c>
      <c r="G1632" s="2">
        <v>94.5</v>
      </c>
      <c r="H1632" s="2"/>
      <c r="I1632" s="2" t="s">
        <v>310</v>
      </c>
      <c r="J1632" s="2"/>
      <c r="K1632" s="2"/>
      <c r="L1632" s="2"/>
      <c r="M1632" s="2" t="s">
        <v>310</v>
      </c>
      <c r="N1632" s="2">
        <f ca="1">INDEX(INDIRECT(_xlfn.CONCAT("weather.tbl[",N$1,"]")),MATCH(vp.tbl[[#This Row],[SDate]],weather.tbl[Date],0))</f>
        <v>16.616666666666664</v>
      </c>
      <c r="O1632" s="2">
        <f ca="1">INDEX(INDIRECT(_xlfn.CONCAT("weather.tbl[",O$1,"]")),MATCH(vp.tbl[[#This Row],[SDate]],weather.tbl[Date],0))</f>
        <v>17.138095238095236</v>
      </c>
      <c r="P1632" s="2">
        <f ca="1">INDEX(INDIRECT(_xlfn.CONCAT("weather.tbl[",P$1,"]")),MATCH(vp.tbl[[#This Row],[SDate]],weather.tbl[Date],0))</f>
        <v>16.8</v>
      </c>
      <c r="Q1632" s="2">
        <f ca="1">INDEX(INDIRECT(_xlfn.CONCAT("weather.tbl[",Q$1,"]")),MATCH(vp.tbl[[#This Row],[SDate]],weather.tbl[Date],0))</f>
        <v>16.899999999999999</v>
      </c>
      <c r="R1632" s="2">
        <f ca="1">INDEX(INDIRECT(_xlfn.CONCAT("weather.tbl[",R$1,"]")),MATCH(vp.tbl[[#This Row],[SDate]],weather.tbl[Date],0))</f>
        <v>17</v>
      </c>
      <c r="S1632" s="2">
        <f ca="1">INDEX(INDIRECT(_xlfn.CONCAT("weather.tbl[",S$1,"]")),MATCH(vp.tbl[[#This Row],[SDate]],weather.tbl[Date],0))</f>
        <v>16.399999999999999</v>
      </c>
      <c r="T1632" s="2">
        <f ca="1">INDEX(INDIRECT(_xlfn.CONCAT("weather.tbl[",T$1,"]")),MATCH(vp.tbl[[#This Row],[SDate]],weather.tbl[Date],0))</f>
        <v>16.100000000000001</v>
      </c>
      <c r="U1632" s="2">
        <f ca="1">INDEX(INDIRECT(_xlfn.CONCAT("weather.tbl[",U$1,"]")),MATCH(vp.tbl[[#This Row],[SDate]],weather.tbl[Date],0))</f>
        <v>16.5</v>
      </c>
      <c r="V1632" s="2" t="s">
        <v>310</v>
      </c>
      <c r="W1632" t="s">
        <v>48</v>
      </c>
      <c r="X1632">
        <f>IF(OR(vp.tbl[[#This Row],[Sulf]]="",vp.tbl[[#This Row],[Dens]]=""),1,0)</f>
        <v>1</v>
      </c>
      <c r="Y1632">
        <f>IF(vp.tbl[[#This Row],[CrudeType]]="C5+",1,0)</f>
        <v>0</v>
      </c>
      <c r="Z1632">
        <f>IF(AND(vp.tbl[[#This Row],[CrudeType]]="Crude",vp.tbl[[#This Row],[Dens]]&lt;=825,vp.tbl[[#This Row],[Sulf]]&gt;0.5,vp.tbl[[#This Row],[Unknown]]=0),1,0)</f>
        <v>0</v>
      </c>
      <c r="AA1632">
        <f>IF(AND(vp.tbl[[#This Row],[CrudeType]]="Crude",vp.tbl[[#This Row],[Dens]]&lt;=825,vp.tbl[[#This Row],[Sulf]]&lt;=0.5,vp.tbl[[#This Row],[Unknown]]=0),1,0)</f>
        <v>0</v>
      </c>
      <c r="AB1632">
        <f>IF(AND(vp.tbl[[#This Row],[CrudeType]]="Crude",vp.tbl[[#This Row],[Dens]]&gt;825,vp.tbl[[#This Row],[Dens]]&lt;=870,vp.tbl[[#This Row],[Sulf]]&gt;0.5,vp.tbl[[#This Row],[Unknown]]=0),1,0)</f>
        <v>0</v>
      </c>
      <c r="AC1632">
        <f>IF(AND(vp.tbl[[#This Row],[CrudeType]]="Crude",vp.tbl[[#This Row],[Dens]]&gt;825,vp.tbl[[#This Row],[Dens]]&lt;=900,vp.tbl[[#This Row],[Sulf]]&lt;=0.5,vp.tbl[[#This Row],[Unknown]]=0),1,0)</f>
        <v>0</v>
      </c>
      <c r="AD1632">
        <f>IF(AND(vp.tbl[[#This Row],[CrudeType]]="Crude",vp.tbl[[#This Row],[Dens]]&gt;870,vp.tbl[[#This Row],[Dens]]&lt;=900,vp.tbl[[#This Row],[Sulf]]&gt;0.5,vp.tbl[[#This Row],[Unknown]]=0),1,0)</f>
        <v>0</v>
      </c>
      <c r="AE1632">
        <f>IF(AND(vp.tbl[[#This Row],[CrudeType]]="Crude",vp.tbl[[#This Row],[Dens]]&gt;900,vp.tbl[[#This Row],[Sulf]]&lt;=0.5,vp.tbl[[#This Row],[Unknown]]=0),1,0)</f>
        <v>0</v>
      </c>
      <c r="AF1632">
        <f>IF(AND(vp.tbl[[#This Row],[CrudeType]]="Crude",vp.tbl[[#This Row],[Dens]]&gt;900,vp.tbl[[#This Row],[Sulf]]&lt;=0.5,vp.tbl[[#This Row],[Unknown]]=0),1,0)</f>
        <v>0</v>
      </c>
      <c r="AG1632" t="str">
        <f>INDEX(vp.tbl[[#Headers],[Unknown]:[Heavy_SW]],MATCH(1,vp.tbl[[#This Row],[Unknown]:[Heavy_SW]],0))</f>
        <v>Unknown</v>
      </c>
      <c r="AH1632" t="e">
        <f>INDEX([1]!crudeBD.lkup[Number],MATCH(vp.tbl[[#This Row],[Crude_Breakdown]],[1]!crudeBD.lkup[Crude Breakdown],0))</f>
        <v>#REF!</v>
      </c>
      <c r="AI1632">
        <f>MONTH(vp.tbl[[#This Row],[SDate]])</f>
        <v>6</v>
      </c>
      <c r="AJ1632" s="5" t="str">
        <f>IFERROR(vp.tbl[[#This Row],[Sulf]]*vp.tbl[[#This Row],[Net Dens]],"")</f>
        <v/>
      </c>
      <c r="AK1632" s="5" t="str">
        <f>IFERROR(vp.tbl[[#This Row],[Dens]]*vp.tbl[[#This Row],[VolumeM3]],"")</f>
        <v/>
      </c>
      <c r="AL1632" s="5" t="str">
        <f>IFERROR(vp.tbl[[#This Row],[VP]]*vp.tbl[[#This Row],[VolumeM3]],"")</f>
        <v/>
      </c>
      <c r="AM1632" s="4">
        <f>IFERROR((vp.tbl[[#This Row],[VP]]-INDEX(crudeBD.lkup.complete[Mean_VP],MATCH(vp.tbl[[#This Row],[Crude_Breakdown]],crudeBD.lkup.complete[Crude Breakdown],0)))^2,"")</f>
        <v>426.62336611465685</v>
      </c>
      <c r="AN1632" s="4" t="str">
        <f>IFERROR((vp.tbl[[#This Row],[Dens]]-INDEX(crudeBD.lkup.complete[Mean_Dens],MATCH(vp.tbl[[#This Row],[Crude_Breakdown]],crudeBD.lkup.complete[Crude Breakdown],0)))^2,"")</f>
        <v/>
      </c>
      <c r="AO1632" s="4" t="str">
        <f>IFERROR((vp.tbl[[#This Row],[Sulf]]-INDEX(crudeBD.lkup.complete[Mean_Sulf],MATCH(vp.tbl[[#This Row],[Crude_Breakdown]],crudeBD.lkup.complete[Crude Breakdown],0)))^2,"")</f>
        <v/>
      </c>
      <c r="AP1632">
        <f>IF(AND(vp.tbl[[#This Row],[SDate]]&gt;=DATE(YEAR(vp.tbl[[#This Row],[SDate]]),5,1),vp.tbl[[#This Row],[SDate]]&lt;=DATE(YEAR(vp.tbl[[#This Row],[SDate]]),9,15)),1,0)</f>
        <v>1</v>
      </c>
      <c r="AQ1632" s="15">
        <f>IF(vp.tbl[[#This Row],[SDate]]&lt;DATE(2016,12,1),0,1)</f>
        <v>1</v>
      </c>
    </row>
    <row r="1633" spans="1:43" x14ac:dyDescent="0.25">
      <c r="A1633">
        <v>1632</v>
      </c>
      <c r="B1633" t="s">
        <v>60</v>
      </c>
      <c r="C1633" t="s">
        <v>60</v>
      </c>
      <c r="D1633" t="s">
        <v>61</v>
      </c>
      <c r="E1633" t="s">
        <v>289</v>
      </c>
      <c r="F1633" s="1">
        <v>42898</v>
      </c>
      <c r="G1633" s="2">
        <v>88.1</v>
      </c>
      <c r="H1633" s="2"/>
      <c r="I1633" s="2" t="s">
        <v>310</v>
      </c>
      <c r="J1633" s="2"/>
      <c r="K1633" s="2"/>
      <c r="L1633" s="2"/>
      <c r="M1633" s="2" t="s">
        <v>310</v>
      </c>
      <c r="N1633" s="2">
        <f ca="1">INDEX(INDIRECT(_xlfn.CONCAT("weather.tbl[",N$1,"]")),MATCH(vp.tbl[[#This Row],[SDate]],weather.tbl[Date],0))</f>
        <v>16.616666666666664</v>
      </c>
      <c r="O1633" s="2">
        <f ca="1">INDEX(INDIRECT(_xlfn.CONCAT("weather.tbl[",O$1,"]")),MATCH(vp.tbl[[#This Row],[SDate]],weather.tbl[Date],0))</f>
        <v>17.138095238095236</v>
      </c>
      <c r="P1633" s="2">
        <f ca="1">INDEX(INDIRECT(_xlfn.CONCAT("weather.tbl[",P$1,"]")),MATCH(vp.tbl[[#This Row],[SDate]],weather.tbl[Date],0))</f>
        <v>16.8</v>
      </c>
      <c r="Q1633" s="2">
        <f ca="1">INDEX(INDIRECT(_xlfn.CONCAT("weather.tbl[",Q$1,"]")),MATCH(vp.tbl[[#This Row],[SDate]],weather.tbl[Date],0))</f>
        <v>16.899999999999999</v>
      </c>
      <c r="R1633" s="2">
        <f ca="1">INDEX(INDIRECT(_xlfn.CONCAT("weather.tbl[",R$1,"]")),MATCH(vp.tbl[[#This Row],[SDate]],weather.tbl[Date],0))</f>
        <v>17</v>
      </c>
      <c r="S1633" s="2">
        <f ca="1">INDEX(INDIRECT(_xlfn.CONCAT("weather.tbl[",S$1,"]")),MATCH(vp.tbl[[#This Row],[SDate]],weather.tbl[Date],0))</f>
        <v>16.399999999999999</v>
      </c>
      <c r="T1633" s="2">
        <f ca="1">INDEX(INDIRECT(_xlfn.CONCAT("weather.tbl[",T$1,"]")),MATCH(vp.tbl[[#This Row],[SDate]],weather.tbl[Date],0))</f>
        <v>16.100000000000001</v>
      </c>
      <c r="U1633" s="2">
        <f ca="1">INDEX(INDIRECT(_xlfn.CONCAT("weather.tbl[",U$1,"]")),MATCH(vp.tbl[[#This Row],[SDate]],weather.tbl[Date],0))</f>
        <v>16.5</v>
      </c>
      <c r="V1633" s="2" t="s">
        <v>310</v>
      </c>
      <c r="W1633" t="s">
        <v>48</v>
      </c>
      <c r="X1633">
        <f>IF(OR(vp.tbl[[#This Row],[Sulf]]="",vp.tbl[[#This Row],[Dens]]=""),1,0)</f>
        <v>1</v>
      </c>
      <c r="Y1633">
        <f>IF(vp.tbl[[#This Row],[CrudeType]]="C5+",1,0)</f>
        <v>0</v>
      </c>
      <c r="Z1633">
        <f>IF(AND(vp.tbl[[#This Row],[CrudeType]]="Crude",vp.tbl[[#This Row],[Dens]]&lt;=825,vp.tbl[[#This Row],[Sulf]]&gt;0.5,vp.tbl[[#This Row],[Unknown]]=0),1,0)</f>
        <v>0</v>
      </c>
      <c r="AA1633">
        <f>IF(AND(vp.tbl[[#This Row],[CrudeType]]="Crude",vp.tbl[[#This Row],[Dens]]&lt;=825,vp.tbl[[#This Row],[Sulf]]&lt;=0.5,vp.tbl[[#This Row],[Unknown]]=0),1,0)</f>
        <v>0</v>
      </c>
      <c r="AB1633">
        <f>IF(AND(vp.tbl[[#This Row],[CrudeType]]="Crude",vp.tbl[[#This Row],[Dens]]&gt;825,vp.tbl[[#This Row],[Dens]]&lt;=870,vp.tbl[[#This Row],[Sulf]]&gt;0.5,vp.tbl[[#This Row],[Unknown]]=0),1,0)</f>
        <v>0</v>
      </c>
      <c r="AC1633">
        <f>IF(AND(vp.tbl[[#This Row],[CrudeType]]="Crude",vp.tbl[[#This Row],[Dens]]&gt;825,vp.tbl[[#This Row],[Dens]]&lt;=900,vp.tbl[[#This Row],[Sulf]]&lt;=0.5,vp.tbl[[#This Row],[Unknown]]=0),1,0)</f>
        <v>0</v>
      </c>
      <c r="AD1633">
        <f>IF(AND(vp.tbl[[#This Row],[CrudeType]]="Crude",vp.tbl[[#This Row],[Dens]]&gt;870,vp.tbl[[#This Row],[Dens]]&lt;=900,vp.tbl[[#This Row],[Sulf]]&gt;0.5,vp.tbl[[#This Row],[Unknown]]=0),1,0)</f>
        <v>0</v>
      </c>
      <c r="AE1633">
        <f>IF(AND(vp.tbl[[#This Row],[CrudeType]]="Crude",vp.tbl[[#This Row],[Dens]]&gt;900,vp.tbl[[#This Row],[Sulf]]&lt;=0.5,vp.tbl[[#This Row],[Unknown]]=0),1,0)</f>
        <v>0</v>
      </c>
      <c r="AF1633">
        <f>IF(AND(vp.tbl[[#This Row],[CrudeType]]="Crude",vp.tbl[[#This Row],[Dens]]&gt;900,vp.tbl[[#This Row],[Sulf]]&lt;=0.5,vp.tbl[[#This Row],[Unknown]]=0),1,0)</f>
        <v>0</v>
      </c>
      <c r="AG1633" t="str">
        <f>INDEX(vp.tbl[[#Headers],[Unknown]:[Heavy_SW]],MATCH(1,vp.tbl[[#This Row],[Unknown]:[Heavy_SW]],0))</f>
        <v>Unknown</v>
      </c>
      <c r="AH1633" t="e">
        <f>INDEX([1]!crudeBD.lkup[Number],MATCH(vp.tbl[[#This Row],[Crude_Breakdown]],[1]!crudeBD.lkup[Crude Breakdown],0))</f>
        <v>#REF!</v>
      </c>
      <c r="AI1633">
        <f>MONTH(vp.tbl[[#This Row],[SDate]])</f>
        <v>6</v>
      </c>
      <c r="AJ1633" s="5" t="str">
        <f>IFERROR(vp.tbl[[#This Row],[Sulf]]*vp.tbl[[#This Row],[Net Dens]],"")</f>
        <v/>
      </c>
      <c r="AK1633" s="5" t="str">
        <f>IFERROR(vp.tbl[[#This Row],[Dens]]*vp.tbl[[#This Row],[VolumeM3]],"")</f>
        <v/>
      </c>
      <c r="AL1633" s="5" t="str">
        <f>IFERROR(vp.tbl[[#This Row],[VP]]*vp.tbl[[#This Row],[VolumeM3]],"")</f>
        <v/>
      </c>
      <c r="AM1633" s="4">
        <f>IFERROR((vp.tbl[[#This Row],[VP]]-INDEX(crudeBD.lkup.complete[Mean_VP],MATCH(vp.tbl[[#This Row],[Crude_Breakdown]],crudeBD.lkup.complete[Crude Breakdown],0)))^2,"")</f>
        <v>203.20111953931385</v>
      </c>
      <c r="AN1633" s="4" t="str">
        <f>IFERROR((vp.tbl[[#This Row],[Dens]]-INDEX(crudeBD.lkup.complete[Mean_Dens],MATCH(vp.tbl[[#This Row],[Crude_Breakdown]],crudeBD.lkup.complete[Crude Breakdown],0)))^2,"")</f>
        <v/>
      </c>
      <c r="AO1633" s="4" t="str">
        <f>IFERROR((vp.tbl[[#This Row],[Sulf]]-INDEX(crudeBD.lkup.complete[Mean_Sulf],MATCH(vp.tbl[[#This Row],[Crude_Breakdown]],crudeBD.lkup.complete[Crude Breakdown],0)))^2,"")</f>
        <v/>
      </c>
      <c r="AP1633">
        <f>IF(AND(vp.tbl[[#This Row],[SDate]]&gt;=DATE(YEAR(vp.tbl[[#This Row],[SDate]]),5,1),vp.tbl[[#This Row],[SDate]]&lt;=DATE(YEAR(vp.tbl[[#This Row],[SDate]]),9,15)),1,0)</f>
        <v>1</v>
      </c>
      <c r="AQ1633" s="15">
        <f>IF(vp.tbl[[#This Row],[SDate]]&lt;DATE(2016,12,1),0,1)</f>
        <v>1</v>
      </c>
    </row>
    <row r="1634" spans="1:43" x14ac:dyDescent="0.25">
      <c r="A1634">
        <v>1633</v>
      </c>
      <c r="B1634" t="s">
        <v>60</v>
      </c>
      <c r="C1634" t="s">
        <v>60</v>
      </c>
      <c r="D1634" t="s">
        <v>61</v>
      </c>
      <c r="E1634" t="s">
        <v>290</v>
      </c>
      <c r="F1634" s="1">
        <v>42898</v>
      </c>
      <c r="G1634" s="2">
        <v>71</v>
      </c>
      <c r="H1634" s="2"/>
      <c r="I1634" s="2" t="s">
        <v>310</v>
      </c>
      <c r="J1634" s="2"/>
      <c r="K1634" s="2"/>
      <c r="L1634" s="2"/>
      <c r="M1634" s="2" t="s">
        <v>310</v>
      </c>
      <c r="N1634" s="2">
        <f ca="1">INDEX(INDIRECT(_xlfn.CONCAT("weather.tbl[",N$1,"]")),MATCH(vp.tbl[[#This Row],[SDate]],weather.tbl[Date],0))</f>
        <v>16.616666666666664</v>
      </c>
      <c r="O1634" s="2">
        <f ca="1">INDEX(INDIRECT(_xlfn.CONCAT("weather.tbl[",O$1,"]")),MATCH(vp.tbl[[#This Row],[SDate]],weather.tbl[Date],0))</f>
        <v>17.138095238095236</v>
      </c>
      <c r="P1634" s="2">
        <f ca="1">INDEX(INDIRECT(_xlfn.CONCAT("weather.tbl[",P$1,"]")),MATCH(vp.tbl[[#This Row],[SDate]],weather.tbl[Date],0))</f>
        <v>16.8</v>
      </c>
      <c r="Q1634" s="2">
        <f ca="1">INDEX(INDIRECT(_xlfn.CONCAT("weather.tbl[",Q$1,"]")),MATCH(vp.tbl[[#This Row],[SDate]],weather.tbl[Date],0))</f>
        <v>16.899999999999999</v>
      </c>
      <c r="R1634" s="2">
        <f ca="1">INDEX(INDIRECT(_xlfn.CONCAT("weather.tbl[",R$1,"]")),MATCH(vp.tbl[[#This Row],[SDate]],weather.tbl[Date],0))</f>
        <v>17</v>
      </c>
      <c r="S1634" s="2">
        <f ca="1">INDEX(INDIRECT(_xlfn.CONCAT("weather.tbl[",S$1,"]")),MATCH(vp.tbl[[#This Row],[SDate]],weather.tbl[Date],0))</f>
        <v>16.399999999999999</v>
      </c>
      <c r="T1634" s="2">
        <f ca="1">INDEX(INDIRECT(_xlfn.CONCAT("weather.tbl[",T$1,"]")),MATCH(vp.tbl[[#This Row],[SDate]],weather.tbl[Date],0))</f>
        <v>16.100000000000001</v>
      </c>
      <c r="U1634" s="2">
        <f ca="1">INDEX(INDIRECT(_xlfn.CONCAT("weather.tbl[",U$1,"]")),MATCH(vp.tbl[[#This Row],[SDate]],weather.tbl[Date],0))</f>
        <v>16.5</v>
      </c>
      <c r="V1634" s="2" t="s">
        <v>310</v>
      </c>
      <c r="W1634" t="s">
        <v>48</v>
      </c>
      <c r="X1634">
        <f>IF(OR(vp.tbl[[#This Row],[Sulf]]="",vp.tbl[[#This Row],[Dens]]=""),1,0)</f>
        <v>1</v>
      </c>
      <c r="Y1634">
        <f>IF(vp.tbl[[#This Row],[CrudeType]]="C5+",1,0)</f>
        <v>0</v>
      </c>
      <c r="Z1634">
        <f>IF(AND(vp.tbl[[#This Row],[CrudeType]]="Crude",vp.tbl[[#This Row],[Dens]]&lt;=825,vp.tbl[[#This Row],[Sulf]]&gt;0.5,vp.tbl[[#This Row],[Unknown]]=0),1,0)</f>
        <v>0</v>
      </c>
      <c r="AA1634">
        <f>IF(AND(vp.tbl[[#This Row],[CrudeType]]="Crude",vp.tbl[[#This Row],[Dens]]&lt;=825,vp.tbl[[#This Row],[Sulf]]&lt;=0.5,vp.tbl[[#This Row],[Unknown]]=0),1,0)</f>
        <v>0</v>
      </c>
      <c r="AB1634">
        <f>IF(AND(vp.tbl[[#This Row],[CrudeType]]="Crude",vp.tbl[[#This Row],[Dens]]&gt;825,vp.tbl[[#This Row],[Dens]]&lt;=870,vp.tbl[[#This Row],[Sulf]]&gt;0.5,vp.tbl[[#This Row],[Unknown]]=0),1,0)</f>
        <v>0</v>
      </c>
      <c r="AC1634">
        <f>IF(AND(vp.tbl[[#This Row],[CrudeType]]="Crude",vp.tbl[[#This Row],[Dens]]&gt;825,vp.tbl[[#This Row],[Dens]]&lt;=900,vp.tbl[[#This Row],[Sulf]]&lt;=0.5,vp.tbl[[#This Row],[Unknown]]=0),1,0)</f>
        <v>0</v>
      </c>
      <c r="AD1634">
        <f>IF(AND(vp.tbl[[#This Row],[CrudeType]]="Crude",vp.tbl[[#This Row],[Dens]]&gt;870,vp.tbl[[#This Row],[Dens]]&lt;=900,vp.tbl[[#This Row],[Sulf]]&gt;0.5,vp.tbl[[#This Row],[Unknown]]=0),1,0)</f>
        <v>0</v>
      </c>
      <c r="AE1634">
        <f>IF(AND(vp.tbl[[#This Row],[CrudeType]]="Crude",vp.tbl[[#This Row],[Dens]]&gt;900,vp.tbl[[#This Row],[Sulf]]&lt;=0.5,vp.tbl[[#This Row],[Unknown]]=0),1,0)</f>
        <v>0</v>
      </c>
      <c r="AF1634">
        <f>IF(AND(vp.tbl[[#This Row],[CrudeType]]="Crude",vp.tbl[[#This Row],[Dens]]&gt;900,vp.tbl[[#This Row],[Sulf]]&lt;=0.5,vp.tbl[[#This Row],[Unknown]]=0),1,0)</f>
        <v>0</v>
      </c>
      <c r="AG1634" t="str">
        <f>INDEX(vp.tbl[[#Headers],[Unknown]:[Heavy_SW]],MATCH(1,vp.tbl[[#This Row],[Unknown]:[Heavy_SW]],0))</f>
        <v>Unknown</v>
      </c>
      <c r="AH1634" t="e">
        <f>INDEX([1]!crudeBD.lkup[Number],MATCH(vp.tbl[[#This Row],[Crude_Breakdown]],[1]!crudeBD.lkup[Crude Breakdown],0))</f>
        <v>#REF!</v>
      </c>
      <c r="AI1634">
        <f>MONTH(vp.tbl[[#This Row],[SDate]])</f>
        <v>6</v>
      </c>
      <c r="AJ1634" s="5" t="str">
        <f>IFERROR(vp.tbl[[#This Row],[Sulf]]*vp.tbl[[#This Row],[Net Dens]],"")</f>
        <v/>
      </c>
      <c r="AK1634" s="5" t="str">
        <f>IFERROR(vp.tbl[[#This Row],[Dens]]*vp.tbl[[#This Row],[VolumeM3]],"")</f>
        <v/>
      </c>
      <c r="AL1634" s="5" t="str">
        <f>IFERROR(vp.tbl[[#This Row],[VP]]*vp.tbl[[#This Row],[VolumeM3]],"")</f>
        <v/>
      </c>
      <c r="AM1634" s="4">
        <f>IFERROR((vp.tbl[[#This Row],[VP]]-INDEX(crudeBD.lkup.complete[Mean_VP],MATCH(vp.tbl[[#This Row],[Crude_Breakdown]],crudeBD.lkup.complete[Crude Breakdown],0)))^2,"")</f>
        <v>8.0948044708198772</v>
      </c>
      <c r="AN1634" s="4" t="str">
        <f>IFERROR((vp.tbl[[#This Row],[Dens]]-INDEX(crudeBD.lkup.complete[Mean_Dens],MATCH(vp.tbl[[#This Row],[Crude_Breakdown]],crudeBD.lkup.complete[Crude Breakdown],0)))^2,"")</f>
        <v/>
      </c>
      <c r="AO1634" s="4" t="str">
        <f>IFERROR((vp.tbl[[#This Row],[Sulf]]-INDEX(crudeBD.lkup.complete[Mean_Sulf],MATCH(vp.tbl[[#This Row],[Crude_Breakdown]],crudeBD.lkup.complete[Crude Breakdown],0)))^2,"")</f>
        <v/>
      </c>
      <c r="AP1634">
        <f>IF(AND(vp.tbl[[#This Row],[SDate]]&gt;=DATE(YEAR(vp.tbl[[#This Row],[SDate]]),5,1),vp.tbl[[#This Row],[SDate]]&lt;=DATE(YEAR(vp.tbl[[#This Row],[SDate]]),9,15)),1,0)</f>
        <v>1</v>
      </c>
      <c r="AQ1634" s="15">
        <f>IF(vp.tbl[[#This Row],[SDate]]&lt;DATE(2016,12,1),0,1)</f>
        <v>1</v>
      </c>
    </row>
    <row r="1635" spans="1:43" x14ac:dyDescent="0.25">
      <c r="A1635">
        <v>1634</v>
      </c>
      <c r="B1635" t="s">
        <v>49</v>
      </c>
      <c r="C1635" t="s">
        <v>49</v>
      </c>
      <c r="D1635" t="s">
        <v>331</v>
      </c>
      <c r="F1635" s="1">
        <v>42898</v>
      </c>
      <c r="G1635" s="2">
        <v>65.400000000000006</v>
      </c>
      <c r="H1635" s="2"/>
      <c r="I1635" s="2" t="s">
        <v>310</v>
      </c>
      <c r="J1635" s="2"/>
      <c r="K1635" s="2"/>
      <c r="L1635" s="2"/>
      <c r="M1635" s="2" t="s">
        <v>310</v>
      </c>
      <c r="N1635" s="2">
        <f ca="1">INDEX(INDIRECT(_xlfn.CONCAT("weather.tbl[",N$1,"]")),MATCH(vp.tbl[[#This Row],[SDate]],weather.tbl[Date],0))</f>
        <v>16.616666666666664</v>
      </c>
      <c r="O1635" s="2">
        <f ca="1">INDEX(INDIRECT(_xlfn.CONCAT("weather.tbl[",O$1,"]")),MATCH(vp.tbl[[#This Row],[SDate]],weather.tbl[Date],0))</f>
        <v>17.138095238095236</v>
      </c>
      <c r="P1635" s="2">
        <f ca="1">INDEX(INDIRECT(_xlfn.CONCAT("weather.tbl[",P$1,"]")),MATCH(vp.tbl[[#This Row],[SDate]],weather.tbl[Date],0))</f>
        <v>16.8</v>
      </c>
      <c r="Q1635" s="2">
        <f ca="1">INDEX(INDIRECT(_xlfn.CONCAT("weather.tbl[",Q$1,"]")),MATCH(vp.tbl[[#This Row],[SDate]],weather.tbl[Date],0))</f>
        <v>16.899999999999999</v>
      </c>
      <c r="R1635" s="2">
        <f ca="1">INDEX(INDIRECT(_xlfn.CONCAT("weather.tbl[",R$1,"]")),MATCH(vp.tbl[[#This Row],[SDate]],weather.tbl[Date],0))</f>
        <v>17</v>
      </c>
      <c r="S1635" s="2">
        <f ca="1">INDEX(INDIRECT(_xlfn.CONCAT("weather.tbl[",S$1,"]")),MATCH(vp.tbl[[#This Row],[SDate]],weather.tbl[Date],0))</f>
        <v>16.399999999999999</v>
      </c>
      <c r="T1635" s="2">
        <f ca="1">INDEX(INDIRECT(_xlfn.CONCAT("weather.tbl[",T$1,"]")),MATCH(vp.tbl[[#This Row],[SDate]],weather.tbl[Date],0))</f>
        <v>16.100000000000001</v>
      </c>
      <c r="U1635" s="2">
        <f ca="1">INDEX(INDIRECT(_xlfn.CONCAT("weather.tbl[",U$1,"]")),MATCH(vp.tbl[[#This Row],[SDate]],weather.tbl[Date],0))</f>
        <v>16.5</v>
      </c>
      <c r="V1635" s="2" t="s">
        <v>310</v>
      </c>
      <c r="W1635" t="s">
        <v>48</v>
      </c>
      <c r="X1635">
        <f>IF(OR(vp.tbl[[#This Row],[Sulf]]="",vp.tbl[[#This Row],[Dens]]=""),1,0)</f>
        <v>1</v>
      </c>
      <c r="Y1635">
        <f>IF(vp.tbl[[#This Row],[CrudeType]]="C5+",1,0)</f>
        <v>0</v>
      </c>
      <c r="Z1635">
        <f>IF(AND(vp.tbl[[#This Row],[CrudeType]]="Crude",vp.tbl[[#This Row],[Dens]]&lt;=825,vp.tbl[[#This Row],[Sulf]]&gt;0.5,vp.tbl[[#This Row],[Unknown]]=0),1,0)</f>
        <v>0</v>
      </c>
      <c r="AA1635">
        <f>IF(AND(vp.tbl[[#This Row],[CrudeType]]="Crude",vp.tbl[[#This Row],[Dens]]&lt;=825,vp.tbl[[#This Row],[Sulf]]&lt;=0.5,vp.tbl[[#This Row],[Unknown]]=0),1,0)</f>
        <v>0</v>
      </c>
      <c r="AB1635">
        <f>IF(AND(vp.tbl[[#This Row],[CrudeType]]="Crude",vp.tbl[[#This Row],[Dens]]&gt;825,vp.tbl[[#This Row],[Dens]]&lt;=870,vp.tbl[[#This Row],[Sulf]]&gt;0.5,vp.tbl[[#This Row],[Unknown]]=0),1,0)</f>
        <v>0</v>
      </c>
      <c r="AC1635">
        <f>IF(AND(vp.tbl[[#This Row],[CrudeType]]="Crude",vp.tbl[[#This Row],[Dens]]&gt;825,vp.tbl[[#This Row],[Dens]]&lt;=900,vp.tbl[[#This Row],[Sulf]]&lt;=0.5,vp.tbl[[#This Row],[Unknown]]=0),1,0)</f>
        <v>0</v>
      </c>
      <c r="AD1635">
        <f>IF(AND(vp.tbl[[#This Row],[CrudeType]]="Crude",vp.tbl[[#This Row],[Dens]]&gt;870,vp.tbl[[#This Row],[Dens]]&lt;=900,vp.tbl[[#This Row],[Sulf]]&gt;0.5,vp.tbl[[#This Row],[Unknown]]=0),1,0)</f>
        <v>0</v>
      </c>
      <c r="AE1635">
        <f>IF(AND(vp.tbl[[#This Row],[CrudeType]]="Crude",vp.tbl[[#This Row],[Dens]]&gt;900,vp.tbl[[#This Row],[Sulf]]&lt;=0.5,vp.tbl[[#This Row],[Unknown]]=0),1,0)</f>
        <v>0</v>
      </c>
      <c r="AF1635">
        <f>IF(AND(vp.tbl[[#This Row],[CrudeType]]="Crude",vp.tbl[[#This Row],[Dens]]&gt;900,vp.tbl[[#This Row],[Sulf]]&lt;=0.5,vp.tbl[[#This Row],[Unknown]]=0),1,0)</f>
        <v>0</v>
      </c>
      <c r="AG1635" t="str">
        <f>INDEX(vp.tbl[[#Headers],[Unknown]:[Heavy_SW]],MATCH(1,vp.tbl[[#This Row],[Unknown]:[Heavy_SW]],0))</f>
        <v>Unknown</v>
      </c>
      <c r="AH1635" t="e">
        <f>INDEX([1]!crudeBD.lkup[Number],MATCH(vp.tbl[[#This Row],[Crude_Breakdown]],[1]!crudeBD.lkup[Crude Breakdown],0))</f>
        <v>#REF!</v>
      </c>
      <c r="AI1635">
        <f>MONTH(vp.tbl[[#This Row],[SDate]])</f>
        <v>6</v>
      </c>
      <c r="AJ1635" s="5" t="str">
        <f>IFERROR(vp.tbl[[#This Row],[Sulf]]*vp.tbl[[#This Row],[Net Dens]],"")</f>
        <v/>
      </c>
      <c r="AK1635" s="5" t="str">
        <f>IFERROR(vp.tbl[[#This Row],[Dens]]*vp.tbl[[#This Row],[VolumeM3]],"")</f>
        <v/>
      </c>
      <c r="AL1635" s="5" t="str">
        <f>IFERROR(vp.tbl[[#This Row],[VP]]*vp.tbl[[#This Row],[VolumeM3]],"")</f>
        <v/>
      </c>
      <c r="AM1635" s="4">
        <f>IFERROR((vp.tbl[[#This Row],[VP]]-INDEX(crudeBD.lkup.complete[Mean_VP],MATCH(vp.tbl[[#This Row],[Crude_Breakdown]],crudeBD.lkup.complete[Crude Breakdown],0)))^2,"")</f>
        <v>71.320338717394804</v>
      </c>
      <c r="AN1635" s="4" t="str">
        <f>IFERROR((vp.tbl[[#This Row],[Dens]]-INDEX(crudeBD.lkup.complete[Mean_Dens],MATCH(vp.tbl[[#This Row],[Crude_Breakdown]],crudeBD.lkup.complete[Crude Breakdown],0)))^2,"")</f>
        <v/>
      </c>
      <c r="AO1635" s="4" t="str">
        <f>IFERROR((vp.tbl[[#This Row],[Sulf]]-INDEX(crudeBD.lkup.complete[Mean_Sulf],MATCH(vp.tbl[[#This Row],[Crude_Breakdown]],crudeBD.lkup.complete[Crude Breakdown],0)))^2,"")</f>
        <v/>
      </c>
      <c r="AP1635">
        <f>IF(AND(vp.tbl[[#This Row],[SDate]]&gt;=DATE(YEAR(vp.tbl[[#This Row],[SDate]]),5,1),vp.tbl[[#This Row],[SDate]]&lt;=DATE(YEAR(vp.tbl[[#This Row],[SDate]]),9,15)),1,0)</f>
        <v>1</v>
      </c>
      <c r="AQ1635" s="15">
        <f>IF(vp.tbl[[#This Row],[SDate]]&lt;DATE(2016,12,1),0,1)</f>
        <v>1</v>
      </c>
    </row>
    <row r="1636" spans="1:43" x14ac:dyDescent="0.25">
      <c r="A1636">
        <v>1635</v>
      </c>
      <c r="B1636" t="s">
        <v>49</v>
      </c>
      <c r="C1636" t="s">
        <v>49</v>
      </c>
      <c r="D1636" t="s">
        <v>59</v>
      </c>
      <c r="F1636" s="1">
        <v>42898</v>
      </c>
      <c r="G1636" s="2">
        <v>75.5</v>
      </c>
      <c r="H1636" s="2"/>
      <c r="I1636" s="2" t="s">
        <v>310</v>
      </c>
      <c r="J1636" s="2"/>
      <c r="K1636" s="2"/>
      <c r="L1636" s="2"/>
      <c r="M1636" s="2" t="s">
        <v>310</v>
      </c>
      <c r="N1636" s="2">
        <f ca="1">INDEX(INDIRECT(_xlfn.CONCAT("weather.tbl[",N$1,"]")),MATCH(vp.tbl[[#This Row],[SDate]],weather.tbl[Date],0))</f>
        <v>16.616666666666664</v>
      </c>
      <c r="O1636" s="2">
        <f ca="1">INDEX(INDIRECT(_xlfn.CONCAT("weather.tbl[",O$1,"]")),MATCH(vp.tbl[[#This Row],[SDate]],weather.tbl[Date],0))</f>
        <v>17.138095238095236</v>
      </c>
      <c r="P1636" s="2">
        <f ca="1">INDEX(INDIRECT(_xlfn.CONCAT("weather.tbl[",P$1,"]")),MATCH(vp.tbl[[#This Row],[SDate]],weather.tbl[Date],0))</f>
        <v>16.8</v>
      </c>
      <c r="Q1636" s="2">
        <f ca="1">INDEX(INDIRECT(_xlfn.CONCAT("weather.tbl[",Q$1,"]")),MATCH(vp.tbl[[#This Row],[SDate]],weather.tbl[Date],0))</f>
        <v>16.899999999999999</v>
      </c>
      <c r="R1636" s="2">
        <f ca="1">INDEX(INDIRECT(_xlfn.CONCAT("weather.tbl[",R$1,"]")),MATCH(vp.tbl[[#This Row],[SDate]],weather.tbl[Date],0))</f>
        <v>17</v>
      </c>
      <c r="S1636" s="2">
        <f ca="1">INDEX(INDIRECT(_xlfn.CONCAT("weather.tbl[",S$1,"]")),MATCH(vp.tbl[[#This Row],[SDate]],weather.tbl[Date],0))</f>
        <v>16.399999999999999</v>
      </c>
      <c r="T1636" s="2">
        <f ca="1">INDEX(INDIRECT(_xlfn.CONCAT("weather.tbl[",T$1,"]")),MATCH(vp.tbl[[#This Row],[SDate]],weather.tbl[Date],0))</f>
        <v>16.100000000000001</v>
      </c>
      <c r="U1636" s="2">
        <f ca="1">INDEX(INDIRECT(_xlfn.CONCAT("weather.tbl[",U$1,"]")),MATCH(vp.tbl[[#This Row],[SDate]],weather.tbl[Date],0))</f>
        <v>16.5</v>
      </c>
      <c r="V1636" s="2" t="s">
        <v>310</v>
      </c>
      <c r="W1636" t="s">
        <v>48</v>
      </c>
      <c r="X1636">
        <f>IF(OR(vp.tbl[[#This Row],[Sulf]]="",vp.tbl[[#This Row],[Dens]]=""),1,0)</f>
        <v>1</v>
      </c>
      <c r="Y1636">
        <f>IF(vp.tbl[[#This Row],[CrudeType]]="C5+",1,0)</f>
        <v>0</v>
      </c>
      <c r="Z1636">
        <f>IF(AND(vp.tbl[[#This Row],[CrudeType]]="Crude",vp.tbl[[#This Row],[Dens]]&lt;=825,vp.tbl[[#This Row],[Sulf]]&gt;0.5,vp.tbl[[#This Row],[Unknown]]=0),1,0)</f>
        <v>0</v>
      </c>
      <c r="AA1636">
        <f>IF(AND(vp.tbl[[#This Row],[CrudeType]]="Crude",vp.tbl[[#This Row],[Dens]]&lt;=825,vp.tbl[[#This Row],[Sulf]]&lt;=0.5,vp.tbl[[#This Row],[Unknown]]=0),1,0)</f>
        <v>0</v>
      </c>
      <c r="AB1636">
        <f>IF(AND(vp.tbl[[#This Row],[CrudeType]]="Crude",vp.tbl[[#This Row],[Dens]]&gt;825,vp.tbl[[#This Row],[Dens]]&lt;=870,vp.tbl[[#This Row],[Sulf]]&gt;0.5,vp.tbl[[#This Row],[Unknown]]=0),1,0)</f>
        <v>0</v>
      </c>
      <c r="AC1636">
        <f>IF(AND(vp.tbl[[#This Row],[CrudeType]]="Crude",vp.tbl[[#This Row],[Dens]]&gt;825,vp.tbl[[#This Row],[Dens]]&lt;=900,vp.tbl[[#This Row],[Sulf]]&lt;=0.5,vp.tbl[[#This Row],[Unknown]]=0),1,0)</f>
        <v>0</v>
      </c>
      <c r="AD1636">
        <f>IF(AND(vp.tbl[[#This Row],[CrudeType]]="Crude",vp.tbl[[#This Row],[Dens]]&gt;870,vp.tbl[[#This Row],[Dens]]&lt;=900,vp.tbl[[#This Row],[Sulf]]&gt;0.5,vp.tbl[[#This Row],[Unknown]]=0),1,0)</f>
        <v>0</v>
      </c>
      <c r="AE1636">
        <f>IF(AND(vp.tbl[[#This Row],[CrudeType]]="Crude",vp.tbl[[#This Row],[Dens]]&gt;900,vp.tbl[[#This Row],[Sulf]]&lt;=0.5,vp.tbl[[#This Row],[Unknown]]=0),1,0)</f>
        <v>0</v>
      </c>
      <c r="AF1636">
        <f>IF(AND(vp.tbl[[#This Row],[CrudeType]]="Crude",vp.tbl[[#This Row],[Dens]]&gt;900,vp.tbl[[#This Row],[Sulf]]&lt;=0.5,vp.tbl[[#This Row],[Unknown]]=0),1,0)</f>
        <v>0</v>
      </c>
      <c r="AG1636" t="str">
        <f>INDEX(vp.tbl[[#Headers],[Unknown]:[Heavy_SW]],MATCH(1,vp.tbl[[#This Row],[Unknown]:[Heavy_SW]],0))</f>
        <v>Unknown</v>
      </c>
      <c r="AH1636" t="e">
        <f>INDEX([1]!crudeBD.lkup[Number],MATCH(vp.tbl[[#This Row],[Crude_Breakdown]],[1]!crudeBD.lkup[Crude Breakdown],0))</f>
        <v>#REF!</v>
      </c>
      <c r="AI1636">
        <f>MONTH(vp.tbl[[#This Row],[SDate]])</f>
        <v>6</v>
      </c>
      <c r="AJ1636" s="5" t="str">
        <f>IFERROR(vp.tbl[[#This Row],[Sulf]]*vp.tbl[[#This Row],[Net Dens]],"")</f>
        <v/>
      </c>
      <c r="AK1636" s="5" t="str">
        <f>IFERROR(vp.tbl[[#This Row],[Dens]]*vp.tbl[[#This Row],[VolumeM3]],"")</f>
        <v/>
      </c>
      <c r="AL1636" s="5" t="str">
        <f>IFERROR(vp.tbl[[#This Row],[VP]]*vp.tbl[[#This Row],[VolumeM3]],"")</f>
        <v/>
      </c>
      <c r="AM1636" s="4">
        <f>IFERROR((vp.tbl[[#This Row],[VP]]-INDEX(crudeBD.lkup.complete[Mean_VP],MATCH(vp.tbl[[#This Row],[Crude_Breakdown]],crudeBD.lkup.complete[Crude Breakdown],0)))^2,"")</f>
        <v>2.7385715941078077</v>
      </c>
      <c r="AN1636" s="4" t="str">
        <f>IFERROR((vp.tbl[[#This Row],[Dens]]-INDEX(crudeBD.lkup.complete[Mean_Dens],MATCH(vp.tbl[[#This Row],[Crude_Breakdown]],crudeBD.lkup.complete[Crude Breakdown],0)))^2,"")</f>
        <v/>
      </c>
      <c r="AO1636" s="4" t="str">
        <f>IFERROR((vp.tbl[[#This Row],[Sulf]]-INDEX(crudeBD.lkup.complete[Mean_Sulf],MATCH(vp.tbl[[#This Row],[Crude_Breakdown]],crudeBD.lkup.complete[Crude Breakdown],0)))^2,"")</f>
        <v/>
      </c>
      <c r="AP1636">
        <f>IF(AND(vp.tbl[[#This Row],[SDate]]&gt;=DATE(YEAR(vp.tbl[[#This Row],[SDate]]),5,1),vp.tbl[[#This Row],[SDate]]&lt;=DATE(YEAR(vp.tbl[[#This Row],[SDate]]),9,15)),1,0)</f>
        <v>1</v>
      </c>
      <c r="AQ1636" s="15">
        <f>IF(vp.tbl[[#This Row],[SDate]]&lt;DATE(2016,12,1),0,1)</f>
        <v>1</v>
      </c>
    </row>
    <row r="1637" spans="1:43" x14ac:dyDescent="0.25">
      <c r="A1637">
        <v>1636</v>
      </c>
      <c r="B1637" t="s">
        <v>49</v>
      </c>
      <c r="C1637" t="s">
        <v>49</v>
      </c>
      <c r="D1637" t="s">
        <v>81</v>
      </c>
      <c r="F1637" s="1">
        <v>42898</v>
      </c>
      <c r="G1637" s="2">
        <v>70.7</v>
      </c>
      <c r="H1637" s="2"/>
      <c r="I1637" s="2" t="s">
        <v>310</v>
      </c>
      <c r="J1637" s="2"/>
      <c r="K1637" s="2"/>
      <c r="L1637" s="2"/>
      <c r="M1637" s="2" t="s">
        <v>310</v>
      </c>
      <c r="N1637" s="2">
        <f ca="1">INDEX(INDIRECT(_xlfn.CONCAT("weather.tbl[",N$1,"]")),MATCH(vp.tbl[[#This Row],[SDate]],weather.tbl[Date],0))</f>
        <v>16.616666666666664</v>
      </c>
      <c r="O1637" s="2">
        <f ca="1">INDEX(INDIRECT(_xlfn.CONCAT("weather.tbl[",O$1,"]")),MATCH(vp.tbl[[#This Row],[SDate]],weather.tbl[Date],0))</f>
        <v>17.138095238095236</v>
      </c>
      <c r="P1637" s="2">
        <f ca="1">INDEX(INDIRECT(_xlfn.CONCAT("weather.tbl[",P$1,"]")),MATCH(vp.tbl[[#This Row],[SDate]],weather.tbl[Date],0))</f>
        <v>16.8</v>
      </c>
      <c r="Q1637" s="2">
        <f ca="1">INDEX(INDIRECT(_xlfn.CONCAT("weather.tbl[",Q$1,"]")),MATCH(vp.tbl[[#This Row],[SDate]],weather.tbl[Date],0))</f>
        <v>16.899999999999999</v>
      </c>
      <c r="R1637" s="2">
        <f ca="1">INDEX(INDIRECT(_xlfn.CONCAT("weather.tbl[",R$1,"]")),MATCH(vp.tbl[[#This Row],[SDate]],weather.tbl[Date],0))</f>
        <v>17</v>
      </c>
      <c r="S1637" s="2">
        <f ca="1">INDEX(INDIRECT(_xlfn.CONCAT("weather.tbl[",S$1,"]")),MATCH(vp.tbl[[#This Row],[SDate]],weather.tbl[Date],0))</f>
        <v>16.399999999999999</v>
      </c>
      <c r="T1637" s="2">
        <f ca="1">INDEX(INDIRECT(_xlfn.CONCAT("weather.tbl[",T$1,"]")),MATCH(vp.tbl[[#This Row],[SDate]],weather.tbl[Date],0))</f>
        <v>16.100000000000001</v>
      </c>
      <c r="U1637" s="2">
        <f ca="1">INDEX(INDIRECT(_xlfn.CONCAT("weather.tbl[",U$1,"]")),MATCH(vp.tbl[[#This Row],[SDate]],weather.tbl[Date],0))</f>
        <v>16.5</v>
      </c>
      <c r="V1637" s="2" t="s">
        <v>310</v>
      </c>
      <c r="W1637" t="s">
        <v>48</v>
      </c>
      <c r="X1637">
        <f>IF(OR(vp.tbl[[#This Row],[Sulf]]="",vp.tbl[[#This Row],[Dens]]=""),1,0)</f>
        <v>1</v>
      </c>
      <c r="Y1637">
        <f>IF(vp.tbl[[#This Row],[CrudeType]]="C5+",1,0)</f>
        <v>0</v>
      </c>
      <c r="Z1637">
        <f>IF(AND(vp.tbl[[#This Row],[CrudeType]]="Crude",vp.tbl[[#This Row],[Dens]]&lt;=825,vp.tbl[[#This Row],[Sulf]]&gt;0.5,vp.tbl[[#This Row],[Unknown]]=0),1,0)</f>
        <v>0</v>
      </c>
      <c r="AA1637">
        <f>IF(AND(vp.tbl[[#This Row],[CrudeType]]="Crude",vp.tbl[[#This Row],[Dens]]&lt;=825,vp.tbl[[#This Row],[Sulf]]&lt;=0.5,vp.tbl[[#This Row],[Unknown]]=0),1,0)</f>
        <v>0</v>
      </c>
      <c r="AB1637">
        <f>IF(AND(vp.tbl[[#This Row],[CrudeType]]="Crude",vp.tbl[[#This Row],[Dens]]&gt;825,vp.tbl[[#This Row],[Dens]]&lt;=870,vp.tbl[[#This Row],[Sulf]]&gt;0.5,vp.tbl[[#This Row],[Unknown]]=0),1,0)</f>
        <v>0</v>
      </c>
      <c r="AC1637">
        <f>IF(AND(vp.tbl[[#This Row],[CrudeType]]="Crude",vp.tbl[[#This Row],[Dens]]&gt;825,vp.tbl[[#This Row],[Dens]]&lt;=900,vp.tbl[[#This Row],[Sulf]]&lt;=0.5,vp.tbl[[#This Row],[Unknown]]=0),1,0)</f>
        <v>0</v>
      </c>
      <c r="AD1637">
        <f>IF(AND(vp.tbl[[#This Row],[CrudeType]]="Crude",vp.tbl[[#This Row],[Dens]]&gt;870,vp.tbl[[#This Row],[Dens]]&lt;=900,vp.tbl[[#This Row],[Sulf]]&gt;0.5,vp.tbl[[#This Row],[Unknown]]=0),1,0)</f>
        <v>0</v>
      </c>
      <c r="AE1637">
        <f>IF(AND(vp.tbl[[#This Row],[CrudeType]]="Crude",vp.tbl[[#This Row],[Dens]]&gt;900,vp.tbl[[#This Row],[Sulf]]&lt;=0.5,vp.tbl[[#This Row],[Unknown]]=0),1,0)</f>
        <v>0</v>
      </c>
      <c r="AF1637">
        <f>IF(AND(vp.tbl[[#This Row],[CrudeType]]="Crude",vp.tbl[[#This Row],[Dens]]&gt;900,vp.tbl[[#This Row],[Sulf]]&lt;=0.5,vp.tbl[[#This Row],[Unknown]]=0),1,0)</f>
        <v>0</v>
      </c>
      <c r="AG1637" t="str">
        <f>INDEX(vp.tbl[[#Headers],[Unknown]:[Heavy_SW]],MATCH(1,vp.tbl[[#This Row],[Unknown]:[Heavy_SW]],0))</f>
        <v>Unknown</v>
      </c>
      <c r="AH1637" t="e">
        <f>INDEX([1]!crudeBD.lkup[Number],MATCH(vp.tbl[[#This Row],[Crude_Breakdown]],[1]!crudeBD.lkup[Crude Breakdown],0))</f>
        <v>#REF!</v>
      </c>
      <c r="AI1637">
        <f>MONTH(vp.tbl[[#This Row],[SDate]])</f>
        <v>6</v>
      </c>
      <c r="AJ1637" s="5" t="str">
        <f>IFERROR(vp.tbl[[#This Row],[Sulf]]*vp.tbl[[#This Row],[Net Dens]],"")</f>
        <v/>
      </c>
      <c r="AK1637" s="5" t="str">
        <f>IFERROR(vp.tbl[[#This Row],[Dens]]*vp.tbl[[#This Row],[VolumeM3]],"")</f>
        <v/>
      </c>
      <c r="AL1637" s="5" t="str">
        <f>IFERROR(vp.tbl[[#This Row],[VP]]*vp.tbl[[#This Row],[VolumeM3]],"")</f>
        <v/>
      </c>
      <c r="AM1637" s="4">
        <f>IFERROR((vp.tbl[[#This Row],[VP]]-INDEX(crudeBD.lkup.complete[Mean_VP],MATCH(vp.tbl[[#This Row],[Crude_Breakdown]],crudeBD.lkup.complete[Crude Breakdown],0)))^2,"")</f>
        <v>9.8918866626006654</v>
      </c>
      <c r="AN1637" s="4" t="str">
        <f>IFERROR((vp.tbl[[#This Row],[Dens]]-INDEX(crudeBD.lkup.complete[Mean_Dens],MATCH(vp.tbl[[#This Row],[Crude_Breakdown]],crudeBD.lkup.complete[Crude Breakdown],0)))^2,"")</f>
        <v/>
      </c>
      <c r="AO1637" s="4" t="str">
        <f>IFERROR((vp.tbl[[#This Row],[Sulf]]-INDEX(crudeBD.lkup.complete[Mean_Sulf],MATCH(vp.tbl[[#This Row],[Crude_Breakdown]],crudeBD.lkup.complete[Crude Breakdown],0)))^2,"")</f>
        <v/>
      </c>
      <c r="AP1637">
        <f>IF(AND(vp.tbl[[#This Row],[SDate]]&gt;=DATE(YEAR(vp.tbl[[#This Row],[SDate]]),5,1),vp.tbl[[#This Row],[SDate]]&lt;=DATE(YEAR(vp.tbl[[#This Row],[SDate]]),9,15)),1,0)</f>
        <v>1</v>
      </c>
      <c r="AQ1637" s="15">
        <f>IF(vp.tbl[[#This Row],[SDate]]&lt;DATE(2016,12,1),0,1)</f>
        <v>1</v>
      </c>
    </row>
    <row r="1638" spans="1:43" x14ac:dyDescent="0.25">
      <c r="A1638">
        <v>1637</v>
      </c>
      <c r="B1638" t="s">
        <v>51</v>
      </c>
      <c r="C1638" t="s">
        <v>51</v>
      </c>
      <c r="D1638" t="s">
        <v>95</v>
      </c>
      <c r="F1638" s="1">
        <v>42898</v>
      </c>
      <c r="G1638" s="2">
        <v>69.3</v>
      </c>
      <c r="H1638" s="2"/>
      <c r="I1638" s="2" t="s">
        <v>310</v>
      </c>
      <c r="J1638" s="2"/>
      <c r="K1638" s="2"/>
      <c r="L1638" s="2"/>
      <c r="M1638" s="2" t="s">
        <v>310</v>
      </c>
      <c r="N1638" s="2">
        <f ca="1">INDEX(INDIRECT(_xlfn.CONCAT("weather.tbl[",N$1,"]")),MATCH(vp.tbl[[#This Row],[SDate]],weather.tbl[Date],0))</f>
        <v>16.616666666666664</v>
      </c>
      <c r="O1638" s="2">
        <f ca="1">INDEX(INDIRECT(_xlfn.CONCAT("weather.tbl[",O$1,"]")),MATCH(vp.tbl[[#This Row],[SDate]],weather.tbl[Date],0))</f>
        <v>17.138095238095236</v>
      </c>
      <c r="P1638" s="2">
        <f ca="1">INDEX(INDIRECT(_xlfn.CONCAT("weather.tbl[",P$1,"]")),MATCH(vp.tbl[[#This Row],[SDate]],weather.tbl[Date],0))</f>
        <v>16.8</v>
      </c>
      <c r="Q1638" s="2">
        <f ca="1">INDEX(INDIRECT(_xlfn.CONCAT("weather.tbl[",Q$1,"]")),MATCH(vp.tbl[[#This Row],[SDate]],weather.tbl[Date],0))</f>
        <v>16.899999999999999</v>
      </c>
      <c r="R1638" s="2">
        <f ca="1">INDEX(INDIRECT(_xlfn.CONCAT("weather.tbl[",R$1,"]")),MATCH(vp.tbl[[#This Row],[SDate]],weather.tbl[Date],0))</f>
        <v>17</v>
      </c>
      <c r="S1638" s="2">
        <f ca="1">INDEX(INDIRECT(_xlfn.CONCAT("weather.tbl[",S$1,"]")),MATCH(vp.tbl[[#This Row],[SDate]],weather.tbl[Date],0))</f>
        <v>16.399999999999999</v>
      </c>
      <c r="T1638" s="2">
        <f ca="1">INDEX(INDIRECT(_xlfn.CONCAT("weather.tbl[",T$1,"]")),MATCH(vp.tbl[[#This Row],[SDate]],weather.tbl[Date],0))</f>
        <v>16.100000000000001</v>
      </c>
      <c r="U1638" s="2">
        <f ca="1">INDEX(INDIRECT(_xlfn.CONCAT("weather.tbl[",U$1,"]")),MATCH(vp.tbl[[#This Row],[SDate]],weather.tbl[Date],0))</f>
        <v>16.5</v>
      </c>
      <c r="V1638" s="2" t="s">
        <v>310</v>
      </c>
      <c r="W1638" t="s">
        <v>48</v>
      </c>
      <c r="X1638">
        <f>IF(OR(vp.tbl[[#This Row],[Sulf]]="",vp.tbl[[#This Row],[Dens]]=""),1,0)</f>
        <v>1</v>
      </c>
      <c r="Y1638">
        <f>IF(vp.tbl[[#This Row],[CrudeType]]="C5+",1,0)</f>
        <v>0</v>
      </c>
      <c r="Z1638">
        <f>IF(AND(vp.tbl[[#This Row],[CrudeType]]="Crude",vp.tbl[[#This Row],[Dens]]&lt;=825,vp.tbl[[#This Row],[Sulf]]&gt;0.5,vp.tbl[[#This Row],[Unknown]]=0),1,0)</f>
        <v>0</v>
      </c>
      <c r="AA1638">
        <f>IF(AND(vp.tbl[[#This Row],[CrudeType]]="Crude",vp.tbl[[#This Row],[Dens]]&lt;=825,vp.tbl[[#This Row],[Sulf]]&lt;=0.5,vp.tbl[[#This Row],[Unknown]]=0),1,0)</f>
        <v>0</v>
      </c>
      <c r="AB1638">
        <f>IF(AND(vp.tbl[[#This Row],[CrudeType]]="Crude",vp.tbl[[#This Row],[Dens]]&gt;825,vp.tbl[[#This Row],[Dens]]&lt;=870,vp.tbl[[#This Row],[Sulf]]&gt;0.5,vp.tbl[[#This Row],[Unknown]]=0),1,0)</f>
        <v>0</v>
      </c>
      <c r="AC1638">
        <f>IF(AND(vp.tbl[[#This Row],[CrudeType]]="Crude",vp.tbl[[#This Row],[Dens]]&gt;825,vp.tbl[[#This Row],[Dens]]&lt;=900,vp.tbl[[#This Row],[Sulf]]&lt;=0.5,vp.tbl[[#This Row],[Unknown]]=0),1,0)</f>
        <v>0</v>
      </c>
      <c r="AD1638">
        <f>IF(AND(vp.tbl[[#This Row],[CrudeType]]="Crude",vp.tbl[[#This Row],[Dens]]&gt;870,vp.tbl[[#This Row],[Dens]]&lt;=900,vp.tbl[[#This Row],[Sulf]]&gt;0.5,vp.tbl[[#This Row],[Unknown]]=0),1,0)</f>
        <v>0</v>
      </c>
      <c r="AE1638">
        <f>IF(AND(vp.tbl[[#This Row],[CrudeType]]="Crude",vp.tbl[[#This Row],[Dens]]&gt;900,vp.tbl[[#This Row],[Sulf]]&lt;=0.5,vp.tbl[[#This Row],[Unknown]]=0),1,0)</f>
        <v>0</v>
      </c>
      <c r="AF1638">
        <f>IF(AND(vp.tbl[[#This Row],[CrudeType]]="Crude",vp.tbl[[#This Row],[Dens]]&gt;900,vp.tbl[[#This Row],[Sulf]]&lt;=0.5,vp.tbl[[#This Row],[Unknown]]=0),1,0)</f>
        <v>0</v>
      </c>
      <c r="AG1638" t="str">
        <f>INDEX(vp.tbl[[#Headers],[Unknown]:[Heavy_SW]],MATCH(1,vp.tbl[[#This Row],[Unknown]:[Heavy_SW]],0))</f>
        <v>Unknown</v>
      </c>
      <c r="AH1638" t="e">
        <f>INDEX([1]!crudeBD.lkup[Number],MATCH(vp.tbl[[#This Row],[Crude_Breakdown]],[1]!crudeBD.lkup[Crude Breakdown],0))</f>
        <v>#REF!</v>
      </c>
      <c r="AI1638">
        <f>MONTH(vp.tbl[[#This Row],[SDate]])</f>
        <v>6</v>
      </c>
      <c r="AJ1638" s="5" t="str">
        <f>IFERROR(vp.tbl[[#This Row],[Sulf]]*vp.tbl[[#This Row],[Net Dens]],"")</f>
        <v/>
      </c>
      <c r="AK1638" s="5" t="str">
        <f>IFERROR(vp.tbl[[#This Row],[Dens]]*vp.tbl[[#This Row],[VolumeM3]],"")</f>
        <v/>
      </c>
      <c r="AL1638" s="5" t="str">
        <f>IFERROR(vp.tbl[[#This Row],[VP]]*vp.tbl[[#This Row],[VolumeM3]],"")</f>
        <v/>
      </c>
      <c r="AM1638" s="4">
        <f>IFERROR((vp.tbl[[#This Row],[VP]]-INDEX(crudeBD.lkup.complete[Mean_VP],MATCH(vp.tbl[[#This Row],[Crude_Breakdown]],crudeBD.lkup.complete[Crude Breakdown],0)))^2,"")</f>
        <v>20.658270224244465</v>
      </c>
      <c r="AN1638" s="4" t="str">
        <f>IFERROR((vp.tbl[[#This Row],[Dens]]-INDEX(crudeBD.lkup.complete[Mean_Dens],MATCH(vp.tbl[[#This Row],[Crude_Breakdown]],crudeBD.lkup.complete[Crude Breakdown],0)))^2,"")</f>
        <v/>
      </c>
      <c r="AO1638" s="4" t="str">
        <f>IFERROR((vp.tbl[[#This Row],[Sulf]]-INDEX(crudeBD.lkup.complete[Mean_Sulf],MATCH(vp.tbl[[#This Row],[Crude_Breakdown]],crudeBD.lkup.complete[Crude Breakdown],0)))^2,"")</f>
        <v/>
      </c>
      <c r="AP1638">
        <f>IF(AND(vp.tbl[[#This Row],[SDate]]&gt;=DATE(YEAR(vp.tbl[[#This Row],[SDate]]),5,1),vp.tbl[[#This Row],[SDate]]&lt;=DATE(YEAR(vp.tbl[[#This Row],[SDate]]),9,15)),1,0)</f>
        <v>1</v>
      </c>
      <c r="AQ1638" s="15">
        <f>IF(vp.tbl[[#This Row],[SDate]]&lt;DATE(2016,12,1),0,1)</f>
        <v>1</v>
      </c>
    </row>
    <row r="1639" spans="1:43" x14ac:dyDescent="0.25">
      <c r="A1639">
        <v>1638</v>
      </c>
      <c r="B1639" t="s">
        <v>68</v>
      </c>
      <c r="C1639" t="s">
        <v>68</v>
      </c>
      <c r="D1639" t="s">
        <v>110</v>
      </c>
      <c r="F1639" s="1">
        <v>42898</v>
      </c>
      <c r="G1639" s="2">
        <v>66.599999999999994</v>
      </c>
      <c r="H1639" s="2"/>
      <c r="I1639" s="2" t="s">
        <v>310</v>
      </c>
      <c r="J1639" s="2"/>
      <c r="K1639" s="2"/>
      <c r="L1639" s="2"/>
      <c r="M1639" s="2" t="s">
        <v>310</v>
      </c>
      <c r="N1639" s="2">
        <f ca="1">INDEX(INDIRECT(_xlfn.CONCAT("weather.tbl[",N$1,"]")),MATCH(vp.tbl[[#This Row],[SDate]],weather.tbl[Date],0))</f>
        <v>16.616666666666664</v>
      </c>
      <c r="O1639" s="2">
        <f ca="1">INDEX(INDIRECT(_xlfn.CONCAT("weather.tbl[",O$1,"]")),MATCH(vp.tbl[[#This Row],[SDate]],weather.tbl[Date],0))</f>
        <v>17.138095238095236</v>
      </c>
      <c r="P1639" s="2">
        <f ca="1">INDEX(INDIRECT(_xlfn.CONCAT("weather.tbl[",P$1,"]")),MATCH(vp.tbl[[#This Row],[SDate]],weather.tbl[Date],0))</f>
        <v>16.8</v>
      </c>
      <c r="Q1639" s="2">
        <f ca="1">INDEX(INDIRECT(_xlfn.CONCAT("weather.tbl[",Q$1,"]")),MATCH(vp.tbl[[#This Row],[SDate]],weather.tbl[Date],0))</f>
        <v>16.899999999999999</v>
      </c>
      <c r="R1639" s="2">
        <f ca="1">INDEX(INDIRECT(_xlfn.CONCAT("weather.tbl[",R$1,"]")),MATCH(vp.tbl[[#This Row],[SDate]],weather.tbl[Date],0))</f>
        <v>17</v>
      </c>
      <c r="S1639" s="2">
        <f ca="1">INDEX(INDIRECT(_xlfn.CONCAT("weather.tbl[",S$1,"]")),MATCH(vp.tbl[[#This Row],[SDate]],weather.tbl[Date],0))</f>
        <v>16.399999999999999</v>
      </c>
      <c r="T1639" s="2">
        <f ca="1">INDEX(INDIRECT(_xlfn.CONCAT("weather.tbl[",T$1,"]")),MATCH(vp.tbl[[#This Row],[SDate]],weather.tbl[Date],0))</f>
        <v>16.100000000000001</v>
      </c>
      <c r="U1639" s="2">
        <f ca="1">INDEX(INDIRECT(_xlfn.CONCAT("weather.tbl[",U$1,"]")),MATCH(vp.tbl[[#This Row],[SDate]],weather.tbl[Date],0))</f>
        <v>16.5</v>
      </c>
      <c r="V1639" s="2" t="s">
        <v>310</v>
      </c>
      <c r="W1639" t="s">
        <v>48</v>
      </c>
      <c r="X1639">
        <f>IF(OR(vp.tbl[[#This Row],[Sulf]]="",vp.tbl[[#This Row],[Dens]]=""),1,0)</f>
        <v>1</v>
      </c>
      <c r="Y1639">
        <f>IF(vp.tbl[[#This Row],[CrudeType]]="C5+",1,0)</f>
        <v>0</v>
      </c>
      <c r="Z1639">
        <f>IF(AND(vp.tbl[[#This Row],[CrudeType]]="Crude",vp.tbl[[#This Row],[Dens]]&lt;=825,vp.tbl[[#This Row],[Sulf]]&gt;0.5,vp.tbl[[#This Row],[Unknown]]=0),1,0)</f>
        <v>0</v>
      </c>
      <c r="AA1639">
        <f>IF(AND(vp.tbl[[#This Row],[CrudeType]]="Crude",vp.tbl[[#This Row],[Dens]]&lt;=825,vp.tbl[[#This Row],[Sulf]]&lt;=0.5,vp.tbl[[#This Row],[Unknown]]=0),1,0)</f>
        <v>0</v>
      </c>
      <c r="AB1639">
        <f>IF(AND(vp.tbl[[#This Row],[CrudeType]]="Crude",vp.tbl[[#This Row],[Dens]]&gt;825,vp.tbl[[#This Row],[Dens]]&lt;=870,vp.tbl[[#This Row],[Sulf]]&gt;0.5,vp.tbl[[#This Row],[Unknown]]=0),1,0)</f>
        <v>0</v>
      </c>
      <c r="AC1639">
        <f>IF(AND(vp.tbl[[#This Row],[CrudeType]]="Crude",vp.tbl[[#This Row],[Dens]]&gt;825,vp.tbl[[#This Row],[Dens]]&lt;=900,vp.tbl[[#This Row],[Sulf]]&lt;=0.5,vp.tbl[[#This Row],[Unknown]]=0),1,0)</f>
        <v>0</v>
      </c>
      <c r="AD1639">
        <f>IF(AND(vp.tbl[[#This Row],[CrudeType]]="Crude",vp.tbl[[#This Row],[Dens]]&gt;870,vp.tbl[[#This Row],[Dens]]&lt;=900,vp.tbl[[#This Row],[Sulf]]&gt;0.5,vp.tbl[[#This Row],[Unknown]]=0),1,0)</f>
        <v>0</v>
      </c>
      <c r="AE1639">
        <f>IF(AND(vp.tbl[[#This Row],[CrudeType]]="Crude",vp.tbl[[#This Row],[Dens]]&gt;900,vp.tbl[[#This Row],[Sulf]]&lt;=0.5,vp.tbl[[#This Row],[Unknown]]=0),1,0)</f>
        <v>0</v>
      </c>
      <c r="AF1639">
        <f>IF(AND(vp.tbl[[#This Row],[CrudeType]]="Crude",vp.tbl[[#This Row],[Dens]]&gt;900,vp.tbl[[#This Row],[Sulf]]&lt;=0.5,vp.tbl[[#This Row],[Unknown]]=0),1,0)</f>
        <v>0</v>
      </c>
      <c r="AG1639" t="str">
        <f>INDEX(vp.tbl[[#Headers],[Unknown]:[Heavy_SW]],MATCH(1,vp.tbl[[#This Row],[Unknown]:[Heavy_SW]],0))</f>
        <v>Unknown</v>
      </c>
      <c r="AH1639" t="e">
        <f>INDEX([1]!crudeBD.lkup[Number],MATCH(vp.tbl[[#This Row],[Crude_Breakdown]],[1]!crudeBD.lkup[Crude Breakdown],0))</f>
        <v>#REF!</v>
      </c>
      <c r="AI1639">
        <f>MONTH(vp.tbl[[#This Row],[SDate]])</f>
        <v>6</v>
      </c>
      <c r="AJ1639" s="5" t="str">
        <f>IFERROR(vp.tbl[[#This Row],[Sulf]]*vp.tbl[[#This Row],[Net Dens]],"")</f>
        <v/>
      </c>
      <c r="AK1639" s="5" t="str">
        <f>IFERROR(vp.tbl[[#This Row],[Dens]]*vp.tbl[[#This Row],[VolumeM3]],"")</f>
        <v/>
      </c>
      <c r="AL1639" s="5" t="str">
        <f>IFERROR(vp.tbl[[#This Row],[VP]]*vp.tbl[[#This Row],[VolumeM3]],"")</f>
        <v/>
      </c>
      <c r="AM1639" s="4">
        <f>IFERROR((vp.tbl[[#This Row],[VP]]-INDEX(crudeBD.lkup.complete[Mean_VP],MATCH(vp.tbl[[#This Row],[Crude_Breakdown]],crudeBD.lkup.complete[Crude Breakdown],0)))^2,"")</f>
        <v>52.492009950271765</v>
      </c>
      <c r="AN1639" s="4" t="str">
        <f>IFERROR((vp.tbl[[#This Row],[Dens]]-INDEX(crudeBD.lkup.complete[Mean_Dens],MATCH(vp.tbl[[#This Row],[Crude_Breakdown]],crudeBD.lkup.complete[Crude Breakdown],0)))^2,"")</f>
        <v/>
      </c>
      <c r="AO1639" s="4" t="str">
        <f>IFERROR((vp.tbl[[#This Row],[Sulf]]-INDEX(crudeBD.lkup.complete[Mean_Sulf],MATCH(vp.tbl[[#This Row],[Crude_Breakdown]],crudeBD.lkup.complete[Crude Breakdown],0)))^2,"")</f>
        <v/>
      </c>
      <c r="AP1639">
        <f>IF(AND(vp.tbl[[#This Row],[SDate]]&gt;=DATE(YEAR(vp.tbl[[#This Row],[SDate]]),5,1),vp.tbl[[#This Row],[SDate]]&lt;=DATE(YEAR(vp.tbl[[#This Row],[SDate]]),9,15)),1,0)</f>
        <v>1</v>
      </c>
      <c r="AQ1639" s="15">
        <f>IF(vp.tbl[[#This Row],[SDate]]&lt;DATE(2016,12,1),0,1)</f>
        <v>1</v>
      </c>
    </row>
    <row r="1640" spans="1:43" x14ac:dyDescent="0.25">
      <c r="A1640">
        <v>1639</v>
      </c>
      <c r="B1640" t="s">
        <v>68</v>
      </c>
      <c r="C1640" t="s">
        <v>68</v>
      </c>
      <c r="D1640" t="s">
        <v>98</v>
      </c>
      <c r="F1640" s="1">
        <v>42898</v>
      </c>
      <c r="G1640" s="2">
        <v>61.3</v>
      </c>
      <c r="H1640" s="2"/>
      <c r="I1640" s="2" t="s">
        <v>310</v>
      </c>
      <c r="J1640" s="2"/>
      <c r="K1640" s="2"/>
      <c r="L1640" s="2"/>
      <c r="M1640" s="2" t="s">
        <v>310</v>
      </c>
      <c r="N1640" s="2">
        <f ca="1">INDEX(INDIRECT(_xlfn.CONCAT("weather.tbl[",N$1,"]")),MATCH(vp.tbl[[#This Row],[SDate]],weather.tbl[Date],0))</f>
        <v>16.616666666666664</v>
      </c>
      <c r="O1640" s="2">
        <f ca="1">INDEX(INDIRECT(_xlfn.CONCAT("weather.tbl[",O$1,"]")),MATCH(vp.tbl[[#This Row],[SDate]],weather.tbl[Date],0))</f>
        <v>17.138095238095236</v>
      </c>
      <c r="P1640" s="2">
        <f ca="1">INDEX(INDIRECT(_xlfn.CONCAT("weather.tbl[",P$1,"]")),MATCH(vp.tbl[[#This Row],[SDate]],weather.tbl[Date],0))</f>
        <v>16.8</v>
      </c>
      <c r="Q1640" s="2">
        <f ca="1">INDEX(INDIRECT(_xlfn.CONCAT("weather.tbl[",Q$1,"]")),MATCH(vp.tbl[[#This Row],[SDate]],weather.tbl[Date],0))</f>
        <v>16.899999999999999</v>
      </c>
      <c r="R1640" s="2">
        <f ca="1">INDEX(INDIRECT(_xlfn.CONCAT("weather.tbl[",R$1,"]")),MATCH(vp.tbl[[#This Row],[SDate]],weather.tbl[Date],0))</f>
        <v>17</v>
      </c>
      <c r="S1640" s="2">
        <f ca="1">INDEX(INDIRECT(_xlfn.CONCAT("weather.tbl[",S$1,"]")),MATCH(vp.tbl[[#This Row],[SDate]],weather.tbl[Date],0))</f>
        <v>16.399999999999999</v>
      </c>
      <c r="T1640" s="2">
        <f ca="1">INDEX(INDIRECT(_xlfn.CONCAT("weather.tbl[",T$1,"]")),MATCH(vp.tbl[[#This Row],[SDate]],weather.tbl[Date],0))</f>
        <v>16.100000000000001</v>
      </c>
      <c r="U1640" s="2">
        <f ca="1">INDEX(INDIRECT(_xlfn.CONCAT("weather.tbl[",U$1,"]")),MATCH(vp.tbl[[#This Row],[SDate]],weather.tbl[Date],0))</f>
        <v>16.5</v>
      </c>
      <c r="V1640" s="2" t="s">
        <v>310</v>
      </c>
      <c r="W1640" t="s">
        <v>48</v>
      </c>
      <c r="X1640">
        <f>IF(OR(vp.tbl[[#This Row],[Sulf]]="",vp.tbl[[#This Row],[Dens]]=""),1,0)</f>
        <v>1</v>
      </c>
      <c r="Y1640">
        <f>IF(vp.tbl[[#This Row],[CrudeType]]="C5+",1,0)</f>
        <v>0</v>
      </c>
      <c r="Z1640">
        <f>IF(AND(vp.tbl[[#This Row],[CrudeType]]="Crude",vp.tbl[[#This Row],[Dens]]&lt;=825,vp.tbl[[#This Row],[Sulf]]&gt;0.5,vp.tbl[[#This Row],[Unknown]]=0),1,0)</f>
        <v>0</v>
      </c>
      <c r="AA1640">
        <f>IF(AND(vp.tbl[[#This Row],[CrudeType]]="Crude",vp.tbl[[#This Row],[Dens]]&lt;=825,vp.tbl[[#This Row],[Sulf]]&lt;=0.5,vp.tbl[[#This Row],[Unknown]]=0),1,0)</f>
        <v>0</v>
      </c>
      <c r="AB1640">
        <f>IF(AND(vp.tbl[[#This Row],[CrudeType]]="Crude",vp.tbl[[#This Row],[Dens]]&gt;825,vp.tbl[[#This Row],[Dens]]&lt;=870,vp.tbl[[#This Row],[Sulf]]&gt;0.5,vp.tbl[[#This Row],[Unknown]]=0),1,0)</f>
        <v>0</v>
      </c>
      <c r="AC1640">
        <f>IF(AND(vp.tbl[[#This Row],[CrudeType]]="Crude",vp.tbl[[#This Row],[Dens]]&gt;825,vp.tbl[[#This Row],[Dens]]&lt;=900,vp.tbl[[#This Row],[Sulf]]&lt;=0.5,vp.tbl[[#This Row],[Unknown]]=0),1,0)</f>
        <v>0</v>
      </c>
      <c r="AD1640">
        <f>IF(AND(vp.tbl[[#This Row],[CrudeType]]="Crude",vp.tbl[[#This Row],[Dens]]&gt;870,vp.tbl[[#This Row],[Dens]]&lt;=900,vp.tbl[[#This Row],[Sulf]]&gt;0.5,vp.tbl[[#This Row],[Unknown]]=0),1,0)</f>
        <v>0</v>
      </c>
      <c r="AE1640">
        <f>IF(AND(vp.tbl[[#This Row],[CrudeType]]="Crude",vp.tbl[[#This Row],[Dens]]&gt;900,vp.tbl[[#This Row],[Sulf]]&lt;=0.5,vp.tbl[[#This Row],[Unknown]]=0),1,0)</f>
        <v>0</v>
      </c>
      <c r="AF1640">
        <f>IF(AND(vp.tbl[[#This Row],[CrudeType]]="Crude",vp.tbl[[#This Row],[Dens]]&gt;900,vp.tbl[[#This Row],[Sulf]]&lt;=0.5,vp.tbl[[#This Row],[Unknown]]=0),1,0)</f>
        <v>0</v>
      </c>
      <c r="AG1640" t="str">
        <f>INDEX(vp.tbl[[#Headers],[Unknown]:[Heavy_SW]],MATCH(1,vp.tbl[[#This Row],[Unknown]:[Heavy_SW]],0))</f>
        <v>Unknown</v>
      </c>
      <c r="AH1640" t="e">
        <f>INDEX([1]!crudeBD.lkup[Number],MATCH(vp.tbl[[#This Row],[Crude_Breakdown]],[1]!crudeBD.lkup[Crude Breakdown],0))</f>
        <v>#REF!</v>
      </c>
      <c r="AI1640">
        <f>MONTH(vp.tbl[[#This Row],[SDate]])</f>
        <v>6</v>
      </c>
      <c r="AJ1640" s="5" t="str">
        <f>IFERROR(vp.tbl[[#This Row],[Sulf]]*vp.tbl[[#This Row],[Net Dens]],"")</f>
        <v/>
      </c>
      <c r="AK1640" s="5" t="str">
        <f>IFERROR(vp.tbl[[#This Row],[Dens]]*vp.tbl[[#This Row],[VolumeM3]],"")</f>
        <v/>
      </c>
      <c r="AL1640" s="5" t="str">
        <f>IFERROR(vp.tbl[[#This Row],[VP]]*vp.tbl[[#This Row],[VolumeM3]],"")</f>
        <v/>
      </c>
      <c r="AM1640" s="4">
        <f>IFERROR((vp.tbl[[#This Row],[VP]]-INDEX(crudeBD.lkup.complete[Mean_VP],MATCH(vp.tbl[[#This Row],[Crude_Breakdown]],crudeBD.lkup.complete[Crude Breakdown],0)))^2,"")</f>
        <v>157.38046200506597</v>
      </c>
      <c r="AN1640" s="4" t="str">
        <f>IFERROR((vp.tbl[[#This Row],[Dens]]-INDEX(crudeBD.lkup.complete[Mean_Dens],MATCH(vp.tbl[[#This Row],[Crude_Breakdown]],crudeBD.lkup.complete[Crude Breakdown],0)))^2,"")</f>
        <v/>
      </c>
      <c r="AO1640" s="4" t="str">
        <f>IFERROR((vp.tbl[[#This Row],[Sulf]]-INDEX(crudeBD.lkup.complete[Mean_Sulf],MATCH(vp.tbl[[#This Row],[Crude_Breakdown]],crudeBD.lkup.complete[Crude Breakdown],0)))^2,"")</f>
        <v/>
      </c>
      <c r="AP1640">
        <f>IF(AND(vp.tbl[[#This Row],[SDate]]&gt;=DATE(YEAR(vp.tbl[[#This Row],[SDate]]),5,1),vp.tbl[[#This Row],[SDate]]&lt;=DATE(YEAR(vp.tbl[[#This Row],[SDate]]),9,15)),1,0)</f>
        <v>1</v>
      </c>
      <c r="AQ1640" s="15">
        <f>IF(vp.tbl[[#This Row],[SDate]]&lt;DATE(2016,12,1),0,1)</f>
        <v>1</v>
      </c>
    </row>
    <row r="1641" spans="1:43" x14ac:dyDescent="0.25">
      <c r="A1641">
        <v>1640</v>
      </c>
      <c r="B1641" t="s">
        <v>49</v>
      </c>
      <c r="C1641" t="s">
        <v>49</v>
      </c>
      <c r="D1641" t="s">
        <v>89</v>
      </c>
      <c r="F1641" s="1">
        <v>42899</v>
      </c>
      <c r="G1641" s="2">
        <v>87</v>
      </c>
      <c r="H1641" s="2"/>
      <c r="I1641" s="2" t="s">
        <v>310</v>
      </c>
      <c r="J1641" s="2"/>
      <c r="K1641" s="2"/>
      <c r="L1641" s="2"/>
      <c r="M1641" s="2" t="s">
        <v>310</v>
      </c>
      <c r="N1641" s="2">
        <f ca="1">INDEX(INDIRECT(_xlfn.CONCAT("weather.tbl[",N$1,"]")),MATCH(vp.tbl[[#This Row],[SDate]],weather.tbl[Date],0))</f>
        <v>15.666666666666666</v>
      </c>
      <c r="O1641" s="2">
        <f ca="1">INDEX(INDIRECT(_xlfn.CONCAT("weather.tbl[",O$1,"]")),MATCH(vp.tbl[[#This Row],[SDate]],weather.tbl[Date],0))</f>
        <v>17.292857142857144</v>
      </c>
      <c r="P1641" s="2">
        <f ca="1">INDEX(INDIRECT(_xlfn.CONCAT("weather.tbl[",P$1,"]")),MATCH(vp.tbl[[#This Row],[SDate]],weather.tbl[Date],0))</f>
        <v>15.8</v>
      </c>
      <c r="Q1641" s="2">
        <f ca="1">INDEX(INDIRECT(_xlfn.CONCAT("weather.tbl[",Q$1,"]")),MATCH(vp.tbl[[#This Row],[SDate]],weather.tbl[Date],0))</f>
        <v>16.7</v>
      </c>
      <c r="R1641" s="2">
        <f ca="1">INDEX(INDIRECT(_xlfn.CONCAT("weather.tbl[",R$1,"]")),MATCH(vp.tbl[[#This Row],[SDate]],weather.tbl[Date],0))</f>
        <v>13.8</v>
      </c>
      <c r="S1641" s="2">
        <f ca="1">INDEX(INDIRECT(_xlfn.CONCAT("weather.tbl[",S$1,"]")),MATCH(vp.tbl[[#This Row],[SDate]],weather.tbl[Date],0))</f>
        <v>17.5</v>
      </c>
      <c r="T1641" s="2">
        <f ca="1">INDEX(INDIRECT(_xlfn.CONCAT("weather.tbl[",T$1,"]")),MATCH(vp.tbl[[#This Row],[SDate]],weather.tbl[Date],0))</f>
        <v>15.7</v>
      </c>
      <c r="U1641" s="2">
        <f ca="1">INDEX(INDIRECT(_xlfn.CONCAT("weather.tbl[",U$1,"]")),MATCH(vp.tbl[[#This Row],[SDate]],weather.tbl[Date],0))</f>
        <v>14.5</v>
      </c>
      <c r="V1641" s="2" t="s">
        <v>310</v>
      </c>
      <c r="W1641" t="s">
        <v>48</v>
      </c>
      <c r="X1641">
        <f>IF(OR(vp.tbl[[#This Row],[Sulf]]="",vp.tbl[[#This Row],[Dens]]=""),1,0)</f>
        <v>1</v>
      </c>
      <c r="Y1641">
        <f>IF(vp.tbl[[#This Row],[CrudeType]]="C5+",1,0)</f>
        <v>0</v>
      </c>
      <c r="Z1641">
        <f>IF(AND(vp.tbl[[#This Row],[CrudeType]]="Crude",vp.tbl[[#This Row],[Dens]]&lt;=825,vp.tbl[[#This Row],[Sulf]]&gt;0.5,vp.tbl[[#This Row],[Unknown]]=0),1,0)</f>
        <v>0</v>
      </c>
      <c r="AA1641">
        <f>IF(AND(vp.tbl[[#This Row],[CrudeType]]="Crude",vp.tbl[[#This Row],[Dens]]&lt;=825,vp.tbl[[#This Row],[Sulf]]&lt;=0.5,vp.tbl[[#This Row],[Unknown]]=0),1,0)</f>
        <v>0</v>
      </c>
      <c r="AB1641">
        <f>IF(AND(vp.tbl[[#This Row],[CrudeType]]="Crude",vp.tbl[[#This Row],[Dens]]&gt;825,vp.tbl[[#This Row],[Dens]]&lt;=870,vp.tbl[[#This Row],[Sulf]]&gt;0.5,vp.tbl[[#This Row],[Unknown]]=0),1,0)</f>
        <v>0</v>
      </c>
      <c r="AC1641">
        <f>IF(AND(vp.tbl[[#This Row],[CrudeType]]="Crude",vp.tbl[[#This Row],[Dens]]&gt;825,vp.tbl[[#This Row],[Dens]]&lt;=900,vp.tbl[[#This Row],[Sulf]]&lt;=0.5,vp.tbl[[#This Row],[Unknown]]=0),1,0)</f>
        <v>0</v>
      </c>
      <c r="AD1641">
        <f>IF(AND(vp.tbl[[#This Row],[CrudeType]]="Crude",vp.tbl[[#This Row],[Dens]]&gt;870,vp.tbl[[#This Row],[Dens]]&lt;=900,vp.tbl[[#This Row],[Sulf]]&gt;0.5,vp.tbl[[#This Row],[Unknown]]=0),1,0)</f>
        <v>0</v>
      </c>
      <c r="AE1641">
        <f>IF(AND(vp.tbl[[#This Row],[CrudeType]]="Crude",vp.tbl[[#This Row],[Dens]]&gt;900,vp.tbl[[#This Row],[Sulf]]&lt;=0.5,vp.tbl[[#This Row],[Unknown]]=0),1,0)</f>
        <v>0</v>
      </c>
      <c r="AF1641">
        <f>IF(AND(vp.tbl[[#This Row],[CrudeType]]="Crude",vp.tbl[[#This Row],[Dens]]&gt;900,vp.tbl[[#This Row],[Sulf]]&lt;=0.5,vp.tbl[[#This Row],[Unknown]]=0),1,0)</f>
        <v>0</v>
      </c>
      <c r="AG1641" t="str">
        <f>INDEX(vp.tbl[[#Headers],[Unknown]:[Heavy_SW]],MATCH(1,vp.tbl[[#This Row],[Unknown]:[Heavy_SW]],0))</f>
        <v>Unknown</v>
      </c>
      <c r="AH1641" t="e">
        <f>INDEX([1]!crudeBD.lkup[Number],MATCH(vp.tbl[[#This Row],[Crude_Breakdown]],[1]!crudeBD.lkup[Crude Breakdown],0))</f>
        <v>#REF!</v>
      </c>
      <c r="AI1641">
        <f>MONTH(vp.tbl[[#This Row],[SDate]])</f>
        <v>6</v>
      </c>
      <c r="AJ1641" s="5" t="str">
        <f>IFERROR(vp.tbl[[#This Row],[Sulf]]*vp.tbl[[#This Row],[Net Dens]],"")</f>
        <v/>
      </c>
      <c r="AK1641" s="5" t="str">
        <f>IFERROR(vp.tbl[[#This Row],[Dens]]*vp.tbl[[#This Row],[VolumeM3]],"")</f>
        <v/>
      </c>
      <c r="AL1641" s="5" t="str">
        <f>IFERROR(vp.tbl[[#This Row],[VP]]*vp.tbl[[#This Row],[VolumeM3]],"")</f>
        <v/>
      </c>
      <c r="AM1641" s="4">
        <f>IFERROR((vp.tbl[[#This Row],[VP]]-INDEX(crudeBD.lkup.complete[Mean_VP],MATCH(vp.tbl[[#This Row],[Crude_Breakdown]],crudeBD.lkup.complete[Crude Breakdown],0)))^2,"")</f>
        <v>173.05042090917695</v>
      </c>
      <c r="AN1641" s="4" t="str">
        <f>IFERROR((vp.tbl[[#This Row],[Dens]]-INDEX(crudeBD.lkup.complete[Mean_Dens],MATCH(vp.tbl[[#This Row],[Crude_Breakdown]],crudeBD.lkup.complete[Crude Breakdown],0)))^2,"")</f>
        <v/>
      </c>
      <c r="AO1641" s="4" t="str">
        <f>IFERROR((vp.tbl[[#This Row],[Sulf]]-INDEX(crudeBD.lkup.complete[Mean_Sulf],MATCH(vp.tbl[[#This Row],[Crude_Breakdown]],crudeBD.lkup.complete[Crude Breakdown],0)))^2,"")</f>
        <v/>
      </c>
      <c r="AP1641">
        <f>IF(AND(vp.tbl[[#This Row],[SDate]]&gt;=DATE(YEAR(vp.tbl[[#This Row],[SDate]]),5,1),vp.tbl[[#This Row],[SDate]]&lt;=DATE(YEAR(vp.tbl[[#This Row],[SDate]]),9,15)),1,0)</f>
        <v>1</v>
      </c>
      <c r="AQ1641" s="15">
        <f>IF(vp.tbl[[#This Row],[SDate]]&lt;DATE(2016,12,1),0,1)</f>
        <v>1</v>
      </c>
    </row>
    <row r="1642" spans="1:43" x14ac:dyDescent="0.25">
      <c r="A1642">
        <v>1641</v>
      </c>
      <c r="B1642" t="s">
        <v>49</v>
      </c>
      <c r="C1642" t="s">
        <v>49</v>
      </c>
      <c r="D1642" t="s">
        <v>70</v>
      </c>
      <c r="F1642" s="1">
        <v>42899</v>
      </c>
      <c r="G1642" s="2">
        <v>63.4</v>
      </c>
      <c r="H1642" s="2"/>
      <c r="I1642" s="2" t="s">
        <v>310</v>
      </c>
      <c r="J1642" s="2"/>
      <c r="K1642" s="2"/>
      <c r="L1642" s="2"/>
      <c r="M1642" s="2" t="s">
        <v>310</v>
      </c>
      <c r="N1642" s="2">
        <f ca="1">INDEX(INDIRECT(_xlfn.CONCAT("weather.tbl[",N$1,"]")),MATCH(vp.tbl[[#This Row],[SDate]],weather.tbl[Date],0))</f>
        <v>15.666666666666666</v>
      </c>
      <c r="O1642" s="2">
        <f ca="1">INDEX(INDIRECT(_xlfn.CONCAT("weather.tbl[",O$1,"]")),MATCH(vp.tbl[[#This Row],[SDate]],weather.tbl[Date],0))</f>
        <v>17.292857142857144</v>
      </c>
      <c r="P1642" s="2">
        <f ca="1">INDEX(INDIRECT(_xlfn.CONCAT("weather.tbl[",P$1,"]")),MATCH(vp.tbl[[#This Row],[SDate]],weather.tbl[Date],0))</f>
        <v>15.8</v>
      </c>
      <c r="Q1642" s="2">
        <f ca="1">INDEX(INDIRECT(_xlfn.CONCAT("weather.tbl[",Q$1,"]")),MATCH(vp.tbl[[#This Row],[SDate]],weather.tbl[Date],0))</f>
        <v>16.7</v>
      </c>
      <c r="R1642" s="2">
        <f ca="1">INDEX(INDIRECT(_xlfn.CONCAT("weather.tbl[",R$1,"]")),MATCH(vp.tbl[[#This Row],[SDate]],weather.tbl[Date],0))</f>
        <v>13.8</v>
      </c>
      <c r="S1642" s="2">
        <f ca="1">INDEX(INDIRECT(_xlfn.CONCAT("weather.tbl[",S$1,"]")),MATCH(vp.tbl[[#This Row],[SDate]],weather.tbl[Date],0))</f>
        <v>17.5</v>
      </c>
      <c r="T1642" s="2">
        <f ca="1">INDEX(INDIRECT(_xlfn.CONCAT("weather.tbl[",T$1,"]")),MATCH(vp.tbl[[#This Row],[SDate]],weather.tbl[Date],0))</f>
        <v>15.7</v>
      </c>
      <c r="U1642" s="2">
        <f ca="1">INDEX(INDIRECT(_xlfn.CONCAT("weather.tbl[",U$1,"]")),MATCH(vp.tbl[[#This Row],[SDate]],weather.tbl[Date],0))</f>
        <v>14.5</v>
      </c>
      <c r="V1642" s="2" t="s">
        <v>310</v>
      </c>
      <c r="W1642" t="s">
        <v>48</v>
      </c>
      <c r="X1642">
        <f>IF(OR(vp.tbl[[#This Row],[Sulf]]="",vp.tbl[[#This Row],[Dens]]=""),1,0)</f>
        <v>1</v>
      </c>
      <c r="Y1642">
        <f>IF(vp.tbl[[#This Row],[CrudeType]]="C5+",1,0)</f>
        <v>0</v>
      </c>
      <c r="Z1642">
        <f>IF(AND(vp.tbl[[#This Row],[CrudeType]]="Crude",vp.tbl[[#This Row],[Dens]]&lt;=825,vp.tbl[[#This Row],[Sulf]]&gt;0.5,vp.tbl[[#This Row],[Unknown]]=0),1,0)</f>
        <v>0</v>
      </c>
      <c r="AA1642">
        <f>IF(AND(vp.tbl[[#This Row],[CrudeType]]="Crude",vp.tbl[[#This Row],[Dens]]&lt;=825,vp.tbl[[#This Row],[Sulf]]&lt;=0.5,vp.tbl[[#This Row],[Unknown]]=0),1,0)</f>
        <v>0</v>
      </c>
      <c r="AB1642">
        <f>IF(AND(vp.tbl[[#This Row],[CrudeType]]="Crude",vp.tbl[[#This Row],[Dens]]&gt;825,vp.tbl[[#This Row],[Dens]]&lt;=870,vp.tbl[[#This Row],[Sulf]]&gt;0.5,vp.tbl[[#This Row],[Unknown]]=0),1,0)</f>
        <v>0</v>
      </c>
      <c r="AC1642">
        <f>IF(AND(vp.tbl[[#This Row],[CrudeType]]="Crude",vp.tbl[[#This Row],[Dens]]&gt;825,vp.tbl[[#This Row],[Dens]]&lt;=900,vp.tbl[[#This Row],[Sulf]]&lt;=0.5,vp.tbl[[#This Row],[Unknown]]=0),1,0)</f>
        <v>0</v>
      </c>
      <c r="AD1642">
        <f>IF(AND(vp.tbl[[#This Row],[CrudeType]]="Crude",vp.tbl[[#This Row],[Dens]]&gt;870,vp.tbl[[#This Row],[Dens]]&lt;=900,vp.tbl[[#This Row],[Sulf]]&gt;0.5,vp.tbl[[#This Row],[Unknown]]=0),1,0)</f>
        <v>0</v>
      </c>
      <c r="AE1642">
        <f>IF(AND(vp.tbl[[#This Row],[CrudeType]]="Crude",vp.tbl[[#This Row],[Dens]]&gt;900,vp.tbl[[#This Row],[Sulf]]&lt;=0.5,vp.tbl[[#This Row],[Unknown]]=0),1,0)</f>
        <v>0</v>
      </c>
      <c r="AF1642">
        <f>IF(AND(vp.tbl[[#This Row],[CrudeType]]="Crude",vp.tbl[[#This Row],[Dens]]&gt;900,vp.tbl[[#This Row],[Sulf]]&lt;=0.5,vp.tbl[[#This Row],[Unknown]]=0),1,0)</f>
        <v>0</v>
      </c>
      <c r="AG1642" t="str">
        <f>INDEX(vp.tbl[[#Headers],[Unknown]:[Heavy_SW]],MATCH(1,vp.tbl[[#This Row],[Unknown]:[Heavy_SW]],0))</f>
        <v>Unknown</v>
      </c>
      <c r="AH1642" t="e">
        <f>INDEX([1]!crudeBD.lkup[Number],MATCH(vp.tbl[[#This Row],[Crude_Breakdown]],[1]!crudeBD.lkup[Crude Breakdown],0))</f>
        <v>#REF!</v>
      </c>
      <c r="AI1642">
        <f>MONTH(vp.tbl[[#This Row],[SDate]])</f>
        <v>6</v>
      </c>
      <c r="AJ1642" s="5" t="str">
        <f>IFERROR(vp.tbl[[#This Row],[Sulf]]*vp.tbl[[#This Row],[Net Dens]],"")</f>
        <v/>
      </c>
      <c r="AK1642" s="5" t="str">
        <f>IFERROR(vp.tbl[[#This Row],[Dens]]*vp.tbl[[#This Row],[VolumeM3]],"")</f>
        <v/>
      </c>
      <c r="AL1642" s="5" t="str">
        <f>IFERROR(vp.tbl[[#This Row],[VP]]*vp.tbl[[#This Row],[VolumeM3]],"")</f>
        <v/>
      </c>
      <c r="AM1642" s="4">
        <f>IFERROR((vp.tbl[[#This Row],[VP]]-INDEX(crudeBD.lkup.complete[Mean_VP],MATCH(vp.tbl[[#This Row],[Crude_Breakdown]],crudeBD.lkup.complete[Crude Breakdown],0)))^2,"")</f>
        <v>109.10088666260029</v>
      </c>
      <c r="AN1642" s="4" t="str">
        <f>IFERROR((vp.tbl[[#This Row],[Dens]]-INDEX(crudeBD.lkup.complete[Mean_Dens],MATCH(vp.tbl[[#This Row],[Crude_Breakdown]],crudeBD.lkup.complete[Crude Breakdown],0)))^2,"")</f>
        <v/>
      </c>
      <c r="AO1642" s="4" t="str">
        <f>IFERROR((vp.tbl[[#This Row],[Sulf]]-INDEX(crudeBD.lkup.complete[Mean_Sulf],MATCH(vp.tbl[[#This Row],[Crude_Breakdown]],crudeBD.lkup.complete[Crude Breakdown],0)))^2,"")</f>
        <v/>
      </c>
      <c r="AP1642">
        <f>IF(AND(vp.tbl[[#This Row],[SDate]]&gt;=DATE(YEAR(vp.tbl[[#This Row],[SDate]]),5,1),vp.tbl[[#This Row],[SDate]]&lt;=DATE(YEAR(vp.tbl[[#This Row],[SDate]]),9,15)),1,0)</f>
        <v>1</v>
      </c>
      <c r="AQ1642" s="15">
        <f>IF(vp.tbl[[#This Row],[SDate]]&lt;DATE(2016,12,1),0,1)</f>
        <v>1</v>
      </c>
    </row>
    <row r="1643" spans="1:43" x14ac:dyDescent="0.25">
      <c r="A1643">
        <v>1642</v>
      </c>
      <c r="B1643" t="s">
        <v>49</v>
      </c>
      <c r="C1643" t="s">
        <v>49</v>
      </c>
      <c r="D1643" t="s">
        <v>80</v>
      </c>
      <c r="F1643" s="1">
        <v>42899</v>
      </c>
      <c r="G1643" s="2">
        <v>76.099999999999994</v>
      </c>
      <c r="H1643" s="2"/>
      <c r="I1643" s="2" t="s">
        <v>310</v>
      </c>
      <c r="J1643" s="2"/>
      <c r="K1643" s="2"/>
      <c r="L1643" s="2"/>
      <c r="M1643" s="2" t="s">
        <v>310</v>
      </c>
      <c r="N1643" s="2">
        <f ca="1">INDEX(INDIRECT(_xlfn.CONCAT("weather.tbl[",N$1,"]")),MATCH(vp.tbl[[#This Row],[SDate]],weather.tbl[Date],0))</f>
        <v>15.666666666666666</v>
      </c>
      <c r="O1643" s="2">
        <f ca="1">INDEX(INDIRECT(_xlfn.CONCAT("weather.tbl[",O$1,"]")),MATCH(vp.tbl[[#This Row],[SDate]],weather.tbl[Date],0))</f>
        <v>17.292857142857144</v>
      </c>
      <c r="P1643" s="2">
        <f ca="1">INDEX(INDIRECT(_xlfn.CONCAT("weather.tbl[",P$1,"]")),MATCH(vp.tbl[[#This Row],[SDate]],weather.tbl[Date],0))</f>
        <v>15.8</v>
      </c>
      <c r="Q1643" s="2">
        <f ca="1">INDEX(INDIRECT(_xlfn.CONCAT("weather.tbl[",Q$1,"]")),MATCH(vp.tbl[[#This Row],[SDate]],weather.tbl[Date],0))</f>
        <v>16.7</v>
      </c>
      <c r="R1643" s="2">
        <f ca="1">INDEX(INDIRECT(_xlfn.CONCAT("weather.tbl[",R$1,"]")),MATCH(vp.tbl[[#This Row],[SDate]],weather.tbl[Date],0))</f>
        <v>13.8</v>
      </c>
      <c r="S1643" s="2">
        <f ca="1">INDEX(INDIRECT(_xlfn.CONCAT("weather.tbl[",S$1,"]")),MATCH(vp.tbl[[#This Row],[SDate]],weather.tbl[Date],0))</f>
        <v>17.5</v>
      </c>
      <c r="T1643" s="2">
        <f ca="1">INDEX(INDIRECT(_xlfn.CONCAT("weather.tbl[",T$1,"]")),MATCH(vp.tbl[[#This Row],[SDate]],weather.tbl[Date],0))</f>
        <v>15.7</v>
      </c>
      <c r="U1643" s="2">
        <f ca="1">INDEX(INDIRECT(_xlfn.CONCAT("weather.tbl[",U$1,"]")),MATCH(vp.tbl[[#This Row],[SDate]],weather.tbl[Date],0))</f>
        <v>14.5</v>
      </c>
      <c r="V1643" s="2" t="s">
        <v>310</v>
      </c>
      <c r="W1643" t="s">
        <v>48</v>
      </c>
      <c r="X1643">
        <f>IF(OR(vp.tbl[[#This Row],[Sulf]]="",vp.tbl[[#This Row],[Dens]]=""),1,0)</f>
        <v>1</v>
      </c>
      <c r="Y1643">
        <f>IF(vp.tbl[[#This Row],[CrudeType]]="C5+",1,0)</f>
        <v>0</v>
      </c>
      <c r="Z1643">
        <f>IF(AND(vp.tbl[[#This Row],[CrudeType]]="Crude",vp.tbl[[#This Row],[Dens]]&lt;=825,vp.tbl[[#This Row],[Sulf]]&gt;0.5,vp.tbl[[#This Row],[Unknown]]=0),1,0)</f>
        <v>0</v>
      </c>
      <c r="AA1643">
        <f>IF(AND(vp.tbl[[#This Row],[CrudeType]]="Crude",vp.tbl[[#This Row],[Dens]]&lt;=825,vp.tbl[[#This Row],[Sulf]]&lt;=0.5,vp.tbl[[#This Row],[Unknown]]=0),1,0)</f>
        <v>0</v>
      </c>
      <c r="AB1643">
        <f>IF(AND(vp.tbl[[#This Row],[CrudeType]]="Crude",vp.tbl[[#This Row],[Dens]]&gt;825,vp.tbl[[#This Row],[Dens]]&lt;=870,vp.tbl[[#This Row],[Sulf]]&gt;0.5,vp.tbl[[#This Row],[Unknown]]=0),1,0)</f>
        <v>0</v>
      </c>
      <c r="AC1643">
        <f>IF(AND(vp.tbl[[#This Row],[CrudeType]]="Crude",vp.tbl[[#This Row],[Dens]]&gt;825,vp.tbl[[#This Row],[Dens]]&lt;=900,vp.tbl[[#This Row],[Sulf]]&lt;=0.5,vp.tbl[[#This Row],[Unknown]]=0),1,0)</f>
        <v>0</v>
      </c>
      <c r="AD1643">
        <f>IF(AND(vp.tbl[[#This Row],[CrudeType]]="Crude",vp.tbl[[#This Row],[Dens]]&gt;870,vp.tbl[[#This Row],[Dens]]&lt;=900,vp.tbl[[#This Row],[Sulf]]&gt;0.5,vp.tbl[[#This Row],[Unknown]]=0),1,0)</f>
        <v>0</v>
      </c>
      <c r="AE1643">
        <f>IF(AND(vp.tbl[[#This Row],[CrudeType]]="Crude",vp.tbl[[#This Row],[Dens]]&gt;900,vp.tbl[[#This Row],[Sulf]]&lt;=0.5,vp.tbl[[#This Row],[Unknown]]=0),1,0)</f>
        <v>0</v>
      </c>
      <c r="AF1643">
        <f>IF(AND(vp.tbl[[#This Row],[CrudeType]]="Crude",vp.tbl[[#This Row],[Dens]]&gt;900,vp.tbl[[#This Row],[Sulf]]&lt;=0.5,vp.tbl[[#This Row],[Unknown]]=0),1,0)</f>
        <v>0</v>
      </c>
      <c r="AG1643" t="str">
        <f>INDEX(vp.tbl[[#Headers],[Unknown]:[Heavy_SW]],MATCH(1,vp.tbl[[#This Row],[Unknown]:[Heavy_SW]],0))</f>
        <v>Unknown</v>
      </c>
      <c r="AH1643" t="e">
        <f>INDEX([1]!crudeBD.lkup[Number],MATCH(vp.tbl[[#This Row],[Crude_Breakdown]],[1]!crudeBD.lkup[Crude Breakdown],0))</f>
        <v>#REF!</v>
      </c>
      <c r="AI1643">
        <f>MONTH(vp.tbl[[#This Row],[SDate]])</f>
        <v>6</v>
      </c>
      <c r="AJ1643" s="5" t="str">
        <f>IFERROR(vp.tbl[[#This Row],[Sulf]]*vp.tbl[[#This Row],[Net Dens]],"")</f>
        <v/>
      </c>
      <c r="AK1643" s="5" t="str">
        <f>IFERROR(vp.tbl[[#This Row],[Dens]]*vp.tbl[[#This Row],[VolumeM3]],"")</f>
        <v/>
      </c>
      <c r="AL1643" s="5" t="str">
        <f>IFERROR(vp.tbl[[#This Row],[VP]]*vp.tbl[[#This Row],[VolumeM3]],"")</f>
        <v/>
      </c>
      <c r="AM1643" s="4">
        <f>IFERROR((vp.tbl[[#This Row],[VP]]-INDEX(crudeBD.lkup.complete[Mean_VP],MATCH(vp.tbl[[#This Row],[Crude_Breakdown]],crudeBD.lkup.complete[Crude Breakdown],0)))^2,"")</f>
        <v>5.0844072105461722</v>
      </c>
      <c r="AN1643" s="4" t="str">
        <f>IFERROR((vp.tbl[[#This Row],[Dens]]-INDEX(crudeBD.lkup.complete[Mean_Dens],MATCH(vp.tbl[[#This Row],[Crude_Breakdown]],crudeBD.lkup.complete[Crude Breakdown],0)))^2,"")</f>
        <v/>
      </c>
      <c r="AO1643" s="4" t="str">
        <f>IFERROR((vp.tbl[[#This Row],[Sulf]]-INDEX(crudeBD.lkup.complete[Mean_Sulf],MATCH(vp.tbl[[#This Row],[Crude_Breakdown]],crudeBD.lkup.complete[Crude Breakdown],0)))^2,"")</f>
        <v/>
      </c>
      <c r="AP1643">
        <f>IF(AND(vp.tbl[[#This Row],[SDate]]&gt;=DATE(YEAR(vp.tbl[[#This Row],[SDate]]),5,1),vp.tbl[[#This Row],[SDate]]&lt;=DATE(YEAR(vp.tbl[[#This Row],[SDate]]),9,15)),1,0)</f>
        <v>1</v>
      </c>
      <c r="AQ1643" s="15">
        <f>IF(vp.tbl[[#This Row],[SDate]]&lt;DATE(2016,12,1),0,1)</f>
        <v>1</v>
      </c>
    </row>
    <row r="1644" spans="1:43" x14ac:dyDescent="0.25">
      <c r="A1644">
        <v>1643</v>
      </c>
      <c r="B1644" t="s">
        <v>49</v>
      </c>
      <c r="C1644" t="s">
        <v>49</v>
      </c>
      <c r="D1644" t="s">
        <v>100</v>
      </c>
      <c r="F1644" s="1">
        <v>42899</v>
      </c>
      <c r="G1644" s="2">
        <v>73.900000000000006</v>
      </c>
      <c r="H1644" s="2"/>
      <c r="I1644" s="2" t="s">
        <v>310</v>
      </c>
      <c r="J1644" s="2"/>
      <c r="K1644" s="2"/>
      <c r="L1644" s="2"/>
      <c r="M1644" s="2" t="s">
        <v>310</v>
      </c>
      <c r="N1644" s="2">
        <f ca="1">INDEX(INDIRECT(_xlfn.CONCAT("weather.tbl[",N$1,"]")),MATCH(vp.tbl[[#This Row],[SDate]],weather.tbl[Date],0))</f>
        <v>15.666666666666666</v>
      </c>
      <c r="O1644" s="2">
        <f ca="1">INDEX(INDIRECT(_xlfn.CONCAT("weather.tbl[",O$1,"]")),MATCH(vp.tbl[[#This Row],[SDate]],weather.tbl[Date],0))</f>
        <v>17.292857142857144</v>
      </c>
      <c r="P1644" s="2">
        <f ca="1">INDEX(INDIRECT(_xlfn.CONCAT("weather.tbl[",P$1,"]")),MATCH(vp.tbl[[#This Row],[SDate]],weather.tbl[Date],0))</f>
        <v>15.8</v>
      </c>
      <c r="Q1644" s="2">
        <f ca="1">INDEX(INDIRECT(_xlfn.CONCAT("weather.tbl[",Q$1,"]")),MATCH(vp.tbl[[#This Row],[SDate]],weather.tbl[Date],0))</f>
        <v>16.7</v>
      </c>
      <c r="R1644" s="2">
        <f ca="1">INDEX(INDIRECT(_xlfn.CONCAT("weather.tbl[",R$1,"]")),MATCH(vp.tbl[[#This Row],[SDate]],weather.tbl[Date],0))</f>
        <v>13.8</v>
      </c>
      <c r="S1644" s="2">
        <f ca="1">INDEX(INDIRECT(_xlfn.CONCAT("weather.tbl[",S$1,"]")),MATCH(vp.tbl[[#This Row],[SDate]],weather.tbl[Date],0))</f>
        <v>17.5</v>
      </c>
      <c r="T1644" s="2">
        <f ca="1">INDEX(INDIRECT(_xlfn.CONCAT("weather.tbl[",T$1,"]")),MATCH(vp.tbl[[#This Row],[SDate]],weather.tbl[Date],0))</f>
        <v>15.7</v>
      </c>
      <c r="U1644" s="2">
        <f ca="1">INDEX(INDIRECT(_xlfn.CONCAT("weather.tbl[",U$1,"]")),MATCH(vp.tbl[[#This Row],[SDate]],weather.tbl[Date],0))</f>
        <v>14.5</v>
      </c>
      <c r="V1644" s="2" t="s">
        <v>310</v>
      </c>
      <c r="W1644" t="s">
        <v>48</v>
      </c>
      <c r="X1644">
        <f>IF(OR(vp.tbl[[#This Row],[Sulf]]="",vp.tbl[[#This Row],[Dens]]=""),1,0)</f>
        <v>1</v>
      </c>
      <c r="Y1644">
        <f>IF(vp.tbl[[#This Row],[CrudeType]]="C5+",1,0)</f>
        <v>0</v>
      </c>
      <c r="Z1644">
        <f>IF(AND(vp.tbl[[#This Row],[CrudeType]]="Crude",vp.tbl[[#This Row],[Dens]]&lt;=825,vp.tbl[[#This Row],[Sulf]]&gt;0.5,vp.tbl[[#This Row],[Unknown]]=0),1,0)</f>
        <v>0</v>
      </c>
      <c r="AA1644">
        <f>IF(AND(vp.tbl[[#This Row],[CrudeType]]="Crude",vp.tbl[[#This Row],[Dens]]&lt;=825,vp.tbl[[#This Row],[Sulf]]&lt;=0.5,vp.tbl[[#This Row],[Unknown]]=0),1,0)</f>
        <v>0</v>
      </c>
      <c r="AB1644">
        <f>IF(AND(vp.tbl[[#This Row],[CrudeType]]="Crude",vp.tbl[[#This Row],[Dens]]&gt;825,vp.tbl[[#This Row],[Dens]]&lt;=870,vp.tbl[[#This Row],[Sulf]]&gt;0.5,vp.tbl[[#This Row],[Unknown]]=0),1,0)</f>
        <v>0</v>
      </c>
      <c r="AC1644">
        <f>IF(AND(vp.tbl[[#This Row],[CrudeType]]="Crude",vp.tbl[[#This Row],[Dens]]&gt;825,vp.tbl[[#This Row],[Dens]]&lt;=900,vp.tbl[[#This Row],[Sulf]]&lt;=0.5,vp.tbl[[#This Row],[Unknown]]=0),1,0)</f>
        <v>0</v>
      </c>
      <c r="AD1644">
        <f>IF(AND(vp.tbl[[#This Row],[CrudeType]]="Crude",vp.tbl[[#This Row],[Dens]]&gt;870,vp.tbl[[#This Row],[Dens]]&lt;=900,vp.tbl[[#This Row],[Sulf]]&gt;0.5,vp.tbl[[#This Row],[Unknown]]=0),1,0)</f>
        <v>0</v>
      </c>
      <c r="AE1644">
        <f>IF(AND(vp.tbl[[#This Row],[CrudeType]]="Crude",vp.tbl[[#This Row],[Dens]]&gt;900,vp.tbl[[#This Row],[Sulf]]&lt;=0.5,vp.tbl[[#This Row],[Unknown]]=0),1,0)</f>
        <v>0</v>
      </c>
      <c r="AF1644">
        <f>IF(AND(vp.tbl[[#This Row],[CrudeType]]="Crude",vp.tbl[[#This Row],[Dens]]&gt;900,vp.tbl[[#This Row],[Sulf]]&lt;=0.5,vp.tbl[[#This Row],[Unknown]]=0),1,0)</f>
        <v>0</v>
      </c>
      <c r="AG1644" t="str">
        <f>INDEX(vp.tbl[[#Headers],[Unknown]:[Heavy_SW]],MATCH(1,vp.tbl[[#This Row],[Unknown]:[Heavy_SW]],0))</f>
        <v>Unknown</v>
      </c>
      <c r="AH1644" t="e">
        <f>INDEX([1]!crudeBD.lkup[Number],MATCH(vp.tbl[[#This Row],[Crude_Breakdown]],[1]!crudeBD.lkup[Crude Breakdown],0))</f>
        <v>#REF!</v>
      </c>
      <c r="AI1644">
        <f>MONTH(vp.tbl[[#This Row],[SDate]])</f>
        <v>6</v>
      </c>
      <c r="AJ1644" s="5" t="str">
        <f>IFERROR(vp.tbl[[#This Row],[Sulf]]*vp.tbl[[#This Row],[Net Dens]],"")</f>
        <v/>
      </c>
      <c r="AK1644" s="5" t="str">
        <f>IFERROR(vp.tbl[[#This Row],[Dens]]*vp.tbl[[#This Row],[VolumeM3]],"")</f>
        <v/>
      </c>
      <c r="AL1644" s="5" t="str">
        <f>IFERROR(vp.tbl[[#This Row],[VP]]*vp.tbl[[#This Row],[VolumeM3]],"")</f>
        <v/>
      </c>
      <c r="AM1644" s="4">
        <f>IFERROR((vp.tbl[[#This Row],[VP]]-INDEX(crudeBD.lkup.complete[Mean_VP],MATCH(vp.tbl[[#This Row],[Crude_Breakdown]],crudeBD.lkup.complete[Crude Breakdown],0)))^2,"")</f>
        <v>3.0099502720998522E-3</v>
      </c>
      <c r="AN1644" s="4" t="str">
        <f>IFERROR((vp.tbl[[#This Row],[Dens]]-INDEX(crudeBD.lkup.complete[Mean_Dens],MATCH(vp.tbl[[#This Row],[Crude_Breakdown]],crudeBD.lkup.complete[Crude Breakdown],0)))^2,"")</f>
        <v/>
      </c>
      <c r="AO1644" s="4" t="str">
        <f>IFERROR((vp.tbl[[#This Row],[Sulf]]-INDEX(crudeBD.lkup.complete[Mean_Sulf],MATCH(vp.tbl[[#This Row],[Crude_Breakdown]],crudeBD.lkup.complete[Crude Breakdown],0)))^2,"")</f>
        <v/>
      </c>
      <c r="AP1644">
        <f>IF(AND(vp.tbl[[#This Row],[SDate]]&gt;=DATE(YEAR(vp.tbl[[#This Row],[SDate]]),5,1),vp.tbl[[#This Row],[SDate]]&lt;=DATE(YEAR(vp.tbl[[#This Row],[SDate]]),9,15)),1,0)</f>
        <v>1</v>
      </c>
      <c r="AQ1644" s="15">
        <f>IF(vp.tbl[[#This Row],[SDate]]&lt;DATE(2016,12,1),0,1)</f>
        <v>1</v>
      </c>
    </row>
    <row r="1645" spans="1:43" x14ac:dyDescent="0.25">
      <c r="A1645">
        <v>1644</v>
      </c>
      <c r="B1645" t="s">
        <v>49</v>
      </c>
      <c r="C1645" t="s">
        <v>49</v>
      </c>
      <c r="D1645" t="s">
        <v>67</v>
      </c>
      <c r="F1645" s="1">
        <v>42899</v>
      </c>
      <c r="G1645" s="2">
        <v>82.4</v>
      </c>
      <c r="H1645" s="2"/>
      <c r="I1645" s="2" t="s">
        <v>310</v>
      </c>
      <c r="J1645" s="2"/>
      <c r="K1645" s="2"/>
      <c r="L1645" s="2"/>
      <c r="M1645" s="2" t="s">
        <v>310</v>
      </c>
      <c r="N1645" s="2">
        <f ca="1">INDEX(INDIRECT(_xlfn.CONCAT("weather.tbl[",N$1,"]")),MATCH(vp.tbl[[#This Row],[SDate]],weather.tbl[Date],0))</f>
        <v>15.666666666666666</v>
      </c>
      <c r="O1645" s="2">
        <f ca="1">INDEX(INDIRECT(_xlfn.CONCAT("weather.tbl[",O$1,"]")),MATCH(vp.tbl[[#This Row],[SDate]],weather.tbl[Date],0))</f>
        <v>17.292857142857144</v>
      </c>
      <c r="P1645" s="2">
        <f ca="1">INDEX(INDIRECT(_xlfn.CONCAT("weather.tbl[",P$1,"]")),MATCH(vp.tbl[[#This Row],[SDate]],weather.tbl[Date],0))</f>
        <v>15.8</v>
      </c>
      <c r="Q1645" s="2">
        <f ca="1">INDEX(INDIRECT(_xlfn.CONCAT("weather.tbl[",Q$1,"]")),MATCH(vp.tbl[[#This Row],[SDate]],weather.tbl[Date],0))</f>
        <v>16.7</v>
      </c>
      <c r="R1645" s="2">
        <f ca="1">INDEX(INDIRECT(_xlfn.CONCAT("weather.tbl[",R$1,"]")),MATCH(vp.tbl[[#This Row],[SDate]],weather.tbl[Date],0))</f>
        <v>13.8</v>
      </c>
      <c r="S1645" s="2">
        <f ca="1">INDEX(INDIRECT(_xlfn.CONCAT("weather.tbl[",S$1,"]")),MATCH(vp.tbl[[#This Row],[SDate]],weather.tbl[Date],0))</f>
        <v>17.5</v>
      </c>
      <c r="T1645" s="2">
        <f ca="1">INDEX(INDIRECT(_xlfn.CONCAT("weather.tbl[",T$1,"]")),MATCH(vp.tbl[[#This Row],[SDate]],weather.tbl[Date],0))</f>
        <v>15.7</v>
      </c>
      <c r="U1645" s="2">
        <f ca="1">INDEX(INDIRECT(_xlfn.CONCAT("weather.tbl[",U$1,"]")),MATCH(vp.tbl[[#This Row],[SDate]],weather.tbl[Date],0))</f>
        <v>14.5</v>
      </c>
      <c r="V1645" s="2" t="s">
        <v>310</v>
      </c>
      <c r="W1645" t="s">
        <v>48</v>
      </c>
      <c r="X1645">
        <f>IF(OR(vp.tbl[[#This Row],[Sulf]]="",vp.tbl[[#This Row],[Dens]]=""),1,0)</f>
        <v>1</v>
      </c>
      <c r="Y1645">
        <f>IF(vp.tbl[[#This Row],[CrudeType]]="C5+",1,0)</f>
        <v>0</v>
      </c>
      <c r="Z1645">
        <f>IF(AND(vp.tbl[[#This Row],[CrudeType]]="Crude",vp.tbl[[#This Row],[Dens]]&lt;=825,vp.tbl[[#This Row],[Sulf]]&gt;0.5,vp.tbl[[#This Row],[Unknown]]=0),1,0)</f>
        <v>0</v>
      </c>
      <c r="AA1645">
        <f>IF(AND(vp.tbl[[#This Row],[CrudeType]]="Crude",vp.tbl[[#This Row],[Dens]]&lt;=825,vp.tbl[[#This Row],[Sulf]]&lt;=0.5,vp.tbl[[#This Row],[Unknown]]=0),1,0)</f>
        <v>0</v>
      </c>
      <c r="AB1645">
        <f>IF(AND(vp.tbl[[#This Row],[CrudeType]]="Crude",vp.tbl[[#This Row],[Dens]]&gt;825,vp.tbl[[#This Row],[Dens]]&lt;=870,vp.tbl[[#This Row],[Sulf]]&gt;0.5,vp.tbl[[#This Row],[Unknown]]=0),1,0)</f>
        <v>0</v>
      </c>
      <c r="AC1645">
        <f>IF(AND(vp.tbl[[#This Row],[CrudeType]]="Crude",vp.tbl[[#This Row],[Dens]]&gt;825,vp.tbl[[#This Row],[Dens]]&lt;=900,vp.tbl[[#This Row],[Sulf]]&lt;=0.5,vp.tbl[[#This Row],[Unknown]]=0),1,0)</f>
        <v>0</v>
      </c>
      <c r="AD1645">
        <f>IF(AND(vp.tbl[[#This Row],[CrudeType]]="Crude",vp.tbl[[#This Row],[Dens]]&gt;870,vp.tbl[[#This Row],[Dens]]&lt;=900,vp.tbl[[#This Row],[Sulf]]&gt;0.5,vp.tbl[[#This Row],[Unknown]]=0),1,0)</f>
        <v>0</v>
      </c>
      <c r="AE1645">
        <f>IF(AND(vp.tbl[[#This Row],[CrudeType]]="Crude",vp.tbl[[#This Row],[Dens]]&gt;900,vp.tbl[[#This Row],[Sulf]]&lt;=0.5,vp.tbl[[#This Row],[Unknown]]=0),1,0)</f>
        <v>0</v>
      </c>
      <c r="AF1645">
        <f>IF(AND(vp.tbl[[#This Row],[CrudeType]]="Crude",vp.tbl[[#This Row],[Dens]]&gt;900,vp.tbl[[#This Row],[Sulf]]&lt;=0.5,vp.tbl[[#This Row],[Unknown]]=0),1,0)</f>
        <v>0</v>
      </c>
      <c r="AG1645" t="str">
        <f>INDEX(vp.tbl[[#Headers],[Unknown]:[Heavy_SW]],MATCH(1,vp.tbl[[#This Row],[Unknown]:[Heavy_SW]],0))</f>
        <v>Unknown</v>
      </c>
      <c r="AH1645" t="e">
        <f>INDEX([1]!crudeBD.lkup[Number],MATCH(vp.tbl[[#This Row],[Crude_Breakdown]],[1]!crudeBD.lkup[Crude Breakdown],0))</f>
        <v>#REF!</v>
      </c>
      <c r="AI1645">
        <f>MONTH(vp.tbl[[#This Row],[SDate]])</f>
        <v>6</v>
      </c>
      <c r="AJ1645" s="5" t="str">
        <f>IFERROR(vp.tbl[[#This Row],[Sulf]]*vp.tbl[[#This Row],[Net Dens]],"")</f>
        <v/>
      </c>
      <c r="AK1645" s="5" t="str">
        <f>IFERROR(vp.tbl[[#This Row],[Dens]]*vp.tbl[[#This Row],[VolumeM3]],"")</f>
        <v/>
      </c>
      <c r="AL1645" s="5" t="str">
        <f>IFERROR(vp.tbl[[#This Row],[VP]]*vp.tbl[[#This Row],[VolumeM3]],"")</f>
        <v/>
      </c>
      <c r="AM1645" s="4">
        <f>IFERROR((vp.tbl[[#This Row],[VP]]-INDEX(crudeBD.lkup.complete[Mean_VP],MATCH(vp.tbl[[#This Row],[Crude_Breakdown]],crudeBD.lkup.complete[Crude Breakdown],0)))^2,"")</f>
        <v>73.185681183149399</v>
      </c>
      <c r="AN1645" s="4" t="str">
        <f>IFERROR((vp.tbl[[#This Row],[Dens]]-INDEX(crudeBD.lkup.complete[Mean_Dens],MATCH(vp.tbl[[#This Row],[Crude_Breakdown]],crudeBD.lkup.complete[Crude Breakdown],0)))^2,"")</f>
        <v/>
      </c>
      <c r="AO1645" s="4" t="str">
        <f>IFERROR((vp.tbl[[#This Row],[Sulf]]-INDEX(crudeBD.lkup.complete[Mean_Sulf],MATCH(vp.tbl[[#This Row],[Crude_Breakdown]],crudeBD.lkup.complete[Crude Breakdown],0)))^2,"")</f>
        <v/>
      </c>
      <c r="AP1645">
        <f>IF(AND(vp.tbl[[#This Row],[SDate]]&gt;=DATE(YEAR(vp.tbl[[#This Row],[SDate]]),5,1),vp.tbl[[#This Row],[SDate]]&lt;=DATE(YEAR(vp.tbl[[#This Row],[SDate]]),9,15)),1,0)</f>
        <v>1</v>
      </c>
      <c r="AQ1645" s="15">
        <f>IF(vp.tbl[[#This Row],[SDate]]&lt;DATE(2016,12,1),0,1)</f>
        <v>1</v>
      </c>
    </row>
    <row r="1646" spans="1:43" x14ac:dyDescent="0.25">
      <c r="A1646">
        <v>1645</v>
      </c>
      <c r="B1646" t="s">
        <v>53</v>
      </c>
      <c r="C1646" t="s">
        <v>53</v>
      </c>
      <c r="D1646" t="s">
        <v>54</v>
      </c>
      <c r="E1646" t="s">
        <v>289</v>
      </c>
      <c r="F1646" s="1">
        <v>42899</v>
      </c>
      <c r="G1646" s="2">
        <v>69.400000000000006</v>
      </c>
      <c r="H1646" s="2"/>
      <c r="I1646" s="2" t="s">
        <v>310</v>
      </c>
      <c r="J1646" s="2"/>
      <c r="K1646" s="2"/>
      <c r="L1646" s="2"/>
      <c r="M1646" s="2" t="s">
        <v>310</v>
      </c>
      <c r="N1646" s="2">
        <f ca="1">INDEX(INDIRECT(_xlfn.CONCAT("weather.tbl[",N$1,"]")),MATCH(vp.tbl[[#This Row],[SDate]],weather.tbl[Date],0))</f>
        <v>15.666666666666666</v>
      </c>
      <c r="O1646" s="2">
        <f ca="1">INDEX(INDIRECT(_xlfn.CONCAT("weather.tbl[",O$1,"]")),MATCH(vp.tbl[[#This Row],[SDate]],weather.tbl[Date],0))</f>
        <v>17.292857142857144</v>
      </c>
      <c r="P1646" s="2">
        <f ca="1">INDEX(INDIRECT(_xlfn.CONCAT("weather.tbl[",P$1,"]")),MATCH(vp.tbl[[#This Row],[SDate]],weather.tbl[Date],0))</f>
        <v>15.8</v>
      </c>
      <c r="Q1646" s="2">
        <f ca="1">INDEX(INDIRECT(_xlfn.CONCAT("weather.tbl[",Q$1,"]")),MATCH(vp.tbl[[#This Row],[SDate]],weather.tbl[Date],0))</f>
        <v>16.7</v>
      </c>
      <c r="R1646" s="2">
        <f ca="1">INDEX(INDIRECT(_xlfn.CONCAT("weather.tbl[",R$1,"]")),MATCH(vp.tbl[[#This Row],[SDate]],weather.tbl[Date],0))</f>
        <v>13.8</v>
      </c>
      <c r="S1646" s="2">
        <f ca="1">INDEX(INDIRECT(_xlfn.CONCAT("weather.tbl[",S$1,"]")),MATCH(vp.tbl[[#This Row],[SDate]],weather.tbl[Date],0))</f>
        <v>17.5</v>
      </c>
      <c r="T1646" s="2">
        <f ca="1">INDEX(INDIRECT(_xlfn.CONCAT("weather.tbl[",T$1,"]")),MATCH(vp.tbl[[#This Row],[SDate]],weather.tbl[Date],0))</f>
        <v>15.7</v>
      </c>
      <c r="U1646" s="2">
        <f ca="1">INDEX(INDIRECT(_xlfn.CONCAT("weather.tbl[",U$1,"]")),MATCH(vp.tbl[[#This Row],[SDate]],weather.tbl[Date],0))</f>
        <v>14.5</v>
      </c>
      <c r="V1646" s="2" t="s">
        <v>310</v>
      </c>
      <c r="W1646" t="s">
        <v>48</v>
      </c>
      <c r="X1646">
        <f>IF(OR(vp.tbl[[#This Row],[Sulf]]="",vp.tbl[[#This Row],[Dens]]=""),1,0)</f>
        <v>1</v>
      </c>
      <c r="Y1646">
        <f>IF(vp.tbl[[#This Row],[CrudeType]]="C5+",1,0)</f>
        <v>0</v>
      </c>
      <c r="Z1646">
        <f>IF(AND(vp.tbl[[#This Row],[CrudeType]]="Crude",vp.tbl[[#This Row],[Dens]]&lt;=825,vp.tbl[[#This Row],[Sulf]]&gt;0.5,vp.tbl[[#This Row],[Unknown]]=0),1,0)</f>
        <v>0</v>
      </c>
      <c r="AA1646">
        <f>IF(AND(vp.tbl[[#This Row],[CrudeType]]="Crude",vp.tbl[[#This Row],[Dens]]&lt;=825,vp.tbl[[#This Row],[Sulf]]&lt;=0.5,vp.tbl[[#This Row],[Unknown]]=0),1,0)</f>
        <v>0</v>
      </c>
      <c r="AB1646">
        <f>IF(AND(vp.tbl[[#This Row],[CrudeType]]="Crude",vp.tbl[[#This Row],[Dens]]&gt;825,vp.tbl[[#This Row],[Dens]]&lt;=870,vp.tbl[[#This Row],[Sulf]]&gt;0.5,vp.tbl[[#This Row],[Unknown]]=0),1,0)</f>
        <v>0</v>
      </c>
      <c r="AC1646">
        <f>IF(AND(vp.tbl[[#This Row],[CrudeType]]="Crude",vp.tbl[[#This Row],[Dens]]&gt;825,vp.tbl[[#This Row],[Dens]]&lt;=900,vp.tbl[[#This Row],[Sulf]]&lt;=0.5,vp.tbl[[#This Row],[Unknown]]=0),1,0)</f>
        <v>0</v>
      </c>
      <c r="AD1646">
        <f>IF(AND(vp.tbl[[#This Row],[CrudeType]]="Crude",vp.tbl[[#This Row],[Dens]]&gt;870,vp.tbl[[#This Row],[Dens]]&lt;=900,vp.tbl[[#This Row],[Sulf]]&gt;0.5,vp.tbl[[#This Row],[Unknown]]=0),1,0)</f>
        <v>0</v>
      </c>
      <c r="AE1646">
        <f>IF(AND(vp.tbl[[#This Row],[CrudeType]]="Crude",vp.tbl[[#This Row],[Dens]]&gt;900,vp.tbl[[#This Row],[Sulf]]&lt;=0.5,vp.tbl[[#This Row],[Unknown]]=0),1,0)</f>
        <v>0</v>
      </c>
      <c r="AF1646">
        <f>IF(AND(vp.tbl[[#This Row],[CrudeType]]="Crude",vp.tbl[[#This Row],[Dens]]&gt;900,vp.tbl[[#This Row],[Sulf]]&lt;=0.5,vp.tbl[[#This Row],[Unknown]]=0),1,0)</f>
        <v>0</v>
      </c>
      <c r="AG1646" t="str">
        <f>INDEX(vp.tbl[[#Headers],[Unknown]:[Heavy_SW]],MATCH(1,vp.tbl[[#This Row],[Unknown]:[Heavy_SW]],0))</f>
        <v>Unknown</v>
      </c>
      <c r="AH1646" t="e">
        <f>INDEX([1]!crudeBD.lkup[Number],MATCH(vp.tbl[[#This Row],[Crude_Breakdown]],[1]!crudeBD.lkup[Crude Breakdown],0))</f>
        <v>#REF!</v>
      </c>
      <c r="AI1646">
        <f>MONTH(vp.tbl[[#This Row],[SDate]])</f>
        <v>6</v>
      </c>
      <c r="AJ1646" s="5" t="str">
        <f>IFERROR(vp.tbl[[#This Row],[Sulf]]*vp.tbl[[#This Row],[Net Dens]],"")</f>
        <v/>
      </c>
      <c r="AK1646" s="5" t="str">
        <f>IFERROR(vp.tbl[[#This Row],[Dens]]*vp.tbl[[#This Row],[VolumeM3]],"")</f>
        <v/>
      </c>
      <c r="AL1646" s="5" t="str">
        <f>IFERROR(vp.tbl[[#This Row],[VP]]*vp.tbl[[#This Row],[VolumeM3]],"")</f>
        <v/>
      </c>
      <c r="AM1646" s="4">
        <f>IFERROR((vp.tbl[[#This Row],[VP]]-INDEX(crudeBD.lkup.complete[Mean_VP],MATCH(vp.tbl[[#This Row],[Crude_Breakdown]],crudeBD.lkup.complete[Crude Breakdown],0)))^2,"")</f>
        <v>19.759242826984121</v>
      </c>
      <c r="AN1646" s="4" t="str">
        <f>IFERROR((vp.tbl[[#This Row],[Dens]]-INDEX(crudeBD.lkup.complete[Mean_Dens],MATCH(vp.tbl[[#This Row],[Crude_Breakdown]],crudeBD.lkup.complete[Crude Breakdown],0)))^2,"")</f>
        <v/>
      </c>
      <c r="AO1646" s="4" t="str">
        <f>IFERROR((vp.tbl[[#This Row],[Sulf]]-INDEX(crudeBD.lkup.complete[Mean_Sulf],MATCH(vp.tbl[[#This Row],[Crude_Breakdown]],crudeBD.lkup.complete[Crude Breakdown],0)))^2,"")</f>
        <v/>
      </c>
      <c r="AP1646">
        <f>IF(AND(vp.tbl[[#This Row],[SDate]]&gt;=DATE(YEAR(vp.tbl[[#This Row],[SDate]]),5,1),vp.tbl[[#This Row],[SDate]]&lt;=DATE(YEAR(vp.tbl[[#This Row],[SDate]]),9,15)),1,0)</f>
        <v>1</v>
      </c>
      <c r="AQ1646" s="15">
        <f>IF(vp.tbl[[#This Row],[SDate]]&lt;DATE(2016,12,1),0,1)</f>
        <v>1</v>
      </c>
    </row>
    <row r="1647" spans="1:43" x14ac:dyDescent="0.25">
      <c r="A1647">
        <v>1646</v>
      </c>
      <c r="B1647" t="s">
        <v>53</v>
      </c>
      <c r="C1647" t="s">
        <v>53</v>
      </c>
      <c r="D1647" t="s">
        <v>54</v>
      </c>
      <c r="E1647" t="s">
        <v>290</v>
      </c>
      <c r="F1647" s="1">
        <v>42899</v>
      </c>
      <c r="G1647" s="2">
        <v>67.900000000000006</v>
      </c>
      <c r="H1647" s="2"/>
      <c r="I1647" s="2" t="s">
        <v>310</v>
      </c>
      <c r="J1647" s="2"/>
      <c r="K1647" s="2"/>
      <c r="L1647" s="2"/>
      <c r="M1647" s="2" t="s">
        <v>310</v>
      </c>
      <c r="N1647" s="2">
        <f ca="1">INDEX(INDIRECT(_xlfn.CONCAT("weather.tbl[",N$1,"]")),MATCH(vp.tbl[[#This Row],[SDate]],weather.tbl[Date],0))</f>
        <v>15.666666666666666</v>
      </c>
      <c r="O1647" s="2">
        <f ca="1">INDEX(INDIRECT(_xlfn.CONCAT("weather.tbl[",O$1,"]")),MATCH(vp.tbl[[#This Row],[SDate]],weather.tbl[Date],0))</f>
        <v>17.292857142857144</v>
      </c>
      <c r="P1647" s="2">
        <f ca="1">INDEX(INDIRECT(_xlfn.CONCAT("weather.tbl[",P$1,"]")),MATCH(vp.tbl[[#This Row],[SDate]],weather.tbl[Date],0))</f>
        <v>15.8</v>
      </c>
      <c r="Q1647" s="2">
        <f ca="1">INDEX(INDIRECT(_xlfn.CONCAT("weather.tbl[",Q$1,"]")),MATCH(vp.tbl[[#This Row],[SDate]],weather.tbl[Date],0))</f>
        <v>16.7</v>
      </c>
      <c r="R1647" s="2">
        <f ca="1">INDEX(INDIRECT(_xlfn.CONCAT("weather.tbl[",R$1,"]")),MATCH(vp.tbl[[#This Row],[SDate]],weather.tbl[Date],0))</f>
        <v>13.8</v>
      </c>
      <c r="S1647" s="2">
        <f ca="1">INDEX(INDIRECT(_xlfn.CONCAT("weather.tbl[",S$1,"]")),MATCH(vp.tbl[[#This Row],[SDate]],weather.tbl[Date],0))</f>
        <v>17.5</v>
      </c>
      <c r="T1647" s="2">
        <f ca="1">INDEX(INDIRECT(_xlfn.CONCAT("weather.tbl[",T$1,"]")),MATCH(vp.tbl[[#This Row],[SDate]],weather.tbl[Date],0))</f>
        <v>15.7</v>
      </c>
      <c r="U1647" s="2">
        <f ca="1">INDEX(INDIRECT(_xlfn.CONCAT("weather.tbl[",U$1,"]")),MATCH(vp.tbl[[#This Row],[SDate]],weather.tbl[Date],0))</f>
        <v>14.5</v>
      </c>
      <c r="V1647" s="2" t="s">
        <v>310</v>
      </c>
      <c r="W1647" t="s">
        <v>48</v>
      </c>
      <c r="X1647">
        <f>IF(OR(vp.tbl[[#This Row],[Sulf]]="",vp.tbl[[#This Row],[Dens]]=""),1,0)</f>
        <v>1</v>
      </c>
      <c r="Y1647">
        <f>IF(vp.tbl[[#This Row],[CrudeType]]="C5+",1,0)</f>
        <v>0</v>
      </c>
      <c r="Z1647">
        <f>IF(AND(vp.tbl[[#This Row],[CrudeType]]="Crude",vp.tbl[[#This Row],[Dens]]&lt;=825,vp.tbl[[#This Row],[Sulf]]&gt;0.5,vp.tbl[[#This Row],[Unknown]]=0),1,0)</f>
        <v>0</v>
      </c>
      <c r="AA1647">
        <f>IF(AND(vp.tbl[[#This Row],[CrudeType]]="Crude",vp.tbl[[#This Row],[Dens]]&lt;=825,vp.tbl[[#This Row],[Sulf]]&lt;=0.5,vp.tbl[[#This Row],[Unknown]]=0),1,0)</f>
        <v>0</v>
      </c>
      <c r="AB1647">
        <f>IF(AND(vp.tbl[[#This Row],[CrudeType]]="Crude",vp.tbl[[#This Row],[Dens]]&gt;825,vp.tbl[[#This Row],[Dens]]&lt;=870,vp.tbl[[#This Row],[Sulf]]&gt;0.5,vp.tbl[[#This Row],[Unknown]]=0),1,0)</f>
        <v>0</v>
      </c>
      <c r="AC1647">
        <f>IF(AND(vp.tbl[[#This Row],[CrudeType]]="Crude",vp.tbl[[#This Row],[Dens]]&gt;825,vp.tbl[[#This Row],[Dens]]&lt;=900,vp.tbl[[#This Row],[Sulf]]&lt;=0.5,vp.tbl[[#This Row],[Unknown]]=0),1,0)</f>
        <v>0</v>
      </c>
      <c r="AD1647">
        <f>IF(AND(vp.tbl[[#This Row],[CrudeType]]="Crude",vp.tbl[[#This Row],[Dens]]&gt;870,vp.tbl[[#This Row],[Dens]]&lt;=900,vp.tbl[[#This Row],[Sulf]]&gt;0.5,vp.tbl[[#This Row],[Unknown]]=0),1,0)</f>
        <v>0</v>
      </c>
      <c r="AE1647">
        <f>IF(AND(vp.tbl[[#This Row],[CrudeType]]="Crude",vp.tbl[[#This Row],[Dens]]&gt;900,vp.tbl[[#This Row],[Sulf]]&lt;=0.5,vp.tbl[[#This Row],[Unknown]]=0),1,0)</f>
        <v>0</v>
      </c>
      <c r="AF1647">
        <f>IF(AND(vp.tbl[[#This Row],[CrudeType]]="Crude",vp.tbl[[#This Row],[Dens]]&gt;900,vp.tbl[[#This Row],[Sulf]]&lt;=0.5,vp.tbl[[#This Row],[Unknown]]=0),1,0)</f>
        <v>0</v>
      </c>
      <c r="AG1647" t="str">
        <f>INDEX(vp.tbl[[#Headers],[Unknown]:[Heavy_SW]],MATCH(1,vp.tbl[[#This Row],[Unknown]:[Heavy_SW]],0))</f>
        <v>Unknown</v>
      </c>
      <c r="AH1647" t="e">
        <f>INDEX([1]!crudeBD.lkup[Number],MATCH(vp.tbl[[#This Row],[Crude_Breakdown]],[1]!crudeBD.lkup[Crude Breakdown],0))</f>
        <v>#REF!</v>
      </c>
      <c r="AI1647">
        <f>MONTH(vp.tbl[[#This Row],[SDate]])</f>
        <v>6</v>
      </c>
      <c r="AJ1647" s="5" t="str">
        <f>IFERROR(vp.tbl[[#This Row],[Sulf]]*vp.tbl[[#This Row],[Net Dens]],"")</f>
        <v/>
      </c>
      <c r="AK1647" s="5" t="str">
        <f>IFERROR(vp.tbl[[#This Row],[Dens]]*vp.tbl[[#This Row],[VolumeM3]],"")</f>
        <v/>
      </c>
      <c r="AL1647" s="5" t="str">
        <f>IFERROR(vp.tbl[[#This Row],[VP]]*vp.tbl[[#This Row],[VolumeM3]],"")</f>
        <v/>
      </c>
      <c r="AM1647" s="4">
        <f>IFERROR((vp.tbl[[#This Row],[VP]]-INDEX(crudeBD.lkup.complete[Mean_VP],MATCH(vp.tbl[[#This Row],[Crude_Breakdown]],crudeBD.lkup.complete[Crude Breakdown],0)))^2,"")</f>
        <v>35.344653785888127</v>
      </c>
      <c r="AN1647" s="4" t="str">
        <f>IFERROR((vp.tbl[[#This Row],[Dens]]-INDEX(crudeBD.lkup.complete[Mean_Dens],MATCH(vp.tbl[[#This Row],[Crude_Breakdown]],crudeBD.lkup.complete[Crude Breakdown],0)))^2,"")</f>
        <v/>
      </c>
      <c r="AO1647" s="4" t="str">
        <f>IFERROR((vp.tbl[[#This Row],[Sulf]]-INDEX(crudeBD.lkup.complete[Mean_Sulf],MATCH(vp.tbl[[#This Row],[Crude_Breakdown]],crudeBD.lkup.complete[Crude Breakdown],0)))^2,"")</f>
        <v/>
      </c>
      <c r="AP1647">
        <f>IF(AND(vp.tbl[[#This Row],[SDate]]&gt;=DATE(YEAR(vp.tbl[[#This Row],[SDate]]),5,1),vp.tbl[[#This Row],[SDate]]&lt;=DATE(YEAR(vp.tbl[[#This Row],[SDate]]),9,15)),1,0)</f>
        <v>1</v>
      </c>
      <c r="AQ1647" s="15">
        <f>IF(vp.tbl[[#This Row],[SDate]]&lt;DATE(2016,12,1),0,1)</f>
        <v>1</v>
      </c>
    </row>
    <row r="1648" spans="1:43" x14ac:dyDescent="0.25">
      <c r="A1648">
        <v>1647</v>
      </c>
      <c r="B1648" t="s">
        <v>62</v>
      </c>
      <c r="C1648" t="s">
        <v>62</v>
      </c>
      <c r="D1648" t="s">
        <v>63</v>
      </c>
      <c r="F1648" s="1">
        <v>42899</v>
      </c>
      <c r="G1648" s="2">
        <v>78</v>
      </c>
      <c r="H1648" s="2"/>
      <c r="I1648" s="2" t="s">
        <v>310</v>
      </c>
      <c r="J1648" s="2"/>
      <c r="K1648" s="2"/>
      <c r="L1648" s="2"/>
      <c r="M1648" s="2" t="s">
        <v>310</v>
      </c>
      <c r="N1648" s="2">
        <f ca="1">INDEX(INDIRECT(_xlfn.CONCAT("weather.tbl[",N$1,"]")),MATCH(vp.tbl[[#This Row],[SDate]],weather.tbl[Date],0))</f>
        <v>15.666666666666666</v>
      </c>
      <c r="O1648" s="2">
        <f ca="1">INDEX(INDIRECT(_xlfn.CONCAT("weather.tbl[",O$1,"]")),MATCH(vp.tbl[[#This Row],[SDate]],weather.tbl[Date],0))</f>
        <v>17.292857142857144</v>
      </c>
      <c r="P1648" s="2">
        <f ca="1">INDEX(INDIRECT(_xlfn.CONCAT("weather.tbl[",P$1,"]")),MATCH(vp.tbl[[#This Row],[SDate]],weather.tbl[Date],0))</f>
        <v>15.8</v>
      </c>
      <c r="Q1648" s="2">
        <f ca="1">INDEX(INDIRECT(_xlfn.CONCAT("weather.tbl[",Q$1,"]")),MATCH(vp.tbl[[#This Row],[SDate]],weather.tbl[Date],0))</f>
        <v>16.7</v>
      </c>
      <c r="R1648" s="2">
        <f ca="1">INDEX(INDIRECT(_xlfn.CONCAT("weather.tbl[",R$1,"]")),MATCH(vp.tbl[[#This Row],[SDate]],weather.tbl[Date],0))</f>
        <v>13.8</v>
      </c>
      <c r="S1648" s="2">
        <f ca="1">INDEX(INDIRECT(_xlfn.CONCAT("weather.tbl[",S$1,"]")),MATCH(vp.tbl[[#This Row],[SDate]],weather.tbl[Date],0))</f>
        <v>17.5</v>
      </c>
      <c r="T1648" s="2">
        <f ca="1">INDEX(INDIRECT(_xlfn.CONCAT("weather.tbl[",T$1,"]")),MATCH(vp.tbl[[#This Row],[SDate]],weather.tbl[Date],0))</f>
        <v>15.7</v>
      </c>
      <c r="U1648" s="2">
        <f ca="1">INDEX(INDIRECT(_xlfn.CONCAT("weather.tbl[",U$1,"]")),MATCH(vp.tbl[[#This Row],[SDate]],weather.tbl[Date],0))</f>
        <v>14.5</v>
      </c>
      <c r="V1648" s="2" t="s">
        <v>310</v>
      </c>
      <c r="W1648" t="s">
        <v>48</v>
      </c>
      <c r="X1648">
        <f>IF(OR(vp.tbl[[#This Row],[Sulf]]="",vp.tbl[[#This Row],[Dens]]=""),1,0)</f>
        <v>1</v>
      </c>
      <c r="Y1648">
        <f>IF(vp.tbl[[#This Row],[CrudeType]]="C5+",1,0)</f>
        <v>0</v>
      </c>
      <c r="Z1648">
        <f>IF(AND(vp.tbl[[#This Row],[CrudeType]]="Crude",vp.tbl[[#This Row],[Dens]]&lt;=825,vp.tbl[[#This Row],[Sulf]]&gt;0.5,vp.tbl[[#This Row],[Unknown]]=0),1,0)</f>
        <v>0</v>
      </c>
      <c r="AA1648">
        <f>IF(AND(vp.tbl[[#This Row],[CrudeType]]="Crude",vp.tbl[[#This Row],[Dens]]&lt;=825,vp.tbl[[#This Row],[Sulf]]&lt;=0.5,vp.tbl[[#This Row],[Unknown]]=0),1,0)</f>
        <v>0</v>
      </c>
      <c r="AB1648">
        <f>IF(AND(vp.tbl[[#This Row],[CrudeType]]="Crude",vp.tbl[[#This Row],[Dens]]&gt;825,vp.tbl[[#This Row],[Dens]]&lt;=870,vp.tbl[[#This Row],[Sulf]]&gt;0.5,vp.tbl[[#This Row],[Unknown]]=0),1,0)</f>
        <v>0</v>
      </c>
      <c r="AC1648">
        <f>IF(AND(vp.tbl[[#This Row],[CrudeType]]="Crude",vp.tbl[[#This Row],[Dens]]&gt;825,vp.tbl[[#This Row],[Dens]]&lt;=900,vp.tbl[[#This Row],[Sulf]]&lt;=0.5,vp.tbl[[#This Row],[Unknown]]=0),1,0)</f>
        <v>0</v>
      </c>
      <c r="AD1648">
        <f>IF(AND(vp.tbl[[#This Row],[CrudeType]]="Crude",vp.tbl[[#This Row],[Dens]]&gt;870,vp.tbl[[#This Row],[Dens]]&lt;=900,vp.tbl[[#This Row],[Sulf]]&gt;0.5,vp.tbl[[#This Row],[Unknown]]=0),1,0)</f>
        <v>0</v>
      </c>
      <c r="AE1648">
        <f>IF(AND(vp.tbl[[#This Row],[CrudeType]]="Crude",vp.tbl[[#This Row],[Dens]]&gt;900,vp.tbl[[#This Row],[Sulf]]&lt;=0.5,vp.tbl[[#This Row],[Unknown]]=0),1,0)</f>
        <v>0</v>
      </c>
      <c r="AF1648">
        <f>IF(AND(vp.tbl[[#This Row],[CrudeType]]="Crude",vp.tbl[[#This Row],[Dens]]&gt;900,vp.tbl[[#This Row],[Sulf]]&lt;=0.5,vp.tbl[[#This Row],[Unknown]]=0),1,0)</f>
        <v>0</v>
      </c>
      <c r="AG1648" t="str">
        <f>INDEX(vp.tbl[[#Headers],[Unknown]:[Heavy_SW]],MATCH(1,vp.tbl[[#This Row],[Unknown]:[Heavy_SW]],0))</f>
        <v>Unknown</v>
      </c>
      <c r="AH1648" t="e">
        <f>INDEX([1]!crudeBD.lkup[Number],MATCH(vp.tbl[[#This Row],[Crude_Breakdown]],[1]!crudeBD.lkup[Crude Breakdown],0))</f>
        <v>#REF!</v>
      </c>
      <c r="AI1648">
        <f>MONTH(vp.tbl[[#This Row],[SDate]])</f>
        <v>6</v>
      </c>
      <c r="AJ1648" s="5" t="str">
        <f>IFERROR(vp.tbl[[#This Row],[Sulf]]*vp.tbl[[#This Row],[Net Dens]],"")</f>
        <v/>
      </c>
      <c r="AK1648" s="5" t="str">
        <f>IFERROR(vp.tbl[[#This Row],[Dens]]*vp.tbl[[#This Row],[VolumeM3]],"")</f>
        <v/>
      </c>
      <c r="AL1648" s="5" t="str">
        <f>IFERROR(vp.tbl[[#This Row],[VP]]*vp.tbl[[#This Row],[VolumeM3]],"")</f>
        <v/>
      </c>
      <c r="AM1648" s="4">
        <f>IFERROR((vp.tbl[[#This Row],[VP]]-INDEX(crudeBD.lkup.complete[Mean_VP],MATCH(vp.tbl[[#This Row],[Crude_Breakdown]],crudeBD.lkup.complete[Crude Breakdown],0)))^2,"")</f>
        <v>17.262886662601101</v>
      </c>
      <c r="AN1648" s="4" t="str">
        <f>IFERROR((vp.tbl[[#This Row],[Dens]]-INDEX(crudeBD.lkup.complete[Mean_Dens],MATCH(vp.tbl[[#This Row],[Crude_Breakdown]],crudeBD.lkup.complete[Crude Breakdown],0)))^2,"")</f>
        <v/>
      </c>
      <c r="AO1648" s="4" t="str">
        <f>IFERROR((vp.tbl[[#This Row],[Sulf]]-INDEX(crudeBD.lkup.complete[Mean_Sulf],MATCH(vp.tbl[[#This Row],[Crude_Breakdown]],crudeBD.lkup.complete[Crude Breakdown],0)))^2,"")</f>
        <v/>
      </c>
      <c r="AP1648">
        <f>IF(AND(vp.tbl[[#This Row],[SDate]]&gt;=DATE(YEAR(vp.tbl[[#This Row],[SDate]]),5,1),vp.tbl[[#This Row],[SDate]]&lt;=DATE(YEAR(vp.tbl[[#This Row],[SDate]]),9,15)),1,0)</f>
        <v>1</v>
      </c>
      <c r="AQ1648" s="15">
        <f>IF(vp.tbl[[#This Row],[SDate]]&lt;DATE(2016,12,1),0,1)</f>
        <v>1</v>
      </c>
    </row>
    <row r="1649" spans="1:43" x14ac:dyDescent="0.25">
      <c r="A1649">
        <v>1648</v>
      </c>
      <c r="B1649" t="s">
        <v>62</v>
      </c>
      <c r="C1649" t="s">
        <v>62</v>
      </c>
      <c r="D1649" t="s">
        <v>87</v>
      </c>
      <c r="F1649" s="1">
        <v>42899</v>
      </c>
      <c r="G1649" s="2">
        <v>96</v>
      </c>
      <c r="H1649" s="2"/>
      <c r="I1649" s="2" t="s">
        <v>310</v>
      </c>
      <c r="J1649" s="2"/>
      <c r="K1649" s="2"/>
      <c r="L1649" s="2"/>
      <c r="M1649" s="2" t="s">
        <v>310</v>
      </c>
      <c r="N1649" s="2">
        <f ca="1">INDEX(INDIRECT(_xlfn.CONCAT("weather.tbl[",N$1,"]")),MATCH(vp.tbl[[#This Row],[SDate]],weather.tbl[Date],0))</f>
        <v>15.666666666666666</v>
      </c>
      <c r="O1649" s="2">
        <f ca="1">INDEX(INDIRECT(_xlfn.CONCAT("weather.tbl[",O$1,"]")),MATCH(vp.tbl[[#This Row],[SDate]],weather.tbl[Date],0))</f>
        <v>17.292857142857144</v>
      </c>
      <c r="P1649" s="2">
        <f ca="1">INDEX(INDIRECT(_xlfn.CONCAT("weather.tbl[",P$1,"]")),MATCH(vp.tbl[[#This Row],[SDate]],weather.tbl[Date],0))</f>
        <v>15.8</v>
      </c>
      <c r="Q1649" s="2">
        <f ca="1">INDEX(INDIRECT(_xlfn.CONCAT("weather.tbl[",Q$1,"]")),MATCH(vp.tbl[[#This Row],[SDate]],weather.tbl[Date],0))</f>
        <v>16.7</v>
      </c>
      <c r="R1649" s="2">
        <f ca="1">INDEX(INDIRECT(_xlfn.CONCAT("weather.tbl[",R$1,"]")),MATCH(vp.tbl[[#This Row],[SDate]],weather.tbl[Date],0))</f>
        <v>13.8</v>
      </c>
      <c r="S1649" s="2">
        <f ca="1">INDEX(INDIRECT(_xlfn.CONCAT("weather.tbl[",S$1,"]")),MATCH(vp.tbl[[#This Row],[SDate]],weather.tbl[Date],0))</f>
        <v>17.5</v>
      </c>
      <c r="T1649" s="2">
        <f ca="1">INDEX(INDIRECT(_xlfn.CONCAT("weather.tbl[",T$1,"]")),MATCH(vp.tbl[[#This Row],[SDate]],weather.tbl[Date],0))</f>
        <v>15.7</v>
      </c>
      <c r="U1649" s="2">
        <f ca="1">INDEX(INDIRECT(_xlfn.CONCAT("weather.tbl[",U$1,"]")),MATCH(vp.tbl[[#This Row],[SDate]],weather.tbl[Date],0))</f>
        <v>14.5</v>
      </c>
      <c r="V1649" s="2" t="s">
        <v>310</v>
      </c>
      <c r="W1649" t="s">
        <v>48</v>
      </c>
      <c r="X1649">
        <f>IF(OR(vp.tbl[[#This Row],[Sulf]]="",vp.tbl[[#This Row],[Dens]]=""),1,0)</f>
        <v>1</v>
      </c>
      <c r="Y1649">
        <f>IF(vp.tbl[[#This Row],[CrudeType]]="C5+",1,0)</f>
        <v>0</v>
      </c>
      <c r="Z1649">
        <f>IF(AND(vp.tbl[[#This Row],[CrudeType]]="Crude",vp.tbl[[#This Row],[Dens]]&lt;=825,vp.tbl[[#This Row],[Sulf]]&gt;0.5,vp.tbl[[#This Row],[Unknown]]=0),1,0)</f>
        <v>0</v>
      </c>
      <c r="AA1649">
        <f>IF(AND(vp.tbl[[#This Row],[CrudeType]]="Crude",vp.tbl[[#This Row],[Dens]]&lt;=825,vp.tbl[[#This Row],[Sulf]]&lt;=0.5,vp.tbl[[#This Row],[Unknown]]=0),1,0)</f>
        <v>0</v>
      </c>
      <c r="AB1649">
        <f>IF(AND(vp.tbl[[#This Row],[CrudeType]]="Crude",vp.tbl[[#This Row],[Dens]]&gt;825,vp.tbl[[#This Row],[Dens]]&lt;=870,vp.tbl[[#This Row],[Sulf]]&gt;0.5,vp.tbl[[#This Row],[Unknown]]=0),1,0)</f>
        <v>0</v>
      </c>
      <c r="AC1649">
        <f>IF(AND(vp.tbl[[#This Row],[CrudeType]]="Crude",vp.tbl[[#This Row],[Dens]]&gt;825,vp.tbl[[#This Row],[Dens]]&lt;=900,vp.tbl[[#This Row],[Sulf]]&lt;=0.5,vp.tbl[[#This Row],[Unknown]]=0),1,0)</f>
        <v>0</v>
      </c>
      <c r="AD1649">
        <f>IF(AND(vp.tbl[[#This Row],[CrudeType]]="Crude",vp.tbl[[#This Row],[Dens]]&gt;870,vp.tbl[[#This Row],[Dens]]&lt;=900,vp.tbl[[#This Row],[Sulf]]&gt;0.5,vp.tbl[[#This Row],[Unknown]]=0),1,0)</f>
        <v>0</v>
      </c>
      <c r="AE1649">
        <f>IF(AND(vp.tbl[[#This Row],[CrudeType]]="Crude",vp.tbl[[#This Row],[Dens]]&gt;900,vp.tbl[[#This Row],[Sulf]]&lt;=0.5,vp.tbl[[#This Row],[Unknown]]=0),1,0)</f>
        <v>0</v>
      </c>
      <c r="AF1649">
        <f>IF(AND(vp.tbl[[#This Row],[CrudeType]]="Crude",vp.tbl[[#This Row],[Dens]]&gt;900,vp.tbl[[#This Row],[Sulf]]&lt;=0.5,vp.tbl[[#This Row],[Unknown]]=0),1,0)</f>
        <v>0</v>
      </c>
      <c r="AG1649" t="str">
        <f>INDEX(vp.tbl[[#Headers],[Unknown]:[Heavy_SW]],MATCH(1,vp.tbl[[#This Row],[Unknown]:[Heavy_SW]],0))</f>
        <v>Unknown</v>
      </c>
      <c r="AH1649" t="e">
        <f>INDEX([1]!crudeBD.lkup[Number],MATCH(vp.tbl[[#This Row],[Crude_Breakdown]],[1]!crudeBD.lkup[Crude Breakdown],0))</f>
        <v>#REF!</v>
      </c>
      <c r="AI1649">
        <f>MONTH(vp.tbl[[#This Row],[SDate]])</f>
        <v>6</v>
      </c>
      <c r="AJ1649" s="5" t="str">
        <f>IFERROR(vp.tbl[[#This Row],[Sulf]]*vp.tbl[[#This Row],[Net Dens]],"")</f>
        <v/>
      </c>
      <c r="AK1649" s="5" t="str">
        <f>IFERROR(vp.tbl[[#This Row],[Dens]]*vp.tbl[[#This Row],[VolumeM3]],"")</f>
        <v/>
      </c>
      <c r="AL1649" s="5" t="str">
        <f>IFERROR(vp.tbl[[#This Row],[VP]]*vp.tbl[[#This Row],[VolumeM3]],"")</f>
        <v/>
      </c>
      <c r="AM1649" s="4">
        <f>IFERROR((vp.tbl[[#This Row],[VP]]-INDEX(crudeBD.lkup.complete[Mean_VP],MATCH(vp.tbl[[#This Row],[Crude_Breakdown]],crudeBD.lkup.complete[Crude Breakdown],0)))^2,"")</f>
        <v>490.83795515575281</v>
      </c>
      <c r="AN1649" s="4" t="str">
        <f>IFERROR((vp.tbl[[#This Row],[Dens]]-INDEX(crudeBD.lkup.complete[Mean_Dens],MATCH(vp.tbl[[#This Row],[Crude_Breakdown]],crudeBD.lkup.complete[Crude Breakdown],0)))^2,"")</f>
        <v/>
      </c>
      <c r="AO1649" s="4" t="str">
        <f>IFERROR((vp.tbl[[#This Row],[Sulf]]-INDEX(crudeBD.lkup.complete[Mean_Sulf],MATCH(vp.tbl[[#This Row],[Crude_Breakdown]],crudeBD.lkup.complete[Crude Breakdown],0)))^2,"")</f>
        <v/>
      </c>
      <c r="AP1649">
        <f>IF(AND(vp.tbl[[#This Row],[SDate]]&gt;=DATE(YEAR(vp.tbl[[#This Row],[SDate]]),5,1),vp.tbl[[#This Row],[SDate]]&lt;=DATE(YEAR(vp.tbl[[#This Row],[SDate]]),9,15)),1,0)</f>
        <v>1</v>
      </c>
      <c r="AQ1649" s="15">
        <f>IF(vp.tbl[[#This Row],[SDate]]&lt;DATE(2016,12,1),0,1)</f>
        <v>1</v>
      </c>
    </row>
    <row r="1650" spans="1:43" x14ac:dyDescent="0.25">
      <c r="A1650">
        <v>1649</v>
      </c>
      <c r="B1650" t="s">
        <v>62</v>
      </c>
      <c r="C1650" t="s">
        <v>62</v>
      </c>
      <c r="D1650" t="s">
        <v>83</v>
      </c>
      <c r="F1650" s="1">
        <v>42899</v>
      </c>
      <c r="G1650" s="2">
        <v>93.8</v>
      </c>
      <c r="H1650" s="2"/>
      <c r="I1650" s="2" t="s">
        <v>310</v>
      </c>
      <c r="J1650" s="2"/>
      <c r="K1650" s="2"/>
      <c r="L1650" s="2"/>
      <c r="M1650" s="2" t="s">
        <v>310</v>
      </c>
      <c r="N1650" s="2">
        <f ca="1">INDEX(INDIRECT(_xlfn.CONCAT("weather.tbl[",N$1,"]")),MATCH(vp.tbl[[#This Row],[SDate]],weather.tbl[Date],0))</f>
        <v>15.666666666666666</v>
      </c>
      <c r="O1650" s="2">
        <f ca="1">INDEX(INDIRECT(_xlfn.CONCAT("weather.tbl[",O$1,"]")),MATCH(vp.tbl[[#This Row],[SDate]],weather.tbl[Date],0))</f>
        <v>17.292857142857144</v>
      </c>
      <c r="P1650" s="2">
        <f ca="1">INDEX(INDIRECT(_xlfn.CONCAT("weather.tbl[",P$1,"]")),MATCH(vp.tbl[[#This Row],[SDate]],weather.tbl[Date],0))</f>
        <v>15.8</v>
      </c>
      <c r="Q1650" s="2">
        <f ca="1">INDEX(INDIRECT(_xlfn.CONCAT("weather.tbl[",Q$1,"]")),MATCH(vp.tbl[[#This Row],[SDate]],weather.tbl[Date],0))</f>
        <v>16.7</v>
      </c>
      <c r="R1650" s="2">
        <f ca="1">INDEX(INDIRECT(_xlfn.CONCAT("weather.tbl[",R$1,"]")),MATCH(vp.tbl[[#This Row],[SDate]],weather.tbl[Date],0))</f>
        <v>13.8</v>
      </c>
      <c r="S1650" s="2">
        <f ca="1">INDEX(INDIRECT(_xlfn.CONCAT("weather.tbl[",S$1,"]")),MATCH(vp.tbl[[#This Row],[SDate]],weather.tbl[Date],0))</f>
        <v>17.5</v>
      </c>
      <c r="T1650" s="2">
        <f ca="1">INDEX(INDIRECT(_xlfn.CONCAT("weather.tbl[",T$1,"]")),MATCH(vp.tbl[[#This Row],[SDate]],weather.tbl[Date],0))</f>
        <v>15.7</v>
      </c>
      <c r="U1650" s="2">
        <f ca="1">INDEX(INDIRECT(_xlfn.CONCAT("weather.tbl[",U$1,"]")),MATCH(vp.tbl[[#This Row],[SDate]],weather.tbl[Date],0))</f>
        <v>14.5</v>
      </c>
      <c r="V1650" s="2" t="s">
        <v>310</v>
      </c>
      <c r="W1650" t="s">
        <v>48</v>
      </c>
      <c r="X1650">
        <f>IF(OR(vp.tbl[[#This Row],[Sulf]]="",vp.tbl[[#This Row],[Dens]]=""),1,0)</f>
        <v>1</v>
      </c>
      <c r="Y1650">
        <f>IF(vp.tbl[[#This Row],[CrudeType]]="C5+",1,0)</f>
        <v>0</v>
      </c>
      <c r="Z1650">
        <f>IF(AND(vp.tbl[[#This Row],[CrudeType]]="Crude",vp.tbl[[#This Row],[Dens]]&lt;=825,vp.tbl[[#This Row],[Sulf]]&gt;0.5,vp.tbl[[#This Row],[Unknown]]=0),1,0)</f>
        <v>0</v>
      </c>
      <c r="AA1650">
        <f>IF(AND(vp.tbl[[#This Row],[CrudeType]]="Crude",vp.tbl[[#This Row],[Dens]]&lt;=825,vp.tbl[[#This Row],[Sulf]]&lt;=0.5,vp.tbl[[#This Row],[Unknown]]=0),1,0)</f>
        <v>0</v>
      </c>
      <c r="AB1650">
        <f>IF(AND(vp.tbl[[#This Row],[CrudeType]]="Crude",vp.tbl[[#This Row],[Dens]]&gt;825,vp.tbl[[#This Row],[Dens]]&lt;=870,vp.tbl[[#This Row],[Sulf]]&gt;0.5,vp.tbl[[#This Row],[Unknown]]=0),1,0)</f>
        <v>0</v>
      </c>
      <c r="AC1650">
        <f>IF(AND(vp.tbl[[#This Row],[CrudeType]]="Crude",vp.tbl[[#This Row],[Dens]]&gt;825,vp.tbl[[#This Row],[Dens]]&lt;=900,vp.tbl[[#This Row],[Sulf]]&lt;=0.5,vp.tbl[[#This Row],[Unknown]]=0),1,0)</f>
        <v>0</v>
      </c>
      <c r="AD1650">
        <f>IF(AND(vp.tbl[[#This Row],[CrudeType]]="Crude",vp.tbl[[#This Row],[Dens]]&gt;870,vp.tbl[[#This Row],[Dens]]&lt;=900,vp.tbl[[#This Row],[Sulf]]&gt;0.5,vp.tbl[[#This Row],[Unknown]]=0),1,0)</f>
        <v>0</v>
      </c>
      <c r="AE1650">
        <f>IF(AND(vp.tbl[[#This Row],[CrudeType]]="Crude",vp.tbl[[#This Row],[Dens]]&gt;900,vp.tbl[[#This Row],[Sulf]]&lt;=0.5,vp.tbl[[#This Row],[Unknown]]=0),1,0)</f>
        <v>0</v>
      </c>
      <c r="AF1650">
        <f>IF(AND(vp.tbl[[#This Row],[CrudeType]]="Crude",vp.tbl[[#This Row],[Dens]]&gt;900,vp.tbl[[#This Row],[Sulf]]&lt;=0.5,vp.tbl[[#This Row],[Unknown]]=0),1,0)</f>
        <v>0</v>
      </c>
      <c r="AG1650" t="str">
        <f>INDEX(vp.tbl[[#Headers],[Unknown]:[Heavy_SW]],MATCH(1,vp.tbl[[#This Row],[Unknown]:[Heavy_SW]],0))</f>
        <v>Unknown</v>
      </c>
      <c r="AH1650" t="e">
        <f>INDEX([1]!crudeBD.lkup[Number],MATCH(vp.tbl[[#This Row],[Crude_Breakdown]],[1]!crudeBD.lkup[Crude Breakdown],0))</f>
        <v>#REF!</v>
      </c>
      <c r="AI1650">
        <f>MONTH(vp.tbl[[#This Row],[SDate]])</f>
        <v>6</v>
      </c>
      <c r="AJ1650" s="5" t="str">
        <f>IFERROR(vp.tbl[[#This Row],[Sulf]]*vp.tbl[[#This Row],[Net Dens]],"")</f>
        <v/>
      </c>
      <c r="AK1650" s="5" t="str">
        <f>IFERROR(vp.tbl[[#This Row],[Dens]]*vp.tbl[[#This Row],[VolumeM3]],"")</f>
        <v/>
      </c>
      <c r="AL1650" s="5" t="str">
        <f>IFERROR(vp.tbl[[#This Row],[VP]]*vp.tbl[[#This Row],[VolumeM3]],"")</f>
        <v/>
      </c>
      <c r="AM1650" s="4">
        <f>IFERROR((vp.tbl[[#This Row],[VP]]-INDEX(crudeBD.lkup.complete[Mean_VP],MATCH(vp.tbl[[#This Row],[Crude_Breakdown]],crudeBD.lkup.complete[Crude Breakdown],0)))^2,"")</f>
        <v>398.19655789547863</v>
      </c>
      <c r="AN1650" s="4" t="str">
        <f>IFERROR((vp.tbl[[#This Row],[Dens]]-INDEX(crudeBD.lkup.complete[Mean_Dens],MATCH(vp.tbl[[#This Row],[Crude_Breakdown]],crudeBD.lkup.complete[Crude Breakdown],0)))^2,"")</f>
        <v/>
      </c>
      <c r="AO1650" s="4" t="str">
        <f>IFERROR((vp.tbl[[#This Row],[Sulf]]-INDEX(crudeBD.lkup.complete[Mean_Sulf],MATCH(vp.tbl[[#This Row],[Crude_Breakdown]],crudeBD.lkup.complete[Crude Breakdown],0)))^2,"")</f>
        <v/>
      </c>
      <c r="AP1650">
        <f>IF(AND(vp.tbl[[#This Row],[SDate]]&gt;=DATE(YEAR(vp.tbl[[#This Row],[SDate]]),5,1),vp.tbl[[#This Row],[SDate]]&lt;=DATE(YEAR(vp.tbl[[#This Row],[SDate]]),9,15)),1,0)</f>
        <v>1</v>
      </c>
      <c r="AQ1650" s="15">
        <f>IF(vp.tbl[[#This Row],[SDate]]&lt;DATE(2016,12,1),0,1)</f>
        <v>1</v>
      </c>
    </row>
    <row r="1651" spans="1:43" x14ac:dyDescent="0.25">
      <c r="A1651">
        <v>1650</v>
      </c>
      <c r="B1651" t="s">
        <v>51</v>
      </c>
      <c r="C1651" t="s">
        <v>51</v>
      </c>
      <c r="D1651" t="s">
        <v>66</v>
      </c>
      <c r="F1651" s="1">
        <v>42899</v>
      </c>
      <c r="G1651" s="2">
        <v>96</v>
      </c>
      <c r="H1651" s="2"/>
      <c r="I1651" s="2" t="s">
        <v>310</v>
      </c>
      <c r="J1651" s="2"/>
      <c r="K1651" s="2"/>
      <c r="L1651" s="2"/>
      <c r="M1651" s="2" t="s">
        <v>310</v>
      </c>
      <c r="N1651" s="2">
        <f ca="1">INDEX(INDIRECT(_xlfn.CONCAT("weather.tbl[",N$1,"]")),MATCH(vp.tbl[[#This Row],[SDate]],weather.tbl[Date],0))</f>
        <v>15.666666666666666</v>
      </c>
      <c r="O1651" s="2">
        <f ca="1">INDEX(INDIRECT(_xlfn.CONCAT("weather.tbl[",O$1,"]")),MATCH(vp.tbl[[#This Row],[SDate]],weather.tbl[Date],0))</f>
        <v>17.292857142857144</v>
      </c>
      <c r="P1651" s="2">
        <f ca="1">INDEX(INDIRECT(_xlfn.CONCAT("weather.tbl[",P$1,"]")),MATCH(vp.tbl[[#This Row],[SDate]],weather.tbl[Date],0))</f>
        <v>15.8</v>
      </c>
      <c r="Q1651" s="2">
        <f ca="1">INDEX(INDIRECT(_xlfn.CONCAT("weather.tbl[",Q$1,"]")),MATCH(vp.tbl[[#This Row],[SDate]],weather.tbl[Date],0))</f>
        <v>16.7</v>
      </c>
      <c r="R1651" s="2">
        <f ca="1">INDEX(INDIRECT(_xlfn.CONCAT("weather.tbl[",R$1,"]")),MATCH(vp.tbl[[#This Row],[SDate]],weather.tbl[Date],0))</f>
        <v>13.8</v>
      </c>
      <c r="S1651" s="2">
        <f ca="1">INDEX(INDIRECT(_xlfn.CONCAT("weather.tbl[",S$1,"]")),MATCH(vp.tbl[[#This Row],[SDate]],weather.tbl[Date],0))</f>
        <v>17.5</v>
      </c>
      <c r="T1651" s="2">
        <f ca="1">INDEX(INDIRECT(_xlfn.CONCAT("weather.tbl[",T$1,"]")),MATCH(vp.tbl[[#This Row],[SDate]],weather.tbl[Date],0))</f>
        <v>15.7</v>
      </c>
      <c r="U1651" s="2">
        <f ca="1">INDEX(INDIRECT(_xlfn.CONCAT("weather.tbl[",U$1,"]")),MATCH(vp.tbl[[#This Row],[SDate]],weather.tbl[Date],0))</f>
        <v>14.5</v>
      </c>
      <c r="V1651" s="2" t="s">
        <v>310</v>
      </c>
      <c r="W1651" t="s">
        <v>48</v>
      </c>
      <c r="X1651">
        <f>IF(OR(vp.tbl[[#This Row],[Sulf]]="",vp.tbl[[#This Row],[Dens]]=""),1,0)</f>
        <v>1</v>
      </c>
      <c r="Y1651">
        <f>IF(vp.tbl[[#This Row],[CrudeType]]="C5+",1,0)</f>
        <v>0</v>
      </c>
      <c r="Z1651">
        <f>IF(AND(vp.tbl[[#This Row],[CrudeType]]="Crude",vp.tbl[[#This Row],[Dens]]&lt;=825,vp.tbl[[#This Row],[Sulf]]&gt;0.5,vp.tbl[[#This Row],[Unknown]]=0),1,0)</f>
        <v>0</v>
      </c>
      <c r="AA1651">
        <f>IF(AND(vp.tbl[[#This Row],[CrudeType]]="Crude",vp.tbl[[#This Row],[Dens]]&lt;=825,vp.tbl[[#This Row],[Sulf]]&lt;=0.5,vp.tbl[[#This Row],[Unknown]]=0),1,0)</f>
        <v>0</v>
      </c>
      <c r="AB1651">
        <f>IF(AND(vp.tbl[[#This Row],[CrudeType]]="Crude",vp.tbl[[#This Row],[Dens]]&gt;825,vp.tbl[[#This Row],[Dens]]&lt;=870,vp.tbl[[#This Row],[Sulf]]&gt;0.5,vp.tbl[[#This Row],[Unknown]]=0),1,0)</f>
        <v>0</v>
      </c>
      <c r="AC1651">
        <f>IF(AND(vp.tbl[[#This Row],[CrudeType]]="Crude",vp.tbl[[#This Row],[Dens]]&gt;825,vp.tbl[[#This Row],[Dens]]&lt;=900,vp.tbl[[#This Row],[Sulf]]&lt;=0.5,vp.tbl[[#This Row],[Unknown]]=0),1,0)</f>
        <v>0</v>
      </c>
      <c r="AD1651">
        <f>IF(AND(vp.tbl[[#This Row],[CrudeType]]="Crude",vp.tbl[[#This Row],[Dens]]&gt;870,vp.tbl[[#This Row],[Dens]]&lt;=900,vp.tbl[[#This Row],[Sulf]]&gt;0.5,vp.tbl[[#This Row],[Unknown]]=0),1,0)</f>
        <v>0</v>
      </c>
      <c r="AE1651">
        <f>IF(AND(vp.tbl[[#This Row],[CrudeType]]="Crude",vp.tbl[[#This Row],[Dens]]&gt;900,vp.tbl[[#This Row],[Sulf]]&lt;=0.5,vp.tbl[[#This Row],[Unknown]]=0),1,0)</f>
        <v>0</v>
      </c>
      <c r="AF1651">
        <f>IF(AND(vp.tbl[[#This Row],[CrudeType]]="Crude",vp.tbl[[#This Row],[Dens]]&gt;900,vp.tbl[[#This Row],[Sulf]]&lt;=0.5,vp.tbl[[#This Row],[Unknown]]=0),1,0)</f>
        <v>0</v>
      </c>
      <c r="AG1651" t="str">
        <f>INDEX(vp.tbl[[#Headers],[Unknown]:[Heavy_SW]],MATCH(1,vp.tbl[[#This Row],[Unknown]:[Heavy_SW]],0))</f>
        <v>Unknown</v>
      </c>
      <c r="AH1651" t="e">
        <f>INDEX([1]!crudeBD.lkup[Number],MATCH(vp.tbl[[#This Row],[Crude_Breakdown]],[1]!crudeBD.lkup[Crude Breakdown],0))</f>
        <v>#REF!</v>
      </c>
      <c r="AI1651">
        <f>MONTH(vp.tbl[[#This Row],[SDate]])</f>
        <v>6</v>
      </c>
      <c r="AJ1651" s="5" t="str">
        <f>IFERROR(vp.tbl[[#This Row],[Sulf]]*vp.tbl[[#This Row],[Net Dens]],"")</f>
        <v/>
      </c>
      <c r="AK1651" s="5" t="str">
        <f>IFERROR(vp.tbl[[#This Row],[Dens]]*vp.tbl[[#This Row],[VolumeM3]],"")</f>
        <v/>
      </c>
      <c r="AL1651" s="5" t="str">
        <f>IFERROR(vp.tbl[[#This Row],[VP]]*vp.tbl[[#This Row],[VolumeM3]],"")</f>
        <v/>
      </c>
      <c r="AM1651" s="4">
        <f>IFERROR((vp.tbl[[#This Row],[VP]]-INDEX(crudeBD.lkup.complete[Mean_VP],MATCH(vp.tbl[[#This Row],[Crude_Breakdown]],crudeBD.lkup.complete[Crude Breakdown],0)))^2,"")</f>
        <v>490.83795515575281</v>
      </c>
      <c r="AN1651" s="4" t="str">
        <f>IFERROR((vp.tbl[[#This Row],[Dens]]-INDEX(crudeBD.lkup.complete[Mean_Dens],MATCH(vp.tbl[[#This Row],[Crude_Breakdown]],crudeBD.lkup.complete[Crude Breakdown],0)))^2,"")</f>
        <v/>
      </c>
      <c r="AO1651" s="4" t="str">
        <f>IFERROR((vp.tbl[[#This Row],[Sulf]]-INDEX(crudeBD.lkup.complete[Mean_Sulf],MATCH(vp.tbl[[#This Row],[Crude_Breakdown]],crudeBD.lkup.complete[Crude Breakdown],0)))^2,"")</f>
        <v/>
      </c>
      <c r="AP1651">
        <f>IF(AND(vp.tbl[[#This Row],[SDate]]&gt;=DATE(YEAR(vp.tbl[[#This Row],[SDate]]),5,1),vp.tbl[[#This Row],[SDate]]&lt;=DATE(YEAR(vp.tbl[[#This Row],[SDate]]),9,15)),1,0)</f>
        <v>1</v>
      </c>
      <c r="AQ1651" s="15">
        <f>IF(vp.tbl[[#This Row],[SDate]]&lt;DATE(2016,12,1),0,1)</f>
        <v>1</v>
      </c>
    </row>
    <row r="1652" spans="1:43" x14ac:dyDescent="0.25">
      <c r="A1652">
        <v>1651</v>
      </c>
      <c r="B1652" t="s">
        <v>96</v>
      </c>
      <c r="C1652" t="s">
        <v>96</v>
      </c>
      <c r="D1652" t="s">
        <v>97</v>
      </c>
      <c r="F1652" s="1">
        <v>42899</v>
      </c>
      <c r="G1652" s="2">
        <v>73.2</v>
      </c>
      <c r="H1652" s="2"/>
      <c r="I1652" s="2" t="s">
        <v>310</v>
      </c>
      <c r="J1652" s="2"/>
      <c r="K1652" s="2"/>
      <c r="L1652" s="2"/>
      <c r="M1652" s="2" t="s">
        <v>310</v>
      </c>
      <c r="N1652" s="2">
        <f ca="1">INDEX(INDIRECT(_xlfn.CONCAT("weather.tbl[",N$1,"]")),MATCH(vp.tbl[[#This Row],[SDate]],weather.tbl[Date],0))</f>
        <v>15.666666666666666</v>
      </c>
      <c r="O1652" s="2">
        <f ca="1">INDEX(INDIRECT(_xlfn.CONCAT("weather.tbl[",O$1,"]")),MATCH(vp.tbl[[#This Row],[SDate]],weather.tbl[Date],0))</f>
        <v>17.292857142857144</v>
      </c>
      <c r="P1652" s="2">
        <f ca="1">INDEX(INDIRECT(_xlfn.CONCAT("weather.tbl[",P$1,"]")),MATCH(vp.tbl[[#This Row],[SDate]],weather.tbl[Date],0))</f>
        <v>15.8</v>
      </c>
      <c r="Q1652" s="2">
        <f ca="1">INDEX(INDIRECT(_xlfn.CONCAT("weather.tbl[",Q$1,"]")),MATCH(vp.tbl[[#This Row],[SDate]],weather.tbl[Date],0))</f>
        <v>16.7</v>
      </c>
      <c r="R1652" s="2">
        <f ca="1">INDEX(INDIRECT(_xlfn.CONCAT("weather.tbl[",R$1,"]")),MATCH(vp.tbl[[#This Row],[SDate]],weather.tbl[Date],0))</f>
        <v>13.8</v>
      </c>
      <c r="S1652" s="2">
        <f ca="1">INDEX(INDIRECT(_xlfn.CONCAT("weather.tbl[",S$1,"]")),MATCH(vp.tbl[[#This Row],[SDate]],weather.tbl[Date],0))</f>
        <v>17.5</v>
      </c>
      <c r="T1652" s="2">
        <f ca="1">INDEX(INDIRECT(_xlfn.CONCAT("weather.tbl[",T$1,"]")),MATCH(vp.tbl[[#This Row],[SDate]],weather.tbl[Date],0))</f>
        <v>15.7</v>
      </c>
      <c r="U1652" s="2">
        <f ca="1">INDEX(INDIRECT(_xlfn.CONCAT("weather.tbl[",U$1,"]")),MATCH(vp.tbl[[#This Row],[SDate]],weather.tbl[Date],0))</f>
        <v>14.5</v>
      </c>
      <c r="V1652" s="2" t="s">
        <v>310</v>
      </c>
      <c r="W1652" t="s">
        <v>48</v>
      </c>
      <c r="X1652">
        <f>IF(OR(vp.tbl[[#This Row],[Sulf]]="",vp.tbl[[#This Row],[Dens]]=""),1,0)</f>
        <v>1</v>
      </c>
      <c r="Y1652">
        <f>IF(vp.tbl[[#This Row],[CrudeType]]="C5+",1,0)</f>
        <v>0</v>
      </c>
      <c r="Z1652">
        <f>IF(AND(vp.tbl[[#This Row],[CrudeType]]="Crude",vp.tbl[[#This Row],[Dens]]&lt;=825,vp.tbl[[#This Row],[Sulf]]&gt;0.5,vp.tbl[[#This Row],[Unknown]]=0),1,0)</f>
        <v>0</v>
      </c>
      <c r="AA1652">
        <f>IF(AND(vp.tbl[[#This Row],[CrudeType]]="Crude",vp.tbl[[#This Row],[Dens]]&lt;=825,vp.tbl[[#This Row],[Sulf]]&lt;=0.5,vp.tbl[[#This Row],[Unknown]]=0),1,0)</f>
        <v>0</v>
      </c>
      <c r="AB1652">
        <f>IF(AND(vp.tbl[[#This Row],[CrudeType]]="Crude",vp.tbl[[#This Row],[Dens]]&gt;825,vp.tbl[[#This Row],[Dens]]&lt;=870,vp.tbl[[#This Row],[Sulf]]&gt;0.5,vp.tbl[[#This Row],[Unknown]]=0),1,0)</f>
        <v>0</v>
      </c>
      <c r="AC1652">
        <f>IF(AND(vp.tbl[[#This Row],[CrudeType]]="Crude",vp.tbl[[#This Row],[Dens]]&gt;825,vp.tbl[[#This Row],[Dens]]&lt;=900,vp.tbl[[#This Row],[Sulf]]&lt;=0.5,vp.tbl[[#This Row],[Unknown]]=0),1,0)</f>
        <v>0</v>
      </c>
      <c r="AD1652">
        <f>IF(AND(vp.tbl[[#This Row],[CrudeType]]="Crude",vp.tbl[[#This Row],[Dens]]&gt;870,vp.tbl[[#This Row],[Dens]]&lt;=900,vp.tbl[[#This Row],[Sulf]]&gt;0.5,vp.tbl[[#This Row],[Unknown]]=0),1,0)</f>
        <v>0</v>
      </c>
      <c r="AE1652">
        <f>IF(AND(vp.tbl[[#This Row],[CrudeType]]="Crude",vp.tbl[[#This Row],[Dens]]&gt;900,vp.tbl[[#This Row],[Sulf]]&lt;=0.5,vp.tbl[[#This Row],[Unknown]]=0),1,0)</f>
        <v>0</v>
      </c>
      <c r="AF1652">
        <f>IF(AND(vp.tbl[[#This Row],[CrudeType]]="Crude",vp.tbl[[#This Row],[Dens]]&gt;900,vp.tbl[[#This Row],[Sulf]]&lt;=0.5,vp.tbl[[#This Row],[Unknown]]=0),1,0)</f>
        <v>0</v>
      </c>
      <c r="AG1652" t="str">
        <f>INDEX(vp.tbl[[#Headers],[Unknown]:[Heavy_SW]],MATCH(1,vp.tbl[[#This Row],[Unknown]:[Heavy_SW]],0))</f>
        <v>Unknown</v>
      </c>
      <c r="AH1652" t="e">
        <f>INDEX([1]!crudeBD.lkup[Number],MATCH(vp.tbl[[#This Row],[Crude_Breakdown]],[1]!crudeBD.lkup[Crude Breakdown],0))</f>
        <v>#REF!</v>
      </c>
      <c r="AI1652">
        <f>MONTH(vp.tbl[[#This Row],[SDate]])</f>
        <v>6</v>
      </c>
      <c r="AJ1652" s="5" t="str">
        <f>IFERROR(vp.tbl[[#This Row],[Sulf]]*vp.tbl[[#This Row],[Net Dens]],"")</f>
        <v/>
      </c>
      <c r="AK1652" s="5" t="str">
        <f>IFERROR(vp.tbl[[#This Row],[Dens]]*vp.tbl[[#This Row],[VolumeM3]],"")</f>
        <v/>
      </c>
      <c r="AL1652" s="5" t="str">
        <f>IFERROR(vp.tbl[[#This Row],[VP]]*vp.tbl[[#This Row],[VolumeM3]],"")</f>
        <v/>
      </c>
      <c r="AM1652" s="4">
        <f>IFERROR((vp.tbl[[#This Row],[VP]]-INDEX(crudeBD.lkup.complete[Mean_VP],MATCH(vp.tbl[[#This Row],[Crude_Breakdown]],crudeBD.lkup.complete[Crude Breakdown],0)))^2,"")</f>
        <v>0.41620173109397318</v>
      </c>
      <c r="AN1652" s="4" t="str">
        <f>IFERROR((vp.tbl[[#This Row],[Dens]]-INDEX(crudeBD.lkup.complete[Mean_Dens],MATCH(vp.tbl[[#This Row],[Crude_Breakdown]],crudeBD.lkup.complete[Crude Breakdown],0)))^2,"")</f>
        <v/>
      </c>
      <c r="AO1652" s="4" t="str">
        <f>IFERROR((vp.tbl[[#This Row],[Sulf]]-INDEX(crudeBD.lkup.complete[Mean_Sulf],MATCH(vp.tbl[[#This Row],[Crude_Breakdown]],crudeBD.lkup.complete[Crude Breakdown],0)))^2,"")</f>
        <v/>
      </c>
      <c r="AP1652">
        <f>IF(AND(vp.tbl[[#This Row],[SDate]]&gt;=DATE(YEAR(vp.tbl[[#This Row],[SDate]]),5,1),vp.tbl[[#This Row],[SDate]]&lt;=DATE(YEAR(vp.tbl[[#This Row],[SDate]]),9,15)),1,0)</f>
        <v>1</v>
      </c>
      <c r="AQ1652" s="15">
        <f>IF(vp.tbl[[#This Row],[SDate]]&lt;DATE(2016,12,1),0,1)</f>
        <v>1</v>
      </c>
    </row>
    <row r="1653" spans="1:43" x14ac:dyDescent="0.25">
      <c r="A1653">
        <v>1652</v>
      </c>
      <c r="B1653" t="s">
        <v>291</v>
      </c>
      <c r="C1653" t="s">
        <v>291</v>
      </c>
      <c r="D1653" t="s">
        <v>109</v>
      </c>
      <c r="F1653" s="1">
        <v>42899</v>
      </c>
      <c r="G1653" s="2">
        <v>78.5</v>
      </c>
      <c r="H1653" s="2"/>
      <c r="I1653" s="2" t="s">
        <v>310</v>
      </c>
      <c r="J1653" s="2"/>
      <c r="K1653" s="2"/>
      <c r="L1653" s="2"/>
      <c r="M1653" s="2" t="s">
        <v>310</v>
      </c>
      <c r="N1653" s="2">
        <f ca="1">INDEX(INDIRECT(_xlfn.CONCAT("weather.tbl[",N$1,"]")),MATCH(vp.tbl[[#This Row],[SDate]],weather.tbl[Date],0))</f>
        <v>15.666666666666666</v>
      </c>
      <c r="O1653" s="2">
        <f ca="1">INDEX(INDIRECT(_xlfn.CONCAT("weather.tbl[",O$1,"]")),MATCH(vp.tbl[[#This Row],[SDate]],weather.tbl[Date],0))</f>
        <v>17.292857142857144</v>
      </c>
      <c r="P1653" s="2">
        <f ca="1">INDEX(INDIRECT(_xlfn.CONCAT("weather.tbl[",P$1,"]")),MATCH(vp.tbl[[#This Row],[SDate]],weather.tbl[Date],0))</f>
        <v>15.8</v>
      </c>
      <c r="Q1653" s="2">
        <f ca="1">INDEX(INDIRECT(_xlfn.CONCAT("weather.tbl[",Q$1,"]")),MATCH(vp.tbl[[#This Row],[SDate]],weather.tbl[Date],0))</f>
        <v>16.7</v>
      </c>
      <c r="R1653" s="2">
        <f ca="1">INDEX(INDIRECT(_xlfn.CONCAT("weather.tbl[",R$1,"]")),MATCH(vp.tbl[[#This Row],[SDate]],weather.tbl[Date],0))</f>
        <v>13.8</v>
      </c>
      <c r="S1653" s="2">
        <f ca="1">INDEX(INDIRECT(_xlfn.CONCAT("weather.tbl[",S$1,"]")),MATCH(vp.tbl[[#This Row],[SDate]],weather.tbl[Date],0))</f>
        <v>17.5</v>
      </c>
      <c r="T1653" s="2">
        <f ca="1">INDEX(INDIRECT(_xlfn.CONCAT("weather.tbl[",T$1,"]")),MATCH(vp.tbl[[#This Row],[SDate]],weather.tbl[Date],0))</f>
        <v>15.7</v>
      </c>
      <c r="U1653" s="2">
        <f ca="1">INDEX(INDIRECT(_xlfn.CONCAT("weather.tbl[",U$1,"]")),MATCH(vp.tbl[[#This Row],[SDate]],weather.tbl[Date],0))</f>
        <v>14.5</v>
      </c>
      <c r="V1653" s="2" t="s">
        <v>310</v>
      </c>
      <c r="W1653" t="s">
        <v>48</v>
      </c>
      <c r="X1653">
        <f>IF(OR(vp.tbl[[#This Row],[Sulf]]="",vp.tbl[[#This Row],[Dens]]=""),1,0)</f>
        <v>1</v>
      </c>
      <c r="Y1653">
        <f>IF(vp.tbl[[#This Row],[CrudeType]]="C5+",1,0)</f>
        <v>0</v>
      </c>
      <c r="Z1653">
        <f>IF(AND(vp.tbl[[#This Row],[CrudeType]]="Crude",vp.tbl[[#This Row],[Dens]]&lt;=825,vp.tbl[[#This Row],[Sulf]]&gt;0.5,vp.tbl[[#This Row],[Unknown]]=0),1,0)</f>
        <v>0</v>
      </c>
      <c r="AA1653">
        <f>IF(AND(vp.tbl[[#This Row],[CrudeType]]="Crude",vp.tbl[[#This Row],[Dens]]&lt;=825,vp.tbl[[#This Row],[Sulf]]&lt;=0.5,vp.tbl[[#This Row],[Unknown]]=0),1,0)</f>
        <v>0</v>
      </c>
      <c r="AB1653">
        <f>IF(AND(vp.tbl[[#This Row],[CrudeType]]="Crude",vp.tbl[[#This Row],[Dens]]&gt;825,vp.tbl[[#This Row],[Dens]]&lt;=870,vp.tbl[[#This Row],[Sulf]]&gt;0.5,vp.tbl[[#This Row],[Unknown]]=0),1,0)</f>
        <v>0</v>
      </c>
      <c r="AC1653">
        <f>IF(AND(vp.tbl[[#This Row],[CrudeType]]="Crude",vp.tbl[[#This Row],[Dens]]&gt;825,vp.tbl[[#This Row],[Dens]]&lt;=900,vp.tbl[[#This Row],[Sulf]]&lt;=0.5,vp.tbl[[#This Row],[Unknown]]=0),1,0)</f>
        <v>0</v>
      </c>
      <c r="AD1653">
        <f>IF(AND(vp.tbl[[#This Row],[CrudeType]]="Crude",vp.tbl[[#This Row],[Dens]]&gt;870,vp.tbl[[#This Row],[Dens]]&lt;=900,vp.tbl[[#This Row],[Sulf]]&gt;0.5,vp.tbl[[#This Row],[Unknown]]=0),1,0)</f>
        <v>0</v>
      </c>
      <c r="AE1653">
        <f>IF(AND(vp.tbl[[#This Row],[CrudeType]]="Crude",vp.tbl[[#This Row],[Dens]]&gt;900,vp.tbl[[#This Row],[Sulf]]&lt;=0.5,vp.tbl[[#This Row],[Unknown]]=0),1,0)</f>
        <v>0</v>
      </c>
      <c r="AF1653">
        <f>IF(AND(vp.tbl[[#This Row],[CrudeType]]="Crude",vp.tbl[[#This Row],[Dens]]&gt;900,vp.tbl[[#This Row],[Sulf]]&lt;=0.5,vp.tbl[[#This Row],[Unknown]]=0),1,0)</f>
        <v>0</v>
      </c>
      <c r="AG1653" t="str">
        <f>INDEX(vp.tbl[[#Headers],[Unknown]:[Heavy_SW]],MATCH(1,vp.tbl[[#This Row],[Unknown]:[Heavy_SW]],0))</f>
        <v>Unknown</v>
      </c>
      <c r="AH1653" t="e">
        <f>INDEX([1]!crudeBD.lkup[Number],MATCH(vp.tbl[[#This Row],[Crude_Breakdown]],[1]!crudeBD.lkup[Crude Breakdown],0))</f>
        <v>#REF!</v>
      </c>
      <c r="AI1653">
        <f>MONTH(vp.tbl[[#This Row],[SDate]])</f>
        <v>6</v>
      </c>
      <c r="AJ1653" s="5" t="str">
        <f>IFERROR(vp.tbl[[#This Row],[Sulf]]*vp.tbl[[#This Row],[Net Dens]],"")</f>
        <v/>
      </c>
      <c r="AK1653" s="5" t="str">
        <f>IFERROR(vp.tbl[[#This Row],[Dens]]*vp.tbl[[#This Row],[VolumeM3]],"")</f>
        <v/>
      </c>
      <c r="AL1653" s="5" t="str">
        <f>IFERROR(vp.tbl[[#This Row],[VP]]*vp.tbl[[#This Row],[VolumeM3]],"")</f>
        <v/>
      </c>
      <c r="AM1653" s="4">
        <f>IFERROR((vp.tbl[[#This Row],[VP]]-INDEX(crudeBD.lkup.complete[Mean_VP],MATCH(vp.tbl[[#This Row],[Crude_Breakdown]],crudeBD.lkup.complete[Crude Breakdown],0)))^2,"")</f>
        <v>21.66774967629976</v>
      </c>
      <c r="AN1653" s="4" t="str">
        <f>IFERROR((vp.tbl[[#This Row],[Dens]]-INDEX(crudeBD.lkup.complete[Mean_Dens],MATCH(vp.tbl[[#This Row],[Crude_Breakdown]],crudeBD.lkup.complete[Crude Breakdown],0)))^2,"")</f>
        <v/>
      </c>
      <c r="AO1653" s="4" t="str">
        <f>IFERROR((vp.tbl[[#This Row],[Sulf]]-INDEX(crudeBD.lkup.complete[Mean_Sulf],MATCH(vp.tbl[[#This Row],[Crude_Breakdown]],crudeBD.lkup.complete[Crude Breakdown],0)))^2,"")</f>
        <v/>
      </c>
      <c r="AP1653">
        <f>IF(AND(vp.tbl[[#This Row],[SDate]]&gt;=DATE(YEAR(vp.tbl[[#This Row],[SDate]]),5,1),vp.tbl[[#This Row],[SDate]]&lt;=DATE(YEAR(vp.tbl[[#This Row],[SDate]]),9,15)),1,0)</f>
        <v>1</v>
      </c>
      <c r="AQ1653" s="15">
        <f>IF(vp.tbl[[#This Row],[SDate]]&lt;DATE(2016,12,1),0,1)</f>
        <v>1</v>
      </c>
    </row>
    <row r="1654" spans="1:43" x14ac:dyDescent="0.25">
      <c r="A1654">
        <v>1653</v>
      </c>
      <c r="B1654" t="s">
        <v>68</v>
      </c>
      <c r="C1654" t="s">
        <v>68</v>
      </c>
      <c r="D1654" t="s">
        <v>69</v>
      </c>
      <c r="F1654" s="1">
        <v>42899</v>
      </c>
      <c r="G1654" s="2">
        <v>65</v>
      </c>
      <c r="H1654" s="2"/>
      <c r="I1654" s="2" t="s">
        <v>310</v>
      </c>
      <c r="J1654" s="2"/>
      <c r="K1654" s="2"/>
      <c r="L1654" s="2"/>
      <c r="M1654" s="2" t="s">
        <v>310</v>
      </c>
      <c r="N1654" s="2">
        <f ca="1">INDEX(INDIRECT(_xlfn.CONCAT("weather.tbl[",N$1,"]")),MATCH(vp.tbl[[#This Row],[SDate]],weather.tbl[Date],0))</f>
        <v>15.666666666666666</v>
      </c>
      <c r="O1654" s="2">
        <f ca="1">INDEX(INDIRECT(_xlfn.CONCAT("weather.tbl[",O$1,"]")),MATCH(vp.tbl[[#This Row],[SDate]],weather.tbl[Date],0))</f>
        <v>17.292857142857144</v>
      </c>
      <c r="P1654" s="2">
        <f ca="1">INDEX(INDIRECT(_xlfn.CONCAT("weather.tbl[",P$1,"]")),MATCH(vp.tbl[[#This Row],[SDate]],weather.tbl[Date],0))</f>
        <v>15.8</v>
      </c>
      <c r="Q1654" s="2">
        <f ca="1">INDEX(INDIRECT(_xlfn.CONCAT("weather.tbl[",Q$1,"]")),MATCH(vp.tbl[[#This Row],[SDate]],weather.tbl[Date],0))</f>
        <v>16.7</v>
      </c>
      <c r="R1654" s="2">
        <f ca="1">INDEX(INDIRECT(_xlfn.CONCAT("weather.tbl[",R$1,"]")),MATCH(vp.tbl[[#This Row],[SDate]],weather.tbl[Date],0))</f>
        <v>13.8</v>
      </c>
      <c r="S1654" s="2">
        <f ca="1">INDEX(INDIRECT(_xlfn.CONCAT("weather.tbl[",S$1,"]")),MATCH(vp.tbl[[#This Row],[SDate]],weather.tbl[Date],0))</f>
        <v>17.5</v>
      </c>
      <c r="T1654" s="2">
        <f ca="1">INDEX(INDIRECT(_xlfn.CONCAT("weather.tbl[",T$1,"]")),MATCH(vp.tbl[[#This Row],[SDate]],weather.tbl[Date],0))</f>
        <v>15.7</v>
      </c>
      <c r="U1654" s="2">
        <f ca="1">INDEX(INDIRECT(_xlfn.CONCAT("weather.tbl[",U$1,"]")),MATCH(vp.tbl[[#This Row],[SDate]],weather.tbl[Date],0))</f>
        <v>14.5</v>
      </c>
      <c r="V1654" s="2" t="s">
        <v>310</v>
      </c>
      <c r="W1654" t="s">
        <v>48</v>
      </c>
      <c r="X1654">
        <f>IF(OR(vp.tbl[[#This Row],[Sulf]]="",vp.tbl[[#This Row],[Dens]]=""),1,0)</f>
        <v>1</v>
      </c>
      <c r="Y1654">
        <f>IF(vp.tbl[[#This Row],[CrudeType]]="C5+",1,0)</f>
        <v>0</v>
      </c>
      <c r="Z1654">
        <f>IF(AND(vp.tbl[[#This Row],[CrudeType]]="Crude",vp.tbl[[#This Row],[Dens]]&lt;=825,vp.tbl[[#This Row],[Sulf]]&gt;0.5,vp.tbl[[#This Row],[Unknown]]=0),1,0)</f>
        <v>0</v>
      </c>
      <c r="AA1654">
        <f>IF(AND(vp.tbl[[#This Row],[CrudeType]]="Crude",vp.tbl[[#This Row],[Dens]]&lt;=825,vp.tbl[[#This Row],[Sulf]]&lt;=0.5,vp.tbl[[#This Row],[Unknown]]=0),1,0)</f>
        <v>0</v>
      </c>
      <c r="AB1654">
        <f>IF(AND(vp.tbl[[#This Row],[CrudeType]]="Crude",vp.tbl[[#This Row],[Dens]]&gt;825,vp.tbl[[#This Row],[Dens]]&lt;=870,vp.tbl[[#This Row],[Sulf]]&gt;0.5,vp.tbl[[#This Row],[Unknown]]=0),1,0)</f>
        <v>0</v>
      </c>
      <c r="AC1654">
        <f>IF(AND(vp.tbl[[#This Row],[CrudeType]]="Crude",vp.tbl[[#This Row],[Dens]]&gt;825,vp.tbl[[#This Row],[Dens]]&lt;=900,vp.tbl[[#This Row],[Sulf]]&lt;=0.5,vp.tbl[[#This Row],[Unknown]]=0),1,0)</f>
        <v>0</v>
      </c>
      <c r="AD1654">
        <f>IF(AND(vp.tbl[[#This Row],[CrudeType]]="Crude",vp.tbl[[#This Row],[Dens]]&gt;870,vp.tbl[[#This Row],[Dens]]&lt;=900,vp.tbl[[#This Row],[Sulf]]&gt;0.5,vp.tbl[[#This Row],[Unknown]]=0),1,0)</f>
        <v>0</v>
      </c>
      <c r="AE1654">
        <f>IF(AND(vp.tbl[[#This Row],[CrudeType]]="Crude",vp.tbl[[#This Row],[Dens]]&gt;900,vp.tbl[[#This Row],[Sulf]]&lt;=0.5,vp.tbl[[#This Row],[Unknown]]=0),1,0)</f>
        <v>0</v>
      </c>
      <c r="AF1654">
        <f>IF(AND(vp.tbl[[#This Row],[CrudeType]]="Crude",vp.tbl[[#This Row],[Dens]]&gt;900,vp.tbl[[#This Row],[Sulf]]&lt;=0.5,vp.tbl[[#This Row],[Unknown]]=0),1,0)</f>
        <v>0</v>
      </c>
      <c r="AG1654" t="str">
        <f>INDEX(vp.tbl[[#Headers],[Unknown]:[Heavy_SW]],MATCH(1,vp.tbl[[#This Row],[Unknown]:[Heavy_SW]],0))</f>
        <v>Unknown</v>
      </c>
      <c r="AH1654" t="e">
        <f>INDEX([1]!crudeBD.lkup[Number],MATCH(vp.tbl[[#This Row],[Crude_Breakdown]],[1]!crudeBD.lkup[Crude Breakdown],0))</f>
        <v>#REF!</v>
      </c>
      <c r="AI1654">
        <f>MONTH(vp.tbl[[#This Row],[SDate]])</f>
        <v>6</v>
      </c>
      <c r="AJ1654" s="5" t="str">
        <f>IFERROR(vp.tbl[[#This Row],[Sulf]]*vp.tbl[[#This Row],[Net Dens]],"")</f>
        <v/>
      </c>
      <c r="AK1654" s="5" t="str">
        <f>IFERROR(vp.tbl[[#This Row],[Dens]]*vp.tbl[[#This Row],[VolumeM3]],"")</f>
        <v/>
      </c>
      <c r="AL1654" s="5" t="str">
        <f>IFERROR(vp.tbl[[#This Row],[VP]]*vp.tbl[[#This Row],[VolumeM3]],"")</f>
        <v/>
      </c>
      <c r="AM1654" s="4">
        <f>IFERROR((vp.tbl[[#This Row],[VP]]-INDEX(crudeBD.lkup.complete[Mean_VP],MATCH(vp.tbl[[#This Row],[Crude_Breakdown]],crudeBD.lkup.complete[Crude Breakdown],0)))^2,"")</f>
        <v>78.236448306435975</v>
      </c>
      <c r="AN1654" s="4" t="str">
        <f>IFERROR((vp.tbl[[#This Row],[Dens]]-INDEX(crudeBD.lkup.complete[Mean_Dens],MATCH(vp.tbl[[#This Row],[Crude_Breakdown]],crudeBD.lkup.complete[Crude Breakdown],0)))^2,"")</f>
        <v/>
      </c>
      <c r="AO1654" s="4" t="str">
        <f>IFERROR((vp.tbl[[#This Row],[Sulf]]-INDEX(crudeBD.lkup.complete[Mean_Sulf],MATCH(vp.tbl[[#This Row],[Crude_Breakdown]],crudeBD.lkup.complete[Crude Breakdown],0)))^2,"")</f>
        <v/>
      </c>
      <c r="AP1654">
        <f>IF(AND(vp.tbl[[#This Row],[SDate]]&gt;=DATE(YEAR(vp.tbl[[#This Row],[SDate]]),5,1),vp.tbl[[#This Row],[SDate]]&lt;=DATE(YEAR(vp.tbl[[#This Row],[SDate]]),9,15)),1,0)</f>
        <v>1</v>
      </c>
      <c r="AQ1654" s="15">
        <f>IF(vp.tbl[[#This Row],[SDate]]&lt;DATE(2016,12,1),0,1)</f>
        <v>1</v>
      </c>
    </row>
    <row r="1655" spans="1:43" x14ac:dyDescent="0.25">
      <c r="A1655">
        <v>1654</v>
      </c>
      <c r="B1655" t="s">
        <v>64</v>
      </c>
      <c r="C1655" t="s">
        <v>64</v>
      </c>
      <c r="D1655" t="s">
        <v>65</v>
      </c>
      <c r="F1655" s="1">
        <v>42899</v>
      </c>
      <c r="G1655" s="2">
        <v>45.9</v>
      </c>
      <c r="H1655" s="2"/>
      <c r="I1655" s="2" t="s">
        <v>310</v>
      </c>
      <c r="J1655" s="2"/>
      <c r="K1655" s="2"/>
      <c r="L1655" s="2"/>
      <c r="M1655" s="2" t="s">
        <v>310</v>
      </c>
      <c r="N1655" s="2">
        <f ca="1">INDEX(INDIRECT(_xlfn.CONCAT("weather.tbl[",N$1,"]")),MATCH(vp.tbl[[#This Row],[SDate]],weather.tbl[Date],0))</f>
        <v>15.666666666666666</v>
      </c>
      <c r="O1655" s="2">
        <f ca="1">INDEX(INDIRECT(_xlfn.CONCAT("weather.tbl[",O$1,"]")),MATCH(vp.tbl[[#This Row],[SDate]],weather.tbl[Date],0))</f>
        <v>17.292857142857144</v>
      </c>
      <c r="P1655" s="2">
        <f ca="1">INDEX(INDIRECT(_xlfn.CONCAT("weather.tbl[",P$1,"]")),MATCH(vp.tbl[[#This Row],[SDate]],weather.tbl[Date],0))</f>
        <v>15.8</v>
      </c>
      <c r="Q1655" s="2">
        <f ca="1">INDEX(INDIRECT(_xlfn.CONCAT("weather.tbl[",Q$1,"]")),MATCH(vp.tbl[[#This Row],[SDate]],weather.tbl[Date],0))</f>
        <v>16.7</v>
      </c>
      <c r="R1655" s="2">
        <f ca="1">INDEX(INDIRECT(_xlfn.CONCAT("weather.tbl[",R$1,"]")),MATCH(vp.tbl[[#This Row],[SDate]],weather.tbl[Date],0))</f>
        <v>13.8</v>
      </c>
      <c r="S1655" s="2">
        <f ca="1">INDEX(INDIRECT(_xlfn.CONCAT("weather.tbl[",S$1,"]")),MATCH(vp.tbl[[#This Row],[SDate]],weather.tbl[Date],0))</f>
        <v>17.5</v>
      </c>
      <c r="T1655" s="2">
        <f ca="1">INDEX(INDIRECT(_xlfn.CONCAT("weather.tbl[",T$1,"]")),MATCH(vp.tbl[[#This Row],[SDate]],weather.tbl[Date],0))</f>
        <v>15.7</v>
      </c>
      <c r="U1655" s="2">
        <f ca="1">INDEX(INDIRECT(_xlfn.CONCAT("weather.tbl[",U$1,"]")),MATCH(vp.tbl[[#This Row],[SDate]],weather.tbl[Date],0))</f>
        <v>14.5</v>
      </c>
      <c r="V1655" s="2" t="s">
        <v>310</v>
      </c>
      <c r="W1655" t="s">
        <v>48</v>
      </c>
      <c r="X1655">
        <f>IF(OR(vp.tbl[[#This Row],[Sulf]]="",vp.tbl[[#This Row],[Dens]]=""),1,0)</f>
        <v>1</v>
      </c>
      <c r="Y1655">
        <f>IF(vp.tbl[[#This Row],[CrudeType]]="C5+",1,0)</f>
        <v>0</v>
      </c>
      <c r="Z1655">
        <f>IF(AND(vp.tbl[[#This Row],[CrudeType]]="Crude",vp.tbl[[#This Row],[Dens]]&lt;=825,vp.tbl[[#This Row],[Sulf]]&gt;0.5,vp.tbl[[#This Row],[Unknown]]=0),1,0)</f>
        <v>0</v>
      </c>
      <c r="AA1655">
        <f>IF(AND(vp.tbl[[#This Row],[CrudeType]]="Crude",vp.tbl[[#This Row],[Dens]]&lt;=825,vp.tbl[[#This Row],[Sulf]]&lt;=0.5,vp.tbl[[#This Row],[Unknown]]=0),1,0)</f>
        <v>0</v>
      </c>
      <c r="AB1655">
        <f>IF(AND(vp.tbl[[#This Row],[CrudeType]]="Crude",vp.tbl[[#This Row],[Dens]]&gt;825,vp.tbl[[#This Row],[Dens]]&lt;=870,vp.tbl[[#This Row],[Sulf]]&gt;0.5,vp.tbl[[#This Row],[Unknown]]=0),1,0)</f>
        <v>0</v>
      </c>
      <c r="AC1655">
        <f>IF(AND(vp.tbl[[#This Row],[CrudeType]]="Crude",vp.tbl[[#This Row],[Dens]]&gt;825,vp.tbl[[#This Row],[Dens]]&lt;=900,vp.tbl[[#This Row],[Sulf]]&lt;=0.5,vp.tbl[[#This Row],[Unknown]]=0),1,0)</f>
        <v>0</v>
      </c>
      <c r="AD1655">
        <f>IF(AND(vp.tbl[[#This Row],[CrudeType]]="Crude",vp.tbl[[#This Row],[Dens]]&gt;870,vp.tbl[[#This Row],[Dens]]&lt;=900,vp.tbl[[#This Row],[Sulf]]&gt;0.5,vp.tbl[[#This Row],[Unknown]]=0),1,0)</f>
        <v>0</v>
      </c>
      <c r="AE1655">
        <f>IF(AND(vp.tbl[[#This Row],[CrudeType]]="Crude",vp.tbl[[#This Row],[Dens]]&gt;900,vp.tbl[[#This Row],[Sulf]]&lt;=0.5,vp.tbl[[#This Row],[Unknown]]=0),1,0)</f>
        <v>0</v>
      </c>
      <c r="AF1655">
        <f>IF(AND(vp.tbl[[#This Row],[CrudeType]]="Crude",vp.tbl[[#This Row],[Dens]]&gt;900,vp.tbl[[#This Row],[Sulf]]&lt;=0.5,vp.tbl[[#This Row],[Unknown]]=0),1,0)</f>
        <v>0</v>
      </c>
      <c r="AG1655" t="str">
        <f>INDEX(vp.tbl[[#Headers],[Unknown]:[Heavy_SW]],MATCH(1,vp.tbl[[#This Row],[Unknown]:[Heavy_SW]],0))</f>
        <v>Unknown</v>
      </c>
      <c r="AH1655" t="e">
        <f>INDEX([1]!crudeBD.lkup[Number],MATCH(vp.tbl[[#This Row],[Crude_Breakdown]],[1]!crudeBD.lkup[Crude Breakdown],0))</f>
        <v>#REF!</v>
      </c>
      <c r="AI1655">
        <f>MONTH(vp.tbl[[#This Row],[SDate]])</f>
        <v>6</v>
      </c>
      <c r="AJ1655" s="5" t="str">
        <f>IFERROR(vp.tbl[[#This Row],[Sulf]]*vp.tbl[[#This Row],[Net Dens]],"")</f>
        <v/>
      </c>
      <c r="AK1655" s="5" t="str">
        <f>IFERROR(vp.tbl[[#This Row],[Dens]]*vp.tbl[[#This Row],[VolumeM3]],"")</f>
        <v/>
      </c>
      <c r="AL1655" s="5" t="str">
        <f>IFERROR(vp.tbl[[#This Row],[VP]]*vp.tbl[[#This Row],[VolumeM3]],"")</f>
        <v/>
      </c>
      <c r="AM1655" s="4">
        <f>IFERROR((vp.tbl[[#This Row],[VP]]-INDEX(crudeBD.lkup.complete[Mean_VP],MATCH(vp.tbl[[#This Row],[Crude_Breakdown]],crudeBD.lkup.complete[Crude Breakdown],0)))^2,"")</f>
        <v>780.93068118314727</v>
      </c>
      <c r="AN1655" s="4" t="str">
        <f>IFERROR((vp.tbl[[#This Row],[Dens]]-INDEX(crudeBD.lkup.complete[Mean_Dens],MATCH(vp.tbl[[#This Row],[Crude_Breakdown]],crudeBD.lkup.complete[Crude Breakdown],0)))^2,"")</f>
        <v/>
      </c>
      <c r="AO1655" s="4" t="str">
        <f>IFERROR((vp.tbl[[#This Row],[Sulf]]-INDEX(crudeBD.lkup.complete[Mean_Sulf],MATCH(vp.tbl[[#This Row],[Crude_Breakdown]],crudeBD.lkup.complete[Crude Breakdown],0)))^2,"")</f>
        <v/>
      </c>
      <c r="AP1655">
        <f>IF(AND(vp.tbl[[#This Row],[SDate]]&gt;=DATE(YEAR(vp.tbl[[#This Row],[SDate]]),5,1),vp.tbl[[#This Row],[SDate]]&lt;=DATE(YEAR(vp.tbl[[#This Row],[SDate]]),9,15)),1,0)</f>
        <v>1</v>
      </c>
      <c r="AQ1655" s="15">
        <f>IF(vp.tbl[[#This Row],[SDate]]&lt;DATE(2016,12,1),0,1)</f>
        <v>1</v>
      </c>
    </row>
    <row r="1656" spans="1:43" x14ac:dyDescent="0.25">
      <c r="A1656">
        <v>1655</v>
      </c>
      <c r="B1656" t="s">
        <v>49</v>
      </c>
      <c r="C1656" t="s">
        <v>49</v>
      </c>
      <c r="D1656" t="s">
        <v>92</v>
      </c>
      <c r="F1656" s="1">
        <v>42900</v>
      </c>
      <c r="G1656" s="2">
        <v>73</v>
      </c>
      <c r="H1656" s="2"/>
      <c r="I1656" s="2" t="s">
        <v>310</v>
      </c>
      <c r="J1656" s="2"/>
      <c r="K1656" s="2"/>
      <c r="L1656" s="2"/>
      <c r="M1656" s="2" t="s">
        <v>310</v>
      </c>
      <c r="N1656" s="2">
        <f ca="1">INDEX(INDIRECT(_xlfn.CONCAT("weather.tbl[",N$1,"]")),MATCH(vp.tbl[[#This Row],[SDate]],weather.tbl[Date],0))</f>
        <v>12.950000000000001</v>
      </c>
      <c r="O1656" s="2">
        <f ca="1">INDEX(INDIRECT(_xlfn.CONCAT("weather.tbl[",O$1,"]")),MATCH(vp.tbl[[#This Row],[SDate]],weather.tbl[Date],0))</f>
        <v>16.728571428571431</v>
      </c>
      <c r="P1656" s="2">
        <f ca="1">INDEX(INDIRECT(_xlfn.CONCAT("weather.tbl[",P$1,"]")),MATCH(vp.tbl[[#This Row],[SDate]],weather.tbl[Date],0))</f>
        <v>13</v>
      </c>
      <c r="Q1656" s="2">
        <f ca="1">INDEX(INDIRECT(_xlfn.CONCAT("weather.tbl[",Q$1,"]")),MATCH(vp.tbl[[#This Row],[SDate]],weather.tbl[Date],0))</f>
        <v>12.3</v>
      </c>
      <c r="R1656" s="2">
        <f ca="1">INDEX(INDIRECT(_xlfn.CONCAT("weather.tbl[",R$1,"]")),MATCH(vp.tbl[[#This Row],[SDate]],weather.tbl[Date],0))</f>
        <v>13.3</v>
      </c>
      <c r="S1656" s="2">
        <f ca="1">INDEX(INDIRECT(_xlfn.CONCAT("weather.tbl[",S$1,"]")),MATCH(vp.tbl[[#This Row],[SDate]],weather.tbl[Date],0))</f>
        <v>12.6</v>
      </c>
      <c r="T1656" s="2">
        <f ca="1">INDEX(INDIRECT(_xlfn.CONCAT("weather.tbl[",T$1,"]")),MATCH(vp.tbl[[#This Row],[SDate]],weather.tbl[Date],0))</f>
        <v>14.7</v>
      </c>
      <c r="U1656" s="2">
        <f ca="1">INDEX(INDIRECT(_xlfn.CONCAT("weather.tbl[",U$1,"]")),MATCH(vp.tbl[[#This Row],[SDate]],weather.tbl[Date],0))</f>
        <v>11.8</v>
      </c>
      <c r="V1656" s="2" t="s">
        <v>310</v>
      </c>
      <c r="W1656" t="s">
        <v>48</v>
      </c>
      <c r="X1656">
        <f>IF(OR(vp.tbl[[#This Row],[Sulf]]="",vp.tbl[[#This Row],[Dens]]=""),1,0)</f>
        <v>1</v>
      </c>
      <c r="Y1656">
        <f>IF(vp.tbl[[#This Row],[CrudeType]]="C5+",1,0)</f>
        <v>0</v>
      </c>
      <c r="Z1656">
        <f>IF(AND(vp.tbl[[#This Row],[CrudeType]]="Crude",vp.tbl[[#This Row],[Dens]]&lt;=825,vp.tbl[[#This Row],[Sulf]]&gt;0.5,vp.tbl[[#This Row],[Unknown]]=0),1,0)</f>
        <v>0</v>
      </c>
      <c r="AA1656">
        <f>IF(AND(vp.tbl[[#This Row],[CrudeType]]="Crude",vp.tbl[[#This Row],[Dens]]&lt;=825,vp.tbl[[#This Row],[Sulf]]&lt;=0.5,vp.tbl[[#This Row],[Unknown]]=0),1,0)</f>
        <v>0</v>
      </c>
      <c r="AB1656">
        <f>IF(AND(vp.tbl[[#This Row],[CrudeType]]="Crude",vp.tbl[[#This Row],[Dens]]&gt;825,vp.tbl[[#This Row],[Dens]]&lt;=870,vp.tbl[[#This Row],[Sulf]]&gt;0.5,vp.tbl[[#This Row],[Unknown]]=0),1,0)</f>
        <v>0</v>
      </c>
      <c r="AC1656">
        <f>IF(AND(vp.tbl[[#This Row],[CrudeType]]="Crude",vp.tbl[[#This Row],[Dens]]&gt;825,vp.tbl[[#This Row],[Dens]]&lt;=900,vp.tbl[[#This Row],[Sulf]]&lt;=0.5,vp.tbl[[#This Row],[Unknown]]=0),1,0)</f>
        <v>0</v>
      </c>
      <c r="AD1656">
        <f>IF(AND(vp.tbl[[#This Row],[CrudeType]]="Crude",vp.tbl[[#This Row],[Dens]]&gt;870,vp.tbl[[#This Row],[Dens]]&lt;=900,vp.tbl[[#This Row],[Sulf]]&gt;0.5,vp.tbl[[#This Row],[Unknown]]=0),1,0)</f>
        <v>0</v>
      </c>
      <c r="AE1656">
        <f>IF(AND(vp.tbl[[#This Row],[CrudeType]]="Crude",vp.tbl[[#This Row],[Dens]]&gt;900,vp.tbl[[#This Row],[Sulf]]&lt;=0.5,vp.tbl[[#This Row],[Unknown]]=0),1,0)</f>
        <v>0</v>
      </c>
      <c r="AF1656">
        <f>IF(AND(vp.tbl[[#This Row],[CrudeType]]="Crude",vp.tbl[[#This Row],[Dens]]&gt;900,vp.tbl[[#This Row],[Sulf]]&lt;=0.5,vp.tbl[[#This Row],[Unknown]]=0),1,0)</f>
        <v>0</v>
      </c>
      <c r="AG1656" t="str">
        <f>INDEX(vp.tbl[[#Headers],[Unknown]:[Heavy_SW]],MATCH(1,vp.tbl[[#This Row],[Unknown]:[Heavy_SW]],0))</f>
        <v>Unknown</v>
      </c>
      <c r="AH1656" t="e">
        <f>INDEX([1]!crudeBD.lkup[Number],MATCH(vp.tbl[[#This Row],[Crude_Breakdown]],[1]!crudeBD.lkup[Crude Breakdown],0))</f>
        <v>#REF!</v>
      </c>
      <c r="AI1656">
        <f>MONTH(vp.tbl[[#This Row],[SDate]])</f>
        <v>6</v>
      </c>
      <c r="AJ1656" s="5" t="str">
        <f>IFERROR(vp.tbl[[#This Row],[Sulf]]*vp.tbl[[#This Row],[Net Dens]],"")</f>
        <v/>
      </c>
      <c r="AK1656" s="5" t="str">
        <f>IFERROR(vp.tbl[[#This Row],[Dens]]*vp.tbl[[#This Row],[VolumeM3]],"")</f>
        <v/>
      </c>
      <c r="AL1656" s="5" t="str">
        <f>IFERROR(vp.tbl[[#This Row],[VP]]*vp.tbl[[#This Row],[VolumeM3]],"")</f>
        <v/>
      </c>
      <c r="AM1656" s="4">
        <f>IFERROR((vp.tbl[[#This Row],[VP]]-INDEX(crudeBD.lkup.complete[Mean_VP],MATCH(vp.tbl[[#This Row],[Crude_Breakdown]],crudeBD.lkup.complete[Crude Breakdown],0)))^2,"")</f>
        <v>0.71425652561451325</v>
      </c>
      <c r="AN1656" s="4" t="str">
        <f>IFERROR((vp.tbl[[#This Row],[Dens]]-INDEX(crudeBD.lkup.complete[Mean_Dens],MATCH(vp.tbl[[#This Row],[Crude_Breakdown]],crudeBD.lkup.complete[Crude Breakdown],0)))^2,"")</f>
        <v/>
      </c>
      <c r="AO1656" s="4" t="str">
        <f>IFERROR((vp.tbl[[#This Row],[Sulf]]-INDEX(crudeBD.lkup.complete[Mean_Sulf],MATCH(vp.tbl[[#This Row],[Crude_Breakdown]],crudeBD.lkup.complete[Crude Breakdown],0)))^2,"")</f>
        <v/>
      </c>
      <c r="AP1656">
        <f>IF(AND(vp.tbl[[#This Row],[SDate]]&gt;=DATE(YEAR(vp.tbl[[#This Row],[SDate]]),5,1),vp.tbl[[#This Row],[SDate]]&lt;=DATE(YEAR(vp.tbl[[#This Row],[SDate]]),9,15)),1,0)</f>
        <v>1</v>
      </c>
      <c r="AQ1656" s="15">
        <f>IF(vp.tbl[[#This Row],[SDate]]&lt;DATE(2016,12,1),0,1)</f>
        <v>1</v>
      </c>
    </row>
    <row r="1657" spans="1:43" x14ac:dyDescent="0.25">
      <c r="A1657">
        <v>1656</v>
      </c>
      <c r="B1657" t="s">
        <v>49</v>
      </c>
      <c r="C1657" t="s">
        <v>49</v>
      </c>
      <c r="D1657" t="s">
        <v>50</v>
      </c>
      <c r="F1657" s="1">
        <v>42900</v>
      </c>
      <c r="G1657" s="2">
        <v>66.599999999999994</v>
      </c>
      <c r="H1657" s="2"/>
      <c r="I1657" s="2" t="s">
        <v>310</v>
      </c>
      <c r="J1657" s="2"/>
      <c r="K1657" s="2"/>
      <c r="L1657" s="2"/>
      <c r="M1657" s="2" t="s">
        <v>310</v>
      </c>
      <c r="N1657" s="2">
        <f ca="1">INDEX(INDIRECT(_xlfn.CONCAT("weather.tbl[",N$1,"]")),MATCH(vp.tbl[[#This Row],[SDate]],weather.tbl[Date],0))</f>
        <v>12.950000000000001</v>
      </c>
      <c r="O1657" s="2">
        <f ca="1">INDEX(INDIRECT(_xlfn.CONCAT("weather.tbl[",O$1,"]")),MATCH(vp.tbl[[#This Row],[SDate]],weather.tbl[Date],0))</f>
        <v>16.728571428571431</v>
      </c>
      <c r="P1657" s="2">
        <f ca="1">INDEX(INDIRECT(_xlfn.CONCAT("weather.tbl[",P$1,"]")),MATCH(vp.tbl[[#This Row],[SDate]],weather.tbl[Date],0))</f>
        <v>13</v>
      </c>
      <c r="Q1657" s="2">
        <f ca="1">INDEX(INDIRECT(_xlfn.CONCAT("weather.tbl[",Q$1,"]")),MATCH(vp.tbl[[#This Row],[SDate]],weather.tbl[Date],0))</f>
        <v>12.3</v>
      </c>
      <c r="R1657" s="2">
        <f ca="1">INDEX(INDIRECT(_xlfn.CONCAT("weather.tbl[",R$1,"]")),MATCH(vp.tbl[[#This Row],[SDate]],weather.tbl[Date],0))</f>
        <v>13.3</v>
      </c>
      <c r="S1657" s="2">
        <f ca="1">INDEX(INDIRECT(_xlfn.CONCAT("weather.tbl[",S$1,"]")),MATCH(vp.tbl[[#This Row],[SDate]],weather.tbl[Date],0))</f>
        <v>12.6</v>
      </c>
      <c r="T1657" s="2">
        <f ca="1">INDEX(INDIRECT(_xlfn.CONCAT("weather.tbl[",T$1,"]")),MATCH(vp.tbl[[#This Row],[SDate]],weather.tbl[Date],0))</f>
        <v>14.7</v>
      </c>
      <c r="U1657" s="2">
        <f ca="1">INDEX(INDIRECT(_xlfn.CONCAT("weather.tbl[",U$1,"]")),MATCH(vp.tbl[[#This Row],[SDate]],weather.tbl[Date],0))</f>
        <v>11.8</v>
      </c>
      <c r="V1657" s="2" t="s">
        <v>310</v>
      </c>
      <c r="W1657" t="s">
        <v>48</v>
      </c>
      <c r="X1657">
        <f>IF(OR(vp.tbl[[#This Row],[Sulf]]="",vp.tbl[[#This Row],[Dens]]=""),1,0)</f>
        <v>1</v>
      </c>
      <c r="Y1657">
        <f>IF(vp.tbl[[#This Row],[CrudeType]]="C5+",1,0)</f>
        <v>0</v>
      </c>
      <c r="Z1657">
        <f>IF(AND(vp.tbl[[#This Row],[CrudeType]]="Crude",vp.tbl[[#This Row],[Dens]]&lt;=825,vp.tbl[[#This Row],[Sulf]]&gt;0.5,vp.tbl[[#This Row],[Unknown]]=0),1,0)</f>
        <v>0</v>
      </c>
      <c r="AA1657">
        <f>IF(AND(vp.tbl[[#This Row],[CrudeType]]="Crude",vp.tbl[[#This Row],[Dens]]&lt;=825,vp.tbl[[#This Row],[Sulf]]&lt;=0.5,vp.tbl[[#This Row],[Unknown]]=0),1,0)</f>
        <v>0</v>
      </c>
      <c r="AB1657">
        <f>IF(AND(vp.tbl[[#This Row],[CrudeType]]="Crude",vp.tbl[[#This Row],[Dens]]&gt;825,vp.tbl[[#This Row],[Dens]]&lt;=870,vp.tbl[[#This Row],[Sulf]]&gt;0.5,vp.tbl[[#This Row],[Unknown]]=0),1,0)</f>
        <v>0</v>
      </c>
      <c r="AC1657">
        <f>IF(AND(vp.tbl[[#This Row],[CrudeType]]="Crude",vp.tbl[[#This Row],[Dens]]&gt;825,vp.tbl[[#This Row],[Dens]]&lt;=900,vp.tbl[[#This Row],[Sulf]]&lt;=0.5,vp.tbl[[#This Row],[Unknown]]=0),1,0)</f>
        <v>0</v>
      </c>
      <c r="AD1657">
        <f>IF(AND(vp.tbl[[#This Row],[CrudeType]]="Crude",vp.tbl[[#This Row],[Dens]]&gt;870,vp.tbl[[#This Row],[Dens]]&lt;=900,vp.tbl[[#This Row],[Sulf]]&gt;0.5,vp.tbl[[#This Row],[Unknown]]=0),1,0)</f>
        <v>0</v>
      </c>
      <c r="AE1657">
        <f>IF(AND(vp.tbl[[#This Row],[CrudeType]]="Crude",vp.tbl[[#This Row],[Dens]]&gt;900,vp.tbl[[#This Row],[Sulf]]&lt;=0.5,vp.tbl[[#This Row],[Unknown]]=0),1,0)</f>
        <v>0</v>
      </c>
      <c r="AF1657">
        <f>IF(AND(vp.tbl[[#This Row],[CrudeType]]="Crude",vp.tbl[[#This Row],[Dens]]&gt;900,vp.tbl[[#This Row],[Sulf]]&lt;=0.5,vp.tbl[[#This Row],[Unknown]]=0),1,0)</f>
        <v>0</v>
      </c>
      <c r="AG1657" t="str">
        <f>INDEX(vp.tbl[[#Headers],[Unknown]:[Heavy_SW]],MATCH(1,vp.tbl[[#This Row],[Unknown]:[Heavy_SW]],0))</f>
        <v>Unknown</v>
      </c>
      <c r="AH1657" t="e">
        <f>INDEX([1]!crudeBD.lkup[Number],MATCH(vp.tbl[[#This Row],[Crude_Breakdown]],[1]!crudeBD.lkup[Crude Breakdown],0))</f>
        <v>#REF!</v>
      </c>
      <c r="AI1657">
        <f>MONTH(vp.tbl[[#This Row],[SDate]])</f>
        <v>6</v>
      </c>
      <c r="AJ1657" s="5" t="str">
        <f>IFERROR(vp.tbl[[#This Row],[Sulf]]*vp.tbl[[#This Row],[Net Dens]],"")</f>
        <v/>
      </c>
      <c r="AK1657" s="5" t="str">
        <f>IFERROR(vp.tbl[[#This Row],[Dens]]*vp.tbl[[#This Row],[VolumeM3]],"")</f>
        <v/>
      </c>
      <c r="AL1657" s="5" t="str">
        <f>IFERROR(vp.tbl[[#This Row],[VP]]*vp.tbl[[#This Row],[VolumeM3]],"")</f>
        <v/>
      </c>
      <c r="AM1657" s="4">
        <f>IFERROR((vp.tbl[[#This Row],[VP]]-INDEX(crudeBD.lkup.complete[Mean_VP],MATCH(vp.tbl[[#This Row],[Crude_Breakdown]],crudeBD.lkup.complete[Crude Breakdown],0)))^2,"")</f>
        <v>52.492009950271765</v>
      </c>
      <c r="AN1657" s="4" t="str">
        <f>IFERROR((vp.tbl[[#This Row],[Dens]]-INDEX(crudeBD.lkup.complete[Mean_Dens],MATCH(vp.tbl[[#This Row],[Crude_Breakdown]],crudeBD.lkup.complete[Crude Breakdown],0)))^2,"")</f>
        <v/>
      </c>
      <c r="AO1657" s="4" t="str">
        <f>IFERROR((vp.tbl[[#This Row],[Sulf]]-INDEX(crudeBD.lkup.complete[Mean_Sulf],MATCH(vp.tbl[[#This Row],[Crude_Breakdown]],crudeBD.lkup.complete[Crude Breakdown],0)))^2,"")</f>
        <v/>
      </c>
      <c r="AP1657">
        <f>IF(AND(vp.tbl[[#This Row],[SDate]]&gt;=DATE(YEAR(vp.tbl[[#This Row],[SDate]]),5,1),vp.tbl[[#This Row],[SDate]]&lt;=DATE(YEAR(vp.tbl[[#This Row],[SDate]]),9,15)),1,0)</f>
        <v>1</v>
      </c>
      <c r="AQ1657" s="15">
        <f>IF(vp.tbl[[#This Row],[SDate]]&lt;DATE(2016,12,1),0,1)</f>
        <v>1</v>
      </c>
    </row>
    <row r="1658" spans="1:43" x14ac:dyDescent="0.25">
      <c r="A1658">
        <v>1657</v>
      </c>
      <c r="B1658" t="s">
        <v>46</v>
      </c>
      <c r="C1658" t="s">
        <v>46</v>
      </c>
      <c r="D1658" t="s">
        <v>47</v>
      </c>
      <c r="F1658" s="1">
        <v>42900</v>
      </c>
      <c r="G1658" s="2">
        <v>55.2</v>
      </c>
      <c r="H1658" s="2"/>
      <c r="I1658" s="2" t="s">
        <v>310</v>
      </c>
      <c r="J1658" s="2"/>
      <c r="K1658" s="2"/>
      <c r="L1658" s="2"/>
      <c r="M1658" s="2" t="s">
        <v>310</v>
      </c>
      <c r="N1658" s="2">
        <f ca="1">INDEX(INDIRECT(_xlfn.CONCAT("weather.tbl[",N$1,"]")),MATCH(vp.tbl[[#This Row],[SDate]],weather.tbl[Date],0))</f>
        <v>12.950000000000001</v>
      </c>
      <c r="O1658" s="2">
        <f ca="1">INDEX(INDIRECT(_xlfn.CONCAT("weather.tbl[",O$1,"]")),MATCH(vp.tbl[[#This Row],[SDate]],weather.tbl[Date],0))</f>
        <v>16.728571428571431</v>
      </c>
      <c r="P1658" s="2">
        <f ca="1">INDEX(INDIRECT(_xlfn.CONCAT("weather.tbl[",P$1,"]")),MATCH(vp.tbl[[#This Row],[SDate]],weather.tbl[Date],0))</f>
        <v>13</v>
      </c>
      <c r="Q1658" s="2">
        <f ca="1">INDEX(INDIRECT(_xlfn.CONCAT("weather.tbl[",Q$1,"]")),MATCH(vp.tbl[[#This Row],[SDate]],weather.tbl[Date],0))</f>
        <v>12.3</v>
      </c>
      <c r="R1658" s="2">
        <f ca="1">INDEX(INDIRECT(_xlfn.CONCAT("weather.tbl[",R$1,"]")),MATCH(vp.tbl[[#This Row],[SDate]],weather.tbl[Date],0))</f>
        <v>13.3</v>
      </c>
      <c r="S1658" s="2">
        <f ca="1">INDEX(INDIRECT(_xlfn.CONCAT("weather.tbl[",S$1,"]")),MATCH(vp.tbl[[#This Row],[SDate]],weather.tbl[Date],0))</f>
        <v>12.6</v>
      </c>
      <c r="T1658" s="2">
        <f ca="1">INDEX(INDIRECT(_xlfn.CONCAT("weather.tbl[",T$1,"]")),MATCH(vp.tbl[[#This Row],[SDate]],weather.tbl[Date],0))</f>
        <v>14.7</v>
      </c>
      <c r="U1658" s="2">
        <f ca="1">INDEX(INDIRECT(_xlfn.CONCAT("weather.tbl[",U$1,"]")),MATCH(vp.tbl[[#This Row],[SDate]],weather.tbl[Date],0))</f>
        <v>11.8</v>
      </c>
      <c r="V1658" s="2" t="s">
        <v>310</v>
      </c>
      <c r="W1658" t="s">
        <v>48</v>
      </c>
      <c r="X1658">
        <f>IF(OR(vp.tbl[[#This Row],[Sulf]]="",vp.tbl[[#This Row],[Dens]]=""),1,0)</f>
        <v>1</v>
      </c>
      <c r="Y1658">
        <f>IF(vp.tbl[[#This Row],[CrudeType]]="C5+",1,0)</f>
        <v>0</v>
      </c>
      <c r="Z1658">
        <f>IF(AND(vp.tbl[[#This Row],[CrudeType]]="Crude",vp.tbl[[#This Row],[Dens]]&lt;=825,vp.tbl[[#This Row],[Sulf]]&gt;0.5,vp.tbl[[#This Row],[Unknown]]=0),1,0)</f>
        <v>0</v>
      </c>
      <c r="AA1658">
        <f>IF(AND(vp.tbl[[#This Row],[CrudeType]]="Crude",vp.tbl[[#This Row],[Dens]]&lt;=825,vp.tbl[[#This Row],[Sulf]]&lt;=0.5,vp.tbl[[#This Row],[Unknown]]=0),1,0)</f>
        <v>0</v>
      </c>
      <c r="AB1658">
        <f>IF(AND(vp.tbl[[#This Row],[CrudeType]]="Crude",vp.tbl[[#This Row],[Dens]]&gt;825,vp.tbl[[#This Row],[Dens]]&lt;=870,vp.tbl[[#This Row],[Sulf]]&gt;0.5,vp.tbl[[#This Row],[Unknown]]=0),1,0)</f>
        <v>0</v>
      </c>
      <c r="AC1658">
        <f>IF(AND(vp.tbl[[#This Row],[CrudeType]]="Crude",vp.tbl[[#This Row],[Dens]]&gt;825,vp.tbl[[#This Row],[Dens]]&lt;=900,vp.tbl[[#This Row],[Sulf]]&lt;=0.5,vp.tbl[[#This Row],[Unknown]]=0),1,0)</f>
        <v>0</v>
      </c>
      <c r="AD1658">
        <f>IF(AND(vp.tbl[[#This Row],[CrudeType]]="Crude",vp.tbl[[#This Row],[Dens]]&gt;870,vp.tbl[[#This Row],[Dens]]&lt;=900,vp.tbl[[#This Row],[Sulf]]&gt;0.5,vp.tbl[[#This Row],[Unknown]]=0),1,0)</f>
        <v>0</v>
      </c>
      <c r="AE1658">
        <f>IF(AND(vp.tbl[[#This Row],[CrudeType]]="Crude",vp.tbl[[#This Row],[Dens]]&gt;900,vp.tbl[[#This Row],[Sulf]]&lt;=0.5,vp.tbl[[#This Row],[Unknown]]=0),1,0)</f>
        <v>0</v>
      </c>
      <c r="AF1658">
        <f>IF(AND(vp.tbl[[#This Row],[CrudeType]]="Crude",vp.tbl[[#This Row],[Dens]]&gt;900,vp.tbl[[#This Row],[Sulf]]&lt;=0.5,vp.tbl[[#This Row],[Unknown]]=0),1,0)</f>
        <v>0</v>
      </c>
      <c r="AG1658" t="str">
        <f>INDEX(vp.tbl[[#Headers],[Unknown]:[Heavy_SW]],MATCH(1,vp.tbl[[#This Row],[Unknown]:[Heavy_SW]],0))</f>
        <v>Unknown</v>
      </c>
      <c r="AH1658" t="e">
        <f>INDEX([1]!crudeBD.lkup[Number],MATCH(vp.tbl[[#This Row],[Crude_Breakdown]],[1]!crudeBD.lkup[Crude Breakdown],0))</f>
        <v>#REF!</v>
      </c>
      <c r="AI1658">
        <f>MONTH(vp.tbl[[#This Row],[SDate]])</f>
        <v>6</v>
      </c>
      <c r="AJ1658" s="5" t="str">
        <f>IFERROR(vp.tbl[[#This Row],[Sulf]]*vp.tbl[[#This Row],[Net Dens]],"")</f>
        <v/>
      </c>
      <c r="AK1658" s="5" t="str">
        <f>IFERROR(vp.tbl[[#This Row],[Dens]]*vp.tbl[[#This Row],[VolumeM3]],"")</f>
        <v/>
      </c>
      <c r="AL1658" s="5" t="str">
        <f>IFERROR(vp.tbl[[#This Row],[VP]]*vp.tbl[[#This Row],[VolumeM3]],"")</f>
        <v/>
      </c>
      <c r="AM1658" s="4">
        <f>IFERROR((vp.tbl[[#This Row],[VP]]-INDEX(crudeBD.lkup.complete[Mean_VP],MATCH(vp.tbl[[#This Row],[Crude_Breakdown]],crudeBD.lkup.complete[Crude Breakdown],0)))^2,"")</f>
        <v>347.64113323794214</v>
      </c>
      <c r="AN1658" s="4" t="str">
        <f>IFERROR((vp.tbl[[#This Row],[Dens]]-INDEX(crudeBD.lkup.complete[Mean_Dens],MATCH(vp.tbl[[#This Row],[Crude_Breakdown]],crudeBD.lkup.complete[Crude Breakdown],0)))^2,"")</f>
        <v/>
      </c>
      <c r="AO1658" s="4" t="str">
        <f>IFERROR((vp.tbl[[#This Row],[Sulf]]-INDEX(crudeBD.lkup.complete[Mean_Sulf],MATCH(vp.tbl[[#This Row],[Crude_Breakdown]],crudeBD.lkup.complete[Crude Breakdown],0)))^2,"")</f>
        <v/>
      </c>
      <c r="AP1658">
        <f>IF(AND(vp.tbl[[#This Row],[SDate]]&gt;=DATE(YEAR(vp.tbl[[#This Row],[SDate]]),5,1),vp.tbl[[#This Row],[SDate]]&lt;=DATE(YEAR(vp.tbl[[#This Row],[SDate]]),9,15)),1,0)</f>
        <v>1</v>
      </c>
      <c r="AQ1658" s="15">
        <f>IF(vp.tbl[[#This Row],[SDate]]&lt;DATE(2016,12,1),0,1)</f>
        <v>1</v>
      </c>
    </row>
    <row r="1659" spans="1:43" x14ac:dyDescent="0.25">
      <c r="A1659">
        <v>1658</v>
      </c>
      <c r="B1659" t="s">
        <v>51</v>
      </c>
      <c r="C1659" t="s">
        <v>51</v>
      </c>
      <c r="D1659" t="s">
        <v>52</v>
      </c>
      <c r="F1659" s="1">
        <v>42900</v>
      </c>
      <c r="G1659" s="2">
        <v>70.599999999999994</v>
      </c>
      <c r="H1659" s="2"/>
      <c r="I1659" s="2" t="s">
        <v>310</v>
      </c>
      <c r="J1659" s="2"/>
      <c r="K1659" s="2"/>
      <c r="L1659" s="2"/>
      <c r="M1659" s="2" t="s">
        <v>310</v>
      </c>
      <c r="N1659" s="2">
        <f ca="1">INDEX(INDIRECT(_xlfn.CONCAT("weather.tbl[",N$1,"]")),MATCH(vp.tbl[[#This Row],[SDate]],weather.tbl[Date],0))</f>
        <v>12.950000000000001</v>
      </c>
      <c r="O1659" s="2">
        <f ca="1">INDEX(INDIRECT(_xlfn.CONCAT("weather.tbl[",O$1,"]")),MATCH(vp.tbl[[#This Row],[SDate]],weather.tbl[Date],0))</f>
        <v>16.728571428571431</v>
      </c>
      <c r="P1659" s="2">
        <f ca="1">INDEX(INDIRECT(_xlfn.CONCAT("weather.tbl[",P$1,"]")),MATCH(vp.tbl[[#This Row],[SDate]],weather.tbl[Date],0))</f>
        <v>13</v>
      </c>
      <c r="Q1659" s="2">
        <f ca="1">INDEX(INDIRECT(_xlfn.CONCAT("weather.tbl[",Q$1,"]")),MATCH(vp.tbl[[#This Row],[SDate]],weather.tbl[Date],0))</f>
        <v>12.3</v>
      </c>
      <c r="R1659" s="2">
        <f ca="1">INDEX(INDIRECT(_xlfn.CONCAT("weather.tbl[",R$1,"]")),MATCH(vp.tbl[[#This Row],[SDate]],weather.tbl[Date],0))</f>
        <v>13.3</v>
      </c>
      <c r="S1659" s="2">
        <f ca="1">INDEX(INDIRECT(_xlfn.CONCAT("weather.tbl[",S$1,"]")),MATCH(vp.tbl[[#This Row],[SDate]],weather.tbl[Date],0))</f>
        <v>12.6</v>
      </c>
      <c r="T1659" s="2">
        <f ca="1">INDEX(INDIRECT(_xlfn.CONCAT("weather.tbl[",T$1,"]")),MATCH(vp.tbl[[#This Row],[SDate]],weather.tbl[Date],0))</f>
        <v>14.7</v>
      </c>
      <c r="U1659" s="2">
        <f ca="1">INDEX(INDIRECT(_xlfn.CONCAT("weather.tbl[",U$1,"]")),MATCH(vp.tbl[[#This Row],[SDate]],weather.tbl[Date],0))</f>
        <v>11.8</v>
      </c>
      <c r="V1659" s="2" t="s">
        <v>310</v>
      </c>
      <c r="W1659" t="s">
        <v>48</v>
      </c>
      <c r="X1659">
        <f>IF(OR(vp.tbl[[#This Row],[Sulf]]="",vp.tbl[[#This Row],[Dens]]=""),1,0)</f>
        <v>1</v>
      </c>
      <c r="Y1659">
        <f>IF(vp.tbl[[#This Row],[CrudeType]]="C5+",1,0)</f>
        <v>0</v>
      </c>
      <c r="Z1659">
        <f>IF(AND(vp.tbl[[#This Row],[CrudeType]]="Crude",vp.tbl[[#This Row],[Dens]]&lt;=825,vp.tbl[[#This Row],[Sulf]]&gt;0.5,vp.tbl[[#This Row],[Unknown]]=0),1,0)</f>
        <v>0</v>
      </c>
      <c r="AA1659">
        <f>IF(AND(vp.tbl[[#This Row],[CrudeType]]="Crude",vp.tbl[[#This Row],[Dens]]&lt;=825,vp.tbl[[#This Row],[Sulf]]&lt;=0.5,vp.tbl[[#This Row],[Unknown]]=0),1,0)</f>
        <v>0</v>
      </c>
      <c r="AB1659">
        <f>IF(AND(vp.tbl[[#This Row],[CrudeType]]="Crude",vp.tbl[[#This Row],[Dens]]&gt;825,vp.tbl[[#This Row],[Dens]]&lt;=870,vp.tbl[[#This Row],[Sulf]]&gt;0.5,vp.tbl[[#This Row],[Unknown]]=0),1,0)</f>
        <v>0</v>
      </c>
      <c r="AC1659">
        <f>IF(AND(vp.tbl[[#This Row],[CrudeType]]="Crude",vp.tbl[[#This Row],[Dens]]&gt;825,vp.tbl[[#This Row],[Dens]]&lt;=900,vp.tbl[[#This Row],[Sulf]]&lt;=0.5,vp.tbl[[#This Row],[Unknown]]=0),1,0)</f>
        <v>0</v>
      </c>
      <c r="AD1659">
        <f>IF(AND(vp.tbl[[#This Row],[CrudeType]]="Crude",vp.tbl[[#This Row],[Dens]]&gt;870,vp.tbl[[#This Row],[Dens]]&lt;=900,vp.tbl[[#This Row],[Sulf]]&gt;0.5,vp.tbl[[#This Row],[Unknown]]=0),1,0)</f>
        <v>0</v>
      </c>
      <c r="AE1659">
        <f>IF(AND(vp.tbl[[#This Row],[CrudeType]]="Crude",vp.tbl[[#This Row],[Dens]]&gt;900,vp.tbl[[#This Row],[Sulf]]&lt;=0.5,vp.tbl[[#This Row],[Unknown]]=0),1,0)</f>
        <v>0</v>
      </c>
      <c r="AF1659">
        <f>IF(AND(vp.tbl[[#This Row],[CrudeType]]="Crude",vp.tbl[[#This Row],[Dens]]&gt;900,vp.tbl[[#This Row],[Sulf]]&lt;=0.5,vp.tbl[[#This Row],[Unknown]]=0),1,0)</f>
        <v>0</v>
      </c>
      <c r="AG1659" t="str">
        <f>INDEX(vp.tbl[[#Headers],[Unknown]:[Heavy_SW]],MATCH(1,vp.tbl[[#This Row],[Unknown]:[Heavy_SW]],0))</f>
        <v>Unknown</v>
      </c>
      <c r="AH1659" t="e">
        <f>INDEX([1]!crudeBD.lkup[Number],MATCH(vp.tbl[[#This Row],[Crude_Breakdown]],[1]!crudeBD.lkup[Crude Breakdown],0))</f>
        <v>#REF!</v>
      </c>
      <c r="AI1659">
        <f>MONTH(vp.tbl[[#This Row],[SDate]])</f>
        <v>6</v>
      </c>
      <c r="AJ1659" s="5" t="str">
        <f>IFERROR(vp.tbl[[#This Row],[Sulf]]*vp.tbl[[#This Row],[Net Dens]],"")</f>
        <v/>
      </c>
      <c r="AK1659" s="5" t="str">
        <f>IFERROR(vp.tbl[[#This Row],[Dens]]*vp.tbl[[#This Row],[VolumeM3]],"")</f>
        <v/>
      </c>
      <c r="AL1659" s="5" t="str">
        <f>IFERROR(vp.tbl[[#This Row],[VP]]*vp.tbl[[#This Row],[VolumeM3]],"")</f>
        <v/>
      </c>
      <c r="AM1659" s="4">
        <f>IFERROR((vp.tbl[[#This Row],[VP]]-INDEX(crudeBD.lkup.complete[Mean_VP],MATCH(vp.tbl[[#This Row],[Crude_Breakdown]],crudeBD.lkup.complete[Crude Breakdown],0)))^2,"")</f>
        <v>10.530914059860988</v>
      </c>
      <c r="AN1659" s="4" t="str">
        <f>IFERROR((vp.tbl[[#This Row],[Dens]]-INDEX(crudeBD.lkup.complete[Mean_Dens],MATCH(vp.tbl[[#This Row],[Crude_Breakdown]],crudeBD.lkup.complete[Crude Breakdown],0)))^2,"")</f>
        <v/>
      </c>
      <c r="AO1659" s="4" t="str">
        <f>IFERROR((vp.tbl[[#This Row],[Sulf]]-INDEX(crudeBD.lkup.complete[Mean_Sulf],MATCH(vp.tbl[[#This Row],[Crude_Breakdown]],crudeBD.lkup.complete[Crude Breakdown],0)))^2,"")</f>
        <v/>
      </c>
      <c r="AP1659">
        <f>IF(AND(vp.tbl[[#This Row],[SDate]]&gt;=DATE(YEAR(vp.tbl[[#This Row],[SDate]]),5,1),vp.tbl[[#This Row],[SDate]]&lt;=DATE(YEAR(vp.tbl[[#This Row],[SDate]]),9,15)),1,0)</f>
        <v>1</v>
      </c>
      <c r="AQ1659" s="15">
        <f>IF(vp.tbl[[#This Row],[SDate]]&lt;DATE(2016,12,1),0,1)</f>
        <v>1</v>
      </c>
    </row>
    <row r="1660" spans="1:43" x14ac:dyDescent="0.25">
      <c r="A1660">
        <v>1659</v>
      </c>
      <c r="B1660" t="s">
        <v>51</v>
      </c>
      <c r="C1660" t="s">
        <v>51</v>
      </c>
      <c r="D1660" t="s">
        <v>58</v>
      </c>
      <c r="F1660" s="1">
        <v>42900</v>
      </c>
      <c r="G1660" s="2">
        <v>85.6</v>
      </c>
      <c r="H1660" s="2"/>
      <c r="I1660" s="2" t="s">
        <v>310</v>
      </c>
      <c r="J1660" s="2"/>
      <c r="K1660" s="2"/>
      <c r="L1660" s="2"/>
      <c r="M1660" s="2" t="s">
        <v>310</v>
      </c>
      <c r="N1660" s="2">
        <f ca="1">INDEX(INDIRECT(_xlfn.CONCAT("weather.tbl[",N$1,"]")),MATCH(vp.tbl[[#This Row],[SDate]],weather.tbl[Date],0))</f>
        <v>12.950000000000001</v>
      </c>
      <c r="O1660" s="2">
        <f ca="1">INDEX(INDIRECT(_xlfn.CONCAT("weather.tbl[",O$1,"]")),MATCH(vp.tbl[[#This Row],[SDate]],weather.tbl[Date],0))</f>
        <v>16.728571428571431</v>
      </c>
      <c r="P1660" s="2">
        <f ca="1">INDEX(INDIRECT(_xlfn.CONCAT("weather.tbl[",P$1,"]")),MATCH(vp.tbl[[#This Row],[SDate]],weather.tbl[Date],0))</f>
        <v>13</v>
      </c>
      <c r="Q1660" s="2">
        <f ca="1">INDEX(INDIRECT(_xlfn.CONCAT("weather.tbl[",Q$1,"]")),MATCH(vp.tbl[[#This Row],[SDate]],weather.tbl[Date],0))</f>
        <v>12.3</v>
      </c>
      <c r="R1660" s="2">
        <f ca="1">INDEX(INDIRECT(_xlfn.CONCAT("weather.tbl[",R$1,"]")),MATCH(vp.tbl[[#This Row],[SDate]],weather.tbl[Date],0))</f>
        <v>13.3</v>
      </c>
      <c r="S1660" s="2">
        <f ca="1">INDEX(INDIRECT(_xlfn.CONCAT("weather.tbl[",S$1,"]")),MATCH(vp.tbl[[#This Row],[SDate]],weather.tbl[Date],0))</f>
        <v>12.6</v>
      </c>
      <c r="T1660" s="2">
        <f ca="1">INDEX(INDIRECT(_xlfn.CONCAT("weather.tbl[",T$1,"]")),MATCH(vp.tbl[[#This Row],[SDate]],weather.tbl[Date],0))</f>
        <v>14.7</v>
      </c>
      <c r="U1660" s="2">
        <f ca="1">INDEX(INDIRECT(_xlfn.CONCAT("weather.tbl[",U$1,"]")),MATCH(vp.tbl[[#This Row],[SDate]],weather.tbl[Date],0))</f>
        <v>11.8</v>
      </c>
      <c r="V1660" s="2" t="s">
        <v>310</v>
      </c>
      <c r="W1660" t="s">
        <v>48</v>
      </c>
      <c r="X1660">
        <f>IF(OR(vp.tbl[[#This Row],[Sulf]]="",vp.tbl[[#This Row],[Dens]]=""),1,0)</f>
        <v>1</v>
      </c>
      <c r="Y1660">
        <f>IF(vp.tbl[[#This Row],[CrudeType]]="C5+",1,0)</f>
        <v>0</v>
      </c>
      <c r="Z1660">
        <f>IF(AND(vp.tbl[[#This Row],[CrudeType]]="Crude",vp.tbl[[#This Row],[Dens]]&lt;=825,vp.tbl[[#This Row],[Sulf]]&gt;0.5,vp.tbl[[#This Row],[Unknown]]=0),1,0)</f>
        <v>0</v>
      </c>
      <c r="AA1660">
        <f>IF(AND(vp.tbl[[#This Row],[CrudeType]]="Crude",vp.tbl[[#This Row],[Dens]]&lt;=825,vp.tbl[[#This Row],[Sulf]]&lt;=0.5,vp.tbl[[#This Row],[Unknown]]=0),1,0)</f>
        <v>0</v>
      </c>
      <c r="AB1660">
        <f>IF(AND(vp.tbl[[#This Row],[CrudeType]]="Crude",vp.tbl[[#This Row],[Dens]]&gt;825,vp.tbl[[#This Row],[Dens]]&lt;=870,vp.tbl[[#This Row],[Sulf]]&gt;0.5,vp.tbl[[#This Row],[Unknown]]=0),1,0)</f>
        <v>0</v>
      </c>
      <c r="AC1660">
        <f>IF(AND(vp.tbl[[#This Row],[CrudeType]]="Crude",vp.tbl[[#This Row],[Dens]]&gt;825,vp.tbl[[#This Row],[Dens]]&lt;=900,vp.tbl[[#This Row],[Sulf]]&lt;=0.5,vp.tbl[[#This Row],[Unknown]]=0),1,0)</f>
        <v>0</v>
      </c>
      <c r="AD1660">
        <f>IF(AND(vp.tbl[[#This Row],[CrudeType]]="Crude",vp.tbl[[#This Row],[Dens]]&gt;870,vp.tbl[[#This Row],[Dens]]&lt;=900,vp.tbl[[#This Row],[Sulf]]&gt;0.5,vp.tbl[[#This Row],[Unknown]]=0),1,0)</f>
        <v>0</v>
      </c>
      <c r="AE1660">
        <f>IF(AND(vp.tbl[[#This Row],[CrudeType]]="Crude",vp.tbl[[#This Row],[Dens]]&gt;900,vp.tbl[[#This Row],[Sulf]]&lt;=0.5,vp.tbl[[#This Row],[Unknown]]=0),1,0)</f>
        <v>0</v>
      </c>
      <c r="AF1660">
        <f>IF(AND(vp.tbl[[#This Row],[CrudeType]]="Crude",vp.tbl[[#This Row],[Dens]]&gt;900,vp.tbl[[#This Row],[Sulf]]&lt;=0.5,vp.tbl[[#This Row],[Unknown]]=0),1,0)</f>
        <v>0</v>
      </c>
      <c r="AG1660" t="str">
        <f>INDEX(vp.tbl[[#Headers],[Unknown]:[Heavy_SW]],MATCH(1,vp.tbl[[#This Row],[Unknown]:[Heavy_SW]],0))</f>
        <v>Unknown</v>
      </c>
      <c r="AH1660" t="e">
        <f>INDEX([1]!crudeBD.lkup[Number],MATCH(vp.tbl[[#This Row],[Crude_Breakdown]],[1]!crudeBD.lkup[Crude Breakdown],0))</f>
        <v>#REF!</v>
      </c>
      <c r="AI1660">
        <f>MONTH(vp.tbl[[#This Row],[SDate]])</f>
        <v>6</v>
      </c>
      <c r="AJ1660" s="5" t="str">
        <f>IFERROR(vp.tbl[[#This Row],[Sulf]]*vp.tbl[[#This Row],[Net Dens]],"")</f>
        <v/>
      </c>
      <c r="AK1660" s="5" t="str">
        <f>IFERROR(vp.tbl[[#This Row],[Dens]]*vp.tbl[[#This Row],[VolumeM3]],"")</f>
        <v/>
      </c>
      <c r="AL1660" s="5" t="str">
        <f>IFERROR(vp.tbl[[#This Row],[VP]]*vp.tbl[[#This Row],[VolumeM3]],"")</f>
        <v/>
      </c>
      <c r="AM1660" s="4">
        <f>IFERROR((vp.tbl[[#This Row],[VP]]-INDEX(crudeBD.lkup.complete[Mean_VP],MATCH(vp.tbl[[#This Row],[Crude_Breakdown]],crudeBD.lkup.complete[Crude Breakdown],0)))^2,"")</f>
        <v>138.17680447082057</v>
      </c>
      <c r="AN1660" s="4" t="str">
        <f>IFERROR((vp.tbl[[#This Row],[Dens]]-INDEX(crudeBD.lkup.complete[Mean_Dens],MATCH(vp.tbl[[#This Row],[Crude_Breakdown]],crudeBD.lkup.complete[Crude Breakdown],0)))^2,"")</f>
        <v/>
      </c>
      <c r="AO1660" s="4" t="str">
        <f>IFERROR((vp.tbl[[#This Row],[Sulf]]-INDEX(crudeBD.lkup.complete[Mean_Sulf],MATCH(vp.tbl[[#This Row],[Crude_Breakdown]],crudeBD.lkup.complete[Crude Breakdown],0)))^2,"")</f>
        <v/>
      </c>
      <c r="AP1660">
        <f>IF(AND(vp.tbl[[#This Row],[SDate]]&gt;=DATE(YEAR(vp.tbl[[#This Row],[SDate]]),5,1),vp.tbl[[#This Row],[SDate]]&lt;=DATE(YEAR(vp.tbl[[#This Row],[SDate]]),9,15)),1,0)</f>
        <v>1</v>
      </c>
      <c r="AQ1660" s="15">
        <f>IF(vp.tbl[[#This Row],[SDate]]&lt;DATE(2016,12,1),0,1)</f>
        <v>1</v>
      </c>
    </row>
    <row r="1661" spans="1:43" x14ac:dyDescent="0.25">
      <c r="A1661">
        <v>1660</v>
      </c>
      <c r="B1661" t="s">
        <v>111</v>
      </c>
      <c r="C1661" t="s">
        <v>111</v>
      </c>
      <c r="D1661" t="s">
        <v>112</v>
      </c>
      <c r="F1661" s="1">
        <v>42900</v>
      </c>
      <c r="G1661" s="2">
        <v>76.8</v>
      </c>
      <c r="H1661" s="2"/>
      <c r="I1661" s="2" t="s">
        <v>310</v>
      </c>
      <c r="J1661" s="2"/>
      <c r="K1661" s="2"/>
      <c r="L1661" s="2"/>
      <c r="M1661" s="2" t="s">
        <v>310</v>
      </c>
      <c r="N1661" s="2">
        <f ca="1">INDEX(INDIRECT(_xlfn.CONCAT("weather.tbl[",N$1,"]")),MATCH(vp.tbl[[#This Row],[SDate]],weather.tbl[Date],0))</f>
        <v>12.950000000000001</v>
      </c>
      <c r="O1661" s="2">
        <f ca="1">INDEX(INDIRECT(_xlfn.CONCAT("weather.tbl[",O$1,"]")),MATCH(vp.tbl[[#This Row],[SDate]],weather.tbl[Date],0))</f>
        <v>16.728571428571431</v>
      </c>
      <c r="P1661" s="2">
        <f ca="1">INDEX(INDIRECT(_xlfn.CONCAT("weather.tbl[",P$1,"]")),MATCH(vp.tbl[[#This Row],[SDate]],weather.tbl[Date],0))</f>
        <v>13</v>
      </c>
      <c r="Q1661" s="2">
        <f ca="1">INDEX(INDIRECT(_xlfn.CONCAT("weather.tbl[",Q$1,"]")),MATCH(vp.tbl[[#This Row],[SDate]],weather.tbl[Date],0))</f>
        <v>12.3</v>
      </c>
      <c r="R1661" s="2">
        <f ca="1">INDEX(INDIRECT(_xlfn.CONCAT("weather.tbl[",R$1,"]")),MATCH(vp.tbl[[#This Row],[SDate]],weather.tbl[Date],0))</f>
        <v>13.3</v>
      </c>
      <c r="S1661" s="2">
        <f ca="1">INDEX(INDIRECT(_xlfn.CONCAT("weather.tbl[",S$1,"]")),MATCH(vp.tbl[[#This Row],[SDate]],weather.tbl[Date],0))</f>
        <v>12.6</v>
      </c>
      <c r="T1661" s="2">
        <f ca="1">INDEX(INDIRECT(_xlfn.CONCAT("weather.tbl[",T$1,"]")),MATCH(vp.tbl[[#This Row],[SDate]],weather.tbl[Date],0))</f>
        <v>14.7</v>
      </c>
      <c r="U1661" s="2">
        <f ca="1">INDEX(INDIRECT(_xlfn.CONCAT("weather.tbl[",U$1,"]")),MATCH(vp.tbl[[#This Row],[SDate]],weather.tbl[Date],0))</f>
        <v>11.8</v>
      </c>
      <c r="V1661" s="2" t="s">
        <v>310</v>
      </c>
      <c r="W1661" t="s">
        <v>48</v>
      </c>
      <c r="X1661">
        <f>IF(OR(vp.tbl[[#This Row],[Sulf]]="",vp.tbl[[#This Row],[Dens]]=""),1,0)</f>
        <v>1</v>
      </c>
      <c r="Y1661">
        <f>IF(vp.tbl[[#This Row],[CrudeType]]="C5+",1,0)</f>
        <v>0</v>
      </c>
      <c r="Z1661">
        <f>IF(AND(vp.tbl[[#This Row],[CrudeType]]="Crude",vp.tbl[[#This Row],[Dens]]&lt;=825,vp.tbl[[#This Row],[Sulf]]&gt;0.5,vp.tbl[[#This Row],[Unknown]]=0),1,0)</f>
        <v>0</v>
      </c>
      <c r="AA1661">
        <f>IF(AND(vp.tbl[[#This Row],[CrudeType]]="Crude",vp.tbl[[#This Row],[Dens]]&lt;=825,vp.tbl[[#This Row],[Sulf]]&lt;=0.5,vp.tbl[[#This Row],[Unknown]]=0),1,0)</f>
        <v>0</v>
      </c>
      <c r="AB1661">
        <f>IF(AND(vp.tbl[[#This Row],[CrudeType]]="Crude",vp.tbl[[#This Row],[Dens]]&gt;825,vp.tbl[[#This Row],[Dens]]&lt;=870,vp.tbl[[#This Row],[Sulf]]&gt;0.5,vp.tbl[[#This Row],[Unknown]]=0),1,0)</f>
        <v>0</v>
      </c>
      <c r="AC1661">
        <f>IF(AND(vp.tbl[[#This Row],[CrudeType]]="Crude",vp.tbl[[#This Row],[Dens]]&gt;825,vp.tbl[[#This Row],[Dens]]&lt;=900,vp.tbl[[#This Row],[Sulf]]&lt;=0.5,vp.tbl[[#This Row],[Unknown]]=0),1,0)</f>
        <v>0</v>
      </c>
      <c r="AD1661">
        <f>IF(AND(vp.tbl[[#This Row],[CrudeType]]="Crude",vp.tbl[[#This Row],[Dens]]&gt;870,vp.tbl[[#This Row],[Dens]]&lt;=900,vp.tbl[[#This Row],[Sulf]]&gt;0.5,vp.tbl[[#This Row],[Unknown]]=0),1,0)</f>
        <v>0</v>
      </c>
      <c r="AE1661">
        <f>IF(AND(vp.tbl[[#This Row],[CrudeType]]="Crude",vp.tbl[[#This Row],[Dens]]&gt;900,vp.tbl[[#This Row],[Sulf]]&lt;=0.5,vp.tbl[[#This Row],[Unknown]]=0),1,0)</f>
        <v>0</v>
      </c>
      <c r="AF1661">
        <f>IF(AND(vp.tbl[[#This Row],[CrudeType]]="Crude",vp.tbl[[#This Row],[Dens]]&gt;900,vp.tbl[[#This Row],[Sulf]]&lt;=0.5,vp.tbl[[#This Row],[Unknown]]=0),1,0)</f>
        <v>0</v>
      </c>
      <c r="AG1661" t="str">
        <f>INDEX(vp.tbl[[#Headers],[Unknown]:[Heavy_SW]],MATCH(1,vp.tbl[[#This Row],[Unknown]:[Heavy_SW]],0))</f>
        <v>Unknown</v>
      </c>
      <c r="AH1661" t="e">
        <f>INDEX([1]!crudeBD.lkup[Number],MATCH(vp.tbl[[#This Row],[Crude_Breakdown]],[1]!crudeBD.lkup[Crude Breakdown],0))</f>
        <v>#REF!</v>
      </c>
      <c r="AI1661">
        <f>MONTH(vp.tbl[[#This Row],[SDate]])</f>
        <v>6</v>
      </c>
      <c r="AJ1661" s="5" t="str">
        <f>IFERROR(vp.tbl[[#This Row],[Sulf]]*vp.tbl[[#This Row],[Net Dens]],"")</f>
        <v/>
      </c>
      <c r="AK1661" s="5" t="str">
        <f>IFERROR(vp.tbl[[#This Row],[Dens]]*vp.tbl[[#This Row],[VolumeM3]],"")</f>
        <v/>
      </c>
      <c r="AL1661" s="5" t="str">
        <f>IFERROR(vp.tbl[[#This Row],[VP]]*vp.tbl[[#This Row],[VolumeM3]],"")</f>
        <v/>
      </c>
      <c r="AM1661" s="4">
        <f>IFERROR((vp.tbl[[#This Row],[VP]]-INDEX(crudeBD.lkup.complete[Mean_VP],MATCH(vp.tbl[[#This Row],[Crude_Breakdown]],crudeBD.lkup.complete[Crude Breakdown],0)))^2,"")</f>
        <v>8.731215429724303</v>
      </c>
      <c r="AN1661" s="4" t="str">
        <f>IFERROR((vp.tbl[[#This Row],[Dens]]-INDEX(crudeBD.lkup.complete[Mean_Dens],MATCH(vp.tbl[[#This Row],[Crude_Breakdown]],crudeBD.lkup.complete[Crude Breakdown],0)))^2,"")</f>
        <v/>
      </c>
      <c r="AO1661" s="4" t="str">
        <f>IFERROR((vp.tbl[[#This Row],[Sulf]]-INDEX(crudeBD.lkup.complete[Mean_Sulf],MATCH(vp.tbl[[#This Row],[Crude_Breakdown]],crudeBD.lkup.complete[Crude Breakdown],0)))^2,"")</f>
        <v/>
      </c>
      <c r="AP1661">
        <f>IF(AND(vp.tbl[[#This Row],[SDate]]&gt;=DATE(YEAR(vp.tbl[[#This Row],[SDate]]),5,1),vp.tbl[[#This Row],[SDate]]&lt;=DATE(YEAR(vp.tbl[[#This Row],[SDate]]),9,15)),1,0)</f>
        <v>1</v>
      </c>
      <c r="AQ1661" s="15">
        <f>IF(vp.tbl[[#This Row],[SDate]]&lt;DATE(2016,12,1),0,1)</f>
        <v>1</v>
      </c>
    </row>
    <row r="1662" spans="1:43" x14ac:dyDescent="0.25">
      <c r="A1662">
        <v>1661</v>
      </c>
      <c r="B1662" t="s">
        <v>111</v>
      </c>
      <c r="C1662" t="s">
        <v>111</v>
      </c>
      <c r="D1662" t="s">
        <v>234</v>
      </c>
      <c r="F1662" s="1">
        <v>42900</v>
      </c>
      <c r="G1662" s="2">
        <v>92.9</v>
      </c>
      <c r="H1662" s="2"/>
      <c r="I1662" s="2" t="s">
        <v>310</v>
      </c>
      <c r="J1662" s="2"/>
      <c r="K1662" s="2"/>
      <c r="L1662" s="2"/>
      <c r="M1662" s="2" t="s">
        <v>310</v>
      </c>
      <c r="N1662" s="2">
        <f ca="1">INDEX(INDIRECT(_xlfn.CONCAT("weather.tbl[",N$1,"]")),MATCH(vp.tbl[[#This Row],[SDate]],weather.tbl[Date],0))</f>
        <v>12.950000000000001</v>
      </c>
      <c r="O1662" s="2">
        <f ca="1">INDEX(INDIRECT(_xlfn.CONCAT("weather.tbl[",O$1,"]")),MATCH(vp.tbl[[#This Row],[SDate]],weather.tbl[Date],0))</f>
        <v>16.728571428571431</v>
      </c>
      <c r="P1662" s="2">
        <f ca="1">INDEX(INDIRECT(_xlfn.CONCAT("weather.tbl[",P$1,"]")),MATCH(vp.tbl[[#This Row],[SDate]],weather.tbl[Date],0))</f>
        <v>13</v>
      </c>
      <c r="Q1662" s="2">
        <f ca="1">INDEX(INDIRECT(_xlfn.CONCAT("weather.tbl[",Q$1,"]")),MATCH(vp.tbl[[#This Row],[SDate]],weather.tbl[Date],0))</f>
        <v>12.3</v>
      </c>
      <c r="R1662" s="2">
        <f ca="1">INDEX(INDIRECT(_xlfn.CONCAT("weather.tbl[",R$1,"]")),MATCH(vp.tbl[[#This Row],[SDate]],weather.tbl[Date],0))</f>
        <v>13.3</v>
      </c>
      <c r="S1662" s="2">
        <f ca="1">INDEX(INDIRECT(_xlfn.CONCAT("weather.tbl[",S$1,"]")),MATCH(vp.tbl[[#This Row],[SDate]],weather.tbl[Date],0))</f>
        <v>12.6</v>
      </c>
      <c r="T1662" s="2">
        <f ca="1">INDEX(INDIRECT(_xlfn.CONCAT("weather.tbl[",T$1,"]")),MATCH(vp.tbl[[#This Row],[SDate]],weather.tbl[Date],0))</f>
        <v>14.7</v>
      </c>
      <c r="U1662" s="2">
        <f ca="1">INDEX(INDIRECT(_xlfn.CONCAT("weather.tbl[",U$1,"]")),MATCH(vp.tbl[[#This Row],[SDate]],weather.tbl[Date],0))</f>
        <v>11.8</v>
      </c>
      <c r="V1662" s="2" t="s">
        <v>310</v>
      </c>
      <c r="W1662" t="s">
        <v>48</v>
      </c>
      <c r="X1662">
        <f>IF(OR(vp.tbl[[#This Row],[Sulf]]="",vp.tbl[[#This Row],[Dens]]=""),1,0)</f>
        <v>1</v>
      </c>
      <c r="Y1662">
        <f>IF(vp.tbl[[#This Row],[CrudeType]]="C5+",1,0)</f>
        <v>0</v>
      </c>
      <c r="Z1662">
        <f>IF(AND(vp.tbl[[#This Row],[CrudeType]]="Crude",vp.tbl[[#This Row],[Dens]]&lt;=825,vp.tbl[[#This Row],[Sulf]]&gt;0.5,vp.tbl[[#This Row],[Unknown]]=0),1,0)</f>
        <v>0</v>
      </c>
      <c r="AA1662">
        <f>IF(AND(vp.tbl[[#This Row],[CrudeType]]="Crude",vp.tbl[[#This Row],[Dens]]&lt;=825,vp.tbl[[#This Row],[Sulf]]&lt;=0.5,vp.tbl[[#This Row],[Unknown]]=0),1,0)</f>
        <v>0</v>
      </c>
      <c r="AB1662">
        <f>IF(AND(vp.tbl[[#This Row],[CrudeType]]="Crude",vp.tbl[[#This Row],[Dens]]&gt;825,vp.tbl[[#This Row],[Dens]]&lt;=870,vp.tbl[[#This Row],[Sulf]]&gt;0.5,vp.tbl[[#This Row],[Unknown]]=0),1,0)</f>
        <v>0</v>
      </c>
      <c r="AC1662">
        <f>IF(AND(vp.tbl[[#This Row],[CrudeType]]="Crude",vp.tbl[[#This Row],[Dens]]&gt;825,vp.tbl[[#This Row],[Dens]]&lt;=900,vp.tbl[[#This Row],[Sulf]]&lt;=0.5,vp.tbl[[#This Row],[Unknown]]=0),1,0)</f>
        <v>0</v>
      </c>
      <c r="AD1662">
        <f>IF(AND(vp.tbl[[#This Row],[CrudeType]]="Crude",vp.tbl[[#This Row],[Dens]]&gt;870,vp.tbl[[#This Row],[Dens]]&lt;=900,vp.tbl[[#This Row],[Sulf]]&gt;0.5,vp.tbl[[#This Row],[Unknown]]=0),1,0)</f>
        <v>0</v>
      </c>
      <c r="AE1662">
        <f>IF(AND(vp.tbl[[#This Row],[CrudeType]]="Crude",vp.tbl[[#This Row],[Dens]]&gt;900,vp.tbl[[#This Row],[Sulf]]&lt;=0.5,vp.tbl[[#This Row],[Unknown]]=0),1,0)</f>
        <v>0</v>
      </c>
      <c r="AF1662">
        <f>IF(AND(vp.tbl[[#This Row],[CrudeType]]="Crude",vp.tbl[[#This Row],[Dens]]&gt;900,vp.tbl[[#This Row],[Sulf]]&lt;=0.5,vp.tbl[[#This Row],[Unknown]]=0),1,0)</f>
        <v>0</v>
      </c>
      <c r="AG1662" t="str">
        <f>INDEX(vp.tbl[[#Headers],[Unknown]:[Heavy_SW]],MATCH(1,vp.tbl[[#This Row],[Unknown]:[Heavy_SW]],0))</f>
        <v>Unknown</v>
      </c>
      <c r="AH1662" t="e">
        <f>INDEX([1]!crudeBD.lkup[Number],MATCH(vp.tbl[[#This Row],[Crude_Breakdown]],[1]!crudeBD.lkup[Crude Breakdown],0))</f>
        <v>#REF!</v>
      </c>
      <c r="AI1662">
        <f>MONTH(vp.tbl[[#This Row],[SDate]])</f>
        <v>6</v>
      </c>
      <c r="AJ1662" s="5" t="str">
        <f>IFERROR(vp.tbl[[#This Row],[Sulf]]*vp.tbl[[#This Row],[Net Dens]],"")</f>
        <v/>
      </c>
      <c r="AK1662" s="5" t="str">
        <f>IFERROR(vp.tbl[[#This Row],[Dens]]*vp.tbl[[#This Row],[VolumeM3]],"")</f>
        <v/>
      </c>
      <c r="AL1662" s="5" t="str">
        <f>IFERROR(vp.tbl[[#This Row],[VP]]*vp.tbl[[#This Row],[VolumeM3]],"")</f>
        <v/>
      </c>
      <c r="AM1662" s="4">
        <f>IFERROR((vp.tbl[[#This Row],[VP]]-INDEX(crudeBD.lkup.complete[Mean_VP],MATCH(vp.tbl[[#This Row],[Crude_Breakdown]],crudeBD.lkup.complete[Crude Breakdown],0)))^2,"")</f>
        <v>363.08780447082137</v>
      </c>
      <c r="AN1662" s="4" t="str">
        <f>IFERROR((vp.tbl[[#This Row],[Dens]]-INDEX(crudeBD.lkup.complete[Mean_Dens],MATCH(vp.tbl[[#This Row],[Crude_Breakdown]],crudeBD.lkup.complete[Crude Breakdown],0)))^2,"")</f>
        <v/>
      </c>
      <c r="AO1662" s="4" t="str">
        <f>IFERROR((vp.tbl[[#This Row],[Sulf]]-INDEX(crudeBD.lkup.complete[Mean_Sulf],MATCH(vp.tbl[[#This Row],[Crude_Breakdown]],crudeBD.lkup.complete[Crude Breakdown],0)))^2,"")</f>
        <v/>
      </c>
      <c r="AP1662">
        <f>IF(AND(vp.tbl[[#This Row],[SDate]]&gt;=DATE(YEAR(vp.tbl[[#This Row],[SDate]]),5,1),vp.tbl[[#This Row],[SDate]]&lt;=DATE(YEAR(vp.tbl[[#This Row],[SDate]]),9,15)),1,0)</f>
        <v>1</v>
      </c>
      <c r="AQ1662" s="15">
        <f>IF(vp.tbl[[#This Row],[SDate]]&lt;DATE(2016,12,1),0,1)</f>
        <v>1</v>
      </c>
    </row>
    <row r="1663" spans="1:43" x14ac:dyDescent="0.25">
      <c r="A1663">
        <v>1662</v>
      </c>
      <c r="B1663" t="s">
        <v>292</v>
      </c>
      <c r="C1663" t="s">
        <v>292</v>
      </c>
      <c r="D1663" t="s">
        <v>94</v>
      </c>
      <c r="F1663" s="1">
        <v>42900</v>
      </c>
      <c r="G1663" s="2">
        <v>72.400000000000006</v>
      </c>
      <c r="H1663" s="2"/>
      <c r="I1663" s="2" t="s">
        <v>310</v>
      </c>
      <c r="J1663" s="2"/>
      <c r="K1663" s="2"/>
      <c r="L1663" s="2"/>
      <c r="M1663" s="2" t="s">
        <v>310</v>
      </c>
      <c r="N1663" s="2">
        <f ca="1">INDEX(INDIRECT(_xlfn.CONCAT("weather.tbl[",N$1,"]")),MATCH(vp.tbl[[#This Row],[SDate]],weather.tbl[Date],0))</f>
        <v>12.950000000000001</v>
      </c>
      <c r="O1663" s="2">
        <f ca="1">INDEX(INDIRECT(_xlfn.CONCAT("weather.tbl[",O$1,"]")),MATCH(vp.tbl[[#This Row],[SDate]],weather.tbl[Date],0))</f>
        <v>16.728571428571431</v>
      </c>
      <c r="P1663" s="2">
        <f ca="1">INDEX(INDIRECT(_xlfn.CONCAT("weather.tbl[",P$1,"]")),MATCH(vp.tbl[[#This Row],[SDate]],weather.tbl[Date],0))</f>
        <v>13</v>
      </c>
      <c r="Q1663" s="2">
        <f ca="1">INDEX(INDIRECT(_xlfn.CONCAT("weather.tbl[",Q$1,"]")),MATCH(vp.tbl[[#This Row],[SDate]],weather.tbl[Date],0))</f>
        <v>12.3</v>
      </c>
      <c r="R1663" s="2">
        <f ca="1">INDEX(INDIRECT(_xlfn.CONCAT("weather.tbl[",R$1,"]")),MATCH(vp.tbl[[#This Row],[SDate]],weather.tbl[Date],0))</f>
        <v>13.3</v>
      </c>
      <c r="S1663" s="2">
        <f ca="1">INDEX(INDIRECT(_xlfn.CONCAT("weather.tbl[",S$1,"]")),MATCH(vp.tbl[[#This Row],[SDate]],weather.tbl[Date],0))</f>
        <v>12.6</v>
      </c>
      <c r="T1663" s="2">
        <f ca="1">INDEX(INDIRECT(_xlfn.CONCAT("weather.tbl[",T$1,"]")),MATCH(vp.tbl[[#This Row],[SDate]],weather.tbl[Date],0))</f>
        <v>14.7</v>
      </c>
      <c r="U1663" s="2">
        <f ca="1">INDEX(INDIRECT(_xlfn.CONCAT("weather.tbl[",U$1,"]")),MATCH(vp.tbl[[#This Row],[SDate]],weather.tbl[Date],0))</f>
        <v>11.8</v>
      </c>
      <c r="V1663" s="2" t="s">
        <v>310</v>
      </c>
      <c r="W1663" t="s">
        <v>48</v>
      </c>
      <c r="X1663">
        <f>IF(OR(vp.tbl[[#This Row],[Sulf]]="",vp.tbl[[#This Row],[Dens]]=""),1,0)</f>
        <v>1</v>
      </c>
      <c r="Y1663">
        <f>IF(vp.tbl[[#This Row],[CrudeType]]="C5+",1,0)</f>
        <v>0</v>
      </c>
      <c r="Z1663">
        <f>IF(AND(vp.tbl[[#This Row],[CrudeType]]="Crude",vp.tbl[[#This Row],[Dens]]&lt;=825,vp.tbl[[#This Row],[Sulf]]&gt;0.5,vp.tbl[[#This Row],[Unknown]]=0),1,0)</f>
        <v>0</v>
      </c>
      <c r="AA1663">
        <f>IF(AND(vp.tbl[[#This Row],[CrudeType]]="Crude",vp.tbl[[#This Row],[Dens]]&lt;=825,vp.tbl[[#This Row],[Sulf]]&lt;=0.5,vp.tbl[[#This Row],[Unknown]]=0),1,0)</f>
        <v>0</v>
      </c>
      <c r="AB1663">
        <f>IF(AND(vp.tbl[[#This Row],[CrudeType]]="Crude",vp.tbl[[#This Row],[Dens]]&gt;825,vp.tbl[[#This Row],[Dens]]&lt;=870,vp.tbl[[#This Row],[Sulf]]&gt;0.5,vp.tbl[[#This Row],[Unknown]]=0),1,0)</f>
        <v>0</v>
      </c>
      <c r="AC1663">
        <f>IF(AND(vp.tbl[[#This Row],[CrudeType]]="Crude",vp.tbl[[#This Row],[Dens]]&gt;825,vp.tbl[[#This Row],[Dens]]&lt;=900,vp.tbl[[#This Row],[Sulf]]&lt;=0.5,vp.tbl[[#This Row],[Unknown]]=0),1,0)</f>
        <v>0</v>
      </c>
      <c r="AD1663">
        <f>IF(AND(vp.tbl[[#This Row],[CrudeType]]="Crude",vp.tbl[[#This Row],[Dens]]&gt;870,vp.tbl[[#This Row],[Dens]]&lt;=900,vp.tbl[[#This Row],[Sulf]]&gt;0.5,vp.tbl[[#This Row],[Unknown]]=0),1,0)</f>
        <v>0</v>
      </c>
      <c r="AE1663">
        <f>IF(AND(vp.tbl[[#This Row],[CrudeType]]="Crude",vp.tbl[[#This Row],[Dens]]&gt;900,vp.tbl[[#This Row],[Sulf]]&lt;=0.5,vp.tbl[[#This Row],[Unknown]]=0),1,0)</f>
        <v>0</v>
      </c>
      <c r="AF1663">
        <f>IF(AND(vp.tbl[[#This Row],[CrudeType]]="Crude",vp.tbl[[#This Row],[Dens]]&gt;900,vp.tbl[[#This Row],[Sulf]]&lt;=0.5,vp.tbl[[#This Row],[Unknown]]=0),1,0)</f>
        <v>0</v>
      </c>
      <c r="AG1663" t="str">
        <f>INDEX(vp.tbl[[#Headers],[Unknown]:[Heavy_SW]],MATCH(1,vp.tbl[[#This Row],[Unknown]:[Heavy_SW]],0))</f>
        <v>Unknown</v>
      </c>
      <c r="AH1663" t="e">
        <f>INDEX([1]!crudeBD.lkup[Number],MATCH(vp.tbl[[#This Row],[Crude_Breakdown]],[1]!crudeBD.lkup[Crude Breakdown],0))</f>
        <v>#REF!</v>
      </c>
      <c r="AI1663">
        <f>MONTH(vp.tbl[[#This Row],[SDate]])</f>
        <v>6</v>
      </c>
      <c r="AJ1663" s="5" t="str">
        <f>IFERROR(vp.tbl[[#This Row],[Sulf]]*vp.tbl[[#This Row],[Net Dens]],"")</f>
        <v/>
      </c>
      <c r="AK1663" s="5" t="str">
        <f>IFERROR(vp.tbl[[#This Row],[Dens]]*vp.tbl[[#This Row],[VolumeM3]],"")</f>
        <v/>
      </c>
      <c r="AL1663" s="5" t="str">
        <f>IFERROR(vp.tbl[[#This Row],[VP]]*vp.tbl[[#This Row],[VolumeM3]],"")</f>
        <v/>
      </c>
      <c r="AM1663" s="4">
        <f>IFERROR((vp.tbl[[#This Row],[VP]]-INDEX(crudeBD.lkup.complete[Mean_VP],MATCH(vp.tbl[[#This Row],[Crude_Breakdown]],crudeBD.lkup.complete[Crude Breakdown],0)))^2,"")</f>
        <v>2.0884209091761061</v>
      </c>
      <c r="AN1663" s="4" t="str">
        <f>IFERROR((vp.tbl[[#This Row],[Dens]]-INDEX(crudeBD.lkup.complete[Mean_Dens],MATCH(vp.tbl[[#This Row],[Crude_Breakdown]],crudeBD.lkup.complete[Crude Breakdown],0)))^2,"")</f>
        <v/>
      </c>
      <c r="AO1663" s="4" t="str">
        <f>IFERROR((vp.tbl[[#This Row],[Sulf]]-INDEX(crudeBD.lkup.complete[Mean_Sulf],MATCH(vp.tbl[[#This Row],[Crude_Breakdown]],crudeBD.lkup.complete[Crude Breakdown],0)))^2,"")</f>
        <v/>
      </c>
      <c r="AP1663">
        <f>IF(AND(vp.tbl[[#This Row],[SDate]]&gt;=DATE(YEAR(vp.tbl[[#This Row],[SDate]]),5,1),vp.tbl[[#This Row],[SDate]]&lt;=DATE(YEAR(vp.tbl[[#This Row],[SDate]]),9,15)),1,0)</f>
        <v>1</v>
      </c>
      <c r="AQ1663" s="15">
        <f>IF(vp.tbl[[#This Row],[SDate]]&lt;DATE(2016,12,1),0,1)</f>
        <v>1</v>
      </c>
    </row>
    <row r="1664" spans="1:43" x14ac:dyDescent="0.25">
      <c r="A1664">
        <v>1663</v>
      </c>
      <c r="B1664" t="s">
        <v>292</v>
      </c>
      <c r="C1664" t="s">
        <v>292</v>
      </c>
      <c r="D1664" t="s">
        <v>57</v>
      </c>
      <c r="F1664" s="1">
        <v>42900</v>
      </c>
      <c r="G1664" s="2">
        <v>75.7</v>
      </c>
      <c r="H1664" s="2"/>
      <c r="I1664" s="2" t="s">
        <v>310</v>
      </c>
      <c r="J1664" s="2"/>
      <c r="K1664" s="2"/>
      <c r="L1664" s="2"/>
      <c r="M1664" s="2" t="s">
        <v>310</v>
      </c>
      <c r="N1664" s="2">
        <f ca="1">INDEX(INDIRECT(_xlfn.CONCAT("weather.tbl[",N$1,"]")),MATCH(vp.tbl[[#This Row],[SDate]],weather.tbl[Date],0))</f>
        <v>12.950000000000001</v>
      </c>
      <c r="O1664" s="2">
        <f ca="1">INDEX(INDIRECT(_xlfn.CONCAT("weather.tbl[",O$1,"]")),MATCH(vp.tbl[[#This Row],[SDate]],weather.tbl[Date],0))</f>
        <v>16.728571428571431</v>
      </c>
      <c r="P1664" s="2">
        <f ca="1">INDEX(INDIRECT(_xlfn.CONCAT("weather.tbl[",P$1,"]")),MATCH(vp.tbl[[#This Row],[SDate]],weather.tbl[Date],0))</f>
        <v>13</v>
      </c>
      <c r="Q1664" s="2">
        <f ca="1">INDEX(INDIRECT(_xlfn.CONCAT("weather.tbl[",Q$1,"]")),MATCH(vp.tbl[[#This Row],[SDate]],weather.tbl[Date],0))</f>
        <v>12.3</v>
      </c>
      <c r="R1664" s="2">
        <f ca="1">INDEX(INDIRECT(_xlfn.CONCAT("weather.tbl[",R$1,"]")),MATCH(vp.tbl[[#This Row],[SDate]],weather.tbl[Date],0))</f>
        <v>13.3</v>
      </c>
      <c r="S1664" s="2">
        <f ca="1">INDEX(INDIRECT(_xlfn.CONCAT("weather.tbl[",S$1,"]")),MATCH(vp.tbl[[#This Row],[SDate]],weather.tbl[Date],0))</f>
        <v>12.6</v>
      </c>
      <c r="T1664" s="2">
        <f ca="1">INDEX(INDIRECT(_xlfn.CONCAT("weather.tbl[",T$1,"]")),MATCH(vp.tbl[[#This Row],[SDate]],weather.tbl[Date],0))</f>
        <v>14.7</v>
      </c>
      <c r="U1664" s="2">
        <f ca="1">INDEX(INDIRECT(_xlfn.CONCAT("weather.tbl[",U$1,"]")),MATCH(vp.tbl[[#This Row],[SDate]],weather.tbl[Date],0))</f>
        <v>11.8</v>
      </c>
      <c r="V1664" s="2" t="s">
        <v>310</v>
      </c>
      <c r="W1664" t="s">
        <v>48</v>
      </c>
      <c r="X1664">
        <f>IF(OR(vp.tbl[[#This Row],[Sulf]]="",vp.tbl[[#This Row],[Dens]]=""),1,0)</f>
        <v>1</v>
      </c>
      <c r="Y1664">
        <f>IF(vp.tbl[[#This Row],[CrudeType]]="C5+",1,0)</f>
        <v>0</v>
      </c>
      <c r="Z1664">
        <f>IF(AND(vp.tbl[[#This Row],[CrudeType]]="Crude",vp.tbl[[#This Row],[Dens]]&lt;=825,vp.tbl[[#This Row],[Sulf]]&gt;0.5,vp.tbl[[#This Row],[Unknown]]=0),1,0)</f>
        <v>0</v>
      </c>
      <c r="AA1664">
        <f>IF(AND(vp.tbl[[#This Row],[CrudeType]]="Crude",vp.tbl[[#This Row],[Dens]]&lt;=825,vp.tbl[[#This Row],[Sulf]]&lt;=0.5,vp.tbl[[#This Row],[Unknown]]=0),1,0)</f>
        <v>0</v>
      </c>
      <c r="AB1664">
        <f>IF(AND(vp.tbl[[#This Row],[CrudeType]]="Crude",vp.tbl[[#This Row],[Dens]]&gt;825,vp.tbl[[#This Row],[Dens]]&lt;=870,vp.tbl[[#This Row],[Sulf]]&gt;0.5,vp.tbl[[#This Row],[Unknown]]=0),1,0)</f>
        <v>0</v>
      </c>
      <c r="AC1664">
        <f>IF(AND(vp.tbl[[#This Row],[CrudeType]]="Crude",vp.tbl[[#This Row],[Dens]]&gt;825,vp.tbl[[#This Row],[Dens]]&lt;=900,vp.tbl[[#This Row],[Sulf]]&lt;=0.5,vp.tbl[[#This Row],[Unknown]]=0),1,0)</f>
        <v>0</v>
      </c>
      <c r="AD1664">
        <f>IF(AND(vp.tbl[[#This Row],[CrudeType]]="Crude",vp.tbl[[#This Row],[Dens]]&gt;870,vp.tbl[[#This Row],[Dens]]&lt;=900,vp.tbl[[#This Row],[Sulf]]&gt;0.5,vp.tbl[[#This Row],[Unknown]]=0),1,0)</f>
        <v>0</v>
      </c>
      <c r="AE1664">
        <f>IF(AND(vp.tbl[[#This Row],[CrudeType]]="Crude",vp.tbl[[#This Row],[Dens]]&gt;900,vp.tbl[[#This Row],[Sulf]]&lt;=0.5,vp.tbl[[#This Row],[Unknown]]=0),1,0)</f>
        <v>0</v>
      </c>
      <c r="AF1664">
        <f>IF(AND(vp.tbl[[#This Row],[CrudeType]]="Crude",vp.tbl[[#This Row],[Dens]]&gt;900,vp.tbl[[#This Row],[Sulf]]&lt;=0.5,vp.tbl[[#This Row],[Unknown]]=0),1,0)</f>
        <v>0</v>
      </c>
      <c r="AG1664" t="str">
        <f>INDEX(vp.tbl[[#Headers],[Unknown]:[Heavy_SW]],MATCH(1,vp.tbl[[#This Row],[Unknown]:[Heavy_SW]],0))</f>
        <v>Unknown</v>
      </c>
      <c r="AH1664" t="e">
        <f>INDEX([1]!crudeBD.lkup[Number],MATCH(vp.tbl[[#This Row],[Crude_Breakdown]],[1]!crudeBD.lkup[Crude Breakdown],0))</f>
        <v>#REF!</v>
      </c>
      <c r="AI1664">
        <f>MONTH(vp.tbl[[#This Row],[SDate]])</f>
        <v>6</v>
      </c>
      <c r="AJ1664" s="5" t="str">
        <f>IFERROR(vp.tbl[[#This Row],[Sulf]]*vp.tbl[[#This Row],[Net Dens]],"")</f>
        <v/>
      </c>
      <c r="AK1664" s="5" t="str">
        <f>IFERROR(vp.tbl[[#This Row],[Dens]]*vp.tbl[[#This Row],[VolumeM3]],"")</f>
        <v/>
      </c>
      <c r="AL1664" s="5" t="str">
        <f>IFERROR(vp.tbl[[#This Row],[VP]]*vp.tbl[[#This Row],[VolumeM3]],"")</f>
        <v/>
      </c>
      <c r="AM1664" s="4">
        <f>IFERROR((vp.tbl[[#This Row],[VP]]-INDEX(crudeBD.lkup.complete[Mean_VP],MATCH(vp.tbl[[#This Row],[Crude_Breakdown]],crudeBD.lkup.complete[Crude Breakdown],0)))^2,"")</f>
        <v>3.4405167995872814</v>
      </c>
      <c r="AN1664" s="4" t="str">
        <f>IFERROR((vp.tbl[[#This Row],[Dens]]-INDEX(crudeBD.lkup.complete[Mean_Dens],MATCH(vp.tbl[[#This Row],[Crude_Breakdown]],crudeBD.lkup.complete[Crude Breakdown],0)))^2,"")</f>
        <v/>
      </c>
      <c r="AO1664" s="4" t="str">
        <f>IFERROR((vp.tbl[[#This Row],[Sulf]]-INDEX(crudeBD.lkup.complete[Mean_Sulf],MATCH(vp.tbl[[#This Row],[Crude_Breakdown]],crudeBD.lkup.complete[Crude Breakdown],0)))^2,"")</f>
        <v/>
      </c>
      <c r="AP1664">
        <f>IF(AND(vp.tbl[[#This Row],[SDate]]&gt;=DATE(YEAR(vp.tbl[[#This Row],[SDate]]),5,1),vp.tbl[[#This Row],[SDate]]&lt;=DATE(YEAR(vp.tbl[[#This Row],[SDate]]),9,15)),1,0)</f>
        <v>1</v>
      </c>
      <c r="AQ1664" s="15">
        <f>IF(vp.tbl[[#This Row],[SDate]]&lt;DATE(2016,12,1),0,1)</f>
        <v>1</v>
      </c>
    </row>
    <row r="1665" spans="1:43" x14ac:dyDescent="0.25">
      <c r="A1665">
        <v>1664</v>
      </c>
      <c r="B1665" t="s">
        <v>62</v>
      </c>
      <c r="C1665" t="s">
        <v>62</v>
      </c>
      <c r="D1665" t="s">
        <v>87</v>
      </c>
      <c r="F1665" s="1">
        <v>42902</v>
      </c>
      <c r="G1665" s="2">
        <v>83.6</v>
      </c>
      <c r="H1665" s="2"/>
      <c r="I1665" s="2" t="s">
        <v>310</v>
      </c>
      <c r="J1665" s="2"/>
      <c r="K1665" s="2"/>
      <c r="L1665" s="2"/>
      <c r="M1665" s="2" t="s">
        <v>310</v>
      </c>
      <c r="N1665" s="2">
        <f ca="1">INDEX(INDIRECT(_xlfn.CONCAT("weather.tbl[",N$1,"]")),MATCH(vp.tbl[[#This Row],[SDate]],weather.tbl[Date],0))</f>
        <v>14.016666666666667</v>
      </c>
      <c r="O1665" s="2">
        <f ca="1">INDEX(INDIRECT(_xlfn.CONCAT("weather.tbl[",O$1,"]")),MATCH(vp.tbl[[#This Row],[SDate]],weather.tbl[Date],0))</f>
        <v>15.654761904761903</v>
      </c>
      <c r="P1665" s="2">
        <f ca="1">INDEX(INDIRECT(_xlfn.CONCAT("weather.tbl[",P$1,"]")),MATCH(vp.tbl[[#This Row],[SDate]],weather.tbl[Date],0))</f>
        <v>15.2</v>
      </c>
      <c r="Q1665" s="2">
        <f ca="1">INDEX(INDIRECT(_xlfn.CONCAT("weather.tbl[",Q$1,"]")),MATCH(vp.tbl[[#This Row],[SDate]],weather.tbl[Date],0))</f>
        <v>13.7</v>
      </c>
      <c r="R1665" s="2">
        <f ca="1">INDEX(INDIRECT(_xlfn.CONCAT("weather.tbl[",R$1,"]")),MATCH(vp.tbl[[#This Row],[SDate]],weather.tbl[Date],0))</f>
        <v>14.3</v>
      </c>
      <c r="S1665" s="2">
        <f ca="1">INDEX(INDIRECT(_xlfn.CONCAT("weather.tbl[",S$1,"]")),MATCH(vp.tbl[[#This Row],[SDate]],weather.tbl[Date],0))</f>
        <v>13.2</v>
      </c>
      <c r="T1665" s="2">
        <f ca="1">INDEX(INDIRECT(_xlfn.CONCAT("weather.tbl[",T$1,"]")),MATCH(vp.tbl[[#This Row],[SDate]],weather.tbl[Date],0))</f>
        <v>15.2</v>
      </c>
      <c r="U1665" s="2">
        <f ca="1">INDEX(INDIRECT(_xlfn.CONCAT("weather.tbl[",U$1,"]")),MATCH(vp.tbl[[#This Row],[SDate]],weather.tbl[Date],0))</f>
        <v>12.5</v>
      </c>
      <c r="V1665" s="2" t="s">
        <v>310</v>
      </c>
      <c r="W1665" t="s">
        <v>48</v>
      </c>
      <c r="X1665">
        <f>IF(OR(vp.tbl[[#This Row],[Sulf]]="",vp.tbl[[#This Row],[Dens]]=""),1,0)</f>
        <v>1</v>
      </c>
      <c r="Y1665">
        <f>IF(vp.tbl[[#This Row],[CrudeType]]="C5+",1,0)</f>
        <v>0</v>
      </c>
      <c r="Z1665">
        <f>IF(AND(vp.tbl[[#This Row],[CrudeType]]="Crude",vp.tbl[[#This Row],[Dens]]&lt;=825,vp.tbl[[#This Row],[Sulf]]&gt;0.5,vp.tbl[[#This Row],[Unknown]]=0),1,0)</f>
        <v>0</v>
      </c>
      <c r="AA1665">
        <f>IF(AND(vp.tbl[[#This Row],[CrudeType]]="Crude",vp.tbl[[#This Row],[Dens]]&lt;=825,vp.tbl[[#This Row],[Sulf]]&lt;=0.5,vp.tbl[[#This Row],[Unknown]]=0),1,0)</f>
        <v>0</v>
      </c>
      <c r="AB1665">
        <f>IF(AND(vp.tbl[[#This Row],[CrudeType]]="Crude",vp.tbl[[#This Row],[Dens]]&gt;825,vp.tbl[[#This Row],[Dens]]&lt;=870,vp.tbl[[#This Row],[Sulf]]&gt;0.5,vp.tbl[[#This Row],[Unknown]]=0),1,0)</f>
        <v>0</v>
      </c>
      <c r="AC1665">
        <f>IF(AND(vp.tbl[[#This Row],[CrudeType]]="Crude",vp.tbl[[#This Row],[Dens]]&gt;825,vp.tbl[[#This Row],[Dens]]&lt;=900,vp.tbl[[#This Row],[Sulf]]&lt;=0.5,vp.tbl[[#This Row],[Unknown]]=0),1,0)</f>
        <v>0</v>
      </c>
      <c r="AD1665">
        <f>IF(AND(vp.tbl[[#This Row],[CrudeType]]="Crude",vp.tbl[[#This Row],[Dens]]&gt;870,vp.tbl[[#This Row],[Dens]]&lt;=900,vp.tbl[[#This Row],[Sulf]]&gt;0.5,vp.tbl[[#This Row],[Unknown]]=0),1,0)</f>
        <v>0</v>
      </c>
      <c r="AE1665">
        <f>IF(AND(vp.tbl[[#This Row],[CrudeType]]="Crude",vp.tbl[[#This Row],[Dens]]&gt;900,vp.tbl[[#This Row],[Sulf]]&lt;=0.5,vp.tbl[[#This Row],[Unknown]]=0),1,0)</f>
        <v>0</v>
      </c>
      <c r="AF1665">
        <f>IF(AND(vp.tbl[[#This Row],[CrudeType]]="Crude",vp.tbl[[#This Row],[Dens]]&gt;900,vp.tbl[[#This Row],[Sulf]]&lt;=0.5,vp.tbl[[#This Row],[Unknown]]=0),1,0)</f>
        <v>0</v>
      </c>
      <c r="AG1665" t="str">
        <f>INDEX(vp.tbl[[#Headers],[Unknown]:[Heavy_SW]],MATCH(1,vp.tbl[[#This Row],[Unknown]:[Heavy_SW]],0))</f>
        <v>Unknown</v>
      </c>
      <c r="AH1665" t="e">
        <f>INDEX([1]!crudeBD.lkup[Number],MATCH(vp.tbl[[#This Row],[Crude_Breakdown]],[1]!crudeBD.lkup[Crude Breakdown],0))</f>
        <v>#REF!</v>
      </c>
      <c r="AI1665">
        <f>MONTH(vp.tbl[[#This Row],[SDate]])</f>
        <v>6</v>
      </c>
      <c r="AJ1665" s="5" t="str">
        <f>IFERROR(vp.tbl[[#This Row],[Sulf]]*vp.tbl[[#This Row],[Net Dens]],"")</f>
        <v/>
      </c>
      <c r="AK1665" s="5" t="str">
        <f>IFERROR(vp.tbl[[#This Row],[Dens]]*vp.tbl[[#This Row],[VolumeM3]],"")</f>
        <v/>
      </c>
      <c r="AL1665" s="5" t="str">
        <f>IFERROR(vp.tbl[[#This Row],[VP]]*vp.tbl[[#This Row],[VolumeM3]],"")</f>
        <v/>
      </c>
      <c r="AM1665" s="4">
        <f>IFERROR((vp.tbl[[#This Row],[VP]]-INDEX(crudeBD.lkup.complete[Mean_VP],MATCH(vp.tbl[[#This Row],[Crude_Breakdown]],crudeBD.lkup.complete[Crude Breakdown],0)))^2,"")</f>
        <v>95.157352416025972</v>
      </c>
      <c r="AN1665" s="4" t="str">
        <f>IFERROR((vp.tbl[[#This Row],[Dens]]-INDEX(crudeBD.lkup.complete[Mean_Dens],MATCH(vp.tbl[[#This Row],[Crude_Breakdown]],crudeBD.lkup.complete[Crude Breakdown],0)))^2,"")</f>
        <v/>
      </c>
      <c r="AO1665" s="4" t="str">
        <f>IFERROR((vp.tbl[[#This Row],[Sulf]]-INDEX(crudeBD.lkup.complete[Mean_Sulf],MATCH(vp.tbl[[#This Row],[Crude_Breakdown]],crudeBD.lkup.complete[Crude Breakdown],0)))^2,"")</f>
        <v/>
      </c>
      <c r="AP1665">
        <f>IF(AND(vp.tbl[[#This Row],[SDate]]&gt;=DATE(YEAR(vp.tbl[[#This Row],[SDate]]),5,1),vp.tbl[[#This Row],[SDate]]&lt;=DATE(YEAR(vp.tbl[[#This Row],[SDate]]),9,15)),1,0)</f>
        <v>1</v>
      </c>
      <c r="AQ1665" s="15">
        <f>IF(vp.tbl[[#This Row],[SDate]]&lt;DATE(2016,12,1),0,1)</f>
        <v>1</v>
      </c>
    </row>
    <row r="1666" spans="1:43" x14ac:dyDescent="0.25">
      <c r="A1666">
        <v>1665</v>
      </c>
      <c r="B1666" t="s">
        <v>62</v>
      </c>
      <c r="C1666" t="s">
        <v>62</v>
      </c>
      <c r="D1666" t="s">
        <v>79</v>
      </c>
      <c r="F1666" s="1">
        <v>42902</v>
      </c>
      <c r="G1666" s="2">
        <v>72.5</v>
      </c>
      <c r="H1666" s="2"/>
      <c r="I1666" s="2" t="s">
        <v>310</v>
      </c>
      <c r="J1666" s="2"/>
      <c r="K1666" s="2"/>
      <c r="L1666" s="2"/>
      <c r="M1666" s="2" t="s">
        <v>310</v>
      </c>
      <c r="N1666" s="2">
        <f ca="1">INDEX(INDIRECT(_xlfn.CONCAT("weather.tbl[",N$1,"]")),MATCH(vp.tbl[[#This Row],[SDate]],weather.tbl[Date],0))</f>
        <v>14.016666666666667</v>
      </c>
      <c r="O1666" s="2">
        <f ca="1">INDEX(INDIRECT(_xlfn.CONCAT("weather.tbl[",O$1,"]")),MATCH(vp.tbl[[#This Row],[SDate]],weather.tbl[Date],0))</f>
        <v>15.654761904761903</v>
      </c>
      <c r="P1666" s="2">
        <f ca="1">INDEX(INDIRECT(_xlfn.CONCAT("weather.tbl[",P$1,"]")),MATCH(vp.tbl[[#This Row],[SDate]],weather.tbl[Date],0))</f>
        <v>15.2</v>
      </c>
      <c r="Q1666" s="2">
        <f ca="1">INDEX(INDIRECT(_xlfn.CONCAT("weather.tbl[",Q$1,"]")),MATCH(vp.tbl[[#This Row],[SDate]],weather.tbl[Date],0))</f>
        <v>13.7</v>
      </c>
      <c r="R1666" s="2">
        <f ca="1">INDEX(INDIRECT(_xlfn.CONCAT("weather.tbl[",R$1,"]")),MATCH(vp.tbl[[#This Row],[SDate]],weather.tbl[Date],0))</f>
        <v>14.3</v>
      </c>
      <c r="S1666" s="2">
        <f ca="1">INDEX(INDIRECT(_xlfn.CONCAT("weather.tbl[",S$1,"]")),MATCH(vp.tbl[[#This Row],[SDate]],weather.tbl[Date],0))</f>
        <v>13.2</v>
      </c>
      <c r="T1666" s="2">
        <f ca="1">INDEX(INDIRECT(_xlfn.CONCAT("weather.tbl[",T$1,"]")),MATCH(vp.tbl[[#This Row],[SDate]],weather.tbl[Date],0))</f>
        <v>15.2</v>
      </c>
      <c r="U1666" s="2">
        <f ca="1">INDEX(INDIRECT(_xlfn.CONCAT("weather.tbl[",U$1,"]")),MATCH(vp.tbl[[#This Row],[SDate]],weather.tbl[Date],0))</f>
        <v>12.5</v>
      </c>
      <c r="V1666" s="2" t="s">
        <v>310</v>
      </c>
      <c r="W1666" t="s">
        <v>48</v>
      </c>
      <c r="X1666">
        <f>IF(OR(vp.tbl[[#This Row],[Sulf]]="",vp.tbl[[#This Row],[Dens]]=""),1,0)</f>
        <v>1</v>
      </c>
      <c r="Y1666">
        <f>IF(vp.tbl[[#This Row],[CrudeType]]="C5+",1,0)</f>
        <v>0</v>
      </c>
      <c r="Z1666">
        <f>IF(AND(vp.tbl[[#This Row],[CrudeType]]="Crude",vp.tbl[[#This Row],[Dens]]&lt;=825,vp.tbl[[#This Row],[Sulf]]&gt;0.5,vp.tbl[[#This Row],[Unknown]]=0),1,0)</f>
        <v>0</v>
      </c>
      <c r="AA1666">
        <f>IF(AND(vp.tbl[[#This Row],[CrudeType]]="Crude",vp.tbl[[#This Row],[Dens]]&lt;=825,vp.tbl[[#This Row],[Sulf]]&lt;=0.5,vp.tbl[[#This Row],[Unknown]]=0),1,0)</f>
        <v>0</v>
      </c>
      <c r="AB1666">
        <f>IF(AND(vp.tbl[[#This Row],[CrudeType]]="Crude",vp.tbl[[#This Row],[Dens]]&gt;825,vp.tbl[[#This Row],[Dens]]&lt;=870,vp.tbl[[#This Row],[Sulf]]&gt;0.5,vp.tbl[[#This Row],[Unknown]]=0),1,0)</f>
        <v>0</v>
      </c>
      <c r="AC1666">
        <f>IF(AND(vp.tbl[[#This Row],[CrudeType]]="Crude",vp.tbl[[#This Row],[Dens]]&gt;825,vp.tbl[[#This Row],[Dens]]&lt;=900,vp.tbl[[#This Row],[Sulf]]&lt;=0.5,vp.tbl[[#This Row],[Unknown]]=0),1,0)</f>
        <v>0</v>
      </c>
      <c r="AD1666">
        <f>IF(AND(vp.tbl[[#This Row],[CrudeType]]="Crude",vp.tbl[[#This Row],[Dens]]&gt;870,vp.tbl[[#This Row],[Dens]]&lt;=900,vp.tbl[[#This Row],[Sulf]]&gt;0.5,vp.tbl[[#This Row],[Unknown]]=0),1,0)</f>
        <v>0</v>
      </c>
      <c r="AE1666">
        <f>IF(AND(vp.tbl[[#This Row],[CrudeType]]="Crude",vp.tbl[[#This Row],[Dens]]&gt;900,vp.tbl[[#This Row],[Sulf]]&lt;=0.5,vp.tbl[[#This Row],[Unknown]]=0),1,0)</f>
        <v>0</v>
      </c>
      <c r="AF1666">
        <f>IF(AND(vp.tbl[[#This Row],[CrudeType]]="Crude",vp.tbl[[#This Row],[Dens]]&gt;900,vp.tbl[[#This Row],[Sulf]]&lt;=0.5,vp.tbl[[#This Row],[Unknown]]=0),1,0)</f>
        <v>0</v>
      </c>
      <c r="AG1666" t="str">
        <f>INDEX(vp.tbl[[#Headers],[Unknown]:[Heavy_SW]],MATCH(1,vp.tbl[[#This Row],[Unknown]:[Heavy_SW]],0))</f>
        <v>Unknown</v>
      </c>
      <c r="AH1666" t="e">
        <f>INDEX([1]!crudeBD.lkup[Number],MATCH(vp.tbl[[#This Row],[Crude_Breakdown]],[1]!crudeBD.lkup[Crude Breakdown],0))</f>
        <v>#REF!</v>
      </c>
      <c r="AI1666">
        <f>MONTH(vp.tbl[[#This Row],[SDate]])</f>
        <v>6</v>
      </c>
      <c r="AJ1666" s="5" t="str">
        <f>IFERROR(vp.tbl[[#This Row],[Sulf]]*vp.tbl[[#This Row],[Net Dens]],"")</f>
        <v/>
      </c>
      <c r="AK1666" s="5" t="str">
        <f>IFERROR(vp.tbl[[#This Row],[Dens]]*vp.tbl[[#This Row],[VolumeM3]],"")</f>
        <v/>
      </c>
      <c r="AL1666" s="5" t="str">
        <f>IFERROR(vp.tbl[[#This Row],[VP]]*vp.tbl[[#This Row],[VolumeM3]],"")</f>
        <v/>
      </c>
      <c r="AM1666" s="4">
        <f>IFERROR((vp.tbl[[#This Row],[VP]]-INDEX(crudeBD.lkup.complete[Mean_VP],MATCH(vp.tbl[[#This Row],[Crude_Breakdown]],crudeBD.lkup.complete[Crude Breakdown],0)))^2,"")</f>
        <v>1.8093935119158544</v>
      </c>
      <c r="AN1666" s="4" t="str">
        <f>IFERROR((vp.tbl[[#This Row],[Dens]]-INDEX(crudeBD.lkup.complete[Mean_Dens],MATCH(vp.tbl[[#This Row],[Crude_Breakdown]],crudeBD.lkup.complete[Crude Breakdown],0)))^2,"")</f>
        <v/>
      </c>
      <c r="AO1666" s="4" t="str">
        <f>IFERROR((vp.tbl[[#This Row],[Sulf]]-INDEX(crudeBD.lkup.complete[Mean_Sulf],MATCH(vp.tbl[[#This Row],[Crude_Breakdown]],crudeBD.lkup.complete[Crude Breakdown],0)))^2,"")</f>
        <v/>
      </c>
      <c r="AP1666">
        <f>IF(AND(vp.tbl[[#This Row],[SDate]]&gt;=DATE(YEAR(vp.tbl[[#This Row],[SDate]]),5,1),vp.tbl[[#This Row],[SDate]]&lt;=DATE(YEAR(vp.tbl[[#This Row],[SDate]]),9,15)),1,0)</f>
        <v>1</v>
      </c>
      <c r="AQ1666" s="15">
        <f>IF(vp.tbl[[#This Row],[SDate]]&lt;DATE(2016,12,1),0,1)</f>
        <v>1</v>
      </c>
    </row>
    <row r="1667" spans="1:43" x14ac:dyDescent="0.25">
      <c r="A1667">
        <v>1666</v>
      </c>
      <c r="B1667" t="s">
        <v>51</v>
      </c>
      <c r="C1667" t="s">
        <v>51</v>
      </c>
      <c r="D1667" t="s">
        <v>66</v>
      </c>
      <c r="F1667" s="1">
        <v>42902</v>
      </c>
      <c r="G1667" s="2">
        <v>95.2</v>
      </c>
      <c r="H1667" s="2"/>
      <c r="I1667" s="2" t="s">
        <v>310</v>
      </c>
      <c r="J1667" s="2"/>
      <c r="K1667" s="2"/>
      <c r="L1667" s="2"/>
      <c r="M1667" s="2" t="s">
        <v>310</v>
      </c>
      <c r="N1667" s="2">
        <f ca="1">INDEX(INDIRECT(_xlfn.CONCAT("weather.tbl[",N$1,"]")),MATCH(vp.tbl[[#This Row],[SDate]],weather.tbl[Date],0))</f>
        <v>14.016666666666667</v>
      </c>
      <c r="O1667" s="2">
        <f ca="1">INDEX(INDIRECT(_xlfn.CONCAT("weather.tbl[",O$1,"]")),MATCH(vp.tbl[[#This Row],[SDate]],weather.tbl[Date],0))</f>
        <v>15.654761904761903</v>
      </c>
      <c r="P1667" s="2">
        <f ca="1">INDEX(INDIRECT(_xlfn.CONCAT("weather.tbl[",P$1,"]")),MATCH(vp.tbl[[#This Row],[SDate]],weather.tbl[Date],0))</f>
        <v>15.2</v>
      </c>
      <c r="Q1667" s="2">
        <f ca="1">INDEX(INDIRECT(_xlfn.CONCAT("weather.tbl[",Q$1,"]")),MATCH(vp.tbl[[#This Row],[SDate]],weather.tbl[Date],0))</f>
        <v>13.7</v>
      </c>
      <c r="R1667" s="2">
        <f ca="1">INDEX(INDIRECT(_xlfn.CONCAT("weather.tbl[",R$1,"]")),MATCH(vp.tbl[[#This Row],[SDate]],weather.tbl[Date],0))</f>
        <v>14.3</v>
      </c>
      <c r="S1667" s="2">
        <f ca="1">INDEX(INDIRECT(_xlfn.CONCAT("weather.tbl[",S$1,"]")),MATCH(vp.tbl[[#This Row],[SDate]],weather.tbl[Date],0))</f>
        <v>13.2</v>
      </c>
      <c r="T1667" s="2">
        <f ca="1">INDEX(INDIRECT(_xlfn.CONCAT("weather.tbl[",T$1,"]")),MATCH(vp.tbl[[#This Row],[SDate]],weather.tbl[Date],0))</f>
        <v>15.2</v>
      </c>
      <c r="U1667" s="2">
        <f ca="1">INDEX(INDIRECT(_xlfn.CONCAT("weather.tbl[",U$1,"]")),MATCH(vp.tbl[[#This Row],[SDate]],weather.tbl[Date],0))</f>
        <v>12.5</v>
      </c>
      <c r="V1667" s="2" t="s">
        <v>310</v>
      </c>
      <c r="W1667" t="s">
        <v>48</v>
      </c>
      <c r="X1667">
        <f>IF(OR(vp.tbl[[#This Row],[Sulf]]="",vp.tbl[[#This Row],[Dens]]=""),1,0)</f>
        <v>1</v>
      </c>
      <c r="Y1667">
        <f>IF(vp.tbl[[#This Row],[CrudeType]]="C5+",1,0)</f>
        <v>0</v>
      </c>
      <c r="Z1667">
        <f>IF(AND(vp.tbl[[#This Row],[CrudeType]]="Crude",vp.tbl[[#This Row],[Dens]]&lt;=825,vp.tbl[[#This Row],[Sulf]]&gt;0.5,vp.tbl[[#This Row],[Unknown]]=0),1,0)</f>
        <v>0</v>
      </c>
      <c r="AA1667">
        <f>IF(AND(vp.tbl[[#This Row],[CrudeType]]="Crude",vp.tbl[[#This Row],[Dens]]&lt;=825,vp.tbl[[#This Row],[Sulf]]&lt;=0.5,vp.tbl[[#This Row],[Unknown]]=0),1,0)</f>
        <v>0</v>
      </c>
      <c r="AB1667">
        <f>IF(AND(vp.tbl[[#This Row],[CrudeType]]="Crude",vp.tbl[[#This Row],[Dens]]&gt;825,vp.tbl[[#This Row],[Dens]]&lt;=870,vp.tbl[[#This Row],[Sulf]]&gt;0.5,vp.tbl[[#This Row],[Unknown]]=0),1,0)</f>
        <v>0</v>
      </c>
      <c r="AC1667">
        <f>IF(AND(vp.tbl[[#This Row],[CrudeType]]="Crude",vp.tbl[[#This Row],[Dens]]&gt;825,vp.tbl[[#This Row],[Dens]]&lt;=900,vp.tbl[[#This Row],[Sulf]]&lt;=0.5,vp.tbl[[#This Row],[Unknown]]=0),1,0)</f>
        <v>0</v>
      </c>
      <c r="AD1667">
        <f>IF(AND(vp.tbl[[#This Row],[CrudeType]]="Crude",vp.tbl[[#This Row],[Dens]]&gt;870,vp.tbl[[#This Row],[Dens]]&lt;=900,vp.tbl[[#This Row],[Sulf]]&gt;0.5,vp.tbl[[#This Row],[Unknown]]=0),1,0)</f>
        <v>0</v>
      </c>
      <c r="AE1667">
        <f>IF(AND(vp.tbl[[#This Row],[CrudeType]]="Crude",vp.tbl[[#This Row],[Dens]]&gt;900,vp.tbl[[#This Row],[Sulf]]&lt;=0.5,vp.tbl[[#This Row],[Unknown]]=0),1,0)</f>
        <v>0</v>
      </c>
      <c r="AF1667">
        <f>IF(AND(vp.tbl[[#This Row],[CrudeType]]="Crude",vp.tbl[[#This Row],[Dens]]&gt;900,vp.tbl[[#This Row],[Sulf]]&lt;=0.5,vp.tbl[[#This Row],[Unknown]]=0),1,0)</f>
        <v>0</v>
      </c>
      <c r="AG1667" t="str">
        <f>INDEX(vp.tbl[[#Headers],[Unknown]:[Heavy_SW]],MATCH(1,vp.tbl[[#This Row],[Unknown]:[Heavy_SW]],0))</f>
        <v>Unknown</v>
      </c>
      <c r="AH1667" t="e">
        <f>INDEX([1]!crudeBD.lkup[Number],MATCH(vp.tbl[[#This Row],[Crude_Breakdown]],[1]!crudeBD.lkup[Crude Breakdown],0))</f>
        <v>#REF!</v>
      </c>
      <c r="AI1667">
        <f>MONTH(vp.tbl[[#This Row],[SDate]])</f>
        <v>6</v>
      </c>
      <c r="AJ1667" s="5" t="str">
        <f>IFERROR(vp.tbl[[#This Row],[Sulf]]*vp.tbl[[#This Row],[Net Dens]],"")</f>
        <v/>
      </c>
      <c r="AK1667" s="5" t="str">
        <f>IFERROR(vp.tbl[[#This Row],[Dens]]*vp.tbl[[#This Row],[VolumeM3]],"")</f>
        <v/>
      </c>
      <c r="AL1667" s="5" t="str">
        <f>IFERROR(vp.tbl[[#This Row],[VP]]*vp.tbl[[#This Row],[VolumeM3]],"")</f>
        <v/>
      </c>
      <c r="AM1667" s="4">
        <f>IFERROR((vp.tbl[[#This Row],[VP]]-INDEX(crudeBD.lkup.complete[Mean_VP],MATCH(vp.tbl[[#This Row],[Crude_Breakdown]],crudeBD.lkup.complete[Crude Breakdown],0)))^2,"")</f>
        <v>456.03017433383508</v>
      </c>
      <c r="AN1667" s="4" t="str">
        <f>IFERROR((vp.tbl[[#This Row],[Dens]]-INDEX(crudeBD.lkup.complete[Mean_Dens],MATCH(vp.tbl[[#This Row],[Crude_Breakdown]],crudeBD.lkup.complete[Crude Breakdown],0)))^2,"")</f>
        <v/>
      </c>
      <c r="AO1667" s="4" t="str">
        <f>IFERROR((vp.tbl[[#This Row],[Sulf]]-INDEX(crudeBD.lkup.complete[Mean_Sulf],MATCH(vp.tbl[[#This Row],[Crude_Breakdown]],crudeBD.lkup.complete[Crude Breakdown],0)))^2,"")</f>
        <v/>
      </c>
      <c r="AP1667">
        <f>IF(AND(vp.tbl[[#This Row],[SDate]]&gt;=DATE(YEAR(vp.tbl[[#This Row],[SDate]]),5,1),vp.tbl[[#This Row],[SDate]]&lt;=DATE(YEAR(vp.tbl[[#This Row],[SDate]]),9,15)),1,0)</f>
        <v>1</v>
      </c>
      <c r="AQ1667" s="15">
        <f>IF(vp.tbl[[#This Row],[SDate]]&lt;DATE(2016,12,1),0,1)</f>
        <v>1</v>
      </c>
    </row>
    <row r="1668" spans="1:43" x14ac:dyDescent="0.25">
      <c r="A1668">
        <v>1667</v>
      </c>
      <c r="B1668" t="s">
        <v>51</v>
      </c>
      <c r="C1668" t="s">
        <v>51</v>
      </c>
      <c r="D1668" t="s">
        <v>71</v>
      </c>
      <c r="F1668" s="1">
        <v>42902</v>
      </c>
      <c r="G1668" s="2">
        <v>74.400000000000006</v>
      </c>
      <c r="H1668" s="2"/>
      <c r="I1668" s="2" t="s">
        <v>310</v>
      </c>
      <c r="J1668" s="2"/>
      <c r="K1668" s="2"/>
      <c r="L1668" s="2"/>
      <c r="M1668" s="2" t="s">
        <v>310</v>
      </c>
      <c r="N1668" s="2">
        <f ca="1">INDEX(INDIRECT(_xlfn.CONCAT("weather.tbl[",N$1,"]")),MATCH(vp.tbl[[#This Row],[SDate]],weather.tbl[Date],0))</f>
        <v>14.016666666666667</v>
      </c>
      <c r="O1668" s="2">
        <f ca="1">INDEX(INDIRECT(_xlfn.CONCAT("weather.tbl[",O$1,"]")),MATCH(vp.tbl[[#This Row],[SDate]],weather.tbl[Date],0))</f>
        <v>15.654761904761903</v>
      </c>
      <c r="P1668" s="2">
        <f ca="1">INDEX(INDIRECT(_xlfn.CONCAT("weather.tbl[",P$1,"]")),MATCH(vp.tbl[[#This Row],[SDate]],weather.tbl[Date],0))</f>
        <v>15.2</v>
      </c>
      <c r="Q1668" s="2">
        <f ca="1">INDEX(INDIRECT(_xlfn.CONCAT("weather.tbl[",Q$1,"]")),MATCH(vp.tbl[[#This Row],[SDate]],weather.tbl[Date],0))</f>
        <v>13.7</v>
      </c>
      <c r="R1668" s="2">
        <f ca="1">INDEX(INDIRECT(_xlfn.CONCAT("weather.tbl[",R$1,"]")),MATCH(vp.tbl[[#This Row],[SDate]],weather.tbl[Date],0))</f>
        <v>14.3</v>
      </c>
      <c r="S1668" s="2">
        <f ca="1">INDEX(INDIRECT(_xlfn.CONCAT("weather.tbl[",S$1,"]")),MATCH(vp.tbl[[#This Row],[SDate]],weather.tbl[Date],0))</f>
        <v>13.2</v>
      </c>
      <c r="T1668" s="2">
        <f ca="1">INDEX(INDIRECT(_xlfn.CONCAT("weather.tbl[",T$1,"]")),MATCH(vp.tbl[[#This Row],[SDate]],weather.tbl[Date],0))</f>
        <v>15.2</v>
      </c>
      <c r="U1668" s="2">
        <f ca="1">INDEX(INDIRECT(_xlfn.CONCAT("weather.tbl[",U$1,"]")),MATCH(vp.tbl[[#This Row],[SDate]],weather.tbl[Date],0))</f>
        <v>12.5</v>
      </c>
      <c r="V1668" s="2" t="s">
        <v>310</v>
      </c>
      <c r="W1668" t="s">
        <v>48</v>
      </c>
      <c r="X1668">
        <f>IF(OR(vp.tbl[[#This Row],[Sulf]]="",vp.tbl[[#This Row],[Dens]]=""),1,0)</f>
        <v>1</v>
      </c>
      <c r="Y1668">
        <f>IF(vp.tbl[[#This Row],[CrudeType]]="C5+",1,0)</f>
        <v>0</v>
      </c>
      <c r="Z1668">
        <f>IF(AND(vp.tbl[[#This Row],[CrudeType]]="Crude",vp.tbl[[#This Row],[Dens]]&lt;=825,vp.tbl[[#This Row],[Sulf]]&gt;0.5,vp.tbl[[#This Row],[Unknown]]=0),1,0)</f>
        <v>0</v>
      </c>
      <c r="AA1668">
        <f>IF(AND(vp.tbl[[#This Row],[CrudeType]]="Crude",vp.tbl[[#This Row],[Dens]]&lt;=825,vp.tbl[[#This Row],[Sulf]]&lt;=0.5,vp.tbl[[#This Row],[Unknown]]=0),1,0)</f>
        <v>0</v>
      </c>
      <c r="AB1668">
        <f>IF(AND(vp.tbl[[#This Row],[CrudeType]]="Crude",vp.tbl[[#This Row],[Dens]]&gt;825,vp.tbl[[#This Row],[Dens]]&lt;=870,vp.tbl[[#This Row],[Sulf]]&gt;0.5,vp.tbl[[#This Row],[Unknown]]=0),1,0)</f>
        <v>0</v>
      </c>
      <c r="AC1668">
        <f>IF(AND(vp.tbl[[#This Row],[CrudeType]]="Crude",vp.tbl[[#This Row],[Dens]]&gt;825,vp.tbl[[#This Row],[Dens]]&lt;=900,vp.tbl[[#This Row],[Sulf]]&lt;=0.5,vp.tbl[[#This Row],[Unknown]]=0),1,0)</f>
        <v>0</v>
      </c>
      <c r="AD1668">
        <f>IF(AND(vp.tbl[[#This Row],[CrudeType]]="Crude",vp.tbl[[#This Row],[Dens]]&gt;870,vp.tbl[[#This Row],[Dens]]&lt;=900,vp.tbl[[#This Row],[Sulf]]&gt;0.5,vp.tbl[[#This Row],[Unknown]]=0),1,0)</f>
        <v>0</v>
      </c>
      <c r="AE1668">
        <f>IF(AND(vp.tbl[[#This Row],[CrudeType]]="Crude",vp.tbl[[#This Row],[Dens]]&gt;900,vp.tbl[[#This Row],[Sulf]]&lt;=0.5,vp.tbl[[#This Row],[Unknown]]=0),1,0)</f>
        <v>0</v>
      </c>
      <c r="AF1668">
        <f>IF(AND(vp.tbl[[#This Row],[CrudeType]]="Crude",vp.tbl[[#This Row],[Dens]]&gt;900,vp.tbl[[#This Row],[Sulf]]&lt;=0.5,vp.tbl[[#This Row],[Unknown]]=0),1,0)</f>
        <v>0</v>
      </c>
      <c r="AG1668" t="str">
        <f>INDEX(vp.tbl[[#Headers],[Unknown]:[Heavy_SW]],MATCH(1,vp.tbl[[#This Row],[Unknown]:[Heavy_SW]],0))</f>
        <v>Unknown</v>
      </c>
      <c r="AH1668" t="e">
        <f>INDEX([1]!crudeBD.lkup[Number],MATCH(vp.tbl[[#This Row],[Crude_Breakdown]],[1]!crudeBD.lkup[Crude Breakdown],0))</f>
        <v>#REF!</v>
      </c>
      <c r="AI1668">
        <f>MONTH(vp.tbl[[#This Row],[SDate]])</f>
        <v>6</v>
      </c>
      <c r="AJ1668" s="5" t="str">
        <f>IFERROR(vp.tbl[[#This Row],[Sulf]]*vp.tbl[[#This Row],[Net Dens]],"")</f>
        <v/>
      </c>
      <c r="AK1668" s="5" t="str">
        <f>IFERROR(vp.tbl[[#This Row],[Dens]]*vp.tbl[[#This Row],[VolumeM3]],"")</f>
        <v/>
      </c>
      <c r="AL1668" s="5" t="str">
        <f>IFERROR(vp.tbl[[#This Row],[VP]]*vp.tbl[[#This Row],[VolumeM3]],"")</f>
        <v/>
      </c>
      <c r="AM1668" s="4">
        <f>IFERROR((vp.tbl[[#This Row],[VP]]-INDEX(crudeBD.lkup.complete[Mean_VP],MATCH(vp.tbl[[#This Row],[Crude_Breakdown]],crudeBD.lkup.complete[Crude Breakdown],0)))^2,"")</f>
        <v>0.30787296397076436</v>
      </c>
      <c r="AN1668" s="4" t="str">
        <f>IFERROR((vp.tbl[[#This Row],[Dens]]-INDEX(crudeBD.lkup.complete[Mean_Dens],MATCH(vp.tbl[[#This Row],[Crude_Breakdown]],crudeBD.lkup.complete[Crude Breakdown],0)))^2,"")</f>
        <v/>
      </c>
      <c r="AO1668" s="4" t="str">
        <f>IFERROR((vp.tbl[[#This Row],[Sulf]]-INDEX(crudeBD.lkup.complete[Mean_Sulf],MATCH(vp.tbl[[#This Row],[Crude_Breakdown]],crudeBD.lkup.complete[Crude Breakdown],0)))^2,"")</f>
        <v/>
      </c>
      <c r="AP1668">
        <f>IF(AND(vp.tbl[[#This Row],[SDate]]&gt;=DATE(YEAR(vp.tbl[[#This Row],[SDate]]),5,1),vp.tbl[[#This Row],[SDate]]&lt;=DATE(YEAR(vp.tbl[[#This Row],[SDate]]),9,15)),1,0)</f>
        <v>1</v>
      </c>
      <c r="AQ1668" s="15">
        <f>IF(vp.tbl[[#This Row],[SDate]]&lt;DATE(2016,12,1),0,1)</f>
        <v>1</v>
      </c>
    </row>
    <row r="1669" spans="1:43" x14ac:dyDescent="0.25">
      <c r="A1669">
        <v>1668</v>
      </c>
      <c r="B1669" t="s">
        <v>46</v>
      </c>
      <c r="C1669" t="s">
        <v>46</v>
      </c>
      <c r="D1669" t="s">
        <v>47</v>
      </c>
      <c r="F1669" s="1">
        <v>42905</v>
      </c>
      <c r="G1669" s="2">
        <v>52.6</v>
      </c>
      <c r="H1669" s="2"/>
      <c r="I1669" s="2" t="s">
        <v>310</v>
      </c>
      <c r="J1669" s="2"/>
      <c r="K1669" s="2"/>
      <c r="L1669" s="2"/>
      <c r="M1669" s="2" t="s">
        <v>310</v>
      </c>
      <c r="N1669" s="2">
        <f ca="1">INDEX(INDIRECT(_xlfn.CONCAT("weather.tbl[",N$1,"]")),MATCH(vp.tbl[[#This Row],[SDate]],weather.tbl[Date],0))</f>
        <v>14.799999999999999</v>
      </c>
      <c r="O1669" s="2">
        <f ca="1">INDEX(INDIRECT(_xlfn.CONCAT("weather.tbl[",O$1,"]")),MATCH(vp.tbl[[#This Row],[SDate]],weather.tbl[Date],0))</f>
        <v>14.757142857142856</v>
      </c>
      <c r="P1669" s="2">
        <f ca="1">INDEX(INDIRECT(_xlfn.CONCAT("weather.tbl[",P$1,"]")),MATCH(vp.tbl[[#This Row],[SDate]],weather.tbl[Date],0))</f>
        <v>15.1</v>
      </c>
      <c r="Q1669" s="2">
        <f ca="1">INDEX(INDIRECT(_xlfn.CONCAT("weather.tbl[",Q$1,"]")),MATCH(vp.tbl[[#This Row],[SDate]],weather.tbl[Date],0))</f>
        <v>15.4</v>
      </c>
      <c r="R1669" s="2">
        <f ca="1">INDEX(INDIRECT(_xlfn.CONCAT("weather.tbl[",R$1,"]")),MATCH(vp.tbl[[#This Row],[SDate]],weather.tbl[Date],0))</f>
        <v>14.5</v>
      </c>
      <c r="S1669" s="2">
        <f ca="1">INDEX(INDIRECT(_xlfn.CONCAT("weather.tbl[",S$1,"]")),MATCH(vp.tbl[[#This Row],[SDate]],weather.tbl[Date],0))</f>
        <v>15.2</v>
      </c>
      <c r="T1669" s="2">
        <f ca="1">INDEX(INDIRECT(_xlfn.CONCAT("weather.tbl[",T$1,"]")),MATCH(vp.tbl[[#This Row],[SDate]],weather.tbl[Date],0))</f>
        <v>14.8</v>
      </c>
      <c r="U1669" s="2">
        <f ca="1">INDEX(INDIRECT(_xlfn.CONCAT("weather.tbl[",U$1,"]")),MATCH(vp.tbl[[#This Row],[SDate]],weather.tbl[Date],0))</f>
        <v>13.8</v>
      </c>
      <c r="V1669" s="2" t="s">
        <v>310</v>
      </c>
      <c r="W1669" t="s">
        <v>48</v>
      </c>
      <c r="X1669">
        <f>IF(OR(vp.tbl[[#This Row],[Sulf]]="",vp.tbl[[#This Row],[Dens]]=""),1,0)</f>
        <v>1</v>
      </c>
      <c r="Y1669">
        <f>IF(vp.tbl[[#This Row],[CrudeType]]="C5+",1,0)</f>
        <v>0</v>
      </c>
      <c r="Z1669">
        <f>IF(AND(vp.tbl[[#This Row],[CrudeType]]="Crude",vp.tbl[[#This Row],[Dens]]&lt;=825,vp.tbl[[#This Row],[Sulf]]&gt;0.5,vp.tbl[[#This Row],[Unknown]]=0),1,0)</f>
        <v>0</v>
      </c>
      <c r="AA1669">
        <f>IF(AND(vp.tbl[[#This Row],[CrudeType]]="Crude",vp.tbl[[#This Row],[Dens]]&lt;=825,vp.tbl[[#This Row],[Sulf]]&lt;=0.5,vp.tbl[[#This Row],[Unknown]]=0),1,0)</f>
        <v>0</v>
      </c>
      <c r="AB1669">
        <f>IF(AND(vp.tbl[[#This Row],[CrudeType]]="Crude",vp.tbl[[#This Row],[Dens]]&gt;825,vp.tbl[[#This Row],[Dens]]&lt;=870,vp.tbl[[#This Row],[Sulf]]&gt;0.5,vp.tbl[[#This Row],[Unknown]]=0),1,0)</f>
        <v>0</v>
      </c>
      <c r="AC1669">
        <f>IF(AND(vp.tbl[[#This Row],[CrudeType]]="Crude",vp.tbl[[#This Row],[Dens]]&gt;825,vp.tbl[[#This Row],[Dens]]&lt;=900,vp.tbl[[#This Row],[Sulf]]&lt;=0.5,vp.tbl[[#This Row],[Unknown]]=0),1,0)</f>
        <v>0</v>
      </c>
      <c r="AD1669">
        <f>IF(AND(vp.tbl[[#This Row],[CrudeType]]="Crude",vp.tbl[[#This Row],[Dens]]&gt;870,vp.tbl[[#This Row],[Dens]]&lt;=900,vp.tbl[[#This Row],[Sulf]]&gt;0.5,vp.tbl[[#This Row],[Unknown]]=0),1,0)</f>
        <v>0</v>
      </c>
      <c r="AE1669">
        <f>IF(AND(vp.tbl[[#This Row],[CrudeType]]="Crude",vp.tbl[[#This Row],[Dens]]&gt;900,vp.tbl[[#This Row],[Sulf]]&lt;=0.5,vp.tbl[[#This Row],[Unknown]]=0),1,0)</f>
        <v>0</v>
      </c>
      <c r="AF1669">
        <f>IF(AND(vp.tbl[[#This Row],[CrudeType]]="Crude",vp.tbl[[#This Row],[Dens]]&gt;900,vp.tbl[[#This Row],[Sulf]]&lt;=0.5,vp.tbl[[#This Row],[Unknown]]=0),1,0)</f>
        <v>0</v>
      </c>
      <c r="AG1669" t="str">
        <f>INDEX(vp.tbl[[#Headers],[Unknown]:[Heavy_SW]],MATCH(1,vp.tbl[[#This Row],[Unknown]:[Heavy_SW]],0))</f>
        <v>Unknown</v>
      </c>
      <c r="AH1669" t="e">
        <f>INDEX([1]!crudeBD.lkup[Number],MATCH(vp.tbl[[#This Row],[Crude_Breakdown]],[1]!crudeBD.lkup[Crude Breakdown],0))</f>
        <v>#REF!</v>
      </c>
      <c r="AI1669">
        <f>MONTH(vp.tbl[[#This Row],[SDate]])</f>
        <v>6</v>
      </c>
      <c r="AJ1669" s="5" t="str">
        <f>IFERROR(vp.tbl[[#This Row],[Sulf]]*vp.tbl[[#This Row],[Net Dens]],"")</f>
        <v/>
      </c>
      <c r="AK1669" s="5" t="str">
        <f>IFERROR(vp.tbl[[#This Row],[Dens]]*vp.tbl[[#This Row],[VolumeM3]],"")</f>
        <v/>
      </c>
      <c r="AL1669" s="5" t="str">
        <f>IFERROR(vp.tbl[[#This Row],[VP]]*vp.tbl[[#This Row],[VolumeM3]],"")</f>
        <v/>
      </c>
      <c r="AM1669" s="4">
        <f>IFERROR((vp.tbl[[#This Row],[VP]]-INDEX(crudeBD.lkup.complete[Mean_VP],MATCH(vp.tbl[[#This Row],[Crude_Breakdown]],crudeBD.lkup.complete[Crude Breakdown],0)))^2,"")</f>
        <v>451.35584556670915</v>
      </c>
      <c r="AN1669" s="4" t="str">
        <f>IFERROR((vp.tbl[[#This Row],[Dens]]-INDEX(crudeBD.lkup.complete[Mean_Dens],MATCH(vp.tbl[[#This Row],[Crude_Breakdown]],crudeBD.lkup.complete[Crude Breakdown],0)))^2,"")</f>
        <v/>
      </c>
      <c r="AO1669" s="4" t="str">
        <f>IFERROR((vp.tbl[[#This Row],[Sulf]]-INDEX(crudeBD.lkup.complete[Mean_Sulf],MATCH(vp.tbl[[#This Row],[Crude_Breakdown]],crudeBD.lkup.complete[Crude Breakdown],0)))^2,"")</f>
        <v/>
      </c>
      <c r="AP1669">
        <f>IF(AND(vp.tbl[[#This Row],[SDate]]&gt;=DATE(YEAR(vp.tbl[[#This Row],[SDate]]),5,1),vp.tbl[[#This Row],[SDate]]&lt;=DATE(YEAR(vp.tbl[[#This Row],[SDate]]),9,15)),1,0)</f>
        <v>1</v>
      </c>
      <c r="AQ1669" s="15">
        <f>IF(vp.tbl[[#This Row],[SDate]]&lt;DATE(2016,12,1),0,1)</f>
        <v>1</v>
      </c>
    </row>
    <row r="1670" spans="1:43" x14ac:dyDescent="0.25">
      <c r="A1670">
        <v>1669</v>
      </c>
      <c r="B1670" t="s">
        <v>51</v>
      </c>
      <c r="C1670" t="s">
        <v>51</v>
      </c>
      <c r="D1670" t="s">
        <v>52</v>
      </c>
      <c r="F1670" s="1">
        <v>42905</v>
      </c>
      <c r="G1670" s="2">
        <v>67.7</v>
      </c>
      <c r="H1670" s="2"/>
      <c r="I1670" s="2" t="s">
        <v>310</v>
      </c>
      <c r="J1670" s="2"/>
      <c r="K1670" s="2"/>
      <c r="L1670" s="2"/>
      <c r="M1670" s="2" t="s">
        <v>310</v>
      </c>
      <c r="N1670" s="2">
        <f ca="1">INDEX(INDIRECT(_xlfn.CONCAT("weather.tbl[",N$1,"]")),MATCH(vp.tbl[[#This Row],[SDate]],weather.tbl[Date],0))</f>
        <v>14.799999999999999</v>
      </c>
      <c r="O1670" s="2">
        <f ca="1">INDEX(INDIRECT(_xlfn.CONCAT("weather.tbl[",O$1,"]")),MATCH(vp.tbl[[#This Row],[SDate]],weather.tbl[Date],0))</f>
        <v>14.757142857142856</v>
      </c>
      <c r="P1670" s="2">
        <f ca="1">INDEX(INDIRECT(_xlfn.CONCAT("weather.tbl[",P$1,"]")),MATCH(vp.tbl[[#This Row],[SDate]],weather.tbl[Date],0))</f>
        <v>15.1</v>
      </c>
      <c r="Q1670" s="2">
        <f ca="1">INDEX(INDIRECT(_xlfn.CONCAT("weather.tbl[",Q$1,"]")),MATCH(vp.tbl[[#This Row],[SDate]],weather.tbl[Date],0))</f>
        <v>15.4</v>
      </c>
      <c r="R1670" s="2">
        <f ca="1">INDEX(INDIRECT(_xlfn.CONCAT("weather.tbl[",R$1,"]")),MATCH(vp.tbl[[#This Row],[SDate]],weather.tbl[Date],0))</f>
        <v>14.5</v>
      </c>
      <c r="S1670" s="2">
        <f ca="1">INDEX(INDIRECT(_xlfn.CONCAT("weather.tbl[",S$1,"]")),MATCH(vp.tbl[[#This Row],[SDate]],weather.tbl[Date],0))</f>
        <v>15.2</v>
      </c>
      <c r="T1670" s="2">
        <f ca="1">INDEX(INDIRECT(_xlfn.CONCAT("weather.tbl[",T$1,"]")),MATCH(vp.tbl[[#This Row],[SDate]],weather.tbl[Date],0))</f>
        <v>14.8</v>
      </c>
      <c r="U1670" s="2">
        <f ca="1">INDEX(INDIRECT(_xlfn.CONCAT("weather.tbl[",U$1,"]")),MATCH(vp.tbl[[#This Row],[SDate]],weather.tbl[Date],0))</f>
        <v>13.8</v>
      </c>
      <c r="V1670" s="2" t="s">
        <v>310</v>
      </c>
      <c r="W1670" t="s">
        <v>48</v>
      </c>
      <c r="X1670">
        <f>IF(OR(vp.tbl[[#This Row],[Sulf]]="",vp.tbl[[#This Row],[Dens]]=""),1,0)</f>
        <v>1</v>
      </c>
      <c r="Y1670">
        <f>IF(vp.tbl[[#This Row],[CrudeType]]="C5+",1,0)</f>
        <v>0</v>
      </c>
      <c r="Z1670">
        <f>IF(AND(vp.tbl[[#This Row],[CrudeType]]="Crude",vp.tbl[[#This Row],[Dens]]&lt;=825,vp.tbl[[#This Row],[Sulf]]&gt;0.5,vp.tbl[[#This Row],[Unknown]]=0),1,0)</f>
        <v>0</v>
      </c>
      <c r="AA1670">
        <f>IF(AND(vp.tbl[[#This Row],[CrudeType]]="Crude",vp.tbl[[#This Row],[Dens]]&lt;=825,vp.tbl[[#This Row],[Sulf]]&lt;=0.5,vp.tbl[[#This Row],[Unknown]]=0),1,0)</f>
        <v>0</v>
      </c>
      <c r="AB1670">
        <f>IF(AND(vp.tbl[[#This Row],[CrudeType]]="Crude",vp.tbl[[#This Row],[Dens]]&gt;825,vp.tbl[[#This Row],[Dens]]&lt;=870,vp.tbl[[#This Row],[Sulf]]&gt;0.5,vp.tbl[[#This Row],[Unknown]]=0),1,0)</f>
        <v>0</v>
      </c>
      <c r="AC1670">
        <f>IF(AND(vp.tbl[[#This Row],[CrudeType]]="Crude",vp.tbl[[#This Row],[Dens]]&gt;825,vp.tbl[[#This Row],[Dens]]&lt;=900,vp.tbl[[#This Row],[Sulf]]&lt;=0.5,vp.tbl[[#This Row],[Unknown]]=0),1,0)</f>
        <v>0</v>
      </c>
      <c r="AD1670">
        <f>IF(AND(vp.tbl[[#This Row],[CrudeType]]="Crude",vp.tbl[[#This Row],[Dens]]&gt;870,vp.tbl[[#This Row],[Dens]]&lt;=900,vp.tbl[[#This Row],[Sulf]]&gt;0.5,vp.tbl[[#This Row],[Unknown]]=0),1,0)</f>
        <v>0</v>
      </c>
      <c r="AE1670">
        <f>IF(AND(vp.tbl[[#This Row],[CrudeType]]="Crude",vp.tbl[[#This Row],[Dens]]&gt;900,vp.tbl[[#This Row],[Sulf]]&lt;=0.5,vp.tbl[[#This Row],[Unknown]]=0),1,0)</f>
        <v>0</v>
      </c>
      <c r="AF1670">
        <f>IF(AND(vp.tbl[[#This Row],[CrudeType]]="Crude",vp.tbl[[#This Row],[Dens]]&gt;900,vp.tbl[[#This Row],[Sulf]]&lt;=0.5,vp.tbl[[#This Row],[Unknown]]=0),1,0)</f>
        <v>0</v>
      </c>
      <c r="AG1670" t="str">
        <f>INDEX(vp.tbl[[#Headers],[Unknown]:[Heavy_SW]],MATCH(1,vp.tbl[[#This Row],[Unknown]:[Heavy_SW]],0))</f>
        <v>Unknown</v>
      </c>
      <c r="AH1670" t="e">
        <f>INDEX([1]!crudeBD.lkup[Number],MATCH(vp.tbl[[#This Row],[Crude_Breakdown]],[1]!crudeBD.lkup[Crude Breakdown],0))</f>
        <v>#REF!</v>
      </c>
      <c r="AI1670">
        <f>MONTH(vp.tbl[[#This Row],[SDate]])</f>
        <v>6</v>
      </c>
      <c r="AJ1670" s="5" t="str">
        <f>IFERROR(vp.tbl[[#This Row],[Sulf]]*vp.tbl[[#This Row],[Net Dens]],"")</f>
        <v/>
      </c>
      <c r="AK1670" s="5" t="str">
        <f>IFERROR(vp.tbl[[#This Row],[Dens]]*vp.tbl[[#This Row],[VolumeM3]],"")</f>
        <v/>
      </c>
      <c r="AL1670" s="5" t="str">
        <f>IFERROR(vp.tbl[[#This Row],[VP]]*vp.tbl[[#This Row],[VolumeM3]],"")</f>
        <v/>
      </c>
      <c r="AM1670" s="4">
        <f>IFERROR((vp.tbl[[#This Row],[VP]]-INDEX(crudeBD.lkup.complete[Mean_VP],MATCH(vp.tbl[[#This Row],[Crude_Breakdown]],crudeBD.lkup.complete[Crude Breakdown],0)))^2,"")</f>
        <v>37.762708580408692</v>
      </c>
      <c r="AN1670" s="4" t="str">
        <f>IFERROR((vp.tbl[[#This Row],[Dens]]-INDEX(crudeBD.lkup.complete[Mean_Dens],MATCH(vp.tbl[[#This Row],[Crude_Breakdown]],crudeBD.lkup.complete[Crude Breakdown],0)))^2,"")</f>
        <v/>
      </c>
      <c r="AO1670" s="4" t="str">
        <f>IFERROR((vp.tbl[[#This Row],[Sulf]]-INDEX(crudeBD.lkup.complete[Mean_Sulf],MATCH(vp.tbl[[#This Row],[Crude_Breakdown]],crudeBD.lkup.complete[Crude Breakdown],0)))^2,"")</f>
        <v/>
      </c>
      <c r="AP1670">
        <f>IF(AND(vp.tbl[[#This Row],[SDate]]&gt;=DATE(YEAR(vp.tbl[[#This Row],[SDate]]),5,1),vp.tbl[[#This Row],[SDate]]&lt;=DATE(YEAR(vp.tbl[[#This Row],[SDate]]),9,15)),1,0)</f>
        <v>1</v>
      </c>
      <c r="AQ1670" s="15">
        <f>IF(vp.tbl[[#This Row],[SDate]]&lt;DATE(2016,12,1),0,1)</f>
        <v>1</v>
      </c>
    </row>
    <row r="1671" spans="1:43" x14ac:dyDescent="0.25">
      <c r="A1671">
        <v>1670</v>
      </c>
      <c r="B1671" t="s">
        <v>49</v>
      </c>
      <c r="C1671" t="s">
        <v>49</v>
      </c>
      <c r="D1671" t="s">
        <v>50</v>
      </c>
      <c r="F1671" s="1">
        <v>42905</v>
      </c>
      <c r="G1671" s="2">
        <v>68.400000000000006</v>
      </c>
      <c r="H1671" s="2"/>
      <c r="I1671" s="2" t="s">
        <v>310</v>
      </c>
      <c r="J1671" s="2"/>
      <c r="K1671" s="2"/>
      <c r="L1671" s="2"/>
      <c r="M1671" s="2" t="s">
        <v>310</v>
      </c>
      <c r="N1671" s="2">
        <f ca="1">INDEX(INDIRECT(_xlfn.CONCAT("weather.tbl[",N$1,"]")),MATCH(vp.tbl[[#This Row],[SDate]],weather.tbl[Date],0))</f>
        <v>14.799999999999999</v>
      </c>
      <c r="O1671" s="2">
        <f ca="1">INDEX(INDIRECT(_xlfn.CONCAT("weather.tbl[",O$1,"]")),MATCH(vp.tbl[[#This Row],[SDate]],weather.tbl[Date],0))</f>
        <v>14.757142857142856</v>
      </c>
      <c r="P1671" s="2">
        <f ca="1">INDEX(INDIRECT(_xlfn.CONCAT("weather.tbl[",P$1,"]")),MATCH(vp.tbl[[#This Row],[SDate]],weather.tbl[Date],0))</f>
        <v>15.1</v>
      </c>
      <c r="Q1671" s="2">
        <f ca="1">INDEX(INDIRECT(_xlfn.CONCAT("weather.tbl[",Q$1,"]")),MATCH(vp.tbl[[#This Row],[SDate]],weather.tbl[Date],0))</f>
        <v>15.4</v>
      </c>
      <c r="R1671" s="2">
        <f ca="1">INDEX(INDIRECT(_xlfn.CONCAT("weather.tbl[",R$1,"]")),MATCH(vp.tbl[[#This Row],[SDate]],weather.tbl[Date],0))</f>
        <v>14.5</v>
      </c>
      <c r="S1671" s="2">
        <f ca="1">INDEX(INDIRECT(_xlfn.CONCAT("weather.tbl[",S$1,"]")),MATCH(vp.tbl[[#This Row],[SDate]],weather.tbl[Date],0))</f>
        <v>15.2</v>
      </c>
      <c r="T1671" s="2">
        <f ca="1">INDEX(INDIRECT(_xlfn.CONCAT("weather.tbl[",T$1,"]")),MATCH(vp.tbl[[#This Row],[SDate]],weather.tbl[Date],0))</f>
        <v>14.8</v>
      </c>
      <c r="U1671" s="2">
        <f ca="1">INDEX(INDIRECT(_xlfn.CONCAT("weather.tbl[",U$1,"]")),MATCH(vp.tbl[[#This Row],[SDate]],weather.tbl[Date],0))</f>
        <v>13.8</v>
      </c>
      <c r="V1671" s="2" t="s">
        <v>310</v>
      </c>
      <c r="W1671" t="s">
        <v>48</v>
      </c>
      <c r="X1671">
        <f>IF(OR(vp.tbl[[#This Row],[Sulf]]="",vp.tbl[[#This Row],[Dens]]=""),1,0)</f>
        <v>1</v>
      </c>
      <c r="Y1671">
        <f>IF(vp.tbl[[#This Row],[CrudeType]]="C5+",1,0)</f>
        <v>0</v>
      </c>
      <c r="Z1671">
        <f>IF(AND(vp.tbl[[#This Row],[CrudeType]]="Crude",vp.tbl[[#This Row],[Dens]]&lt;=825,vp.tbl[[#This Row],[Sulf]]&gt;0.5,vp.tbl[[#This Row],[Unknown]]=0),1,0)</f>
        <v>0</v>
      </c>
      <c r="AA1671">
        <f>IF(AND(vp.tbl[[#This Row],[CrudeType]]="Crude",vp.tbl[[#This Row],[Dens]]&lt;=825,vp.tbl[[#This Row],[Sulf]]&lt;=0.5,vp.tbl[[#This Row],[Unknown]]=0),1,0)</f>
        <v>0</v>
      </c>
      <c r="AB1671">
        <f>IF(AND(vp.tbl[[#This Row],[CrudeType]]="Crude",vp.tbl[[#This Row],[Dens]]&gt;825,vp.tbl[[#This Row],[Dens]]&lt;=870,vp.tbl[[#This Row],[Sulf]]&gt;0.5,vp.tbl[[#This Row],[Unknown]]=0),1,0)</f>
        <v>0</v>
      </c>
      <c r="AC1671">
        <f>IF(AND(vp.tbl[[#This Row],[CrudeType]]="Crude",vp.tbl[[#This Row],[Dens]]&gt;825,vp.tbl[[#This Row],[Dens]]&lt;=900,vp.tbl[[#This Row],[Sulf]]&lt;=0.5,vp.tbl[[#This Row],[Unknown]]=0),1,0)</f>
        <v>0</v>
      </c>
      <c r="AD1671">
        <f>IF(AND(vp.tbl[[#This Row],[CrudeType]]="Crude",vp.tbl[[#This Row],[Dens]]&gt;870,vp.tbl[[#This Row],[Dens]]&lt;=900,vp.tbl[[#This Row],[Sulf]]&gt;0.5,vp.tbl[[#This Row],[Unknown]]=0),1,0)</f>
        <v>0</v>
      </c>
      <c r="AE1671">
        <f>IF(AND(vp.tbl[[#This Row],[CrudeType]]="Crude",vp.tbl[[#This Row],[Dens]]&gt;900,vp.tbl[[#This Row],[Sulf]]&lt;=0.5,vp.tbl[[#This Row],[Unknown]]=0),1,0)</f>
        <v>0</v>
      </c>
      <c r="AF1671">
        <f>IF(AND(vp.tbl[[#This Row],[CrudeType]]="Crude",vp.tbl[[#This Row],[Dens]]&gt;900,vp.tbl[[#This Row],[Sulf]]&lt;=0.5,vp.tbl[[#This Row],[Unknown]]=0),1,0)</f>
        <v>0</v>
      </c>
      <c r="AG1671" t="str">
        <f>INDEX(vp.tbl[[#Headers],[Unknown]:[Heavy_SW]],MATCH(1,vp.tbl[[#This Row],[Unknown]:[Heavy_SW]],0))</f>
        <v>Unknown</v>
      </c>
      <c r="AH1671" t="e">
        <f>INDEX([1]!crudeBD.lkup[Number],MATCH(vp.tbl[[#This Row],[Crude_Breakdown]],[1]!crudeBD.lkup[Crude Breakdown],0))</f>
        <v>#REF!</v>
      </c>
      <c r="AI1671">
        <f>MONTH(vp.tbl[[#This Row],[SDate]])</f>
        <v>6</v>
      </c>
      <c r="AJ1671" s="5" t="str">
        <f>IFERROR(vp.tbl[[#This Row],[Sulf]]*vp.tbl[[#This Row],[Net Dens]],"")</f>
        <v/>
      </c>
      <c r="AK1671" s="5" t="str">
        <f>IFERROR(vp.tbl[[#This Row],[Dens]]*vp.tbl[[#This Row],[VolumeM3]],"")</f>
        <v/>
      </c>
      <c r="AL1671" s="5" t="str">
        <f>IFERROR(vp.tbl[[#This Row],[VP]]*vp.tbl[[#This Row],[VolumeM3]],"")</f>
        <v/>
      </c>
      <c r="AM1671" s="4">
        <f>IFERROR((vp.tbl[[#This Row],[VP]]-INDEX(crudeBD.lkup.complete[Mean_VP],MATCH(vp.tbl[[#This Row],[Crude_Breakdown]],crudeBD.lkup.complete[Crude Breakdown],0)))^2,"")</f>
        <v>29.649516799586792</v>
      </c>
      <c r="AN1671" s="4" t="str">
        <f>IFERROR((vp.tbl[[#This Row],[Dens]]-INDEX(crudeBD.lkup.complete[Mean_Dens],MATCH(vp.tbl[[#This Row],[Crude_Breakdown]],crudeBD.lkup.complete[Crude Breakdown],0)))^2,"")</f>
        <v/>
      </c>
      <c r="AO1671" s="4" t="str">
        <f>IFERROR((vp.tbl[[#This Row],[Sulf]]-INDEX(crudeBD.lkup.complete[Mean_Sulf],MATCH(vp.tbl[[#This Row],[Crude_Breakdown]],crudeBD.lkup.complete[Crude Breakdown],0)))^2,"")</f>
        <v/>
      </c>
      <c r="AP1671">
        <f>IF(AND(vp.tbl[[#This Row],[SDate]]&gt;=DATE(YEAR(vp.tbl[[#This Row],[SDate]]),5,1),vp.tbl[[#This Row],[SDate]]&lt;=DATE(YEAR(vp.tbl[[#This Row],[SDate]]),9,15)),1,0)</f>
        <v>1</v>
      </c>
      <c r="AQ1671" s="15">
        <f>IF(vp.tbl[[#This Row],[SDate]]&lt;DATE(2016,12,1),0,1)</f>
        <v>1</v>
      </c>
    </row>
    <row r="1672" spans="1:43" x14ac:dyDescent="0.25">
      <c r="A1672">
        <v>1671</v>
      </c>
      <c r="B1672" t="s">
        <v>111</v>
      </c>
      <c r="C1672" t="s">
        <v>111</v>
      </c>
      <c r="D1672" t="s">
        <v>112</v>
      </c>
      <c r="F1672" s="1">
        <v>42905</v>
      </c>
      <c r="G1672" s="2">
        <v>71.3</v>
      </c>
      <c r="H1672" s="2"/>
      <c r="I1672" s="2" t="s">
        <v>310</v>
      </c>
      <c r="J1672" s="2"/>
      <c r="K1672" s="2"/>
      <c r="L1672" s="2"/>
      <c r="M1672" s="2" t="s">
        <v>310</v>
      </c>
      <c r="N1672" s="2">
        <f ca="1">INDEX(INDIRECT(_xlfn.CONCAT("weather.tbl[",N$1,"]")),MATCH(vp.tbl[[#This Row],[SDate]],weather.tbl[Date],0))</f>
        <v>14.799999999999999</v>
      </c>
      <c r="O1672" s="2">
        <f ca="1">INDEX(INDIRECT(_xlfn.CONCAT("weather.tbl[",O$1,"]")),MATCH(vp.tbl[[#This Row],[SDate]],weather.tbl[Date],0))</f>
        <v>14.757142857142856</v>
      </c>
      <c r="P1672" s="2">
        <f ca="1">INDEX(INDIRECT(_xlfn.CONCAT("weather.tbl[",P$1,"]")),MATCH(vp.tbl[[#This Row],[SDate]],weather.tbl[Date],0))</f>
        <v>15.1</v>
      </c>
      <c r="Q1672" s="2">
        <f ca="1">INDEX(INDIRECT(_xlfn.CONCAT("weather.tbl[",Q$1,"]")),MATCH(vp.tbl[[#This Row],[SDate]],weather.tbl[Date],0))</f>
        <v>15.4</v>
      </c>
      <c r="R1672" s="2">
        <f ca="1">INDEX(INDIRECT(_xlfn.CONCAT("weather.tbl[",R$1,"]")),MATCH(vp.tbl[[#This Row],[SDate]],weather.tbl[Date],0))</f>
        <v>14.5</v>
      </c>
      <c r="S1672" s="2">
        <f ca="1">INDEX(INDIRECT(_xlfn.CONCAT("weather.tbl[",S$1,"]")),MATCH(vp.tbl[[#This Row],[SDate]],weather.tbl[Date],0))</f>
        <v>15.2</v>
      </c>
      <c r="T1672" s="2">
        <f ca="1">INDEX(INDIRECT(_xlfn.CONCAT("weather.tbl[",T$1,"]")),MATCH(vp.tbl[[#This Row],[SDate]],weather.tbl[Date],0))</f>
        <v>14.8</v>
      </c>
      <c r="U1672" s="2">
        <f ca="1">INDEX(INDIRECT(_xlfn.CONCAT("weather.tbl[",U$1,"]")),MATCH(vp.tbl[[#This Row],[SDate]],weather.tbl[Date],0))</f>
        <v>13.8</v>
      </c>
      <c r="V1672" s="2" t="s">
        <v>310</v>
      </c>
      <c r="W1672" t="s">
        <v>48</v>
      </c>
      <c r="X1672">
        <f>IF(OR(vp.tbl[[#This Row],[Sulf]]="",vp.tbl[[#This Row],[Dens]]=""),1,0)</f>
        <v>1</v>
      </c>
      <c r="Y1672">
        <f>IF(vp.tbl[[#This Row],[CrudeType]]="C5+",1,0)</f>
        <v>0</v>
      </c>
      <c r="Z1672">
        <f>IF(AND(vp.tbl[[#This Row],[CrudeType]]="Crude",vp.tbl[[#This Row],[Dens]]&lt;=825,vp.tbl[[#This Row],[Sulf]]&gt;0.5,vp.tbl[[#This Row],[Unknown]]=0),1,0)</f>
        <v>0</v>
      </c>
      <c r="AA1672">
        <f>IF(AND(vp.tbl[[#This Row],[CrudeType]]="Crude",vp.tbl[[#This Row],[Dens]]&lt;=825,vp.tbl[[#This Row],[Sulf]]&lt;=0.5,vp.tbl[[#This Row],[Unknown]]=0),1,0)</f>
        <v>0</v>
      </c>
      <c r="AB1672">
        <f>IF(AND(vp.tbl[[#This Row],[CrudeType]]="Crude",vp.tbl[[#This Row],[Dens]]&gt;825,vp.tbl[[#This Row],[Dens]]&lt;=870,vp.tbl[[#This Row],[Sulf]]&gt;0.5,vp.tbl[[#This Row],[Unknown]]=0),1,0)</f>
        <v>0</v>
      </c>
      <c r="AC1672">
        <f>IF(AND(vp.tbl[[#This Row],[CrudeType]]="Crude",vp.tbl[[#This Row],[Dens]]&gt;825,vp.tbl[[#This Row],[Dens]]&lt;=900,vp.tbl[[#This Row],[Sulf]]&lt;=0.5,vp.tbl[[#This Row],[Unknown]]=0),1,0)</f>
        <v>0</v>
      </c>
      <c r="AD1672">
        <f>IF(AND(vp.tbl[[#This Row],[CrudeType]]="Crude",vp.tbl[[#This Row],[Dens]]&gt;870,vp.tbl[[#This Row],[Dens]]&lt;=900,vp.tbl[[#This Row],[Sulf]]&gt;0.5,vp.tbl[[#This Row],[Unknown]]=0),1,0)</f>
        <v>0</v>
      </c>
      <c r="AE1672">
        <f>IF(AND(vp.tbl[[#This Row],[CrudeType]]="Crude",vp.tbl[[#This Row],[Dens]]&gt;900,vp.tbl[[#This Row],[Sulf]]&lt;=0.5,vp.tbl[[#This Row],[Unknown]]=0),1,0)</f>
        <v>0</v>
      </c>
      <c r="AF1672">
        <f>IF(AND(vp.tbl[[#This Row],[CrudeType]]="Crude",vp.tbl[[#This Row],[Dens]]&gt;900,vp.tbl[[#This Row],[Sulf]]&lt;=0.5,vp.tbl[[#This Row],[Unknown]]=0),1,0)</f>
        <v>0</v>
      </c>
      <c r="AG1672" t="str">
        <f>INDEX(vp.tbl[[#Headers],[Unknown]:[Heavy_SW]],MATCH(1,vp.tbl[[#This Row],[Unknown]:[Heavy_SW]],0))</f>
        <v>Unknown</v>
      </c>
      <c r="AH1672" t="e">
        <f>INDEX([1]!crudeBD.lkup[Number],MATCH(vp.tbl[[#This Row],[Crude_Breakdown]],[1]!crudeBD.lkup[Crude Breakdown],0))</f>
        <v>#REF!</v>
      </c>
      <c r="AI1672">
        <f>MONTH(vp.tbl[[#This Row],[SDate]])</f>
        <v>6</v>
      </c>
      <c r="AJ1672" s="5" t="str">
        <f>IFERROR(vp.tbl[[#This Row],[Sulf]]*vp.tbl[[#This Row],[Net Dens]],"")</f>
        <v/>
      </c>
      <c r="AK1672" s="5" t="str">
        <f>IFERROR(vp.tbl[[#This Row],[Dens]]*vp.tbl[[#This Row],[VolumeM3]],"")</f>
        <v/>
      </c>
      <c r="AL1672" s="5" t="str">
        <f>IFERROR(vp.tbl[[#This Row],[VP]]*vp.tbl[[#This Row],[VolumeM3]],"")</f>
        <v/>
      </c>
      <c r="AM1672" s="4">
        <f>IFERROR((vp.tbl[[#This Row],[VP]]-INDEX(crudeBD.lkup.complete[Mean_VP],MATCH(vp.tbl[[#This Row],[Crude_Breakdown]],crudeBD.lkup.complete[Crude Breakdown],0)))^2,"")</f>
        <v>6.4777222790390878</v>
      </c>
      <c r="AN1672" s="4" t="str">
        <f>IFERROR((vp.tbl[[#This Row],[Dens]]-INDEX(crudeBD.lkup.complete[Mean_Dens],MATCH(vp.tbl[[#This Row],[Crude_Breakdown]],crudeBD.lkup.complete[Crude Breakdown],0)))^2,"")</f>
        <v/>
      </c>
      <c r="AO1672" s="4" t="str">
        <f>IFERROR((vp.tbl[[#This Row],[Sulf]]-INDEX(crudeBD.lkup.complete[Mean_Sulf],MATCH(vp.tbl[[#This Row],[Crude_Breakdown]],crudeBD.lkup.complete[Crude Breakdown],0)))^2,"")</f>
        <v/>
      </c>
      <c r="AP1672">
        <f>IF(AND(vp.tbl[[#This Row],[SDate]]&gt;=DATE(YEAR(vp.tbl[[#This Row],[SDate]]),5,1),vp.tbl[[#This Row],[SDate]]&lt;=DATE(YEAR(vp.tbl[[#This Row],[SDate]]),9,15)),1,0)</f>
        <v>1</v>
      </c>
      <c r="AQ1672" s="15">
        <f>IF(vp.tbl[[#This Row],[SDate]]&lt;DATE(2016,12,1),0,1)</f>
        <v>1</v>
      </c>
    </row>
    <row r="1673" spans="1:43" x14ac:dyDescent="0.25">
      <c r="A1673">
        <v>1672</v>
      </c>
      <c r="B1673" t="s">
        <v>111</v>
      </c>
      <c r="C1673" t="s">
        <v>111</v>
      </c>
      <c r="D1673" t="s">
        <v>234</v>
      </c>
      <c r="F1673" s="1">
        <v>42905</v>
      </c>
      <c r="G1673" s="2">
        <v>65.400000000000006</v>
      </c>
      <c r="H1673" s="2"/>
      <c r="I1673" s="2" t="s">
        <v>310</v>
      </c>
      <c r="J1673" s="2"/>
      <c r="K1673" s="2"/>
      <c r="L1673" s="2"/>
      <c r="M1673" s="2" t="s">
        <v>310</v>
      </c>
      <c r="N1673" s="2">
        <f ca="1">INDEX(INDIRECT(_xlfn.CONCAT("weather.tbl[",N$1,"]")),MATCH(vp.tbl[[#This Row],[SDate]],weather.tbl[Date],0))</f>
        <v>14.799999999999999</v>
      </c>
      <c r="O1673" s="2">
        <f ca="1">INDEX(INDIRECT(_xlfn.CONCAT("weather.tbl[",O$1,"]")),MATCH(vp.tbl[[#This Row],[SDate]],weather.tbl[Date],0))</f>
        <v>14.757142857142856</v>
      </c>
      <c r="P1673" s="2">
        <f ca="1">INDEX(INDIRECT(_xlfn.CONCAT("weather.tbl[",P$1,"]")),MATCH(vp.tbl[[#This Row],[SDate]],weather.tbl[Date],0))</f>
        <v>15.1</v>
      </c>
      <c r="Q1673" s="2">
        <f ca="1">INDEX(INDIRECT(_xlfn.CONCAT("weather.tbl[",Q$1,"]")),MATCH(vp.tbl[[#This Row],[SDate]],weather.tbl[Date],0))</f>
        <v>15.4</v>
      </c>
      <c r="R1673" s="2">
        <f ca="1">INDEX(INDIRECT(_xlfn.CONCAT("weather.tbl[",R$1,"]")),MATCH(vp.tbl[[#This Row],[SDate]],weather.tbl[Date],0))</f>
        <v>14.5</v>
      </c>
      <c r="S1673" s="2">
        <f ca="1">INDEX(INDIRECT(_xlfn.CONCAT("weather.tbl[",S$1,"]")),MATCH(vp.tbl[[#This Row],[SDate]],weather.tbl[Date],0))</f>
        <v>15.2</v>
      </c>
      <c r="T1673" s="2">
        <f ca="1">INDEX(INDIRECT(_xlfn.CONCAT("weather.tbl[",T$1,"]")),MATCH(vp.tbl[[#This Row],[SDate]],weather.tbl[Date],0))</f>
        <v>14.8</v>
      </c>
      <c r="U1673" s="2">
        <f ca="1">INDEX(INDIRECT(_xlfn.CONCAT("weather.tbl[",U$1,"]")),MATCH(vp.tbl[[#This Row],[SDate]],weather.tbl[Date],0))</f>
        <v>13.8</v>
      </c>
      <c r="V1673" s="2" t="s">
        <v>310</v>
      </c>
      <c r="W1673" t="s">
        <v>48</v>
      </c>
      <c r="X1673">
        <f>IF(OR(vp.tbl[[#This Row],[Sulf]]="",vp.tbl[[#This Row],[Dens]]=""),1,0)</f>
        <v>1</v>
      </c>
      <c r="Y1673">
        <f>IF(vp.tbl[[#This Row],[CrudeType]]="C5+",1,0)</f>
        <v>0</v>
      </c>
      <c r="Z1673">
        <f>IF(AND(vp.tbl[[#This Row],[CrudeType]]="Crude",vp.tbl[[#This Row],[Dens]]&lt;=825,vp.tbl[[#This Row],[Sulf]]&gt;0.5,vp.tbl[[#This Row],[Unknown]]=0),1,0)</f>
        <v>0</v>
      </c>
      <c r="AA1673">
        <f>IF(AND(vp.tbl[[#This Row],[CrudeType]]="Crude",vp.tbl[[#This Row],[Dens]]&lt;=825,vp.tbl[[#This Row],[Sulf]]&lt;=0.5,vp.tbl[[#This Row],[Unknown]]=0),1,0)</f>
        <v>0</v>
      </c>
      <c r="AB1673">
        <f>IF(AND(vp.tbl[[#This Row],[CrudeType]]="Crude",vp.tbl[[#This Row],[Dens]]&gt;825,vp.tbl[[#This Row],[Dens]]&lt;=870,vp.tbl[[#This Row],[Sulf]]&gt;0.5,vp.tbl[[#This Row],[Unknown]]=0),1,0)</f>
        <v>0</v>
      </c>
      <c r="AC1673">
        <f>IF(AND(vp.tbl[[#This Row],[CrudeType]]="Crude",vp.tbl[[#This Row],[Dens]]&gt;825,vp.tbl[[#This Row],[Dens]]&lt;=900,vp.tbl[[#This Row],[Sulf]]&lt;=0.5,vp.tbl[[#This Row],[Unknown]]=0),1,0)</f>
        <v>0</v>
      </c>
      <c r="AD1673">
        <f>IF(AND(vp.tbl[[#This Row],[CrudeType]]="Crude",vp.tbl[[#This Row],[Dens]]&gt;870,vp.tbl[[#This Row],[Dens]]&lt;=900,vp.tbl[[#This Row],[Sulf]]&gt;0.5,vp.tbl[[#This Row],[Unknown]]=0),1,0)</f>
        <v>0</v>
      </c>
      <c r="AE1673">
        <f>IF(AND(vp.tbl[[#This Row],[CrudeType]]="Crude",vp.tbl[[#This Row],[Dens]]&gt;900,vp.tbl[[#This Row],[Sulf]]&lt;=0.5,vp.tbl[[#This Row],[Unknown]]=0),1,0)</f>
        <v>0</v>
      </c>
      <c r="AF1673">
        <f>IF(AND(vp.tbl[[#This Row],[CrudeType]]="Crude",vp.tbl[[#This Row],[Dens]]&gt;900,vp.tbl[[#This Row],[Sulf]]&lt;=0.5,vp.tbl[[#This Row],[Unknown]]=0),1,0)</f>
        <v>0</v>
      </c>
      <c r="AG1673" t="str">
        <f>INDEX(vp.tbl[[#Headers],[Unknown]:[Heavy_SW]],MATCH(1,vp.tbl[[#This Row],[Unknown]:[Heavy_SW]],0))</f>
        <v>Unknown</v>
      </c>
      <c r="AH1673" t="e">
        <f>INDEX([1]!crudeBD.lkup[Number],MATCH(vp.tbl[[#This Row],[Crude_Breakdown]],[1]!crudeBD.lkup[Crude Breakdown],0))</f>
        <v>#REF!</v>
      </c>
      <c r="AI1673">
        <f>MONTH(vp.tbl[[#This Row],[SDate]])</f>
        <v>6</v>
      </c>
      <c r="AJ1673" s="5" t="str">
        <f>IFERROR(vp.tbl[[#This Row],[Sulf]]*vp.tbl[[#This Row],[Net Dens]],"")</f>
        <v/>
      </c>
      <c r="AK1673" s="5" t="str">
        <f>IFERROR(vp.tbl[[#This Row],[Dens]]*vp.tbl[[#This Row],[VolumeM3]],"")</f>
        <v/>
      </c>
      <c r="AL1673" s="5" t="str">
        <f>IFERROR(vp.tbl[[#This Row],[VP]]*vp.tbl[[#This Row],[VolumeM3]],"")</f>
        <v/>
      </c>
      <c r="AM1673" s="4">
        <f>IFERROR((vp.tbl[[#This Row],[VP]]-INDEX(crudeBD.lkup.complete[Mean_VP],MATCH(vp.tbl[[#This Row],[Crude_Breakdown]],crudeBD.lkup.complete[Crude Breakdown],0)))^2,"")</f>
        <v>71.320338717394804</v>
      </c>
      <c r="AN1673" s="4" t="str">
        <f>IFERROR((vp.tbl[[#This Row],[Dens]]-INDEX(crudeBD.lkup.complete[Mean_Dens],MATCH(vp.tbl[[#This Row],[Crude_Breakdown]],crudeBD.lkup.complete[Crude Breakdown],0)))^2,"")</f>
        <v/>
      </c>
      <c r="AO1673" s="4" t="str">
        <f>IFERROR((vp.tbl[[#This Row],[Sulf]]-INDEX(crudeBD.lkup.complete[Mean_Sulf],MATCH(vp.tbl[[#This Row],[Crude_Breakdown]],crudeBD.lkup.complete[Crude Breakdown],0)))^2,"")</f>
        <v/>
      </c>
      <c r="AP1673">
        <f>IF(AND(vp.tbl[[#This Row],[SDate]]&gt;=DATE(YEAR(vp.tbl[[#This Row],[SDate]]),5,1),vp.tbl[[#This Row],[SDate]]&lt;=DATE(YEAR(vp.tbl[[#This Row],[SDate]]),9,15)),1,0)</f>
        <v>1</v>
      </c>
      <c r="AQ1673" s="15">
        <f>IF(vp.tbl[[#This Row],[SDate]]&lt;DATE(2016,12,1),0,1)</f>
        <v>1</v>
      </c>
    </row>
    <row r="1674" spans="1:43" x14ac:dyDescent="0.25">
      <c r="A1674">
        <v>1673</v>
      </c>
      <c r="B1674" t="s">
        <v>292</v>
      </c>
      <c r="C1674" t="s">
        <v>292</v>
      </c>
      <c r="D1674" t="s">
        <v>94</v>
      </c>
      <c r="F1674" s="1">
        <v>42905</v>
      </c>
      <c r="G1674" s="2">
        <v>68.099999999999994</v>
      </c>
      <c r="H1674" s="2"/>
      <c r="I1674" s="2" t="s">
        <v>310</v>
      </c>
      <c r="J1674" s="2"/>
      <c r="K1674" s="2"/>
      <c r="L1674" s="2"/>
      <c r="M1674" s="2" t="s">
        <v>310</v>
      </c>
      <c r="N1674" s="2">
        <f ca="1">INDEX(INDIRECT(_xlfn.CONCAT("weather.tbl[",N$1,"]")),MATCH(vp.tbl[[#This Row],[SDate]],weather.tbl[Date],0))</f>
        <v>14.799999999999999</v>
      </c>
      <c r="O1674" s="2">
        <f ca="1">INDEX(INDIRECT(_xlfn.CONCAT("weather.tbl[",O$1,"]")),MATCH(vp.tbl[[#This Row],[SDate]],weather.tbl[Date],0))</f>
        <v>14.757142857142856</v>
      </c>
      <c r="P1674" s="2">
        <f ca="1">INDEX(INDIRECT(_xlfn.CONCAT("weather.tbl[",P$1,"]")),MATCH(vp.tbl[[#This Row],[SDate]],weather.tbl[Date],0))</f>
        <v>15.1</v>
      </c>
      <c r="Q1674" s="2">
        <f ca="1">INDEX(INDIRECT(_xlfn.CONCAT("weather.tbl[",Q$1,"]")),MATCH(vp.tbl[[#This Row],[SDate]],weather.tbl[Date],0))</f>
        <v>15.4</v>
      </c>
      <c r="R1674" s="2">
        <f ca="1">INDEX(INDIRECT(_xlfn.CONCAT("weather.tbl[",R$1,"]")),MATCH(vp.tbl[[#This Row],[SDate]],weather.tbl[Date],0))</f>
        <v>14.5</v>
      </c>
      <c r="S1674" s="2">
        <f ca="1">INDEX(INDIRECT(_xlfn.CONCAT("weather.tbl[",S$1,"]")),MATCH(vp.tbl[[#This Row],[SDate]],weather.tbl[Date],0))</f>
        <v>15.2</v>
      </c>
      <c r="T1674" s="2">
        <f ca="1">INDEX(INDIRECT(_xlfn.CONCAT("weather.tbl[",T$1,"]")),MATCH(vp.tbl[[#This Row],[SDate]],weather.tbl[Date],0))</f>
        <v>14.8</v>
      </c>
      <c r="U1674" s="2">
        <f ca="1">INDEX(INDIRECT(_xlfn.CONCAT("weather.tbl[",U$1,"]")),MATCH(vp.tbl[[#This Row],[SDate]],weather.tbl[Date],0))</f>
        <v>13.8</v>
      </c>
      <c r="V1674" s="2" t="s">
        <v>310</v>
      </c>
      <c r="W1674" t="s">
        <v>48</v>
      </c>
      <c r="X1674">
        <f>IF(OR(vp.tbl[[#This Row],[Sulf]]="",vp.tbl[[#This Row],[Dens]]=""),1,0)</f>
        <v>1</v>
      </c>
      <c r="Y1674">
        <f>IF(vp.tbl[[#This Row],[CrudeType]]="C5+",1,0)</f>
        <v>0</v>
      </c>
      <c r="Z1674">
        <f>IF(AND(vp.tbl[[#This Row],[CrudeType]]="Crude",vp.tbl[[#This Row],[Dens]]&lt;=825,vp.tbl[[#This Row],[Sulf]]&gt;0.5,vp.tbl[[#This Row],[Unknown]]=0),1,0)</f>
        <v>0</v>
      </c>
      <c r="AA1674">
        <f>IF(AND(vp.tbl[[#This Row],[CrudeType]]="Crude",vp.tbl[[#This Row],[Dens]]&lt;=825,vp.tbl[[#This Row],[Sulf]]&lt;=0.5,vp.tbl[[#This Row],[Unknown]]=0),1,0)</f>
        <v>0</v>
      </c>
      <c r="AB1674">
        <f>IF(AND(vp.tbl[[#This Row],[CrudeType]]="Crude",vp.tbl[[#This Row],[Dens]]&gt;825,vp.tbl[[#This Row],[Dens]]&lt;=870,vp.tbl[[#This Row],[Sulf]]&gt;0.5,vp.tbl[[#This Row],[Unknown]]=0),1,0)</f>
        <v>0</v>
      </c>
      <c r="AC1674">
        <f>IF(AND(vp.tbl[[#This Row],[CrudeType]]="Crude",vp.tbl[[#This Row],[Dens]]&gt;825,vp.tbl[[#This Row],[Dens]]&lt;=900,vp.tbl[[#This Row],[Sulf]]&lt;=0.5,vp.tbl[[#This Row],[Unknown]]=0),1,0)</f>
        <v>0</v>
      </c>
      <c r="AD1674">
        <f>IF(AND(vp.tbl[[#This Row],[CrudeType]]="Crude",vp.tbl[[#This Row],[Dens]]&gt;870,vp.tbl[[#This Row],[Dens]]&lt;=900,vp.tbl[[#This Row],[Sulf]]&gt;0.5,vp.tbl[[#This Row],[Unknown]]=0),1,0)</f>
        <v>0</v>
      </c>
      <c r="AE1674">
        <f>IF(AND(vp.tbl[[#This Row],[CrudeType]]="Crude",vp.tbl[[#This Row],[Dens]]&gt;900,vp.tbl[[#This Row],[Sulf]]&lt;=0.5,vp.tbl[[#This Row],[Unknown]]=0),1,0)</f>
        <v>0</v>
      </c>
      <c r="AF1674">
        <f>IF(AND(vp.tbl[[#This Row],[CrudeType]]="Crude",vp.tbl[[#This Row],[Dens]]&gt;900,vp.tbl[[#This Row],[Sulf]]&lt;=0.5,vp.tbl[[#This Row],[Unknown]]=0),1,0)</f>
        <v>0</v>
      </c>
      <c r="AG1674" t="str">
        <f>INDEX(vp.tbl[[#Headers],[Unknown]:[Heavy_SW]],MATCH(1,vp.tbl[[#This Row],[Unknown]:[Heavy_SW]],0))</f>
        <v>Unknown</v>
      </c>
      <c r="AH1674" t="e">
        <f>INDEX([1]!crudeBD.lkup[Number],MATCH(vp.tbl[[#This Row],[Crude_Breakdown]],[1]!crudeBD.lkup[Crude Breakdown],0))</f>
        <v>#REF!</v>
      </c>
      <c r="AI1674">
        <f>MONTH(vp.tbl[[#This Row],[SDate]])</f>
        <v>6</v>
      </c>
      <c r="AJ1674" s="5" t="str">
        <f>IFERROR(vp.tbl[[#This Row],[Sulf]]*vp.tbl[[#This Row],[Net Dens]],"")</f>
        <v/>
      </c>
      <c r="AK1674" s="5" t="str">
        <f>IFERROR(vp.tbl[[#This Row],[Dens]]*vp.tbl[[#This Row],[VolumeM3]],"")</f>
        <v/>
      </c>
      <c r="AL1674" s="5" t="str">
        <f>IFERROR(vp.tbl[[#This Row],[VP]]*vp.tbl[[#This Row],[VolumeM3]],"")</f>
        <v/>
      </c>
      <c r="AM1674" s="4">
        <f>IFERROR((vp.tbl[[#This Row],[VP]]-INDEX(crudeBD.lkup.complete[Mean_VP],MATCH(vp.tbl[[#This Row],[Crude_Breakdown]],crudeBD.lkup.complete[Crude Breakdown],0)))^2,"")</f>
        <v>33.006598991367724</v>
      </c>
      <c r="AN1674" s="4" t="str">
        <f>IFERROR((vp.tbl[[#This Row],[Dens]]-INDEX(crudeBD.lkup.complete[Mean_Dens],MATCH(vp.tbl[[#This Row],[Crude_Breakdown]],crudeBD.lkup.complete[Crude Breakdown],0)))^2,"")</f>
        <v/>
      </c>
      <c r="AO1674" s="4" t="str">
        <f>IFERROR((vp.tbl[[#This Row],[Sulf]]-INDEX(crudeBD.lkup.complete[Mean_Sulf],MATCH(vp.tbl[[#This Row],[Crude_Breakdown]],crudeBD.lkup.complete[Crude Breakdown],0)))^2,"")</f>
        <v/>
      </c>
      <c r="AP1674">
        <f>IF(AND(vp.tbl[[#This Row],[SDate]]&gt;=DATE(YEAR(vp.tbl[[#This Row],[SDate]]),5,1),vp.tbl[[#This Row],[SDate]]&lt;=DATE(YEAR(vp.tbl[[#This Row],[SDate]]),9,15)),1,0)</f>
        <v>1</v>
      </c>
      <c r="AQ1674" s="15">
        <f>IF(vp.tbl[[#This Row],[SDate]]&lt;DATE(2016,12,1),0,1)</f>
        <v>1</v>
      </c>
    </row>
    <row r="1675" spans="1:43" x14ac:dyDescent="0.25">
      <c r="A1675">
        <v>1674</v>
      </c>
      <c r="B1675" t="s">
        <v>49</v>
      </c>
      <c r="C1675" t="s">
        <v>49</v>
      </c>
      <c r="D1675" t="s">
        <v>78</v>
      </c>
      <c r="F1675" s="1">
        <v>42905</v>
      </c>
      <c r="G1675" s="2">
        <v>73.599999999999994</v>
      </c>
      <c r="H1675" s="2"/>
      <c r="I1675" s="2" t="s">
        <v>310</v>
      </c>
      <c r="J1675" s="2"/>
      <c r="K1675" s="2"/>
      <c r="L1675" s="2"/>
      <c r="M1675" s="2" t="s">
        <v>310</v>
      </c>
      <c r="N1675" s="2">
        <f ca="1">INDEX(INDIRECT(_xlfn.CONCAT("weather.tbl[",N$1,"]")),MATCH(vp.tbl[[#This Row],[SDate]],weather.tbl[Date],0))</f>
        <v>14.799999999999999</v>
      </c>
      <c r="O1675" s="2">
        <f ca="1">INDEX(INDIRECT(_xlfn.CONCAT("weather.tbl[",O$1,"]")),MATCH(vp.tbl[[#This Row],[SDate]],weather.tbl[Date],0))</f>
        <v>14.757142857142856</v>
      </c>
      <c r="P1675" s="2">
        <f ca="1">INDEX(INDIRECT(_xlfn.CONCAT("weather.tbl[",P$1,"]")),MATCH(vp.tbl[[#This Row],[SDate]],weather.tbl[Date],0))</f>
        <v>15.1</v>
      </c>
      <c r="Q1675" s="2">
        <f ca="1">INDEX(INDIRECT(_xlfn.CONCAT("weather.tbl[",Q$1,"]")),MATCH(vp.tbl[[#This Row],[SDate]],weather.tbl[Date],0))</f>
        <v>15.4</v>
      </c>
      <c r="R1675" s="2">
        <f ca="1">INDEX(INDIRECT(_xlfn.CONCAT("weather.tbl[",R$1,"]")),MATCH(vp.tbl[[#This Row],[SDate]],weather.tbl[Date],0))</f>
        <v>14.5</v>
      </c>
      <c r="S1675" s="2">
        <f ca="1">INDEX(INDIRECT(_xlfn.CONCAT("weather.tbl[",S$1,"]")),MATCH(vp.tbl[[#This Row],[SDate]],weather.tbl[Date],0))</f>
        <v>15.2</v>
      </c>
      <c r="T1675" s="2">
        <f ca="1">INDEX(INDIRECT(_xlfn.CONCAT("weather.tbl[",T$1,"]")),MATCH(vp.tbl[[#This Row],[SDate]],weather.tbl[Date],0))</f>
        <v>14.8</v>
      </c>
      <c r="U1675" s="2">
        <f ca="1">INDEX(INDIRECT(_xlfn.CONCAT("weather.tbl[",U$1,"]")),MATCH(vp.tbl[[#This Row],[SDate]],weather.tbl[Date],0))</f>
        <v>13.8</v>
      </c>
      <c r="V1675" s="2" t="s">
        <v>310</v>
      </c>
      <c r="W1675" t="s">
        <v>48</v>
      </c>
      <c r="X1675">
        <f>IF(OR(vp.tbl[[#This Row],[Sulf]]="",vp.tbl[[#This Row],[Dens]]=""),1,0)</f>
        <v>1</v>
      </c>
      <c r="Y1675">
        <f>IF(vp.tbl[[#This Row],[CrudeType]]="C5+",1,0)</f>
        <v>0</v>
      </c>
      <c r="Z1675">
        <f>IF(AND(vp.tbl[[#This Row],[CrudeType]]="Crude",vp.tbl[[#This Row],[Dens]]&lt;=825,vp.tbl[[#This Row],[Sulf]]&gt;0.5,vp.tbl[[#This Row],[Unknown]]=0),1,0)</f>
        <v>0</v>
      </c>
      <c r="AA1675">
        <f>IF(AND(vp.tbl[[#This Row],[CrudeType]]="Crude",vp.tbl[[#This Row],[Dens]]&lt;=825,vp.tbl[[#This Row],[Sulf]]&lt;=0.5,vp.tbl[[#This Row],[Unknown]]=0),1,0)</f>
        <v>0</v>
      </c>
      <c r="AB1675">
        <f>IF(AND(vp.tbl[[#This Row],[CrudeType]]="Crude",vp.tbl[[#This Row],[Dens]]&gt;825,vp.tbl[[#This Row],[Dens]]&lt;=870,vp.tbl[[#This Row],[Sulf]]&gt;0.5,vp.tbl[[#This Row],[Unknown]]=0),1,0)</f>
        <v>0</v>
      </c>
      <c r="AC1675">
        <f>IF(AND(vp.tbl[[#This Row],[CrudeType]]="Crude",vp.tbl[[#This Row],[Dens]]&gt;825,vp.tbl[[#This Row],[Dens]]&lt;=900,vp.tbl[[#This Row],[Sulf]]&lt;=0.5,vp.tbl[[#This Row],[Unknown]]=0),1,0)</f>
        <v>0</v>
      </c>
      <c r="AD1675">
        <f>IF(AND(vp.tbl[[#This Row],[CrudeType]]="Crude",vp.tbl[[#This Row],[Dens]]&gt;870,vp.tbl[[#This Row],[Dens]]&lt;=900,vp.tbl[[#This Row],[Sulf]]&gt;0.5,vp.tbl[[#This Row],[Unknown]]=0),1,0)</f>
        <v>0</v>
      </c>
      <c r="AE1675">
        <f>IF(AND(vp.tbl[[#This Row],[CrudeType]]="Crude",vp.tbl[[#This Row],[Dens]]&gt;900,vp.tbl[[#This Row],[Sulf]]&lt;=0.5,vp.tbl[[#This Row],[Unknown]]=0),1,0)</f>
        <v>0</v>
      </c>
      <c r="AF1675">
        <f>IF(AND(vp.tbl[[#This Row],[CrudeType]]="Crude",vp.tbl[[#This Row],[Dens]]&gt;900,vp.tbl[[#This Row],[Sulf]]&lt;=0.5,vp.tbl[[#This Row],[Unknown]]=0),1,0)</f>
        <v>0</v>
      </c>
      <c r="AG1675" t="str">
        <f>INDEX(vp.tbl[[#Headers],[Unknown]:[Heavy_SW]],MATCH(1,vp.tbl[[#This Row],[Unknown]:[Heavy_SW]],0))</f>
        <v>Unknown</v>
      </c>
      <c r="AH1675" t="e">
        <f>INDEX([1]!crudeBD.lkup[Number],MATCH(vp.tbl[[#This Row],[Crude_Breakdown]],[1]!crudeBD.lkup[Crude Breakdown],0))</f>
        <v>#REF!</v>
      </c>
      <c r="AI1675">
        <f>MONTH(vp.tbl[[#This Row],[SDate]])</f>
        <v>6</v>
      </c>
      <c r="AJ1675" s="5" t="str">
        <f>IFERROR(vp.tbl[[#This Row],[Sulf]]*vp.tbl[[#This Row],[Net Dens]],"")</f>
        <v/>
      </c>
      <c r="AK1675" s="5" t="str">
        <f>IFERROR(vp.tbl[[#This Row],[Dens]]*vp.tbl[[#This Row],[VolumeM3]],"")</f>
        <v/>
      </c>
      <c r="AL1675" s="5" t="str">
        <f>IFERROR(vp.tbl[[#This Row],[VP]]*vp.tbl[[#This Row],[VolumeM3]],"")</f>
        <v/>
      </c>
      <c r="AM1675" s="4">
        <f>IFERROR((vp.tbl[[#This Row],[VP]]-INDEX(crudeBD.lkup.complete[Mean_VP],MATCH(vp.tbl[[#This Row],[Crude_Breakdown]],crudeBD.lkup.complete[Crude Breakdown],0)))^2,"")</f>
        <v>6.0092142052906708E-2</v>
      </c>
      <c r="AN1675" s="4" t="str">
        <f>IFERROR((vp.tbl[[#This Row],[Dens]]-INDEX(crudeBD.lkup.complete[Mean_Dens],MATCH(vp.tbl[[#This Row],[Crude_Breakdown]],crudeBD.lkup.complete[Crude Breakdown],0)))^2,"")</f>
        <v/>
      </c>
      <c r="AO1675" s="4" t="str">
        <f>IFERROR((vp.tbl[[#This Row],[Sulf]]-INDEX(crudeBD.lkup.complete[Mean_Sulf],MATCH(vp.tbl[[#This Row],[Crude_Breakdown]],crudeBD.lkup.complete[Crude Breakdown],0)))^2,"")</f>
        <v/>
      </c>
      <c r="AP1675">
        <f>IF(AND(vp.tbl[[#This Row],[SDate]]&gt;=DATE(YEAR(vp.tbl[[#This Row],[SDate]]),5,1),vp.tbl[[#This Row],[SDate]]&lt;=DATE(YEAR(vp.tbl[[#This Row],[SDate]]),9,15)),1,0)</f>
        <v>1</v>
      </c>
      <c r="AQ1675" s="15">
        <f>IF(vp.tbl[[#This Row],[SDate]]&lt;DATE(2016,12,1),0,1)</f>
        <v>1</v>
      </c>
    </row>
    <row r="1676" spans="1:43" x14ac:dyDescent="0.25">
      <c r="A1676">
        <v>1675</v>
      </c>
      <c r="B1676" t="s">
        <v>49</v>
      </c>
      <c r="C1676" t="s">
        <v>49</v>
      </c>
      <c r="D1676" t="s">
        <v>92</v>
      </c>
      <c r="F1676" s="1">
        <v>42905</v>
      </c>
      <c r="G1676" s="2">
        <v>70.400000000000006</v>
      </c>
      <c r="H1676" s="2"/>
      <c r="I1676" s="2" t="s">
        <v>310</v>
      </c>
      <c r="J1676" s="2"/>
      <c r="K1676" s="2"/>
      <c r="L1676" s="2"/>
      <c r="M1676" s="2" t="s">
        <v>310</v>
      </c>
      <c r="N1676" s="2">
        <f ca="1">INDEX(INDIRECT(_xlfn.CONCAT("weather.tbl[",N$1,"]")),MATCH(vp.tbl[[#This Row],[SDate]],weather.tbl[Date],0))</f>
        <v>14.799999999999999</v>
      </c>
      <c r="O1676" s="2">
        <f ca="1">INDEX(INDIRECT(_xlfn.CONCAT("weather.tbl[",O$1,"]")),MATCH(vp.tbl[[#This Row],[SDate]],weather.tbl[Date],0))</f>
        <v>14.757142857142856</v>
      </c>
      <c r="P1676" s="2">
        <f ca="1">INDEX(INDIRECT(_xlfn.CONCAT("weather.tbl[",P$1,"]")),MATCH(vp.tbl[[#This Row],[SDate]],weather.tbl[Date],0))</f>
        <v>15.1</v>
      </c>
      <c r="Q1676" s="2">
        <f ca="1">INDEX(INDIRECT(_xlfn.CONCAT("weather.tbl[",Q$1,"]")),MATCH(vp.tbl[[#This Row],[SDate]],weather.tbl[Date],0))</f>
        <v>15.4</v>
      </c>
      <c r="R1676" s="2">
        <f ca="1">INDEX(INDIRECT(_xlfn.CONCAT("weather.tbl[",R$1,"]")),MATCH(vp.tbl[[#This Row],[SDate]],weather.tbl[Date],0))</f>
        <v>14.5</v>
      </c>
      <c r="S1676" s="2">
        <f ca="1">INDEX(INDIRECT(_xlfn.CONCAT("weather.tbl[",S$1,"]")),MATCH(vp.tbl[[#This Row],[SDate]],weather.tbl[Date],0))</f>
        <v>15.2</v>
      </c>
      <c r="T1676" s="2">
        <f ca="1">INDEX(INDIRECT(_xlfn.CONCAT("weather.tbl[",T$1,"]")),MATCH(vp.tbl[[#This Row],[SDate]],weather.tbl[Date],0))</f>
        <v>14.8</v>
      </c>
      <c r="U1676" s="2">
        <f ca="1">INDEX(INDIRECT(_xlfn.CONCAT("weather.tbl[",U$1,"]")),MATCH(vp.tbl[[#This Row],[SDate]],weather.tbl[Date],0))</f>
        <v>13.8</v>
      </c>
      <c r="V1676" s="2" t="s">
        <v>310</v>
      </c>
      <c r="W1676" t="s">
        <v>48</v>
      </c>
      <c r="X1676">
        <f>IF(OR(vp.tbl[[#This Row],[Sulf]]="",vp.tbl[[#This Row],[Dens]]=""),1,0)</f>
        <v>1</v>
      </c>
      <c r="Y1676">
        <f>IF(vp.tbl[[#This Row],[CrudeType]]="C5+",1,0)</f>
        <v>0</v>
      </c>
      <c r="Z1676">
        <f>IF(AND(vp.tbl[[#This Row],[CrudeType]]="Crude",vp.tbl[[#This Row],[Dens]]&lt;=825,vp.tbl[[#This Row],[Sulf]]&gt;0.5,vp.tbl[[#This Row],[Unknown]]=0),1,0)</f>
        <v>0</v>
      </c>
      <c r="AA1676">
        <f>IF(AND(vp.tbl[[#This Row],[CrudeType]]="Crude",vp.tbl[[#This Row],[Dens]]&lt;=825,vp.tbl[[#This Row],[Sulf]]&lt;=0.5,vp.tbl[[#This Row],[Unknown]]=0),1,0)</f>
        <v>0</v>
      </c>
      <c r="AB1676">
        <f>IF(AND(vp.tbl[[#This Row],[CrudeType]]="Crude",vp.tbl[[#This Row],[Dens]]&gt;825,vp.tbl[[#This Row],[Dens]]&lt;=870,vp.tbl[[#This Row],[Sulf]]&gt;0.5,vp.tbl[[#This Row],[Unknown]]=0),1,0)</f>
        <v>0</v>
      </c>
      <c r="AC1676">
        <f>IF(AND(vp.tbl[[#This Row],[CrudeType]]="Crude",vp.tbl[[#This Row],[Dens]]&gt;825,vp.tbl[[#This Row],[Dens]]&lt;=900,vp.tbl[[#This Row],[Sulf]]&lt;=0.5,vp.tbl[[#This Row],[Unknown]]=0),1,0)</f>
        <v>0</v>
      </c>
      <c r="AD1676">
        <f>IF(AND(vp.tbl[[#This Row],[CrudeType]]="Crude",vp.tbl[[#This Row],[Dens]]&gt;870,vp.tbl[[#This Row],[Dens]]&lt;=900,vp.tbl[[#This Row],[Sulf]]&gt;0.5,vp.tbl[[#This Row],[Unknown]]=0),1,0)</f>
        <v>0</v>
      </c>
      <c r="AE1676">
        <f>IF(AND(vp.tbl[[#This Row],[CrudeType]]="Crude",vp.tbl[[#This Row],[Dens]]&gt;900,vp.tbl[[#This Row],[Sulf]]&lt;=0.5,vp.tbl[[#This Row],[Unknown]]=0),1,0)</f>
        <v>0</v>
      </c>
      <c r="AF1676">
        <f>IF(AND(vp.tbl[[#This Row],[CrudeType]]="Crude",vp.tbl[[#This Row],[Dens]]&gt;900,vp.tbl[[#This Row],[Sulf]]&lt;=0.5,vp.tbl[[#This Row],[Unknown]]=0),1,0)</f>
        <v>0</v>
      </c>
      <c r="AG1676" t="str">
        <f>INDEX(vp.tbl[[#Headers],[Unknown]:[Heavy_SW]],MATCH(1,vp.tbl[[#This Row],[Unknown]:[Heavy_SW]],0))</f>
        <v>Unknown</v>
      </c>
      <c r="AH1676" t="e">
        <f>INDEX([1]!crudeBD.lkup[Number],MATCH(vp.tbl[[#This Row],[Crude_Breakdown]],[1]!crudeBD.lkup[Crude Breakdown],0))</f>
        <v>#REF!</v>
      </c>
      <c r="AI1676">
        <f>MONTH(vp.tbl[[#This Row],[SDate]])</f>
        <v>6</v>
      </c>
      <c r="AJ1676" s="5" t="str">
        <f>IFERROR(vp.tbl[[#This Row],[Sulf]]*vp.tbl[[#This Row],[Net Dens]],"")</f>
        <v/>
      </c>
      <c r="AK1676" s="5" t="str">
        <f>IFERROR(vp.tbl[[#This Row],[Dens]]*vp.tbl[[#This Row],[VolumeM3]],"")</f>
        <v/>
      </c>
      <c r="AL1676" s="5" t="str">
        <f>IFERROR(vp.tbl[[#This Row],[VP]]*vp.tbl[[#This Row],[VolumeM3]],"")</f>
        <v/>
      </c>
      <c r="AM1676" s="4">
        <f>IFERROR((vp.tbl[[#This Row],[VP]]-INDEX(crudeBD.lkup.complete[Mean_VP],MATCH(vp.tbl[[#This Row],[Crude_Breakdown]],crudeBD.lkup.complete[Crude Breakdown],0)))^2,"")</f>
        <v>11.868968854381448</v>
      </c>
      <c r="AN1676" s="4" t="str">
        <f>IFERROR((vp.tbl[[#This Row],[Dens]]-INDEX(crudeBD.lkup.complete[Mean_Dens],MATCH(vp.tbl[[#This Row],[Crude_Breakdown]],crudeBD.lkup.complete[Crude Breakdown],0)))^2,"")</f>
        <v/>
      </c>
      <c r="AO1676" s="4" t="str">
        <f>IFERROR((vp.tbl[[#This Row],[Sulf]]-INDEX(crudeBD.lkup.complete[Mean_Sulf],MATCH(vp.tbl[[#This Row],[Crude_Breakdown]],crudeBD.lkup.complete[Crude Breakdown],0)))^2,"")</f>
        <v/>
      </c>
      <c r="AP1676">
        <f>IF(AND(vp.tbl[[#This Row],[SDate]]&gt;=DATE(YEAR(vp.tbl[[#This Row],[SDate]]),5,1),vp.tbl[[#This Row],[SDate]]&lt;=DATE(YEAR(vp.tbl[[#This Row],[SDate]]),9,15)),1,0)</f>
        <v>1</v>
      </c>
      <c r="AQ1676" s="15">
        <f>IF(vp.tbl[[#This Row],[SDate]]&lt;DATE(2016,12,1),0,1)</f>
        <v>1</v>
      </c>
    </row>
    <row r="1677" spans="1:43" x14ac:dyDescent="0.25">
      <c r="A1677">
        <v>1676</v>
      </c>
      <c r="B1677" t="s">
        <v>51</v>
      </c>
      <c r="C1677" t="s">
        <v>51</v>
      </c>
      <c r="D1677" t="s">
        <v>58</v>
      </c>
      <c r="F1677" s="1">
        <v>42905</v>
      </c>
      <c r="G1677" s="2">
        <v>70</v>
      </c>
      <c r="H1677" s="2"/>
      <c r="I1677" s="2" t="s">
        <v>310</v>
      </c>
      <c r="J1677" s="2"/>
      <c r="K1677" s="2"/>
      <c r="L1677" s="2"/>
      <c r="M1677" s="2" t="s">
        <v>310</v>
      </c>
      <c r="N1677" s="2">
        <f ca="1">INDEX(INDIRECT(_xlfn.CONCAT("weather.tbl[",N$1,"]")),MATCH(vp.tbl[[#This Row],[SDate]],weather.tbl[Date],0))</f>
        <v>14.799999999999999</v>
      </c>
      <c r="O1677" s="2">
        <f ca="1">INDEX(INDIRECT(_xlfn.CONCAT("weather.tbl[",O$1,"]")),MATCH(vp.tbl[[#This Row],[SDate]],weather.tbl[Date],0))</f>
        <v>14.757142857142856</v>
      </c>
      <c r="P1677" s="2">
        <f ca="1">INDEX(INDIRECT(_xlfn.CONCAT("weather.tbl[",P$1,"]")),MATCH(vp.tbl[[#This Row],[SDate]],weather.tbl[Date],0))</f>
        <v>15.1</v>
      </c>
      <c r="Q1677" s="2">
        <f ca="1">INDEX(INDIRECT(_xlfn.CONCAT("weather.tbl[",Q$1,"]")),MATCH(vp.tbl[[#This Row],[SDate]],weather.tbl[Date],0))</f>
        <v>15.4</v>
      </c>
      <c r="R1677" s="2">
        <f ca="1">INDEX(INDIRECT(_xlfn.CONCAT("weather.tbl[",R$1,"]")),MATCH(vp.tbl[[#This Row],[SDate]],weather.tbl[Date],0))</f>
        <v>14.5</v>
      </c>
      <c r="S1677" s="2">
        <f ca="1">INDEX(INDIRECT(_xlfn.CONCAT("weather.tbl[",S$1,"]")),MATCH(vp.tbl[[#This Row],[SDate]],weather.tbl[Date],0))</f>
        <v>15.2</v>
      </c>
      <c r="T1677" s="2">
        <f ca="1">INDEX(INDIRECT(_xlfn.CONCAT("weather.tbl[",T$1,"]")),MATCH(vp.tbl[[#This Row],[SDate]],weather.tbl[Date],0))</f>
        <v>14.8</v>
      </c>
      <c r="U1677" s="2">
        <f ca="1">INDEX(INDIRECT(_xlfn.CONCAT("weather.tbl[",U$1,"]")),MATCH(vp.tbl[[#This Row],[SDate]],weather.tbl[Date],0))</f>
        <v>13.8</v>
      </c>
      <c r="V1677" s="2" t="s">
        <v>310</v>
      </c>
      <c r="W1677" t="s">
        <v>48</v>
      </c>
      <c r="X1677">
        <f>IF(OR(vp.tbl[[#This Row],[Sulf]]="",vp.tbl[[#This Row],[Dens]]=""),1,0)</f>
        <v>1</v>
      </c>
      <c r="Y1677">
        <f>IF(vp.tbl[[#This Row],[CrudeType]]="C5+",1,0)</f>
        <v>0</v>
      </c>
      <c r="Z1677">
        <f>IF(AND(vp.tbl[[#This Row],[CrudeType]]="Crude",vp.tbl[[#This Row],[Dens]]&lt;=825,vp.tbl[[#This Row],[Sulf]]&gt;0.5,vp.tbl[[#This Row],[Unknown]]=0),1,0)</f>
        <v>0</v>
      </c>
      <c r="AA1677">
        <f>IF(AND(vp.tbl[[#This Row],[CrudeType]]="Crude",vp.tbl[[#This Row],[Dens]]&lt;=825,vp.tbl[[#This Row],[Sulf]]&lt;=0.5,vp.tbl[[#This Row],[Unknown]]=0),1,0)</f>
        <v>0</v>
      </c>
      <c r="AB1677">
        <f>IF(AND(vp.tbl[[#This Row],[CrudeType]]="Crude",vp.tbl[[#This Row],[Dens]]&gt;825,vp.tbl[[#This Row],[Dens]]&lt;=870,vp.tbl[[#This Row],[Sulf]]&gt;0.5,vp.tbl[[#This Row],[Unknown]]=0),1,0)</f>
        <v>0</v>
      </c>
      <c r="AC1677">
        <f>IF(AND(vp.tbl[[#This Row],[CrudeType]]="Crude",vp.tbl[[#This Row],[Dens]]&gt;825,vp.tbl[[#This Row],[Dens]]&lt;=900,vp.tbl[[#This Row],[Sulf]]&lt;=0.5,vp.tbl[[#This Row],[Unknown]]=0),1,0)</f>
        <v>0</v>
      </c>
      <c r="AD1677">
        <f>IF(AND(vp.tbl[[#This Row],[CrudeType]]="Crude",vp.tbl[[#This Row],[Dens]]&gt;870,vp.tbl[[#This Row],[Dens]]&lt;=900,vp.tbl[[#This Row],[Sulf]]&gt;0.5,vp.tbl[[#This Row],[Unknown]]=0),1,0)</f>
        <v>0</v>
      </c>
      <c r="AE1677">
        <f>IF(AND(vp.tbl[[#This Row],[CrudeType]]="Crude",vp.tbl[[#This Row],[Dens]]&gt;900,vp.tbl[[#This Row],[Sulf]]&lt;=0.5,vp.tbl[[#This Row],[Unknown]]=0),1,0)</f>
        <v>0</v>
      </c>
      <c r="AF1677">
        <f>IF(AND(vp.tbl[[#This Row],[CrudeType]]="Crude",vp.tbl[[#This Row],[Dens]]&gt;900,vp.tbl[[#This Row],[Sulf]]&lt;=0.5,vp.tbl[[#This Row],[Unknown]]=0),1,0)</f>
        <v>0</v>
      </c>
      <c r="AG1677" t="str">
        <f>INDEX(vp.tbl[[#Headers],[Unknown]:[Heavy_SW]],MATCH(1,vp.tbl[[#This Row],[Unknown]:[Heavy_SW]],0))</f>
        <v>Unknown</v>
      </c>
      <c r="AH1677" t="e">
        <f>INDEX([1]!crudeBD.lkup[Number],MATCH(vp.tbl[[#This Row],[Crude_Breakdown]],[1]!crudeBD.lkup[Crude Breakdown],0))</f>
        <v>#REF!</v>
      </c>
      <c r="AI1677">
        <f>MONTH(vp.tbl[[#This Row],[SDate]])</f>
        <v>6</v>
      </c>
      <c r="AJ1677" s="5" t="str">
        <f>IFERROR(vp.tbl[[#This Row],[Sulf]]*vp.tbl[[#This Row],[Net Dens]],"")</f>
        <v/>
      </c>
      <c r="AK1677" s="5" t="str">
        <f>IFERROR(vp.tbl[[#This Row],[Dens]]*vp.tbl[[#This Row],[VolumeM3]],"")</f>
        <v/>
      </c>
      <c r="AL1677" s="5" t="str">
        <f>IFERROR(vp.tbl[[#This Row],[VP]]*vp.tbl[[#This Row],[VolumeM3]],"")</f>
        <v/>
      </c>
      <c r="AM1677" s="4">
        <f>IFERROR((vp.tbl[[#This Row],[VP]]-INDEX(crudeBD.lkup.complete[Mean_VP],MATCH(vp.tbl[[#This Row],[Crude_Breakdown]],crudeBD.lkup.complete[Crude Breakdown],0)))^2,"")</f>
        <v>14.78507844342256</v>
      </c>
      <c r="AN1677" s="4" t="str">
        <f>IFERROR((vp.tbl[[#This Row],[Dens]]-INDEX(crudeBD.lkup.complete[Mean_Dens],MATCH(vp.tbl[[#This Row],[Crude_Breakdown]],crudeBD.lkup.complete[Crude Breakdown],0)))^2,"")</f>
        <v/>
      </c>
      <c r="AO1677" s="4" t="str">
        <f>IFERROR((vp.tbl[[#This Row],[Sulf]]-INDEX(crudeBD.lkup.complete[Mean_Sulf],MATCH(vp.tbl[[#This Row],[Crude_Breakdown]],crudeBD.lkup.complete[Crude Breakdown],0)))^2,"")</f>
        <v/>
      </c>
      <c r="AP1677">
        <f>IF(AND(vp.tbl[[#This Row],[SDate]]&gt;=DATE(YEAR(vp.tbl[[#This Row],[SDate]]),5,1),vp.tbl[[#This Row],[SDate]]&lt;=DATE(YEAR(vp.tbl[[#This Row],[SDate]]),9,15)),1,0)</f>
        <v>1</v>
      </c>
      <c r="AQ1677" s="15">
        <f>IF(vp.tbl[[#This Row],[SDate]]&lt;DATE(2016,12,1),0,1)</f>
        <v>1</v>
      </c>
    </row>
    <row r="1678" spans="1:43" x14ac:dyDescent="0.25">
      <c r="A1678">
        <v>1677</v>
      </c>
      <c r="B1678" t="s">
        <v>292</v>
      </c>
      <c r="C1678" t="s">
        <v>292</v>
      </c>
      <c r="D1678" t="s">
        <v>57</v>
      </c>
      <c r="F1678" s="1">
        <v>42905</v>
      </c>
      <c r="G1678" s="2">
        <v>75.7</v>
      </c>
      <c r="H1678" s="2"/>
      <c r="I1678" s="2" t="s">
        <v>310</v>
      </c>
      <c r="J1678" s="2"/>
      <c r="K1678" s="2"/>
      <c r="L1678" s="2"/>
      <c r="M1678" s="2" t="s">
        <v>310</v>
      </c>
      <c r="N1678" s="2">
        <f ca="1">INDEX(INDIRECT(_xlfn.CONCAT("weather.tbl[",N$1,"]")),MATCH(vp.tbl[[#This Row],[SDate]],weather.tbl[Date],0))</f>
        <v>14.799999999999999</v>
      </c>
      <c r="O1678" s="2">
        <f ca="1">INDEX(INDIRECT(_xlfn.CONCAT("weather.tbl[",O$1,"]")),MATCH(vp.tbl[[#This Row],[SDate]],weather.tbl[Date],0))</f>
        <v>14.757142857142856</v>
      </c>
      <c r="P1678" s="2">
        <f ca="1">INDEX(INDIRECT(_xlfn.CONCAT("weather.tbl[",P$1,"]")),MATCH(vp.tbl[[#This Row],[SDate]],weather.tbl[Date],0))</f>
        <v>15.1</v>
      </c>
      <c r="Q1678" s="2">
        <f ca="1">INDEX(INDIRECT(_xlfn.CONCAT("weather.tbl[",Q$1,"]")),MATCH(vp.tbl[[#This Row],[SDate]],weather.tbl[Date],0))</f>
        <v>15.4</v>
      </c>
      <c r="R1678" s="2">
        <f ca="1">INDEX(INDIRECT(_xlfn.CONCAT("weather.tbl[",R$1,"]")),MATCH(vp.tbl[[#This Row],[SDate]],weather.tbl[Date],0))</f>
        <v>14.5</v>
      </c>
      <c r="S1678" s="2">
        <f ca="1">INDEX(INDIRECT(_xlfn.CONCAT("weather.tbl[",S$1,"]")),MATCH(vp.tbl[[#This Row],[SDate]],weather.tbl[Date],0))</f>
        <v>15.2</v>
      </c>
      <c r="T1678" s="2">
        <f ca="1">INDEX(INDIRECT(_xlfn.CONCAT("weather.tbl[",T$1,"]")),MATCH(vp.tbl[[#This Row],[SDate]],weather.tbl[Date],0))</f>
        <v>14.8</v>
      </c>
      <c r="U1678" s="2">
        <f ca="1">INDEX(INDIRECT(_xlfn.CONCAT("weather.tbl[",U$1,"]")),MATCH(vp.tbl[[#This Row],[SDate]],weather.tbl[Date],0))</f>
        <v>13.8</v>
      </c>
      <c r="V1678" s="2" t="s">
        <v>310</v>
      </c>
      <c r="W1678" t="s">
        <v>48</v>
      </c>
      <c r="X1678">
        <f>IF(OR(vp.tbl[[#This Row],[Sulf]]="",vp.tbl[[#This Row],[Dens]]=""),1,0)</f>
        <v>1</v>
      </c>
      <c r="Y1678">
        <f>IF(vp.tbl[[#This Row],[CrudeType]]="C5+",1,0)</f>
        <v>0</v>
      </c>
      <c r="Z1678">
        <f>IF(AND(vp.tbl[[#This Row],[CrudeType]]="Crude",vp.tbl[[#This Row],[Dens]]&lt;=825,vp.tbl[[#This Row],[Sulf]]&gt;0.5,vp.tbl[[#This Row],[Unknown]]=0),1,0)</f>
        <v>0</v>
      </c>
      <c r="AA1678">
        <f>IF(AND(vp.tbl[[#This Row],[CrudeType]]="Crude",vp.tbl[[#This Row],[Dens]]&lt;=825,vp.tbl[[#This Row],[Sulf]]&lt;=0.5,vp.tbl[[#This Row],[Unknown]]=0),1,0)</f>
        <v>0</v>
      </c>
      <c r="AB1678">
        <f>IF(AND(vp.tbl[[#This Row],[CrudeType]]="Crude",vp.tbl[[#This Row],[Dens]]&gt;825,vp.tbl[[#This Row],[Dens]]&lt;=870,vp.tbl[[#This Row],[Sulf]]&gt;0.5,vp.tbl[[#This Row],[Unknown]]=0),1,0)</f>
        <v>0</v>
      </c>
      <c r="AC1678">
        <f>IF(AND(vp.tbl[[#This Row],[CrudeType]]="Crude",vp.tbl[[#This Row],[Dens]]&gt;825,vp.tbl[[#This Row],[Dens]]&lt;=900,vp.tbl[[#This Row],[Sulf]]&lt;=0.5,vp.tbl[[#This Row],[Unknown]]=0),1,0)</f>
        <v>0</v>
      </c>
      <c r="AD1678">
        <f>IF(AND(vp.tbl[[#This Row],[CrudeType]]="Crude",vp.tbl[[#This Row],[Dens]]&gt;870,vp.tbl[[#This Row],[Dens]]&lt;=900,vp.tbl[[#This Row],[Sulf]]&gt;0.5,vp.tbl[[#This Row],[Unknown]]=0),1,0)</f>
        <v>0</v>
      </c>
      <c r="AE1678">
        <f>IF(AND(vp.tbl[[#This Row],[CrudeType]]="Crude",vp.tbl[[#This Row],[Dens]]&gt;900,vp.tbl[[#This Row],[Sulf]]&lt;=0.5,vp.tbl[[#This Row],[Unknown]]=0),1,0)</f>
        <v>0</v>
      </c>
      <c r="AF1678">
        <f>IF(AND(vp.tbl[[#This Row],[CrudeType]]="Crude",vp.tbl[[#This Row],[Dens]]&gt;900,vp.tbl[[#This Row],[Sulf]]&lt;=0.5,vp.tbl[[#This Row],[Unknown]]=0),1,0)</f>
        <v>0</v>
      </c>
      <c r="AG1678" t="str">
        <f>INDEX(vp.tbl[[#Headers],[Unknown]:[Heavy_SW]],MATCH(1,vp.tbl[[#This Row],[Unknown]:[Heavy_SW]],0))</f>
        <v>Unknown</v>
      </c>
      <c r="AH1678" t="e">
        <f>INDEX([1]!crudeBD.lkup[Number],MATCH(vp.tbl[[#This Row],[Crude_Breakdown]],[1]!crudeBD.lkup[Crude Breakdown],0))</f>
        <v>#REF!</v>
      </c>
      <c r="AI1678">
        <f>MONTH(vp.tbl[[#This Row],[SDate]])</f>
        <v>6</v>
      </c>
      <c r="AJ1678" s="5" t="str">
        <f>IFERROR(vp.tbl[[#This Row],[Sulf]]*vp.tbl[[#This Row],[Net Dens]],"")</f>
        <v/>
      </c>
      <c r="AK1678" s="5" t="str">
        <f>IFERROR(vp.tbl[[#This Row],[Dens]]*vp.tbl[[#This Row],[VolumeM3]],"")</f>
        <v/>
      </c>
      <c r="AL1678" s="5" t="str">
        <f>IFERROR(vp.tbl[[#This Row],[VP]]*vp.tbl[[#This Row],[VolumeM3]],"")</f>
        <v/>
      </c>
      <c r="AM1678" s="4">
        <f>IFERROR((vp.tbl[[#This Row],[VP]]-INDEX(crudeBD.lkup.complete[Mean_VP],MATCH(vp.tbl[[#This Row],[Crude_Breakdown]],crudeBD.lkup.complete[Crude Breakdown],0)))^2,"")</f>
        <v>3.4405167995872814</v>
      </c>
      <c r="AN1678" s="4" t="str">
        <f>IFERROR((vp.tbl[[#This Row],[Dens]]-INDEX(crudeBD.lkup.complete[Mean_Dens],MATCH(vp.tbl[[#This Row],[Crude_Breakdown]],crudeBD.lkup.complete[Crude Breakdown],0)))^2,"")</f>
        <v/>
      </c>
      <c r="AO1678" s="4" t="str">
        <f>IFERROR((vp.tbl[[#This Row],[Sulf]]-INDEX(crudeBD.lkup.complete[Mean_Sulf],MATCH(vp.tbl[[#This Row],[Crude_Breakdown]],crudeBD.lkup.complete[Crude Breakdown],0)))^2,"")</f>
        <v/>
      </c>
      <c r="AP1678">
        <f>IF(AND(vp.tbl[[#This Row],[SDate]]&gt;=DATE(YEAR(vp.tbl[[#This Row],[SDate]]),5,1),vp.tbl[[#This Row],[SDate]]&lt;=DATE(YEAR(vp.tbl[[#This Row],[SDate]]),9,15)),1,0)</f>
        <v>1</v>
      </c>
      <c r="AQ1678" s="15">
        <f>IF(vp.tbl[[#This Row],[SDate]]&lt;DATE(2016,12,1),0,1)</f>
        <v>1</v>
      </c>
    </row>
    <row r="1679" spans="1:43" x14ac:dyDescent="0.25">
      <c r="A1679">
        <v>1678</v>
      </c>
      <c r="B1679" t="s">
        <v>51</v>
      </c>
      <c r="C1679" t="s">
        <v>51</v>
      </c>
      <c r="D1679" t="s">
        <v>71</v>
      </c>
      <c r="F1679" s="1">
        <v>42905</v>
      </c>
      <c r="G1679" s="2">
        <v>62</v>
      </c>
      <c r="H1679" s="2"/>
      <c r="I1679" s="2" t="s">
        <v>310</v>
      </c>
      <c r="J1679" s="2"/>
      <c r="K1679" s="2"/>
      <c r="L1679" s="2"/>
      <c r="M1679" s="2" t="s">
        <v>310</v>
      </c>
      <c r="N1679" s="2">
        <f ca="1">INDEX(INDIRECT(_xlfn.CONCAT("weather.tbl[",N$1,"]")),MATCH(vp.tbl[[#This Row],[SDate]],weather.tbl[Date],0))</f>
        <v>14.799999999999999</v>
      </c>
      <c r="O1679" s="2">
        <f ca="1">INDEX(INDIRECT(_xlfn.CONCAT("weather.tbl[",O$1,"]")),MATCH(vp.tbl[[#This Row],[SDate]],weather.tbl[Date],0))</f>
        <v>14.757142857142856</v>
      </c>
      <c r="P1679" s="2">
        <f ca="1">INDEX(INDIRECT(_xlfn.CONCAT("weather.tbl[",P$1,"]")),MATCH(vp.tbl[[#This Row],[SDate]],weather.tbl[Date],0))</f>
        <v>15.1</v>
      </c>
      <c r="Q1679" s="2">
        <f ca="1">INDEX(INDIRECT(_xlfn.CONCAT("weather.tbl[",Q$1,"]")),MATCH(vp.tbl[[#This Row],[SDate]],weather.tbl[Date],0))</f>
        <v>15.4</v>
      </c>
      <c r="R1679" s="2">
        <f ca="1">INDEX(INDIRECT(_xlfn.CONCAT("weather.tbl[",R$1,"]")),MATCH(vp.tbl[[#This Row],[SDate]],weather.tbl[Date],0))</f>
        <v>14.5</v>
      </c>
      <c r="S1679" s="2">
        <f ca="1">INDEX(INDIRECT(_xlfn.CONCAT("weather.tbl[",S$1,"]")),MATCH(vp.tbl[[#This Row],[SDate]],weather.tbl[Date],0))</f>
        <v>15.2</v>
      </c>
      <c r="T1679" s="2">
        <f ca="1">INDEX(INDIRECT(_xlfn.CONCAT("weather.tbl[",T$1,"]")),MATCH(vp.tbl[[#This Row],[SDate]],weather.tbl[Date],0))</f>
        <v>14.8</v>
      </c>
      <c r="U1679" s="2">
        <f ca="1">INDEX(INDIRECT(_xlfn.CONCAT("weather.tbl[",U$1,"]")),MATCH(vp.tbl[[#This Row],[SDate]],weather.tbl[Date],0))</f>
        <v>13.8</v>
      </c>
      <c r="V1679" s="2" t="s">
        <v>310</v>
      </c>
      <c r="W1679" t="s">
        <v>48</v>
      </c>
      <c r="X1679">
        <f>IF(OR(vp.tbl[[#This Row],[Sulf]]="",vp.tbl[[#This Row],[Dens]]=""),1,0)</f>
        <v>1</v>
      </c>
      <c r="Y1679">
        <f>IF(vp.tbl[[#This Row],[CrudeType]]="C5+",1,0)</f>
        <v>0</v>
      </c>
      <c r="Z1679">
        <f>IF(AND(vp.tbl[[#This Row],[CrudeType]]="Crude",vp.tbl[[#This Row],[Dens]]&lt;=825,vp.tbl[[#This Row],[Sulf]]&gt;0.5,vp.tbl[[#This Row],[Unknown]]=0),1,0)</f>
        <v>0</v>
      </c>
      <c r="AA1679">
        <f>IF(AND(vp.tbl[[#This Row],[CrudeType]]="Crude",vp.tbl[[#This Row],[Dens]]&lt;=825,vp.tbl[[#This Row],[Sulf]]&lt;=0.5,vp.tbl[[#This Row],[Unknown]]=0),1,0)</f>
        <v>0</v>
      </c>
      <c r="AB1679">
        <f>IF(AND(vp.tbl[[#This Row],[CrudeType]]="Crude",vp.tbl[[#This Row],[Dens]]&gt;825,vp.tbl[[#This Row],[Dens]]&lt;=870,vp.tbl[[#This Row],[Sulf]]&gt;0.5,vp.tbl[[#This Row],[Unknown]]=0),1,0)</f>
        <v>0</v>
      </c>
      <c r="AC1679">
        <f>IF(AND(vp.tbl[[#This Row],[CrudeType]]="Crude",vp.tbl[[#This Row],[Dens]]&gt;825,vp.tbl[[#This Row],[Dens]]&lt;=900,vp.tbl[[#This Row],[Sulf]]&lt;=0.5,vp.tbl[[#This Row],[Unknown]]=0),1,0)</f>
        <v>0</v>
      </c>
      <c r="AD1679">
        <f>IF(AND(vp.tbl[[#This Row],[CrudeType]]="Crude",vp.tbl[[#This Row],[Dens]]&gt;870,vp.tbl[[#This Row],[Dens]]&lt;=900,vp.tbl[[#This Row],[Sulf]]&gt;0.5,vp.tbl[[#This Row],[Unknown]]=0),1,0)</f>
        <v>0</v>
      </c>
      <c r="AE1679">
        <f>IF(AND(vp.tbl[[#This Row],[CrudeType]]="Crude",vp.tbl[[#This Row],[Dens]]&gt;900,vp.tbl[[#This Row],[Sulf]]&lt;=0.5,vp.tbl[[#This Row],[Unknown]]=0),1,0)</f>
        <v>0</v>
      </c>
      <c r="AF1679">
        <f>IF(AND(vp.tbl[[#This Row],[CrudeType]]="Crude",vp.tbl[[#This Row],[Dens]]&gt;900,vp.tbl[[#This Row],[Sulf]]&lt;=0.5,vp.tbl[[#This Row],[Unknown]]=0),1,0)</f>
        <v>0</v>
      </c>
      <c r="AG1679" t="str">
        <f>INDEX(vp.tbl[[#Headers],[Unknown]:[Heavy_SW]],MATCH(1,vp.tbl[[#This Row],[Unknown]:[Heavy_SW]],0))</f>
        <v>Unknown</v>
      </c>
      <c r="AH1679" t="e">
        <f>INDEX([1]!crudeBD.lkup[Number],MATCH(vp.tbl[[#This Row],[Crude_Breakdown]],[1]!crudeBD.lkup[Crude Breakdown],0))</f>
        <v>#REF!</v>
      </c>
      <c r="AI1679">
        <f>MONTH(vp.tbl[[#This Row],[SDate]])</f>
        <v>6</v>
      </c>
      <c r="AJ1679" s="5" t="str">
        <f>IFERROR(vp.tbl[[#This Row],[Sulf]]*vp.tbl[[#This Row],[Net Dens]],"")</f>
        <v/>
      </c>
      <c r="AK1679" s="5" t="str">
        <f>IFERROR(vp.tbl[[#This Row],[Dens]]*vp.tbl[[#This Row],[VolumeM3]],"")</f>
        <v/>
      </c>
      <c r="AL1679" s="5" t="str">
        <f>IFERROR(vp.tbl[[#This Row],[VP]]*vp.tbl[[#This Row],[VolumeM3]],"")</f>
        <v/>
      </c>
      <c r="AM1679" s="4">
        <f>IFERROR((vp.tbl[[#This Row],[VP]]-INDEX(crudeBD.lkup.complete[Mean_VP],MATCH(vp.tbl[[#This Row],[Crude_Breakdown]],crudeBD.lkup.complete[Crude Breakdown],0)))^2,"")</f>
        <v>140.30727022424401</v>
      </c>
      <c r="AN1679" s="4" t="str">
        <f>IFERROR((vp.tbl[[#This Row],[Dens]]-INDEX(crudeBD.lkup.complete[Mean_Dens],MATCH(vp.tbl[[#This Row],[Crude_Breakdown]],crudeBD.lkup.complete[Crude Breakdown],0)))^2,"")</f>
        <v/>
      </c>
      <c r="AO1679" s="4" t="str">
        <f>IFERROR((vp.tbl[[#This Row],[Sulf]]-INDEX(crudeBD.lkup.complete[Mean_Sulf],MATCH(vp.tbl[[#This Row],[Crude_Breakdown]],crudeBD.lkup.complete[Crude Breakdown],0)))^2,"")</f>
        <v/>
      </c>
      <c r="AP1679">
        <f>IF(AND(vp.tbl[[#This Row],[SDate]]&gt;=DATE(YEAR(vp.tbl[[#This Row],[SDate]]),5,1),vp.tbl[[#This Row],[SDate]]&lt;=DATE(YEAR(vp.tbl[[#This Row],[SDate]]),9,15)),1,0)</f>
        <v>1</v>
      </c>
      <c r="AQ1679" s="15">
        <f>IF(vp.tbl[[#This Row],[SDate]]&lt;DATE(2016,12,1),0,1)</f>
        <v>1</v>
      </c>
    </row>
    <row r="1680" spans="1:43" x14ac:dyDescent="0.25">
      <c r="A1680">
        <v>1679</v>
      </c>
      <c r="B1680" t="s">
        <v>51</v>
      </c>
      <c r="C1680" t="s">
        <v>51</v>
      </c>
      <c r="D1680" t="s">
        <v>72</v>
      </c>
      <c r="F1680" s="1">
        <v>42906</v>
      </c>
      <c r="G1680" s="2">
        <v>87.6</v>
      </c>
      <c r="H1680" s="2"/>
      <c r="I1680" s="2" t="s">
        <v>310</v>
      </c>
      <c r="J1680" s="2"/>
      <c r="K1680" s="2"/>
      <c r="L1680" s="2"/>
      <c r="M1680" s="2" t="s">
        <v>310</v>
      </c>
      <c r="N1680" s="2">
        <f ca="1">INDEX(INDIRECT(_xlfn.CONCAT("weather.tbl[",N$1,"]")),MATCH(vp.tbl[[#This Row],[SDate]],weather.tbl[Date],0))</f>
        <v>14.85</v>
      </c>
      <c r="O1680" s="2">
        <f ca="1">INDEX(INDIRECT(_xlfn.CONCAT("weather.tbl[",O$1,"]")),MATCH(vp.tbl[[#This Row],[SDate]],weather.tbl[Date],0))</f>
        <v>14.640476190476191</v>
      </c>
      <c r="P1680" s="2">
        <f ca="1">INDEX(INDIRECT(_xlfn.CONCAT("weather.tbl[",P$1,"]")),MATCH(vp.tbl[[#This Row],[SDate]],weather.tbl[Date],0))</f>
        <v>15</v>
      </c>
      <c r="Q1680" s="2">
        <f ca="1">INDEX(INDIRECT(_xlfn.CONCAT("weather.tbl[",Q$1,"]")),MATCH(vp.tbl[[#This Row],[SDate]],weather.tbl[Date],0))</f>
        <v>16</v>
      </c>
      <c r="R1680" s="2">
        <f ca="1">INDEX(INDIRECT(_xlfn.CONCAT("weather.tbl[",R$1,"]")),MATCH(vp.tbl[[#This Row],[SDate]],weather.tbl[Date],0))</f>
        <v>13.5</v>
      </c>
      <c r="S1680" s="2">
        <f ca="1">INDEX(INDIRECT(_xlfn.CONCAT("weather.tbl[",S$1,"]")),MATCH(vp.tbl[[#This Row],[SDate]],weather.tbl[Date],0))</f>
        <v>15.4</v>
      </c>
      <c r="T1680" s="2">
        <f ca="1">INDEX(INDIRECT(_xlfn.CONCAT("weather.tbl[",T$1,"]")),MATCH(vp.tbl[[#This Row],[SDate]],weather.tbl[Date],0))</f>
        <v>14.4</v>
      </c>
      <c r="U1680" s="2">
        <f ca="1">INDEX(INDIRECT(_xlfn.CONCAT("weather.tbl[",U$1,"]")),MATCH(vp.tbl[[#This Row],[SDate]],weather.tbl[Date],0))</f>
        <v>14.8</v>
      </c>
      <c r="V1680" s="2" t="s">
        <v>310</v>
      </c>
      <c r="W1680" t="s">
        <v>48</v>
      </c>
      <c r="X1680">
        <f>IF(OR(vp.tbl[[#This Row],[Sulf]]="",vp.tbl[[#This Row],[Dens]]=""),1,0)</f>
        <v>1</v>
      </c>
      <c r="Y1680">
        <f>IF(vp.tbl[[#This Row],[CrudeType]]="C5+",1,0)</f>
        <v>0</v>
      </c>
      <c r="Z1680">
        <f>IF(AND(vp.tbl[[#This Row],[CrudeType]]="Crude",vp.tbl[[#This Row],[Dens]]&lt;=825,vp.tbl[[#This Row],[Sulf]]&gt;0.5,vp.tbl[[#This Row],[Unknown]]=0),1,0)</f>
        <v>0</v>
      </c>
      <c r="AA1680">
        <f>IF(AND(vp.tbl[[#This Row],[CrudeType]]="Crude",vp.tbl[[#This Row],[Dens]]&lt;=825,vp.tbl[[#This Row],[Sulf]]&lt;=0.5,vp.tbl[[#This Row],[Unknown]]=0),1,0)</f>
        <v>0</v>
      </c>
      <c r="AB1680">
        <f>IF(AND(vp.tbl[[#This Row],[CrudeType]]="Crude",vp.tbl[[#This Row],[Dens]]&gt;825,vp.tbl[[#This Row],[Dens]]&lt;=870,vp.tbl[[#This Row],[Sulf]]&gt;0.5,vp.tbl[[#This Row],[Unknown]]=0),1,0)</f>
        <v>0</v>
      </c>
      <c r="AC1680">
        <f>IF(AND(vp.tbl[[#This Row],[CrudeType]]="Crude",vp.tbl[[#This Row],[Dens]]&gt;825,vp.tbl[[#This Row],[Dens]]&lt;=900,vp.tbl[[#This Row],[Sulf]]&lt;=0.5,vp.tbl[[#This Row],[Unknown]]=0),1,0)</f>
        <v>0</v>
      </c>
      <c r="AD1680">
        <f>IF(AND(vp.tbl[[#This Row],[CrudeType]]="Crude",vp.tbl[[#This Row],[Dens]]&gt;870,vp.tbl[[#This Row],[Dens]]&lt;=900,vp.tbl[[#This Row],[Sulf]]&gt;0.5,vp.tbl[[#This Row],[Unknown]]=0),1,0)</f>
        <v>0</v>
      </c>
      <c r="AE1680">
        <f>IF(AND(vp.tbl[[#This Row],[CrudeType]]="Crude",vp.tbl[[#This Row],[Dens]]&gt;900,vp.tbl[[#This Row],[Sulf]]&lt;=0.5,vp.tbl[[#This Row],[Unknown]]=0),1,0)</f>
        <v>0</v>
      </c>
      <c r="AF1680">
        <f>IF(AND(vp.tbl[[#This Row],[CrudeType]]="Crude",vp.tbl[[#This Row],[Dens]]&gt;900,vp.tbl[[#This Row],[Sulf]]&lt;=0.5,vp.tbl[[#This Row],[Unknown]]=0),1,0)</f>
        <v>0</v>
      </c>
      <c r="AG1680" t="str">
        <f>INDEX(vp.tbl[[#Headers],[Unknown]:[Heavy_SW]],MATCH(1,vp.tbl[[#This Row],[Unknown]:[Heavy_SW]],0))</f>
        <v>Unknown</v>
      </c>
      <c r="AH1680" t="e">
        <f>INDEX([1]!crudeBD.lkup[Number],MATCH(vp.tbl[[#This Row],[Crude_Breakdown]],[1]!crudeBD.lkup[Crude Breakdown],0))</f>
        <v>#REF!</v>
      </c>
      <c r="AI1680">
        <f>MONTH(vp.tbl[[#This Row],[SDate]])</f>
        <v>6</v>
      </c>
      <c r="AJ1680" s="5" t="str">
        <f>IFERROR(vp.tbl[[#This Row],[Sulf]]*vp.tbl[[#This Row],[Net Dens]],"")</f>
        <v/>
      </c>
      <c r="AK1680" s="5" t="str">
        <f>IFERROR(vp.tbl[[#This Row],[Dens]]*vp.tbl[[#This Row],[VolumeM3]],"")</f>
        <v/>
      </c>
      <c r="AL1680" s="5" t="str">
        <f>IFERROR(vp.tbl[[#This Row],[VP]]*vp.tbl[[#This Row],[VolumeM3]],"")</f>
        <v/>
      </c>
      <c r="AM1680" s="4">
        <f>IFERROR((vp.tbl[[#This Row],[VP]]-INDEX(crudeBD.lkup.complete[Mean_VP],MATCH(vp.tbl[[#This Row],[Crude_Breakdown]],crudeBD.lkup.complete[Crude Breakdown],0)))^2,"")</f>
        <v>189.19625652561518</v>
      </c>
      <c r="AN1680" s="4" t="str">
        <f>IFERROR((vp.tbl[[#This Row],[Dens]]-INDEX(crudeBD.lkup.complete[Mean_Dens],MATCH(vp.tbl[[#This Row],[Crude_Breakdown]],crudeBD.lkup.complete[Crude Breakdown],0)))^2,"")</f>
        <v/>
      </c>
      <c r="AO1680" s="4" t="str">
        <f>IFERROR((vp.tbl[[#This Row],[Sulf]]-INDEX(crudeBD.lkup.complete[Mean_Sulf],MATCH(vp.tbl[[#This Row],[Crude_Breakdown]],crudeBD.lkup.complete[Crude Breakdown],0)))^2,"")</f>
        <v/>
      </c>
      <c r="AP1680">
        <f>IF(AND(vp.tbl[[#This Row],[SDate]]&gt;=DATE(YEAR(vp.tbl[[#This Row],[SDate]]),5,1),vp.tbl[[#This Row],[SDate]]&lt;=DATE(YEAR(vp.tbl[[#This Row],[SDate]]),9,15)),1,0)</f>
        <v>1</v>
      </c>
      <c r="AQ1680" s="15">
        <f>IF(vp.tbl[[#This Row],[SDate]]&lt;DATE(2016,12,1),0,1)</f>
        <v>1</v>
      </c>
    </row>
    <row r="1681" spans="1:43" x14ac:dyDescent="0.25">
      <c r="A1681">
        <v>1680</v>
      </c>
      <c r="B1681" t="s">
        <v>49</v>
      </c>
      <c r="C1681" t="s">
        <v>49</v>
      </c>
      <c r="D1681" t="s">
        <v>89</v>
      </c>
      <c r="F1681" s="1">
        <v>42906</v>
      </c>
      <c r="G1681" s="2">
        <v>86</v>
      </c>
      <c r="H1681" s="2"/>
      <c r="I1681" s="2" t="s">
        <v>310</v>
      </c>
      <c r="J1681" s="2"/>
      <c r="K1681" s="2"/>
      <c r="L1681" s="2"/>
      <c r="M1681" s="2" t="s">
        <v>310</v>
      </c>
      <c r="N1681" s="2">
        <f ca="1">INDEX(INDIRECT(_xlfn.CONCAT("weather.tbl[",N$1,"]")),MATCH(vp.tbl[[#This Row],[SDate]],weather.tbl[Date],0))</f>
        <v>14.85</v>
      </c>
      <c r="O1681" s="2">
        <f ca="1">INDEX(INDIRECT(_xlfn.CONCAT("weather.tbl[",O$1,"]")),MATCH(vp.tbl[[#This Row],[SDate]],weather.tbl[Date],0))</f>
        <v>14.640476190476191</v>
      </c>
      <c r="P1681" s="2">
        <f ca="1">INDEX(INDIRECT(_xlfn.CONCAT("weather.tbl[",P$1,"]")),MATCH(vp.tbl[[#This Row],[SDate]],weather.tbl[Date],0))</f>
        <v>15</v>
      </c>
      <c r="Q1681" s="2">
        <f ca="1">INDEX(INDIRECT(_xlfn.CONCAT("weather.tbl[",Q$1,"]")),MATCH(vp.tbl[[#This Row],[SDate]],weather.tbl[Date],0))</f>
        <v>16</v>
      </c>
      <c r="R1681" s="2">
        <f ca="1">INDEX(INDIRECT(_xlfn.CONCAT("weather.tbl[",R$1,"]")),MATCH(vp.tbl[[#This Row],[SDate]],weather.tbl[Date],0))</f>
        <v>13.5</v>
      </c>
      <c r="S1681" s="2">
        <f ca="1">INDEX(INDIRECT(_xlfn.CONCAT("weather.tbl[",S$1,"]")),MATCH(vp.tbl[[#This Row],[SDate]],weather.tbl[Date],0))</f>
        <v>15.4</v>
      </c>
      <c r="T1681" s="2">
        <f ca="1">INDEX(INDIRECT(_xlfn.CONCAT("weather.tbl[",T$1,"]")),MATCH(vp.tbl[[#This Row],[SDate]],weather.tbl[Date],0))</f>
        <v>14.4</v>
      </c>
      <c r="U1681" s="2">
        <f ca="1">INDEX(INDIRECT(_xlfn.CONCAT("weather.tbl[",U$1,"]")),MATCH(vp.tbl[[#This Row],[SDate]],weather.tbl[Date],0))</f>
        <v>14.8</v>
      </c>
      <c r="V1681" s="2" t="s">
        <v>310</v>
      </c>
      <c r="W1681" t="s">
        <v>48</v>
      </c>
      <c r="X1681">
        <f>IF(OR(vp.tbl[[#This Row],[Sulf]]="",vp.tbl[[#This Row],[Dens]]=""),1,0)</f>
        <v>1</v>
      </c>
      <c r="Y1681">
        <f>IF(vp.tbl[[#This Row],[CrudeType]]="C5+",1,0)</f>
        <v>0</v>
      </c>
      <c r="Z1681">
        <f>IF(AND(vp.tbl[[#This Row],[CrudeType]]="Crude",vp.tbl[[#This Row],[Dens]]&lt;=825,vp.tbl[[#This Row],[Sulf]]&gt;0.5,vp.tbl[[#This Row],[Unknown]]=0),1,0)</f>
        <v>0</v>
      </c>
      <c r="AA1681">
        <f>IF(AND(vp.tbl[[#This Row],[CrudeType]]="Crude",vp.tbl[[#This Row],[Dens]]&lt;=825,vp.tbl[[#This Row],[Sulf]]&lt;=0.5,vp.tbl[[#This Row],[Unknown]]=0),1,0)</f>
        <v>0</v>
      </c>
      <c r="AB1681">
        <f>IF(AND(vp.tbl[[#This Row],[CrudeType]]="Crude",vp.tbl[[#This Row],[Dens]]&gt;825,vp.tbl[[#This Row],[Dens]]&lt;=870,vp.tbl[[#This Row],[Sulf]]&gt;0.5,vp.tbl[[#This Row],[Unknown]]=0),1,0)</f>
        <v>0</v>
      </c>
      <c r="AC1681">
        <f>IF(AND(vp.tbl[[#This Row],[CrudeType]]="Crude",vp.tbl[[#This Row],[Dens]]&gt;825,vp.tbl[[#This Row],[Dens]]&lt;=900,vp.tbl[[#This Row],[Sulf]]&lt;=0.5,vp.tbl[[#This Row],[Unknown]]=0),1,0)</f>
        <v>0</v>
      </c>
      <c r="AD1681">
        <f>IF(AND(vp.tbl[[#This Row],[CrudeType]]="Crude",vp.tbl[[#This Row],[Dens]]&gt;870,vp.tbl[[#This Row],[Dens]]&lt;=900,vp.tbl[[#This Row],[Sulf]]&gt;0.5,vp.tbl[[#This Row],[Unknown]]=0),1,0)</f>
        <v>0</v>
      </c>
      <c r="AE1681">
        <f>IF(AND(vp.tbl[[#This Row],[CrudeType]]="Crude",vp.tbl[[#This Row],[Dens]]&gt;900,vp.tbl[[#This Row],[Sulf]]&lt;=0.5,vp.tbl[[#This Row],[Unknown]]=0),1,0)</f>
        <v>0</v>
      </c>
      <c r="AF1681">
        <f>IF(AND(vp.tbl[[#This Row],[CrudeType]]="Crude",vp.tbl[[#This Row],[Dens]]&gt;900,vp.tbl[[#This Row],[Sulf]]&lt;=0.5,vp.tbl[[#This Row],[Unknown]]=0),1,0)</f>
        <v>0</v>
      </c>
      <c r="AG1681" t="str">
        <f>INDEX(vp.tbl[[#Headers],[Unknown]:[Heavy_SW]],MATCH(1,vp.tbl[[#This Row],[Unknown]:[Heavy_SW]],0))</f>
        <v>Unknown</v>
      </c>
      <c r="AH1681" t="e">
        <f>INDEX([1]!crudeBD.lkup[Number],MATCH(vp.tbl[[#This Row],[Crude_Breakdown]],[1]!crudeBD.lkup[Crude Breakdown],0))</f>
        <v>#REF!</v>
      </c>
      <c r="AI1681">
        <f>MONTH(vp.tbl[[#This Row],[SDate]])</f>
        <v>6</v>
      </c>
      <c r="AJ1681" s="5" t="str">
        <f>IFERROR(vp.tbl[[#This Row],[Sulf]]*vp.tbl[[#This Row],[Net Dens]],"")</f>
        <v/>
      </c>
      <c r="AK1681" s="5" t="str">
        <f>IFERROR(vp.tbl[[#This Row],[Dens]]*vp.tbl[[#This Row],[VolumeM3]],"")</f>
        <v/>
      </c>
      <c r="AL1681" s="5" t="str">
        <f>IFERROR(vp.tbl[[#This Row],[VP]]*vp.tbl[[#This Row],[VolumeM3]],"")</f>
        <v/>
      </c>
      <c r="AM1681" s="4">
        <f>IFERROR((vp.tbl[[#This Row],[VP]]-INDEX(crudeBD.lkup.complete[Mean_VP],MATCH(vp.tbl[[#This Row],[Crude_Breakdown]],crudeBD.lkup.complete[Crude Breakdown],0)))^2,"")</f>
        <v>147.74069488177963</v>
      </c>
      <c r="AN1681" s="4" t="str">
        <f>IFERROR((vp.tbl[[#This Row],[Dens]]-INDEX(crudeBD.lkup.complete[Mean_Dens],MATCH(vp.tbl[[#This Row],[Crude_Breakdown]],crudeBD.lkup.complete[Crude Breakdown],0)))^2,"")</f>
        <v/>
      </c>
      <c r="AO1681" s="4" t="str">
        <f>IFERROR((vp.tbl[[#This Row],[Sulf]]-INDEX(crudeBD.lkup.complete[Mean_Sulf],MATCH(vp.tbl[[#This Row],[Crude_Breakdown]],crudeBD.lkup.complete[Crude Breakdown],0)))^2,"")</f>
        <v/>
      </c>
      <c r="AP1681">
        <f>IF(AND(vp.tbl[[#This Row],[SDate]]&gt;=DATE(YEAR(vp.tbl[[#This Row],[SDate]]),5,1),vp.tbl[[#This Row],[SDate]]&lt;=DATE(YEAR(vp.tbl[[#This Row],[SDate]]),9,15)),1,0)</f>
        <v>1</v>
      </c>
      <c r="AQ1681" s="15">
        <f>IF(vp.tbl[[#This Row],[SDate]]&lt;DATE(2016,12,1),0,1)</f>
        <v>1</v>
      </c>
    </row>
    <row r="1682" spans="1:43" x14ac:dyDescent="0.25">
      <c r="A1682">
        <v>1681</v>
      </c>
      <c r="B1682" t="s">
        <v>62</v>
      </c>
      <c r="C1682" t="s">
        <v>62</v>
      </c>
      <c r="D1682" t="s">
        <v>79</v>
      </c>
      <c r="F1682" s="1">
        <v>42906</v>
      </c>
      <c r="G1682" s="2">
        <v>78.400000000000006</v>
      </c>
      <c r="H1682" s="2"/>
      <c r="I1682" s="2" t="s">
        <v>310</v>
      </c>
      <c r="J1682" s="2"/>
      <c r="K1682" s="2"/>
      <c r="L1682" s="2"/>
      <c r="M1682" s="2" t="s">
        <v>310</v>
      </c>
      <c r="N1682" s="2">
        <f ca="1">INDEX(INDIRECT(_xlfn.CONCAT("weather.tbl[",N$1,"]")),MATCH(vp.tbl[[#This Row],[SDate]],weather.tbl[Date],0))</f>
        <v>14.85</v>
      </c>
      <c r="O1682" s="2">
        <f ca="1">INDEX(INDIRECT(_xlfn.CONCAT("weather.tbl[",O$1,"]")),MATCH(vp.tbl[[#This Row],[SDate]],weather.tbl[Date],0))</f>
        <v>14.640476190476191</v>
      </c>
      <c r="P1682" s="2">
        <f ca="1">INDEX(INDIRECT(_xlfn.CONCAT("weather.tbl[",P$1,"]")),MATCH(vp.tbl[[#This Row],[SDate]],weather.tbl[Date],0))</f>
        <v>15</v>
      </c>
      <c r="Q1682" s="2">
        <f ca="1">INDEX(INDIRECT(_xlfn.CONCAT("weather.tbl[",Q$1,"]")),MATCH(vp.tbl[[#This Row],[SDate]],weather.tbl[Date],0))</f>
        <v>16</v>
      </c>
      <c r="R1682" s="2">
        <f ca="1">INDEX(INDIRECT(_xlfn.CONCAT("weather.tbl[",R$1,"]")),MATCH(vp.tbl[[#This Row],[SDate]],weather.tbl[Date],0))</f>
        <v>13.5</v>
      </c>
      <c r="S1682" s="2">
        <f ca="1">INDEX(INDIRECT(_xlfn.CONCAT("weather.tbl[",S$1,"]")),MATCH(vp.tbl[[#This Row],[SDate]],weather.tbl[Date],0))</f>
        <v>15.4</v>
      </c>
      <c r="T1682" s="2">
        <f ca="1">INDEX(INDIRECT(_xlfn.CONCAT("weather.tbl[",T$1,"]")),MATCH(vp.tbl[[#This Row],[SDate]],weather.tbl[Date],0))</f>
        <v>14.4</v>
      </c>
      <c r="U1682" s="2">
        <f ca="1">INDEX(INDIRECT(_xlfn.CONCAT("weather.tbl[",U$1,"]")),MATCH(vp.tbl[[#This Row],[SDate]],weather.tbl[Date],0))</f>
        <v>14.8</v>
      </c>
      <c r="V1682" s="2" t="s">
        <v>310</v>
      </c>
      <c r="W1682" t="s">
        <v>48</v>
      </c>
      <c r="X1682">
        <f>IF(OR(vp.tbl[[#This Row],[Sulf]]="",vp.tbl[[#This Row],[Dens]]=""),1,0)</f>
        <v>1</v>
      </c>
      <c r="Y1682">
        <f>IF(vp.tbl[[#This Row],[CrudeType]]="C5+",1,0)</f>
        <v>0</v>
      </c>
      <c r="Z1682">
        <f>IF(AND(vp.tbl[[#This Row],[CrudeType]]="Crude",vp.tbl[[#This Row],[Dens]]&lt;=825,vp.tbl[[#This Row],[Sulf]]&gt;0.5,vp.tbl[[#This Row],[Unknown]]=0),1,0)</f>
        <v>0</v>
      </c>
      <c r="AA1682">
        <f>IF(AND(vp.tbl[[#This Row],[CrudeType]]="Crude",vp.tbl[[#This Row],[Dens]]&lt;=825,vp.tbl[[#This Row],[Sulf]]&lt;=0.5,vp.tbl[[#This Row],[Unknown]]=0),1,0)</f>
        <v>0</v>
      </c>
      <c r="AB1682">
        <f>IF(AND(vp.tbl[[#This Row],[CrudeType]]="Crude",vp.tbl[[#This Row],[Dens]]&gt;825,vp.tbl[[#This Row],[Dens]]&lt;=870,vp.tbl[[#This Row],[Sulf]]&gt;0.5,vp.tbl[[#This Row],[Unknown]]=0),1,0)</f>
        <v>0</v>
      </c>
      <c r="AC1682">
        <f>IF(AND(vp.tbl[[#This Row],[CrudeType]]="Crude",vp.tbl[[#This Row],[Dens]]&gt;825,vp.tbl[[#This Row],[Dens]]&lt;=900,vp.tbl[[#This Row],[Sulf]]&lt;=0.5,vp.tbl[[#This Row],[Unknown]]=0),1,0)</f>
        <v>0</v>
      </c>
      <c r="AD1682">
        <f>IF(AND(vp.tbl[[#This Row],[CrudeType]]="Crude",vp.tbl[[#This Row],[Dens]]&gt;870,vp.tbl[[#This Row],[Dens]]&lt;=900,vp.tbl[[#This Row],[Sulf]]&gt;0.5,vp.tbl[[#This Row],[Unknown]]=0),1,0)</f>
        <v>0</v>
      </c>
      <c r="AE1682">
        <f>IF(AND(vp.tbl[[#This Row],[CrudeType]]="Crude",vp.tbl[[#This Row],[Dens]]&gt;900,vp.tbl[[#This Row],[Sulf]]&lt;=0.5,vp.tbl[[#This Row],[Unknown]]=0),1,0)</f>
        <v>0</v>
      </c>
      <c r="AF1682">
        <f>IF(AND(vp.tbl[[#This Row],[CrudeType]]="Crude",vp.tbl[[#This Row],[Dens]]&gt;900,vp.tbl[[#This Row],[Sulf]]&lt;=0.5,vp.tbl[[#This Row],[Unknown]]=0),1,0)</f>
        <v>0</v>
      </c>
      <c r="AG1682" t="str">
        <f>INDEX(vp.tbl[[#Headers],[Unknown]:[Heavy_SW]],MATCH(1,vp.tbl[[#This Row],[Unknown]:[Heavy_SW]],0))</f>
        <v>Unknown</v>
      </c>
      <c r="AH1682" t="e">
        <f>INDEX([1]!crudeBD.lkup[Number],MATCH(vp.tbl[[#This Row],[Crude_Breakdown]],[1]!crudeBD.lkup[Crude Breakdown],0))</f>
        <v>#REF!</v>
      </c>
      <c r="AI1682">
        <f>MONTH(vp.tbl[[#This Row],[SDate]])</f>
        <v>6</v>
      </c>
      <c r="AJ1682" s="5" t="str">
        <f>IFERROR(vp.tbl[[#This Row],[Sulf]]*vp.tbl[[#This Row],[Net Dens]],"")</f>
        <v/>
      </c>
      <c r="AK1682" s="5" t="str">
        <f>IFERROR(vp.tbl[[#This Row],[Dens]]*vp.tbl[[#This Row],[VolumeM3]],"")</f>
        <v/>
      </c>
      <c r="AL1682" s="5" t="str">
        <f>IFERROR(vp.tbl[[#This Row],[VP]]*vp.tbl[[#This Row],[VolumeM3]],"")</f>
        <v/>
      </c>
      <c r="AM1682" s="4">
        <f>IFERROR((vp.tbl[[#This Row],[VP]]-INDEX(crudeBD.lkup.complete[Mean_VP],MATCH(vp.tbl[[#This Row],[Crude_Breakdown]],crudeBD.lkup.complete[Crude Breakdown],0)))^2,"")</f>
        <v>20.746777073560082</v>
      </c>
      <c r="AN1682" s="4" t="str">
        <f>IFERROR((vp.tbl[[#This Row],[Dens]]-INDEX(crudeBD.lkup.complete[Mean_Dens],MATCH(vp.tbl[[#This Row],[Crude_Breakdown]],crudeBD.lkup.complete[Crude Breakdown],0)))^2,"")</f>
        <v/>
      </c>
      <c r="AO1682" s="4" t="str">
        <f>IFERROR((vp.tbl[[#This Row],[Sulf]]-INDEX(crudeBD.lkup.complete[Mean_Sulf],MATCH(vp.tbl[[#This Row],[Crude_Breakdown]],crudeBD.lkup.complete[Crude Breakdown],0)))^2,"")</f>
        <v/>
      </c>
      <c r="AP1682">
        <f>IF(AND(vp.tbl[[#This Row],[SDate]]&gt;=DATE(YEAR(vp.tbl[[#This Row],[SDate]]),5,1),vp.tbl[[#This Row],[SDate]]&lt;=DATE(YEAR(vp.tbl[[#This Row],[SDate]]),9,15)),1,0)</f>
        <v>1</v>
      </c>
      <c r="AQ1682" s="15">
        <f>IF(vp.tbl[[#This Row],[SDate]]&lt;DATE(2016,12,1),0,1)</f>
        <v>1</v>
      </c>
    </row>
    <row r="1683" spans="1:43" x14ac:dyDescent="0.25">
      <c r="A1683">
        <v>1682</v>
      </c>
      <c r="B1683" t="s">
        <v>62</v>
      </c>
      <c r="C1683" t="s">
        <v>62</v>
      </c>
      <c r="D1683" t="s">
        <v>83</v>
      </c>
      <c r="F1683" s="1">
        <v>42906</v>
      </c>
      <c r="G1683" s="2">
        <v>76.2</v>
      </c>
      <c r="H1683" s="2"/>
      <c r="I1683" s="2" t="s">
        <v>310</v>
      </c>
      <c r="J1683" s="2"/>
      <c r="K1683" s="2"/>
      <c r="L1683" s="2"/>
      <c r="M1683" s="2" t="s">
        <v>310</v>
      </c>
      <c r="N1683" s="2">
        <f ca="1">INDEX(INDIRECT(_xlfn.CONCAT("weather.tbl[",N$1,"]")),MATCH(vp.tbl[[#This Row],[SDate]],weather.tbl[Date],0))</f>
        <v>14.85</v>
      </c>
      <c r="O1683" s="2">
        <f ca="1">INDEX(INDIRECT(_xlfn.CONCAT("weather.tbl[",O$1,"]")),MATCH(vp.tbl[[#This Row],[SDate]],weather.tbl[Date],0))</f>
        <v>14.640476190476191</v>
      </c>
      <c r="P1683" s="2">
        <f ca="1">INDEX(INDIRECT(_xlfn.CONCAT("weather.tbl[",P$1,"]")),MATCH(vp.tbl[[#This Row],[SDate]],weather.tbl[Date],0))</f>
        <v>15</v>
      </c>
      <c r="Q1683" s="2">
        <f ca="1">INDEX(INDIRECT(_xlfn.CONCAT("weather.tbl[",Q$1,"]")),MATCH(vp.tbl[[#This Row],[SDate]],weather.tbl[Date],0))</f>
        <v>16</v>
      </c>
      <c r="R1683" s="2">
        <f ca="1">INDEX(INDIRECT(_xlfn.CONCAT("weather.tbl[",R$1,"]")),MATCH(vp.tbl[[#This Row],[SDate]],weather.tbl[Date],0))</f>
        <v>13.5</v>
      </c>
      <c r="S1683" s="2">
        <f ca="1">INDEX(INDIRECT(_xlfn.CONCAT("weather.tbl[",S$1,"]")),MATCH(vp.tbl[[#This Row],[SDate]],weather.tbl[Date],0))</f>
        <v>15.4</v>
      </c>
      <c r="T1683" s="2">
        <f ca="1">INDEX(INDIRECT(_xlfn.CONCAT("weather.tbl[",T$1,"]")),MATCH(vp.tbl[[#This Row],[SDate]],weather.tbl[Date],0))</f>
        <v>14.4</v>
      </c>
      <c r="U1683" s="2">
        <f ca="1">INDEX(INDIRECT(_xlfn.CONCAT("weather.tbl[",U$1,"]")),MATCH(vp.tbl[[#This Row],[SDate]],weather.tbl[Date],0))</f>
        <v>14.8</v>
      </c>
      <c r="V1683" s="2" t="s">
        <v>310</v>
      </c>
      <c r="W1683" t="s">
        <v>48</v>
      </c>
      <c r="X1683">
        <f>IF(OR(vp.tbl[[#This Row],[Sulf]]="",vp.tbl[[#This Row],[Dens]]=""),1,0)</f>
        <v>1</v>
      </c>
      <c r="Y1683">
        <f>IF(vp.tbl[[#This Row],[CrudeType]]="C5+",1,0)</f>
        <v>0</v>
      </c>
      <c r="Z1683">
        <f>IF(AND(vp.tbl[[#This Row],[CrudeType]]="Crude",vp.tbl[[#This Row],[Dens]]&lt;=825,vp.tbl[[#This Row],[Sulf]]&gt;0.5,vp.tbl[[#This Row],[Unknown]]=0),1,0)</f>
        <v>0</v>
      </c>
      <c r="AA1683">
        <f>IF(AND(vp.tbl[[#This Row],[CrudeType]]="Crude",vp.tbl[[#This Row],[Dens]]&lt;=825,vp.tbl[[#This Row],[Sulf]]&lt;=0.5,vp.tbl[[#This Row],[Unknown]]=0),1,0)</f>
        <v>0</v>
      </c>
      <c r="AB1683">
        <f>IF(AND(vp.tbl[[#This Row],[CrudeType]]="Crude",vp.tbl[[#This Row],[Dens]]&gt;825,vp.tbl[[#This Row],[Dens]]&lt;=870,vp.tbl[[#This Row],[Sulf]]&gt;0.5,vp.tbl[[#This Row],[Unknown]]=0),1,0)</f>
        <v>0</v>
      </c>
      <c r="AC1683">
        <f>IF(AND(vp.tbl[[#This Row],[CrudeType]]="Crude",vp.tbl[[#This Row],[Dens]]&gt;825,vp.tbl[[#This Row],[Dens]]&lt;=900,vp.tbl[[#This Row],[Sulf]]&lt;=0.5,vp.tbl[[#This Row],[Unknown]]=0),1,0)</f>
        <v>0</v>
      </c>
      <c r="AD1683">
        <f>IF(AND(vp.tbl[[#This Row],[CrudeType]]="Crude",vp.tbl[[#This Row],[Dens]]&gt;870,vp.tbl[[#This Row],[Dens]]&lt;=900,vp.tbl[[#This Row],[Sulf]]&gt;0.5,vp.tbl[[#This Row],[Unknown]]=0),1,0)</f>
        <v>0</v>
      </c>
      <c r="AE1683">
        <f>IF(AND(vp.tbl[[#This Row],[CrudeType]]="Crude",vp.tbl[[#This Row],[Dens]]&gt;900,vp.tbl[[#This Row],[Sulf]]&lt;=0.5,vp.tbl[[#This Row],[Unknown]]=0),1,0)</f>
        <v>0</v>
      </c>
      <c r="AF1683">
        <f>IF(AND(vp.tbl[[#This Row],[CrudeType]]="Crude",vp.tbl[[#This Row],[Dens]]&gt;900,vp.tbl[[#This Row],[Sulf]]&lt;=0.5,vp.tbl[[#This Row],[Unknown]]=0),1,0)</f>
        <v>0</v>
      </c>
      <c r="AG1683" t="str">
        <f>INDEX(vp.tbl[[#Headers],[Unknown]:[Heavy_SW]],MATCH(1,vp.tbl[[#This Row],[Unknown]:[Heavy_SW]],0))</f>
        <v>Unknown</v>
      </c>
      <c r="AH1683" t="e">
        <f>INDEX([1]!crudeBD.lkup[Number],MATCH(vp.tbl[[#This Row],[Crude_Breakdown]],[1]!crudeBD.lkup[Crude Breakdown],0))</f>
        <v>#REF!</v>
      </c>
      <c r="AI1683">
        <f>MONTH(vp.tbl[[#This Row],[SDate]])</f>
        <v>6</v>
      </c>
      <c r="AJ1683" s="5" t="str">
        <f>IFERROR(vp.tbl[[#This Row],[Sulf]]*vp.tbl[[#This Row],[Net Dens]],"")</f>
        <v/>
      </c>
      <c r="AK1683" s="5" t="str">
        <f>IFERROR(vp.tbl[[#This Row],[Dens]]*vp.tbl[[#This Row],[VolumeM3]],"")</f>
        <v/>
      </c>
      <c r="AL1683" s="5" t="str">
        <f>IFERROR(vp.tbl[[#This Row],[VP]]*vp.tbl[[#This Row],[VolumeM3]],"")</f>
        <v/>
      </c>
      <c r="AM1683" s="4">
        <f>IFERROR((vp.tbl[[#This Row],[VP]]-INDEX(crudeBD.lkup.complete[Mean_VP],MATCH(vp.tbl[[#This Row],[Crude_Breakdown]],crudeBD.lkup.complete[Crude Breakdown],0)))^2,"")</f>
        <v>5.5453798132859431</v>
      </c>
      <c r="AN1683" s="4" t="str">
        <f>IFERROR((vp.tbl[[#This Row],[Dens]]-INDEX(crudeBD.lkup.complete[Mean_Dens],MATCH(vp.tbl[[#This Row],[Crude_Breakdown]],crudeBD.lkup.complete[Crude Breakdown],0)))^2,"")</f>
        <v/>
      </c>
      <c r="AO1683" s="4" t="str">
        <f>IFERROR((vp.tbl[[#This Row],[Sulf]]-INDEX(crudeBD.lkup.complete[Mean_Sulf],MATCH(vp.tbl[[#This Row],[Crude_Breakdown]],crudeBD.lkup.complete[Crude Breakdown],0)))^2,"")</f>
        <v/>
      </c>
      <c r="AP1683">
        <f>IF(AND(vp.tbl[[#This Row],[SDate]]&gt;=DATE(YEAR(vp.tbl[[#This Row],[SDate]]),5,1),vp.tbl[[#This Row],[SDate]]&lt;=DATE(YEAR(vp.tbl[[#This Row],[SDate]]),9,15)),1,0)</f>
        <v>1</v>
      </c>
      <c r="AQ1683" s="15">
        <f>IF(vp.tbl[[#This Row],[SDate]]&lt;DATE(2016,12,1),0,1)</f>
        <v>1</v>
      </c>
    </row>
    <row r="1684" spans="1:43" x14ac:dyDescent="0.25">
      <c r="A1684">
        <v>1683</v>
      </c>
      <c r="B1684" t="s">
        <v>62</v>
      </c>
      <c r="C1684" t="s">
        <v>62</v>
      </c>
      <c r="D1684" t="s">
        <v>87</v>
      </c>
      <c r="F1684" s="1">
        <v>42906</v>
      </c>
      <c r="G1684" s="2">
        <v>81.7</v>
      </c>
      <c r="H1684" s="2"/>
      <c r="I1684" s="2" t="s">
        <v>310</v>
      </c>
      <c r="J1684" s="2"/>
      <c r="K1684" s="2"/>
      <c r="L1684" s="2"/>
      <c r="M1684" s="2" t="s">
        <v>310</v>
      </c>
      <c r="N1684" s="2">
        <f ca="1">INDEX(INDIRECT(_xlfn.CONCAT("weather.tbl[",N$1,"]")),MATCH(vp.tbl[[#This Row],[SDate]],weather.tbl[Date],0))</f>
        <v>14.85</v>
      </c>
      <c r="O1684" s="2">
        <f ca="1">INDEX(INDIRECT(_xlfn.CONCAT("weather.tbl[",O$1,"]")),MATCH(vp.tbl[[#This Row],[SDate]],weather.tbl[Date],0))</f>
        <v>14.640476190476191</v>
      </c>
      <c r="P1684" s="2">
        <f ca="1">INDEX(INDIRECT(_xlfn.CONCAT("weather.tbl[",P$1,"]")),MATCH(vp.tbl[[#This Row],[SDate]],weather.tbl[Date],0))</f>
        <v>15</v>
      </c>
      <c r="Q1684" s="2">
        <f ca="1">INDEX(INDIRECT(_xlfn.CONCAT("weather.tbl[",Q$1,"]")),MATCH(vp.tbl[[#This Row],[SDate]],weather.tbl[Date],0))</f>
        <v>16</v>
      </c>
      <c r="R1684" s="2">
        <f ca="1">INDEX(INDIRECT(_xlfn.CONCAT("weather.tbl[",R$1,"]")),MATCH(vp.tbl[[#This Row],[SDate]],weather.tbl[Date],0))</f>
        <v>13.5</v>
      </c>
      <c r="S1684" s="2">
        <f ca="1">INDEX(INDIRECT(_xlfn.CONCAT("weather.tbl[",S$1,"]")),MATCH(vp.tbl[[#This Row],[SDate]],weather.tbl[Date],0))</f>
        <v>15.4</v>
      </c>
      <c r="T1684" s="2">
        <f ca="1">INDEX(INDIRECT(_xlfn.CONCAT("weather.tbl[",T$1,"]")),MATCH(vp.tbl[[#This Row],[SDate]],weather.tbl[Date],0))</f>
        <v>14.4</v>
      </c>
      <c r="U1684" s="2">
        <f ca="1">INDEX(INDIRECT(_xlfn.CONCAT("weather.tbl[",U$1,"]")),MATCH(vp.tbl[[#This Row],[SDate]],weather.tbl[Date],0))</f>
        <v>14.8</v>
      </c>
      <c r="V1684" s="2" t="s">
        <v>310</v>
      </c>
      <c r="W1684" t="s">
        <v>48</v>
      </c>
      <c r="X1684">
        <f>IF(OR(vp.tbl[[#This Row],[Sulf]]="",vp.tbl[[#This Row],[Dens]]=""),1,0)</f>
        <v>1</v>
      </c>
      <c r="Y1684">
        <f>IF(vp.tbl[[#This Row],[CrudeType]]="C5+",1,0)</f>
        <v>0</v>
      </c>
      <c r="Z1684">
        <f>IF(AND(vp.tbl[[#This Row],[CrudeType]]="Crude",vp.tbl[[#This Row],[Dens]]&lt;=825,vp.tbl[[#This Row],[Sulf]]&gt;0.5,vp.tbl[[#This Row],[Unknown]]=0),1,0)</f>
        <v>0</v>
      </c>
      <c r="AA1684">
        <f>IF(AND(vp.tbl[[#This Row],[CrudeType]]="Crude",vp.tbl[[#This Row],[Dens]]&lt;=825,vp.tbl[[#This Row],[Sulf]]&lt;=0.5,vp.tbl[[#This Row],[Unknown]]=0),1,0)</f>
        <v>0</v>
      </c>
      <c r="AB1684">
        <f>IF(AND(vp.tbl[[#This Row],[CrudeType]]="Crude",vp.tbl[[#This Row],[Dens]]&gt;825,vp.tbl[[#This Row],[Dens]]&lt;=870,vp.tbl[[#This Row],[Sulf]]&gt;0.5,vp.tbl[[#This Row],[Unknown]]=0),1,0)</f>
        <v>0</v>
      </c>
      <c r="AC1684">
        <f>IF(AND(vp.tbl[[#This Row],[CrudeType]]="Crude",vp.tbl[[#This Row],[Dens]]&gt;825,vp.tbl[[#This Row],[Dens]]&lt;=900,vp.tbl[[#This Row],[Sulf]]&lt;=0.5,vp.tbl[[#This Row],[Unknown]]=0),1,0)</f>
        <v>0</v>
      </c>
      <c r="AD1684">
        <f>IF(AND(vp.tbl[[#This Row],[CrudeType]]="Crude",vp.tbl[[#This Row],[Dens]]&gt;870,vp.tbl[[#This Row],[Dens]]&lt;=900,vp.tbl[[#This Row],[Sulf]]&gt;0.5,vp.tbl[[#This Row],[Unknown]]=0),1,0)</f>
        <v>0</v>
      </c>
      <c r="AE1684">
        <f>IF(AND(vp.tbl[[#This Row],[CrudeType]]="Crude",vp.tbl[[#This Row],[Dens]]&gt;900,vp.tbl[[#This Row],[Sulf]]&lt;=0.5,vp.tbl[[#This Row],[Unknown]]=0),1,0)</f>
        <v>0</v>
      </c>
      <c r="AF1684">
        <f>IF(AND(vp.tbl[[#This Row],[CrudeType]]="Crude",vp.tbl[[#This Row],[Dens]]&gt;900,vp.tbl[[#This Row],[Sulf]]&lt;=0.5,vp.tbl[[#This Row],[Unknown]]=0),1,0)</f>
        <v>0</v>
      </c>
      <c r="AG1684" t="str">
        <f>INDEX(vp.tbl[[#Headers],[Unknown]:[Heavy_SW]],MATCH(1,vp.tbl[[#This Row],[Unknown]:[Heavy_SW]],0))</f>
        <v>Unknown</v>
      </c>
      <c r="AH1684" t="e">
        <f>INDEX([1]!crudeBD.lkup[Number],MATCH(vp.tbl[[#This Row],[Crude_Breakdown]],[1]!crudeBD.lkup[Crude Breakdown],0))</f>
        <v>#REF!</v>
      </c>
      <c r="AI1684">
        <f>MONTH(vp.tbl[[#This Row],[SDate]])</f>
        <v>6</v>
      </c>
      <c r="AJ1684" s="5" t="str">
        <f>IFERROR(vp.tbl[[#This Row],[Sulf]]*vp.tbl[[#This Row],[Net Dens]],"")</f>
        <v/>
      </c>
      <c r="AK1684" s="5" t="str">
        <f>IFERROR(vp.tbl[[#This Row],[Dens]]*vp.tbl[[#This Row],[VolumeM3]],"")</f>
        <v/>
      </c>
      <c r="AL1684" s="5" t="str">
        <f>IFERROR(vp.tbl[[#This Row],[VP]]*vp.tbl[[#This Row],[VolumeM3]],"")</f>
        <v/>
      </c>
      <c r="AM1684" s="4">
        <f>IFERROR((vp.tbl[[#This Row],[VP]]-INDEX(crudeBD.lkup.complete[Mean_VP],MATCH(vp.tbl[[#This Row],[Crude_Breakdown]],crudeBD.lkup.complete[Crude Breakdown],0)))^2,"")</f>
        <v>61.698872963971219</v>
      </c>
      <c r="AN1684" s="4" t="str">
        <f>IFERROR((vp.tbl[[#This Row],[Dens]]-INDEX(crudeBD.lkup.complete[Mean_Dens],MATCH(vp.tbl[[#This Row],[Crude_Breakdown]],crudeBD.lkup.complete[Crude Breakdown],0)))^2,"")</f>
        <v/>
      </c>
      <c r="AO1684" s="4" t="str">
        <f>IFERROR((vp.tbl[[#This Row],[Sulf]]-INDEX(crudeBD.lkup.complete[Mean_Sulf],MATCH(vp.tbl[[#This Row],[Crude_Breakdown]],crudeBD.lkup.complete[Crude Breakdown],0)))^2,"")</f>
        <v/>
      </c>
      <c r="AP1684">
        <f>IF(AND(vp.tbl[[#This Row],[SDate]]&gt;=DATE(YEAR(vp.tbl[[#This Row],[SDate]]),5,1),vp.tbl[[#This Row],[SDate]]&lt;=DATE(YEAR(vp.tbl[[#This Row],[SDate]]),9,15)),1,0)</f>
        <v>1</v>
      </c>
      <c r="AQ1684" s="15">
        <f>IF(vp.tbl[[#This Row],[SDate]]&lt;DATE(2016,12,1),0,1)</f>
        <v>1</v>
      </c>
    </row>
    <row r="1685" spans="1:43" x14ac:dyDescent="0.25">
      <c r="A1685">
        <v>1684</v>
      </c>
      <c r="B1685" t="s">
        <v>62</v>
      </c>
      <c r="C1685" t="s">
        <v>62</v>
      </c>
      <c r="D1685" t="s">
        <v>63</v>
      </c>
      <c r="F1685" s="1">
        <v>42906</v>
      </c>
      <c r="G1685" s="2">
        <v>71.099999999999994</v>
      </c>
      <c r="H1685" s="2"/>
      <c r="I1685" s="2" t="s">
        <v>310</v>
      </c>
      <c r="J1685" s="2"/>
      <c r="K1685" s="2"/>
      <c r="L1685" s="2"/>
      <c r="M1685" s="2" t="s">
        <v>310</v>
      </c>
      <c r="N1685" s="2">
        <f ca="1">INDEX(INDIRECT(_xlfn.CONCAT("weather.tbl[",N$1,"]")),MATCH(vp.tbl[[#This Row],[SDate]],weather.tbl[Date],0))</f>
        <v>14.85</v>
      </c>
      <c r="O1685" s="2">
        <f ca="1">INDEX(INDIRECT(_xlfn.CONCAT("weather.tbl[",O$1,"]")),MATCH(vp.tbl[[#This Row],[SDate]],weather.tbl[Date],0))</f>
        <v>14.640476190476191</v>
      </c>
      <c r="P1685" s="2">
        <f ca="1">INDEX(INDIRECT(_xlfn.CONCAT("weather.tbl[",P$1,"]")),MATCH(vp.tbl[[#This Row],[SDate]],weather.tbl[Date],0))</f>
        <v>15</v>
      </c>
      <c r="Q1685" s="2">
        <f ca="1">INDEX(INDIRECT(_xlfn.CONCAT("weather.tbl[",Q$1,"]")),MATCH(vp.tbl[[#This Row],[SDate]],weather.tbl[Date],0))</f>
        <v>16</v>
      </c>
      <c r="R1685" s="2">
        <f ca="1">INDEX(INDIRECT(_xlfn.CONCAT("weather.tbl[",R$1,"]")),MATCH(vp.tbl[[#This Row],[SDate]],weather.tbl[Date],0))</f>
        <v>13.5</v>
      </c>
      <c r="S1685" s="2">
        <f ca="1">INDEX(INDIRECT(_xlfn.CONCAT("weather.tbl[",S$1,"]")),MATCH(vp.tbl[[#This Row],[SDate]],weather.tbl[Date],0))</f>
        <v>15.4</v>
      </c>
      <c r="T1685" s="2">
        <f ca="1">INDEX(INDIRECT(_xlfn.CONCAT("weather.tbl[",T$1,"]")),MATCH(vp.tbl[[#This Row],[SDate]],weather.tbl[Date],0))</f>
        <v>14.4</v>
      </c>
      <c r="U1685" s="2">
        <f ca="1">INDEX(INDIRECT(_xlfn.CONCAT("weather.tbl[",U$1,"]")),MATCH(vp.tbl[[#This Row],[SDate]],weather.tbl[Date],0))</f>
        <v>14.8</v>
      </c>
      <c r="V1685" s="2" t="s">
        <v>310</v>
      </c>
      <c r="W1685" t="s">
        <v>48</v>
      </c>
      <c r="X1685">
        <f>IF(OR(vp.tbl[[#This Row],[Sulf]]="",vp.tbl[[#This Row],[Dens]]=""),1,0)</f>
        <v>1</v>
      </c>
      <c r="Y1685">
        <f>IF(vp.tbl[[#This Row],[CrudeType]]="C5+",1,0)</f>
        <v>0</v>
      </c>
      <c r="Z1685">
        <f>IF(AND(vp.tbl[[#This Row],[CrudeType]]="Crude",vp.tbl[[#This Row],[Dens]]&lt;=825,vp.tbl[[#This Row],[Sulf]]&gt;0.5,vp.tbl[[#This Row],[Unknown]]=0),1,0)</f>
        <v>0</v>
      </c>
      <c r="AA1685">
        <f>IF(AND(vp.tbl[[#This Row],[CrudeType]]="Crude",vp.tbl[[#This Row],[Dens]]&lt;=825,vp.tbl[[#This Row],[Sulf]]&lt;=0.5,vp.tbl[[#This Row],[Unknown]]=0),1,0)</f>
        <v>0</v>
      </c>
      <c r="AB1685">
        <f>IF(AND(vp.tbl[[#This Row],[CrudeType]]="Crude",vp.tbl[[#This Row],[Dens]]&gt;825,vp.tbl[[#This Row],[Dens]]&lt;=870,vp.tbl[[#This Row],[Sulf]]&gt;0.5,vp.tbl[[#This Row],[Unknown]]=0),1,0)</f>
        <v>0</v>
      </c>
      <c r="AC1685">
        <f>IF(AND(vp.tbl[[#This Row],[CrudeType]]="Crude",vp.tbl[[#This Row],[Dens]]&gt;825,vp.tbl[[#This Row],[Dens]]&lt;=900,vp.tbl[[#This Row],[Sulf]]&lt;=0.5,vp.tbl[[#This Row],[Unknown]]=0),1,0)</f>
        <v>0</v>
      </c>
      <c r="AD1685">
        <f>IF(AND(vp.tbl[[#This Row],[CrudeType]]="Crude",vp.tbl[[#This Row],[Dens]]&gt;870,vp.tbl[[#This Row],[Dens]]&lt;=900,vp.tbl[[#This Row],[Sulf]]&gt;0.5,vp.tbl[[#This Row],[Unknown]]=0),1,0)</f>
        <v>0</v>
      </c>
      <c r="AE1685">
        <f>IF(AND(vp.tbl[[#This Row],[CrudeType]]="Crude",vp.tbl[[#This Row],[Dens]]&gt;900,vp.tbl[[#This Row],[Sulf]]&lt;=0.5,vp.tbl[[#This Row],[Unknown]]=0),1,0)</f>
        <v>0</v>
      </c>
      <c r="AF1685">
        <f>IF(AND(vp.tbl[[#This Row],[CrudeType]]="Crude",vp.tbl[[#This Row],[Dens]]&gt;900,vp.tbl[[#This Row],[Sulf]]&lt;=0.5,vp.tbl[[#This Row],[Unknown]]=0),1,0)</f>
        <v>0</v>
      </c>
      <c r="AG1685" t="str">
        <f>INDEX(vp.tbl[[#Headers],[Unknown]:[Heavy_SW]],MATCH(1,vp.tbl[[#This Row],[Unknown]:[Heavy_SW]],0))</f>
        <v>Unknown</v>
      </c>
      <c r="AH1685" t="e">
        <f>INDEX([1]!crudeBD.lkup[Number],MATCH(vp.tbl[[#This Row],[Crude_Breakdown]],[1]!crudeBD.lkup[Crude Breakdown],0))</f>
        <v>#REF!</v>
      </c>
      <c r="AI1685">
        <f>MONTH(vp.tbl[[#This Row],[SDate]])</f>
        <v>6</v>
      </c>
      <c r="AJ1685" s="5" t="str">
        <f>IFERROR(vp.tbl[[#This Row],[Sulf]]*vp.tbl[[#This Row],[Net Dens]],"")</f>
        <v/>
      </c>
      <c r="AK1685" s="5" t="str">
        <f>IFERROR(vp.tbl[[#This Row],[Dens]]*vp.tbl[[#This Row],[VolumeM3]],"")</f>
        <v/>
      </c>
      <c r="AL1685" s="5" t="str">
        <f>IFERROR(vp.tbl[[#This Row],[VP]]*vp.tbl[[#This Row],[VolumeM3]],"")</f>
        <v/>
      </c>
      <c r="AM1685" s="4">
        <f>IFERROR((vp.tbl[[#This Row],[VP]]-INDEX(crudeBD.lkup.complete[Mean_VP],MATCH(vp.tbl[[#This Row],[Crude_Breakdown]],crudeBD.lkup.complete[Crude Breakdown],0)))^2,"")</f>
        <v>7.5357770735596405</v>
      </c>
      <c r="AN1685" s="4" t="str">
        <f>IFERROR((vp.tbl[[#This Row],[Dens]]-INDEX(crudeBD.lkup.complete[Mean_Dens],MATCH(vp.tbl[[#This Row],[Crude_Breakdown]],crudeBD.lkup.complete[Crude Breakdown],0)))^2,"")</f>
        <v/>
      </c>
      <c r="AO1685" s="4" t="str">
        <f>IFERROR((vp.tbl[[#This Row],[Sulf]]-INDEX(crudeBD.lkup.complete[Mean_Sulf],MATCH(vp.tbl[[#This Row],[Crude_Breakdown]],crudeBD.lkup.complete[Crude Breakdown],0)))^2,"")</f>
        <v/>
      </c>
      <c r="AP1685">
        <f>IF(AND(vp.tbl[[#This Row],[SDate]]&gt;=DATE(YEAR(vp.tbl[[#This Row],[SDate]]),5,1),vp.tbl[[#This Row],[SDate]]&lt;=DATE(YEAR(vp.tbl[[#This Row],[SDate]]),9,15)),1,0)</f>
        <v>1</v>
      </c>
      <c r="AQ1685" s="15">
        <f>IF(vp.tbl[[#This Row],[SDate]]&lt;DATE(2016,12,1),0,1)</f>
        <v>1</v>
      </c>
    </row>
    <row r="1686" spans="1:43" x14ac:dyDescent="0.25">
      <c r="A1686">
        <v>1685</v>
      </c>
      <c r="B1686" t="s">
        <v>64</v>
      </c>
      <c r="C1686" t="s">
        <v>64</v>
      </c>
      <c r="D1686" t="s">
        <v>65</v>
      </c>
      <c r="F1686" s="1">
        <v>42906</v>
      </c>
      <c r="G1686" s="2">
        <v>44.3</v>
      </c>
      <c r="H1686" s="2"/>
      <c r="I1686" s="2" t="s">
        <v>310</v>
      </c>
      <c r="J1686" s="2"/>
      <c r="K1686" s="2"/>
      <c r="L1686" s="2"/>
      <c r="M1686" s="2" t="s">
        <v>310</v>
      </c>
      <c r="N1686" s="2">
        <f ca="1">INDEX(INDIRECT(_xlfn.CONCAT("weather.tbl[",N$1,"]")),MATCH(vp.tbl[[#This Row],[SDate]],weather.tbl[Date],0))</f>
        <v>14.85</v>
      </c>
      <c r="O1686" s="2">
        <f ca="1">INDEX(INDIRECT(_xlfn.CONCAT("weather.tbl[",O$1,"]")),MATCH(vp.tbl[[#This Row],[SDate]],weather.tbl[Date],0))</f>
        <v>14.640476190476191</v>
      </c>
      <c r="P1686" s="2">
        <f ca="1">INDEX(INDIRECT(_xlfn.CONCAT("weather.tbl[",P$1,"]")),MATCH(vp.tbl[[#This Row],[SDate]],weather.tbl[Date],0))</f>
        <v>15</v>
      </c>
      <c r="Q1686" s="2">
        <f ca="1">INDEX(INDIRECT(_xlfn.CONCAT("weather.tbl[",Q$1,"]")),MATCH(vp.tbl[[#This Row],[SDate]],weather.tbl[Date],0))</f>
        <v>16</v>
      </c>
      <c r="R1686" s="2">
        <f ca="1">INDEX(INDIRECT(_xlfn.CONCAT("weather.tbl[",R$1,"]")),MATCH(vp.tbl[[#This Row],[SDate]],weather.tbl[Date],0))</f>
        <v>13.5</v>
      </c>
      <c r="S1686" s="2">
        <f ca="1">INDEX(INDIRECT(_xlfn.CONCAT("weather.tbl[",S$1,"]")),MATCH(vp.tbl[[#This Row],[SDate]],weather.tbl[Date],0))</f>
        <v>15.4</v>
      </c>
      <c r="T1686" s="2">
        <f ca="1">INDEX(INDIRECT(_xlfn.CONCAT("weather.tbl[",T$1,"]")),MATCH(vp.tbl[[#This Row],[SDate]],weather.tbl[Date],0))</f>
        <v>14.4</v>
      </c>
      <c r="U1686" s="2">
        <f ca="1">INDEX(INDIRECT(_xlfn.CONCAT("weather.tbl[",U$1,"]")),MATCH(vp.tbl[[#This Row],[SDate]],weather.tbl[Date],0))</f>
        <v>14.8</v>
      </c>
      <c r="V1686" s="2" t="s">
        <v>310</v>
      </c>
      <c r="W1686" t="s">
        <v>48</v>
      </c>
      <c r="X1686">
        <f>IF(OR(vp.tbl[[#This Row],[Sulf]]="",vp.tbl[[#This Row],[Dens]]=""),1,0)</f>
        <v>1</v>
      </c>
      <c r="Y1686">
        <f>IF(vp.tbl[[#This Row],[CrudeType]]="C5+",1,0)</f>
        <v>0</v>
      </c>
      <c r="Z1686">
        <f>IF(AND(vp.tbl[[#This Row],[CrudeType]]="Crude",vp.tbl[[#This Row],[Dens]]&lt;=825,vp.tbl[[#This Row],[Sulf]]&gt;0.5,vp.tbl[[#This Row],[Unknown]]=0),1,0)</f>
        <v>0</v>
      </c>
      <c r="AA1686">
        <f>IF(AND(vp.tbl[[#This Row],[CrudeType]]="Crude",vp.tbl[[#This Row],[Dens]]&lt;=825,vp.tbl[[#This Row],[Sulf]]&lt;=0.5,vp.tbl[[#This Row],[Unknown]]=0),1,0)</f>
        <v>0</v>
      </c>
      <c r="AB1686">
        <f>IF(AND(vp.tbl[[#This Row],[CrudeType]]="Crude",vp.tbl[[#This Row],[Dens]]&gt;825,vp.tbl[[#This Row],[Dens]]&lt;=870,vp.tbl[[#This Row],[Sulf]]&gt;0.5,vp.tbl[[#This Row],[Unknown]]=0),1,0)</f>
        <v>0</v>
      </c>
      <c r="AC1686">
        <f>IF(AND(vp.tbl[[#This Row],[CrudeType]]="Crude",vp.tbl[[#This Row],[Dens]]&gt;825,vp.tbl[[#This Row],[Dens]]&lt;=900,vp.tbl[[#This Row],[Sulf]]&lt;=0.5,vp.tbl[[#This Row],[Unknown]]=0),1,0)</f>
        <v>0</v>
      </c>
      <c r="AD1686">
        <f>IF(AND(vp.tbl[[#This Row],[CrudeType]]="Crude",vp.tbl[[#This Row],[Dens]]&gt;870,vp.tbl[[#This Row],[Dens]]&lt;=900,vp.tbl[[#This Row],[Sulf]]&gt;0.5,vp.tbl[[#This Row],[Unknown]]=0),1,0)</f>
        <v>0</v>
      </c>
      <c r="AE1686">
        <f>IF(AND(vp.tbl[[#This Row],[CrudeType]]="Crude",vp.tbl[[#This Row],[Dens]]&gt;900,vp.tbl[[#This Row],[Sulf]]&lt;=0.5,vp.tbl[[#This Row],[Unknown]]=0),1,0)</f>
        <v>0</v>
      </c>
      <c r="AF1686">
        <f>IF(AND(vp.tbl[[#This Row],[CrudeType]]="Crude",vp.tbl[[#This Row],[Dens]]&gt;900,vp.tbl[[#This Row],[Sulf]]&lt;=0.5,vp.tbl[[#This Row],[Unknown]]=0),1,0)</f>
        <v>0</v>
      </c>
      <c r="AG1686" t="str">
        <f>INDEX(vp.tbl[[#Headers],[Unknown]:[Heavy_SW]],MATCH(1,vp.tbl[[#This Row],[Unknown]:[Heavy_SW]],0))</f>
        <v>Unknown</v>
      </c>
      <c r="AH1686" t="e">
        <f>INDEX([1]!crudeBD.lkup[Number],MATCH(vp.tbl[[#This Row],[Crude_Breakdown]],[1]!crudeBD.lkup[Crude Breakdown],0))</f>
        <v>#REF!</v>
      </c>
      <c r="AI1686">
        <f>MONTH(vp.tbl[[#This Row],[SDate]])</f>
        <v>6</v>
      </c>
      <c r="AJ1686" s="5" t="str">
        <f>IFERROR(vp.tbl[[#This Row],[Sulf]]*vp.tbl[[#This Row],[Net Dens]],"")</f>
        <v/>
      </c>
      <c r="AK1686" s="5" t="str">
        <f>IFERROR(vp.tbl[[#This Row],[Dens]]*vp.tbl[[#This Row],[VolumeM3]],"")</f>
        <v/>
      </c>
      <c r="AL1686" s="5" t="str">
        <f>IFERROR(vp.tbl[[#This Row],[VP]]*vp.tbl[[#This Row],[VolumeM3]],"")</f>
        <v/>
      </c>
      <c r="AM1686" s="4">
        <f>IFERROR((vp.tbl[[#This Row],[VP]]-INDEX(crudeBD.lkup.complete[Mean_VP],MATCH(vp.tbl[[#This Row],[Crude_Breakdown]],crudeBD.lkup.complete[Crude Breakdown],0)))^2,"")</f>
        <v>872.91511953931172</v>
      </c>
      <c r="AN1686" s="4" t="str">
        <f>IFERROR((vp.tbl[[#This Row],[Dens]]-INDEX(crudeBD.lkup.complete[Mean_Dens],MATCH(vp.tbl[[#This Row],[Crude_Breakdown]],crudeBD.lkup.complete[Crude Breakdown],0)))^2,"")</f>
        <v/>
      </c>
      <c r="AO1686" s="4" t="str">
        <f>IFERROR((vp.tbl[[#This Row],[Sulf]]-INDEX(crudeBD.lkup.complete[Mean_Sulf],MATCH(vp.tbl[[#This Row],[Crude_Breakdown]],crudeBD.lkup.complete[Crude Breakdown],0)))^2,"")</f>
        <v/>
      </c>
      <c r="AP1686">
        <f>IF(AND(vp.tbl[[#This Row],[SDate]]&gt;=DATE(YEAR(vp.tbl[[#This Row],[SDate]]),5,1),vp.tbl[[#This Row],[SDate]]&lt;=DATE(YEAR(vp.tbl[[#This Row],[SDate]]),9,15)),1,0)</f>
        <v>1</v>
      </c>
      <c r="AQ1686" s="15">
        <f>IF(vp.tbl[[#This Row],[SDate]]&lt;DATE(2016,12,1),0,1)</f>
        <v>1</v>
      </c>
    </row>
    <row r="1687" spans="1:43" x14ac:dyDescent="0.25">
      <c r="A1687">
        <v>1686</v>
      </c>
      <c r="B1687" t="s">
        <v>49</v>
      </c>
      <c r="C1687" t="s">
        <v>49</v>
      </c>
      <c r="D1687" t="s">
        <v>80</v>
      </c>
      <c r="F1687" s="1">
        <v>42906</v>
      </c>
      <c r="G1687" s="2">
        <v>78.7</v>
      </c>
      <c r="H1687" s="2"/>
      <c r="I1687" s="2" t="s">
        <v>310</v>
      </c>
      <c r="J1687" s="2"/>
      <c r="K1687" s="2"/>
      <c r="L1687" s="2"/>
      <c r="M1687" s="2" t="s">
        <v>310</v>
      </c>
      <c r="N1687" s="2">
        <f ca="1">INDEX(INDIRECT(_xlfn.CONCAT("weather.tbl[",N$1,"]")),MATCH(vp.tbl[[#This Row],[SDate]],weather.tbl[Date],0))</f>
        <v>14.85</v>
      </c>
      <c r="O1687" s="2">
        <f ca="1">INDEX(INDIRECT(_xlfn.CONCAT("weather.tbl[",O$1,"]")),MATCH(vp.tbl[[#This Row],[SDate]],weather.tbl[Date],0))</f>
        <v>14.640476190476191</v>
      </c>
      <c r="P1687" s="2">
        <f ca="1">INDEX(INDIRECT(_xlfn.CONCAT("weather.tbl[",P$1,"]")),MATCH(vp.tbl[[#This Row],[SDate]],weather.tbl[Date],0))</f>
        <v>15</v>
      </c>
      <c r="Q1687" s="2">
        <f ca="1">INDEX(INDIRECT(_xlfn.CONCAT("weather.tbl[",Q$1,"]")),MATCH(vp.tbl[[#This Row],[SDate]],weather.tbl[Date],0))</f>
        <v>16</v>
      </c>
      <c r="R1687" s="2">
        <f ca="1">INDEX(INDIRECT(_xlfn.CONCAT("weather.tbl[",R$1,"]")),MATCH(vp.tbl[[#This Row],[SDate]],weather.tbl[Date],0))</f>
        <v>13.5</v>
      </c>
      <c r="S1687" s="2">
        <f ca="1">INDEX(INDIRECT(_xlfn.CONCAT("weather.tbl[",S$1,"]")),MATCH(vp.tbl[[#This Row],[SDate]],weather.tbl[Date],0))</f>
        <v>15.4</v>
      </c>
      <c r="T1687" s="2">
        <f ca="1">INDEX(INDIRECT(_xlfn.CONCAT("weather.tbl[",T$1,"]")),MATCH(vp.tbl[[#This Row],[SDate]],weather.tbl[Date],0))</f>
        <v>14.4</v>
      </c>
      <c r="U1687" s="2">
        <f ca="1">INDEX(INDIRECT(_xlfn.CONCAT("weather.tbl[",U$1,"]")),MATCH(vp.tbl[[#This Row],[SDate]],weather.tbl[Date],0))</f>
        <v>14.8</v>
      </c>
      <c r="V1687" s="2" t="s">
        <v>310</v>
      </c>
      <c r="W1687" t="s">
        <v>48</v>
      </c>
      <c r="X1687">
        <f>IF(OR(vp.tbl[[#This Row],[Sulf]]="",vp.tbl[[#This Row],[Dens]]=""),1,0)</f>
        <v>1</v>
      </c>
      <c r="Y1687">
        <f>IF(vp.tbl[[#This Row],[CrudeType]]="C5+",1,0)</f>
        <v>0</v>
      </c>
      <c r="Z1687">
        <f>IF(AND(vp.tbl[[#This Row],[CrudeType]]="Crude",vp.tbl[[#This Row],[Dens]]&lt;=825,vp.tbl[[#This Row],[Sulf]]&gt;0.5,vp.tbl[[#This Row],[Unknown]]=0),1,0)</f>
        <v>0</v>
      </c>
      <c r="AA1687">
        <f>IF(AND(vp.tbl[[#This Row],[CrudeType]]="Crude",vp.tbl[[#This Row],[Dens]]&lt;=825,vp.tbl[[#This Row],[Sulf]]&lt;=0.5,vp.tbl[[#This Row],[Unknown]]=0),1,0)</f>
        <v>0</v>
      </c>
      <c r="AB1687">
        <f>IF(AND(vp.tbl[[#This Row],[CrudeType]]="Crude",vp.tbl[[#This Row],[Dens]]&gt;825,vp.tbl[[#This Row],[Dens]]&lt;=870,vp.tbl[[#This Row],[Sulf]]&gt;0.5,vp.tbl[[#This Row],[Unknown]]=0),1,0)</f>
        <v>0</v>
      </c>
      <c r="AC1687">
        <f>IF(AND(vp.tbl[[#This Row],[CrudeType]]="Crude",vp.tbl[[#This Row],[Dens]]&gt;825,vp.tbl[[#This Row],[Dens]]&lt;=900,vp.tbl[[#This Row],[Sulf]]&lt;=0.5,vp.tbl[[#This Row],[Unknown]]=0),1,0)</f>
        <v>0</v>
      </c>
      <c r="AD1687">
        <f>IF(AND(vp.tbl[[#This Row],[CrudeType]]="Crude",vp.tbl[[#This Row],[Dens]]&gt;870,vp.tbl[[#This Row],[Dens]]&lt;=900,vp.tbl[[#This Row],[Sulf]]&gt;0.5,vp.tbl[[#This Row],[Unknown]]=0),1,0)</f>
        <v>0</v>
      </c>
      <c r="AE1687">
        <f>IF(AND(vp.tbl[[#This Row],[CrudeType]]="Crude",vp.tbl[[#This Row],[Dens]]&gt;900,vp.tbl[[#This Row],[Sulf]]&lt;=0.5,vp.tbl[[#This Row],[Unknown]]=0),1,0)</f>
        <v>0</v>
      </c>
      <c r="AF1687">
        <f>IF(AND(vp.tbl[[#This Row],[CrudeType]]="Crude",vp.tbl[[#This Row],[Dens]]&gt;900,vp.tbl[[#This Row],[Sulf]]&lt;=0.5,vp.tbl[[#This Row],[Unknown]]=0),1,0)</f>
        <v>0</v>
      </c>
      <c r="AG1687" t="str">
        <f>INDEX(vp.tbl[[#Headers],[Unknown]:[Heavy_SW]],MATCH(1,vp.tbl[[#This Row],[Unknown]:[Heavy_SW]],0))</f>
        <v>Unknown</v>
      </c>
      <c r="AH1687" t="e">
        <f>INDEX([1]!crudeBD.lkup[Number],MATCH(vp.tbl[[#This Row],[Crude_Breakdown]],[1]!crudeBD.lkup[Crude Breakdown],0))</f>
        <v>#REF!</v>
      </c>
      <c r="AI1687">
        <f>MONTH(vp.tbl[[#This Row],[SDate]])</f>
        <v>6</v>
      </c>
      <c r="AJ1687" s="5" t="str">
        <f>IFERROR(vp.tbl[[#This Row],[Sulf]]*vp.tbl[[#This Row],[Net Dens]],"")</f>
        <v/>
      </c>
      <c r="AK1687" s="5" t="str">
        <f>IFERROR(vp.tbl[[#This Row],[Dens]]*vp.tbl[[#This Row],[VolumeM3]],"")</f>
        <v/>
      </c>
      <c r="AL1687" s="5" t="str">
        <f>IFERROR(vp.tbl[[#This Row],[VP]]*vp.tbl[[#This Row],[VolumeM3]],"")</f>
        <v/>
      </c>
      <c r="AM1687" s="4">
        <f>IFERROR((vp.tbl[[#This Row],[VP]]-INDEX(crudeBD.lkup.complete[Mean_VP],MATCH(vp.tbl[[#This Row],[Crude_Breakdown]],crudeBD.lkup.complete[Crude Breakdown],0)))^2,"")</f>
        <v>23.569694881779252</v>
      </c>
      <c r="AN1687" s="4" t="str">
        <f>IFERROR((vp.tbl[[#This Row],[Dens]]-INDEX(crudeBD.lkup.complete[Mean_Dens],MATCH(vp.tbl[[#This Row],[Crude_Breakdown]],crudeBD.lkup.complete[Crude Breakdown],0)))^2,"")</f>
        <v/>
      </c>
      <c r="AO1687" s="4" t="str">
        <f>IFERROR((vp.tbl[[#This Row],[Sulf]]-INDEX(crudeBD.lkup.complete[Mean_Sulf],MATCH(vp.tbl[[#This Row],[Crude_Breakdown]],crudeBD.lkup.complete[Crude Breakdown],0)))^2,"")</f>
        <v/>
      </c>
      <c r="AP1687">
        <f>IF(AND(vp.tbl[[#This Row],[SDate]]&gt;=DATE(YEAR(vp.tbl[[#This Row],[SDate]]),5,1),vp.tbl[[#This Row],[SDate]]&lt;=DATE(YEAR(vp.tbl[[#This Row],[SDate]]),9,15)),1,0)</f>
        <v>1</v>
      </c>
      <c r="AQ1687" s="15">
        <f>IF(vp.tbl[[#This Row],[SDate]]&lt;DATE(2016,12,1),0,1)</f>
        <v>1</v>
      </c>
    </row>
    <row r="1688" spans="1:43" x14ac:dyDescent="0.25">
      <c r="A1688">
        <v>1687</v>
      </c>
      <c r="B1688" t="s">
        <v>49</v>
      </c>
      <c r="C1688" t="s">
        <v>49</v>
      </c>
      <c r="D1688" t="s">
        <v>100</v>
      </c>
      <c r="F1688" s="1">
        <v>42906</v>
      </c>
      <c r="G1688" s="2">
        <v>77.3</v>
      </c>
      <c r="H1688" s="2"/>
      <c r="I1688" s="2" t="s">
        <v>310</v>
      </c>
      <c r="J1688" s="2"/>
      <c r="K1688" s="2"/>
      <c r="L1688" s="2"/>
      <c r="M1688" s="2" t="s">
        <v>310</v>
      </c>
      <c r="N1688" s="2">
        <f ca="1">INDEX(INDIRECT(_xlfn.CONCAT("weather.tbl[",N$1,"]")),MATCH(vp.tbl[[#This Row],[SDate]],weather.tbl[Date],0))</f>
        <v>14.85</v>
      </c>
      <c r="O1688" s="2">
        <f ca="1">INDEX(INDIRECT(_xlfn.CONCAT("weather.tbl[",O$1,"]")),MATCH(vp.tbl[[#This Row],[SDate]],weather.tbl[Date],0))</f>
        <v>14.640476190476191</v>
      </c>
      <c r="P1688" s="2">
        <f ca="1">INDEX(INDIRECT(_xlfn.CONCAT("weather.tbl[",P$1,"]")),MATCH(vp.tbl[[#This Row],[SDate]],weather.tbl[Date],0))</f>
        <v>15</v>
      </c>
      <c r="Q1688" s="2">
        <f ca="1">INDEX(INDIRECT(_xlfn.CONCAT("weather.tbl[",Q$1,"]")),MATCH(vp.tbl[[#This Row],[SDate]],weather.tbl[Date],0))</f>
        <v>16</v>
      </c>
      <c r="R1688" s="2">
        <f ca="1">INDEX(INDIRECT(_xlfn.CONCAT("weather.tbl[",R$1,"]")),MATCH(vp.tbl[[#This Row],[SDate]],weather.tbl[Date],0))</f>
        <v>13.5</v>
      </c>
      <c r="S1688" s="2">
        <f ca="1">INDEX(INDIRECT(_xlfn.CONCAT("weather.tbl[",S$1,"]")),MATCH(vp.tbl[[#This Row],[SDate]],weather.tbl[Date],0))</f>
        <v>15.4</v>
      </c>
      <c r="T1688" s="2">
        <f ca="1">INDEX(INDIRECT(_xlfn.CONCAT("weather.tbl[",T$1,"]")),MATCH(vp.tbl[[#This Row],[SDate]],weather.tbl[Date],0))</f>
        <v>14.4</v>
      </c>
      <c r="U1688" s="2">
        <f ca="1">INDEX(INDIRECT(_xlfn.CONCAT("weather.tbl[",U$1,"]")),MATCH(vp.tbl[[#This Row],[SDate]],weather.tbl[Date],0))</f>
        <v>14.8</v>
      </c>
      <c r="V1688" s="2" t="s">
        <v>310</v>
      </c>
      <c r="W1688" t="s">
        <v>48</v>
      </c>
      <c r="X1688">
        <f>IF(OR(vp.tbl[[#This Row],[Sulf]]="",vp.tbl[[#This Row],[Dens]]=""),1,0)</f>
        <v>1</v>
      </c>
      <c r="Y1688">
        <f>IF(vp.tbl[[#This Row],[CrudeType]]="C5+",1,0)</f>
        <v>0</v>
      </c>
      <c r="Z1688">
        <f>IF(AND(vp.tbl[[#This Row],[CrudeType]]="Crude",vp.tbl[[#This Row],[Dens]]&lt;=825,vp.tbl[[#This Row],[Sulf]]&gt;0.5,vp.tbl[[#This Row],[Unknown]]=0),1,0)</f>
        <v>0</v>
      </c>
      <c r="AA1688">
        <f>IF(AND(vp.tbl[[#This Row],[CrudeType]]="Crude",vp.tbl[[#This Row],[Dens]]&lt;=825,vp.tbl[[#This Row],[Sulf]]&lt;=0.5,vp.tbl[[#This Row],[Unknown]]=0),1,0)</f>
        <v>0</v>
      </c>
      <c r="AB1688">
        <f>IF(AND(vp.tbl[[#This Row],[CrudeType]]="Crude",vp.tbl[[#This Row],[Dens]]&gt;825,vp.tbl[[#This Row],[Dens]]&lt;=870,vp.tbl[[#This Row],[Sulf]]&gt;0.5,vp.tbl[[#This Row],[Unknown]]=0),1,0)</f>
        <v>0</v>
      </c>
      <c r="AC1688">
        <f>IF(AND(vp.tbl[[#This Row],[CrudeType]]="Crude",vp.tbl[[#This Row],[Dens]]&gt;825,vp.tbl[[#This Row],[Dens]]&lt;=900,vp.tbl[[#This Row],[Sulf]]&lt;=0.5,vp.tbl[[#This Row],[Unknown]]=0),1,0)</f>
        <v>0</v>
      </c>
      <c r="AD1688">
        <f>IF(AND(vp.tbl[[#This Row],[CrudeType]]="Crude",vp.tbl[[#This Row],[Dens]]&gt;870,vp.tbl[[#This Row],[Dens]]&lt;=900,vp.tbl[[#This Row],[Sulf]]&gt;0.5,vp.tbl[[#This Row],[Unknown]]=0),1,0)</f>
        <v>0</v>
      </c>
      <c r="AE1688">
        <f>IF(AND(vp.tbl[[#This Row],[CrudeType]]="Crude",vp.tbl[[#This Row],[Dens]]&gt;900,vp.tbl[[#This Row],[Sulf]]&lt;=0.5,vp.tbl[[#This Row],[Unknown]]=0),1,0)</f>
        <v>0</v>
      </c>
      <c r="AF1688">
        <f>IF(AND(vp.tbl[[#This Row],[CrudeType]]="Crude",vp.tbl[[#This Row],[Dens]]&gt;900,vp.tbl[[#This Row],[Sulf]]&lt;=0.5,vp.tbl[[#This Row],[Unknown]]=0),1,0)</f>
        <v>0</v>
      </c>
      <c r="AG1688" t="str">
        <f>INDEX(vp.tbl[[#Headers],[Unknown]:[Heavy_SW]],MATCH(1,vp.tbl[[#This Row],[Unknown]:[Heavy_SW]],0))</f>
        <v>Unknown</v>
      </c>
      <c r="AH1688" t="e">
        <f>INDEX([1]!crudeBD.lkup[Number],MATCH(vp.tbl[[#This Row],[Crude_Breakdown]],[1]!crudeBD.lkup[Crude Breakdown],0))</f>
        <v>#REF!</v>
      </c>
      <c r="AI1688">
        <f>MONTH(vp.tbl[[#This Row],[SDate]])</f>
        <v>6</v>
      </c>
      <c r="AJ1688" s="5" t="str">
        <f>IFERROR(vp.tbl[[#This Row],[Sulf]]*vp.tbl[[#This Row],[Net Dens]],"")</f>
        <v/>
      </c>
      <c r="AK1688" s="5" t="str">
        <f>IFERROR(vp.tbl[[#This Row],[Dens]]*vp.tbl[[#This Row],[VolumeM3]],"")</f>
        <v/>
      </c>
      <c r="AL1688" s="5" t="str">
        <f>IFERROR(vp.tbl[[#This Row],[VP]]*vp.tbl[[#This Row],[VolumeM3]],"")</f>
        <v/>
      </c>
      <c r="AM1688" s="4">
        <f>IFERROR((vp.tbl[[#This Row],[VP]]-INDEX(crudeBD.lkup.complete[Mean_VP],MATCH(vp.tbl[[#This Row],[Crude_Breakdown]],crudeBD.lkup.complete[Crude Breakdown],0)))^2,"")</f>
        <v>11.936078443422959</v>
      </c>
      <c r="AN1688" s="4" t="str">
        <f>IFERROR((vp.tbl[[#This Row],[Dens]]-INDEX(crudeBD.lkup.complete[Mean_Dens],MATCH(vp.tbl[[#This Row],[Crude_Breakdown]],crudeBD.lkup.complete[Crude Breakdown],0)))^2,"")</f>
        <v/>
      </c>
      <c r="AO1688" s="4" t="str">
        <f>IFERROR((vp.tbl[[#This Row],[Sulf]]-INDEX(crudeBD.lkup.complete[Mean_Sulf],MATCH(vp.tbl[[#This Row],[Crude_Breakdown]],crudeBD.lkup.complete[Crude Breakdown],0)))^2,"")</f>
        <v/>
      </c>
      <c r="AP1688">
        <f>IF(AND(vp.tbl[[#This Row],[SDate]]&gt;=DATE(YEAR(vp.tbl[[#This Row],[SDate]]),5,1),vp.tbl[[#This Row],[SDate]]&lt;=DATE(YEAR(vp.tbl[[#This Row],[SDate]]),9,15)),1,0)</f>
        <v>1</v>
      </c>
      <c r="AQ1688" s="15">
        <f>IF(vp.tbl[[#This Row],[SDate]]&lt;DATE(2016,12,1),0,1)</f>
        <v>1</v>
      </c>
    </row>
    <row r="1689" spans="1:43" x14ac:dyDescent="0.25">
      <c r="A1689">
        <v>1688</v>
      </c>
      <c r="B1689" t="s">
        <v>49</v>
      </c>
      <c r="C1689" t="s">
        <v>49</v>
      </c>
      <c r="D1689" t="s">
        <v>67</v>
      </c>
      <c r="F1689" s="1">
        <v>42906</v>
      </c>
      <c r="G1689" s="2">
        <v>82.4</v>
      </c>
      <c r="H1689" s="2"/>
      <c r="I1689" s="2" t="s">
        <v>310</v>
      </c>
      <c r="J1689" s="2"/>
      <c r="K1689" s="2"/>
      <c r="L1689" s="2"/>
      <c r="M1689" s="2" t="s">
        <v>310</v>
      </c>
      <c r="N1689" s="2">
        <f ca="1">INDEX(INDIRECT(_xlfn.CONCAT("weather.tbl[",N$1,"]")),MATCH(vp.tbl[[#This Row],[SDate]],weather.tbl[Date],0))</f>
        <v>14.85</v>
      </c>
      <c r="O1689" s="2">
        <f ca="1">INDEX(INDIRECT(_xlfn.CONCAT("weather.tbl[",O$1,"]")),MATCH(vp.tbl[[#This Row],[SDate]],weather.tbl[Date],0))</f>
        <v>14.640476190476191</v>
      </c>
      <c r="P1689" s="2">
        <f ca="1">INDEX(INDIRECT(_xlfn.CONCAT("weather.tbl[",P$1,"]")),MATCH(vp.tbl[[#This Row],[SDate]],weather.tbl[Date],0))</f>
        <v>15</v>
      </c>
      <c r="Q1689" s="2">
        <f ca="1">INDEX(INDIRECT(_xlfn.CONCAT("weather.tbl[",Q$1,"]")),MATCH(vp.tbl[[#This Row],[SDate]],weather.tbl[Date],0))</f>
        <v>16</v>
      </c>
      <c r="R1689" s="2">
        <f ca="1">INDEX(INDIRECT(_xlfn.CONCAT("weather.tbl[",R$1,"]")),MATCH(vp.tbl[[#This Row],[SDate]],weather.tbl[Date],0))</f>
        <v>13.5</v>
      </c>
      <c r="S1689" s="2">
        <f ca="1">INDEX(INDIRECT(_xlfn.CONCAT("weather.tbl[",S$1,"]")),MATCH(vp.tbl[[#This Row],[SDate]],weather.tbl[Date],0))</f>
        <v>15.4</v>
      </c>
      <c r="T1689" s="2">
        <f ca="1">INDEX(INDIRECT(_xlfn.CONCAT("weather.tbl[",T$1,"]")),MATCH(vp.tbl[[#This Row],[SDate]],weather.tbl[Date],0))</f>
        <v>14.4</v>
      </c>
      <c r="U1689" s="2">
        <f ca="1">INDEX(INDIRECT(_xlfn.CONCAT("weather.tbl[",U$1,"]")),MATCH(vp.tbl[[#This Row],[SDate]],weather.tbl[Date],0))</f>
        <v>14.8</v>
      </c>
      <c r="V1689" s="2" t="s">
        <v>310</v>
      </c>
      <c r="W1689" t="s">
        <v>48</v>
      </c>
      <c r="X1689">
        <f>IF(OR(vp.tbl[[#This Row],[Sulf]]="",vp.tbl[[#This Row],[Dens]]=""),1,0)</f>
        <v>1</v>
      </c>
      <c r="Y1689">
        <f>IF(vp.tbl[[#This Row],[CrudeType]]="C5+",1,0)</f>
        <v>0</v>
      </c>
      <c r="Z1689">
        <f>IF(AND(vp.tbl[[#This Row],[CrudeType]]="Crude",vp.tbl[[#This Row],[Dens]]&lt;=825,vp.tbl[[#This Row],[Sulf]]&gt;0.5,vp.tbl[[#This Row],[Unknown]]=0),1,0)</f>
        <v>0</v>
      </c>
      <c r="AA1689">
        <f>IF(AND(vp.tbl[[#This Row],[CrudeType]]="Crude",vp.tbl[[#This Row],[Dens]]&lt;=825,vp.tbl[[#This Row],[Sulf]]&lt;=0.5,vp.tbl[[#This Row],[Unknown]]=0),1,0)</f>
        <v>0</v>
      </c>
      <c r="AB1689">
        <f>IF(AND(vp.tbl[[#This Row],[CrudeType]]="Crude",vp.tbl[[#This Row],[Dens]]&gt;825,vp.tbl[[#This Row],[Dens]]&lt;=870,vp.tbl[[#This Row],[Sulf]]&gt;0.5,vp.tbl[[#This Row],[Unknown]]=0),1,0)</f>
        <v>0</v>
      </c>
      <c r="AC1689">
        <f>IF(AND(vp.tbl[[#This Row],[CrudeType]]="Crude",vp.tbl[[#This Row],[Dens]]&gt;825,vp.tbl[[#This Row],[Dens]]&lt;=900,vp.tbl[[#This Row],[Sulf]]&lt;=0.5,vp.tbl[[#This Row],[Unknown]]=0),1,0)</f>
        <v>0</v>
      </c>
      <c r="AD1689">
        <f>IF(AND(vp.tbl[[#This Row],[CrudeType]]="Crude",vp.tbl[[#This Row],[Dens]]&gt;870,vp.tbl[[#This Row],[Dens]]&lt;=900,vp.tbl[[#This Row],[Sulf]]&gt;0.5,vp.tbl[[#This Row],[Unknown]]=0),1,0)</f>
        <v>0</v>
      </c>
      <c r="AE1689">
        <f>IF(AND(vp.tbl[[#This Row],[CrudeType]]="Crude",vp.tbl[[#This Row],[Dens]]&gt;900,vp.tbl[[#This Row],[Sulf]]&lt;=0.5,vp.tbl[[#This Row],[Unknown]]=0),1,0)</f>
        <v>0</v>
      </c>
      <c r="AF1689">
        <f>IF(AND(vp.tbl[[#This Row],[CrudeType]]="Crude",vp.tbl[[#This Row],[Dens]]&gt;900,vp.tbl[[#This Row],[Sulf]]&lt;=0.5,vp.tbl[[#This Row],[Unknown]]=0),1,0)</f>
        <v>0</v>
      </c>
      <c r="AG1689" t="str">
        <f>INDEX(vp.tbl[[#Headers],[Unknown]:[Heavy_SW]],MATCH(1,vp.tbl[[#This Row],[Unknown]:[Heavy_SW]],0))</f>
        <v>Unknown</v>
      </c>
      <c r="AH1689" t="e">
        <f>INDEX([1]!crudeBD.lkup[Number],MATCH(vp.tbl[[#This Row],[Crude_Breakdown]],[1]!crudeBD.lkup[Crude Breakdown],0))</f>
        <v>#REF!</v>
      </c>
      <c r="AI1689">
        <f>MONTH(vp.tbl[[#This Row],[SDate]])</f>
        <v>6</v>
      </c>
      <c r="AJ1689" s="5" t="str">
        <f>IFERROR(vp.tbl[[#This Row],[Sulf]]*vp.tbl[[#This Row],[Net Dens]],"")</f>
        <v/>
      </c>
      <c r="AK1689" s="5" t="str">
        <f>IFERROR(vp.tbl[[#This Row],[Dens]]*vp.tbl[[#This Row],[VolumeM3]],"")</f>
        <v/>
      </c>
      <c r="AL1689" s="5" t="str">
        <f>IFERROR(vp.tbl[[#This Row],[VP]]*vp.tbl[[#This Row],[VolumeM3]],"")</f>
        <v/>
      </c>
      <c r="AM1689" s="4">
        <f>IFERROR((vp.tbl[[#This Row],[VP]]-INDEX(crudeBD.lkup.complete[Mean_VP],MATCH(vp.tbl[[#This Row],[Crude_Breakdown]],crudeBD.lkup.complete[Crude Breakdown],0)))^2,"")</f>
        <v>73.185681183149399</v>
      </c>
      <c r="AN1689" s="4" t="str">
        <f>IFERROR((vp.tbl[[#This Row],[Dens]]-INDEX(crudeBD.lkup.complete[Mean_Dens],MATCH(vp.tbl[[#This Row],[Crude_Breakdown]],crudeBD.lkup.complete[Crude Breakdown],0)))^2,"")</f>
        <v/>
      </c>
      <c r="AO1689" s="4" t="str">
        <f>IFERROR((vp.tbl[[#This Row],[Sulf]]-INDEX(crudeBD.lkup.complete[Mean_Sulf],MATCH(vp.tbl[[#This Row],[Crude_Breakdown]],crudeBD.lkup.complete[Crude Breakdown],0)))^2,"")</f>
        <v/>
      </c>
      <c r="AP1689">
        <f>IF(AND(vp.tbl[[#This Row],[SDate]]&gt;=DATE(YEAR(vp.tbl[[#This Row],[SDate]]),5,1),vp.tbl[[#This Row],[SDate]]&lt;=DATE(YEAR(vp.tbl[[#This Row],[SDate]]),9,15)),1,0)</f>
        <v>1</v>
      </c>
      <c r="AQ1689" s="15">
        <f>IF(vp.tbl[[#This Row],[SDate]]&lt;DATE(2016,12,1),0,1)</f>
        <v>1</v>
      </c>
    </row>
    <row r="1690" spans="1:43" x14ac:dyDescent="0.25">
      <c r="A1690">
        <v>1689</v>
      </c>
      <c r="B1690" t="s">
        <v>49</v>
      </c>
      <c r="C1690" t="s">
        <v>49</v>
      </c>
      <c r="D1690" t="s">
        <v>59</v>
      </c>
      <c r="F1690" s="1">
        <v>42906</v>
      </c>
      <c r="G1690" s="2">
        <v>75.5</v>
      </c>
      <c r="H1690" s="2"/>
      <c r="I1690" s="2" t="s">
        <v>310</v>
      </c>
      <c r="J1690" s="2"/>
      <c r="K1690" s="2"/>
      <c r="L1690" s="2"/>
      <c r="M1690" s="2" t="s">
        <v>310</v>
      </c>
      <c r="N1690" s="2">
        <f ca="1">INDEX(INDIRECT(_xlfn.CONCAT("weather.tbl[",N$1,"]")),MATCH(vp.tbl[[#This Row],[SDate]],weather.tbl[Date],0))</f>
        <v>14.85</v>
      </c>
      <c r="O1690" s="2">
        <f ca="1">INDEX(INDIRECT(_xlfn.CONCAT("weather.tbl[",O$1,"]")),MATCH(vp.tbl[[#This Row],[SDate]],weather.tbl[Date],0))</f>
        <v>14.640476190476191</v>
      </c>
      <c r="P1690" s="2">
        <f ca="1">INDEX(INDIRECT(_xlfn.CONCAT("weather.tbl[",P$1,"]")),MATCH(vp.tbl[[#This Row],[SDate]],weather.tbl[Date],0))</f>
        <v>15</v>
      </c>
      <c r="Q1690" s="2">
        <f ca="1">INDEX(INDIRECT(_xlfn.CONCAT("weather.tbl[",Q$1,"]")),MATCH(vp.tbl[[#This Row],[SDate]],weather.tbl[Date],0))</f>
        <v>16</v>
      </c>
      <c r="R1690" s="2">
        <f ca="1">INDEX(INDIRECT(_xlfn.CONCAT("weather.tbl[",R$1,"]")),MATCH(vp.tbl[[#This Row],[SDate]],weather.tbl[Date],0))</f>
        <v>13.5</v>
      </c>
      <c r="S1690" s="2">
        <f ca="1">INDEX(INDIRECT(_xlfn.CONCAT("weather.tbl[",S$1,"]")),MATCH(vp.tbl[[#This Row],[SDate]],weather.tbl[Date],0))</f>
        <v>15.4</v>
      </c>
      <c r="T1690" s="2">
        <f ca="1">INDEX(INDIRECT(_xlfn.CONCAT("weather.tbl[",T$1,"]")),MATCH(vp.tbl[[#This Row],[SDate]],weather.tbl[Date],0))</f>
        <v>14.4</v>
      </c>
      <c r="U1690" s="2">
        <f ca="1">INDEX(INDIRECT(_xlfn.CONCAT("weather.tbl[",U$1,"]")),MATCH(vp.tbl[[#This Row],[SDate]],weather.tbl[Date],0))</f>
        <v>14.8</v>
      </c>
      <c r="V1690" s="2" t="s">
        <v>310</v>
      </c>
      <c r="W1690" t="s">
        <v>48</v>
      </c>
      <c r="X1690">
        <f>IF(OR(vp.tbl[[#This Row],[Sulf]]="",vp.tbl[[#This Row],[Dens]]=""),1,0)</f>
        <v>1</v>
      </c>
      <c r="Y1690">
        <f>IF(vp.tbl[[#This Row],[CrudeType]]="C5+",1,0)</f>
        <v>0</v>
      </c>
      <c r="Z1690">
        <f>IF(AND(vp.tbl[[#This Row],[CrudeType]]="Crude",vp.tbl[[#This Row],[Dens]]&lt;=825,vp.tbl[[#This Row],[Sulf]]&gt;0.5,vp.tbl[[#This Row],[Unknown]]=0),1,0)</f>
        <v>0</v>
      </c>
      <c r="AA1690">
        <f>IF(AND(vp.tbl[[#This Row],[CrudeType]]="Crude",vp.tbl[[#This Row],[Dens]]&lt;=825,vp.tbl[[#This Row],[Sulf]]&lt;=0.5,vp.tbl[[#This Row],[Unknown]]=0),1,0)</f>
        <v>0</v>
      </c>
      <c r="AB1690">
        <f>IF(AND(vp.tbl[[#This Row],[CrudeType]]="Crude",vp.tbl[[#This Row],[Dens]]&gt;825,vp.tbl[[#This Row],[Dens]]&lt;=870,vp.tbl[[#This Row],[Sulf]]&gt;0.5,vp.tbl[[#This Row],[Unknown]]=0),1,0)</f>
        <v>0</v>
      </c>
      <c r="AC1690">
        <f>IF(AND(vp.tbl[[#This Row],[CrudeType]]="Crude",vp.tbl[[#This Row],[Dens]]&gt;825,vp.tbl[[#This Row],[Dens]]&lt;=900,vp.tbl[[#This Row],[Sulf]]&lt;=0.5,vp.tbl[[#This Row],[Unknown]]=0),1,0)</f>
        <v>0</v>
      </c>
      <c r="AD1690">
        <f>IF(AND(vp.tbl[[#This Row],[CrudeType]]="Crude",vp.tbl[[#This Row],[Dens]]&gt;870,vp.tbl[[#This Row],[Dens]]&lt;=900,vp.tbl[[#This Row],[Sulf]]&gt;0.5,vp.tbl[[#This Row],[Unknown]]=0),1,0)</f>
        <v>0</v>
      </c>
      <c r="AE1690">
        <f>IF(AND(vp.tbl[[#This Row],[CrudeType]]="Crude",vp.tbl[[#This Row],[Dens]]&gt;900,vp.tbl[[#This Row],[Sulf]]&lt;=0.5,vp.tbl[[#This Row],[Unknown]]=0),1,0)</f>
        <v>0</v>
      </c>
      <c r="AF1690">
        <f>IF(AND(vp.tbl[[#This Row],[CrudeType]]="Crude",vp.tbl[[#This Row],[Dens]]&gt;900,vp.tbl[[#This Row],[Sulf]]&lt;=0.5,vp.tbl[[#This Row],[Unknown]]=0),1,0)</f>
        <v>0</v>
      </c>
      <c r="AG1690" t="str">
        <f>INDEX(vp.tbl[[#Headers],[Unknown]:[Heavy_SW]],MATCH(1,vp.tbl[[#This Row],[Unknown]:[Heavy_SW]],0))</f>
        <v>Unknown</v>
      </c>
      <c r="AH1690" t="e">
        <f>INDEX([1]!crudeBD.lkup[Number],MATCH(vp.tbl[[#This Row],[Crude_Breakdown]],[1]!crudeBD.lkup[Crude Breakdown],0))</f>
        <v>#REF!</v>
      </c>
      <c r="AI1690">
        <f>MONTH(vp.tbl[[#This Row],[SDate]])</f>
        <v>6</v>
      </c>
      <c r="AJ1690" s="5" t="str">
        <f>IFERROR(vp.tbl[[#This Row],[Sulf]]*vp.tbl[[#This Row],[Net Dens]],"")</f>
        <v/>
      </c>
      <c r="AK1690" s="5" t="str">
        <f>IFERROR(vp.tbl[[#This Row],[Dens]]*vp.tbl[[#This Row],[VolumeM3]],"")</f>
        <v/>
      </c>
      <c r="AL1690" s="5" t="str">
        <f>IFERROR(vp.tbl[[#This Row],[VP]]*vp.tbl[[#This Row],[VolumeM3]],"")</f>
        <v/>
      </c>
      <c r="AM1690" s="4">
        <f>IFERROR((vp.tbl[[#This Row],[VP]]-INDEX(crudeBD.lkup.complete[Mean_VP],MATCH(vp.tbl[[#This Row],[Crude_Breakdown]],crudeBD.lkup.complete[Crude Breakdown],0)))^2,"")</f>
        <v>2.7385715941078077</v>
      </c>
      <c r="AN1690" s="4" t="str">
        <f>IFERROR((vp.tbl[[#This Row],[Dens]]-INDEX(crudeBD.lkup.complete[Mean_Dens],MATCH(vp.tbl[[#This Row],[Crude_Breakdown]],crudeBD.lkup.complete[Crude Breakdown],0)))^2,"")</f>
        <v/>
      </c>
      <c r="AO1690" s="4" t="str">
        <f>IFERROR((vp.tbl[[#This Row],[Sulf]]-INDEX(crudeBD.lkup.complete[Mean_Sulf],MATCH(vp.tbl[[#This Row],[Crude_Breakdown]],crudeBD.lkup.complete[Crude Breakdown],0)))^2,"")</f>
        <v/>
      </c>
      <c r="AP1690">
        <f>IF(AND(vp.tbl[[#This Row],[SDate]]&gt;=DATE(YEAR(vp.tbl[[#This Row],[SDate]]),5,1),vp.tbl[[#This Row],[SDate]]&lt;=DATE(YEAR(vp.tbl[[#This Row],[SDate]]),9,15)),1,0)</f>
        <v>1</v>
      </c>
      <c r="AQ1690" s="15">
        <f>IF(vp.tbl[[#This Row],[SDate]]&lt;DATE(2016,12,1),0,1)</f>
        <v>1</v>
      </c>
    </row>
    <row r="1691" spans="1:43" x14ac:dyDescent="0.25">
      <c r="A1691">
        <v>1690</v>
      </c>
      <c r="B1691" t="s">
        <v>68</v>
      </c>
      <c r="C1691" t="s">
        <v>68</v>
      </c>
      <c r="D1691" t="s">
        <v>98</v>
      </c>
      <c r="F1691" s="1">
        <v>42906</v>
      </c>
      <c r="G1691" s="2">
        <v>58.1</v>
      </c>
      <c r="H1691" s="2"/>
      <c r="I1691" s="2" t="s">
        <v>310</v>
      </c>
      <c r="J1691" s="2"/>
      <c r="K1691" s="2"/>
      <c r="L1691" s="2"/>
      <c r="M1691" s="2" t="s">
        <v>310</v>
      </c>
      <c r="N1691" s="2">
        <f ca="1">INDEX(INDIRECT(_xlfn.CONCAT("weather.tbl[",N$1,"]")),MATCH(vp.tbl[[#This Row],[SDate]],weather.tbl[Date],0))</f>
        <v>14.85</v>
      </c>
      <c r="O1691" s="2">
        <f ca="1">INDEX(INDIRECT(_xlfn.CONCAT("weather.tbl[",O$1,"]")),MATCH(vp.tbl[[#This Row],[SDate]],weather.tbl[Date],0))</f>
        <v>14.640476190476191</v>
      </c>
      <c r="P1691" s="2">
        <f ca="1">INDEX(INDIRECT(_xlfn.CONCAT("weather.tbl[",P$1,"]")),MATCH(vp.tbl[[#This Row],[SDate]],weather.tbl[Date],0))</f>
        <v>15</v>
      </c>
      <c r="Q1691" s="2">
        <f ca="1">INDEX(INDIRECT(_xlfn.CONCAT("weather.tbl[",Q$1,"]")),MATCH(vp.tbl[[#This Row],[SDate]],weather.tbl[Date],0))</f>
        <v>16</v>
      </c>
      <c r="R1691" s="2">
        <f ca="1">INDEX(INDIRECT(_xlfn.CONCAT("weather.tbl[",R$1,"]")),MATCH(vp.tbl[[#This Row],[SDate]],weather.tbl[Date],0))</f>
        <v>13.5</v>
      </c>
      <c r="S1691" s="2">
        <f ca="1">INDEX(INDIRECT(_xlfn.CONCAT("weather.tbl[",S$1,"]")),MATCH(vp.tbl[[#This Row],[SDate]],weather.tbl[Date],0))</f>
        <v>15.4</v>
      </c>
      <c r="T1691" s="2">
        <f ca="1">INDEX(INDIRECT(_xlfn.CONCAT("weather.tbl[",T$1,"]")),MATCH(vp.tbl[[#This Row],[SDate]],weather.tbl[Date],0))</f>
        <v>14.4</v>
      </c>
      <c r="U1691" s="2">
        <f ca="1">INDEX(INDIRECT(_xlfn.CONCAT("weather.tbl[",U$1,"]")),MATCH(vp.tbl[[#This Row],[SDate]],weather.tbl[Date],0))</f>
        <v>14.8</v>
      </c>
      <c r="V1691" s="2" t="s">
        <v>310</v>
      </c>
      <c r="W1691" t="s">
        <v>48</v>
      </c>
      <c r="X1691">
        <f>IF(OR(vp.tbl[[#This Row],[Sulf]]="",vp.tbl[[#This Row],[Dens]]=""),1,0)</f>
        <v>1</v>
      </c>
      <c r="Y1691">
        <f>IF(vp.tbl[[#This Row],[CrudeType]]="C5+",1,0)</f>
        <v>0</v>
      </c>
      <c r="Z1691">
        <f>IF(AND(vp.tbl[[#This Row],[CrudeType]]="Crude",vp.tbl[[#This Row],[Dens]]&lt;=825,vp.tbl[[#This Row],[Sulf]]&gt;0.5,vp.tbl[[#This Row],[Unknown]]=0),1,0)</f>
        <v>0</v>
      </c>
      <c r="AA1691">
        <f>IF(AND(vp.tbl[[#This Row],[CrudeType]]="Crude",vp.tbl[[#This Row],[Dens]]&lt;=825,vp.tbl[[#This Row],[Sulf]]&lt;=0.5,vp.tbl[[#This Row],[Unknown]]=0),1,0)</f>
        <v>0</v>
      </c>
      <c r="AB1691">
        <f>IF(AND(vp.tbl[[#This Row],[CrudeType]]="Crude",vp.tbl[[#This Row],[Dens]]&gt;825,vp.tbl[[#This Row],[Dens]]&lt;=870,vp.tbl[[#This Row],[Sulf]]&gt;0.5,vp.tbl[[#This Row],[Unknown]]=0),1,0)</f>
        <v>0</v>
      </c>
      <c r="AC1691">
        <f>IF(AND(vp.tbl[[#This Row],[CrudeType]]="Crude",vp.tbl[[#This Row],[Dens]]&gt;825,vp.tbl[[#This Row],[Dens]]&lt;=900,vp.tbl[[#This Row],[Sulf]]&lt;=0.5,vp.tbl[[#This Row],[Unknown]]=0),1,0)</f>
        <v>0</v>
      </c>
      <c r="AD1691">
        <f>IF(AND(vp.tbl[[#This Row],[CrudeType]]="Crude",vp.tbl[[#This Row],[Dens]]&gt;870,vp.tbl[[#This Row],[Dens]]&lt;=900,vp.tbl[[#This Row],[Sulf]]&gt;0.5,vp.tbl[[#This Row],[Unknown]]=0),1,0)</f>
        <v>0</v>
      </c>
      <c r="AE1691">
        <f>IF(AND(vp.tbl[[#This Row],[CrudeType]]="Crude",vp.tbl[[#This Row],[Dens]]&gt;900,vp.tbl[[#This Row],[Sulf]]&lt;=0.5,vp.tbl[[#This Row],[Unknown]]=0),1,0)</f>
        <v>0</v>
      </c>
      <c r="AF1691">
        <f>IF(AND(vp.tbl[[#This Row],[CrudeType]]="Crude",vp.tbl[[#This Row],[Dens]]&gt;900,vp.tbl[[#This Row],[Sulf]]&lt;=0.5,vp.tbl[[#This Row],[Unknown]]=0),1,0)</f>
        <v>0</v>
      </c>
      <c r="AG1691" t="str">
        <f>INDEX(vp.tbl[[#Headers],[Unknown]:[Heavy_SW]],MATCH(1,vp.tbl[[#This Row],[Unknown]:[Heavy_SW]],0))</f>
        <v>Unknown</v>
      </c>
      <c r="AH1691" t="e">
        <f>INDEX([1]!crudeBD.lkup[Number],MATCH(vp.tbl[[#This Row],[Crude_Breakdown]],[1]!crudeBD.lkup[Crude Breakdown],0))</f>
        <v>#REF!</v>
      </c>
      <c r="AI1691">
        <f>MONTH(vp.tbl[[#This Row],[SDate]])</f>
        <v>6</v>
      </c>
      <c r="AJ1691" s="5" t="str">
        <f>IFERROR(vp.tbl[[#This Row],[Sulf]]*vp.tbl[[#This Row],[Net Dens]],"")</f>
        <v/>
      </c>
      <c r="AK1691" s="5" t="str">
        <f>IFERROR(vp.tbl[[#This Row],[Dens]]*vp.tbl[[#This Row],[VolumeM3]],"")</f>
        <v/>
      </c>
      <c r="AL1691" s="5" t="str">
        <f>IFERROR(vp.tbl[[#This Row],[VP]]*vp.tbl[[#This Row],[VolumeM3]],"")</f>
        <v/>
      </c>
      <c r="AM1691" s="4">
        <f>IFERROR((vp.tbl[[#This Row],[VP]]-INDEX(crudeBD.lkup.complete[Mean_VP],MATCH(vp.tbl[[#This Row],[Crude_Breakdown]],crudeBD.lkup.complete[Crude Breakdown],0)))^2,"")</f>
        <v>247.90933871739443</v>
      </c>
      <c r="AN1691" s="4" t="str">
        <f>IFERROR((vp.tbl[[#This Row],[Dens]]-INDEX(crudeBD.lkup.complete[Mean_Dens],MATCH(vp.tbl[[#This Row],[Crude_Breakdown]],crudeBD.lkup.complete[Crude Breakdown],0)))^2,"")</f>
        <v/>
      </c>
      <c r="AO1691" s="4" t="str">
        <f>IFERROR((vp.tbl[[#This Row],[Sulf]]-INDEX(crudeBD.lkup.complete[Mean_Sulf],MATCH(vp.tbl[[#This Row],[Crude_Breakdown]],crudeBD.lkup.complete[Crude Breakdown],0)))^2,"")</f>
        <v/>
      </c>
      <c r="AP1691">
        <f>IF(AND(vp.tbl[[#This Row],[SDate]]&gt;=DATE(YEAR(vp.tbl[[#This Row],[SDate]]),5,1),vp.tbl[[#This Row],[SDate]]&lt;=DATE(YEAR(vp.tbl[[#This Row],[SDate]]),9,15)),1,0)</f>
        <v>1</v>
      </c>
      <c r="AQ1691" s="15">
        <f>IF(vp.tbl[[#This Row],[SDate]]&lt;DATE(2016,12,1),0,1)</f>
        <v>1</v>
      </c>
    </row>
    <row r="1692" spans="1:43" x14ac:dyDescent="0.25">
      <c r="A1692">
        <v>1691</v>
      </c>
      <c r="B1692" t="s">
        <v>68</v>
      </c>
      <c r="C1692" t="s">
        <v>68</v>
      </c>
      <c r="D1692" t="s">
        <v>110</v>
      </c>
      <c r="F1692" s="1">
        <v>42906</v>
      </c>
      <c r="G1692" s="2">
        <v>65.3</v>
      </c>
      <c r="H1692" s="2"/>
      <c r="I1692" s="2" t="s">
        <v>310</v>
      </c>
      <c r="J1692" s="2"/>
      <c r="K1692" s="2"/>
      <c r="L1692" s="2"/>
      <c r="M1692" s="2" t="s">
        <v>310</v>
      </c>
      <c r="N1692" s="2">
        <f ca="1">INDEX(INDIRECT(_xlfn.CONCAT("weather.tbl[",N$1,"]")),MATCH(vp.tbl[[#This Row],[SDate]],weather.tbl[Date],0))</f>
        <v>14.85</v>
      </c>
      <c r="O1692" s="2">
        <f ca="1">INDEX(INDIRECT(_xlfn.CONCAT("weather.tbl[",O$1,"]")),MATCH(vp.tbl[[#This Row],[SDate]],weather.tbl[Date],0))</f>
        <v>14.640476190476191</v>
      </c>
      <c r="P1692" s="2">
        <f ca="1">INDEX(INDIRECT(_xlfn.CONCAT("weather.tbl[",P$1,"]")),MATCH(vp.tbl[[#This Row],[SDate]],weather.tbl[Date],0))</f>
        <v>15</v>
      </c>
      <c r="Q1692" s="2">
        <f ca="1">INDEX(INDIRECT(_xlfn.CONCAT("weather.tbl[",Q$1,"]")),MATCH(vp.tbl[[#This Row],[SDate]],weather.tbl[Date],0))</f>
        <v>16</v>
      </c>
      <c r="R1692" s="2">
        <f ca="1">INDEX(INDIRECT(_xlfn.CONCAT("weather.tbl[",R$1,"]")),MATCH(vp.tbl[[#This Row],[SDate]],weather.tbl[Date],0))</f>
        <v>13.5</v>
      </c>
      <c r="S1692" s="2">
        <f ca="1">INDEX(INDIRECT(_xlfn.CONCAT("weather.tbl[",S$1,"]")),MATCH(vp.tbl[[#This Row],[SDate]],weather.tbl[Date],0))</f>
        <v>15.4</v>
      </c>
      <c r="T1692" s="2">
        <f ca="1">INDEX(INDIRECT(_xlfn.CONCAT("weather.tbl[",T$1,"]")),MATCH(vp.tbl[[#This Row],[SDate]],weather.tbl[Date],0))</f>
        <v>14.4</v>
      </c>
      <c r="U1692" s="2">
        <f ca="1">INDEX(INDIRECT(_xlfn.CONCAT("weather.tbl[",U$1,"]")),MATCH(vp.tbl[[#This Row],[SDate]],weather.tbl[Date],0))</f>
        <v>14.8</v>
      </c>
      <c r="V1692" s="2" t="s">
        <v>310</v>
      </c>
      <c r="W1692" t="s">
        <v>48</v>
      </c>
      <c r="X1692">
        <f>IF(OR(vp.tbl[[#This Row],[Sulf]]="",vp.tbl[[#This Row],[Dens]]=""),1,0)</f>
        <v>1</v>
      </c>
      <c r="Y1692">
        <f>IF(vp.tbl[[#This Row],[CrudeType]]="C5+",1,0)</f>
        <v>0</v>
      </c>
      <c r="Z1692">
        <f>IF(AND(vp.tbl[[#This Row],[CrudeType]]="Crude",vp.tbl[[#This Row],[Dens]]&lt;=825,vp.tbl[[#This Row],[Sulf]]&gt;0.5,vp.tbl[[#This Row],[Unknown]]=0),1,0)</f>
        <v>0</v>
      </c>
      <c r="AA1692">
        <f>IF(AND(vp.tbl[[#This Row],[CrudeType]]="Crude",vp.tbl[[#This Row],[Dens]]&lt;=825,vp.tbl[[#This Row],[Sulf]]&lt;=0.5,vp.tbl[[#This Row],[Unknown]]=0),1,0)</f>
        <v>0</v>
      </c>
      <c r="AB1692">
        <f>IF(AND(vp.tbl[[#This Row],[CrudeType]]="Crude",vp.tbl[[#This Row],[Dens]]&gt;825,vp.tbl[[#This Row],[Dens]]&lt;=870,vp.tbl[[#This Row],[Sulf]]&gt;0.5,vp.tbl[[#This Row],[Unknown]]=0),1,0)</f>
        <v>0</v>
      </c>
      <c r="AC1692">
        <f>IF(AND(vp.tbl[[#This Row],[CrudeType]]="Crude",vp.tbl[[#This Row],[Dens]]&gt;825,vp.tbl[[#This Row],[Dens]]&lt;=900,vp.tbl[[#This Row],[Sulf]]&lt;=0.5,vp.tbl[[#This Row],[Unknown]]=0),1,0)</f>
        <v>0</v>
      </c>
      <c r="AD1692">
        <f>IF(AND(vp.tbl[[#This Row],[CrudeType]]="Crude",vp.tbl[[#This Row],[Dens]]&gt;870,vp.tbl[[#This Row],[Dens]]&lt;=900,vp.tbl[[#This Row],[Sulf]]&gt;0.5,vp.tbl[[#This Row],[Unknown]]=0),1,0)</f>
        <v>0</v>
      </c>
      <c r="AE1692">
        <f>IF(AND(vp.tbl[[#This Row],[CrudeType]]="Crude",vp.tbl[[#This Row],[Dens]]&gt;900,vp.tbl[[#This Row],[Sulf]]&lt;=0.5,vp.tbl[[#This Row],[Unknown]]=0),1,0)</f>
        <v>0</v>
      </c>
      <c r="AF1692">
        <f>IF(AND(vp.tbl[[#This Row],[CrudeType]]="Crude",vp.tbl[[#This Row],[Dens]]&gt;900,vp.tbl[[#This Row],[Sulf]]&lt;=0.5,vp.tbl[[#This Row],[Unknown]]=0),1,0)</f>
        <v>0</v>
      </c>
      <c r="AG1692" t="str">
        <f>INDEX(vp.tbl[[#Headers],[Unknown]:[Heavy_SW]],MATCH(1,vp.tbl[[#This Row],[Unknown]:[Heavy_SW]],0))</f>
        <v>Unknown</v>
      </c>
      <c r="AH1692" t="e">
        <f>INDEX([1]!crudeBD.lkup[Number],MATCH(vp.tbl[[#This Row],[Crude_Breakdown]],[1]!crudeBD.lkup[Crude Breakdown],0))</f>
        <v>#REF!</v>
      </c>
      <c r="AI1692">
        <f>MONTH(vp.tbl[[#This Row],[SDate]])</f>
        <v>6</v>
      </c>
      <c r="AJ1692" s="5" t="str">
        <f>IFERROR(vp.tbl[[#This Row],[Sulf]]*vp.tbl[[#This Row],[Net Dens]],"")</f>
        <v/>
      </c>
      <c r="AK1692" s="5" t="str">
        <f>IFERROR(vp.tbl[[#This Row],[Dens]]*vp.tbl[[#This Row],[VolumeM3]],"")</f>
        <v/>
      </c>
      <c r="AL1692" s="5" t="str">
        <f>IFERROR(vp.tbl[[#This Row],[VP]]*vp.tbl[[#This Row],[VolumeM3]],"")</f>
        <v/>
      </c>
      <c r="AM1692" s="4">
        <f>IFERROR((vp.tbl[[#This Row],[VP]]-INDEX(crudeBD.lkup.complete[Mean_VP],MATCH(vp.tbl[[#This Row],[Crude_Breakdown]],crudeBD.lkup.complete[Crude Breakdown],0)))^2,"")</f>
        <v>73.019366114655213</v>
      </c>
      <c r="AN1692" s="4" t="str">
        <f>IFERROR((vp.tbl[[#This Row],[Dens]]-INDEX(crudeBD.lkup.complete[Mean_Dens],MATCH(vp.tbl[[#This Row],[Crude_Breakdown]],crudeBD.lkup.complete[Crude Breakdown],0)))^2,"")</f>
        <v/>
      </c>
      <c r="AO1692" s="4" t="str">
        <f>IFERROR((vp.tbl[[#This Row],[Sulf]]-INDEX(crudeBD.lkup.complete[Mean_Sulf],MATCH(vp.tbl[[#This Row],[Crude_Breakdown]],crudeBD.lkup.complete[Crude Breakdown],0)))^2,"")</f>
        <v/>
      </c>
      <c r="AP1692">
        <f>IF(AND(vp.tbl[[#This Row],[SDate]]&gt;=DATE(YEAR(vp.tbl[[#This Row],[SDate]]),5,1),vp.tbl[[#This Row],[SDate]]&lt;=DATE(YEAR(vp.tbl[[#This Row],[SDate]]),9,15)),1,0)</f>
        <v>1</v>
      </c>
      <c r="AQ1692" s="15">
        <f>IF(vp.tbl[[#This Row],[SDate]]&lt;DATE(2016,12,1),0,1)</f>
        <v>1</v>
      </c>
    </row>
    <row r="1693" spans="1:43" x14ac:dyDescent="0.25">
      <c r="A1693">
        <v>1692</v>
      </c>
      <c r="B1693" t="s">
        <v>49</v>
      </c>
      <c r="C1693" t="s">
        <v>49</v>
      </c>
      <c r="D1693" t="s">
        <v>81</v>
      </c>
      <c r="F1693" s="1">
        <v>42906</v>
      </c>
      <c r="G1693" s="2">
        <v>73.3</v>
      </c>
      <c r="H1693" s="2"/>
      <c r="I1693" s="2" t="s">
        <v>310</v>
      </c>
      <c r="J1693" s="2"/>
      <c r="K1693" s="2"/>
      <c r="L1693" s="2"/>
      <c r="M1693" s="2" t="s">
        <v>310</v>
      </c>
      <c r="N1693" s="2">
        <f ca="1">INDEX(INDIRECT(_xlfn.CONCAT("weather.tbl[",N$1,"]")),MATCH(vp.tbl[[#This Row],[SDate]],weather.tbl[Date],0))</f>
        <v>14.85</v>
      </c>
      <c r="O1693" s="2">
        <f ca="1">INDEX(INDIRECT(_xlfn.CONCAT("weather.tbl[",O$1,"]")),MATCH(vp.tbl[[#This Row],[SDate]],weather.tbl[Date],0))</f>
        <v>14.640476190476191</v>
      </c>
      <c r="P1693" s="2">
        <f ca="1">INDEX(INDIRECT(_xlfn.CONCAT("weather.tbl[",P$1,"]")),MATCH(vp.tbl[[#This Row],[SDate]],weather.tbl[Date],0))</f>
        <v>15</v>
      </c>
      <c r="Q1693" s="2">
        <f ca="1">INDEX(INDIRECT(_xlfn.CONCAT("weather.tbl[",Q$1,"]")),MATCH(vp.tbl[[#This Row],[SDate]],weather.tbl[Date],0))</f>
        <v>16</v>
      </c>
      <c r="R1693" s="2">
        <f ca="1">INDEX(INDIRECT(_xlfn.CONCAT("weather.tbl[",R$1,"]")),MATCH(vp.tbl[[#This Row],[SDate]],weather.tbl[Date],0))</f>
        <v>13.5</v>
      </c>
      <c r="S1693" s="2">
        <f ca="1">INDEX(INDIRECT(_xlfn.CONCAT("weather.tbl[",S$1,"]")),MATCH(vp.tbl[[#This Row],[SDate]],weather.tbl[Date],0))</f>
        <v>15.4</v>
      </c>
      <c r="T1693" s="2">
        <f ca="1">INDEX(INDIRECT(_xlfn.CONCAT("weather.tbl[",T$1,"]")),MATCH(vp.tbl[[#This Row],[SDate]],weather.tbl[Date],0))</f>
        <v>14.4</v>
      </c>
      <c r="U1693" s="2">
        <f ca="1">INDEX(INDIRECT(_xlfn.CONCAT("weather.tbl[",U$1,"]")),MATCH(vp.tbl[[#This Row],[SDate]],weather.tbl[Date],0))</f>
        <v>14.8</v>
      </c>
      <c r="V1693" s="2" t="s">
        <v>310</v>
      </c>
      <c r="W1693" t="s">
        <v>48</v>
      </c>
      <c r="X1693">
        <f>IF(OR(vp.tbl[[#This Row],[Sulf]]="",vp.tbl[[#This Row],[Dens]]=""),1,0)</f>
        <v>1</v>
      </c>
      <c r="Y1693">
        <f>IF(vp.tbl[[#This Row],[CrudeType]]="C5+",1,0)</f>
        <v>0</v>
      </c>
      <c r="Z1693">
        <f>IF(AND(vp.tbl[[#This Row],[CrudeType]]="Crude",vp.tbl[[#This Row],[Dens]]&lt;=825,vp.tbl[[#This Row],[Sulf]]&gt;0.5,vp.tbl[[#This Row],[Unknown]]=0),1,0)</f>
        <v>0</v>
      </c>
      <c r="AA1693">
        <f>IF(AND(vp.tbl[[#This Row],[CrudeType]]="Crude",vp.tbl[[#This Row],[Dens]]&lt;=825,vp.tbl[[#This Row],[Sulf]]&lt;=0.5,vp.tbl[[#This Row],[Unknown]]=0),1,0)</f>
        <v>0</v>
      </c>
      <c r="AB1693">
        <f>IF(AND(vp.tbl[[#This Row],[CrudeType]]="Crude",vp.tbl[[#This Row],[Dens]]&gt;825,vp.tbl[[#This Row],[Dens]]&lt;=870,vp.tbl[[#This Row],[Sulf]]&gt;0.5,vp.tbl[[#This Row],[Unknown]]=0),1,0)</f>
        <v>0</v>
      </c>
      <c r="AC1693">
        <f>IF(AND(vp.tbl[[#This Row],[CrudeType]]="Crude",vp.tbl[[#This Row],[Dens]]&gt;825,vp.tbl[[#This Row],[Dens]]&lt;=900,vp.tbl[[#This Row],[Sulf]]&lt;=0.5,vp.tbl[[#This Row],[Unknown]]=0),1,0)</f>
        <v>0</v>
      </c>
      <c r="AD1693">
        <f>IF(AND(vp.tbl[[#This Row],[CrudeType]]="Crude",vp.tbl[[#This Row],[Dens]]&gt;870,vp.tbl[[#This Row],[Dens]]&lt;=900,vp.tbl[[#This Row],[Sulf]]&gt;0.5,vp.tbl[[#This Row],[Unknown]]=0),1,0)</f>
        <v>0</v>
      </c>
      <c r="AE1693">
        <f>IF(AND(vp.tbl[[#This Row],[CrudeType]]="Crude",vp.tbl[[#This Row],[Dens]]&gt;900,vp.tbl[[#This Row],[Sulf]]&lt;=0.5,vp.tbl[[#This Row],[Unknown]]=0),1,0)</f>
        <v>0</v>
      </c>
      <c r="AF1693">
        <f>IF(AND(vp.tbl[[#This Row],[CrudeType]]="Crude",vp.tbl[[#This Row],[Dens]]&gt;900,vp.tbl[[#This Row],[Sulf]]&lt;=0.5,vp.tbl[[#This Row],[Unknown]]=0),1,0)</f>
        <v>0</v>
      </c>
      <c r="AG1693" t="str">
        <f>INDEX(vp.tbl[[#Headers],[Unknown]:[Heavy_SW]],MATCH(1,vp.tbl[[#This Row],[Unknown]:[Heavy_SW]],0))</f>
        <v>Unknown</v>
      </c>
      <c r="AH1693" t="e">
        <f>INDEX([1]!crudeBD.lkup[Number],MATCH(vp.tbl[[#This Row],[Crude_Breakdown]],[1]!crudeBD.lkup[Crude Breakdown],0))</f>
        <v>#REF!</v>
      </c>
      <c r="AI1693">
        <f>MONTH(vp.tbl[[#This Row],[SDate]])</f>
        <v>6</v>
      </c>
      <c r="AJ1693" s="5" t="str">
        <f>IFERROR(vp.tbl[[#This Row],[Sulf]]*vp.tbl[[#This Row],[Net Dens]],"")</f>
        <v/>
      </c>
      <c r="AK1693" s="5" t="str">
        <f>IFERROR(vp.tbl[[#This Row],[Dens]]*vp.tbl[[#This Row],[VolumeM3]],"")</f>
        <v/>
      </c>
      <c r="AL1693" s="5" t="str">
        <f>IFERROR(vp.tbl[[#This Row],[VP]]*vp.tbl[[#This Row],[VolumeM3]],"")</f>
        <v/>
      </c>
      <c r="AM1693" s="4">
        <f>IFERROR((vp.tbl[[#This Row],[VP]]-INDEX(crudeBD.lkup.complete[Mean_VP],MATCH(vp.tbl[[#This Row],[Crude_Breakdown]],crudeBD.lkup.complete[Crude Breakdown],0)))^2,"")</f>
        <v>0.29717433383371172</v>
      </c>
      <c r="AN1693" s="4" t="str">
        <f>IFERROR((vp.tbl[[#This Row],[Dens]]-INDEX(crudeBD.lkup.complete[Mean_Dens],MATCH(vp.tbl[[#This Row],[Crude_Breakdown]],crudeBD.lkup.complete[Crude Breakdown],0)))^2,"")</f>
        <v/>
      </c>
      <c r="AO1693" s="4" t="str">
        <f>IFERROR((vp.tbl[[#This Row],[Sulf]]-INDEX(crudeBD.lkup.complete[Mean_Sulf],MATCH(vp.tbl[[#This Row],[Crude_Breakdown]],crudeBD.lkup.complete[Crude Breakdown],0)))^2,"")</f>
        <v/>
      </c>
      <c r="AP1693">
        <f>IF(AND(vp.tbl[[#This Row],[SDate]]&gt;=DATE(YEAR(vp.tbl[[#This Row],[SDate]]),5,1),vp.tbl[[#This Row],[SDate]]&lt;=DATE(YEAR(vp.tbl[[#This Row],[SDate]]),9,15)),1,0)</f>
        <v>1</v>
      </c>
      <c r="AQ1693" s="15">
        <f>IF(vp.tbl[[#This Row],[SDate]]&lt;DATE(2016,12,1),0,1)</f>
        <v>1</v>
      </c>
    </row>
    <row r="1694" spans="1:43" x14ac:dyDescent="0.25">
      <c r="A1694">
        <v>1693</v>
      </c>
      <c r="B1694" t="s">
        <v>49</v>
      </c>
      <c r="C1694" t="s">
        <v>49</v>
      </c>
      <c r="D1694" t="s">
        <v>90</v>
      </c>
      <c r="F1694" s="1">
        <v>42906</v>
      </c>
      <c r="G1694" s="2">
        <v>62.9</v>
      </c>
      <c r="H1694" s="2"/>
      <c r="I1694" s="2" t="s">
        <v>310</v>
      </c>
      <c r="J1694" s="2"/>
      <c r="K1694" s="2"/>
      <c r="L1694" s="2"/>
      <c r="M1694" s="2" t="s">
        <v>310</v>
      </c>
      <c r="N1694" s="2">
        <f ca="1">INDEX(INDIRECT(_xlfn.CONCAT("weather.tbl[",N$1,"]")),MATCH(vp.tbl[[#This Row],[SDate]],weather.tbl[Date],0))</f>
        <v>14.85</v>
      </c>
      <c r="O1694" s="2">
        <f ca="1">INDEX(INDIRECT(_xlfn.CONCAT("weather.tbl[",O$1,"]")),MATCH(vp.tbl[[#This Row],[SDate]],weather.tbl[Date],0))</f>
        <v>14.640476190476191</v>
      </c>
      <c r="P1694" s="2">
        <f ca="1">INDEX(INDIRECT(_xlfn.CONCAT("weather.tbl[",P$1,"]")),MATCH(vp.tbl[[#This Row],[SDate]],weather.tbl[Date],0))</f>
        <v>15</v>
      </c>
      <c r="Q1694" s="2">
        <f ca="1">INDEX(INDIRECT(_xlfn.CONCAT("weather.tbl[",Q$1,"]")),MATCH(vp.tbl[[#This Row],[SDate]],weather.tbl[Date],0))</f>
        <v>16</v>
      </c>
      <c r="R1694" s="2">
        <f ca="1">INDEX(INDIRECT(_xlfn.CONCAT("weather.tbl[",R$1,"]")),MATCH(vp.tbl[[#This Row],[SDate]],weather.tbl[Date],0))</f>
        <v>13.5</v>
      </c>
      <c r="S1694" s="2">
        <f ca="1">INDEX(INDIRECT(_xlfn.CONCAT("weather.tbl[",S$1,"]")),MATCH(vp.tbl[[#This Row],[SDate]],weather.tbl[Date],0))</f>
        <v>15.4</v>
      </c>
      <c r="T1694" s="2">
        <f ca="1">INDEX(INDIRECT(_xlfn.CONCAT("weather.tbl[",T$1,"]")),MATCH(vp.tbl[[#This Row],[SDate]],weather.tbl[Date],0))</f>
        <v>14.4</v>
      </c>
      <c r="U1694" s="2">
        <f ca="1">INDEX(INDIRECT(_xlfn.CONCAT("weather.tbl[",U$1,"]")),MATCH(vp.tbl[[#This Row],[SDate]],weather.tbl[Date],0))</f>
        <v>14.8</v>
      </c>
      <c r="V1694" s="2" t="s">
        <v>310</v>
      </c>
      <c r="W1694" t="s">
        <v>48</v>
      </c>
      <c r="X1694">
        <f>IF(OR(vp.tbl[[#This Row],[Sulf]]="",vp.tbl[[#This Row],[Dens]]=""),1,0)</f>
        <v>1</v>
      </c>
      <c r="Y1694">
        <f>IF(vp.tbl[[#This Row],[CrudeType]]="C5+",1,0)</f>
        <v>0</v>
      </c>
      <c r="Z1694">
        <f>IF(AND(vp.tbl[[#This Row],[CrudeType]]="Crude",vp.tbl[[#This Row],[Dens]]&lt;=825,vp.tbl[[#This Row],[Sulf]]&gt;0.5,vp.tbl[[#This Row],[Unknown]]=0),1,0)</f>
        <v>0</v>
      </c>
      <c r="AA1694">
        <f>IF(AND(vp.tbl[[#This Row],[CrudeType]]="Crude",vp.tbl[[#This Row],[Dens]]&lt;=825,vp.tbl[[#This Row],[Sulf]]&lt;=0.5,vp.tbl[[#This Row],[Unknown]]=0),1,0)</f>
        <v>0</v>
      </c>
      <c r="AB1694">
        <f>IF(AND(vp.tbl[[#This Row],[CrudeType]]="Crude",vp.tbl[[#This Row],[Dens]]&gt;825,vp.tbl[[#This Row],[Dens]]&lt;=870,vp.tbl[[#This Row],[Sulf]]&gt;0.5,vp.tbl[[#This Row],[Unknown]]=0),1,0)</f>
        <v>0</v>
      </c>
      <c r="AC1694">
        <f>IF(AND(vp.tbl[[#This Row],[CrudeType]]="Crude",vp.tbl[[#This Row],[Dens]]&gt;825,vp.tbl[[#This Row],[Dens]]&lt;=900,vp.tbl[[#This Row],[Sulf]]&lt;=0.5,vp.tbl[[#This Row],[Unknown]]=0),1,0)</f>
        <v>0</v>
      </c>
      <c r="AD1694">
        <f>IF(AND(vp.tbl[[#This Row],[CrudeType]]="Crude",vp.tbl[[#This Row],[Dens]]&gt;870,vp.tbl[[#This Row],[Dens]]&lt;=900,vp.tbl[[#This Row],[Sulf]]&gt;0.5,vp.tbl[[#This Row],[Unknown]]=0),1,0)</f>
        <v>0</v>
      </c>
      <c r="AE1694">
        <f>IF(AND(vp.tbl[[#This Row],[CrudeType]]="Crude",vp.tbl[[#This Row],[Dens]]&gt;900,vp.tbl[[#This Row],[Sulf]]&lt;=0.5,vp.tbl[[#This Row],[Unknown]]=0),1,0)</f>
        <v>0</v>
      </c>
      <c r="AF1694">
        <f>IF(AND(vp.tbl[[#This Row],[CrudeType]]="Crude",vp.tbl[[#This Row],[Dens]]&gt;900,vp.tbl[[#This Row],[Sulf]]&lt;=0.5,vp.tbl[[#This Row],[Unknown]]=0),1,0)</f>
        <v>0</v>
      </c>
      <c r="AG1694" t="str">
        <f>INDEX(vp.tbl[[#Headers],[Unknown]:[Heavy_SW]],MATCH(1,vp.tbl[[#This Row],[Unknown]:[Heavy_SW]],0))</f>
        <v>Unknown</v>
      </c>
      <c r="AH1694" t="e">
        <f>INDEX([1]!crudeBD.lkup[Number],MATCH(vp.tbl[[#This Row],[Crude_Breakdown]],[1]!crudeBD.lkup[Crude Breakdown],0))</f>
        <v>#REF!</v>
      </c>
      <c r="AI1694">
        <f>MONTH(vp.tbl[[#This Row],[SDate]])</f>
        <v>6</v>
      </c>
      <c r="AJ1694" s="5" t="str">
        <f>IFERROR(vp.tbl[[#This Row],[Sulf]]*vp.tbl[[#This Row],[Net Dens]],"")</f>
        <v/>
      </c>
      <c r="AK1694" s="5" t="str">
        <f>IFERROR(vp.tbl[[#This Row],[Dens]]*vp.tbl[[#This Row],[VolumeM3]],"")</f>
        <v/>
      </c>
      <c r="AL1694" s="5" t="str">
        <f>IFERROR(vp.tbl[[#This Row],[VP]]*vp.tbl[[#This Row],[VolumeM3]],"")</f>
        <v/>
      </c>
      <c r="AM1694" s="4">
        <f>IFERROR((vp.tbl[[#This Row],[VP]]-INDEX(crudeBD.lkup.complete[Mean_VP],MATCH(vp.tbl[[#This Row],[Crude_Breakdown]],crudeBD.lkup.complete[Crude Breakdown],0)))^2,"")</f>
        <v>119.79602364890164</v>
      </c>
      <c r="AN1694" s="4" t="str">
        <f>IFERROR((vp.tbl[[#This Row],[Dens]]-INDEX(crudeBD.lkup.complete[Mean_Dens],MATCH(vp.tbl[[#This Row],[Crude_Breakdown]],crudeBD.lkup.complete[Crude Breakdown],0)))^2,"")</f>
        <v/>
      </c>
      <c r="AO1694" s="4" t="str">
        <f>IFERROR((vp.tbl[[#This Row],[Sulf]]-INDEX(crudeBD.lkup.complete[Mean_Sulf],MATCH(vp.tbl[[#This Row],[Crude_Breakdown]],crudeBD.lkup.complete[Crude Breakdown],0)))^2,"")</f>
        <v/>
      </c>
      <c r="AP1694">
        <f>IF(AND(vp.tbl[[#This Row],[SDate]]&gt;=DATE(YEAR(vp.tbl[[#This Row],[SDate]]),5,1),vp.tbl[[#This Row],[SDate]]&lt;=DATE(YEAR(vp.tbl[[#This Row],[SDate]]),9,15)),1,0)</f>
        <v>1</v>
      </c>
      <c r="AQ1694" s="15">
        <f>IF(vp.tbl[[#This Row],[SDate]]&lt;DATE(2016,12,1),0,1)</f>
        <v>1</v>
      </c>
    </row>
    <row r="1695" spans="1:43" x14ac:dyDescent="0.25">
      <c r="A1695">
        <v>1694</v>
      </c>
      <c r="B1695" t="s">
        <v>51</v>
      </c>
      <c r="C1695" t="s">
        <v>51</v>
      </c>
      <c r="D1695" t="s">
        <v>95</v>
      </c>
      <c r="F1695" s="1">
        <v>42907</v>
      </c>
      <c r="G1695" s="2">
        <v>67.89</v>
      </c>
      <c r="H1695" s="2"/>
      <c r="I1695" s="2" t="s">
        <v>310</v>
      </c>
      <c r="J1695" s="2"/>
      <c r="K1695" s="2"/>
      <c r="L1695" s="2"/>
      <c r="M1695" s="2" t="s">
        <v>310</v>
      </c>
      <c r="N1695" s="2">
        <f ca="1">INDEX(INDIRECT(_xlfn.CONCAT("weather.tbl[",N$1,"]")),MATCH(vp.tbl[[#This Row],[SDate]],weather.tbl[Date],0))</f>
        <v>17.766666666666666</v>
      </c>
      <c r="O1695" s="2">
        <f ca="1">INDEX(INDIRECT(_xlfn.CONCAT("weather.tbl[",O$1,"]")),MATCH(vp.tbl[[#This Row],[SDate]],weather.tbl[Date],0))</f>
        <v>15.328571428571427</v>
      </c>
      <c r="P1695" s="2">
        <f ca="1">INDEX(INDIRECT(_xlfn.CONCAT("weather.tbl[",P$1,"]")),MATCH(vp.tbl[[#This Row],[SDate]],weather.tbl[Date],0))</f>
        <v>18.5</v>
      </c>
      <c r="Q1695" s="2">
        <f ca="1">INDEX(INDIRECT(_xlfn.CONCAT("weather.tbl[",Q$1,"]")),MATCH(vp.tbl[[#This Row],[SDate]],weather.tbl[Date],0))</f>
        <v>18.3</v>
      </c>
      <c r="R1695" s="2">
        <f ca="1">INDEX(INDIRECT(_xlfn.CONCAT("weather.tbl[",R$1,"]")),MATCH(vp.tbl[[#This Row],[SDate]],weather.tbl[Date],0))</f>
        <v>17.5</v>
      </c>
      <c r="S1695" s="2">
        <f ca="1">INDEX(INDIRECT(_xlfn.CONCAT("weather.tbl[",S$1,"]")),MATCH(vp.tbl[[#This Row],[SDate]],weather.tbl[Date],0))</f>
        <v>16.8</v>
      </c>
      <c r="T1695" s="2">
        <f ca="1">INDEX(INDIRECT(_xlfn.CONCAT("weather.tbl[",T$1,"]")),MATCH(vp.tbl[[#This Row],[SDate]],weather.tbl[Date],0))</f>
        <v>19</v>
      </c>
      <c r="U1695" s="2">
        <f ca="1">INDEX(INDIRECT(_xlfn.CONCAT("weather.tbl[",U$1,"]")),MATCH(vp.tbl[[#This Row],[SDate]],weather.tbl[Date],0))</f>
        <v>16.5</v>
      </c>
      <c r="V1695" s="2" t="s">
        <v>310</v>
      </c>
      <c r="W1695" t="s">
        <v>48</v>
      </c>
      <c r="X1695">
        <f>IF(OR(vp.tbl[[#This Row],[Sulf]]="",vp.tbl[[#This Row],[Dens]]=""),1,0)</f>
        <v>1</v>
      </c>
      <c r="Y1695">
        <f>IF(vp.tbl[[#This Row],[CrudeType]]="C5+",1,0)</f>
        <v>0</v>
      </c>
      <c r="Z1695">
        <f>IF(AND(vp.tbl[[#This Row],[CrudeType]]="Crude",vp.tbl[[#This Row],[Dens]]&lt;=825,vp.tbl[[#This Row],[Sulf]]&gt;0.5,vp.tbl[[#This Row],[Unknown]]=0),1,0)</f>
        <v>0</v>
      </c>
      <c r="AA1695">
        <f>IF(AND(vp.tbl[[#This Row],[CrudeType]]="Crude",vp.tbl[[#This Row],[Dens]]&lt;=825,vp.tbl[[#This Row],[Sulf]]&lt;=0.5,vp.tbl[[#This Row],[Unknown]]=0),1,0)</f>
        <v>0</v>
      </c>
      <c r="AB1695">
        <f>IF(AND(vp.tbl[[#This Row],[CrudeType]]="Crude",vp.tbl[[#This Row],[Dens]]&gt;825,vp.tbl[[#This Row],[Dens]]&lt;=870,vp.tbl[[#This Row],[Sulf]]&gt;0.5,vp.tbl[[#This Row],[Unknown]]=0),1,0)</f>
        <v>0</v>
      </c>
      <c r="AC1695">
        <f>IF(AND(vp.tbl[[#This Row],[CrudeType]]="Crude",vp.tbl[[#This Row],[Dens]]&gt;825,vp.tbl[[#This Row],[Dens]]&lt;=900,vp.tbl[[#This Row],[Sulf]]&lt;=0.5,vp.tbl[[#This Row],[Unknown]]=0),1,0)</f>
        <v>0</v>
      </c>
      <c r="AD1695">
        <f>IF(AND(vp.tbl[[#This Row],[CrudeType]]="Crude",vp.tbl[[#This Row],[Dens]]&gt;870,vp.tbl[[#This Row],[Dens]]&lt;=900,vp.tbl[[#This Row],[Sulf]]&gt;0.5,vp.tbl[[#This Row],[Unknown]]=0),1,0)</f>
        <v>0</v>
      </c>
      <c r="AE1695">
        <f>IF(AND(vp.tbl[[#This Row],[CrudeType]]="Crude",vp.tbl[[#This Row],[Dens]]&gt;900,vp.tbl[[#This Row],[Sulf]]&lt;=0.5,vp.tbl[[#This Row],[Unknown]]=0),1,0)</f>
        <v>0</v>
      </c>
      <c r="AF1695">
        <f>IF(AND(vp.tbl[[#This Row],[CrudeType]]="Crude",vp.tbl[[#This Row],[Dens]]&gt;900,vp.tbl[[#This Row],[Sulf]]&lt;=0.5,vp.tbl[[#This Row],[Unknown]]=0),1,0)</f>
        <v>0</v>
      </c>
      <c r="AG1695" t="str">
        <f>INDEX(vp.tbl[[#Headers],[Unknown]:[Heavy_SW]],MATCH(1,vp.tbl[[#This Row],[Unknown]:[Heavy_SW]],0))</f>
        <v>Unknown</v>
      </c>
      <c r="AH1695" t="e">
        <f>INDEX([1]!crudeBD.lkup[Number],MATCH(vp.tbl[[#This Row],[Crude_Breakdown]],[1]!crudeBD.lkup[Crude Breakdown],0))</f>
        <v>#REF!</v>
      </c>
      <c r="AI1695">
        <f>MONTH(vp.tbl[[#This Row],[SDate]])</f>
        <v>6</v>
      </c>
      <c r="AJ1695" s="5" t="str">
        <f>IFERROR(vp.tbl[[#This Row],[Sulf]]*vp.tbl[[#This Row],[Net Dens]],"")</f>
        <v/>
      </c>
      <c r="AK1695" s="5" t="str">
        <f>IFERROR(vp.tbl[[#This Row],[Dens]]*vp.tbl[[#This Row],[VolumeM3]],"")</f>
        <v/>
      </c>
      <c r="AL1695" s="5" t="str">
        <f>IFERROR(vp.tbl[[#This Row],[VP]]*vp.tbl[[#This Row],[VolumeM3]],"")</f>
        <v/>
      </c>
      <c r="AM1695" s="4">
        <f>IFERROR((vp.tbl[[#This Row],[VP]]-INDEX(crudeBD.lkup.complete[Mean_VP],MATCH(vp.tbl[[#This Row],[Crude_Breakdown]],crudeBD.lkup.complete[Crude Breakdown],0)))^2,"")</f>
        <v>35.463656525614212</v>
      </c>
      <c r="AN1695" s="4" t="str">
        <f>IFERROR((vp.tbl[[#This Row],[Dens]]-INDEX(crudeBD.lkup.complete[Mean_Dens],MATCH(vp.tbl[[#This Row],[Crude_Breakdown]],crudeBD.lkup.complete[Crude Breakdown],0)))^2,"")</f>
        <v/>
      </c>
      <c r="AO1695" s="4" t="str">
        <f>IFERROR((vp.tbl[[#This Row],[Sulf]]-INDEX(crudeBD.lkup.complete[Mean_Sulf],MATCH(vp.tbl[[#This Row],[Crude_Breakdown]],crudeBD.lkup.complete[Crude Breakdown],0)))^2,"")</f>
        <v/>
      </c>
      <c r="AP1695">
        <f>IF(AND(vp.tbl[[#This Row],[SDate]]&gt;=DATE(YEAR(vp.tbl[[#This Row],[SDate]]),5,1),vp.tbl[[#This Row],[SDate]]&lt;=DATE(YEAR(vp.tbl[[#This Row],[SDate]]),9,15)),1,0)</f>
        <v>1</v>
      </c>
      <c r="AQ1695" s="15">
        <f>IF(vp.tbl[[#This Row],[SDate]]&lt;DATE(2016,12,1),0,1)</f>
        <v>1</v>
      </c>
    </row>
    <row r="1696" spans="1:43" x14ac:dyDescent="0.25">
      <c r="A1696">
        <v>1695</v>
      </c>
      <c r="B1696" t="s">
        <v>68</v>
      </c>
      <c r="C1696" t="s">
        <v>68</v>
      </c>
      <c r="D1696" t="s">
        <v>69</v>
      </c>
      <c r="F1696" s="1">
        <v>42907</v>
      </c>
      <c r="G1696" s="2">
        <v>70.3</v>
      </c>
      <c r="H1696" s="2"/>
      <c r="I1696" s="2" t="s">
        <v>310</v>
      </c>
      <c r="J1696" s="2"/>
      <c r="K1696" s="2"/>
      <c r="L1696" s="2"/>
      <c r="M1696" s="2" t="s">
        <v>310</v>
      </c>
      <c r="N1696" s="2">
        <f ca="1">INDEX(INDIRECT(_xlfn.CONCAT("weather.tbl[",N$1,"]")),MATCH(vp.tbl[[#This Row],[SDate]],weather.tbl[Date],0))</f>
        <v>17.766666666666666</v>
      </c>
      <c r="O1696" s="2">
        <f ca="1">INDEX(INDIRECT(_xlfn.CONCAT("weather.tbl[",O$1,"]")),MATCH(vp.tbl[[#This Row],[SDate]],weather.tbl[Date],0))</f>
        <v>15.328571428571427</v>
      </c>
      <c r="P1696" s="2">
        <f ca="1">INDEX(INDIRECT(_xlfn.CONCAT("weather.tbl[",P$1,"]")),MATCH(vp.tbl[[#This Row],[SDate]],weather.tbl[Date],0))</f>
        <v>18.5</v>
      </c>
      <c r="Q1696" s="2">
        <f ca="1">INDEX(INDIRECT(_xlfn.CONCAT("weather.tbl[",Q$1,"]")),MATCH(vp.tbl[[#This Row],[SDate]],weather.tbl[Date],0))</f>
        <v>18.3</v>
      </c>
      <c r="R1696" s="2">
        <f ca="1">INDEX(INDIRECT(_xlfn.CONCAT("weather.tbl[",R$1,"]")),MATCH(vp.tbl[[#This Row],[SDate]],weather.tbl[Date],0))</f>
        <v>17.5</v>
      </c>
      <c r="S1696" s="2">
        <f ca="1">INDEX(INDIRECT(_xlfn.CONCAT("weather.tbl[",S$1,"]")),MATCH(vp.tbl[[#This Row],[SDate]],weather.tbl[Date],0))</f>
        <v>16.8</v>
      </c>
      <c r="T1696" s="2">
        <f ca="1">INDEX(INDIRECT(_xlfn.CONCAT("weather.tbl[",T$1,"]")),MATCH(vp.tbl[[#This Row],[SDate]],weather.tbl[Date],0))</f>
        <v>19</v>
      </c>
      <c r="U1696" s="2">
        <f ca="1">INDEX(INDIRECT(_xlfn.CONCAT("weather.tbl[",U$1,"]")),MATCH(vp.tbl[[#This Row],[SDate]],weather.tbl[Date],0))</f>
        <v>16.5</v>
      </c>
      <c r="V1696" s="2" t="s">
        <v>310</v>
      </c>
      <c r="W1696" t="s">
        <v>48</v>
      </c>
      <c r="X1696">
        <f>IF(OR(vp.tbl[[#This Row],[Sulf]]="",vp.tbl[[#This Row],[Dens]]=""),1,0)</f>
        <v>1</v>
      </c>
      <c r="Y1696">
        <f>IF(vp.tbl[[#This Row],[CrudeType]]="C5+",1,0)</f>
        <v>0</v>
      </c>
      <c r="Z1696">
        <f>IF(AND(vp.tbl[[#This Row],[CrudeType]]="Crude",vp.tbl[[#This Row],[Dens]]&lt;=825,vp.tbl[[#This Row],[Sulf]]&gt;0.5,vp.tbl[[#This Row],[Unknown]]=0),1,0)</f>
        <v>0</v>
      </c>
      <c r="AA1696">
        <f>IF(AND(vp.tbl[[#This Row],[CrudeType]]="Crude",vp.tbl[[#This Row],[Dens]]&lt;=825,vp.tbl[[#This Row],[Sulf]]&lt;=0.5,vp.tbl[[#This Row],[Unknown]]=0),1,0)</f>
        <v>0</v>
      </c>
      <c r="AB1696">
        <f>IF(AND(vp.tbl[[#This Row],[CrudeType]]="Crude",vp.tbl[[#This Row],[Dens]]&gt;825,vp.tbl[[#This Row],[Dens]]&lt;=870,vp.tbl[[#This Row],[Sulf]]&gt;0.5,vp.tbl[[#This Row],[Unknown]]=0),1,0)</f>
        <v>0</v>
      </c>
      <c r="AC1696">
        <f>IF(AND(vp.tbl[[#This Row],[CrudeType]]="Crude",vp.tbl[[#This Row],[Dens]]&gt;825,vp.tbl[[#This Row],[Dens]]&lt;=900,vp.tbl[[#This Row],[Sulf]]&lt;=0.5,vp.tbl[[#This Row],[Unknown]]=0),1,0)</f>
        <v>0</v>
      </c>
      <c r="AD1696">
        <f>IF(AND(vp.tbl[[#This Row],[CrudeType]]="Crude",vp.tbl[[#This Row],[Dens]]&gt;870,vp.tbl[[#This Row],[Dens]]&lt;=900,vp.tbl[[#This Row],[Sulf]]&gt;0.5,vp.tbl[[#This Row],[Unknown]]=0),1,0)</f>
        <v>0</v>
      </c>
      <c r="AE1696">
        <f>IF(AND(vp.tbl[[#This Row],[CrudeType]]="Crude",vp.tbl[[#This Row],[Dens]]&gt;900,vp.tbl[[#This Row],[Sulf]]&lt;=0.5,vp.tbl[[#This Row],[Unknown]]=0),1,0)</f>
        <v>0</v>
      </c>
      <c r="AF1696">
        <f>IF(AND(vp.tbl[[#This Row],[CrudeType]]="Crude",vp.tbl[[#This Row],[Dens]]&gt;900,vp.tbl[[#This Row],[Sulf]]&lt;=0.5,vp.tbl[[#This Row],[Unknown]]=0),1,0)</f>
        <v>0</v>
      </c>
      <c r="AG1696" t="str">
        <f>INDEX(vp.tbl[[#Headers],[Unknown]:[Heavy_SW]],MATCH(1,vp.tbl[[#This Row],[Unknown]:[Heavy_SW]],0))</f>
        <v>Unknown</v>
      </c>
      <c r="AH1696" t="e">
        <f>INDEX([1]!crudeBD.lkup[Number],MATCH(vp.tbl[[#This Row],[Crude_Breakdown]],[1]!crudeBD.lkup[Crude Breakdown],0))</f>
        <v>#REF!</v>
      </c>
      <c r="AI1696">
        <f>MONTH(vp.tbl[[#This Row],[SDate]])</f>
        <v>6</v>
      </c>
      <c r="AJ1696" s="5" t="str">
        <f>IFERROR(vp.tbl[[#This Row],[Sulf]]*vp.tbl[[#This Row],[Net Dens]],"")</f>
        <v/>
      </c>
      <c r="AK1696" s="5" t="str">
        <f>IFERROR(vp.tbl[[#This Row],[Dens]]*vp.tbl[[#This Row],[VolumeM3]],"")</f>
        <v/>
      </c>
      <c r="AL1696" s="5" t="str">
        <f>IFERROR(vp.tbl[[#This Row],[VP]]*vp.tbl[[#This Row],[VolumeM3]],"")</f>
        <v/>
      </c>
      <c r="AM1696" s="4">
        <f>IFERROR((vp.tbl[[#This Row],[VP]]-INDEX(crudeBD.lkup.complete[Mean_VP],MATCH(vp.tbl[[#This Row],[Crude_Breakdown]],crudeBD.lkup.complete[Crude Breakdown],0)))^2,"")</f>
        <v>12.567996251641775</v>
      </c>
      <c r="AN1696" s="4" t="str">
        <f>IFERROR((vp.tbl[[#This Row],[Dens]]-INDEX(crudeBD.lkup.complete[Mean_Dens],MATCH(vp.tbl[[#This Row],[Crude_Breakdown]],crudeBD.lkup.complete[Crude Breakdown],0)))^2,"")</f>
        <v/>
      </c>
      <c r="AO1696" s="4" t="str">
        <f>IFERROR((vp.tbl[[#This Row],[Sulf]]-INDEX(crudeBD.lkup.complete[Mean_Sulf],MATCH(vp.tbl[[#This Row],[Crude_Breakdown]],crudeBD.lkup.complete[Crude Breakdown],0)))^2,"")</f>
        <v/>
      </c>
      <c r="AP1696">
        <f>IF(AND(vp.tbl[[#This Row],[SDate]]&gt;=DATE(YEAR(vp.tbl[[#This Row],[SDate]]),5,1),vp.tbl[[#This Row],[SDate]]&lt;=DATE(YEAR(vp.tbl[[#This Row],[SDate]]),9,15)),1,0)</f>
        <v>1</v>
      </c>
      <c r="AQ1696" s="15">
        <f>IF(vp.tbl[[#This Row],[SDate]]&lt;DATE(2016,12,1),0,1)</f>
        <v>1</v>
      </c>
    </row>
    <row r="1697" spans="1:43" x14ac:dyDescent="0.25">
      <c r="A1697">
        <v>1696</v>
      </c>
      <c r="B1697" t="s">
        <v>291</v>
      </c>
      <c r="C1697" t="s">
        <v>291</v>
      </c>
      <c r="D1697" t="s">
        <v>109</v>
      </c>
      <c r="F1697" s="1">
        <v>42907</v>
      </c>
      <c r="G1697" s="2">
        <v>78.8</v>
      </c>
      <c r="H1697" s="2"/>
      <c r="I1697" s="2" t="s">
        <v>310</v>
      </c>
      <c r="J1697" s="2"/>
      <c r="K1697" s="2"/>
      <c r="L1697" s="2"/>
      <c r="M1697" s="2" t="s">
        <v>310</v>
      </c>
      <c r="N1697" s="2">
        <f ca="1">INDEX(INDIRECT(_xlfn.CONCAT("weather.tbl[",N$1,"]")),MATCH(vp.tbl[[#This Row],[SDate]],weather.tbl[Date],0))</f>
        <v>17.766666666666666</v>
      </c>
      <c r="O1697" s="2">
        <f ca="1">INDEX(INDIRECT(_xlfn.CONCAT("weather.tbl[",O$1,"]")),MATCH(vp.tbl[[#This Row],[SDate]],weather.tbl[Date],0))</f>
        <v>15.328571428571427</v>
      </c>
      <c r="P1697" s="2">
        <f ca="1">INDEX(INDIRECT(_xlfn.CONCAT("weather.tbl[",P$1,"]")),MATCH(vp.tbl[[#This Row],[SDate]],weather.tbl[Date],0))</f>
        <v>18.5</v>
      </c>
      <c r="Q1697" s="2">
        <f ca="1">INDEX(INDIRECT(_xlfn.CONCAT("weather.tbl[",Q$1,"]")),MATCH(vp.tbl[[#This Row],[SDate]],weather.tbl[Date],0))</f>
        <v>18.3</v>
      </c>
      <c r="R1697" s="2">
        <f ca="1">INDEX(INDIRECT(_xlfn.CONCAT("weather.tbl[",R$1,"]")),MATCH(vp.tbl[[#This Row],[SDate]],weather.tbl[Date],0))</f>
        <v>17.5</v>
      </c>
      <c r="S1697" s="2">
        <f ca="1">INDEX(INDIRECT(_xlfn.CONCAT("weather.tbl[",S$1,"]")),MATCH(vp.tbl[[#This Row],[SDate]],weather.tbl[Date],0))</f>
        <v>16.8</v>
      </c>
      <c r="T1697" s="2">
        <f ca="1">INDEX(INDIRECT(_xlfn.CONCAT("weather.tbl[",T$1,"]")),MATCH(vp.tbl[[#This Row],[SDate]],weather.tbl[Date],0))</f>
        <v>19</v>
      </c>
      <c r="U1697" s="2">
        <f ca="1">INDEX(INDIRECT(_xlfn.CONCAT("weather.tbl[",U$1,"]")),MATCH(vp.tbl[[#This Row],[SDate]],weather.tbl[Date],0))</f>
        <v>16.5</v>
      </c>
      <c r="V1697" s="2" t="s">
        <v>310</v>
      </c>
      <c r="W1697" t="s">
        <v>48</v>
      </c>
      <c r="X1697">
        <f>IF(OR(vp.tbl[[#This Row],[Sulf]]="",vp.tbl[[#This Row],[Dens]]=""),1,0)</f>
        <v>1</v>
      </c>
      <c r="Y1697">
        <f>IF(vp.tbl[[#This Row],[CrudeType]]="C5+",1,0)</f>
        <v>0</v>
      </c>
      <c r="Z1697">
        <f>IF(AND(vp.tbl[[#This Row],[CrudeType]]="Crude",vp.tbl[[#This Row],[Dens]]&lt;=825,vp.tbl[[#This Row],[Sulf]]&gt;0.5,vp.tbl[[#This Row],[Unknown]]=0),1,0)</f>
        <v>0</v>
      </c>
      <c r="AA1697">
        <f>IF(AND(vp.tbl[[#This Row],[CrudeType]]="Crude",vp.tbl[[#This Row],[Dens]]&lt;=825,vp.tbl[[#This Row],[Sulf]]&lt;=0.5,vp.tbl[[#This Row],[Unknown]]=0),1,0)</f>
        <v>0</v>
      </c>
      <c r="AB1697">
        <f>IF(AND(vp.tbl[[#This Row],[CrudeType]]="Crude",vp.tbl[[#This Row],[Dens]]&gt;825,vp.tbl[[#This Row],[Dens]]&lt;=870,vp.tbl[[#This Row],[Sulf]]&gt;0.5,vp.tbl[[#This Row],[Unknown]]=0),1,0)</f>
        <v>0</v>
      </c>
      <c r="AC1697">
        <f>IF(AND(vp.tbl[[#This Row],[CrudeType]]="Crude",vp.tbl[[#This Row],[Dens]]&gt;825,vp.tbl[[#This Row],[Dens]]&lt;=900,vp.tbl[[#This Row],[Sulf]]&lt;=0.5,vp.tbl[[#This Row],[Unknown]]=0),1,0)</f>
        <v>0</v>
      </c>
      <c r="AD1697">
        <f>IF(AND(vp.tbl[[#This Row],[CrudeType]]="Crude",vp.tbl[[#This Row],[Dens]]&gt;870,vp.tbl[[#This Row],[Dens]]&lt;=900,vp.tbl[[#This Row],[Sulf]]&gt;0.5,vp.tbl[[#This Row],[Unknown]]=0),1,0)</f>
        <v>0</v>
      </c>
      <c r="AE1697">
        <f>IF(AND(vp.tbl[[#This Row],[CrudeType]]="Crude",vp.tbl[[#This Row],[Dens]]&gt;900,vp.tbl[[#This Row],[Sulf]]&lt;=0.5,vp.tbl[[#This Row],[Unknown]]=0),1,0)</f>
        <v>0</v>
      </c>
      <c r="AF1697">
        <f>IF(AND(vp.tbl[[#This Row],[CrudeType]]="Crude",vp.tbl[[#This Row],[Dens]]&gt;900,vp.tbl[[#This Row],[Sulf]]&lt;=0.5,vp.tbl[[#This Row],[Unknown]]=0),1,0)</f>
        <v>0</v>
      </c>
      <c r="AG1697" t="str">
        <f>INDEX(vp.tbl[[#Headers],[Unknown]:[Heavy_SW]],MATCH(1,vp.tbl[[#This Row],[Unknown]:[Heavy_SW]],0))</f>
        <v>Unknown</v>
      </c>
      <c r="AH1697" t="e">
        <f>INDEX([1]!crudeBD.lkup[Number],MATCH(vp.tbl[[#This Row],[Crude_Breakdown]],[1]!crudeBD.lkup[Crude Breakdown],0))</f>
        <v>#REF!</v>
      </c>
      <c r="AI1697">
        <f>MONTH(vp.tbl[[#This Row],[SDate]])</f>
        <v>6</v>
      </c>
      <c r="AJ1697" s="5" t="str">
        <f>IFERROR(vp.tbl[[#This Row],[Sulf]]*vp.tbl[[#This Row],[Net Dens]],"")</f>
        <v/>
      </c>
      <c r="AK1697" s="5" t="str">
        <f>IFERROR(vp.tbl[[#This Row],[Dens]]*vp.tbl[[#This Row],[VolumeM3]],"")</f>
        <v/>
      </c>
      <c r="AL1697" s="5" t="str">
        <f>IFERROR(vp.tbl[[#This Row],[VP]]*vp.tbl[[#This Row],[VolumeM3]],"")</f>
        <v/>
      </c>
      <c r="AM1697" s="4">
        <f>IFERROR((vp.tbl[[#This Row],[VP]]-INDEX(crudeBD.lkup.complete[Mean_VP],MATCH(vp.tbl[[#This Row],[Crude_Breakdown]],crudeBD.lkup.complete[Crude Breakdown],0)))^2,"")</f>
        <v>24.550667484518929</v>
      </c>
      <c r="AN1697" s="4" t="str">
        <f>IFERROR((vp.tbl[[#This Row],[Dens]]-INDEX(crudeBD.lkup.complete[Mean_Dens],MATCH(vp.tbl[[#This Row],[Crude_Breakdown]],crudeBD.lkup.complete[Crude Breakdown],0)))^2,"")</f>
        <v/>
      </c>
      <c r="AO1697" s="4" t="str">
        <f>IFERROR((vp.tbl[[#This Row],[Sulf]]-INDEX(crudeBD.lkup.complete[Mean_Sulf],MATCH(vp.tbl[[#This Row],[Crude_Breakdown]],crudeBD.lkup.complete[Crude Breakdown],0)))^2,"")</f>
        <v/>
      </c>
      <c r="AP1697">
        <f>IF(AND(vp.tbl[[#This Row],[SDate]]&gt;=DATE(YEAR(vp.tbl[[#This Row],[SDate]]),5,1),vp.tbl[[#This Row],[SDate]]&lt;=DATE(YEAR(vp.tbl[[#This Row],[SDate]]),9,15)),1,0)</f>
        <v>1</v>
      </c>
      <c r="AQ1697" s="15">
        <f>IF(vp.tbl[[#This Row],[SDate]]&lt;DATE(2016,12,1),0,1)</f>
        <v>1</v>
      </c>
    </row>
    <row r="1698" spans="1:43" x14ac:dyDescent="0.25">
      <c r="A1698">
        <v>1697</v>
      </c>
      <c r="B1698" t="s">
        <v>51</v>
      </c>
      <c r="C1698" t="s">
        <v>51</v>
      </c>
      <c r="D1698" t="s">
        <v>66</v>
      </c>
      <c r="F1698" s="1">
        <v>42907</v>
      </c>
      <c r="G1698" s="2">
        <v>91.8</v>
      </c>
      <c r="H1698" s="2"/>
      <c r="I1698" s="2" t="s">
        <v>310</v>
      </c>
      <c r="J1698" s="2"/>
      <c r="K1698" s="2"/>
      <c r="L1698" s="2"/>
      <c r="M1698" s="2" t="s">
        <v>310</v>
      </c>
      <c r="N1698" s="2">
        <f ca="1">INDEX(INDIRECT(_xlfn.CONCAT("weather.tbl[",N$1,"]")),MATCH(vp.tbl[[#This Row],[SDate]],weather.tbl[Date],0))</f>
        <v>17.766666666666666</v>
      </c>
      <c r="O1698" s="2">
        <f ca="1">INDEX(INDIRECT(_xlfn.CONCAT("weather.tbl[",O$1,"]")),MATCH(vp.tbl[[#This Row],[SDate]],weather.tbl[Date],0))</f>
        <v>15.328571428571427</v>
      </c>
      <c r="P1698" s="2">
        <f ca="1">INDEX(INDIRECT(_xlfn.CONCAT("weather.tbl[",P$1,"]")),MATCH(vp.tbl[[#This Row],[SDate]],weather.tbl[Date],0))</f>
        <v>18.5</v>
      </c>
      <c r="Q1698" s="2">
        <f ca="1">INDEX(INDIRECT(_xlfn.CONCAT("weather.tbl[",Q$1,"]")),MATCH(vp.tbl[[#This Row],[SDate]],weather.tbl[Date],0))</f>
        <v>18.3</v>
      </c>
      <c r="R1698" s="2">
        <f ca="1">INDEX(INDIRECT(_xlfn.CONCAT("weather.tbl[",R$1,"]")),MATCH(vp.tbl[[#This Row],[SDate]],weather.tbl[Date],0))</f>
        <v>17.5</v>
      </c>
      <c r="S1698" s="2">
        <f ca="1">INDEX(INDIRECT(_xlfn.CONCAT("weather.tbl[",S$1,"]")),MATCH(vp.tbl[[#This Row],[SDate]],weather.tbl[Date],0))</f>
        <v>16.8</v>
      </c>
      <c r="T1698" s="2">
        <f ca="1">INDEX(INDIRECT(_xlfn.CONCAT("weather.tbl[",T$1,"]")),MATCH(vp.tbl[[#This Row],[SDate]],weather.tbl[Date],0))</f>
        <v>19</v>
      </c>
      <c r="U1698" s="2">
        <f ca="1">INDEX(INDIRECT(_xlfn.CONCAT("weather.tbl[",U$1,"]")),MATCH(vp.tbl[[#This Row],[SDate]],weather.tbl[Date],0))</f>
        <v>16.5</v>
      </c>
      <c r="V1698" s="2" t="s">
        <v>310</v>
      </c>
      <c r="W1698" t="s">
        <v>48</v>
      </c>
      <c r="X1698">
        <f>IF(OR(vp.tbl[[#This Row],[Sulf]]="",vp.tbl[[#This Row],[Dens]]=""),1,0)</f>
        <v>1</v>
      </c>
      <c r="Y1698">
        <f>IF(vp.tbl[[#This Row],[CrudeType]]="C5+",1,0)</f>
        <v>0</v>
      </c>
      <c r="Z1698">
        <f>IF(AND(vp.tbl[[#This Row],[CrudeType]]="Crude",vp.tbl[[#This Row],[Dens]]&lt;=825,vp.tbl[[#This Row],[Sulf]]&gt;0.5,vp.tbl[[#This Row],[Unknown]]=0),1,0)</f>
        <v>0</v>
      </c>
      <c r="AA1698">
        <f>IF(AND(vp.tbl[[#This Row],[CrudeType]]="Crude",vp.tbl[[#This Row],[Dens]]&lt;=825,vp.tbl[[#This Row],[Sulf]]&lt;=0.5,vp.tbl[[#This Row],[Unknown]]=0),1,0)</f>
        <v>0</v>
      </c>
      <c r="AB1698">
        <f>IF(AND(vp.tbl[[#This Row],[CrudeType]]="Crude",vp.tbl[[#This Row],[Dens]]&gt;825,vp.tbl[[#This Row],[Dens]]&lt;=870,vp.tbl[[#This Row],[Sulf]]&gt;0.5,vp.tbl[[#This Row],[Unknown]]=0),1,0)</f>
        <v>0</v>
      </c>
      <c r="AC1698">
        <f>IF(AND(vp.tbl[[#This Row],[CrudeType]]="Crude",vp.tbl[[#This Row],[Dens]]&gt;825,vp.tbl[[#This Row],[Dens]]&lt;=900,vp.tbl[[#This Row],[Sulf]]&lt;=0.5,vp.tbl[[#This Row],[Unknown]]=0),1,0)</f>
        <v>0</v>
      </c>
      <c r="AD1698">
        <f>IF(AND(vp.tbl[[#This Row],[CrudeType]]="Crude",vp.tbl[[#This Row],[Dens]]&gt;870,vp.tbl[[#This Row],[Dens]]&lt;=900,vp.tbl[[#This Row],[Sulf]]&gt;0.5,vp.tbl[[#This Row],[Unknown]]=0),1,0)</f>
        <v>0</v>
      </c>
      <c r="AE1698">
        <f>IF(AND(vp.tbl[[#This Row],[CrudeType]]="Crude",vp.tbl[[#This Row],[Dens]]&gt;900,vp.tbl[[#This Row],[Sulf]]&lt;=0.5,vp.tbl[[#This Row],[Unknown]]=0),1,0)</f>
        <v>0</v>
      </c>
      <c r="AF1698">
        <f>IF(AND(vp.tbl[[#This Row],[CrudeType]]="Crude",vp.tbl[[#This Row],[Dens]]&gt;900,vp.tbl[[#This Row],[Sulf]]&lt;=0.5,vp.tbl[[#This Row],[Unknown]]=0),1,0)</f>
        <v>0</v>
      </c>
      <c r="AG1698" t="str">
        <f>INDEX(vp.tbl[[#Headers],[Unknown]:[Heavy_SW]],MATCH(1,vp.tbl[[#This Row],[Unknown]:[Heavy_SW]],0))</f>
        <v>Unknown</v>
      </c>
      <c r="AH1698" t="e">
        <f>INDEX([1]!crudeBD.lkup[Number],MATCH(vp.tbl[[#This Row],[Crude_Breakdown]],[1]!crudeBD.lkup[Crude Breakdown],0))</f>
        <v>#REF!</v>
      </c>
      <c r="AI1698">
        <f>MONTH(vp.tbl[[#This Row],[SDate]])</f>
        <v>6</v>
      </c>
      <c r="AJ1698" s="5" t="str">
        <f>IFERROR(vp.tbl[[#This Row],[Sulf]]*vp.tbl[[#This Row],[Net Dens]],"")</f>
        <v/>
      </c>
      <c r="AK1698" s="5" t="str">
        <f>IFERROR(vp.tbl[[#This Row],[Dens]]*vp.tbl[[#This Row],[VolumeM3]],"")</f>
        <v/>
      </c>
      <c r="AL1698" s="5" t="str">
        <f>IFERROR(vp.tbl[[#This Row],[VP]]*vp.tbl[[#This Row],[VolumeM3]],"")</f>
        <v/>
      </c>
      <c r="AM1698" s="4">
        <f>IFERROR((vp.tbl[[#This Row],[VP]]-INDEX(crudeBD.lkup.complete[Mean_VP],MATCH(vp.tbl[[#This Row],[Crude_Breakdown]],crudeBD.lkup.complete[Crude Breakdown],0)))^2,"")</f>
        <v>322.37710584068401</v>
      </c>
      <c r="AN1698" s="4" t="str">
        <f>IFERROR((vp.tbl[[#This Row],[Dens]]-INDEX(crudeBD.lkup.complete[Mean_Dens],MATCH(vp.tbl[[#This Row],[Crude_Breakdown]],crudeBD.lkup.complete[Crude Breakdown],0)))^2,"")</f>
        <v/>
      </c>
      <c r="AO1698" s="4" t="str">
        <f>IFERROR((vp.tbl[[#This Row],[Sulf]]-INDEX(crudeBD.lkup.complete[Mean_Sulf],MATCH(vp.tbl[[#This Row],[Crude_Breakdown]],crudeBD.lkup.complete[Crude Breakdown],0)))^2,"")</f>
        <v/>
      </c>
      <c r="AP1698">
        <f>IF(AND(vp.tbl[[#This Row],[SDate]]&gt;=DATE(YEAR(vp.tbl[[#This Row],[SDate]]),5,1),vp.tbl[[#This Row],[SDate]]&lt;=DATE(YEAR(vp.tbl[[#This Row],[SDate]]),9,15)),1,0)</f>
        <v>1</v>
      </c>
      <c r="AQ1698" s="15">
        <f>IF(vp.tbl[[#This Row],[SDate]]&lt;DATE(2016,12,1),0,1)</f>
        <v>1</v>
      </c>
    </row>
    <row r="1699" spans="1:43" x14ac:dyDescent="0.25">
      <c r="A1699">
        <v>1698</v>
      </c>
      <c r="B1699" t="s">
        <v>49</v>
      </c>
      <c r="C1699" t="s">
        <v>49</v>
      </c>
      <c r="D1699" t="s">
        <v>70</v>
      </c>
      <c r="F1699" s="1">
        <v>42907</v>
      </c>
      <c r="G1699" s="2">
        <v>69.7</v>
      </c>
      <c r="H1699" s="2"/>
      <c r="I1699" s="2" t="s">
        <v>310</v>
      </c>
      <c r="J1699" s="2"/>
      <c r="K1699" s="2"/>
      <c r="L1699" s="2"/>
      <c r="M1699" s="2" t="s">
        <v>310</v>
      </c>
      <c r="N1699" s="2">
        <f ca="1">INDEX(INDIRECT(_xlfn.CONCAT("weather.tbl[",N$1,"]")),MATCH(vp.tbl[[#This Row],[SDate]],weather.tbl[Date],0))</f>
        <v>17.766666666666666</v>
      </c>
      <c r="O1699" s="2">
        <f ca="1">INDEX(INDIRECT(_xlfn.CONCAT("weather.tbl[",O$1,"]")),MATCH(vp.tbl[[#This Row],[SDate]],weather.tbl[Date],0))</f>
        <v>15.328571428571427</v>
      </c>
      <c r="P1699" s="2">
        <f ca="1">INDEX(INDIRECT(_xlfn.CONCAT("weather.tbl[",P$1,"]")),MATCH(vp.tbl[[#This Row],[SDate]],weather.tbl[Date],0))</f>
        <v>18.5</v>
      </c>
      <c r="Q1699" s="2">
        <f ca="1">INDEX(INDIRECT(_xlfn.CONCAT("weather.tbl[",Q$1,"]")),MATCH(vp.tbl[[#This Row],[SDate]],weather.tbl[Date],0))</f>
        <v>18.3</v>
      </c>
      <c r="R1699" s="2">
        <f ca="1">INDEX(INDIRECT(_xlfn.CONCAT("weather.tbl[",R$1,"]")),MATCH(vp.tbl[[#This Row],[SDate]],weather.tbl[Date],0))</f>
        <v>17.5</v>
      </c>
      <c r="S1699" s="2">
        <f ca="1">INDEX(INDIRECT(_xlfn.CONCAT("weather.tbl[",S$1,"]")),MATCH(vp.tbl[[#This Row],[SDate]],weather.tbl[Date],0))</f>
        <v>16.8</v>
      </c>
      <c r="T1699" s="2">
        <f ca="1">INDEX(INDIRECT(_xlfn.CONCAT("weather.tbl[",T$1,"]")),MATCH(vp.tbl[[#This Row],[SDate]],weather.tbl[Date],0))</f>
        <v>19</v>
      </c>
      <c r="U1699" s="2">
        <f ca="1">INDEX(INDIRECT(_xlfn.CONCAT("weather.tbl[",U$1,"]")),MATCH(vp.tbl[[#This Row],[SDate]],weather.tbl[Date],0))</f>
        <v>16.5</v>
      </c>
      <c r="V1699" s="2" t="s">
        <v>310</v>
      </c>
      <c r="W1699" t="s">
        <v>48</v>
      </c>
      <c r="X1699">
        <f>IF(OR(vp.tbl[[#This Row],[Sulf]]="",vp.tbl[[#This Row],[Dens]]=""),1,0)</f>
        <v>1</v>
      </c>
      <c r="Y1699">
        <f>IF(vp.tbl[[#This Row],[CrudeType]]="C5+",1,0)</f>
        <v>0</v>
      </c>
      <c r="Z1699">
        <f>IF(AND(vp.tbl[[#This Row],[CrudeType]]="Crude",vp.tbl[[#This Row],[Dens]]&lt;=825,vp.tbl[[#This Row],[Sulf]]&gt;0.5,vp.tbl[[#This Row],[Unknown]]=0),1,0)</f>
        <v>0</v>
      </c>
      <c r="AA1699">
        <f>IF(AND(vp.tbl[[#This Row],[CrudeType]]="Crude",vp.tbl[[#This Row],[Dens]]&lt;=825,vp.tbl[[#This Row],[Sulf]]&lt;=0.5,vp.tbl[[#This Row],[Unknown]]=0),1,0)</f>
        <v>0</v>
      </c>
      <c r="AB1699">
        <f>IF(AND(vp.tbl[[#This Row],[CrudeType]]="Crude",vp.tbl[[#This Row],[Dens]]&gt;825,vp.tbl[[#This Row],[Dens]]&lt;=870,vp.tbl[[#This Row],[Sulf]]&gt;0.5,vp.tbl[[#This Row],[Unknown]]=0),1,0)</f>
        <v>0</v>
      </c>
      <c r="AC1699">
        <f>IF(AND(vp.tbl[[#This Row],[CrudeType]]="Crude",vp.tbl[[#This Row],[Dens]]&gt;825,vp.tbl[[#This Row],[Dens]]&lt;=900,vp.tbl[[#This Row],[Sulf]]&lt;=0.5,vp.tbl[[#This Row],[Unknown]]=0),1,0)</f>
        <v>0</v>
      </c>
      <c r="AD1699">
        <f>IF(AND(vp.tbl[[#This Row],[CrudeType]]="Crude",vp.tbl[[#This Row],[Dens]]&gt;870,vp.tbl[[#This Row],[Dens]]&lt;=900,vp.tbl[[#This Row],[Sulf]]&gt;0.5,vp.tbl[[#This Row],[Unknown]]=0),1,0)</f>
        <v>0</v>
      </c>
      <c r="AE1699">
        <f>IF(AND(vp.tbl[[#This Row],[CrudeType]]="Crude",vp.tbl[[#This Row],[Dens]]&gt;900,vp.tbl[[#This Row],[Sulf]]&lt;=0.5,vp.tbl[[#This Row],[Unknown]]=0),1,0)</f>
        <v>0</v>
      </c>
      <c r="AF1699">
        <f>IF(AND(vp.tbl[[#This Row],[CrudeType]]="Crude",vp.tbl[[#This Row],[Dens]]&gt;900,vp.tbl[[#This Row],[Sulf]]&lt;=0.5,vp.tbl[[#This Row],[Unknown]]=0),1,0)</f>
        <v>0</v>
      </c>
      <c r="AG1699" t="str">
        <f>INDEX(vp.tbl[[#Headers],[Unknown]:[Heavy_SW]],MATCH(1,vp.tbl[[#This Row],[Unknown]:[Heavy_SW]],0))</f>
        <v>Unknown</v>
      </c>
      <c r="AH1699" t="e">
        <f>INDEX([1]!crudeBD.lkup[Number],MATCH(vp.tbl[[#This Row],[Crude_Breakdown]],[1]!crudeBD.lkup[Crude Breakdown],0))</f>
        <v>#REF!</v>
      </c>
      <c r="AI1699">
        <f>MONTH(vp.tbl[[#This Row],[SDate]])</f>
        <v>6</v>
      </c>
      <c r="AJ1699" s="5" t="str">
        <f>IFERROR(vp.tbl[[#This Row],[Sulf]]*vp.tbl[[#This Row],[Net Dens]],"")</f>
        <v/>
      </c>
      <c r="AK1699" s="5" t="str">
        <f>IFERROR(vp.tbl[[#This Row],[Dens]]*vp.tbl[[#This Row],[VolumeM3]],"")</f>
        <v/>
      </c>
      <c r="AL1699" s="5" t="str">
        <f>IFERROR(vp.tbl[[#This Row],[VP]]*vp.tbl[[#This Row],[VolumeM3]],"")</f>
        <v/>
      </c>
      <c r="AM1699" s="4">
        <f>IFERROR((vp.tbl[[#This Row],[VP]]-INDEX(crudeBD.lkup.complete[Mean_VP],MATCH(vp.tbl[[#This Row],[Crude_Breakdown]],crudeBD.lkup.complete[Crude Breakdown],0)))^2,"")</f>
        <v>17.182160635203342</v>
      </c>
      <c r="AN1699" s="4" t="str">
        <f>IFERROR((vp.tbl[[#This Row],[Dens]]-INDEX(crudeBD.lkup.complete[Mean_Dens],MATCH(vp.tbl[[#This Row],[Crude_Breakdown]],crudeBD.lkup.complete[Crude Breakdown],0)))^2,"")</f>
        <v/>
      </c>
      <c r="AO1699" s="4" t="str">
        <f>IFERROR((vp.tbl[[#This Row],[Sulf]]-INDEX(crudeBD.lkup.complete[Mean_Sulf],MATCH(vp.tbl[[#This Row],[Crude_Breakdown]],crudeBD.lkup.complete[Crude Breakdown],0)))^2,"")</f>
        <v/>
      </c>
      <c r="AP1699">
        <f>IF(AND(vp.tbl[[#This Row],[SDate]]&gt;=DATE(YEAR(vp.tbl[[#This Row],[SDate]]),5,1),vp.tbl[[#This Row],[SDate]]&lt;=DATE(YEAR(vp.tbl[[#This Row],[SDate]]),9,15)),1,0)</f>
        <v>1</v>
      </c>
      <c r="AQ1699" s="15">
        <f>IF(vp.tbl[[#This Row],[SDate]]&lt;DATE(2016,12,1),0,1)</f>
        <v>1</v>
      </c>
    </row>
    <row r="1700" spans="1:43" x14ac:dyDescent="0.25">
      <c r="A1700">
        <v>1699</v>
      </c>
      <c r="B1700" t="s">
        <v>96</v>
      </c>
      <c r="C1700" t="s">
        <v>96</v>
      </c>
      <c r="D1700" t="s">
        <v>97</v>
      </c>
      <c r="F1700" s="1">
        <v>42907</v>
      </c>
      <c r="G1700" s="2">
        <v>73.599999999999994</v>
      </c>
      <c r="H1700" s="2"/>
      <c r="I1700" s="2" t="s">
        <v>310</v>
      </c>
      <c r="J1700" s="2"/>
      <c r="K1700" s="2"/>
      <c r="L1700" s="2"/>
      <c r="M1700" s="2" t="s">
        <v>310</v>
      </c>
      <c r="N1700" s="2">
        <f ca="1">INDEX(INDIRECT(_xlfn.CONCAT("weather.tbl[",N$1,"]")),MATCH(vp.tbl[[#This Row],[SDate]],weather.tbl[Date],0))</f>
        <v>17.766666666666666</v>
      </c>
      <c r="O1700" s="2">
        <f ca="1">INDEX(INDIRECT(_xlfn.CONCAT("weather.tbl[",O$1,"]")),MATCH(vp.tbl[[#This Row],[SDate]],weather.tbl[Date],0))</f>
        <v>15.328571428571427</v>
      </c>
      <c r="P1700" s="2">
        <f ca="1">INDEX(INDIRECT(_xlfn.CONCAT("weather.tbl[",P$1,"]")),MATCH(vp.tbl[[#This Row],[SDate]],weather.tbl[Date],0))</f>
        <v>18.5</v>
      </c>
      <c r="Q1700" s="2">
        <f ca="1">INDEX(INDIRECT(_xlfn.CONCAT("weather.tbl[",Q$1,"]")),MATCH(vp.tbl[[#This Row],[SDate]],weather.tbl[Date],0))</f>
        <v>18.3</v>
      </c>
      <c r="R1700" s="2">
        <f ca="1">INDEX(INDIRECT(_xlfn.CONCAT("weather.tbl[",R$1,"]")),MATCH(vp.tbl[[#This Row],[SDate]],weather.tbl[Date],0))</f>
        <v>17.5</v>
      </c>
      <c r="S1700" s="2">
        <f ca="1">INDEX(INDIRECT(_xlfn.CONCAT("weather.tbl[",S$1,"]")),MATCH(vp.tbl[[#This Row],[SDate]],weather.tbl[Date],0))</f>
        <v>16.8</v>
      </c>
      <c r="T1700" s="2">
        <f ca="1">INDEX(INDIRECT(_xlfn.CONCAT("weather.tbl[",T$1,"]")),MATCH(vp.tbl[[#This Row],[SDate]],weather.tbl[Date],0))</f>
        <v>19</v>
      </c>
      <c r="U1700" s="2">
        <f ca="1">INDEX(INDIRECT(_xlfn.CONCAT("weather.tbl[",U$1,"]")),MATCH(vp.tbl[[#This Row],[SDate]],weather.tbl[Date],0))</f>
        <v>16.5</v>
      </c>
      <c r="V1700" s="2" t="s">
        <v>310</v>
      </c>
      <c r="W1700" t="s">
        <v>48</v>
      </c>
      <c r="X1700">
        <f>IF(OR(vp.tbl[[#This Row],[Sulf]]="",vp.tbl[[#This Row],[Dens]]=""),1,0)</f>
        <v>1</v>
      </c>
      <c r="Y1700">
        <f>IF(vp.tbl[[#This Row],[CrudeType]]="C5+",1,0)</f>
        <v>0</v>
      </c>
      <c r="Z1700">
        <f>IF(AND(vp.tbl[[#This Row],[CrudeType]]="Crude",vp.tbl[[#This Row],[Dens]]&lt;=825,vp.tbl[[#This Row],[Sulf]]&gt;0.5,vp.tbl[[#This Row],[Unknown]]=0),1,0)</f>
        <v>0</v>
      </c>
      <c r="AA1700">
        <f>IF(AND(vp.tbl[[#This Row],[CrudeType]]="Crude",vp.tbl[[#This Row],[Dens]]&lt;=825,vp.tbl[[#This Row],[Sulf]]&lt;=0.5,vp.tbl[[#This Row],[Unknown]]=0),1,0)</f>
        <v>0</v>
      </c>
      <c r="AB1700">
        <f>IF(AND(vp.tbl[[#This Row],[CrudeType]]="Crude",vp.tbl[[#This Row],[Dens]]&gt;825,vp.tbl[[#This Row],[Dens]]&lt;=870,vp.tbl[[#This Row],[Sulf]]&gt;0.5,vp.tbl[[#This Row],[Unknown]]=0),1,0)</f>
        <v>0</v>
      </c>
      <c r="AC1700">
        <f>IF(AND(vp.tbl[[#This Row],[CrudeType]]="Crude",vp.tbl[[#This Row],[Dens]]&gt;825,vp.tbl[[#This Row],[Dens]]&lt;=900,vp.tbl[[#This Row],[Sulf]]&lt;=0.5,vp.tbl[[#This Row],[Unknown]]=0),1,0)</f>
        <v>0</v>
      </c>
      <c r="AD1700">
        <f>IF(AND(vp.tbl[[#This Row],[CrudeType]]="Crude",vp.tbl[[#This Row],[Dens]]&gt;870,vp.tbl[[#This Row],[Dens]]&lt;=900,vp.tbl[[#This Row],[Sulf]]&gt;0.5,vp.tbl[[#This Row],[Unknown]]=0),1,0)</f>
        <v>0</v>
      </c>
      <c r="AE1700">
        <f>IF(AND(vp.tbl[[#This Row],[CrudeType]]="Crude",vp.tbl[[#This Row],[Dens]]&gt;900,vp.tbl[[#This Row],[Sulf]]&lt;=0.5,vp.tbl[[#This Row],[Unknown]]=0),1,0)</f>
        <v>0</v>
      </c>
      <c r="AF1700">
        <f>IF(AND(vp.tbl[[#This Row],[CrudeType]]="Crude",vp.tbl[[#This Row],[Dens]]&gt;900,vp.tbl[[#This Row],[Sulf]]&lt;=0.5,vp.tbl[[#This Row],[Unknown]]=0),1,0)</f>
        <v>0</v>
      </c>
      <c r="AG1700" t="str">
        <f>INDEX(vp.tbl[[#Headers],[Unknown]:[Heavy_SW]],MATCH(1,vp.tbl[[#This Row],[Unknown]:[Heavy_SW]],0))</f>
        <v>Unknown</v>
      </c>
      <c r="AH1700" t="e">
        <f>INDEX([1]!crudeBD.lkup[Number],MATCH(vp.tbl[[#This Row],[Crude_Breakdown]],[1]!crudeBD.lkup[Crude Breakdown],0))</f>
        <v>#REF!</v>
      </c>
      <c r="AI1700">
        <f>MONTH(vp.tbl[[#This Row],[SDate]])</f>
        <v>6</v>
      </c>
      <c r="AJ1700" s="5" t="str">
        <f>IFERROR(vp.tbl[[#This Row],[Sulf]]*vp.tbl[[#This Row],[Net Dens]],"")</f>
        <v/>
      </c>
      <c r="AK1700" s="5" t="str">
        <f>IFERROR(vp.tbl[[#This Row],[Dens]]*vp.tbl[[#This Row],[VolumeM3]],"")</f>
        <v/>
      </c>
      <c r="AL1700" s="5" t="str">
        <f>IFERROR(vp.tbl[[#This Row],[VP]]*vp.tbl[[#This Row],[VolumeM3]],"")</f>
        <v/>
      </c>
      <c r="AM1700" s="4">
        <f>IFERROR((vp.tbl[[#This Row],[VP]]-INDEX(crudeBD.lkup.complete[Mean_VP],MATCH(vp.tbl[[#This Row],[Crude_Breakdown]],crudeBD.lkup.complete[Crude Breakdown],0)))^2,"")</f>
        <v>6.0092142052906708E-2</v>
      </c>
      <c r="AN1700" s="4" t="str">
        <f>IFERROR((vp.tbl[[#This Row],[Dens]]-INDEX(crudeBD.lkup.complete[Mean_Dens],MATCH(vp.tbl[[#This Row],[Crude_Breakdown]],crudeBD.lkup.complete[Crude Breakdown],0)))^2,"")</f>
        <v/>
      </c>
      <c r="AO1700" s="4" t="str">
        <f>IFERROR((vp.tbl[[#This Row],[Sulf]]-INDEX(crudeBD.lkup.complete[Mean_Sulf],MATCH(vp.tbl[[#This Row],[Crude_Breakdown]],crudeBD.lkup.complete[Crude Breakdown],0)))^2,"")</f>
        <v/>
      </c>
      <c r="AP1700">
        <f>IF(AND(vp.tbl[[#This Row],[SDate]]&gt;=DATE(YEAR(vp.tbl[[#This Row],[SDate]]),5,1),vp.tbl[[#This Row],[SDate]]&lt;=DATE(YEAR(vp.tbl[[#This Row],[SDate]]),9,15)),1,0)</f>
        <v>1</v>
      </c>
      <c r="AQ1700" s="15">
        <f>IF(vp.tbl[[#This Row],[SDate]]&lt;DATE(2016,12,1),0,1)</f>
        <v>1</v>
      </c>
    </row>
    <row r="1701" spans="1:43" x14ac:dyDescent="0.25">
      <c r="A1701">
        <v>1700</v>
      </c>
      <c r="B1701" t="s">
        <v>60</v>
      </c>
      <c r="C1701" t="s">
        <v>60</v>
      </c>
      <c r="D1701" t="s">
        <v>61</v>
      </c>
      <c r="E1701" t="s">
        <v>289</v>
      </c>
      <c r="F1701" s="1">
        <v>42907</v>
      </c>
      <c r="G1701" s="2">
        <v>86.6</v>
      </c>
      <c r="H1701" s="2"/>
      <c r="I1701" s="2" t="s">
        <v>310</v>
      </c>
      <c r="J1701" s="2"/>
      <c r="K1701" s="2"/>
      <c r="L1701" s="2"/>
      <c r="M1701" s="2" t="s">
        <v>310</v>
      </c>
      <c r="N1701" s="2">
        <f ca="1">INDEX(INDIRECT(_xlfn.CONCAT("weather.tbl[",N$1,"]")),MATCH(vp.tbl[[#This Row],[SDate]],weather.tbl[Date],0))</f>
        <v>17.766666666666666</v>
      </c>
      <c r="O1701" s="2">
        <f ca="1">INDEX(INDIRECT(_xlfn.CONCAT("weather.tbl[",O$1,"]")),MATCH(vp.tbl[[#This Row],[SDate]],weather.tbl[Date],0))</f>
        <v>15.328571428571427</v>
      </c>
      <c r="P1701" s="2">
        <f ca="1">INDEX(INDIRECT(_xlfn.CONCAT("weather.tbl[",P$1,"]")),MATCH(vp.tbl[[#This Row],[SDate]],weather.tbl[Date],0))</f>
        <v>18.5</v>
      </c>
      <c r="Q1701" s="2">
        <f ca="1">INDEX(INDIRECT(_xlfn.CONCAT("weather.tbl[",Q$1,"]")),MATCH(vp.tbl[[#This Row],[SDate]],weather.tbl[Date],0))</f>
        <v>18.3</v>
      </c>
      <c r="R1701" s="2">
        <f ca="1">INDEX(INDIRECT(_xlfn.CONCAT("weather.tbl[",R$1,"]")),MATCH(vp.tbl[[#This Row],[SDate]],weather.tbl[Date],0))</f>
        <v>17.5</v>
      </c>
      <c r="S1701" s="2">
        <f ca="1">INDEX(INDIRECT(_xlfn.CONCAT("weather.tbl[",S$1,"]")),MATCH(vp.tbl[[#This Row],[SDate]],weather.tbl[Date],0))</f>
        <v>16.8</v>
      </c>
      <c r="T1701" s="2">
        <f ca="1">INDEX(INDIRECT(_xlfn.CONCAT("weather.tbl[",T$1,"]")),MATCH(vp.tbl[[#This Row],[SDate]],weather.tbl[Date],0))</f>
        <v>19</v>
      </c>
      <c r="U1701" s="2">
        <f ca="1">INDEX(INDIRECT(_xlfn.CONCAT("weather.tbl[",U$1,"]")),MATCH(vp.tbl[[#This Row],[SDate]],weather.tbl[Date],0))</f>
        <v>16.5</v>
      </c>
      <c r="V1701" s="2" t="s">
        <v>310</v>
      </c>
      <c r="W1701" t="s">
        <v>48</v>
      </c>
      <c r="X1701">
        <f>IF(OR(vp.tbl[[#This Row],[Sulf]]="",vp.tbl[[#This Row],[Dens]]=""),1,0)</f>
        <v>1</v>
      </c>
      <c r="Y1701">
        <f>IF(vp.tbl[[#This Row],[CrudeType]]="C5+",1,0)</f>
        <v>0</v>
      </c>
      <c r="Z1701">
        <f>IF(AND(vp.tbl[[#This Row],[CrudeType]]="Crude",vp.tbl[[#This Row],[Dens]]&lt;=825,vp.tbl[[#This Row],[Sulf]]&gt;0.5,vp.tbl[[#This Row],[Unknown]]=0),1,0)</f>
        <v>0</v>
      </c>
      <c r="AA1701">
        <f>IF(AND(vp.tbl[[#This Row],[CrudeType]]="Crude",vp.tbl[[#This Row],[Dens]]&lt;=825,vp.tbl[[#This Row],[Sulf]]&lt;=0.5,vp.tbl[[#This Row],[Unknown]]=0),1,0)</f>
        <v>0</v>
      </c>
      <c r="AB1701">
        <f>IF(AND(vp.tbl[[#This Row],[CrudeType]]="Crude",vp.tbl[[#This Row],[Dens]]&gt;825,vp.tbl[[#This Row],[Dens]]&lt;=870,vp.tbl[[#This Row],[Sulf]]&gt;0.5,vp.tbl[[#This Row],[Unknown]]=0),1,0)</f>
        <v>0</v>
      </c>
      <c r="AC1701">
        <f>IF(AND(vp.tbl[[#This Row],[CrudeType]]="Crude",vp.tbl[[#This Row],[Dens]]&gt;825,vp.tbl[[#This Row],[Dens]]&lt;=900,vp.tbl[[#This Row],[Sulf]]&lt;=0.5,vp.tbl[[#This Row],[Unknown]]=0),1,0)</f>
        <v>0</v>
      </c>
      <c r="AD1701">
        <f>IF(AND(vp.tbl[[#This Row],[CrudeType]]="Crude",vp.tbl[[#This Row],[Dens]]&gt;870,vp.tbl[[#This Row],[Dens]]&lt;=900,vp.tbl[[#This Row],[Sulf]]&gt;0.5,vp.tbl[[#This Row],[Unknown]]=0),1,0)</f>
        <v>0</v>
      </c>
      <c r="AE1701">
        <f>IF(AND(vp.tbl[[#This Row],[CrudeType]]="Crude",vp.tbl[[#This Row],[Dens]]&gt;900,vp.tbl[[#This Row],[Sulf]]&lt;=0.5,vp.tbl[[#This Row],[Unknown]]=0),1,0)</f>
        <v>0</v>
      </c>
      <c r="AF1701">
        <f>IF(AND(vp.tbl[[#This Row],[CrudeType]]="Crude",vp.tbl[[#This Row],[Dens]]&gt;900,vp.tbl[[#This Row],[Sulf]]&lt;=0.5,vp.tbl[[#This Row],[Unknown]]=0),1,0)</f>
        <v>0</v>
      </c>
      <c r="AG1701" t="str">
        <f>INDEX(vp.tbl[[#Headers],[Unknown]:[Heavy_SW]],MATCH(1,vp.tbl[[#This Row],[Unknown]:[Heavy_SW]],0))</f>
        <v>Unknown</v>
      </c>
      <c r="AH1701" t="e">
        <f>INDEX([1]!crudeBD.lkup[Number],MATCH(vp.tbl[[#This Row],[Crude_Breakdown]],[1]!crudeBD.lkup[Crude Breakdown],0))</f>
        <v>#REF!</v>
      </c>
      <c r="AI1701">
        <f>MONTH(vp.tbl[[#This Row],[SDate]])</f>
        <v>6</v>
      </c>
      <c r="AJ1701" s="5" t="str">
        <f>IFERROR(vp.tbl[[#This Row],[Sulf]]*vp.tbl[[#This Row],[Net Dens]],"")</f>
        <v/>
      </c>
      <c r="AK1701" s="5" t="str">
        <f>IFERROR(vp.tbl[[#This Row],[Dens]]*vp.tbl[[#This Row],[VolumeM3]],"")</f>
        <v/>
      </c>
      <c r="AL1701" s="5" t="str">
        <f>IFERROR(vp.tbl[[#This Row],[VP]]*vp.tbl[[#This Row],[VolumeM3]],"")</f>
        <v/>
      </c>
      <c r="AM1701" s="4">
        <f>IFERROR((vp.tbl[[#This Row],[VP]]-INDEX(crudeBD.lkup.complete[Mean_VP],MATCH(vp.tbl[[#This Row],[Crude_Breakdown]],crudeBD.lkup.complete[Crude Breakdown],0)))^2,"")</f>
        <v>162.68653049821788</v>
      </c>
      <c r="AN1701" s="4" t="str">
        <f>IFERROR((vp.tbl[[#This Row],[Dens]]-INDEX(crudeBD.lkup.complete[Mean_Dens],MATCH(vp.tbl[[#This Row],[Crude_Breakdown]],crudeBD.lkup.complete[Crude Breakdown],0)))^2,"")</f>
        <v/>
      </c>
      <c r="AO1701" s="4" t="str">
        <f>IFERROR((vp.tbl[[#This Row],[Sulf]]-INDEX(crudeBD.lkup.complete[Mean_Sulf],MATCH(vp.tbl[[#This Row],[Crude_Breakdown]],crudeBD.lkup.complete[Crude Breakdown],0)))^2,"")</f>
        <v/>
      </c>
      <c r="AP1701">
        <f>IF(AND(vp.tbl[[#This Row],[SDate]]&gt;=DATE(YEAR(vp.tbl[[#This Row],[SDate]]),5,1),vp.tbl[[#This Row],[SDate]]&lt;=DATE(YEAR(vp.tbl[[#This Row],[SDate]]),9,15)),1,0)</f>
        <v>1</v>
      </c>
      <c r="AQ1701" s="15">
        <f>IF(vp.tbl[[#This Row],[SDate]]&lt;DATE(2016,12,1),0,1)</f>
        <v>1</v>
      </c>
    </row>
    <row r="1702" spans="1:43" x14ac:dyDescent="0.25">
      <c r="A1702">
        <v>1701</v>
      </c>
      <c r="B1702" t="s">
        <v>60</v>
      </c>
      <c r="C1702" t="s">
        <v>60</v>
      </c>
      <c r="D1702" t="s">
        <v>61</v>
      </c>
      <c r="E1702" t="s">
        <v>290</v>
      </c>
      <c r="F1702" s="1">
        <v>42907</v>
      </c>
      <c r="G1702" s="2">
        <v>68.599999999999994</v>
      </c>
      <c r="H1702" s="2"/>
      <c r="I1702" s="2" t="s">
        <v>310</v>
      </c>
      <c r="J1702" s="2"/>
      <c r="K1702" s="2"/>
      <c r="L1702" s="2"/>
      <c r="M1702" s="2" t="s">
        <v>310</v>
      </c>
      <c r="N1702" s="2">
        <f ca="1">INDEX(INDIRECT(_xlfn.CONCAT("weather.tbl[",N$1,"]")),MATCH(vp.tbl[[#This Row],[SDate]],weather.tbl[Date],0))</f>
        <v>17.766666666666666</v>
      </c>
      <c r="O1702" s="2">
        <f ca="1">INDEX(INDIRECT(_xlfn.CONCAT("weather.tbl[",O$1,"]")),MATCH(vp.tbl[[#This Row],[SDate]],weather.tbl[Date],0))</f>
        <v>15.328571428571427</v>
      </c>
      <c r="P1702" s="2">
        <f ca="1">INDEX(INDIRECT(_xlfn.CONCAT("weather.tbl[",P$1,"]")),MATCH(vp.tbl[[#This Row],[SDate]],weather.tbl[Date],0))</f>
        <v>18.5</v>
      </c>
      <c r="Q1702" s="2">
        <f ca="1">INDEX(INDIRECT(_xlfn.CONCAT("weather.tbl[",Q$1,"]")),MATCH(vp.tbl[[#This Row],[SDate]],weather.tbl[Date],0))</f>
        <v>18.3</v>
      </c>
      <c r="R1702" s="2">
        <f ca="1">INDEX(INDIRECT(_xlfn.CONCAT("weather.tbl[",R$1,"]")),MATCH(vp.tbl[[#This Row],[SDate]],weather.tbl[Date],0))</f>
        <v>17.5</v>
      </c>
      <c r="S1702" s="2">
        <f ca="1">INDEX(INDIRECT(_xlfn.CONCAT("weather.tbl[",S$1,"]")),MATCH(vp.tbl[[#This Row],[SDate]],weather.tbl[Date],0))</f>
        <v>16.8</v>
      </c>
      <c r="T1702" s="2">
        <f ca="1">INDEX(INDIRECT(_xlfn.CONCAT("weather.tbl[",T$1,"]")),MATCH(vp.tbl[[#This Row],[SDate]],weather.tbl[Date],0))</f>
        <v>19</v>
      </c>
      <c r="U1702" s="2">
        <f ca="1">INDEX(INDIRECT(_xlfn.CONCAT("weather.tbl[",U$1,"]")),MATCH(vp.tbl[[#This Row],[SDate]],weather.tbl[Date],0))</f>
        <v>16.5</v>
      </c>
      <c r="V1702" s="2" t="s">
        <v>310</v>
      </c>
      <c r="W1702" t="s">
        <v>48</v>
      </c>
      <c r="X1702">
        <f>IF(OR(vp.tbl[[#This Row],[Sulf]]="",vp.tbl[[#This Row],[Dens]]=""),1,0)</f>
        <v>1</v>
      </c>
      <c r="Y1702">
        <f>IF(vp.tbl[[#This Row],[CrudeType]]="C5+",1,0)</f>
        <v>0</v>
      </c>
      <c r="Z1702">
        <f>IF(AND(vp.tbl[[#This Row],[CrudeType]]="Crude",vp.tbl[[#This Row],[Dens]]&lt;=825,vp.tbl[[#This Row],[Sulf]]&gt;0.5,vp.tbl[[#This Row],[Unknown]]=0),1,0)</f>
        <v>0</v>
      </c>
      <c r="AA1702">
        <f>IF(AND(vp.tbl[[#This Row],[CrudeType]]="Crude",vp.tbl[[#This Row],[Dens]]&lt;=825,vp.tbl[[#This Row],[Sulf]]&lt;=0.5,vp.tbl[[#This Row],[Unknown]]=0),1,0)</f>
        <v>0</v>
      </c>
      <c r="AB1702">
        <f>IF(AND(vp.tbl[[#This Row],[CrudeType]]="Crude",vp.tbl[[#This Row],[Dens]]&gt;825,vp.tbl[[#This Row],[Dens]]&lt;=870,vp.tbl[[#This Row],[Sulf]]&gt;0.5,vp.tbl[[#This Row],[Unknown]]=0),1,0)</f>
        <v>0</v>
      </c>
      <c r="AC1702">
        <f>IF(AND(vp.tbl[[#This Row],[CrudeType]]="Crude",vp.tbl[[#This Row],[Dens]]&gt;825,vp.tbl[[#This Row],[Dens]]&lt;=900,vp.tbl[[#This Row],[Sulf]]&lt;=0.5,vp.tbl[[#This Row],[Unknown]]=0),1,0)</f>
        <v>0</v>
      </c>
      <c r="AD1702">
        <f>IF(AND(vp.tbl[[#This Row],[CrudeType]]="Crude",vp.tbl[[#This Row],[Dens]]&gt;870,vp.tbl[[#This Row],[Dens]]&lt;=900,vp.tbl[[#This Row],[Sulf]]&gt;0.5,vp.tbl[[#This Row],[Unknown]]=0),1,0)</f>
        <v>0</v>
      </c>
      <c r="AE1702">
        <f>IF(AND(vp.tbl[[#This Row],[CrudeType]]="Crude",vp.tbl[[#This Row],[Dens]]&gt;900,vp.tbl[[#This Row],[Sulf]]&lt;=0.5,vp.tbl[[#This Row],[Unknown]]=0),1,0)</f>
        <v>0</v>
      </c>
      <c r="AF1702">
        <f>IF(AND(vp.tbl[[#This Row],[CrudeType]]="Crude",vp.tbl[[#This Row],[Dens]]&gt;900,vp.tbl[[#This Row],[Sulf]]&lt;=0.5,vp.tbl[[#This Row],[Unknown]]=0),1,0)</f>
        <v>0</v>
      </c>
      <c r="AG1702" t="str">
        <f>INDEX(vp.tbl[[#Headers],[Unknown]:[Heavy_SW]],MATCH(1,vp.tbl[[#This Row],[Unknown]:[Heavy_SW]],0))</f>
        <v>Unknown</v>
      </c>
      <c r="AH1702" t="e">
        <f>INDEX([1]!crudeBD.lkup[Number],MATCH(vp.tbl[[#This Row],[Crude_Breakdown]],[1]!crudeBD.lkup[Crude Breakdown],0))</f>
        <v>#REF!</v>
      </c>
      <c r="AI1702">
        <f>MONTH(vp.tbl[[#This Row],[SDate]])</f>
        <v>6</v>
      </c>
      <c r="AJ1702" s="5" t="str">
        <f>IFERROR(vp.tbl[[#This Row],[Sulf]]*vp.tbl[[#This Row],[Net Dens]],"")</f>
        <v/>
      </c>
      <c r="AK1702" s="5" t="str">
        <f>IFERROR(vp.tbl[[#This Row],[Dens]]*vp.tbl[[#This Row],[VolumeM3]],"")</f>
        <v/>
      </c>
      <c r="AL1702" s="5" t="str">
        <f>IFERROR(vp.tbl[[#This Row],[VP]]*vp.tbl[[#This Row],[VolumeM3]],"")</f>
        <v/>
      </c>
      <c r="AM1702" s="4">
        <f>IFERROR((vp.tbl[[#This Row],[VP]]-INDEX(crudeBD.lkup.complete[Mean_VP],MATCH(vp.tbl[[#This Row],[Crude_Breakdown]],crudeBD.lkup.complete[Crude Breakdown],0)))^2,"")</f>
        <v>27.511462005066374</v>
      </c>
      <c r="AN1702" s="4" t="str">
        <f>IFERROR((vp.tbl[[#This Row],[Dens]]-INDEX(crudeBD.lkup.complete[Mean_Dens],MATCH(vp.tbl[[#This Row],[Crude_Breakdown]],crudeBD.lkup.complete[Crude Breakdown],0)))^2,"")</f>
        <v/>
      </c>
      <c r="AO1702" s="4" t="str">
        <f>IFERROR((vp.tbl[[#This Row],[Sulf]]-INDEX(crudeBD.lkup.complete[Mean_Sulf],MATCH(vp.tbl[[#This Row],[Crude_Breakdown]],crudeBD.lkup.complete[Crude Breakdown],0)))^2,"")</f>
        <v/>
      </c>
      <c r="AP1702">
        <f>IF(AND(vp.tbl[[#This Row],[SDate]]&gt;=DATE(YEAR(vp.tbl[[#This Row],[SDate]]),5,1),vp.tbl[[#This Row],[SDate]]&lt;=DATE(YEAR(vp.tbl[[#This Row],[SDate]]),9,15)),1,0)</f>
        <v>1</v>
      </c>
      <c r="AQ1702" s="15">
        <f>IF(vp.tbl[[#This Row],[SDate]]&lt;DATE(2016,12,1),0,1)</f>
        <v>1</v>
      </c>
    </row>
    <row r="1703" spans="1:43" x14ac:dyDescent="0.25">
      <c r="A1703">
        <v>1702</v>
      </c>
      <c r="B1703" t="s">
        <v>49</v>
      </c>
      <c r="C1703" t="s">
        <v>49</v>
      </c>
      <c r="D1703" t="s">
        <v>89</v>
      </c>
      <c r="F1703" s="1">
        <v>42912</v>
      </c>
      <c r="G1703" s="2">
        <v>79.3</v>
      </c>
      <c r="H1703" s="2"/>
      <c r="I1703" s="2" t="s">
        <v>310</v>
      </c>
      <c r="J1703" s="2"/>
      <c r="K1703" s="2"/>
      <c r="L1703" s="2"/>
      <c r="M1703" s="2" t="s">
        <v>310</v>
      </c>
      <c r="N1703" s="2">
        <f ca="1">INDEX(INDIRECT(_xlfn.CONCAT("weather.tbl[",N$1,"]")),MATCH(vp.tbl[[#This Row],[SDate]],weather.tbl[Date],0))</f>
        <v>14.1</v>
      </c>
      <c r="O1703" s="2">
        <f ca="1">INDEX(INDIRECT(_xlfn.CONCAT("weather.tbl[",O$1,"]")),MATCH(vp.tbl[[#This Row],[SDate]],weather.tbl[Date],0))</f>
        <v>13.778571428571427</v>
      </c>
      <c r="P1703" s="2">
        <f ca="1">INDEX(INDIRECT(_xlfn.CONCAT("weather.tbl[",P$1,"]")),MATCH(vp.tbl[[#This Row],[SDate]],weather.tbl[Date],0))</f>
        <v>15.2</v>
      </c>
      <c r="Q1703" s="2">
        <f ca="1">INDEX(INDIRECT(_xlfn.CONCAT("weather.tbl[",Q$1,"]")),MATCH(vp.tbl[[#This Row],[SDate]],weather.tbl[Date],0))</f>
        <v>15.3</v>
      </c>
      <c r="R1703" s="2">
        <f ca="1">INDEX(INDIRECT(_xlfn.CONCAT("weather.tbl[",R$1,"]")),MATCH(vp.tbl[[#This Row],[SDate]],weather.tbl[Date],0))</f>
        <v>12.3</v>
      </c>
      <c r="S1703" s="2">
        <f ca="1">INDEX(INDIRECT(_xlfn.CONCAT("weather.tbl[",S$1,"]")),MATCH(vp.tbl[[#This Row],[SDate]],weather.tbl[Date],0))</f>
        <v>15</v>
      </c>
      <c r="T1703" s="2">
        <f ca="1">INDEX(INDIRECT(_xlfn.CONCAT("weather.tbl[",T$1,"]")),MATCH(vp.tbl[[#This Row],[SDate]],weather.tbl[Date],0))</f>
        <v>13</v>
      </c>
      <c r="U1703" s="2">
        <f ca="1">INDEX(INDIRECT(_xlfn.CONCAT("weather.tbl[",U$1,"]")),MATCH(vp.tbl[[#This Row],[SDate]],weather.tbl[Date],0))</f>
        <v>13.8</v>
      </c>
      <c r="V1703" s="2" t="s">
        <v>310</v>
      </c>
      <c r="W1703" t="s">
        <v>48</v>
      </c>
      <c r="X1703">
        <f>IF(OR(vp.tbl[[#This Row],[Sulf]]="",vp.tbl[[#This Row],[Dens]]=""),1,0)</f>
        <v>1</v>
      </c>
      <c r="Y1703">
        <f>IF(vp.tbl[[#This Row],[CrudeType]]="C5+",1,0)</f>
        <v>0</v>
      </c>
      <c r="Z1703">
        <f>IF(AND(vp.tbl[[#This Row],[CrudeType]]="Crude",vp.tbl[[#This Row],[Dens]]&lt;=825,vp.tbl[[#This Row],[Sulf]]&gt;0.5,vp.tbl[[#This Row],[Unknown]]=0),1,0)</f>
        <v>0</v>
      </c>
      <c r="AA1703">
        <f>IF(AND(vp.tbl[[#This Row],[CrudeType]]="Crude",vp.tbl[[#This Row],[Dens]]&lt;=825,vp.tbl[[#This Row],[Sulf]]&lt;=0.5,vp.tbl[[#This Row],[Unknown]]=0),1,0)</f>
        <v>0</v>
      </c>
      <c r="AB1703">
        <f>IF(AND(vp.tbl[[#This Row],[CrudeType]]="Crude",vp.tbl[[#This Row],[Dens]]&gt;825,vp.tbl[[#This Row],[Dens]]&lt;=870,vp.tbl[[#This Row],[Sulf]]&gt;0.5,vp.tbl[[#This Row],[Unknown]]=0),1,0)</f>
        <v>0</v>
      </c>
      <c r="AC1703">
        <f>IF(AND(vp.tbl[[#This Row],[CrudeType]]="Crude",vp.tbl[[#This Row],[Dens]]&gt;825,vp.tbl[[#This Row],[Dens]]&lt;=900,vp.tbl[[#This Row],[Sulf]]&lt;=0.5,vp.tbl[[#This Row],[Unknown]]=0),1,0)</f>
        <v>0</v>
      </c>
      <c r="AD1703">
        <f>IF(AND(vp.tbl[[#This Row],[CrudeType]]="Crude",vp.tbl[[#This Row],[Dens]]&gt;870,vp.tbl[[#This Row],[Dens]]&lt;=900,vp.tbl[[#This Row],[Sulf]]&gt;0.5,vp.tbl[[#This Row],[Unknown]]=0),1,0)</f>
        <v>0</v>
      </c>
      <c r="AE1703">
        <f>IF(AND(vp.tbl[[#This Row],[CrudeType]]="Crude",vp.tbl[[#This Row],[Dens]]&gt;900,vp.tbl[[#This Row],[Sulf]]&lt;=0.5,vp.tbl[[#This Row],[Unknown]]=0),1,0)</f>
        <v>0</v>
      </c>
      <c r="AF1703">
        <f>IF(AND(vp.tbl[[#This Row],[CrudeType]]="Crude",vp.tbl[[#This Row],[Dens]]&gt;900,vp.tbl[[#This Row],[Sulf]]&lt;=0.5,vp.tbl[[#This Row],[Unknown]]=0),1,0)</f>
        <v>0</v>
      </c>
      <c r="AG1703" t="str">
        <f>INDEX(vp.tbl[[#Headers],[Unknown]:[Heavy_SW]],MATCH(1,vp.tbl[[#This Row],[Unknown]:[Heavy_SW]],0))</f>
        <v>Unknown</v>
      </c>
      <c r="AH1703" t="e">
        <f>INDEX([1]!crudeBD.lkup[Number],MATCH(vp.tbl[[#This Row],[Crude_Breakdown]],[1]!crudeBD.lkup[Crude Breakdown],0))</f>
        <v>#REF!</v>
      </c>
      <c r="AI1703">
        <f>MONTH(vp.tbl[[#This Row],[SDate]])</f>
        <v>6</v>
      </c>
      <c r="AJ1703" s="5" t="str">
        <f>IFERROR(vp.tbl[[#This Row],[Sulf]]*vp.tbl[[#This Row],[Net Dens]],"")</f>
        <v/>
      </c>
      <c r="AK1703" s="5" t="str">
        <f>IFERROR(vp.tbl[[#This Row],[Dens]]*vp.tbl[[#This Row],[VolumeM3]],"")</f>
        <v/>
      </c>
      <c r="AL1703" s="5" t="str">
        <f>IFERROR(vp.tbl[[#This Row],[VP]]*vp.tbl[[#This Row],[VolumeM3]],"")</f>
        <v/>
      </c>
      <c r="AM1703" s="4">
        <f>IFERROR((vp.tbl[[#This Row],[VP]]-INDEX(crudeBD.lkup.complete[Mean_VP],MATCH(vp.tbl[[#This Row],[Crude_Breakdown]],crudeBD.lkup.complete[Crude Breakdown],0)))^2,"")</f>
        <v>29.755530498217585</v>
      </c>
      <c r="AN1703" s="4" t="str">
        <f>IFERROR((vp.tbl[[#This Row],[Dens]]-INDEX(crudeBD.lkup.complete[Mean_Dens],MATCH(vp.tbl[[#This Row],[Crude_Breakdown]],crudeBD.lkup.complete[Crude Breakdown],0)))^2,"")</f>
        <v/>
      </c>
      <c r="AO1703" s="4" t="str">
        <f>IFERROR((vp.tbl[[#This Row],[Sulf]]-INDEX(crudeBD.lkup.complete[Mean_Sulf],MATCH(vp.tbl[[#This Row],[Crude_Breakdown]],crudeBD.lkup.complete[Crude Breakdown],0)))^2,"")</f>
        <v/>
      </c>
      <c r="AP1703">
        <f>IF(AND(vp.tbl[[#This Row],[SDate]]&gt;=DATE(YEAR(vp.tbl[[#This Row],[SDate]]),5,1),vp.tbl[[#This Row],[SDate]]&lt;=DATE(YEAR(vp.tbl[[#This Row],[SDate]]),9,15)),1,0)</f>
        <v>1</v>
      </c>
      <c r="AQ1703" s="15">
        <f>IF(vp.tbl[[#This Row],[SDate]]&lt;DATE(2016,12,1),0,1)</f>
        <v>1</v>
      </c>
    </row>
    <row r="1704" spans="1:43" x14ac:dyDescent="0.25">
      <c r="A1704">
        <v>1703</v>
      </c>
      <c r="B1704" t="s">
        <v>49</v>
      </c>
      <c r="C1704" t="s">
        <v>49</v>
      </c>
      <c r="D1704" t="s">
        <v>67</v>
      </c>
      <c r="F1704" s="1">
        <v>42912</v>
      </c>
      <c r="G1704" s="2">
        <v>83.7</v>
      </c>
      <c r="H1704" s="2"/>
      <c r="I1704" s="2" t="s">
        <v>310</v>
      </c>
      <c r="J1704" s="2"/>
      <c r="K1704" s="2"/>
      <c r="L1704" s="2"/>
      <c r="M1704" s="2" t="s">
        <v>310</v>
      </c>
      <c r="N1704" s="2">
        <f ca="1">INDEX(INDIRECT(_xlfn.CONCAT("weather.tbl[",N$1,"]")),MATCH(vp.tbl[[#This Row],[SDate]],weather.tbl[Date],0))</f>
        <v>14.1</v>
      </c>
      <c r="O1704" s="2">
        <f ca="1">INDEX(INDIRECT(_xlfn.CONCAT("weather.tbl[",O$1,"]")),MATCH(vp.tbl[[#This Row],[SDate]],weather.tbl[Date],0))</f>
        <v>13.778571428571427</v>
      </c>
      <c r="P1704" s="2">
        <f ca="1">INDEX(INDIRECT(_xlfn.CONCAT("weather.tbl[",P$1,"]")),MATCH(vp.tbl[[#This Row],[SDate]],weather.tbl[Date],0))</f>
        <v>15.2</v>
      </c>
      <c r="Q1704" s="2">
        <f ca="1">INDEX(INDIRECT(_xlfn.CONCAT("weather.tbl[",Q$1,"]")),MATCH(vp.tbl[[#This Row],[SDate]],weather.tbl[Date],0))</f>
        <v>15.3</v>
      </c>
      <c r="R1704" s="2">
        <f ca="1">INDEX(INDIRECT(_xlfn.CONCAT("weather.tbl[",R$1,"]")),MATCH(vp.tbl[[#This Row],[SDate]],weather.tbl[Date],0))</f>
        <v>12.3</v>
      </c>
      <c r="S1704" s="2">
        <f ca="1">INDEX(INDIRECT(_xlfn.CONCAT("weather.tbl[",S$1,"]")),MATCH(vp.tbl[[#This Row],[SDate]],weather.tbl[Date],0))</f>
        <v>15</v>
      </c>
      <c r="T1704" s="2">
        <f ca="1">INDEX(INDIRECT(_xlfn.CONCAT("weather.tbl[",T$1,"]")),MATCH(vp.tbl[[#This Row],[SDate]],weather.tbl[Date],0))</f>
        <v>13</v>
      </c>
      <c r="U1704" s="2">
        <f ca="1">INDEX(INDIRECT(_xlfn.CONCAT("weather.tbl[",U$1,"]")),MATCH(vp.tbl[[#This Row],[SDate]],weather.tbl[Date],0))</f>
        <v>13.8</v>
      </c>
      <c r="V1704" s="2" t="s">
        <v>310</v>
      </c>
      <c r="W1704" t="s">
        <v>48</v>
      </c>
      <c r="X1704">
        <f>IF(OR(vp.tbl[[#This Row],[Sulf]]="",vp.tbl[[#This Row],[Dens]]=""),1,0)</f>
        <v>1</v>
      </c>
      <c r="Y1704">
        <f>IF(vp.tbl[[#This Row],[CrudeType]]="C5+",1,0)</f>
        <v>0</v>
      </c>
      <c r="Z1704">
        <f>IF(AND(vp.tbl[[#This Row],[CrudeType]]="Crude",vp.tbl[[#This Row],[Dens]]&lt;=825,vp.tbl[[#This Row],[Sulf]]&gt;0.5,vp.tbl[[#This Row],[Unknown]]=0),1,0)</f>
        <v>0</v>
      </c>
      <c r="AA1704">
        <f>IF(AND(vp.tbl[[#This Row],[CrudeType]]="Crude",vp.tbl[[#This Row],[Dens]]&lt;=825,vp.tbl[[#This Row],[Sulf]]&lt;=0.5,vp.tbl[[#This Row],[Unknown]]=0),1,0)</f>
        <v>0</v>
      </c>
      <c r="AB1704">
        <f>IF(AND(vp.tbl[[#This Row],[CrudeType]]="Crude",vp.tbl[[#This Row],[Dens]]&gt;825,vp.tbl[[#This Row],[Dens]]&lt;=870,vp.tbl[[#This Row],[Sulf]]&gt;0.5,vp.tbl[[#This Row],[Unknown]]=0),1,0)</f>
        <v>0</v>
      </c>
      <c r="AC1704">
        <f>IF(AND(vp.tbl[[#This Row],[CrudeType]]="Crude",vp.tbl[[#This Row],[Dens]]&gt;825,vp.tbl[[#This Row],[Dens]]&lt;=900,vp.tbl[[#This Row],[Sulf]]&lt;=0.5,vp.tbl[[#This Row],[Unknown]]=0),1,0)</f>
        <v>0</v>
      </c>
      <c r="AD1704">
        <f>IF(AND(vp.tbl[[#This Row],[CrudeType]]="Crude",vp.tbl[[#This Row],[Dens]]&gt;870,vp.tbl[[#This Row],[Dens]]&lt;=900,vp.tbl[[#This Row],[Sulf]]&gt;0.5,vp.tbl[[#This Row],[Unknown]]=0),1,0)</f>
        <v>0</v>
      </c>
      <c r="AE1704">
        <f>IF(AND(vp.tbl[[#This Row],[CrudeType]]="Crude",vp.tbl[[#This Row],[Dens]]&gt;900,vp.tbl[[#This Row],[Sulf]]&lt;=0.5,vp.tbl[[#This Row],[Unknown]]=0),1,0)</f>
        <v>0</v>
      </c>
      <c r="AF1704">
        <f>IF(AND(vp.tbl[[#This Row],[CrudeType]]="Crude",vp.tbl[[#This Row],[Dens]]&gt;900,vp.tbl[[#This Row],[Sulf]]&lt;=0.5,vp.tbl[[#This Row],[Unknown]]=0),1,0)</f>
        <v>0</v>
      </c>
      <c r="AG1704" t="str">
        <f>INDEX(vp.tbl[[#Headers],[Unknown]:[Heavy_SW]],MATCH(1,vp.tbl[[#This Row],[Unknown]:[Heavy_SW]],0))</f>
        <v>Unknown</v>
      </c>
      <c r="AH1704" t="e">
        <f>INDEX([1]!crudeBD.lkup[Number],MATCH(vp.tbl[[#This Row],[Crude_Breakdown]],[1]!crudeBD.lkup[Crude Breakdown],0))</f>
        <v>#REF!</v>
      </c>
      <c r="AI1704">
        <f>MONTH(vp.tbl[[#This Row],[SDate]])</f>
        <v>6</v>
      </c>
      <c r="AJ1704" s="5" t="str">
        <f>IFERROR(vp.tbl[[#This Row],[Sulf]]*vp.tbl[[#This Row],[Net Dens]],"")</f>
        <v/>
      </c>
      <c r="AK1704" s="5" t="str">
        <f>IFERROR(vp.tbl[[#This Row],[Dens]]*vp.tbl[[#This Row],[VolumeM3]],"")</f>
        <v/>
      </c>
      <c r="AL1704" s="5" t="str">
        <f>IFERROR(vp.tbl[[#This Row],[VP]]*vp.tbl[[#This Row],[VolumeM3]],"")</f>
        <v/>
      </c>
      <c r="AM1704" s="4">
        <f>IFERROR((vp.tbl[[#This Row],[VP]]-INDEX(crudeBD.lkup.complete[Mean_VP],MATCH(vp.tbl[[#This Row],[Crude_Breakdown]],crudeBD.lkup.complete[Crude Breakdown],0)))^2,"")</f>
        <v>97.118325018765873</v>
      </c>
      <c r="AN1704" s="4" t="str">
        <f>IFERROR((vp.tbl[[#This Row],[Dens]]-INDEX(crudeBD.lkup.complete[Mean_Dens],MATCH(vp.tbl[[#This Row],[Crude_Breakdown]],crudeBD.lkup.complete[Crude Breakdown],0)))^2,"")</f>
        <v/>
      </c>
      <c r="AO1704" s="4" t="str">
        <f>IFERROR((vp.tbl[[#This Row],[Sulf]]-INDEX(crudeBD.lkup.complete[Mean_Sulf],MATCH(vp.tbl[[#This Row],[Crude_Breakdown]],crudeBD.lkup.complete[Crude Breakdown],0)))^2,"")</f>
        <v/>
      </c>
      <c r="AP1704">
        <f>IF(AND(vp.tbl[[#This Row],[SDate]]&gt;=DATE(YEAR(vp.tbl[[#This Row],[SDate]]),5,1),vp.tbl[[#This Row],[SDate]]&lt;=DATE(YEAR(vp.tbl[[#This Row],[SDate]]),9,15)),1,0)</f>
        <v>1</v>
      </c>
      <c r="AQ1704" s="15">
        <f>IF(vp.tbl[[#This Row],[SDate]]&lt;DATE(2016,12,1),0,1)</f>
        <v>1</v>
      </c>
    </row>
    <row r="1705" spans="1:43" x14ac:dyDescent="0.25">
      <c r="A1705">
        <v>1704</v>
      </c>
      <c r="B1705" t="s">
        <v>49</v>
      </c>
      <c r="C1705" t="s">
        <v>49</v>
      </c>
      <c r="D1705" t="s">
        <v>80</v>
      </c>
      <c r="F1705" s="1">
        <v>42912</v>
      </c>
      <c r="G1705" s="2">
        <v>78.5</v>
      </c>
      <c r="H1705" s="2"/>
      <c r="I1705" s="2" t="s">
        <v>310</v>
      </c>
      <c r="J1705" s="2"/>
      <c r="K1705" s="2"/>
      <c r="L1705" s="2"/>
      <c r="M1705" s="2" t="s">
        <v>310</v>
      </c>
      <c r="N1705" s="2">
        <f ca="1">INDEX(INDIRECT(_xlfn.CONCAT("weather.tbl[",N$1,"]")),MATCH(vp.tbl[[#This Row],[SDate]],weather.tbl[Date],0))</f>
        <v>14.1</v>
      </c>
      <c r="O1705" s="2">
        <f ca="1">INDEX(INDIRECT(_xlfn.CONCAT("weather.tbl[",O$1,"]")),MATCH(vp.tbl[[#This Row],[SDate]],weather.tbl[Date],0))</f>
        <v>13.778571428571427</v>
      </c>
      <c r="P1705" s="2">
        <f ca="1">INDEX(INDIRECT(_xlfn.CONCAT("weather.tbl[",P$1,"]")),MATCH(vp.tbl[[#This Row],[SDate]],weather.tbl[Date],0))</f>
        <v>15.2</v>
      </c>
      <c r="Q1705" s="2">
        <f ca="1">INDEX(INDIRECT(_xlfn.CONCAT("weather.tbl[",Q$1,"]")),MATCH(vp.tbl[[#This Row],[SDate]],weather.tbl[Date],0))</f>
        <v>15.3</v>
      </c>
      <c r="R1705" s="2">
        <f ca="1">INDEX(INDIRECT(_xlfn.CONCAT("weather.tbl[",R$1,"]")),MATCH(vp.tbl[[#This Row],[SDate]],weather.tbl[Date],0))</f>
        <v>12.3</v>
      </c>
      <c r="S1705" s="2">
        <f ca="1">INDEX(INDIRECT(_xlfn.CONCAT("weather.tbl[",S$1,"]")),MATCH(vp.tbl[[#This Row],[SDate]],weather.tbl[Date],0))</f>
        <v>15</v>
      </c>
      <c r="T1705" s="2">
        <f ca="1">INDEX(INDIRECT(_xlfn.CONCAT("weather.tbl[",T$1,"]")),MATCH(vp.tbl[[#This Row],[SDate]],weather.tbl[Date],0))</f>
        <v>13</v>
      </c>
      <c r="U1705" s="2">
        <f ca="1">INDEX(INDIRECT(_xlfn.CONCAT("weather.tbl[",U$1,"]")),MATCH(vp.tbl[[#This Row],[SDate]],weather.tbl[Date],0))</f>
        <v>13.8</v>
      </c>
      <c r="V1705" s="2" t="s">
        <v>310</v>
      </c>
      <c r="W1705" t="s">
        <v>48</v>
      </c>
      <c r="X1705">
        <f>IF(OR(vp.tbl[[#This Row],[Sulf]]="",vp.tbl[[#This Row],[Dens]]=""),1,0)</f>
        <v>1</v>
      </c>
      <c r="Y1705">
        <f>IF(vp.tbl[[#This Row],[CrudeType]]="C5+",1,0)</f>
        <v>0</v>
      </c>
      <c r="Z1705">
        <f>IF(AND(vp.tbl[[#This Row],[CrudeType]]="Crude",vp.tbl[[#This Row],[Dens]]&lt;=825,vp.tbl[[#This Row],[Sulf]]&gt;0.5,vp.tbl[[#This Row],[Unknown]]=0),1,0)</f>
        <v>0</v>
      </c>
      <c r="AA1705">
        <f>IF(AND(vp.tbl[[#This Row],[CrudeType]]="Crude",vp.tbl[[#This Row],[Dens]]&lt;=825,vp.tbl[[#This Row],[Sulf]]&lt;=0.5,vp.tbl[[#This Row],[Unknown]]=0),1,0)</f>
        <v>0</v>
      </c>
      <c r="AB1705">
        <f>IF(AND(vp.tbl[[#This Row],[CrudeType]]="Crude",vp.tbl[[#This Row],[Dens]]&gt;825,vp.tbl[[#This Row],[Dens]]&lt;=870,vp.tbl[[#This Row],[Sulf]]&gt;0.5,vp.tbl[[#This Row],[Unknown]]=0),1,0)</f>
        <v>0</v>
      </c>
      <c r="AC1705">
        <f>IF(AND(vp.tbl[[#This Row],[CrudeType]]="Crude",vp.tbl[[#This Row],[Dens]]&gt;825,vp.tbl[[#This Row],[Dens]]&lt;=900,vp.tbl[[#This Row],[Sulf]]&lt;=0.5,vp.tbl[[#This Row],[Unknown]]=0),1,0)</f>
        <v>0</v>
      </c>
      <c r="AD1705">
        <f>IF(AND(vp.tbl[[#This Row],[CrudeType]]="Crude",vp.tbl[[#This Row],[Dens]]&gt;870,vp.tbl[[#This Row],[Dens]]&lt;=900,vp.tbl[[#This Row],[Sulf]]&gt;0.5,vp.tbl[[#This Row],[Unknown]]=0),1,0)</f>
        <v>0</v>
      </c>
      <c r="AE1705">
        <f>IF(AND(vp.tbl[[#This Row],[CrudeType]]="Crude",vp.tbl[[#This Row],[Dens]]&gt;900,vp.tbl[[#This Row],[Sulf]]&lt;=0.5,vp.tbl[[#This Row],[Unknown]]=0),1,0)</f>
        <v>0</v>
      </c>
      <c r="AF1705">
        <f>IF(AND(vp.tbl[[#This Row],[CrudeType]]="Crude",vp.tbl[[#This Row],[Dens]]&gt;900,vp.tbl[[#This Row],[Sulf]]&lt;=0.5,vp.tbl[[#This Row],[Unknown]]=0),1,0)</f>
        <v>0</v>
      </c>
      <c r="AG1705" t="str">
        <f>INDEX(vp.tbl[[#Headers],[Unknown]:[Heavy_SW]],MATCH(1,vp.tbl[[#This Row],[Unknown]:[Heavy_SW]],0))</f>
        <v>Unknown</v>
      </c>
      <c r="AH1705" t="e">
        <f>INDEX([1]!crudeBD.lkup[Number],MATCH(vp.tbl[[#This Row],[Crude_Breakdown]],[1]!crudeBD.lkup[Crude Breakdown],0))</f>
        <v>#REF!</v>
      </c>
      <c r="AI1705">
        <f>MONTH(vp.tbl[[#This Row],[SDate]])</f>
        <v>6</v>
      </c>
      <c r="AJ1705" s="5" t="str">
        <f>IFERROR(vp.tbl[[#This Row],[Sulf]]*vp.tbl[[#This Row],[Net Dens]],"")</f>
        <v/>
      </c>
      <c r="AK1705" s="5" t="str">
        <f>IFERROR(vp.tbl[[#This Row],[Dens]]*vp.tbl[[#This Row],[VolumeM3]],"")</f>
        <v/>
      </c>
      <c r="AL1705" s="5" t="str">
        <f>IFERROR(vp.tbl[[#This Row],[VP]]*vp.tbl[[#This Row],[VolumeM3]],"")</f>
        <v/>
      </c>
      <c r="AM1705" s="4">
        <f>IFERROR((vp.tbl[[#This Row],[VP]]-INDEX(crudeBD.lkup.complete[Mean_VP],MATCH(vp.tbl[[#This Row],[Crude_Breakdown]],crudeBD.lkup.complete[Crude Breakdown],0)))^2,"")</f>
        <v>21.66774967629976</v>
      </c>
      <c r="AN1705" s="4" t="str">
        <f>IFERROR((vp.tbl[[#This Row],[Dens]]-INDEX(crudeBD.lkup.complete[Mean_Dens],MATCH(vp.tbl[[#This Row],[Crude_Breakdown]],crudeBD.lkup.complete[Crude Breakdown],0)))^2,"")</f>
        <v/>
      </c>
      <c r="AO1705" s="4" t="str">
        <f>IFERROR((vp.tbl[[#This Row],[Sulf]]-INDEX(crudeBD.lkup.complete[Mean_Sulf],MATCH(vp.tbl[[#This Row],[Crude_Breakdown]],crudeBD.lkup.complete[Crude Breakdown],0)))^2,"")</f>
        <v/>
      </c>
      <c r="AP1705">
        <f>IF(AND(vp.tbl[[#This Row],[SDate]]&gt;=DATE(YEAR(vp.tbl[[#This Row],[SDate]]),5,1),vp.tbl[[#This Row],[SDate]]&lt;=DATE(YEAR(vp.tbl[[#This Row],[SDate]]),9,15)),1,0)</f>
        <v>1</v>
      </c>
      <c r="AQ1705" s="15">
        <f>IF(vp.tbl[[#This Row],[SDate]]&lt;DATE(2016,12,1),0,1)</f>
        <v>1</v>
      </c>
    </row>
    <row r="1706" spans="1:43" x14ac:dyDescent="0.25">
      <c r="A1706">
        <v>1705</v>
      </c>
      <c r="B1706" t="s">
        <v>49</v>
      </c>
      <c r="C1706" t="s">
        <v>49</v>
      </c>
      <c r="D1706" t="s">
        <v>100</v>
      </c>
      <c r="F1706" s="1">
        <v>42912</v>
      </c>
      <c r="G1706" s="2">
        <v>79.400000000000006</v>
      </c>
      <c r="H1706" s="2"/>
      <c r="I1706" s="2" t="s">
        <v>310</v>
      </c>
      <c r="J1706" s="2"/>
      <c r="K1706" s="2"/>
      <c r="L1706" s="2"/>
      <c r="M1706" s="2" t="s">
        <v>310</v>
      </c>
      <c r="N1706" s="2">
        <f ca="1">INDEX(INDIRECT(_xlfn.CONCAT("weather.tbl[",N$1,"]")),MATCH(vp.tbl[[#This Row],[SDate]],weather.tbl[Date],0))</f>
        <v>14.1</v>
      </c>
      <c r="O1706" s="2">
        <f ca="1">INDEX(INDIRECT(_xlfn.CONCAT("weather.tbl[",O$1,"]")),MATCH(vp.tbl[[#This Row],[SDate]],weather.tbl[Date],0))</f>
        <v>13.778571428571427</v>
      </c>
      <c r="P1706" s="2">
        <f ca="1">INDEX(INDIRECT(_xlfn.CONCAT("weather.tbl[",P$1,"]")),MATCH(vp.tbl[[#This Row],[SDate]],weather.tbl[Date],0))</f>
        <v>15.2</v>
      </c>
      <c r="Q1706" s="2">
        <f ca="1">INDEX(INDIRECT(_xlfn.CONCAT("weather.tbl[",Q$1,"]")),MATCH(vp.tbl[[#This Row],[SDate]],weather.tbl[Date],0))</f>
        <v>15.3</v>
      </c>
      <c r="R1706" s="2">
        <f ca="1">INDEX(INDIRECT(_xlfn.CONCAT("weather.tbl[",R$1,"]")),MATCH(vp.tbl[[#This Row],[SDate]],weather.tbl[Date],0))</f>
        <v>12.3</v>
      </c>
      <c r="S1706" s="2">
        <f ca="1">INDEX(INDIRECT(_xlfn.CONCAT("weather.tbl[",S$1,"]")),MATCH(vp.tbl[[#This Row],[SDate]],weather.tbl[Date],0))</f>
        <v>15</v>
      </c>
      <c r="T1706" s="2">
        <f ca="1">INDEX(INDIRECT(_xlfn.CONCAT("weather.tbl[",T$1,"]")),MATCH(vp.tbl[[#This Row],[SDate]],weather.tbl[Date],0))</f>
        <v>13</v>
      </c>
      <c r="U1706" s="2">
        <f ca="1">INDEX(INDIRECT(_xlfn.CONCAT("weather.tbl[",U$1,"]")),MATCH(vp.tbl[[#This Row],[SDate]],weather.tbl[Date],0))</f>
        <v>13.8</v>
      </c>
      <c r="V1706" s="2" t="s">
        <v>310</v>
      </c>
      <c r="W1706" t="s">
        <v>48</v>
      </c>
      <c r="X1706">
        <f>IF(OR(vp.tbl[[#This Row],[Sulf]]="",vp.tbl[[#This Row],[Dens]]=""),1,0)</f>
        <v>1</v>
      </c>
      <c r="Y1706">
        <f>IF(vp.tbl[[#This Row],[CrudeType]]="C5+",1,0)</f>
        <v>0</v>
      </c>
      <c r="Z1706">
        <f>IF(AND(vp.tbl[[#This Row],[CrudeType]]="Crude",vp.tbl[[#This Row],[Dens]]&lt;=825,vp.tbl[[#This Row],[Sulf]]&gt;0.5,vp.tbl[[#This Row],[Unknown]]=0),1,0)</f>
        <v>0</v>
      </c>
      <c r="AA1706">
        <f>IF(AND(vp.tbl[[#This Row],[CrudeType]]="Crude",vp.tbl[[#This Row],[Dens]]&lt;=825,vp.tbl[[#This Row],[Sulf]]&lt;=0.5,vp.tbl[[#This Row],[Unknown]]=0),1,0)</f>
        <v>0</v>
      </c>
      <c r="AB1706">
        <f>IF(AND(vp.tbl[[#This Row],[CrudeType]]="Crude",vp.tbl[[#This Row],[Dens]]&gt;825,vp.tbl[[#This Row],[Dens]]&lt;=870,vp.tbl[[#This Row],[Sulf]]&gt;0.5,vp.tbl[[#This Row],[Unknown]]=0),1,0)</f>
        <v>0</v>
      </c>
      <c r="AC1706">
        <f>IF(AND(vp.tbl[[#This Row],[CrudeType]]="Crude",vp.tbl[[#This Row],[Dens]]&gt;825,vp.tbl[[#This Row],[Dens]]&lt;=900,vp.tbl[[#This Row],[Sulf]]&lt;=0.5,vp.tbl[[#This Row],[Unknown]]=0),1,0)</f>
        <v>0</v>
      </c>
      <c r="AD1706">
        <f>IF(AND(vp.tbl[[#This Row],[CrudeType]]="Crude",vp.tbl[[#This Row],[Dens]]&gt;870,vp.tbl[[#This Row],[Dens]]&lt;=900,vp.tbl[[#This Row],[Sulf]]&gt;0.5,vp.tbl[[#This Row],[Unknown]]=0),1,0)</f>
        <v>0</v>
      </c>
      <c r="AE1706">
        <f>IF(AND(vp.tbl[[#This Row],[CrudeType]]="Crude",vp.tbl[[#This Row],[Dens]]&gt;900,vp.tbl[[#This Row],[Sulf]]&lt;=0.5,vp.tbl[[#This Row],[Unknown]]=0),1,0)</f>
        <v>0</v>
      </c>
      <c r="AF1706">
        <f>IF(AND(vp.tbl[[#This Row],[CrudeType]]="Crude",vp.tbl[[#This Row],[Dens]]&gt;900,vp.tbl[[#This Row],[Sulf]]&lt;=0.5,vp.tbl[[#This Row],[Unknown]]=0),1,0)</f>
        <v>0</v>
      </c>
      <c r="AG1706" t="str">
        <f>INDEX(vp.tbl[[#Headers],[Unknown]:[Heavy_SW]],MATCH(1,vp.tbl[[#This Row],[Unknown]:[Heavy_SW]],0))</f>
        <v>Unknown</v>
      </c>
      <c r="AH1706" t="e">
        <f>INDEX([1]!crudeBD.lkup[Number],MATCH(vp.tbl[[#This Row],[Crude_Breakdown]],[1]!crudeBD.lkup[Crude Breakdown],0))</f>
        <v>#REF!</v>
      </c>
      <c r="AI1706">
        <f>MONTH(vp.tbl[[#This Row],[SDate]])</f>
        <v>6</v>
      </c>
      <c r="AJ1706" s="5" t="str">
        <f>IFERROR(vp.tbl[[#This Row],[Sulf]]*vp.tbl[[#This Row],[Net Dens]],"")</f>
        <v/>
      </c>
      <c r="AK1706" s="5" t="str">
        <f>IFERROR(vp.tbl[[#This Row],[Dens]]*vp.tbl[[#This Row],[VolumeM3]],"")</f>
        <v/>
      </c>
      <c r="AL1706" s="5" t="str">
        <f>IFERROR(vp.tbl[[#This Row],[VP]]*vp.tbl[[#This Row],[VolumeM3]],"")</f>
        <v/>
      </c>
      <c r="AM1706" s="4">
        <f>IFERROR((vp.tbl[[#This Row],[VP]]-INDEX(crudeBD.lkup.complete[Mean_VP],MATCH(vp.tbl[[#This Row],[Crude_Breakdown]],crudeBD.lkup.complete[Crude Breakdown],0)))^2,"")</f>
        <v>30.856503100957411</v>
      </c>
      <c r="AN1706" s="4" t="str">
        <f>IFERROR((vp.tbl[[#This Row],[Dens]]-INDEX(crudeBD.lkup.complete[Mean_Dens],MATCH(vp.tbl[[#This Row],[Crude_Breakdown]],crudeBD.lkup.complete[Crude Breakdown],0)))^2,"")</f>
        <v/>
      </c>
      <c r="AO1706" s="4" t="str">
        <f>IFERROR((vp.tbl[[#This Row],[Sulf]]-INDEX(crudeBD.lkup.complete[Mean_Sulf],MATCH(vp.tbl[[#This Row],[Crude_Breakdown]],crudeBD.lkup.complete[Crude Breakdown],0)))^2,"")</f>
        <v/>
      </c>
      <c r="AP1706">
        <f>IF(AND(vp.tbl[[#This Row],[SDate]]&gt;=DATE(YEAR(vp.tbl[[#This Row],[SDate]]),5,1),vp.tbl[[#This Row],[SDate]]&lt;=DATE(YEAR(vp.tbl[[#This Row],[SDate]]),9,15)),1,0)</f>
        <v>1</v>
      </c>
      <c r="AQ1706" s="15">
        <f>IF(vp.tbl[[#This Row],[SDate]]&lt;DATE(2016,12,1),0,1)</f>
        <v>1</v>
      </c>
    </row>
    <row r="1707" spans="1:43" x14ac:dyDescent="0.25">
      <c r="A1707">
        <v>1706</v>
      </c>
      <c r="B1707" t="s">
        <v>62</v>
      </c>
      <c r="C1707" t="s">
        <v>62</v>
      </c>
      <c r="D1707" t="s">
        <v>79</v>
      </c>
      <c r="F1707" s="1">
        <v>42912</v>
      </c>
      <c r="G1707" s="2">
        <v>76.400000000000006</v>
      </c>
      <c r="H1707" s="2"/>
      <c r="I1707" s="2" t="s">
        <v>310</v>
      </c>
      <c r="J1707" s="2"/>
      <c r="K1707" s="2"/>
      <c r="L1707" s="2"/>
      <c r="M1707" s="2" t="s">
        <v>310</v>
      </c>
      <c r="N1707" s="2">
        <f ca="1">INDEX(INDIRECT(_xlfn.CONCAT("weather.tbl[",N$1,"]")),MATCH(vp.tbl[[#This Row],[SDate]],weather.tbl[Date],0))</f>
        <v>14.1</v>
      </c>
      <c r="O1707" s="2">
        <f ca="1">INDEX(INDIRECT(_xlfn.CONCAT("weather.tbl[",O$1,"]")),MATCH(vp.tbl[[#This Row],[SDate]],weather.tbl[Date],0))</f>
        <v>13.778571428571427</v>
      </c>
      <c r="P1707" s="2">
        <f ca="1">INDEX(INDIRECT(_xlfn.CONCAT("weather.tbl[",P$1,"]")),MATCH(vp.tbl[[#This Row],[SDate]],weather.tbl[Date],0))</f>
        <v>15.2</v>
      </c>
      <c r="Q1707" s="2">
        <f ca="1">INDEX(INDIRECT(_xlfn.CONCAT("weather.tbl[",Q$1,"]")),MATCH(vp.tbl[[#This Row],[SDate]],weather.tbl[Date],0))</f>
        <v>15.3</v>
      </c>
      <c r="R1707" s="2">
        <f ca="1">INDEX(INDIRECT(_xlfn.CONCAT("weather.tbl[",R$1,"]")),MATCH(vp.tbl[[#This Row],[SDate]],weather.tbl[Date],0))</f>
        <v>12.3</v>
      </c>
      <c r="S1707" s="2">
        <f ca="1">INDEX(INDIRECT(_xlfn.CONCAT("weather.tbl[",S$1,"]")),MATCH(vp.tbl[[#This Row],[SDate]],weather.tbl[Date],0))</f>
        <v>15</v>
      </c>
      <c r="T1707" s="2">
        <f ca="1">INDEX(INDIRECT(_xlfn.CONCAT("weather.tbl[",T$1,"]")),MATCH(vp.tbl[[#This Row],[SDate]],weather.tbl[Date],0))</f>
        <v>13</v>
      </c>
      <c r="U1707" s="2">
        <f ca="1">INDEX(INDIRECT(_xlfn.CONCAT("weather.tbl[",U$1,"]")),MATCH(vp.tbl[[#This Row],[SDate]],weather.tbl[Date],0))</f>
        <v>13.8</v>
      </c>
      <c r="V1707" s="2" t="s">
        <v>310</v>
      </c>
      <c r="W1707" t="s">
        <v>48</v>
      </c>
      <c r="X1707">
        <f>IF(OR(vp.tbl[[#This Row],[Sulf]]="",vp.tbl[[#This Row],[Dens]]=""),1,0)</f>
        <v>1</v>
      </c>
      <c r="Y1707">
        <f>IF(vp.tbl[[#This Row],[CrudeType]]="C5+",1,0)</f>
        <v>0</v>
      </c>
      <c r="Z1707">
        <f>IF(AND(vp.tbl[[#This Row],[CrudeType]]="Crude",vp.tbl[[#This Row],[Dens]]&lt;=825,vp.tbl[[#This Row],[Sulf]]&gt;0.5,vp.tbl[[#This Row],[Unknown]]=0),1,0)</f>
        <v>0</v>
      </c>
      <c r="AA1707">
        <f>IF(AND(vp.tbl[[#This Row],[CrudeType]]="Crude",vp.tbl[[#This Row],[Dens]]&lt;=825,vp.tbl[[#This Row],[Sulf]]&lt;=0.5,vp.tbl[[#This Row],[Unknown]]=0),1,0)</f>
        <v>0</v>
      </c>
      <c r="AB1707">
        <f>IF(AND(vp.tbl[[#This Row],[CrudeType]]="Crude",vp.tbl[[#This Row],[Dens]]&gt;825,vp.tbl[[#This Row],[Dens]]&lt;=870,vp.tbl[[#This Row],[Sulf]]&gt;0.5,vp.tbl[[#This Row],[Unknown]]=0),1,0)</f>
        <v>0</v>
      </c>
      <c r="AC1707">
        <f>IF(AND(vp.tbl[[#This Row],[CrudeType]]="Crude",vp.tbl[[#This Row],[Dens]]&gt;825,vp.tbl[[#This Row],[Dens]]&lt;=900,vp.tbl[[#This Row],[Sulf]]&lt;=0.5,vp.tbl[[#This Row],[Unknown]]=0),1,0)</f>
        <v>0</v>
      </c>
      <c r="AD1707">
        <f>IF(AND(vp.tbl[[#This Row],[CrudeType]]="Crude",vp.tbl[[#This Row],[Dens]]&gt;870,vp.tbl[[#This Row],[Dens]]&lt;=900,vp.tbl[[#This Row],[Sulf]]&gt;0.5,vp.tbl[[#This Row],[Unknown]]=0),1,0)</f>
        <v>0</v>
      </c>
      <c r="AE1707">
        <f>IF(AND(vp.tbl[[#This Row],[CrudeType]]="Crude",vp.tbl[[#This Row],[Dens]]&gt;900,vp.tbl[[#This Row],[Sulf]]&lt;=0.5,vp.tbl[[#This Row],[Unknown]]=0),1,0)</f>
        <v>0</v>
      </c>
      <c r="AF1707">
        <f>IF(AND(vp.tbl[[#This Row],[CrudeType]]="Crude",vp.tbl[[#This Row],[Dens]]&gt;900,vp.tbl[[#This Row],[Sulf]]&lt;=0.5,vp.tbl[[#This Row],[Unknown]]=0),1,0)</f>
        <v>0</v>
      </c>
      <c r="AG1707" t="str">
        <f>INDEX(vp.tbl[[#Headers],[Unknown]:[Heavy_SW]],MATCH(1,vp.tbl[[#This Row],[Unknown]:[Heavy_SW]],0))</f>
        <v>Unknown</v>
      </c>
      <c r="AH1707" t="e">
        <f>INDEX([1]!crudeBD.lkup[Number],MATCH(vp.tbl[[#This Row],[Crude_Breakdown]],[1]!crudeBD.lkup[Crude Breakdown],0))</f>
        <v>#REF!</v>
      </c>
      <c r="AI1707">
        <f>MONTH(vp.tbl[[#This Row],[SDate]])</f>
        <v>6</v>
      </c>
      <c r="AJ1707" s="5" t="str">
        <f>IFERROR(vp.tbl[[#This Row],[Sulf]]*vp.tbl[[#This Row],[Net Dens]],"")</f>
        <v/>
      </c>
      <c r="AK1707" s="5" t="str">
        <f>IFERROR(vp.tbl[[#This Row],[Dens]]*vp.tbl[[#This Row],[VolumeM3]],"")</f>
        <v/>
      </c>
      <c r="AL1707" s="5" t="str">
        <f>IFERROR(vp.tbl[[#This Row],[VP]]*vp.tbl[[#This Row],[VolumeM3]],"")</f>
        <v/>
      </c>
      <c r="AM1707" s="4">
        <f>IFERROR((vp.tbl[[#This Row],[VP]]-INDEX(crudeBD.lkup.complete[Mean_VP],MATCH(vp.tbl[[#This Row],[Crude_Breakdown]],crudeBD.lkup.complete[Crude Breakdown],0)))^2,"")</f>
        <v>6.5273250187654224</v>
      </c>
      <c r="AN1707" s="4" t="str">
        <f>IFERROR((vp.tbl[[#This Row],[Dens]]-INDEX(crudeBD.lkup.complete[Mean_Dens],MATCH(vp.tbl[[#This Row],[Crude_Breakdown]],crudeBD.lkup.complete[Crude Breakdown],0)))^2,"")</f>
        <v/>
      </c>
      <c r="AO1707" s="4" t="str">
        <f>IFERROR((vp.tbl[[#This Row],[Sulf]]-INDEX(crudeBD.lkup.complete[Mean_Sulf],MATCH(vp.tbl[[#This Row],[Crude_Breakdown]],crudeBD.lkup.complete[Crude Breakdown],0)))^2,"")</f>
        <v/>
      </c>
      <c r="AP1707">
        <f>IF(AND(vp.tbl[[#This Row],[SDate]]&gt;=DATE(YEAR(vp.tbl[[#This Row],[SDate]]),5,1),vp.tbl[[#This Row],[SDate]]&lt;=DATE(YEAR(vp.tbl[[#This Row],[SDate]]),9,15)),1,0)</f>
        <v>1</v>
      </c>
      <c r="AQ1707" s="15">
        <f>IF(vp.tbl[[#This Row],[SDate]]&lt;DATE(2016,12,1),0,1)</f>
        <v>1</v>
      </c>
    </row>
    <row r="1708" spans="1:43" x14ac:dyDescent="0.25">
      <c r="A1708">
        <v>1707</v>
      </c>
      <c r="B1708" t="s">
        <v>62</v>
      </c>
      <c r="C1708" t="s">
        <v>62</v>
      </c>
      <c r="D1708" t="s">
        <v>83</v>
      </c>
      <c r="F1708" s="1">
        <v>42912</v>
      </c>
      <c r="G1708" s="2">
        <v>71.5</v>
      </c>
      <c r="H1708" s="2"/>
      <c r="I1708" s="2" t="s">
        <v>310</v>
      </c>
      <c r="J1708" s="2"/>
      <c r="K1708" s="2"/>
      <c r="L1708" s="2"/>
      <c r="M1708" s="2" t="s">
        <v>310</v>
      </c>
      <c r="N1708" s="2">
        <f ca="1">INDEX(INDIRECT(_xlfn.CONCAT("weather.tbl[",N$1,"]")),MATCH(vp.tbl[[#This Row],[SDate]],weather.tbl[Date],0))</f>
        <v>14.1</v>
      </c>
      <c r="O1708" s="2">
        <f ca="1">INDEX(INDIRECT(_xlfn.CONCAT("weather.tbl[",O$1,"]")),MATCH(vp.tbl[[#This Row],[SDate]],weather.tbl[Date],0))</f>
        <v>13.778571428571427</v>
      </c>
      <c r="P1708" s="2">
        <f ca="1">INDEX(INDIRECT(_xlfn.CONCAT("weather.tbl[",P$1,"]")),MATCH(vp.tbl[[#This Row],[SDate]],weather.tbl[Date],0))</f>
        <v>15.2</v>
      </c>
      <c r="Q1708" s="2">
        <f ca="1">INDEX(INDIRECT(_xlfn.CONCAT("weather.tbl[",Q$1,"]")),MATCH(vp.tbl[[#This Row],[SDate]],weather.tbl[Date],0))</f>
        <v>15.3</v>
      </c>
      <c r="R1708" s="2">
        <f ca="1">INDEX(INDIRECT(_xlfn.CONCAT("weather.tbl[",R$1,"]")),MATCH(vp.tbl[[#This Row],[SDate]],weather.tbl[Date],0))</f>
        <v>12.3</v>
      </c>
      <c r="S1708" s="2">
        <f ca="1">INDEX(INDIRECT(_xlfn.CONCAT("weather.tbl[",S$1,"]")),MATCH(vp.tbl[[#This Row],[SDate]],weather.tbl[Date],0))</f>
        <v>15</v>
      </c>
      <c r="T1708" s="2">
        <f ca="1">INDEX(INDIRECT(_xlfn.CONCAT("weather.tbl[",T$1,"]")),MATCH(vp.tbl[[#This Row],[SDate]],weather.tbl[Date],0))</f>
        <v>13</v>
      </c>
      <c r="U1708" s="2">
        <f ca="1">INDEX(INDIRECT(_xlfn.CONCAT("weather.tbl[",U$1,"]")),MATCH(vp.tbl[[#This Row],[SDate]],weather.tbl[Date],0))</f>
        <v>13.8</v>
      </c>
      <c r="V1708" s="2" t="s">
        <v>310</v>
      </c>
      <c r="W1708" t="s">
        <v>48</v>
      </c>
      <c r="X1708">
        <f>IF(OR(vp.tbl[[#This Row],[Sulf]]="",vp.tbl[[#This Row],[Dens]]=""),1,0)</f>
        <v>1</v>
      </c>
      <c r="Y1708">
        <f>IF(vp.tbl[[#This Row],[CrudeType]]="C5+",1,0)</f>
        <v>0</v>
      </c>
      <c r="Z1708">
        <f>IF(AND(vp.tbl[[#This Row],[CrudeType]]="Crude",vp.tbl[[#This Row],[Dens]]&lt;=825,vp.tbl[[#This Row],[Sulf]]&gt;0.5,vp.tbl[[#This Row],[Unknown]]=0),1,0)</f>
        <v>0</v>
      </c>
      <c r="AA1708">
        <f>IF(AND(vp.tbl[[#This Row],[CrudeType]]="Crude",vp.tbl[[#This Row],[Dens]]&lt;=825,vp.tbl[[#This Row],[Sulf]]&lt;=0.5,vp.tbl[[#This Row],[Unknown]]=0),1,0)</f>
        <v>0</v>
      </c>
      <c r="AB1708">
        <f>IF(AND(vp.tbl[[#This Row],[CrudeType]]="Crude",vp.tbl[[#This Row],[Dens]]&gt;825,vp.tbl[[#This Row],[Dens]]&lt;=870,vp.tbl[[#This Row],[Sulf]]&gt;0.5,vp.tbl[[#This Row],[Unknown]]=0),1,0)</f>
        <v>0</v>
      </c>
      <c r="AC1708">
        <f>IF(AND(vp.tbl[[#This Row],[CrudeType]]="Crude",vp.tbl[[#This Row],[Dens]]&gt;825,vp.tbl[[#This Row],[Dens]]&lt;=900,vp.tbl[[#This Row],[Sulf]]&lt;=0.5,vp.tbl[[#This Row],[Unknown]]=0),1,0)</f>
        <v>0</v>
      </c>
      <c r="AD1708">
        <f>IF(AND(vp.tbl[[#This Row],[CrudeType]]="Crude",vp.tbl[[#This Row],[Dens]]&gt;870,vp.tbl[[#This Row],[Dens]]&lt;=900,vp.tbl[[#This Row],[Sulf]]&gt;0.5,vp.tbl[[#This Row],[Unknown]]=0),1,0)</f>
        <v>0</v>
      </c>
      <c r="AE1708">
        <f>IF(AND(vp.tbl[[#This Row],[CrudeType]]="Crude",vp.tbl[[#This Row],[Dens]]&gt;900,vp.tbl[[#This Row],[Sulf]]&lt;=0.5,vp.tbl[[#This Row],[Unknown]]=0),1,0)</f>
        <v>0</v>
      </c>
      <c r="AF1708">
        <f>IF(AND(vp.tbl[[#This Row],[CrudeType]]="Crude",vp.tbl[[#This Row],[Dens]]&gt;900,vp.tbl[[#This Row],[Sulf]]&lt;=0.5,vp.tbl[[#This Row],[Unknown]]=0),1,0)</f>
        <v>0</v>
      </c>
      <c r="AG1708" t="str">
        <f>INDEX(vp.tbl[[#Headers],[Unknown]:[Heavy_SW]],MATCH(1,vp.tbl[[#This Row],[Unknown]:[Heavy_SW]],0))</f>
        <v>Unknown</v>
      </c>
      <c r="AH1708" t="e">
        <f>INDEX([1]!crudeBD.lkup[Number],MATCH(vp.tbl[[#This Row],[Crude_Breakdown]],[1]!crudeBD.lkup[Crude Breakdown],0))</f>
        <v>#REF!</v>
      </c>
      <c r="AI1708">
        <f>MONTH(vp.tbl[[#This Row],[SDate]])</f>
        <v>6</v>
      </c>
      <c r="AJ1708" s="5" t="str">
        <f>IFERROR(vp.tbl[[#This Row],[Sulf]]*vp.tbl[[#This Row],[Net Dens]],"")</f>
        <v/>
      </c>
      <c r="AK1708" s="5" t="str">
        <f>IFERROR(vp.tbl[[#This Row],[Dens]]*vp.tbl[[#This Row],[VolumeM3]],"")</f>
        <v/>
      </c>
      <c r="AL1708" s="5" t="str">
        <f>IFERROR(vp.tbl[[#This Row],[VP]]*vp.tbl[[#This Row],[VolumeM3]],"")</f>
        <v/>
      </c>
      <c r="AM1708" s="4">
        <f>IFERROR((vp.tbl[[#This Row],[VP]]-INDEX(crudeBD.lkup.complete[Mean_VP],MATCH(vp.tbl[[#This Row],[Crude_Breakdown]],crudeBD.lkup.complete[Crude Breakdown],0)))^2,"")</f>
        <v>5.4996674845185369</v>
      </c>
      <c r="AN1708" s="4" t="str">
        <f>IFERROR((vp.tbl[[#This Row],[Dens]]-INDEX(crudeBD.lkup.complete[Mean_Dens],MATCH(vp.tbl[[#This Row],[Crude_Breakdown]],crudeBD.lkup.complete[Crude Breakdown],0)))^2,"")</f>
        <v/>
      </c>
      <c r="AO1708" s="4" t="str">
        <f>IFERROR((vp.tbl[[#This Row],[Sulf]]-INDEX(crudeBD.lkup.complete[Mean_Sulf],MATCH(vp.tbl[[#This Row],[Crude_Breakdown]],crudeBD.lkup.complete[Crude Breakdown],0)))^2,"")</f>
        <v/>
      </c>
      <c r="AP1708">
        <f>IF(AND(vp.tbl[[#This Row],[SDate]]&gt;=DATE(YEAR(vp.tbl[[#This Row],[SDate]]),5,1),vp.tbl[[#This Row],[SDate]]&lt;=DATE(YEAR(vp.tbl[[#This Row],[SDate]]),9,15)),1,0)</f>
        <v>1</v>
      </c>
      <c r="AQ1708" s="15">
        <f>IF(vp.tbl[[#This Row],[SDate]]&lt;DATE(2016,12,1),0,1)</f>
        <v>1</v>
      </c>
    </row>
    <row r="1709" spans="1:43" x14ac:dyDescent="0.25">
      <c r="A1709">
        <v>1708</v>
      </c>
      <c r="B1709" t="s">
        <v>62</v>
      </c>
      <c r="C1709" t="s">
        <v>62</v>
      </c>
      <c r="D1709" t="s">
        <v>87</v>
      </c>
      <c r="F1709" s="1">
        <v>42912</v>
      </c>
      <c r="G1709" s="2">
        <v>82</v>
      </c>
      <c r="H1709" s="2"/>
      <c r="I1709" s="2" t="s">
        <v>310</v>
      </c>
      <c r="J1709" s="2"/>
      <c r="K1709" s="2"/>
      <c r="L1709" s="2"/>
      <c r="M1709" s="2" t="s">
        <v>310</v>
      </c>
      <c r="N1709" s="2">
        <f ca="1">INDEX(INDIRECT(_xlfn.CONCAT("weather.tbl[",N$1,"]")),MATCH(vp.tbl[[#This Row],[SDate]],weather.tbl[Date],0))</f>
        <v>14.1</v>
      </c>
      <c r="O1709" s="2">
        <f ca="1">INDEX(INDIRECT(_xlfn.CONCAT("weather.tbl[",O$1,"]")),MATCH(vp.tbl[[#This Row],[SDate]],weather.tbl[Date],0))</f>
        <v>13.778571428571427</v>
      </c>
      <c r="P1709" s="2">
        <f ca="1">INDEX(INDIRECT(_xlfn.CONCAT("weather.tbl[",P$1,"]")),MATCH(vp.tbl[[#This Row],[SDate]],weather.tbl[Date],0))</f>
        <v>15.2</v>
      </c>
      <c r="Q1709" s="2">
        <f ca="1">INDEX(INDIRECT(_xlfn.CONCAT("weather.tbl[",Q$1,"]")),MATCH(vp.tbl[[#This Row],[SDate]],weather.tbl[Date],0))</f>
        <v>15.3</v>
      </c>
      <c r="R1709" s="2">
        <f ca="1">INDEX(INDIRECT(_xlfn.CONCAT("weather.tbl[",R$1,"]")),MATCH(vp.tbl[[#This Row],[SDate]],weather.tbl[Date],0))</f>
        <v>12.3</v>
      </c>
      <c r="S1709" s="2">
        <f ca="1">INDEX(INDIRECT(_xlfn.CONCAT("weather.tbl[",S$1,"]")),MATCH(vp.tbl[[#This Row],[SDate]],weather.tbl[Date],0))</f>
        <v>15</v>
      </c>
      <c r="T1709" s="2">
        <f ca="1">INDEX(INDIRECT(_xlfn.CONCAT("weather.tbl[",T$1,"]")),MATCH(vp.tbl[[#This Row],[SDate]],weather.tbl[Date],0))</f>
        <v>13</v>
      </c>
      <c r="U1709" s="2">
        <f ca="1">INDEX(INDIRECT(_xlfn.CONCAT("weather.tbl[",U$1,"]")),MATCH(vp.tbl[[#This Row],[SDate]],weather.tbl[Date],0))</f>
        <v>13.8</v>
      </c>
      <c r="V1709" s="2" t="s">
        <v>310</v>
      </c>
      <c r="W1709" t="s">
        <v>48</v>
      </c>
      <c r="X1709">
        <f>IF(OR(vp.tbl[[#This Row],[Sulf]]="",vp.tbl[[#This Row],[Dens]]=""),1,0)</f>
        <v>1</v>
      </c>
      <c r="Y1709">
        <f>IF(vp.tbl[[#This Row],[CrudeType]]="C5+",1,0)</f>
        <v>0</v>
      </c>
      <c r="Z1709">
        <f>IF(AND(vp.tbl[[#This Row],[CrudeType]]="Crude",vp.tbl[[#This Row],[Dens]]&lt;=825,vp.tbl[[#This Row],[Sulf]]&gt;0.5,vp.tbl[[#This Row],[Unknown]]=0),1,0)</f>
        <v>0</v>
      </c>
      <c r="AA1709">
        <f>IF(AND(vp.tbl[[#This Row],[CrudeType]]="Crude",vp.tbl[[#This Row],[Dens]]&lt;=825,vp.tbl[[#This Row],[Sulf]]&lt;=0.5,vp.tbl[[#This Row],[Unknown]]=0),1,0)</f>
        <v>0</v>
      </c>
      <c r="AB1709">
        <f>IF(AND(vp.tbl[[#This Row],[CrudeType]]="Crude",vp.tbl[[#This Row],[Dens]]&gt;825,vp.tbl[[#This Row],[Dens]]&lt;=870,vp.tbl[[#This Row],[Sulf]]&gt;0.5,vp.tbl[[#This Row],[Unknown]]=0),1,0)</f>
        <v>0</v>
      </c>
      <c r="AC1709">
        <f>IF(AND(vp.tbl[[#This Row],[CrudeType]]="Crude",vp.tbl[[#This Row],[Dens]]&gt;825,vp.tbl[[#This Row],[Dens]]&lt;=900,vp.tbl[[#This Row],[Sulf]]&lt;=0.5,vp.tbl[[#This Row],[Unknown]]=0),1,0)</f>
        <v>0</v>
      </c>
      <c r="AD1709">
        <f>IF(AND(vp.tbl[[#This Row],[CrudeType]]="Crude",vp.tbl[[#This Row],[Dens]]&gt;870,vp.tbl[[#This Row],[Dens]]&lt;=900,vp.tbl[[#This Row],[Sulf]]&gt;0.5,vp.tbl[[#This Row],[Unknown]]=0),1,0)</f>
        <v>0</v>
      </c>
      <c r="AE1709">
        <f>IF(AND(vp.tbl[[#This Row],[CrudeType]]="Crude",vp.tbl[[#This Row],[Dens]]&gt;900,vp.tbl[[#This Row],[Sulf]]&lt;=0.5,vp.tbl[[#This Row],[Unknown]]=0),1,0)</f>
        <v>0</v>
      </c>
      <c r="AF1709">
        <f>IF(AND(vp.tbl[[#This Row],[CrudeType]]="Crude",vp.tbl[[#This Row],[Dens]]&gt;900,vp.tbl[[#This Row],[Sulf]]&lt;=0.5,vp.tbl[[#This Row],[Unknown]]=0),1,0)</f>
        <v>0</v>
      </c>
      <c r="AG1709" t="str">
        <f>INDEX(vp.tbl[[#Headers],[Unknown]:[Heavy_SW]],MATCH(1,vp.tbl[[#This Row],[Unknown]:[Heavy_SW]],0))</f>
        <v>Unknown</v>
      </c>
      <c r="AH1709" t="e">
        <f>INDEX([1]!crudeBD.lkup[Number],MATCH(vp.tbl[[#This Row],[Crude_Breakdown]],[1]!crudeBD.lkup[Crude Breakdown],0))</f>
        <v>#REF!</v>
      </c>
      <c r="AI1709">
        <f>MONTH(vp.tbl[[#This Row],[SDate]])</f>
        <v>6</v>
      </c>
      <c r="AJ1709" s="5" t="str">
        <f>IFERROR(vp.tbl[[#This Row],[Sulf]]*vp.tbl[[#This Row],[Net Dens]],"")</f>
        <v/>
      </c>
      <c r="AK1709" s="5" t="str">
        <f>IFERROR(vp.tbl[[#This Row],[Dens]]*vp.tbl[[#This Row],[VolumeM3]],"")</f>
        <v/>
      </c>
      <c r="AL1709" s="5" t="str">
        <f>IFERROR(vp.tbl[[#This Row],[VP]]*vp.tbl[[#This Row],[VolumeM3]],"")</f>
        <v/>
      </c>
      <c r="AM1709" s="4">
        <f>IFERROR((vp.tbl[[#This Row],[VP]]-INDEX(crudeBD.lkup.complete[Mean_VP],MATCH(vp.tbl[[#This Row],[Crude_Breakdown]],crudeBD.lkup.complete[Crude Breakdown],0)))^2,"")</f>
        <v>66.501790772190375</v>
      </c>
      <c r="AN1709" s="4" t="str">
        <f>IFERROR((vp.tbl[[#This Row],[Dens]]-INDEX(crudeBD.lkup.complete[Mean_Dens],MATCH(vp.tbl[[#This Row],[Crude_Breakdown]],crudeBD.lkup.complete[Crude Breakdown],0)))^2,"")</f>
        <v/>
      </c>
      <c r="AO1709" s="4" t="str">
        <f>IFERROR((vp.tbl[[#This Row],[Sulf]]-INDEX(crudeBD.lkup.complete[Mean_Sulf],MATCH(vp.tbl[[#This Row],[Crude_Breakdown]],crudeBD.lkup.complete[Crude Breakdown],0)))^2,"")</f>
        <v/>
      </c>
      <c r="AP1709">
        <f>IF(AND(vp.tbl[[#This Row],[SDate]]&gt;=DATE(YEAR(vp.tbl[[#This Row],[SDate]]),5,1),vp.tbl[[#This Row],[SDate]]&lt;=DATE(YEAR(vp.tbl[[#This Row],[SDate]]),9,15)),1,0)</f>
        <v>1</v>
      </c>
      <c r="AQ1709" s="15">
        <f>IF(vp.tbl[[#This Row],[SDate]]&lt;DATE(2016,12,1),0,1)</f>
        <v>1</v>
      </c>
    </row>
    <row r="1710" spans="1:43" x14ac:dyDescent="0.25">
      <c r="A1710">
        <v>1709</v>
      </c>
      <c r="B1710" t="s">
        <v>62</v>
      </c>
      <c r="C1710" t="s">
        <v>62</v>
      </c>
      <c r="D1710" t="s">
        <v>63</v>
      </c>
      <c r="F1710" s="1">
        <v>42913</v>
      </c>
      <c r="G1710" s="2">
        <v>81.3</v>
      </c>
      <c r="H1710" s="2"/>
      <c r="I1710" s="2" t="s">
        <v>310</v>
      </c>
      <c r="J1710" s="2"/>
      <c r="K1710" s="2"/>
      <c r="L1710" s="2"/>
      <c r="M1710" s="2" t="s">
        <v>310</v>
      </c>
      <c r="N1710" s="2">
        <f ca="1">INDEX(INDIRECT(_xlfn.CONCAT("weather.tbl[",N$1,"]")),MATCH(vp.tbl[[#This Row],[SDate]],weather.tbl[Date],0))</f>
        <v>20.116666666666667</v>
      </c>
      <c r="O1710" s="2">
        <f ca="1">INDEX(INDIRECT(_xlfn.CONCAT("weather.tbl[",O$1,"]")),MATCH(vp.tbl[[#This Row],[SDate]],weather.tbl[Date],0))</f>
        <v>14.530952380952382</v>
      </c>
      <c r="P1710" s="2">
        <f ca="1">INDEX(INDIRECT(_xlfn.CONCAT("weather.tbl[",P$1,"]")),MATCH(vp.tbl[[#This Row],[SDate]],weather.tbl[Date],0))</f>
        <v>20.6</v>
      </c>
      <c r="Q1710" s="2">
        <f ca="1">INDEX(INDIRECT(_xlfn.CONCAT("weather.tbl[",Q$1,"]")),MATCH(vp.tbl[[#This Row],[SDate]],weather.tbl[Date],0))</f>
        <v>21.6</v>
      </c>
      <c r="R1710" s="2">
        <f ca="1">INDEX(INDIRECT(_xlfn.CONCAT("weather.tbl[",R$1,"]")),MATCH(vp.tbl[[#This Row],[SDate]],weather.tbl[Date],0))</f>
        <v>17.3</v>
      </c>
      <c r="S1710" s="2">
        <f ca="1">INDEX(INDIRECT(_xlfn.CONCAT("weather.tbl[",S$1,"]")),MATCH(vp.tbl[[#This Row],[SDate]],weather.tbl[Date],0))</f>
        <v>21.9</v>
      </c>
      <c r="T1710" s="2">
        <f ca="1">INDEX(INDIRECT(_xlfn.CONCAT("weather.tbl[",T$1,"]")),MATCH(vp.tbl[[#This Row],[SDate]],weather.tbl[Date],0))</f>
        <v>20</v>
      </c>
      <c r="U1710" s="2">
        <f ca="1">INDEX(INDIRECT(_xlfn.CONCAT("weather.tbl[",U$1,"]")),MATCH(vp.tbl[[#This Row],[SDate]],weather.tbl[Date],0))</f>
        <v>19.3</v>
      </c>
      <c r="V1710" s="2" t="s">
        <v>310</v>
      </c>
      <c r="W1710" t="s">
        <v>48</v>
      </c>
      <c r="X1710">
        <f>IF(OR(vp.tbl[[#This Row],[Sulf]]="",vp.tbl[[#This Row],[Dens]]=""),1,0)</f>
        <v>1</v>
      </c>
      <c r="Y1710">
        <f>IF(vp.tbl[[#This Row],[CrudeType]]="C5+",1,0)</f>
        <v>0</v>
      </c>
      <c r="Z1710">
        <f>IF(AND(vp.tbl[[#This Row],[CrudeType]]="Crude",vp.tbl[[#This Row],[Dens]]&lt;=825,vp.tbl[[#This Row],[Sulf]]&gt;0.5,vp.tbl[[#This Row],[Unknown]]=0),1,0)</f>
        <v>0</v>
      </c>
      <c r="AA1710">
        <f>IF(AND(vp.tbl[[#This Row],[CrudeType]]="Crude",vp.tbl[[#This Row],[Dens]]&lt;=825,vp.tbl[[#This Row],[Sulf]]&lt;=0.5,vp.tbl[[#This Row],[Unknown]]=0),1,0)</f>
        <v>0</v>
      </c>
      <c r="AB1710">
        <f>IF(AND(vp.tbl[[#This Row],[CrudeType]]="Crude",vp.tbl[[#This Row],[Dens]]&gt;825,vp.tbl[[#This Row],[Dens]]&lt;=870,vp.tbl[[#This Row],[Sulf]]&gt;0.5,vp.tbl[[#This Row],[Unknown]]=0),1,0)</f>
        <v>0</v>
      </c>
      <c r="AC1710">
        <f>IF(AND(vp.tbl[[#This Row],[CrudeType]]="Crude",vp.tbl[[#This Row],[Dens]]&gt;825,vp.tbl[[#This Row],[Dens]]&lt;=900,vp.tbl[[#This Row],[Sulf]]&lt;=0.5,vp.tbl[[#This Row],[Unknown]]=0),1,0)</f>
        <v>0</v>
      </c>
      <c r="AD1710">
        <f>IF(AND(vp.tbl[[#This Row],[CrudeType]]="Crude",vp.tbl[[#This Row],[Dens]]&gt;870,vp.tbl[[#This Row],[Dens]]&lt;=900,vp.tbl[[#This Row],[Sulf]]&gt;0.5,vp.tbl[[#This Row],[Unknown]]=0),1,0)</f>
        <v>0</v>
      </c>
      <c r="AE1710">
        <f>IF(AND(vp.tbl[[#This Row],[CrudeType]]="Crude",vp.tbl[[#This Row],[Dens]]&gt;900,vp.tbl[[#This Row],[Sulf]]&lt;=0.5,vp.tbl[[#This Row],[Unknown]]=0),1,0)</f>
        <v>0</v>
      </c>
      <c r="AF1710">
        <f>IF(AND(vp.tbl[[#This Row],[CrudeType]]="Crude",vp.tbl[[#This Row],[Dens]]&gt;900,vp.tbl[[#This Row],[Sulf]]&lt;=0.5,vp.tbl[[#This Row],[Unknown]]=0),1,0)</f>
        <v>0</v>
      </c>
      <c r="AG1710" t="str">
        <f>INDEX(vp.tbl[[#Headers],[Unknown]:[Heavy_SW]],MATCH(1,vp.tbl[[#This Row],[Unknown]:[Heavy_SW]],0))</f>
        <v>Unknown</v>
      </c>
      <c r="AH1710" t="e">
        <f>INDEX([1]!crudeBD.lkup[Number],MATCH(vp.tbl[[#This Row],[Crude_Breakdown]],[1]!crudeBD.lkup[Crude Breakdown],0))</f>
        <v>#REF!</v>
      </c>
      <c r="AI1710">
        <f>MONTH(vp.tbl[[#This Row],[SDate]])</f>
        <v>6</v>
      </c>
      <c r="AJ1710" s="5" t="str">
        <f>IFERROR(vp.tbl[[#This Row],[Sulf]]*vp.tbl[[#This Row],[Net Dens]],"")</f>
        <v/>
      </c>
      <c r="AK1710" s="5" t="str">
        <f>IFERROR(vp.tbl[[#This Row],[Dens]]*vp.tbl[[#This Row],[VolumeM3]],"")</f>
        <v/>
      </c>
      <c r="AL1710" s="5" t="str">
        <f>IFERROR(vp.tbl[[#This Row],[VP]]*vp.tbl[[#This Row],[VolumeM3]],"")</f>
        <v/>
      </c>
      <c r="AM1710" s="4">
        <f>IFERROR((vp.tbl[[#This Row],[VP]]-INDEX(crudeBD.lkup.complete[Mean_VP],MATCH(vp.tbl[[#This Row],[Crude_Breakdown]],crudeBD.lkup.complete[Crude Breakdown],0)))^2,"")</f>
        <v>55.574982553012205</v>
      </c>
      <c r="AN1710" s="4" t="str">
        <f>IFERROR((vp.tbl[[#This Row],[Dens]]-INDEX(crudeBD.lkup.complete[Mean_Dens],MATCH(vp.tbl[[#This Row],[Crude_Breakdown]],crudeBD.lkup.complete[Crude Breakdown],0)))^2,"")</f>
        <v/>
      </c>
      <c r="AO1710" s="4" t="str">
        <f>IFERROR((vp.tbl[[#This Row],[Sulf]]-INDEX(crudeBD.lkup.complete[Mean_Sulf],MATCH(vp.tbl[[#This Row],[Crude_Breakdown]],crudeBD.lkup.complete[Crude Breakdown],0)))^2,"")</f>
        <v/>
      </c>
      <c r="AP1710">
        <f>IF(AND(vp.tbl[[#This Row],[SDate]]&gt;=DATE(YEAR(vp.tbl[[#This Row],[SDate]]),5,1),vp.tbl[[#This Row],[SDate]]&lt;=DATE(YEAR(vp.tbl[[#This Row],[SDate]]),9,15)),1,0)</f>
        <v>1</v>
      </c>
      <c r="AQ1710" s="15">
        <f>IF(vp.tbl[[#This Row],[SDate]]&lt;DATE(2016,12,1),0,1)</f>
        <v>1</v>
      </c>
    </row>
    <row r="1711" spans="1:43" x14ac:dyDescent="0.25">
      <c r="A1711">
        <v>1710</v>
      </c>
      <c r="B1711" t="s">
        <v>53</v>
      </c>
      <c r="C1711" t="s">
        <v>53</v>
      </c>
      <c r="D1711" t="s">
        <v>54</v>
      </c>
      <c r="E1711" t="s">
        <v>289</v>
      </c>
      <c r="F1711" s="1">
        <v>42913</v>
      </c>
      <c r="G1711" s="2">
        <v>71.099999999999994</v>
      </c>
      <c r="H1711" s="2"/>
      <c r="I1711" s="2" t="s">
        <v>310</v>
      </c>
      <c r="J1711" s="2"/>
      <c r="K1711" s="2"/>
      <c r="L1711" s="2"/>
      <c r="M1711" s="2" t="s">
        <v>310</v>
      </c>
      <c r="N1711" s="2">
        <f ca="1">INDEX(INDIRECT(_xlfn.CONCAT("weather.tbl[",N$1,"]")),MATCH(vp.tbl[[#This Row],[SDate]],weather.tbl[Date],0))</f>
        <v>20.116666666666667</v>
      </c>
      <c r="O1711" s="2">
        <f ca="1">INDEX(INDIRECT(_xlfn.CONCAT("weather.tbl[",O$1,"]")),MATCH(vp.tbl[[#This Row],[SDate]],weather.tbl[Date],0))</f>
        <v>14.530952380952382</v>
      </c>
      <c r="P1711" s="2">
        <f ca="1">INDEX(INDIRECT(_xlfn.CONCAT("weather.tbl[",P$1,"]")),MATCH(vp.tbl[[#This Row],[SDate]],weather.tbl[Date],0))</f>
        <v>20.6</v>
      </c>
      <c r="Q1711" s="2">
        <f ca="1">INDEX(INDIRECT(_xlfn.CONCAT("weather.tbl[",Q$1,"]")),MATCH(vp.tbl[[#This Row],[SDate]],weather.tbl[Date],0))</f>
        <v>21.6</v>
      </c>
      <c r="R1711" s="2">
        <f ca="1">INDEX(INDIRECT(_xlfn.CONCAT("weather.tbl[",R$1,"]")),MATCH(vp.tbl[[#This Row],[SDate]],weather.tbl[Date],0))</f>
        <v>17.3</v>
      </c>
      <c r="S1711" s="2">
        <f ca="1">INDEX(INDIRECT(_xlfn.CONCAT("weather.tbl[",S$1,"]")),MATCH(vp.tbl[[#This Row],[SDate]],weather.tbl[Date],0))</f>
        <v>21.9</v>
      </c>
      <c r="T1711" s="2">
        <f ca="1">INDEX(INDIRECT(_xlfn.CONCAT("weather.tbl[",T$1,"]")),MATCH(vp.tbl[[#This Row],[SDate]],weather.tbl[Date],0))</f>
        <v>20</v>
      </c>
      <c r="U1711" s="2">
        <f ca="1">INDEX(INDIRECT(_xlfn.CONCAT("weather.tbl[",U$1,"]")),MATCH(vp.tbl[[#This Row],[SDate]],weather.tbl[Date],0))</f>
        <v>19.3</v>
      </c>
      <c r="V1711" s="2" t="s">
        <v>310</v>
      </c>
      <c r="W1711" t="s">
        <v>48</v>
      </c>
      <c r="X1711">
        <f>IF(OR(vp.tbl[[#This Row],[Sulf]]="",vp.tbl[[#This Row],[Dens]]=""),1,0)</f>
        <v>1</v>
      </c>
      <c r="Y1711">
        <f>IF(vp.tbl[[#This Row],[CrudeType]]="C5+",1,0)</f>
        <v>0</v>
      </c>
      <c r="Z1711">
        <f>IF(AND(vp.tbl[[#This Row],[CrudeType]]="Crude",vp.tbl[[#This Row],[Dens]]&lt;=825,vp.tbl[[#This Row],[Sulf]]&gt;0.5,vp.tbl[[#This Row],[Unknown]]=0),1,0)</f>
        <v>0</v>
      </c>
      <c r="AA1711">
        <f>IF(AND(vp.tbl[[#This Row],[CrudeType]]="Crude",vp.tbl[[#This Row],[Dens]]&lt;=825,vp.tbl[[#This Row],[Sulf]]&lt;=0.5,vp.tbl[[#This Row],[Unknown]]=0),1,0)</f>
        <v>0</v>
      </c>
      <c r="AB1711">
        <f>IF(AND(vp.tbl[[#This Row],[CrudeType]]="Crude",vp.tbl[[#This Row],[Dens]]&gt;825,vp.tbl[[#This Row],[Dens]]&lt;=870,vp.tbl[[#This Row],[Sulf]]&gt;0.5,vp.tbl[[#This Row],[Unknown]]=0),1,0)</f>
        <v>0</v>
      </c>
      <c r="AC1711">
        <f>IF(AND(vp.tbl[[#This Row],[CrudeType]]="Crude",vp.tbl[[#This Row],[Dens]]&gt;825,vp.tbl[[#This Row],[Dens]]&lt;=900,vp.tbl[[#This Row],[Sulf]]&lt;=0.5,vp.tbl[[#This Row],[Unknown]]=0),1,0)</f>
        <v>0</v>
      </c>
      <c r="AD1711">
        <f>IF(AND(vp.tbl[[#This Row],[CrudeType]]="Crude",vp.tbl[[#This Row],[Dens]]&gt;870,vp.tbl[[#This Row],[Dens]]&lt;=900,vp.tbl[[#This Row],[Sulf]]&gt;0.5,vp.tbl[[#This Row],[Unknown]]=0),1,0)</f>
        <v>0</v>
      </c>
      <c r="AE1711">
        <f>IF(AND(vp.tbl[[#This Row],[CrudeType]]="Crude",vp.tbl[[#This Row],[Dens]]&gt;900,vp.tbl[[#This Row],[Sulf]]&lt;=0.5,vp.tbl[[#This Row],[Unknown]]=0),1,0)</f>
        <v>0</v>
      </c>
      <c r="AF1711">
        <f>IF(AND(vp.tbl[[#This Row],[CrudeType]]="Crude",vp.tbl[[#This Row],[Dens]]&gt;900,vp.tbl[[#This Row],[Sulf]]&lt;=0.5,vp.tbl[[#This Row],[Unknown]]=0),1,0)</f>
        <v>0</v>
      </c>
      <c r="AG1711" t="str">
        <f>INDEX(vp.tbl[[#Headers],[Unknown]:[Heavy_SW]],MATCH(1,vp.tbl[[#This Row],[Unknown]:[Heavy_SW]],0))</f>
        <v>Unknown</v>
      </c>
      <c r="AH1711" t="e">
        <f>INDEX([1]!crudeBD.lkup[Number],MATCH(vp.tbl[[#This Row],[Crude_Breakdown]],[1]!crudeBD.lkup[Crude Breakdown],0))</f>
        <v>#REF!</v>
      </c>
      <c r="AI1711">
        <f>MONTH(vp.tbl[[#This Row],[SDate]])</f>
        <v>6</v>
      </c>
      <c r="AJ1711" s="5" t="str">
        <f>IFERROR(vp.tbl[[#This Row],[Sulf]]*vp.tbl[[#This Row],[Net Dens]],"")</f>
        <v/>
      </c>
      <c r="AK1711" s="5" t="str">
        <f>IFERROR(vp.tbl[[#This Row],[Dens]]*vp.tbl[[#This Row],[VolumeM3]],"")</f>
        <v/>
      </c>
      <c r="AL1711" s="5" t="str">
        <f>IFERROR(vp.tbl[[#This Row],[VP]]*vp.tbl[[#This Row],[VolumeM3]],"")</f>
        <v/>
      </c>
      <c r="AM1711" s="4">
        <f>IFERROR((vp.tbl[[#This Row],[VP]]-INDEX(crudeBD.lkup.complete[Mean_VP],MATCH(vp.tbl[[#This Row],[Crude_Breakdown]],crudeBD.lkup.complete[Crude Breakdown],0)))^2,"")</f>
        <v>7.5357770735596405</v>
      </c>
      <c r="AN1711" s="4" t="str">
        <f>IFERROR((vp.tbl[[#This Row],[Dens]]-INDEX(crudeBD.lkup.complete[Mean_Dens],MATCH(vp.tbl[[#This Row],[Crude_Breakdown]],crudeBD.lkup.complete[Crude Breakdown],0)))^2,"")</f>
        <v/>
      </c>
      <c r="AO1711" s="4" t="str">
        <f>IFERROR((vp.tbl[[#This Row],[Sulf]]-INDEX(crudeBD.lkup.complete[Mean_Sulf],MATCH(vp.tbl[[#This Row],[Crude_Breakdown]],crudeBD.lkup.complete[Crude Breakdown],0)))^2,"")</f>
        <v/>
      </c>
      <c r="AP1711">
        <f>IF(AND(vp.tbl[[#This Row],[SDate]]&gt;=DATE(YEAR(vp.tbl[[#This Row],[SDate]]),5,1),vp.tbl[[#This Row],[SDate]]&lt;=DATE(YEAR(vp.tbl[[#This Row],[SDate]]),9,15)),1,0)</f>
        <v>1</v>
      </c>
      <c r="AQ1711" s="15">
        <f>IF(vp.tbl[[#This Row],[SDate]]&lt;DATE(2016,12,1),0,1)</f>
        <v>1</v>
      </c>
    </row>
    <row r="1712" spans="1:43" x14ac:dyDescent="0.25">
      <c r="A1712">
        <v>1711</v>
      </c>
      <c r="B1712" t="s">
        <v>53</v>
      </c>
      <c r="C1712" t="s">
        <v>53</v>
      </c>
      <c r="D1712" t="s">
        <v>54</v>
      </c>
      <c r="E1712" t="s">
        <v>290</v>
      </c>
      <c r="F1712" s="1">
        <v>42913</v>
      </c>
      <c r="G1712" s="2">
        <v>71.599999999999994</v>
      </c>
      <c r="H1712" s="2"/>
      <c r="I1712" s="2" t="s">
        <v>310</v>
      </c>
      <c r="J1712" s="2"/>
      <c r="K1712" s="2"/>
      <c r="L1712" s="2"/>
      <c r="M1712" s="2" t="s">
        <v>310</v>
      </c>
      <c r="N1712" s="2">
        <f ca="1">INDEX(INDIRECT(_xlfn.CONCAT("weather.tbl[",N$1,"]")),MATCH(vp.tbl[[#This Row],[SDate]],weather.tbl[Date],0))</f>
        <v>20.116666666666667</v>
      </c>
      <c r="O1712" s="2">
        <f ca="1">INDEX(INDIRECT(_xlfn.CONCAT("weather.tbl[",O$1,"]")),MATCH(vp.tbl[[#This Row],[SDate]],weather.tbl[Date],0))</f>
        <v>14.530952380952382</v>
      </c>
      <c r="P1712" s="2">
        <f ca="1">INDEX(INDIRECT(_xlfn.CONCAT("weather.tbl[",P$1,"]")),MATCH(vp.tbl[[#This Row],[SDate]],weather.tbl[Date],0))</f>
        <v>20.6</v>
      </c>
      <c r="Q1712" s="2">
        <f ca="1">INDEX(INDIRECT(_xlfn.CONCAT("weather.tbl[",Q$1,"]")),MATCH(vp.tbl[[#This Row],[SDate]],weather.tbl[Date],0))</f>
        <v>21.6</v>
      </c>
      <c r="R1712" s="2">
        <f ca="1">INDEX(INDIRECT(_xlfn.CONCAT("weather.tbl[",R$1,"]")),MATCH(vp.tbl[[#This Row],[SDate]],weather.tbl[Date],0))</f>
        <v>17.3</v>
      </c>
      <c r="S1712" s="2">
        <f ca="1">INDEX(INDIRECT(_xlfn.CONCAT("weather.tbl[",S$1,"]")),MATCH(vp.tbl[[#This Row],[SDate]],weather.tbl[Date],0))</f>
        <v>21.9</v>
      </c>
      <c r="T1712" s="2">
        <f ca="1">INDEX(INDIRECT(_xlfn.CONCAT("weather.tbl[",T$1,"]")),MATCH(vp.tbl[[#This Row],[SDate]],weather.tbl[Date],0))</f>
        <v>20</v>
      </c>
      <c r="U1712" s="2">
        <f ca="1">INDEX(INDIRECT(_xlfn.CONCAT("weather.tbl[",U$1,"]")),MATCH(vp.tbl[[#This Row],[SDate]],weather.tbl[Date],0))</f>
        <v>19.3</v>
      </c>
      <c r="V1712" s="2" t="s">
        <v>310</v>
      </c>
      <c r="W1712" t="s">
        <v>48</v>
      </c>
      <c r="X1712">
        <f>IF(OR(vp.tbl[[#This Row],[Sulf]]="",vp.tbl[[#This Row],[Dens]]=""),1,0)</f>
        <v>1</v>
      </c>
      <c r="Y1712">
        <f>IF(vp.tbl[[#This Row],[CrudeType]]="C5+",1,0)</f>
        <v>0</v>
      </c>
      <c r="Z1712">
        <f>IF(AND(vp.tbl[[#This Row],[CrudeType]]="Crude",vp.tbl[[#This Row],[Dens]]&lt;=825,vp.tbl[[#This Row],[Sulf]]&gt;0.5,vp.tbl[[#This Row],[Unknown]]=0),1,0)</f>
        <v>0</v>
      </c>
      <c r="AA1712">
        <f>IF(AND(vp.tbl[[#This Row],[CrudeType]]="Crude",vp.tbl[[#This Row],[Dens]]&lt;=825,vp.tbl[[#This Row],[Sulf]]&lt;=0.5,vp.tbl[[#This Row],[Unknown]]=0),1,0)</f>
        <v>0</v>
      </c>
      <c r="AB1712">
        <f>IF(AND(vp.tbl[[#This Row],[CrudeType]]="Crude",vp.tbl[[#This Row],[Dens]]&gt;825,vp.tbl[[#This Row],[Dens]]&lt;=870,vp.tbl[[#This Row],[Sulf]]&gt;0.5,vp.tbl[[#This Row],[Unknown]]=0),1,0)</f>
        <v>0</v>
      </c>
      <c r="AC1712">
        <f>IF(AND(vp.tbl[[#This Row],[CrudeType]]="Crude",vp.tbl[[#This Row],[Dens]]&gt;825,vp.tbl[[#This Row],[Dens]]&lt;=900,vp.tbl[[#This Row],[Sulf]]&lt;=0.5,vp.tbl[[#This Row],[Unknown]]=0),1,0)</f>
        <v>0</v>
      </c>
      <c r="AD1712">
        <f>IF(AND(vp.tbl[[#This Row],[CrudeType]]="Crude",vp.tbl[[#This Row],[Dens]]&gt;870,vp.tbl[[#This Row],[Dens]]&lt;=900,vp.tbl[[#This Row],[Sulf]]&gt;0.5,vp.tbl[[#This Row],[Unknown]]=0),1,0)</f>
        <v>0</v>
      </c>
      <c r="AE1712">
        <f>IF(AND(vp.tbl[[#This Row],[CrudeType]]="Crude",vp.tbl[[#This Row],[Dens]]&gt;900,vp.tbl[[#This Row],[Sulf]]&lt;=0.5,vp.tbl[[#This Row],[Unknown]]=0),1,0)</f>
        <v>0</v>
      </c>
      <c r="AF1712">
        <f>IF(AND(vp.tbl[[#This Row],[CrudeType]]="Crude",vp.tbl[[#This Row],[Dens]]&gt;900,vp.tbl[[#This Row],[Sulf]]&lt;=0.5,vp.tbl[[#This Row],[Unknown]]=0),1,0)</f>
        <v>0</v>
      </c>
      <c r="AG1712" t="str">
        <f>INDEX(vp.tbl[[#Headers],[Unknown]:[Heavy_SW]],MATCH(1,vp.tbl[[#This Row],[Unknown]:[Heavy_SW]],0))</f>
        <v>Unknown</v>
      </c>
      <c r="AH1712" t="e">
        <f>INDEX([1]!crudeBD.lkup[Number],MATCH(vp.tbl[[#This Row],[Crude_Breakdown]],[1]!crudeBD.lkup[Crude Breakdown],0))</f>
        <v>#REF!</v>
      </c>
      <c r="AI1712">
        <f>MONTH(vp.tbl[[#This Row],[SDate]])</f>
        <v>6</v>
      </c>
      <c r="AJ1712" s="5" t="str">
        <f>IFERROR(vp.tbl[[#This Row],[Sulf]]*vp.tbl[[#This Row],[Net Dens]],"")</f>
        <v/>
      </c>
      <c r="AK1712" s="5" t="str">
        <f>IFERROR(vp.tbl[[#This Row],[Dens]]*vp.tbl[[#This Row],[VolumeM3]],"")</f>
        <v/>
      </c>
      <c r="AL1712" s="5" t="str">
        <f>IFERROR(vp.tbl[[#This Row],[VP]]*vp.tbl[[#This Row],[VolumeM3]],"")</f>
        <v/>
      </c>
      <c r="AM1712" s="4">
        <f>IFERROR((vp.tbl[[#This Row],[VP]]-INDEX(crudeBD.lkup.complete[Mean_VP],MATCH(vp.tbl[[#This Row],[Crude_Breakdown]],crudeBD.lkup.complete[Crude Breakdown],0)))^2,"")</f>
        <v>5.0406400872582937</v>
      </c>
      <c r="AN1712" s="4" t="str">
        <f>IFERROR((vp.tbl[[#This Row],[Dens]]-INDEX(crudeBD.lkup.complete[Mean_Dens],MATCH(vp.tbl[[#This Row],[Crude_Breakdown]],crudeBD.lkup.complete[Crude Breakdown],0)))^2,"")</f>
        <v/>
      </c>
      <c r="AO1712" s="4" t="str">
        <f>IFERROR((vp.tbl[[#This Row],[Sulf]]-INDEX(crudeBD.lkup.complete[Mean_Sulf],MATCH(vp.tbl[[#This Row],[Crude_Breakdown]],crudeBD.lkup.complete[Crude Breakdown],0)))^2,"")</f>
        <v/>
      </c>
      <c r="AP1712">
        <f>IF(AND(vp.tbl[[#This Row],[SDate]]&gt;=DATE(YEAR(vp.tbl[[#This Row],[SDate]]),5,1),vp.tbl[[#This Row],[SDate]]&lt;=DATE(YEAR(vp.tbl[[#This Row],[SDate]]),9,15)),1,0)</f>
        <v>1</v>
      </c>
      <c r="AQ1712" s="15">
        <f>IF(vp.tbl[[#This Row],[SDate]]&lt;DATE(2016,12,1),0,1)</f>
        <v>1</v>
      </c>
    </row>
    <row r="1713" spans="1:43" x14ac:dyDescent="0.25">
      <c r="A1713">
        <v>1712</v>
      </c>
      <c r="B1713" t="s">
        <v>64</v>
      </c>
      <c r="C1713" t="s">
        <v>64</v>
      </c>
      <c r="D1713" t="s">
        <v>65</v>
      </c>
      <c r="F1713" s="1">
        <v>42913</v>
      </c>
      <c r="G1713" s="2">
        <v>47.8</v>
      </c>
      <c r="H1713" s="2"/>
      <c r="I1713" s="2" t="s">
        <v>310</v>
      </c>
      <c r="J1713" s="2"/>
      <c r="K1713" s="2"/>
      <c r="L1713" s="2"/>
      <c r="M1713" s="2" t="s">
        <v>310</v>
      </c>
      <c r="N1713" s="2">
        <f ca="1">INDEX(INDIRECT(_xlfn.CONCAT("weather.tbl[",N$1,"]")),MATCH(vp.tbl[[#This Row],[SDate]],weather.tbl[Date],0))</f>
        <v>20.116666666666667</v>
      </c>
      <c r="O1713" s="2">
        <f ca="1">INDEX(INDIRECT(_xlfn.CONCAT("weather.tbl[",O$1,"]")),MATCH(vp.tbl[[#This Row],[SDate]],weather.tbl[Date],0))</f>
        <v>14.530952380952382</v>
      </c>
      <c r="P1713" s="2">
        <f ca="1">INDEX(INDIRECT(_xlfn.CONCAT("weather.tbl[",P$1,"]")),MATCH(vp.tbl[[#This Row],[SDate]],weather.tbl[Date],0))</f>
        <v>20.6</v>
      </c>
      <c r="Q1713" s="2">
        <f ca="1">INDEX(INDIRECT(_xlfn.CONCAT("weather.tbl[",Q$1,"]")),MATCH(vp.tbl[[#This Row],[SDate]],weather.tbl[Date],0))</f>
        <v>21.6</v>
      </c>
      <c r="R1713" s="2">
        <f ca="1">INDEX(INDIRECT(_xlfn.CONCAT("weather.tbl[",R$1,"]")),MATCH(vp.tbl[[#This Row],[SDate]],weather.tbl[Date],0))</f>
        <v>17.3</v>
      </c>
      <c r="S1713" s="2">
        <f ca="1">INDEX(INDIRECT(_xlfn.CONCAT("weather.tbl[",S$1,"]")),MATCH(vp.tbl[[#This Row],[SDate]],weather.tbl[Date],0))</f>
        <v>21.9</v>
      </c>
      <c r="T1713" s="2">
        <f ca="1">INDEX(INDIRECT(_xlfn.CONCAT("weather.tbl[",T$1,"]")),MATCH(vp.tbl[[#This Row],[SDate]],weather.tbl[Date],0))</f>
        <v>20</v>
      </c>
      <c r="U1713" s="2">
        <f ca="1">INDEX(INDIRECT(_xlfn.CONCAT("weather.tbl[",U$1,"]")),MATCH(vp.tbl[[#This Row],[SDate]],weather.tbl[Date],0))</f>
        <v>19.3</v>
      </c>
      <c r="V1713" s="2" t="s">
        <v>310</v>
      </c>
      <c r="W1713" t="s">
        <v>48</v>
      </c>
      <c r="X1713">
        <f>IF(OR(vp.tbl[[#This Row],[Sulf]]="",vp.tbl[[#This Row],[Dens]]=""),1,0)</f>
        <v>1</v>
      </c>
      <c r="Y1713">
        <f>IF(vp.tbl[[#This Row],[CrudeType]]="C5+",1,0)</f>
        <v>0</v>
      </c>
      <c r="Z1713">
        <f>IF(AND(vp.tbl[[#This Row],[CrudeType]]="Crude",vp.tbl[[#This Row],[Dens]]&lt;=825,vp.tbl[[#This Row],[Sulf]]&gt;0.5,vp.tbl[[#This Row],[Unknown]]=0),1,0)</f>
        <v>0</v>
      </c>
      <c r="AA1713">
        <f>IF(AND(vp.tbl[[#This Row],[CrudeType]]="Crude",vp.tbl[[#This Row],[Dens]]&lt;=825,vp.tbl[[#This Row],[Sulf]]&lt;=0.5,vp.tbl[[#This Row],[Unknown]]=0),1,0)</f>
        <v>0</v>
      </c>
      <c r="AB1713">
        <f>IF(AND(vp.tbl[[#This Row],[CrudeType]]="Crude",vp.tbl[[#This Row],[Dens]]&gt;825,vp.tbl[[#This Row],[Dens]]&lt;=870,vp.tbl[[#This Row],[Sulf]]&gt;0.5,vp.tbl[[#This Row],[Unknown]]=0),1,0)</f>
        <v>0</v>
      </c>
      <c r="AC1713">
        <f>IF(AND(vp.tbl[[#This Row],[CrudeType]]="Crude",vp.tbl[[#This Row],[Dens]]&gt;825,vp.tbl[[#This Row],[Dens]]&lt;=900,vp.tbl[[#This Row],[Sulf]]&lt;=0.5,vp.tbl[[#This Row],[Unknown]]=0),1,0)</f>
        <v>0</v>
      </c>
      <c r="AD1713">
        <f>IF(AND(vp.tbl[[#This Row],[CrudeType]]="Crude",vp.tbl[[#This Row],[Dens]]&gt;870,vp.tbl[[#This Row],[Dens]]&lt;=900,vp.tbl[[#This Row],[Sulf]]&gt;0.5,vp.tbl[[#This Row],[Unknown]]=0),1,0)</f>
        <v>0</v>
      </c>
      <c r="AE1713">
        <f>IF(AND(vp.tbl[[#This Row],[CrudeType]]="Crude",vp.tbl[[#This Row],[Dens]]&gt;900,vp.tbl[[#This Row],[Sulf]]&lt;=0.5,vp.tbl[[#This Row],[Unknown]]=0),1,0)</f>
        <v>0</v>
      </c>
      <c r="AF1713">
        <f>IF(AND(vp.tbl[[#This Row],[CrudeType]]="Crude",vp.tbl[[#This Row],[Dens]]&gt;900,vp.tbl[[#This Row],[Sulf]]&lt;=0.5,vp.tbl[[#This Row],[Unknown]]=0),1,0)</f>
        <v>0</v>
      </c>
      <c r="AG1713" t="str">
        <f>INDEX(vp.tbl[[#Headers],[Unknown]:[Heavy_SW]],MATCH(1,vp.tbl[[#This Row],[Unknown]:[Heavy_SW]],0))</f>
        <v>Unknown</v>
      </c>
      <c r="AH1713" t="e">
        <f>INDEX([1]!crudeBD.lkup[Number],MATCH(vp.tbl[[#This Row],[Crude_Breakdown]],[1]!crudeBD.lkup[Crude Breakdown],0))</f>
        <v>#REF!</v>
      </c>
      <c r="AI1713">
        <f>MONTH(vp.tbl[[#This Row],[SDate]])</f>
        <v>6</v>
      </c>
      <c r="AJ1713" s="5" t="str">
        <f>IFERROR(vp.tbl[[#This Row],[Sulf]]*vp.tbl[[#This Row],[Net Dens]],"")</f>
        <v/>
      </c>
      <c r="AK1713" s="5" t="str">
        <f>IFERROR(vp.tbl[[#This Row],[Dens]]*vp.tbl[[#This Row],[VolumeM3]],"")</f>
        <v/>
      </c>
      <c r="AL1713" s="5" t="str">
        <f>IFERROR(vp.tbl[[#This Row],[VP]]*vp.tbl[[#This Row],[VolumeM3]],"")</f>
        <v/>
      </c>
      <c r="AM1713" s="4">
        <f>IFERROR((vp.tbl[[#This Row],[VP]]-INDEX(crudeBD.lkup.complete[Mean_VP],MATCH(vp.tbl[[#This Row],[Crude_Breakdown]],crudeBD.lkup.complete[Crude Breakdown],0)))^2,"")</f>
        <v>678.34916063520222</v>
      </c>
      <c r="AN1713" s="4" t="str">
        <f>IFERROR((vp.tbl[[#This Row],[Dens]]-INDEX(crudeBD.lkup.complete[Mean_Dens],MATCH(vp.tbl[[#This Row],[Crude_Breakdown]],crudeBD.lkup.complete[Crude Breakdown],0)))^2,"")</f>
        <v/>
      </c>
      <c r="AO1713" s="4" t="str">
        <f>IFERROR((vp.tbl[[#This Row],[Sulf]]-INDEX(crudeBD.lkup.complete[Mean_Sulf],MATCH(vp.tbl[[#This Row],[Crude_Breakdown]],crudeBD.lkup.complete[Crude Breakdown],0)))^2,"")</f>
        <v/>
      </c>
      <c r="AP1713">
        <f>IF(AND(vp.tbl[[#This Row],[SDate]]&gt;=DATE(YEAR(vp.tbl[[#This Row],[SDate]]),5,1),vp.tbl[[#This Row],[SDate]]&lt;=DATE(YEAR(vp.tbl[[#This Row],[SDate]]),9,15)),1,0)</f>
        <v>1</v>
      </c>
      <c r="AQ1713" s="15">
        <f>IF(vp.tbl[[#This Row],[SDate]]&lt;DATE(2016,12,1),0,1)</f>
        <v>1</v>
      </c>
    </row>
    <row r="1714" spans="1:43" x14ac:dyDescent="0.25">
      <c r="A1714">
        <v>1713</v>
      </c>
      <c r="B1714" t="s">
        <v>60</v>
      </c>
      <c r="C1714" t="s">
        <v>60</v>
      </c>
      <c r="D1714" t="s">
        <v>61</v>
      </c>
      <c r="E1714" t="s">
        <v>289</v>
      </c>
      <c r="F1714" s="1">
        <v>42913</v>
      </c>
      <c r="G1714" s="2">
        <v>85.3</v>
      </c>
      <c r="H1714" s="2"/>
      <c r="I1714" s="2" t="s">
        <v>310</v>
      </c>
      <c r="J1714" s="2"/>
      <c r="K1714" s="2"/>
      <c r="L1714" s="2"/>
      <c r="M1714" s="2" t="s">
        <v>310</v>
      </c>
      <c r="N1714" s="2">
        <f ca="1">INDEX(INDIRECT(_xlfn.CONCAT("weather.tbl[",N$1,"]")),MATCH(vp.tbl[[#This Row],[SDate]],weather.tbl[Date],0))</f>
        <v>20.116666666666667</v>
      </c>
      <c r="O1714" s="2">
        <f ca="1">INDEX(INDIRECT(_xlfn.CONCAT("weather.tbl[",O$1,"]")),MATCH(vp.tbl[[#This Row],[SDate]],weather.tbl[Date],0))</f>
        <v>14.530952380952382</v>
      </c>
      <c r="P1714" s="2">
        <f ca="1">INDEX(INDIRECT(_xlfn.CONCAT("weather.tbl[",P$1,"]")),MATCH(vp.tbl[[#This Row],[SDate]],weather.tbl[Date],0))</f>
        <v>20.6</v>
      </c>
      <c r="Q1714" s="2">
        <f ca="1">INDEX(INDIRECT(_xlfn.CONCAT("weather.tbl[",Q$1,"]")),MATCH(vp.tbl[[#This Row],[SDate]],weather.tbl[Date],0))</f>
        <v>21.6</v>
      </c>
      <c r="R1714" s="2">
        <f ca="1">INDEX(INDIRECT(_xlfn.CONCAT("weather.tbl[",R$1,"]")),MATCH(vp.tbl[[#This Row],[SDate]],weather.tbl[Date],0))</f>
        <v>17.3</v>
      </c>
      <c r="S1714" s="2">
        <f ca="1">INDEX(INDIRECT(_xlfn.CONCAT("weather.tbl[",S$1,"]")),MATCH(vp.tbl[[#This Row],[SDate]],weather.tbl[Date],0))</f>
        <v>21.9</v>
      </c>
      <c r="T1714" s="2">
        <f ca="1">INDEX(INDIRECT(_xlfn.CONCAT("weather.tbl[",T$1,"]")),MATCH(vp.tbl[[#This Row],[SDate]],weather.tbl[Date],0))</f>
        <v>20</v>
      </c>
      <c r="U1714" s="2">
        <f ca="1">INDEX(INDIRECT(_xlfn.CONCAT("weather.tbl[",U$1,"]")),MATCH(vp.tbl[[#This Row],[SDate]],weather.tbl[Date],0))</f>
        <v>19.3</v>
      </c>
      <c r="V1714" s="2" t="s">
        <v>310</v>
      </c>
      <c r="W1714" t="s">
        <v>48</v>
      </c>
      <c r="X1714">
        <f>IF(OR(vp.tbl[[#This Row],[Sulf]]="",vp.tbl[[#This Row],[Dens]]=""),1,0)</f>
        <v>1</v>
      </c>
      <c r="Y1714">
        <f>IF(vp.tbl[[#This Row],[CrudeType]]="C5+",1,0)</f>
        <v>0</v>
      </c>
      <c r="Z1714">
        <f>IF(AND(vp.tbl[[#This Row],[CrudeType]]="Crude",vp.tbl[[#This Row],[Dens]]&lt;=825,vp.tbl[[#This Row],[Sulf]]&gt;0.5,vp.tbl[[#This Row],[Unknown]]=0),1,0)</f>
        <v>0</v>
      </c>
      <c r="AA1714">
        <f>IF(AND(vp.tbl[[#This Row],[CrudeType]]="Crude",vp.tbl[[#This Row],[Dens]]&lt;=825,vp.tbl[[#This Row],[Sulf]]&lt;=0.5,vp.tbl[[#This Row],[Unknown]]=0),1,0)</f>
        <v>0</v>
      </c>
      <c r="AB1714">
        <f>IF(AND(vp.tbl[[#This Row],[CrudeType]]="Crude",vp.tbl[[#This Row],[Dens]]&gt;825,vp.tbl[[#This Row],[Dens]]&lt;=870,vp.tbl[[#This Row],[Sulf]]&gt;0.5,vp.tbl[[#This Row],[Unknown]]=0),1,0)</f>
        <v>0</v>
      </c>
      <c r="AC1714">
        <f>IF(AND(vp.tbl[[#This Row],[CrudeType]]="Crude",vp.tbl[[#This Row],[Dens]]&gt;825,vp.tbl[[#This Row],[Dens]]&lt;=900,vp.tbl[[#This Row],[Sulf]]&lt;=0.5,vp.tbl[[#This Row],[Unknown]]=0),1,0)</f>
        <v>0</v>
      </c>
      <c r="AD1714">
        <f>IF(AND(vp.tbl[[#This Row],[CrudeType]]="Crude",vp.tbl[[#This Row],[Dens]]&gt;870,vp.tbl[[#This Row],[Dens]]&lt;=900,vp.tbl[[#This Row],[Sulf]]&gt;0.5,vp.tbl[[#This Row],[Unknown]]=0),1,0)</f>
        <v>0</v>
      </c>
      <c r="AE1714">
        <f>IF(AND(vp.tbl[[#This Row],[CrudeType]]="Crude",vp.tbl[[#This Row],[Dens]]&gt;900,vp.tbl[[#This Row],[Sulf]]&lt;=0.5,vp.tbl[[#This Row],[Unknown]]=0),1,0)</f>
        <v>0</v>
      </c>
      <c r="AF1714">
        <f>IF(AND(vp.tbl[[#This Row],[CrudeType]]="Crude",vp.tbl[[#This Row],[Dens]]&gt;900,vp.tbl[[#This Row],[Sulf]]&lt;=0.5,vp.tbl[[#This Row],[Unknown]]=0),1,0)</f>
        <v>0</v>
      </c>
      <c r="AG1714" t="str">
        <f>INDEX(vp.tbl[[#Headers],[Unknown]:[Heavy_SW]],MATCH(1,vp.tbl[[#This Row],[Unknown]:[Heavy_SW]],0))</f>
        <v>Unknown</v>
      </c>
      <c r="AH1714" t="e">
        <f>INDEX([1]!crudeBD.lkup[Number],MATCH(vp.tbl[[#This Row],[Crude_Breakdown]],[1]!crudeBD.lkup[Crude Breakdown],0))</f>
        <v>#REF!</v>
      </c>
      <c r="AI1714">
        <f>MONTH(vp.tbl[[#This Row],[SDate]])</f>
        <v>6</v>
      </c>
      <c r="AJ1714" s="5" t="str">
        <f>IFERROR(vp.tbl[[#This Row],[Sulf]]*vp.tbl[[#This Row],[Net Dens]],"")</f>
        <v/>
      </c>
      <c r="AK1714" s="5" t="str">
        <f>IFERROR(vp.tbl[[#This Row],[Dens]]*vp.tbl[[#This Row],[VolumeM3]],"")</f>
        <v/>
      </c>
      <c r="AL1714" s="5" t="str">
        <f>IFERROR(vp.tbl[[#This Row],[VP]]*vp.tbl[[#This Row],[VolumeM3]],"")</f>
        <v/>
      </c>
      <c r="AM1714" s="4">
        <f>IFERROR((vp.tbl[[#This Row],[VP]]-INDEX(crudeBD.lkup.complete[Mean_VP],MATCH(vp.tbl[[#This Row],[Crude_Breakdown]],crudeBD.lkup.complete[Crude Breakdown],0)))^2,"")</f>
        <v>131.21388666260145</v>
      </c>
      <c r="AN1714" s="4" t="str">
        <f>IFERROR((vp.tbl[[#This Row],[Dens]]-INDEX(crudeBD.lkup.complete[Mean_Dens],MATCH(vp.tbl[[#This Row],[Crude_Breakdown]],crudeBD.lkup.complete[Crude Breakdown],0)))^2,"")</f>
        <v/>
      </c>
      <c r="AO1714" s="4" t="str">
        <f>IFERROR((vp.tbl[[#This Row],[Sulf]]-INDEX(crudeBD.lkup.complete[Mean_Sulf],MATCH(vp.tbl[[#This Row],[Crude_Breakdown]],crudeBD.lkup.complete[Crude Breakdown],0)))^2,"")</f>
        <v/>
      </c>
      <c r="AP1714">
        <f>IF(AND(vp.tbl[[#This Row],[SDate]]&gt;=DATE(YEAR(vp.tbl[[#This Row],[SDate]]),5,1),vp.tbl[[#This Row],[SDate]]&lt;=DATE(YEAR(vp.tbl[[#This Row],[SDate]]),9,15)),1,0)</f>
        <v>1</v>
      </c>
      <c r="AQ1714" s="15">
        <f>IF(vp.tbl[[#This Row],[SDate]]&lt;DATE(2016,12,1),0,1)</f>
        <v>1</v>
      </c>
    </row>
    <row r="1715" spans="1:43" x14ac:dyDescent="0.25">
      <c r="A1715">
        <v>1714</v>
      </c>
      <c r="B1715" t="s">
        <v>60</v>
      </c>
      <c r="C1715" t="s">
        <v>60</v>
      </c>
      <c r="D1715" t="s">
        <v>61</v>
      </c>
      <c r="E1715" t="s">
        <v>290</v>
      </c>
      <c r="F1715" s="1">
        <v>42913</v>
      </c>
      <c r="G1715" s="2">
        <v>75.099999999999994</v>
      </c>
      <c r="H1715" s="2"/>
      <c r="I1715" s="2" t="s">
        <v>310</v>
      </c>
      <c r="J1715" s="2"/>
      <c r="K1715" s="2"/>
      <c r="L1715" s="2"/>
      <c r="M1715" s="2" t="s">
        <v>310</v>
      </c>
      <c r="N1715" s="2">
        <f ca="1">INDEX(INDIRECT(_xlfn.CONCAT("weather.tbl[",N$1,"]")),MATCH(vp.tbl[[#This Row],[SDate]],weather.tbl[Date],0))</f>
        <v>20.116666666666667</v>
      </c>
      <c r="O1715" s="2">
        <f ca="1">INDEX(INDIRECT(_xlfn.CONCAT("weather.tbl[",O$1,"]")),MATCH(vp.tbl[[#This Row],[SDate]],weather.tbl[Date],0))</f>
        <v>14.530952380952382</v>
      </c>
      <c r="P1715" s="2">
        <f ca="1">INDEX(INDIRECT(_xlfn.CONCAT("weather.tbl[",P$1,"]")),MATCH(vp.tbl[[#This Row],[SDate]],weather.tbl[Date],0))</f>
        <v>20.6</v>
      </c>
      <c r="Q1715" s="2">
        <f ca="1">INDEX(INDIRECT(_xlfn.CONCAT("weather.tbl[",Q$1,"]")),MATCH(vp.tbl[[#This Row],[SDate]],weather.tbl[Date],0))</f>
        <v>21.6</v>
      </c>
      <c r="R1715" s="2">
        <f ca="1">INDEX(INDIRECT(_xlfn.CONCAT("weather.tbl[",R$1,"]")),MATCH(vp.tbl[[#This Row],[SDate]],weather.tbl[Date],0))</f>
        <v>17.3</v>
      </c>
      <c r="S1715" s="2">
        <f ca="1">INDEX(INDIRECT(_xlfn.CONCAT("weather.tbl[",S$1,"]")),MATCH(vp.tbl[[#This Row],[SDate]],weather.tbl[Date],0))</f>
        <v>21.9</v>
      </c>
      <c r="T1715" s="2">
        <f ca="1">INDEX(INDIRECT(_xlfn.CONCAT("weather.tbl[",T$1,"]")),MATCH(vp.tbl[[#This Row],[SDate]],weather.tbl[Date],0))</f>
        <v>20</v>
      </c>
      <c r="U1715" s="2">
        <f ca="1">INDEX(INDIRECT(_xlfn.CONCAT("weather.tbl[",U$1,"]")),MATCH(vp.tbl[[#This Row],[SDate]],weather.tbl[Date],0))</f>
        <v>19.3</v>
      </c>
      <c r="V1715" s="2" t="s">
        <v>310</v>
      </c>
      <c r="W1715" t="s">
        <v>48</v>
      </c>
      <c r="X1715">
        <f>IF(OR(vp.tbl[[#This Row],[Sulf]]="",vp.tbl[[#This Row],[Dens]]=""),1,0)</f>
        <v>1</v>
      </c>
      <c r="Y1715">
        <f>IF(vp.tbl[[#This Row],[CrudeType]]="C5+",1,0)</f>
        <v>0</v>
      </c>
      <c r="Z1715">
        <f>IF(AND(vp.tbl[[#This Row],[CrudeType]]="Crude",vp.tbl[[#This Row],[Dens]]&lt;=825,vp.tbl[[#This Row],[Sulf]]&gt;0.5,vp.tbl[[#This Row],[Unknown]]=0),1,0)</f>
        <v>0</v>
      </c>
      <c r="AA1715">
        <f>IF(AND(vp.tbl[[#This Row],[CrudeType]]="Crude",vp.tbl[[#This Row],[Dens]]&lt;=825,vp.tbl[[#This Row],[Sulf]]&lt;=0.5,vp.tbl[[#This Row],[Unknown]]=0),1,0)</f>
        <v>0</v>
      </c>
      <c r="AB1715">
        <f>IF(AND(vp.tbl[[#This Row],[CrudeType]]="Crude",vp.tbl[[#This Row],[Dens]]&gt;825,vp.tbl[[#This Row],[Dens]]&lt;=870,vp.tbl[[#This Row],[Sulf]]&gt;0.5,vp.tbl[[#This Row],[Unknown]]=0),1,0)</f>
        <v>0</v>
      </c>
      <c r="AC1715">
        <f>IF(AND(vp.tbl[[#This Row],[CrudeType]]="Crude",vp.tbl[[#This Row],[Dens]]&gt;825,vp.tbl[[#This Row],[Dens]]&lt;=900,vp.tbl[[#This Row],[Sulf]]&lt;=0.5,vp.tbl[[#This Row],[Unknown]]=0),1,0)</f>
        <v>0</v>
      </c>
      <c r="AD1715">
        <f>IF(AND(vp.tbl[[#This Row],[CrudeType]]="Crude",vp.tbl[[#This Row],[Dens]]&gt;870,vp.tbl[[#This Row],[Dens]]&lt;=900,vp.tbl[[#This Row],[Sulf]]&gt;0.5,vp.tbl[[#This Row],[Unknown]]=0),1,0)</f>
        <v>0</v>
      </c>
      <c r="AE1715">
        <f>IF(AND(vp.tbl[[#This Row],[CrudeType]]="Crude",vp.tbl[[#This Row],[Dens]]&gt;900,vp.tbl[[#This Row],[Sulf]]&lt;=0.5,vp.tbl[[#This Row],[Unknown]]=0),1,0)</f>
        <v>0</v>
      </c>
      <c r="AF1715">
        <f>IF(AND(vp.tbl[[#This Row],[CrudeType]]="Crude",vp.tbl[[#This Row],[Dens]]&gt;900,vp.tbl[[#This Row],[Sulf]]&lt;=0.5,vp.tbl[[#This Row],[Unknown]]=0),1,0)</f>
        <v>0</v>
      </c>
      <c r="AG1715" t="str">
        <f>INDEX(vp.tbl[[#Headers],[Unknown]:[Heavy_SW]],MATCH(1,vp.tbl[[#This Row],[Unknown]:[Heavy_SW]],0))</f>
        <v>Unknown</v>
      </c>
      <c r="AH1715" t="e">
        <f>INDEX([1]!crudeBD.lkup[Number],MATCH(vp.tbl[[#This Row],[Crude_Breakdown]],[1]!crudeBD.lkup[Crude Breakdown],0))</f>
        <v>#REF!</v>
      </c>
      <c r="AI1715">
        <f>MONTH(vp.tbl[[#This Row],[SDate]])</f>
        <v>6</v>
      </c>
      <c r="AJ1715" s="5" t="str">
        <f>IFERROR(vp.tbl[[#This Row],[Sulf]]*vp.tbl[[#This Row],[Net Dens]],"")</f>
        <v/>
      </c>
      <c r="AK1715" s="5" t="str">
        <f>IFERROR(vp.tbl[[#This Row],[Dens]]*vp.tbl[[#This Row],[VolumeM3]],"")</f>
        <v/>
      </c>
      <c r="AL1715" s="5" t="str">
        <f>IFERROR(vp.tbl[[#This Row],[VP]]*vp.tbl[[#This Row],[VolumeM3]],"")</f>
        <v/>
      </c>
      <c r="AM1715" s="4">
        <f>IFERROR((vp.tbl[[#This Row],[VP]]-INDEX(crudeBD.lkup.complete[Mean_VP],MATCH(vp.tbl[[#This Row],[Crude_Breakdown]],crudeBD.lkup.complete[Crude Breakdown],0)))^2,"")</f>
        <v>1.5746811831488663</v>
      </c>
      <c r="AN1715" s="4" t="str">
        <f>IFERROR((vp.tbl[[#This Row],[Dens]]-INDEX(crudeBD.lkup.complete[Mean_Dens],MATCH(vp.tbl[[#This Row],[Crude_Breakdown]],crudeBD.lkup.complete[Crude Breakdown],0)))^2,"")</f>
        <v/>
      </c>
      <c r="AO1715" s="4" t="str">
        <f>IFERROR((vp.tbl[[#This Row],[Sulf]]-INDEX(crudeBD.lkup.complete[Mean_Sulf],MATCH(vp.tbl[[#This Row],[Crude_Breakdown]],crudeBD.lkup.complete[Crude Breakdown],0)))^2,"")</f>
        <v/>
      </c>
      <c r="AP1715">
        <f>IF(AND(vp.tbl[[#This Row],[SDate]]&gt;=DATE(YEAR(vp.tbl[[#This Row],[SDate]]),5,1),vp.tbl[[#This Row],[SDate]]&lt;=DATE(YEAR(vp.tbl[[#This Row],[SDate]]),9,15)),1,0)</f>
        <v>1</v>
      </c>
      <c r="AQ1715" s="15">
        <f>IF(vp.tbl[[#This Row],[SDate]]&lt;DATE(2016,12,1),0,1)</f>
        <v>1</v>
      </c>
    </row>
    <row r="1716" spans="1:43" x14ac:dyDescent="0.25">
      <c r="A1716">
        <v>1715</v>
      </c>
      <c r="B1716" t="s">
        <v>51</v>
      </c>
      <c r="C1716" t="s">
        <v>51</v>
      </c>
      <c r="D1716" t="s">
        <v>72</v>
      </c>
      <c r="F1716" s="1">
        <v>42914</v>
      </c>
      <c r="G1716" s="2">
        <v>71.5</v>
      </c>
      <c r="H1716" s="2"/>
      <c r="I1716" s="2" t="s">
        <v>310</v>
      </c>
      <c r="J1716" s="2"/>
      <c r="K1716" s="2"/>
      <c r="L1716" s="2"/>
      <c r="M1716" s="2" t="s">
        <v>310</v>
      </c>
      <c r="N1716" s="2">
        <f ca="1">INDEX(INDIRECT(_xlfn.CONCAT("weather.tbl[",N$1,"]")),MATCH(vp.tbl[[#This Row],[SDate]],weather.tbl[Date],0))</f>
        <v>16.833333333333332</v>
      </c>
      <c r="O1716" s="2">
        <f ca="1">INDEX(INDIRECT(_xlfn.CONCAT("weather.tbl[",O$1,"]")),MATCH(vp.tbl[[#This Row],[SDate]],weather.tbl[Date],0))</f>
        <v>14.397619047619045</v>
      </c>
      <c r="P1716" s="2">
        <f ca="1">INDEX(INDIRECT(_xlfn.CONCAT("weather.tbl[",P$1,"]")),MATCH(vp.tbl[[#This Row],[SDate]],weather.tbl[Date],0))</f>
        <v>16.8</v>
      </c>
      <c r="Q1716" s="2">
        <f ca="1">INDEX(INDIRECT(_xlfn.CONCAT("weather.tbl[",Q$1,"]")),MATCH(vp.tbl[[#This Row],[SDate]],weather.tbl[Date],0))</f>
        <v>15.2</v>
      </c>
      <c r="R1716" s="2">
        <f ca="1">INDEX(INDIRECT(_xlfn.CONCAT("weather.tbl[",R$1,"]")),MATCH(vp.tbl[[#This Row],[SDate]],weather.tbl[Date],0))</f>
        <v>17</v>
      </c>
      <c r="S1716" s="2">
        <f ca="1">INDEX(INDIRECT(_xlfn.CONCAT("weather.tbl[",S$1,"]")),MATCH(vp.tbl[[#This Row],[SDate]],weather.tbl[Date],0))</f>
        <v>16.2</v>
      </c>
      <c r="T1716" s="2">
        <f ca="1">INDEX(INDIRECT(_xlfn.CONCAT("weather.tbl[",T$1,"]")),MATCH(vp.tbl[[#This Row],[SDate]],weather.tbl[Date],0))</f>
        <v>19.5</v>
      </c>
      <c r="U1716" s="2">
        <f ca="1">INDEX(INDIRECT(_xlfn.CONCAT("weather.tbl[",U$1,"]")),MATCH(vp.tbl[[#This Row],[SDate]],weather.tbl[Date],0))</f>
        <v>16.3</v>
      </c>
      <c r="V1716" s="2" t="s">
        <v>310</v>
      </c>
      <c r="W1716" t="s">
        <v>48</v>
      </c>
      <c r="X1716">
        <f>IF(OR(vp.tbl[[#This Row],[Sulf]]="",vp.tbl[[#This Row],[Dens]]=""),1,0)</f>
        <v>1</v>
      </c>
      <c r="Y1716">
        <f>IF(vp.tbl[[#This Row],[CrudeType]]="C5+",1,0)</f>
        <v>0</v>
      </c>
      <c r="Z1716">
        <f>IF(AND(vp.tbl[[#This Row],[CrudeType]]="Crude",vp.tbl[[#This Row],[Dens]]&lt;=825,vp.tbl[[#This Row],[Sulf]]&gt;0.5,vp.tbl[[#This Row],[Unknown]]=0),1,0)</f>
        <v>0</v>
      </c>
      <c r="AA1716">
        <f>IF(AND(vp.tbl[[#This Row],[CrudeType]]="Crude",vp.tbl[[#This Row],[Dens]]&lt;=825,vp.tbl[[#This Row],[Sulf]]&lt;=0.5,vp.tbl[[#This Row],[Unknown]]=0),1,0)</f>
        <v>0</v>
      </c>
      <c r="AB1716">
        <f>IF(AND(vp.tbl[[#This Row],[CrudeType]]="Crude",vp.tbl[[#This Row],[Dens]]&gt;825,vp.tbl[[#This Row],[Dens]]&lt;=870,vp.tbl[[#This Row],[Sulf]]&gt;0.5,vp.tbl[[#This Row],[Unknown]]=0),1,0)</f>
        <v>0</v>
      </c>
      <c r="AC1716">
        <f>IF(AND(vp.tbl[[#This Row],[CrudeType]]="Crude",vp.tbl[[#This Row],[Dens]]&gt;825,vp.tbl[[#This Row],[Dens]]&lt;=900,vp.tbl[[#This Row],[Sulf]]&lt;=0.5,vp.tbl[[#This Row],[Unknown]]=0),1,0)</f>
        <v>0</v>
      </c>
      <c r="AD1716">
        <f>IF(AND(vp.tbl[[#This Row],[CrudeType]]="Crude",vp.tbl[[#This Row],[Dens]]&gt;870,vp.tbl[[#This Row],[Dens]]&lt;=900,vp.tbl[[#This Row],[Sulf]]&gt;0.5,vp.tbl[[#This Row],[Unknown]]=0),1,0)</f>
        <v>0</v>
      </c>
      <c r="AE1716">
        <f>IF(AND(vp.tbl[[#This Row],[CrudeType]]="Crude",vp.tbl[[#This Row],[Dens]]&gt;900,vp.tbl[[#This Row],[Sulf]]&lt;=0.5,vp.tbl[[#This Row],[Unknown]]=0),1,0)</f>
        <v>0</v>
      </c>
      <c r="AF1716">
        <f>IF(AND(vp.tbl[[#This Row],[CrudeType]]="Crude",vp.tbl[[#This Row],[Dens]]&gt;900,vp.tbl[[#This Row],[Sulf]]&lt;=0.5,vp.tbl[[#This Row],[Unknown]]=0),1,0)</f>
        <v>0</v>
      </c>
      <c r="AG1716" t="str">
        <f>INDEX(vp.tbl[[#Headers],[Unknown]:[Heavy_SW]],MATCH(1,vp.tbl[[#This Row],[Unknown]:[Heavy_SW]],0))</f>
        <v>Unknown</v>
      </c>
      <c r="AH1716" t="e">
        <f>INDEX([1]!crudeBD.lkup[Number],MATCH(vp.tbl[[#This Row],[Crude_Breakdown]],[1]!crudeBD.lkup[Crude Breakdown],0))</f>
        <v>#REF!</v>
      </c>
      <c r="AI1716">
        <f>MONTH(vp.tbl[[#This Row],[SDate]])</f>
        <v>6</v>
      </c>
      <c r="AJ1716" s="5" t="str">
        <f>IFERROR(vp.tbl[[#This Row],[Sulf]]*vp.tbl[[#This Row],[Net Dens]],"")</f>
        <v/>
      </c>
      <c r="AK1716" s="5" t="str">
        <f>IFERROR(vp.tbl[[#This Row],[Dens]]*vp.tbl[[#This Row],[VolumeM3]],"")</f>
        <v/>
      </c>
      <c r="AL1716" s="5" t="str">
        <f>IFERROR(vp.tbl[[#This Row],[VP]]*vp.tbl[[#This Row],[VolumeM3]],"")</f>
        <v/>
      </c>
      <c r="AM1716" s="4">
        <f>IFERROR((vp.tbl[[#This Row],[VP]]-INDEX(crudeBD.lkup.complete[Mean_VP],MATCH(vp.tbl[[#This Row],[Crude_Breakdown]],crudeBD.lkup.complete[Crude Breakdown],0)))^2,"")</f>
        <v>5.4996674845185369</v>
      </c>
      <c r="AN1716" s="4" t="str">
        <f>IFERROR((vp.tbl[[#This Row],[Dens]]-INDEX(crudeBD.lkup.complete[Mean_Dens],MATCH(vp.tbl[[#This Row],[Crude_Breakdown]],crudeBD.lkup.complete[Crude Breakdown],0)))^2,"")</f>
        <v/>
      </c>
      <c r="AO1716" s="4" t="str">
        <f>IFERROR((vp.tbl[[#This Row],[Sulf]]-INDEX(crudeBD.lkup.complete[Mean_Sulf],MATCH(vp.tbl[[#This Row],[Crude_Breakdown]],crudeBD.lkup.complete[Crude Breakdown],0)))^2,"")</f>
        <v/>
      </c>
      <c r="AP1716">
        <f>IF(AND(vp.tbl[[#This Row],[SDate]]&gt;=DATE(YEAR(vp.tbl[[#This Row],[SDate]]),5,1),vp.tbl[[#This Row],[SDate]]&lt;=DATE(YEAR(vp.tbl[[#This Row],[SDate]]),9,15)),1,0)</f>
        <v>1</v>
      </c>
      <c r="AQ1716" s="15">
        <f>IF(vp.tbl[[#This Row],[SDate]]&lt;DATE(2016,12,1),0,1)</f>
        <v>1</v>
      </c>
    </row>
    <row r="1717" spans="1:43" x14ac:dyDescent="0.25">
      <c r="A1717">
        <v>1716</v>
      </c>
      <c r="B1717" t="s">
        <v>68</v>
      </c>
      <c r="C1717" t="s">
        <v>68</v>
      </c>
      <c r="D1717" t="s">
        <v>69</v>
      </c>
      <c r="F1717" s="1">
        <v>42914</v>
      </c>
      <c r="G1717" s="2">
        <v>71.099999999999994</v>
      </c>
      <c r="H1717" s="2"/>
      <c r="I1717" s="2" t="s">
        <v>310</v>
      </c>
      <c r="J1717" s="2"/>
      <c r="K1717" s="2"/>
      <c r="L1717" s="2"/>
      <c r="M1717" s="2" t="s">
        <v>310</v>
      </c>
      <c r="N1717" s="2">
        <f ca="1">INDEX(INDIRECT(_xlfn.CONCAT("weather.tbl[",N$1,"]")),MATCH(vp.tbl[[#This Row],[SDate]],weather.tbl[Date],0))</f>
        <v>16.833333333333332</v>
      </c>
      <c r="O1717" s="2">
        <f ca="1">INDEX(INDIRECT(_xlfn.CONCAT("weather.tbl[",O$1,"]")),MATCH(vp.tbl[[#This Row],[SDate]],weather.tbl[Date],0))</f>
        <v>14.397619047619045</v>
      </c>
      <c r="P1717" s="2">
        <f ca="1">INDEX(INDIRECT(_xlfn.CONCAT("weather.tbl[",P$1,"]")),MATCH(vp.tbl[[#This Row],[SDate]],weather.tbl[Date],0))</f>
        <v>16.8</v>
      </c>
      <c r="Q1717" s="2">
        <f ca="1">INDEX(INDIRECT(_xlfn.CONCAT("weather.tbl[",Q$1,"]")),MATCH(vp.tbl[[#This Row],[SDate]],weather.tbl[Date],0))</f>
        <v>15.2</v>
      </c>
      <c r="R1717" s="2">
        <f ca="1">INDEX(INDIRECT(_xlfn.CONCAT("weather.tbl[",R$1,"]")),MATCH(vp.tbl[[#This Row],[SDate]],weather.tbl[Date],0))</f>
        <v>17</v>
      </c>
      <c r="S1717" s="2">
        <f ca="1">INDEX(INDIRECT(_xlfn.CONCAT("weather.tbl[",S$1,"]")),MATCH(vp.tbl[[#This Row],[SDate]],weather.tbl[Date],0))</f>
        <v>16.2</v>
      </c>
      <c r="T1717" s="2">
        <f ca="1">INDEX(INDIRECT(_xlfn.CONCAT("weather.tbl[",T$1,"]")),MATCH(vp.tbl[[#This Row],[SDate]],weather.tbl[Date],0))</f>
        <v>19.5</v>
      </c>
      <c r="U1717" s="2">
        <f ca="1">INDEX(INDIRECT(_xlfn.CONCAT("weather.tbl[",U$1,"]")),MATCH(vp.tbl[[#This Row],[SDate]],weather.tbl[Date],0))</f>
        <v>16.3</v>
      </c>
      <c r="V1717" s="2" t="s">
        <v>310</v>
      </c>
      <c r="W1717" t="s">
        <v>48</v>
      </c>
      <c r="X1717">
        <f>IF(OR(vp.tbl[[#This Row],[Sulf]]="",vp.tbl[[#This Row],[Dens]]=""),1,0)</f>
        <v>1</v>
      </c>
      <c r="Y1717">
        <f>IF(vp.tbl[[#This Row],[CrudeType]]="C5+",1,0)</f>
        <v>0</v>
      </c>
      <c r="Z1717">
        <f>IF(AND(vp.tbl[[#This Row],[CrudeType]]="Crude",vp.tbl[[#This Row],[Dens]]&lt;=825,vp.tbl[[#This Row],[Sulf]]&gt;0.5,vp.tbl[[#This Row],[Unknown]]=0),1,0)</f>
        <v>0</v>
      </c>
      <c r="AA1717">
        <f>IF(AND(vp.tbl[[#This Row],[CrudeType]]="Crude",vp.tbl[[#This Row],[Dens]]&lt;=825,vp.tbl[[#This Row],[Sulf]]&lt;=0.5,vp.tbl[[#This Row],[Unknown]]=0),1,0)</f>
        <v>0</v>
      </c>
      <c r="AB1717">
        <f>IF(AND(vp.tbl[[#This Row],[CrudeType]]="Crude",vp.tbl[[#This Row],[Dens]]&gt;825,vp.tbl[[#This Row],[Dens]]&lt;=870,vp.tbl[[#This Row],[Sulf]]&gt;0.5,vp.tbl[[#This Row],[Unknown]]=0),1,0)</f>
        <v>0</v>
      </c>
      <c r="AC1717">
        <f>IF(AND(vp.tbl[[#This Row],[CrudeType]]="Crude",vp.tbl[[#This Row],[Dens]]&gt;825,vp.tbl[[#This Row],[Dens]]&lt;=900,vp.tbl[[#This Row],[Sulf]]&lt;=0.5,vp.tbl[[#This Row],[Unknown]]=0),1,0)</f>
        <v>0</v>
      </c>
      <c r="AD1717">
        <f>IF(AND(vp.tbl[[#This Row],[CrudeType]]="Crude",vp.tbl[[#This Row],[Dens]]&gt;870,vp.tbl[[#This Row],[Dens]]&lt;=900,vp.tbl[[#This Row],[Sulf]]&gt;0.5,vp.tbl[[#This Row],[Unknown]]=0),1,0)</f>
        <v>0</v>
      </c>
      <c r="AE1717">
        <f>IF(AND(vp.tbl[[#This Row],[CrudeType]]="Crude",vp.tbl[[#This Row],[Dens]]&gt;900,vp.tbl[[#This Row],[Sulf]]&lt;=0.5,vp.tbl[[#This Row],[Unknown]]=0),1,0)</f>
        <v>0</v>
      </c>
      <c r="AF1717">
        <f>IF(AND(vp.tbl[[#This Row],[CrudeType]]="Crude",vp.tbl[[#This Row],[Dens]]&gt;900,vp.tbl[[#This Row],[Sulf]]&lt;=0.5,vp.tbl[[#This Row],[Unknown]]=0),1,0)</f>
        <v>0</v>
      </c>
      <c r="AG1717" t="str">
        <f>INDEX(vp.tbl[[#Headers],[Unknown]:[Heavy_SW]],MATCH(1,vp.tbl[[#This Row],[Unknown]:[Heavy_SW]],0))</f>
        <v>Unknown</v>
      </c>
      <c r="AH1717" t="e">
        <f>INDEX([1]!crudeBD.lkup[Number],MATCH(vp.tbl[[#This Row],[Crude_Breakdown]],[1]!crudeBD.lkup[Crude Breakdown],0))</f>
        <v>#REF!</v>
      </c>
      <c r="AI1717">
        <f>MONTH(vp.tbl[[#This Row],[SDate]])</f>
        <v>6</v>
      </c>
      <c r="AJ1717" s="5" t="str">
        <f>IFERROR(vp.tbl[[#This Row],[Sulf]]*vp.tbl[[#This Row],[Net Dens]],"")</f>
        <v/>
      </c>
      <c r="AK1717" s="5" t="str">
        <f>IFERROR(vp.tbl[[#This Row],[Dens]]*vp.tbl[[#This Row],[VolumeM3]],"")</f>
        <v/>
      </c>
      <c r="AL1717" s="5" t="str">
        <f>IFERROR(vp.tbl[[#This Row],[VP]]*vp.tbl[[#This Row],[VolumeM3]],"")</f>
        <v/>
      </c>
      <c r="AM1717" s="4">
        <f>IFERROR((vp.tbl[[#This Row],[VP]]-INDEX(crudeBD.lkup.complete[Mean_VP],MATCH(vp.tbl[[#This Row],[Crude_Breakdown]],crudeBD.lkup.complete[Crude Breakdown],0)))^2,"")</f>
        <v>7.5357770735596405</v>
      </c>
      <c r="AN1717" s="4" t="str">
        <f>IFERROR((vp.tbl[[#This Row],[Dens]]-INDEX(crudeBD.lkup.complete[Mean_Dens],MATCH(vp.tbl[[#This Row],[Crude_Breakdown]],crudeBD.lkup.complete[Crude Breakdown],0)))^2,"")</f>
        <v/>
      </c>
      <c r="AO1717" s="4" t="str">
        <f>IFERROR((vp.tbl[[#This Row],[Sulf]]-INDEX(crudeBD.lkup.complete[Mean_Sulf],MATCH(vp.tbl[[#This Row],[Crude_Breakdown]],crudeBD.lkup.complete[Crude Breakdown],0)))^2,"")</f>
        <v/>
      </c>
      <c r="AP1717">
        <f>IF(AND(vp.tbl[[#This Row],[SDate]]&gt;=DATE(YEAR(vp.tbl[[#This Row],[SDate]]),5,1),vp.tbl[[#This Row],[SDate]]&lt;=DATE(YEAR(vp.tbl[[#This Row],[SDate]]),9,15)),1,0)</f>
        <v>1</v>
      </c>
      <c r="AQ1717" s="15">
        <f>IF(vp.tbl[[#This Row],[SDate]]&lt;DATE(2016,12,1),0,1)</f>
        <v>1</v>
      </c>
    </row>
    <row r="1718" spans="1:43" x14ac:dyDescent="0.25">
      <c r="A1718">
        <v>1717</v>
      </c>
      <c r="B1718" t="s">
        <v>291</v>
      </c>
      <c r="C1718" t="s">
        <v>291</v>
      </c>
      <c r="D1718" t="s">
        <v>109</v>
      </c>
      <c r="F1718" s="1">
        <v>42914</v>
      </c>
      <c r="G1718" s="2">
        <v>77</v>
      </c>
      <c r="H1718" s="2"/>
      <c r="I1718" s="2" t="s">
        <v>310</v>
      </c>
      <c r="J1718" s="2"/>
      <c r="K1718" s="2"/>
      <c r="L1718" s="2"/>
      <c r="M1718" s="2" t="s">
        <v>310</v>
      </c>
      <c r="N1718" s="2">
        <f ca="1">INDEX(INDIRECT(_xlfn.CONCAT("weather.tbl[",N$1,"]")),MATCH(vp.tbl[[#This Row],[SDate]],weather.tbl[Date],0))</f>
        <v>16.833333333333332</v>
      </c>
      <c r="O1718" s="2">
        <f ca="1">INDEX(INDIRECT(_xlfn.CONCAT("weather.tbl[",O$1,"]")),MATCH(vp.tbl[[#This Row],[SDate]],weather.tbl[Date],0))</f>
        <v>14.397619047619045</v>
      </c>
      <c r="P1718" s="2">
        <f ca="1">INDEX(INDIRECT(_xlfn.CONCAT("weather.tbl[",P$1,"]")),MATCH(vp.tbl[[#This Row],[SDate]],weather.tbl[Date],0))</f>
        <v>16.8</v>
      </c>
      <c r="Q1718" s="2">
        <f ca="1">INDEX(INDIRECT(_xlfn.CONCAT("weather.tbl[",Q$1,"]")),MATCH(vp.tbl[[#This Row],[SDate]],weather.tbl[Date],0))</f>
        <v>15.2</v>
      </c>
      <c r="R1718" s="2">
        <f ca="1">INDEX(INDIRECT(_xlfn.CONCAT("weather.tbl[",R$1,"]")),MATCH(vp.tbl[[#This Row],[SDate]],weather.tbl[Date],0))</f>
        <v>17</v>
      </c>
      <c r="S1718" s="2">
        <f ca="1">INDEX(INDIRECT(_xlfn.CONCAT("weather.tbl[",S$1,"]")),MATCH(vp.tbl[[#This Row],[SDate]],weather.tbl[Date],0))</f>
        <v>16.2</v>
      </c>
      <c r="T1718" s="2">
        <f ca="1">INDEX(INDIRECT(_xlfn.CONCAT("weather.tbl[",T$1,"]")),MATCH(vp.tbl[[#This Row],[SDate]],weather.tbl[Date],0))</f>
        <v>19.5</v>
      </c>
      <c r="U1718" s="2">
        <f ca="1">INDEX(INDIRECT(_xlfn.CONCAT("weather.tbl[",U$1,"]")),MATCH(vp.tbl[[#This Row],[SDate]],weather.tbl[Date],0))</f>
        <v>16.3</v>
      </c>
      <c r="V1718" s="2" t="s">
        <v>310</v>
      </c>
      <c r="W1718" t="s">
        <v>48</v>
      </c>
      <c r="X1718">
        <f>IF(OR(vp.tbl[[#This Row],[Sulf]]="",vp.tbl[[#This Row],[Dens]]=""),1,0)</f>
        <v>1</v>
      </c>
      <c r="Y1718">
        <f>IF(vp.tbl[[#This Row],[CrudeType]]="C5+",1,0)</f>
        <v>0</v>
      </c>
      <c r="Z1718">
        <f>IF(AND(vp.tbl[[#This Row],[CrudeType]]="Crude",vp.tbl[[#This Row],[Dens]]&lt;=825,vp.tbl[[#This Row],[Sulf]]&gt;0.5,vp.tbl[[#This Row],[Unknown]]=0),1,0)</f>
        <v>0</v>
      </c>
      <c r="AA1718">
        <f>IF(AND(vp.tbl[[#This Row],[CrudeType]]="Crude",vp.tbl[[#This Row],[Dens]]&lt;=825,vp.tbl[[#This Row],[Sulf]]&lt;=0.5,vp.tbl[[#This Row],[Unknown]]=0),1,0)</f>
        <v>0</v>
      </c>
      <c r="AB1718">
        <f>IF(AND(vp.tbl[[#This Row],[CrudeType]]="Crude",vp.tbl[[#This Row],[Dens]]&gt;825,vp.tbl[[#This Row],[Dens]]&lt;=870,vp.tbl[[#This Row],[Sulf]]&gt;0.5,vp.tbl[[#This Row],[Unknown]]=0),1,0)</f>
        <v>0</v>
      </c>
      <c r="AC1718">
        <f>IF(AND(vp.tbl[[#This Row],[CrudeType]]="Crude",vp.tbl[[#This Row],[Dens]]&gt;825,vp.tbl[[#This Row],[Dens]]&lt;=900,vp.tbl[[#This Row],[Sulf]]&lt;=0.5,vp.tbl[[#This Row],[Unknown]]=0),1,0)</f>
        <v>0</v>
      </c>
      <c r="AD1718">
        <f>IF(AND(vp.tbl[[#This Row],[CrudeType]]="Crude",vp.tbl[[#This Row],[Dens]]&gt;870,vp.tbl[[#This Row],[Dens]]&lt;=900,vp.tbl[[#This Row],[Sulf]]&gt;0.5,vp.tbl[[#This Row],[Unknown]]=0),1,0)</f>
        <v>0</v>
      </c>
      <c r="AE1718">
        <f>IF(AND(vp.tbl[[#This Row],[CrudeType]]="Crude",vp.tbl[[#This Row],[Dens]]&gt;900,vp.tbl[[#This Row],[Sulf]]&lt;=0.5,vp.tbl[[#This Row],[Unknown]]=0),1,0)</f>
        <v>0</v>
      </c>
      <c r="AF1718">
        <f>IF(AND(vp.tbl[[#This Row],[CrudeType]]="Crude",vp.tbl[[#This Row],[Dens]]&gt;900,vp.tbl[[#This Row],[Sulf]]&lt;=0.5,vp.tbl[[#This Row],[Unknown]]=0),1,0)</f>
        <v>0</v>
      </c>
      <c r="AG1718" t="str">
        <f>INDEX(vp.tbl[[#Headers],[Unknown]:[Heavy_SW]],MATCH(1,vp.tbl[[#This Row],[Unknown]:[Heavy_SW]],0))</f>
        <v>Unknown</v>
      </c>
      <c r="AH1718" t="e">
        <f>INDEX([1]!crudeBD.lkup[Number],MATCH(vp.tbl[[#This Row],[Crude_Breakdown]],[1]!crudeBD.lkup[Crude Breakdown],0))</f>
        <v>#REF!</v>
      </c>
      <c r="AI1718">
        <f>MONTH(vp.tbl[[#This Row],[SDate]])</f>
        <v>6</v>
      </c>
      <c r="AJ1718" s="5" t="str">
        <f>IFERROR(vp.tbl[[#This Row],[Sulf]]*vp.tbl[[#This Row],[Net Dens]],"")</f>
        <v/>
      </c>
      <c r="AK1718" s="5" t="str">
        <f>IFERROR(vp.tbl[[#This Row],[Dens]]*vp.tbl[[#This Row],[VolumeM3]],"")</f>
        <v/>
      </c>
      <c r="AL1718" s="5" t="str">
        <f>IFERROR(vp.tbl[[#This Row],[VP]]*vp.tbl[[#This Row],[VolumeM3]],"")</f>
        <v/>
      </c>
      <c r="AM1718" s="4">
        <f>IFERROR((vp.tbl[[#This Row],[VP]]-INDEX(crudeBD.lkup.complete[Mean_VP],MATCH(vp.tbl[[#This Row],[Crude_Breakdown]],crudeBD.lkup.complete[Crude Breakdown],0)))^2,"")</f>
        <v>9.9531606352037834</v>
      </c>
      <c r="AN1718" s="4" t="str">
        <f>IFERROR((vp.tbl[[#This Row],[Dens]]-INDEX(crudeBD.lkup.complete[Mean_Dens],MATCH(vp.tbl[[#This Row],[Crude_Breakdown]],crudeBD.lkup.complete[Crude Breakdown],0)))^2,"")</f>
        <v/>
      </c>
      <c r="AO1718" s="4" t="str">
        <f>IFERROR((vp.tbl[[#This Row],[Sulf]]-INDEX(crudeBD.lkup.complete[Mean_Sulf],MATCH(vp.tbl[[#This Row],[Crude_Breakdown]],crudeBD.lkup.complete[Crude Breakdown],0)))^2,"")</f>
        <v/>
      </c>
      <c r="AP1718">
        <f>IF(AND(vp.tbl[[#This Row],[SDate]]&gt;=DATE(YEAR(vp.tbl[[#This Row],[SDate]]),5,1),vp.tbl[[#This Row],[SDate]]&lt;=DATE(YEAR(vp.tbl[[#This Row],[SDate]]),9,15)),1,0)</f>
        <v>1</v>
      </c>
      <c r="AQ1718" s="15">
        <f>IF(vp.tbl[[#This Row],[SDate]]&lt;DATE(2016,12,1),0,1)</f>
        <v>1</v>
      </c>
    </row>
    <row r="1719" spans="1:43" x14ac:dyDescent="0.25">
      <c r="A1719">
        <v>1718</v>
      </c>
      <c r="B1719" t="s">
        <v>51</v>
      </c>
      <c r="C1719" t="s">
        <v>51</v>
      </c>
      <c r="D1719" t="s">
        <v>66</v>
      </c>
      <c r="F1719" s="1">
        <v>42914</v>
      </c>
      <c r="G1719" s="2">
        <v>70.3</v>
      </c>
      <c r="H1719" s="2"/>
      <c r="I1719" s="2" t="s">
        <v>310</v>
      </c>
      <c r="J1719" s="2"/>
      <c r="K1719" s="2"/>
      <c r="L1719" s="2"/>
      <c r="M1719" s="2" t="s">
        <v>310</v>
      </c>
      <c r="N1719" s="2">
        <f ca="1">INDEX(INDIRECT(_xlfn.CONCAT("weather.tbl[",N$1,"]")),MATCH(vp.tbl[[#This Row],[SDate]],weather.tbl[Date],0))</f>
        <v>16.833333333333332</v>
      </c>
      <c r="O1719" s="2">
        <f ca="1">INDEX(INDIRECT(_xlfn.CONCAT("weather.tbl[",O$1,"]")),MATCH(vp.tbl[[#This Row],[SDate]],weather.tbl[Date],0))</f>
        <v>14.397619047619045</v>
      </c>
      <c r="P1719" s="2">
        <f ca="1">INDEX(INDIRECT(_xlfn.CONCAT("weather.tbl[",P$1,"]")),MATCH(vp.tbl[[#This Row],[SDate]],weather.tbl[Date],0))</f>
        <v>16.8</v>
      </c>
      <c r="Q1719" s="2">
        <f ca="1">INDEX(INDIRECT(_xlfn.CONCAT("weather.tbl[",Q$1,"]")),MATCH(vp.tbl[[#This Row],[SDate]],weather.tbl[Date],0))</f>
        <v>15.2</v>
      </c>
      <c r="R1719" s="2">
        <f ca="1">INDEX(INDIRECT(_xlfn.CONCAT("weather.tbl[",R$1,"]")),MATCH(vp.tbl[[#This Row],[SDate]],weather.tbl[Date],0))</f>
        <v>17</v>
      </c>
      <c r="S1719" s="2">
        <f ca="1">INDEX(INDIRECT(_xlfn.CONCAT("weather.tbl[",S$1,"]")),MATCH(vp.tbl[[#This Row],[SDate]],weather.tbl[Date],0))</f>
        <v>16.2</v>
      </c>
      <c r="T1719" s="2">
        <f ca="1">INDEX(INDIRECT(_xlfn.CONCAT("weather.tbl[",T$1,"]")),MATCH(vp.tbl[[#This Row],[SDate]],weather.tbl[Date],0))</f>
        <v>19.5</v>
      </c>
      <c r="U1719" s="2">
        <f ca="1">INDEX(INDIRECT(_xlfn.CONCAT("weather.tbl[",U$1,"]")),MATCH(vp.tbl[[#This Row],[SDate]],weather.tbl[Date],0))</f>
        <v>16.3</v>
      </c>
      <c r="V1719" s="2" t="s">
        <v>310</v>
      </c>
      <c r="W1719" t="s">
        <v>48</v>
      </c>
      <c r="X1719">
        <f>IF(OR(vp.tbl[[#This Row],[Sulf]]="",vp.tbl[[#This Row],[Dens]]=""),1,0)</f>
        <v>1</v>
      </c>
      <c r="Y1719">
        <f>IF(vp.tbl[[#This Row],[CrudeType]]="C5+",1,0)</f>
        <v>0</v>
      </c>
      <c r="Z1719">
        <f>IF(AND(vp.tbl[[#This Row],[CrudeType]]="Crude",vp.tbl[[#This Row],[Dens]]&lt;=825,vp.tbl[[#This Row],[Sulf]]&gt;0.5,vp.tbl[[#This Row],[Unknown]]=0),1,0)</f>
        <v>0</v>
      </c>
      <c r="AA1719">
        <f>IF(AND(vp.tbl[[#This Row],[CrudeType]]="Crude",vp.tbl[[#This Row],[Dens]]&lt;=825,vp.tbl[[#This Row],[Sulf]]&lt;=0.5,vp.tbl[[#This Row],[Unknown]]=0),1,0)</f>
        <v>0</v>
      </c>
      <c r="AB1719">
        <f>IF(AND(vp.tbl[[#This Row],[CrudeType]]="Crude",vp.tbl[[#This Row],[Dens]]&gt;825,vp.tbl[[#This Row],[Dens]]&lt;=870,vp.tbl[[#This Row],[Sulf]]&gt;0.5,vp.tbl[[#This Row],[Unknown]]=0),1,0)</f>
        <v>0</v>
      </c>
      <c r="AC1719">
        <f>IF(AND(vp.tbl[[#This Row],[CrudeType]]="Crude",vp.tbl[[#This Row],[Dens]]&gt;825,vp.tbl[[#This Row],[Dens]]&lt;=900,vp.tbl[[#This Row],[Sulf]]&lt;=0.5,vp.tbl[[#This Row],[Unknown]]=0),1,0)</f>
        <v>0</v>
      </c>
      <c r="AD1719">
        <f>IF(AND(vp.tbl[[#This Row],[CrudeType]]="Crude",vp.tbl[[#This Row],[Dens]]&gt;870,vp.tbl[[#This Row],[Dens]]&lt;=900,vp.tbl[[#This Row],[Sulf]]&gt;0.5,vp.tbl[[#This Row],[Unknown]]=0),1,0)</f>
        <v>0</v>
      </c>
      <c r="AE1719">
        <f>IF(AND(vp.tbl[[#This Row],[CrudeType]]="Crude",vp.tbl[[#This Row],[Dens]]&gt;900,vp.tbl[[#This Row],[Sulf]]&lt;=0.5,vp.tbl[[#This Row],[Unknown]]=0),1,0)</f>
        <v>0</v>
      </c>
      <c r="AF1719">
        <f>IF(AND(vp.tbl[[#This Row],[CrudeType]]="Crude",vp.tbl[[#This Row],[Dens]]&gt;900,vp.tbl[[#This Row],[Sulf]]&lt;=0.5,vp.tbl[[#This Row],[Unknown]]=0),1,0)</f>
        <v>0</v>
      </c>
      <c r="AG1719" t="str">
        <f>INDEX(vp.tbl[[#Headers],[Unknown]:[Heavy_SW]],MATCH(1,vp.tbl[[#This Row],[Unknown]:[Heavy_SW]],0))</f>
        <v>Unknown</v>
      </c>
      <c r="AH1719" t="e">
        <f>INDEX([1]!crudeBD.lkup[Number],MATCH(vp.tbl[[#This Row],[Crude_Breakdown]],[1]!crudeBD.lkup[Crude Breakdown],0))</f>
        <v>#REF!</v>
      </c>
      <c r="AI1719">
        <f>MONTH(vp.tbl[[#This Row],[SDate]])</f>
        <v>6</v>
      </c>
      <c r="AJ1719" s="5" t="str">
        <f>IFERROR(vp.tbl[[#This Row],[Sulf]]*vp.tbl[[#This Row],[Net Dens]],"")</f>
        <v/>
      </c>
      <c r="AK1719" s="5" t="str">
        <f>IFERROR(vp.tbl[[#This Row],[Dens]]*vp.tbl[[#This Row],[VolumeM3]],"")</f>
        <v/>
      </c>
      <c r="AL1719" s="5" t="str">
        <f>IFERROR(vp.tbl[[#This Row],[VP]]*vp.tbl[[#This Row],[VolumeM3]],"")</f>
        <v/>
      </c>
      <c r="AM1719" s="4">
        <f>IFERROR((vp.tbl[[#This Row],[VP]]-INDEX(crudeBD.lkup.complete[Mean_VP],MATCH(vp.tbl[[#This Row],[Crude_Breakdown]],crudeBD.lkup.complete[Crude Breakdown],0)))^2,"")</f>
        <v>12.567996251641775</v>
      </c>
      <c r="AN1719" s="4" t="str">
        <f>IFERROR((vp.tbl[[#This Row],[Dens]]-INDEX(crudeBD.lkup.complete[Mean_Dens],MATCH(vp.tbl[[#This Row],[Crude_Breakdown]],crudeBD.lkup.complete[Crude Breakdown],0)))^2,"")</f>
        <v/>
      </c>
      <c r="AO1719" s="4" t="str">
        <f>IFERROR((vp.tbl[[#This Row],[Sulf]]-INDEX(crudeBD.lkup.complete[Mean_Sulf],MATCH(vp.tbl[[#This Row],[Crude_Breakdown]],crudeBD.lkup.complete[Crude Breakdown],0)))^2,"")</f>
        <v/>
      </c>
      <c r="AP1719">
        <f>IF(AND(vp.tbl[[#This Row],[SDate]]&gt;=DATE(YEAR(vp.tbl[[#This Row],[SDate]]),5,1),vp.tbl[[#This Row],[SDate]]&lt;=DATE(YEAR(vp.tbl[[#This Row],[SDate]]),9,15)),1,0)</f>
        <v>1</v>
      </c>
      <c r="AQ1719" s="15">
        <f>IF(vp.tbl[[#This Row],[SDate]]&lt;DATE(2016,12,1),0,1)</f>
        <v>1</v>
      </c>
    </row>
    <row r="1720" spans="1:43" x14ac:dyDescent="0.25">
      <c r="A1720">
        <v>1719</v>
      </c>
      <c r="B1720" t="s">
        <v>49</v>
      </c>
      <c r="C1720" t="s">
        <v>49</v>
      </c>
      <c r="D1720" t="s">
        <v>81</v>
      </c>
      <c r="F1720" s="1">
        <v>42914</v>
      </c>
      <c r="G1720" s="2">
        <v>73.8</v>
      </c>
      <c r="H1720" s="2"/>
      <c r="I1720" s="2" t="s">
        <v>310</v>
      </c>
      <c r="J1720" s="2"/>
      <c r="K1720" s="2"/>
      <c r="L1720" s="2"/>
      <c r="M1720" s="2" t="s">
        <v>310</v>
      </c>
      <c r="N1720" s="2">
        <f ca="1">INDEX(INDIRECT(_xlfn.CONCAT("weather.tbl[",N$1,"]")),MATCH(vp.tbl[[#This Row],[SDate]],weather.tbl[Date],0))</f>
        <v>16.833333333333332</v>
      </c>
      <c r="O1720" s="2">
        <f ca="1">INDEX(INDIRECT(_xlfn.CONCAT("weather.tbl[",O$1,"]")),MATCH(vp.tbl[[#This Row],[SDate]],weather.tbl[Date],0))</f>
        <v>14.397619047619045</v>
      </c>
      <c r="P1720" s="2">
        <f ca="1">INDEX(INDIRECT(_xlfn.CONCAT("weather.tbl[",P$1,"]")),MATCH(vp.tbl[[#This Row],[SDate]],weather.tbl[Date],0))</f>
        <v>16.8</v>
      </c>
      <c r="Q1720" s="2">
        <f ca="1">INDEX(INDIRECT(_xlfn.CONCAT("weather.tbl[",Q$1,"]")),MATCH(vp.tbl[[#This Row],[SDate]],weather.tbl[Date],0))</f>
        <v>15.2</v>
      </c>
      <c r="R1720" s="2">
        <f ca="1">INDEX(INDIRECT(_xlfn.CONCAT("weather.tbl[",R$1,"]")),MATCH(vp.tbl[[#This Row],[SDate]],weather.tbl[Date],0))</f>
        <v>17</v>
      </c>
      <c r="S1720" s="2">
        <f ca="1">INDEX(INDIRECT(_xlfn.CONCAT("weather.tbl[",S$1,"]")),MATCH(vp.tbl[[#This Row],[SDate]],weather.tbl[Date],0))</f>
        <v>16.2</v>
      </c>
      <c r="T1720" s="2">
        <f ca="1">INDEX(INDIRECT(_xlfn.CONCAT("weather.tbl[",T$1,"]")),MATCH(vp.tbl[[#This Row],[SDate]],weather.tbl[Date],0))</f>
        <v>19.5</v>
      </c>
      <c r="U1720" s="2">
        <f ca="1">INDEX(INDIRECT(_xlfn.CONCAT("weather.tbl[",U$1,"]")),MATCH(vp.tbl[[#This Row],[SDate]],weather.tbl[Date],0))</f>
        <v>16.3</v>
      </c>
      <c r="V1720" s="2" t="s">
        <v>310</v>
      </c>
      <c r="W1720" t="s">
        <v>48</v>
      </c>
      <c r="X1720">
        <f>IF(OR(vp.tbl[[#This Row],[Sulf]]="",vp.tbl[[#This Row],[Dens]]=""),1,0)</f>
        <v>1</v>
      </c>
      <c r="Y1720">
        <f>IF(vp.tbl[[#This Row],[CrudeType]]="C5+",1,0)</f>
        <v>0</v>
      </c>
      <c r="Z1720">
        <f>IF(AND(vp.tbl[[#This Row],[CrudeType]]="Crude",vp.tbl[[#This Row],[Dens]]&lt;=825,vp.tbl[[#This Row],[Sulf]]&gt;0.5,vp.tbl[[#This Row],[Unknown]]=0),1,0)</f>
        <v>0</v>
      </c>
      <c r="AA1720">
        <f>IF(AND(vp.tbl[[#This Row],[CrudeType]]="Crude",vp.tbl[[#This Row],[Dens]]&lt;=825,vp.tbl[[#This Row],[Sulf]]&lt;=0.5,vp.tbl[[#This Row],[Unknown]]=0),1,0)</f>
        <v>0</v>
      </c>
      <c r="AB1720">
        <f>IF(AND(vp.tbl[[#This Row],[CrudeType]]="Crude",vp.tbl[[#This Row],[Dens]]&gt;825,vp.tbl[[#This Row],[Dens]]&lt;=870,vp.tbl[[#This Row],[Sulf]]&gt;0.5,vp.tbl[[#This Row],[Unknown]]=0),1,0)</f>
        <v>0</v>
      </c>
      <c r="AC1720">
        <f>IF(AND(vp.tbl[[#This Row],[CrudeType]]="Crude",vp.tbl[[#This Row],[Dens]]&gt;825,vp.tbl[[#This Row],[Dens]]&lt;=900,vp.tbl[[#This Row],[Sulf]]&lt;=0.5,vp.tbl[[#This Row],[Unknown]]=0),1,0)</f>
        <v>0</v>
      </c>
      <c r="AD1720">
        <f>IF(AND(vp.tbl[[#This Row],[CrudeType]]="Crude",vp.tbl[[#This Row],[Dens]]&gt;870,vp.tbl[[#This Row],[Dens]]&lt;=900,vp.tbl[[#This Row],[Sulf]]&gt;0.5,vp.tbl[[#This Row],[Unknown]]=0),1,0)</f>
        <v>0</v>
      </c>
      <c r="AE1720">
        <f>IF(AND(vp.tbl[[#This Row],[CrudeType]]="Crude",vp.tbl[[#This Row],[Dens]]&gt;900,vp.tbl[[#This Row],[Sulf]]&lt;=0.5,vp.tbl[[#This Row],[Unknown]]=0),1,0)</f>
        <v>0</v>
      </c>
      <c r="AF1720">
        <f>IF(AND(vp.tbl[[#This Row],[CrudeType]]="Crude",vp.tbl[[#This Row],[Dens]]&gt;900,vp.tbl[[#This Row],[Sulf]]&lt;=0.5,vp.tbl[[#This Row],[Unknown]]=0),1,0)</f>
        <v>0</v>
      </c>
      <c r="AG1720" t="str">
        <f>INDEX(vp.tbl[[#Headers],[Unknown]:[Heavy_SW]],MATCH(1,vp.tbl[[#This Row],[Unknown]:[Heavy_SW]],0))</f>
        <v>Unknown</v>
      </c>
      <c r="AH1720" t="e">
        <f>INDEX([1]!crudeBD.lkup[Number],MATCH(vp.tbl[[#This Row],[Crude_Breakdown]],[1]!crudeBD.lkup[Crude Breakdown],0))</f>
        <v>#REF!</v>
      </c>
      <c r="AI1720">
        <f>MONTH(vp.tbl[[#This Row],[SDate]])</f>
        <v>6</v>
      </c>
      <c r="AJ1720" s="5" t="str">
        <f>IFERROR(vp.tbl[[#This Row],[Sulf]]*vp.tbl[[#This Row],[Net Dens]],"")</f>
        <v/>
      </c>
      <c r="AK1720" s="5" t="str">
        <f>IFERROR(vp.tbl[[#This Row],[Dens]]*vp.tbl[[#This Row],[VolumeM3]],"")</f>
        <v/>
      </c>
      <c r="AL1720" s="5" t="str">
        <f>IFERROR(vp.tbl[[#This Row],[VP]]*vp.tbl[[#This Row],[VolumeM3]],"")</f>
        <v/>
      </c>
      <c r="AM1720" s="4">
        <f>IFERROR((vp.tbl[[#This Row],[VP]]-INDEX(crudeBD.lkup.complete[Mean_VP],MATCH(vp.tbl[[#This Row],[Crude_Breakdown]],crudeBD.lkup.complete[Crude Breakdown],0)))^2,"")</f>
        <v>2.0373475323677156E-3</v>
      </c>
      <c r="AN1720" s="4" t="str">
        <f>IFERROR((vp.tbl[[#This Row],[Dens]]-INDEX(crudeBD.lkup.complete[Mean_Dens],MATCH(vp.tbl[[#This Row],[Crude_Breakdown]],crudeBD.lkup.complete[Crude Breakdown],0)))^2,"")</f>
        <v/>
      </c>
      <c r="AO1720" s="4" t="str">
        <f>IFERROR((vp.tbl[[#This Row],[Sulf]]-INDEX(crudeBD.lkup.complete[Mean_Sulf],MATCH(vp.tbl[[#This Row],[Crude_Breakdown]],crudeBD.lkup.complete[Crude Breakdown],0)))^2,"")</f>
        <v/>
      </c>
      <c r="AP1720">
        <f>IF(AND(vp.tbl[[#This Row],[SDate]]&gt;=DATE(YEAR(vp.tbl[[#This Row],[SDate]]),5,1),vp.tbl[[#This Row],[SDate]]&lt;=DATE(YEAR(vp.tbl[[#This Row],[SDate]]),9,15)),1,0)</f>
        <v>1</v>
      </c>
      <c r="AQ1720" s="15">
        <f>IF(vp.tbl[[#This Row],[SDate]]&lt;DATE(2016,12,1),0,1)</f>
        <v>1</v>
      </c>
    </row>
    <row r="1721" spans="1:43" x14ac:dyDescent="0.25">
      <c r="A1721">
        <v>1720</v>
      </c>
      <c r="B1721" t="s">
        <v>68</v>
      </c>
      <c r="C1721" t="s">
        <v>68</v>
      </c>
      <c r="D1721" t="s">
        <v>98</v>
      </c>
      <c r="F1721" s="1">
        <v>42914</v>
      </c>
      <c r="G1721" s="2">
        <v>58.9</v>
      </c>
      <c r="H1721" s="2"/>
      <c r="I1721" s="2" t="s">
        <v>310</v>
      </c>
      <c r="J1721" s="2"/>
      <c r="K1721" s="2"/>
      <c r="L1721" s="2"/>
      <c r="M1721" s="2" t="s">
        <v>310</v>
      </c>
      <c r="N1721" s="2">
        <f ca="1">INDEX(INDIRECT(_xlfn.CONCAT("weather.tbl[",N$1,"]")),MATCH(vp.tbl[[#This Row],[SDate]],weather.tbl[Date],0))</f>
        <v>16.833333333333332</v>
      </c>
      <c r="O1721" s="2">
        <f ca="1">INDEX(INDIRECT(_xlfn.CONCAT("weather.tbl[",O$1,"]")),MATCH(vp.tbl[[#This Row],[SDate]],weather.tbl[Date],0))</f>
        <v>14.397619047619045</v>
      </c>
      <c r="P1721" s="2">
        <f ca="1">INDEX(INDIRECT(_xlfn.CONCAT("weather.tbl[",P$1,"]")),MATCH(vp.tbl[[#This Row],[SDate]],weather.tbl[Date],0))</f>
        <v>16.8</v>
      </c>
      <c r="Q1721" s="2">
        <f ca="1">INDEX(INDIRECT(_xlfn.CONCAT("weather.tbl[",Q$1,"]")),MATCH(vp.tbl[[#This Row],[SDate]],weather.tbl[Date],0))</f>
        <v>15.2</v>
      </c>
      <c r="R1721" s="2">
        <f ca="1">INDEX(INDIRECT(_xlfn.CONCAT("weather.tbl[",R$1,"]")),MATCH(vp.tbl[[#This Row],[SDate]],weather.tbl[Date],0))</f>
        <v>17</v>
      </c>
      <c r="S1721" s="2">
        <f ca="1">INDEX(INDIRECT(_xlfn.CONCAT("weather.tbl[",S$1,"]")),MATCH(vp.tbl[[#This Row],[SDate]],weather.tbl[Date],0))</f>
        <v>16.2</v>
      </c>
      <c r="T1721" s="2">
        <f ca="1">INDEX(INDIRECT(_xlfn.CONCAT("weather.tbl[",T$1,"]")),MATCH(vp.tbl[[#This Row],[SDate]],weather.tbl[Date],0))</f>
        <v>19.5</v>
      </c>
      <c r="U1721" s="2">
        <f ca="1">INDEX(INDIRECT(_xlfn.CONCAT("weather.tbl[",U$1,"]")),MATCH(vp.tbl[[#This Row],[SDate]],weather.tbl[Date],0))</f>
        <v>16.3</v>
      </c>
      <c r="V1721" s="2" t="s">
        <v>310</v>
      </c>
      <c r="W1721" t="s">
        <v>48</v>
      </c>
      <c r="X1721">
        <f>IF(OR(vp.tbl[[#This Row],[Sulf]]="",vp.tbl[[#This Row],[Dens]]=""),1,0)</f>
        <v>1</v>
      </c>
      <c r="Y1721">
        <f>IF(vp.tbl[[#This Row],[CrudeType]]="C5+",1,0)</f>
        <v>0</v>
      </c>
      <c r="Z1721">
        <f>IF(AND(vp.tbl[[#This Row],[CrudeType]]="Crude",vp.tbl[[#This Row],[Dens]]&lt;=825,vp.tbl[[#This Row],[Sulf]]&gt;0.5,vp.tbl[[#This Row],[Unknown]]=0),1,0)</f>
        <v>0</v>
      </c>
      <c r="AA1721">
        <f>IF(AND(vp.tbl[[#This Row],[CrudeType]]="Crude",vp.tbl[[#This Row],[Dens]]&lt;=825,vp.tbl[[#This Row],[Sulf]]&lt;=0.5,vp.tbl[[#This Row],[Unknown]]=0),1,0)</f>
        <v>0</v>
      </c>
      <c r="AB1721">
        <f>IF(AND(vp.tbl[[#This Row],[CrudeType]]="Crude",vp.tbl[[#This Row],[Dens]]&gt;825,vp.tbl[[#This Row],[Dens]]&lt;=870,vp.tbl[[#This Row],[Sulf]]&gt;0.5,vp.tbl[[#This Row],[Unknown]]=0),1,0)</f>
        <v>0</v>
      </c>
      <c r="AC1721">
        <f>IF(AND(vp.tbl[[#This Row],[CrudeType]]="Crude",vp.tbl[[#This Row],[Dens]]&gt;825,vp.tbl[[#This Row],[Dens]]&lt;=900,vp.tbl[[#This Row],[Sulf]]&lt;=0.5,vp.tbl[[#This Row],[Unknown]]=0),1,0)</f>
        <v>0</v>
      </c>
      <c r="AD1721">
        <f>IF(AND(vp.tbl[[#This Row],[CrudeType]]="Crude",vp.tbl[[#This Row],[Dens]]&gt;870,vp.tbl[[#This Row],[Dens]]&lt;=900,vp.tbl[[#This Row],[Sulf]]&gt;0.5,vp.tbl[[#This Row],[Unknown]]=0),1,0)</f>
        <v>0</v>
      </c>
      <c r="AE1721">
        <f>IF(AND(vp.tbl[[#This Row],[CrudeType]]="Crude",vp.tbl[[#This Row],[Dens]]&gt;900,vp.tbl[[#This Row],[Sulf]]&lt;=0.5,vp.tbl[[#This Row],[Unknown]]=0),1,0)</f>
        <v>0</v>
      </c>
      <c r="AF1721">
        <f>IF(AND(vp.tbl[[#This Row],[CrudeType]]="Crude",vp.tbl[[#This Row],[Dens]]&gt;900,vp.tbl[[#This Row],[Sulf]]&lt;=0.5,vp.tbl[[#This Row],[Unknown]]=0),1,0)</f>
        <v>0</v>
      </c>
      <c r="AG1721" t="str">
        <f>INDEX(vp.tbl[[#Headers],[Unknown]:[Heavy_SW]],MATCH(1,vp.tbl[[#This Row],[Unknown]:[Heavy_SW]],0))</f>
        <v>Unknown</v>
      </c>
      <c r="AH1721" t="e">
        <f>INDEX([1]!crudeBD.lkup[Number],MATCH(vp.tbl[[#This Row],[Crude_Breakdown]],[1]!crudeBD.lkup[Crude Breakdown],0))</f>
        <v>#REF!</v>
      </c>
      <c r="AI1721">
        <f>MONTH(vp.tbl[[#This Row],[SDate]])</f>
        <v>6</v>
      </c>
      <c r="AJ1721" s="5" t="str">
        <f>IFERROR(vp.tbl[[#This Row],[Sulf]]*vp.tbl[[#This Row],[Net Dens]],"")</f>
        <v/>
      </c>
      <c r="AK1721" s="5" t="str">
        <f>IFERROR(vp.tbl[[#This Row],[Dens]]*vp.tbl[[#This Row],[VolumeM3]],"")</f>
        <v/>
      </c>
      <c r="AL1721" s="5" t="str">
        <f>IFERROR(vp.tbl[[#This Row],[VP]]*vp.tbl[[#This Row],[VolumeM3]],"")</f>
        <v/>
      </c>
      <c r="AM1721" s="4">
        <f>IFERROR((vp.tbl[[#This Row],[VP]]-INDEX(crudeBD.lkup.complete[Mean_VP],MATCH(vp.tbl[[#This Row],[Crude_Breakdown]],crudeBD.lkup.complete[Crude Breakdown],0)))^2,"")</f>
        <v>223.35711953931238</v>
      </c>
      <c r="AN1721" s="4" t="str">
        <f>IFERROR((vp.tbl[[#This Row],[Dens]]-INDEX(crudeBD.lkup.complete[Mean_Dens],MATCH(vp.tbl[[#This Row],[Crude_Breakdown]],crudeBD.lkup.complete[Crude Breakdown],0)))^2,"")</f>
        <v/>
      </c>
      <c r="AO1721" s="4" t="str">
        <f>IFERROR((vp.tbl[[#This Row],[Sulf]]-INDEX(crudeBD.lkup.complete[Mean_Sulf],MATCH(vp.tbl[[#This Row],[Crude_Breakdown]],crudeBD.lkup.complete[Crude Breakdown],0)))^2,"")</f>
        <v/>
      </c>
      <c r="AP1721">
        <f>IF(AND(vp.tbl[[#This Row],[SDate]]&gt;=DATE(YEAR(vp.tbl[[#This Row],[SDate]]),5,1),vp.tbl[[#This Row],[SDate]]&lt;=DATE(YEAR(vp.tbl[[#This Row],[SDate]]),9,15)),1,0)</f>
        <v>1</v>
      </c>
      <c r="AQ1721" s="15">
        <f>IF(vp.tbl[[#This Row],[SDate]]&lt;DATE(2016,12,1),0,1)</f>
        <v>1</v>
      </c>
    </row>
    <row r="1722" spans="1:43" x14ac:dyDescent="0.25">
      <c r="A1722">
        <v>1721</v>
      </c>
      <c r="B1722" t="s">
        <v>68</v>
      </c>
      <c r="C1722" t="s">
        <v>68</v>
      </c>
      <c r="D1722" t="s">
        <v>110</v>
      </c>
      <c r="F1722" s="1">
        <v>42914</v>
      </c>
      <c r="G1722" s="2">
        <v>64.3</v>
      </c>
      <c r="H1722" s="2"/>
      <c r="I1722" s="2" t="s">
        <v>310</v>
      </c>
      <c r="J1722" s="2"/>
      <c r="K1722" s="2"/>
      <c r="L1722" s="2"/>
      <c r="M1722" s="2" t="s">
        <v>310</v>
      </c>
      <c r="N1722" s="2">
        <f ca="1">INDEX(INDIRECT(_xlfn.CONCAT("weather.tbl[",N$1,"]")),MATCH(vp.tbl[[#This Row],[SDate]],weather.tbl[Date],0))</f>
        <v>16.833333333333332</v>
      </c>
      <c r="O1722" s="2">
        <f ca="1">INDEX(INDIRECT(_xlfn.CONCAT("weather.tbl[",O$1,"]")),MATCH(vp.tbl[[#This Row],[SDate]],weather.tbl[Date],0))</f>
        <v>14.397619047619045</v>
      </c>
      <c r="P1722" s="2">
        <f ca="1">INDEX(INDIRECT(_xlfn.CONCAT("weather.tbl[",P$1,"]")),MATCH(vp.tbl[[#This Row],[SDate]],weather.tbl[Date],0))</f>
        <v>16.8</v>
      </c>
      <c r="Q1722" s="2">
        <f ca="1">INDEX(INDIRECT(_xlfn.CONCAT("weather.tbl[",Q$1,"]")),MATCH(vp.tbl[[#This Row],[SDate]],weather.tbl[Date],0))</f>
        <v>15.2</v>
      </c>
      <c r="R1722" s="2">
        <f ca="1">INDEX(INDIRECT(_xlfn.CONCAT("weather.tbl[",R$1,"]")),MATCH(vp.tbl[[#This Row],[SDate]],weather.tbl[Date],0))</f>
        <v>17</v>
      </c>
      <c r="S1722" s="2">
        <f ca="1">INDEX(INDIRECT(_xlfn.CONCAT("weather.tbl[",S$1,"]")),MATCH(vp.tbl[[#This Row],[SDate]],weather.tbl[Date],0))</f>
        <v>16.2</v>
      </c>
      <c r="T1722" s="2">
        <f ca="1">INDEX(INDIRECT(_xlfn.CONCAT("weather.tbl[",T$1,"]")),MATCH(vp.tbl[[#This Row],[SDate]],weather.tbl[Date],0))</f>
        <v>19.5</v>
      </c>
      <c r="U1722" s="2">
        <f ca="1">INDEX(INDIRECT(_xlfn.CONCAT("weather.tbl[",U$1,"]")),MATCH(vp.tbl[[#This Row],[SDate]],weather.tbl[Date],0))</f>
        <v>16.3</v>
      </c>
      <c r="V1722" s="2" t="s">
        <v>310</v>
      </c>
      <c r="W1722" t="s">
        <v>48</v>
      </c>
      <c r="X1722">
        <f>IF(OR(vp.tbl[[#This Row],[Sulf]]="",vp.tbl[[#This Row],[Dens]]=""),1,0)</f>
        <v>1</v>
      </c>
      <c r="Y1722">
        <f>IF(vp.tbl[[#This Row],[CrudeType]]="C5+",1,0)</f>
        <v>0</v>
      </c>
      <c r="Z1722">
        <f>IF(AND(vp.tbl[[#This Row],[CrudeType]]="Crude",vp.tbl[[#This Row],[Dens]]&lt;=825,vp.tbl[[#This Row],[Sulf]]&gt;0.5,vp.tbl[[#This Row],[Unknown]]=0),1,0)</f>
        <v>0</v>
      </c>
      <c r="AA1722">
        <f>IF(AND(vp.tbl[[#This Row],[CrudeType]]="Crude",vp.tbl[[#This Row],[Dens]]&lt;=825,vp.tbl[[#This Row],[Sulf]]&lt;=0.5,vp.tbl[[#This Row],[Unknown]]=0),1,0)</f>
        <v>0</v>
      </c>
      <c r="AB1722">
        <f>IF(AND(vp.tbl[[#This Row],[CrudeType]]="Crude",vp.tbl[[#This Row],[Dens]]&gt;825,vp.tbl[[#This Row],[Dens]]&lt;=870,vp.tbl[[#This Row],[Sulf]]&gt;0.5,vp.tbl[[#This Row],[Unknown]]=0),1,0)</f>
        <v>0</v>
      </c>
      <c r="AC1722">
        <f>IF(AND(vp.tbl[[#This Row],[CrudeType]]="Crude",vp.tbl[[#This Row],[Dens]]&gt;825,vp.tbl[[#This Row],[Dens]]&lt;=900,vp.tbl[[#This Row],[Sulf]]&lt;=0.5,vp.tbl[[#This Row],[Unknown]]=0),1,0)</f>
        <v>0</v>
      </c>
      <c r="AD1722">
        <f>IF(AND(vp.tbl[[#This Row],[CrudeType]]="Crude",vp.tbl[[#This Row],[Dens]]&gt;870,vp.tbl[[#This Row],[Dens]]&lt;=900,vp.tbl[[#This Row],[Sulf]]&gt;0.5,vp.tbl[[#This Row],[Unknown]]=0),1,0)</f>
        <v>0</v>
      </c>
      <c r="AE1722">
        <f>IF(AND(vp.tbl[[#This Row],[CrudeType]]="Crude",vp.tbl[[#This Row],[Dens]]&gt;900,vp.tbl[[#This Row],[Sulf]]&lt;=0.5,vp.tbl[[#This Row],[Unknown]]=0),1,0)</f>
        <v>0</v>
      </c>
      <c r="AF1722">
        <f>IF(AND(vp.tbl[[#This Row],[CrudeType]]="Crude",vp.tbl[[#This Row],[Dens]]&gt;900,vp.tbl[[#This Row],[Sulf]]&lt;=0.5,vp.tbl[[#This Row],[Unknown]]=0),1,0)</f>
        <v>0</v>
      </c>
      <c r="AG1722" t="str">
        <f>INDEX(vp.tbl[[#Headers],[Unknown]:[Heavy_SW]],MATCH(1,vp.tbl[[#This Row],[Unknown]:[Heavy_SW]],0))</f>
        <v>Unknown</v>
      </c>
      <c r="AH1722" t="e">
        <f>INDEX([1]!crudeBD.lkup[Number],MATCH(vp.tbl[[#This Row],[Crude_Breakdown]],[1]!crudeBD.lkup[Crude Breakdown],0))</f>
        <v>#REF!</v>
      </c>
      <c r="AI1722">
        <f>MONTH(vp.tbl[[#This Row],[SDate]])</f>
        <v>6</v>
      </c>
      <c r="AJ1722" s="5" t="str">
        <f>IFERROR(vp.tbl[[#This Row],[Sulf]]*vp.tbl[[#This Row],[Net Dens]],"")</f>
        <v/>
      </c>
      <c r="AK1722" s="5" t="str">
        <f>IFERROR(vp.tbl[[#This Row],[Dens]]*vp.tbl[[#This Row],[VolumeM3]],"")</f>
        <v/>
      </c>
      <c r="AL1722" s="5" t="str">
        <f>IFERROR(vp.tbl[[#This Row],[VP]]*vp.tbl[[#This Row],[VolumeM3]],"")</f>
        <v/>
      </c>
      <c r="AM1722" s="4">
        <f>IFERROR((vp.tbl[[#This Row],[VP]]-INDEX(crudeBD.lkup.complete[Mean_VP],MATCH(vp.tbl[[#This Row],[Crude_Breakdown]],crudeBD.lkup.complete[Crude Breakdown],0)))^2,"")</f>
        <v>91.109640087257901</v>
      </c>
      <c r="AN1722" s="4" t="str">
        <f>IFERROR((vp.tbl[[#This Row],[Dens]]-INDEX(crudeBD.lkup.complete[Mean_Dens],MATCH(vp.tbl[[#This Row],[Crude_Breakdown]],crudeBD.lkup.complete[Crude Breakdown],0)))^2,"")</f>
        <v/>
      </c>
      <c r="AO1722" s="4" t="str">
        <f>IFERROR((vp.tbl[[#This Row],[Sulf]]-INDEX(crudeBD.lkup.complete[Mean_Sulf],MATCH(vp.tbl[[#This Row],[Crude_Breakdown]],crudeBD.lkup.complete[Crude Breakdown],0)))^2,"")</f>
        <v/>
      </c>
      <c r="AP1722">
        <f>IF(AND(vp.tbl[[#This Row],[SDate]]&gt;=DATE(YEAR(vp.tbl[[#This Row],[SDate]]),5,1),vp.tbl[[#This Row],[SDate]]&lt;=DATE(YEAR(vp.tbl[[#This Row],[SDate]]),9,15)),1,0)</f>
        <v>1</v>
      </c>
      <c r="AQ1722" s="15">
        <f>IF(vp.tbl[[#This Row],[SDate]]&lt;DATE(2016,12,1),0,1)</f>
        <v>1</v>
      </c>
    </row>
    <row r="1723" spans="1:43" x14ac:dyDescent="0.25">
      <c r="A1723">
        <v>1722</v>
      </c>
      <c r="B1723" t="s">
        <v>49</v>
      </c>
      <c r="C1723" t="s">
        <v>49</v>
      </c>
      <c r="D1723" t="s">
        <v>90</v>
      </c>
      <c r="F1723" s="1">
        <v>42914</v>
      </c>
      <c r="G1723" s="2">
        <v>63</v>
      </c>
      <c r="H1723" s="2"/>
      <c r="I1723" s="2" t="s">
        <v>310</v>
      </c>
      <c r="J1723" s="2"/>
      <c r="K1723" s="2"/>
      <c r="L1723" s="2"/>
      <c r="M1723" s="2" t="s">
        <v>310</v>
      </c>
      <c r="N1723" s="2">
        <f ca="1">INDEX(INDIRECT(_xlfn.CONCAT("weather.tbl[",N$1,"]")),MATCH(vp.tbl[[#This Row],[SDate]],weather.tbl[Date],0))</f>
        <v>16.833333333333332</v>
      </c>
      <c r="O1723" s="2">
        <f ca="1">INDEX(INDIRECT(_xlfn.CONCAT("weather.tbl[",O$1,"]")),MATCH(vp.tbl[[#This Row],[SDate]],weather.tbl[Date],0))</f>
        <v>14.397619047619045</v>
      </c>
      <c r="P1723" s="2">
        <f ca="1">INDEX(INDIRECT(_xlfn.CONCAT("weather.tbl[",P$1,"]")),MATCH(vp.tbl[[#This Row],[SDate]],weather.tbl[Date],0))</f>
        <v>16.8</v>
      </c>
      <c r="Q1723" s="2">
        <f ca="1">INDEX(INDIRECT(_xlfn.CONCAT("weather.tbl[",Q$1,"]")),MATCH(vp.tbl[[#This Row],[SDate]],weather.tbl[Date],0))</f>
        <v>15.2</v>
      </c>
      <c r="R1723" s="2">
        <f ca="1">INDEX(INDIRECT(_xlfn.CONCAT("weather.tbl[",R$1,"]")),MATCH(vp.tbl[[#This Row],[SDate]],weather.tbl[Date],0))</f>
        <v>17</v>
      </c>
      <c r="S1723" s="2">
        <f ca="1">INDEX(INDIRECT(_xlfn.CONCAT("weather.tbl[",S$1,"]")),MATCH(vp.tbl[[#This Row],[SDate]],weather.tbl[Date],0))</f>
        <v>16.2</v>
      </c>
      <c r="T1723" s="2">
        <f ca="1">INDEX(INDIRECT(_xlfn.CONCAT("weather.tbl[",T$1,"]")),MATCH(vp.tbl[[#This Row],[SDate]],weather.tbl[Date],0))</f>
        <v>19.5</v>
      </c>
      <c r="U1723" s="2">
        <f ca="1">INDEX(INDIRECT(_xlfn.CONCAT("weather.tbl[",U$1,"]")),MATCH(vp.tbl[[#This Row],[SDate]],weather.tbl[Date],0))</f>
        <v>16.3</v>
      </c>
      <c r="V1723" s="2" t="s">
        <v>310</v>
      </c>
      <c r="W1723" t="s">
        <v>48</v>
      </c>
      <c r="X1723">
        <f>IF(OR(vp.tbl[[#This Row],[Sulf]]="",vp.tbl[[#This Row],[Dens]]=""),1,0)</f>
        <v>1</v>
      </c>
      <c r="Y1723">
        <f>IF(vp.tbl[[#This Row],[CrudeType]]="C5+",1,0)</f>
        <v>0</v>
      </c>
      <c r="Z1723">
        <f>IF(AND(vp.tbl[[#This Row],[CrudeType]]="Crude",vp.tbl[[#This Row],[Dens]]&lt;=825,vp.tbl[[#This Row],[Sulf]]&gt;0.5,vp.tbl[[#This Row],[Unknown]]=0),1,0)</f>
        <v>0</v>
      </c>
      <c r="AA1723">
        <f>IF(AND(vp.tbl[[#This Row],[CrudeType]]="Crude",vp.tbl[[#This Row],[Dens]]&lt;=825,vp.tbl[[#This Row],[Sulf]]&lt;=0.5,vp.tbl[[#This Row],[Unknown]]=0),1,0)</f>
        <v>0</v>
      </c>
      <c r="AB1723">
        <f>IF(AND(vp.tbl[[#This Row],[CrudeType]]="Crude",vp.tbl[[#This Row],[Dens]]&gt;825,vp.tbl[[#This Row],[Dens]]&lt;=870,vp.tbl[[#This Row],[Sulf]]&gt;0.5,vp.tbl[[#This Row],[Unknown]]=0),1,0)</f>
        <v>0</v>
      </c>
      <c r="AC1723">
        <f>IF(AND(vp.tbl[[#This Row],[CrudeType]]="Crude",vp.tbl[[#This Row],[Dens]]&gt;825,vp.tbl[[#This Row],[Dens]]&lt;=900,vp.tbl[[#This Row],[Sulf]]&lt;=0.5,vp.tbl[[#This Row],[Unknown]]=0),1,0)</f>
        <v>0</v>
      </c>
      <c r="AD1723">
        <f>IF(AND(vp.tbl[[#This Row],[CrudeType]]="Crude",vp.tbl[[#This Row],[Dens]]&gt;870,vp.tbl[[#This Row],[Dens]]&lt;=900,vp.tbl[[#This Row],[Sulf]]&gt;0.5,vp.tbl[[#This Row],[Unknown]]=0),1,0)</f>
        <v>0</v>
      </c>
      <c r="AE1723">
        <f>IF(AND(vp.tbl[[#This Row],[CrudeType]]="Crude",vp.tbl[[#This Row],[Dens]]&gt;900,vp.tbl[[#This Row],[Sulf]]&lt;=0.5,vp.tbl[[#This Row],[Unknown]]=0),1,0)</f>
        <v>0</v>
      </c>
      <c r="AF1723">
        <f>IF(AND(vp.tbl[[#This Row],[CrudeType]]="Crude",vp.tbl[[#This Row],[Dens]]&gt;900,vp.tbl[[#This Row],[Sulf]]&lt;=0.5,vp.tbl[[#This Row],[Unknown]]=0),1,0)</f>
        <v>0</v>
      </c>
      <c r="AG1723" t="str">
        <f>INDEX(vp.tbl[[#Headers],[Unknown]:[Heavy_SW]],MATCH(1,vp.tbl[[#This Row],[Unknown]:[Heavy_SW]],0))</f>
        <v>Unknown</v>
      </c>
      <c r="AH1723" t="e">
        <f>INDEX([1]!crudeBD.lkup[Number],MATCH(vp.tbl[[#This Row],[Crude_Breakdown]],[1]!crudeBD.lkup[Crude Breakdown],0))</f>
        <v>#REF!</v>
      </c>
      <c r="AI1723">
        <f>MONTH(vp.tbl[[#This Row],[SDate]])</f>
        <v>6</v>
      </c>
      <c r="AJ1723" s="5" t="str">
        <f>IFERROR(vp.tbl[[#This Row],[Sulf]]*vp.tbl[[#This Row],[Net Dens]],"")</f>
        <v/>
      </c>
      <c r="AK1723" s="5" t="str">
        <f>IFERROR(vp.tbl[[#This Row],[Dens]]*vp.tbl[[#This Row],[VolumeM3]],"")</f>
        <v/>
      </c>
      <c r="AL1723" s="5" t="str">
        <f>IFERROR(vp.tbl[[#This Row],[VP]]*vp.tbl[[#This Row],[VolumeM3]],"")</f>
        <v/>
      </c>
      <c r="AM1723" s="4">
        <f>IFERROR((vp.tbl[[#This Row],[VP]]-INDEX(crudeBD.lkup.complete[Mean_VP],MATCH(vp.tbl[[#This Row],[Crude_Breakdown]],crudeBD.lkup.complete[Crude Breakdown],0)))^2,"")</f>
        <v>117.61699625164134</v>
      </c>
      <c r="AN1723" s="4" t="str">
        <f>IFERROR((vp.tbl[[#This Row],[Dens]]-INDEX(crudeBD.lkup.complete[Mean_Dens],MATCH(vp.tbl[[#This Row],[Crude_Breakdown]],crudeBD.lkup.complete[Crude Breakdown],0)))^2,"")</f>
        <v/>
      </c>
      <c r="AO1723" s="4" t="str">
        <f>IFERROR((vp.tbl[[#This Row],[Sulf]]-INDEX(crudeBD.lkup.complete[Mean_Sulf],MATCH(vp.tbl[[#This Row],[Crude_Breakdown]],crudeBD.lkup.complete[Crude Breakdown],0)))^2,"")</f>
        <v/>
      </c>
      <c r="AP1723">
        <f>IF(AND(vp.tbl[[#This Row],[SDate]]&gt;=DATE(YEAR(vp.tbl[[#This Row],[SDate]]),5,1),vp.tbl[[#This Row],[SDate]]&lt;=DATE(YEAR(vp.tbl[[#This Row],[SDate]]),9,15)),1,0)</f>
        <v>1</v>
      </c>
      <c r="AQ1723" s="15">
        <f>IF(vp.tbl[[#This Row],[SDate]]&lt;DATE(2016,12,1),0,1)</f>
        <v>1</v>
      </c>
    </row>
    <row r="1724" spans="1:43" x14ac:dyDescent="0.25">
      <c r="A1724">
        <v>1723</v>
      </c>
      <c r="B1724" t="s">
        <v>46</v>
      </c>
      <c r="C1724" t="s">
        <v>46</v>
      </c>
      <c r="D1724" t="s">
        <v>47</v>
      </c>
      <c r="F1724" s="1">
        <v>42914</v>
      </c>
      <c r="G1724" s="2">
        <v>53</v>
      </c>
      <c r="H1724" s="2"/>
      <c r="I1724" s="2" t="s">
        <v>310</v>
      </c>
      <c r="J1724" s="2"/>
      <c r="K1724" s="2"/>
      <c r="L1724" s="2"/>
      <c r="M1724" s="2" t="s">
        <v>310</v>
      </c>
      <c r="N1724" s="2">
        <f ca="1">INDEX(INDIRECT(_xlfn.CONCAT("weather.tbl[",N$1,"]")),MATCH(vp.tbl[[#This Row],[SDate]],weather.tbl[Date],0))</f>
        <v>16.833333333333332</v>
      </c>
      <c r="O1724" s="2">
        <f ca="1">INDEX(INDIRECT(_xlfn.CONCAT("weather.tbl[",O$1,"]")),MATCH(vp.tbl[[#This Row],[SDate]],weather.tbl[Date],0))</f>
        <v>14.397619047619045</v>
      </c>
      <c r="P1724" s="2">
        <f ca="1">INDEX(INDIRECT(_xlfn.CONCAT("weather.tbl[",P$1,"]")),MATCH(vp.tbl[[#This Row],[SDate]],weather.tbl[Date],0))</f>
        <v>16.8</v>
      </c>
      <c r="Q1724" s="2">
        <f ca="1">INDEX(INDIRECT(_xlfn.CONCAT("weather.tbl[",Q$1,"]")),MATCH(vp.tbl[[#This Row],[SDate]],weather.tbl[Date],0))</f>
        <v>15.2</v>
      </c>
      <c r="R1724" s="2">
        <f ca="1">INDEX(INDIRECT(_xlfn.CONCAT("weather.tbl[",R$1,"]")),MATCH(vp.tbl[[#This Row],[SDate]],weather.tbl[Date],0))</f>
        <v>17</v>
      </c>
      <c r="S1724" s="2">
        <f ca="1">INDEX(INDIRECT(_xlfn.CONCAT("weather.tbl[",S$1,"]")),MATCH(vp.tbl[[#This Row],[SDate]],weather.tbl[Date],0))</f>
        <v>16.2</v>
      </c>
      <c r="T1724" s="2">
        <f ca="1">INDEX(INDIRECT(_xlfn.CONCAT("weather.tbl[",T$1,"]")),MATCH(vp.tbl[[#This Row],[SDate]],weather.tbl[Date],0))</f>
        <v>19.5</v>
      </c>
      <c r="U1724" s="2">
        <f ca="1">INDEX(INDIRECT(_xlfn.CONCAT("weather.tbl[",U$1,"]")),MATCH(vp.tbl[[#This Row],[SDate]],weather.tbl[Date],0))</f>
        <v>16.3</v>
      </c>
      <c r="V1724" s="2" t="s">
        <v>310</v>
      </c>
      <c r="W1724" t="s">
        <v>48</v>
      </c>
      <c r="X1724">
        <f>IF(OR(vp.tbl[[#This Row],[Sulf]]="",vp.tbl[[#This Row],[Dens]]=""),1,0)</f>
        <v>1</v>
      </c>
      <c r="Y1724">
        <f>IF(vp.tbl[[#This Row],[CrudeType]]="C5+",1,0)</f>
        <v>0</v>
      </c>
      <c r="Z1724">
        <f>IF(AND(vp.tbl[[#This Row],[CrudeType]]="Crude",vp.tbl[[#This Row],[Dens]]&lt;=825,vp.tbl[[#This Row],[Sulf]]&gt;0.5,vp.tbl[[#This Row],[Unknown]]=0),1,0)</f>
        <v>0</v>
      </c>
      <c r="AA1724">
        <f>IF(AND(vp.tbl[[#This Row],[CrudeType]]="Crude",vp.tbl[[#This Row],[Dens]]&lt;=825,vp.tbl[[#This Row],[Sulf]]&lt;=0.5,vp.tbl[[#This Row],[Unknown]]=0),1,0)</f>
        <v>0</v>
      </c>
      <c r="AB1724">
        <f>IF(AND(vp.tbl[[#This Row],[CrudeType]]="Crude",vp.tbl[[#This Row],[Dens]]&gt;825,vp.tbl[[#This Row],[Dens]]&lt;=870,vp.tbl[[#This Row],[Sulf]]&gt;0.5,vp.tbl[[#This Row],[Unknown]]=0),1,0)</f>
        <v>0</v>
      </c>
      <c r="AC1724">
        <f>IF(AND(vp.tbl[[#This Row],[CrudeType]]="Crude",vp.tbl[[#This Row],[Dens]]&gt;825,vp.tbl[[#This Row],[Dens]]&lt;=900,vp.tbl[[#This Row],[Sulf]]&lt;=0.5,vp.tbl[[#This Row],[Unknown]]=0),1,0)</f>
        <v>0</v>
      </c>
      <c r="AD1724">
        <f>IF(AND(vp.tbl[[#This Row],[CrudeType]]="Crude",vp.tbl[[#This Row],[Dens]]&gt;870,vp.tbl[[#This Row],[Dens]]&lt;=900,vp.tbl[[#This Row],[Sulf]]&gt;0.5,vp.tbl[[#This Row],[Unknown]]=0),1,0)</f>
        <v>0</v>
      </c>
      <c r="AE1724">
        <f>IF(AND(vp.tbl[[#This Row],[CrudeType]]="Crude",vp.tbl[[#This Row],[Dens]]&gt;900,vp.tbl[[#This Row],[Sulf]]&lt;=0.5,vp.tbl[[#This Row],[Unknown]]=0),1,0)</f>
        <v>0</v>
      </c>
      <c r="AF1724">
        <f>IF(AND(vp.tbl[[#This Row],[CrudeType]]="Crude",vp.tbl[[#This Row],[Dens]]&gt;900,vp.tbl[[#This Row],[Sulf]]&lt;=0.5,vp.tbl[[#This Row],[Unknown]]=0),1,0)</f>
        <v>0</v>
      </c>
      <c r="AG1724" t="str">
        <f>INDEX(vp.tbl[[#Headers],[Unknown]:[Heavy_SW]],MATCH(1,vp.tbl[[#This Row],[Unknown]:[Heavy_SW]],0))</f>
        <v>Unknown</v>
      </c>
      <c r="AH1724" t="e">
        <f>INDEX([1]!crudeBD.lkup[Number],MATCH(vp.tbl[[#This Row],[Crude_Breakdown]],[1]!crudeBD.lkup[Crude Breakdown],0))</f>
        <v>#REF!</v>
      </c>
      <c r="AI1724">
        <f>MONTH(vp.tbl[[#This Row],[SDate]])</f>
        <v>6</v>
      </c>
      <c r="AJ1724" s="5" t="str">
        <f>IFERROR(vp.tbl[[#This Row],[Sulf]]*vp.tbl[[#This Row],[Net Dens]],"")</f>
        <v/>
      </c>
      <c r="AK1724" s="5" t="str">
        <f>IFERROR(vp.tbl[[#This Row],[Dens]]*vp.tbl[[#This Row],[VolumeM3]],"")</f>
        <v/>
      </c>
      <c r="AL1724" s="5" t="str">
        <f>IFERROR(vp.tbl[[#This Row],[VP]]*vp.tbl[[#This Row],[VolumeM3]],"")</f>
        <v/>
      </c>
      <c r="AM1724" s="4">
        <f>IFERROR((vp.tbl[[#This Row],[VP]]-INDEX(crudeBD.lkup.complete[Mean_VP],MATCH(vp.tbl[[#This Row],[Crude_Breakdown]],crudeBD.lkup.complete[Crude Breakdown],0)))^2,"")</f>
        <v>434.51973597766818</v>
      </c>
      <c r="AN1724" s="4" t="str">
        <f>IFERROR((vp.tbl[[#This Row],[Dens]]-INDEX(crudeBD.lkup.complete[Mean_Dens],MATCH(vp.tbl[[#This Row],[Crude_Breakdown]],crudeBD.lkup.complete[Crude Breakdown],0)))^2,"")</f>
        <v/>
      </c>
      <c r="AO1724" s="4" t="str">
        <f>IFERROR((vp.tbl[[#This Row],[Sulf]]-INDEX(crudeBD.lkup.complete[Mean_Sulf],MATCH(vp.tbl[[#This Row],[Crude_Breakdown]],crudeBD.lkup.complete[Crude Breakdown],0)))^2,"")</f>
        <v/>
      </c>
      <c r="AP1724">
        <f>IF(AND(vp.tbl[[#This Row],[SDate]]&gt;=DATE(YEAR(vp.tbl[[#This Row],[SDate]]),5,1),vp.tbl[[#This Row],[SDate]]&lt;=DATE(YEAR(vp.tbl[[#This Row],[SDate]]),9,15)),1,0)</f>
        <v>1</v>
      </c>
      <c r="AQ1724" s="15">
        <f>IF(vp.tbl[[#This Row],[SDate]]&lt;DATE(2016,12,1),0,1)</f>
        <v>1</v>
      </c>
    </row>
    <row r="1725" spans="1:43" x14ac:dyDescent="0.25">
      <c r="A1725">
        <v>1724</v>
      </c>
      <c r="B1725" t="s">
        <v>51</v>
      </c>
      <c r="C1725" t="s">
        <v>51</v>
      </c>
      <c r="D1725" t="s">
        <v>52</v>
      </c>
      <c r="F1725" s="1">
        <v>42914</v>
      </c>
      <c r="G1725" s="2">
        <v>65.900000000000006</v>
      </c>
      <c r="H1725" s="2"/>
      <c r="I1725" s="2" t="s">
        <v>310</v>
      </c>
      <c r="J1725" s="2"/>
      <c r="K1725" s="2"/>
      <c r="L1725" s="2"/>
      <c r="M1725" s="2" t="s">
        <v>310</v>
      </c>
      <c r="N1725" s="2">
        <f ca="1">INDEX(INDIRECT(_xlfn.CONCAT("weather.tbl[",N$1,"]")),MATCH(vp.tbl[[#This Row],[SDate]],weather.tbl[Date],0))</f>
        <v>16.833333333333332</v>
      </c>
      <c r="O1725" s="2">
        <f ca="1">INDEX(INDIRECT(_xlfn.CONCAT("weather.tbl[",O$1,"]")),MATCH(vp.tbl[[#This Row],[SDate]],weather.tbl[Date],0))</f>
        <v>14.397619047619045</v>
      </c>
      <c r="P1725" s="2">
        <f ca="1">INDEX(INDIRECT(_xlfn.CONCAT("weather.tbl[",P$1,"]")),MATCH(vp.tbl[[#This Row],[SDate]],weather.tbl[Date],0))</f>
        <v>16.8</v>
      </c>
      <c r="Q1725" s="2">
        <f ca="1">INDEX(INDIRECT(_xlfn.CONCAT("weather.tbl[",Q$1,"]")),MATCH(vp.tbl[[#This Row],[SDate]],weather.tbl[Date],0))</f>
        <v>15.2</v>
      </c>
      <c r="R1725" s="2">
        <f ca="1">INDEX(INDIRECT(_xlfn.CONCAT("weather.tbl[",R$1,"]")),MATCH(vp.tbl[[#This Row],[SDate]],weather.tbl[Date],0))</f>
        <v>17</v>
      </c>
      <c r="S1725" s="2">
        <f ca="1">INDEX(INDIRECT(_xlfn.CONCAT("weather.tbl[",S$1,"]")),MATCH(vp.tbl[[#This Row],[SDate]],weather.tbl[Date],0))</f>
        <v>16.2</v>
      </c>
      <c r="T1725" s="2">
        <f ca="1">INDEX(INDIRECT(_xlfn.CONCAT("weather.tbl[",T$1,"]")),MATCH(vp.tbl[[#This Row],[SDate]],weather.tbl[Date],0))</f>
        <v>19.5</v>
      </c>
      <c r="U1725" s="2">
        <f ca="1">INDEX(INDIRECT(_xlfn.CONCAT("weather.tbl[",U$1,"]")),MATCH(vp.tbl[[#This Row],[SDate]],weather.tbl[Date],0))</f>
        <v>16.3</v>
      </c>
      <c r="V1725" s="2" t="s">
        <v>310</v>
      </c>
      <c r="W1725" t="s">
        <v>48</v>
      </c>
      <c r="X1725">
        <f>IF(OR(vp.tbl[[#This Row],[Sulf]]="",vp.tbl[[#This Row],[Dens]]=""),1,0)</f>
        <v>1</v>
      </c>
      <c r="Y1725">
        <f>IF(vp.tbl[[#This Row],[CrudeType]]="C5+",1,0)</f>
        <v>0</v>
      </c>
      <c r="Z1725">
        <f>IF(AND(vp.tbl[[#This Row],[CrudeType]]="Crude",vp.tbl[[#This Row],[Dens]]&lt;=825,vp.tbl[[#This Row],[Sulf]]&gt;0.5,vp.tbl[[#This Row],[Unknown]]=0),1,0)</f>
        <v>0</v>
      </c>
      <c r="AA1725">
        <f>IF(AND(vp.tbl[[#This Row],[CrudeType]]="Crude",vp.tbl[[#This Row],[Dens]]&lt;=825,vp.tbl[[#This Row],[Sulf]]&lt;=0.5,vp.tbl[[#This Row],[Unknown]]=0),1,0)</f>
        <v>0</v>
      </c>
      <c r="AB1725">
        <f>IF(AND(vp.tbl[[#This Row],[CrudeType]]="Crude",vp.tbl[[#This Row],[Dens]]&gt;825,vp.tbl[[#This Row],[Dens]]&lt;=870,vp.tbl[[#This Row],[Sulf]]&gt;0.5,vp.tbl[[#This Row],[Unknown]]=0),1,0)</f>
        <v>0</v>
      </c>
      <c r="AC1725">
        <f>IF(AND(vp.tbl[[#This Row],[CrudeType]]="Crude",vp.tbl[[#This Row],[Dens]]&gt;825,vp.tbl[[#This Row],[Dens]]&lt;=900,vp.tbl[[#This Row],[Sulf]]&lt;=0.5,vp.tbl[[#This Row],[Unknown]]=0),1,0)</f>
        <v>0</v>
      </c>
      <c r="AD1725">
        <f>IF(AND(vp.tbl[[#This Row],[CrudeType]]="Crude",vp.tbl[[#This Row],[Dens]]&gt;870,vp.tbl[[#This Row],[Dens]]&lt;=900,vp.tbl[[#This Row],[Sulf]]&gt;0.5,vp.tbl[[#This Row],[Unknown]]=0),1,0)</f>
        <v>0</v>
      </c>
      <c r="AE1725">
        <f>IF(AND(vp.tbl[[#This Row],[CrudeType]]="Crude",vp.tbl[[#This Row],[Dens]]&gt;900,vp.tbl[[#This Row],[Sulf]]&lt;=0.5,vp.tbl[[#This Row],[Unknown]]=0),1,0)</f>
        <v>0</v>
      </c>
      <c r="AF1725">
        <f>IF(AND(vp.tbl[[#This Row],[CrudeType]]="Crude",vp.tbl[[#This Row],[Dens]]&gt;900,vp.tbl[[#This Row],[Sulf]]&lt;=0.5,vp.tbl[[#This Row],[Unknown]]=0),1,0)</f>
        <v>0</v>
      </c>
      <c r="AG1725" t="str">
        <f>INDEX(vp.tbl[[#Headers],[Unknown]:[Heavy_SW]],MATCH(1,vp.tbl[[#This Row],[Unknown]:[Heavy_SW]],0))</f>
        <v>Unknown</v>
      </c>
      <c r="AH1725" t="e">
        <f>INDEX([1]!crudeBD.lkup[Number],MATCH(vp.tbl[[#This Row],[Crude_Breakdown]],[1]!crudeBD.lkup[Crude Breakdown],0))</f>
        <v>#REF!</v>
      </c>
      <c r="AI1725">
        <f>MONTH(vp.tbl[[#This Row],[SDate]])</f>
        <v>6</v>
      </c>
      <c r="AJ1725" s="5" t="str">
        <f>IFERROR(vp.tbl[[#This Row],[Sulf]]*vp.tbl[[#This Row],[Net Dens]],"")</f>
        <v/>
      </c>
      <c r="AK1725" s="5" t="str">
        <f>IFERROR(vp.tbl[[#This Row],[Dens]]*vp.tbl[[#This Row],[VolumeM3]],"")</f>
        <v/>
      </c>
      <c r="AL1725" s="5" t="str">
        <f>IFERROR(vp.tbl[[#This Row],[VP]]*vp.tbl[[#This Row],[VolumeM3]],"")</f>
        <v/>
      </c>
      <c r="AM1725" s="4">
        <f>IFERROR((vp.tbl[[#This Row],[VP]]-INDEX(crudeBD.lkup.complete[Mean_VP],MATCH(vp.tbl[[#This Row],[Crude_Breakdown]],crudeBD.lkup.complete[Crude Breakdown],0)))^2,"")</f>
        <v>63.125201731093469</v>
      </c>
      <c r="AN1725" s="4" t="str">
        <f>IFERROR((vp.tbl[[#This Row],[Dens]]-INDEX(crudeBD.lkup.complete[Mean_Dens],MATCH(vp.tbl[[#This Row],[Crude_Breakdown]],crudeBD.lkup.complete[Crude Breakdown],0)))^2,"")</f>
        <v/>
      </c>
      <c r="AO1725" s="4" t="str">
        <f>IFERROR((vp.tbl[[#This Row],[Sulf]]-INDEX(crudeBD.lkup.complete[Mean_Sulf],MATCH(vp.tbl[[#This Row],[Crude_Breakdown]],crudeBD.lkup.complete[Crude Breakdown],0)))^2,"")</f>
        <v/>
      </c>
      <c r="AP1725">
        <f>IF(AND(vp.tbl[[#This Row],[SDate]]&gt;=DATE(YEAR(vp.tbl[[#This Row],[SDate]]),5,1),vp.tbl[[#This Row],[SDate]]&lt;=DATE(YEAR(vp.tbl[[#This Row],[SDate]]),9,15)),1,0)</f>
        <v>1</v>
      </c>
      <c r="AQ1725" s="15">
        <f>IF(vp.tbl[[#This Row],[SDate]]&lt;DATE(2016,12,1),0,1)</f>
        <v>1</v>
      </c>
    </row>
    <row r="1726" spans="1:43" x14ac:dyDescent="0.25">
      <c r="A1726">
        <v>1725</v>
      </c>
      <c r="B1726" t="s">
        <v>49</v>
      </c>
      <c r="C1726" t="s">
        <v>49</v>
      </c>
      <c r="D1726" t="s">
        <v>50</v>
      </c>
      <c r="F1726" s="1">
        <v>42914</v>
      </c>
      <c r="G1726" s="2">
        <v>71.7</v>
      </c>
      <c r="H1726" s="2"/>
      <c r="I1726" s="2" t="s">
        <v>310</v>
      </c>
      <c r="J1726" s="2"/>
      <c r="K1726" s="2"/>
      <c r="L1726" s="2"/>
      <c r="M1726" s="2" t="s">
        <v>310</v>
      </c>
      <c r="N1726" s="2">
        <f ca="1">INDEX(INDIRECT(_xlfn.CONCAT("weather.tbl[",N$1,"]")),MATCH(vp.tbl[[#This Row],[SDate]],weather.tbl[Date],0))</f>
        <v>16.833333333333332</v>
      </c>
      <c r="O1726" s="2">
        <f ca="1">INDEX(INDIRECT(_xlfn.CONCAT("weather.tbl[",O$1,"]")),MATCH(vp.tbl[[#This Row],[SDate]],weather.tbl[Date],0))</f>
        <v>14.397619047619045</v>
      </c>
      <c r="P1726" s="2">
        <f ca="1">INDEX(INDIRECT(_xlfn.CONCAT("weather.tbl[",P$1,"]")),MATCH(vp.tbl[[#This Row],[SDate]],weather.tbl[Date],0))</f>
        <v>16.8</v>
      </c>
      <c r="Q1726" s="2">
        <f ca="1">INDEX(INDIRECT(_xlfn.CONCAT("weather.tbl[",Q$1,"]")),MATCH(vp.tbl[[#This Row],[SDate]],weather.tbl[Date],0))</f>
        <v>15.2</v>
      </c>
      <c r="R1726" s="2">
        <f ca="1">INDEX(INDIRECT(_xlfn.CONCAT("weather.tbl[",R$1,"]")),MATCH(vp.tbl[[#This Row],[SDate]],weather.tbl[Date],0))</f>
        <v>17</v>
      </c>
      <c r="S1726" s="2">
        <f ca="1">INDEX(INDIRECT(_xlfn.CONCAT("weather.tbl[",S$1,"]")),MATCH(vp.tbl[[#This Row],[SDate]],weather.tbl[Date],0))</f>
        <v>16.2</v>
      </c>
      <c r="T1726" s="2">
        <f ca="1">INDEX(INDIRECT(_xlfn.CONCAT("weather.tbl[",T$1,"]")),MATCH(vp.tbl[[#This Row],[SDate]],weather.tbl[Date],0))</f>
        <v>19.5</v>
      </c>
      <c r="U1726" s="2">
        <f ca="1">INDEX(INDIRECT(_xlfn.CONCAT("weather.tbl[",U$1,"]")),MATCH(vp.tbl[[#This Row],[SDate]],weather.tbl[Date],0))</f>
        <v>16.3</v>
      </c>
      <c r="V1726" s="2" t="s">
        <v>310</v>
      </c>
      <c r="W1726" t="s">
        <v>48</v>
      </c>
      <c r="X1726">
        <f>IF(OR(vp.tbl[[#This Row],[Sulf]]="",vp.tbl[[#This Row],[Dens]]=""),1,0)</f>
        <v>1</v>
      </c>
      <c r="Y1726">
        <f>IF(vp.tbl[[#This Row],[CrudeType]]="C5+",1,0)</f>
        <v>0</v>
      </c>
      <c r="Z1726">
        <f>IF(AND(vp.tbl[[#This Row],[CrudeType]]="Crude",vp.tbl[[#This Row],[Dens]]&lt;=825,vp.tbl[[#This Row],[Sulf]]&gt;0.5,vp.tbl[[#This Row],[Unknown]]=0),1,0)</f>
        <v>0</v>
      </c>
      <c r="AA1726">
        <f>IF(AND(vp.tbl[[#This Row],[CrudeType]]="Crude",vp.tbl[[#This Row],[Dens]]&lt;=825,vp.tbl[[#This Row],[Sulf]]&lt;=0.5,vp.tbl[[#This Row],[Unknown]]=0),1,0)</f>
        <v>0</v>
      </c>
      <c r="AB1726">
        <f>IF(AND(vp.tbl[[#This Row],[CrudeType]]="Crude",vp.tbl[[#This Row],[Dens]]&gt;825,vp.tbl[[#This Row],[Dens]]&lt;=870,vp.tbl[[#This Row],[Sulf]]&gt;0.5,vp.tbl[[#This Row],[Unknown]]=0),1,0)</f>
        <v>0</v>
      </c>
      <c r="AC1726">
        <f>IF(AND(vp.tbl[[#This Row],[CrudeType]]="Crude",vp.tbl[[#This Row],[Dens]]&gt;825,vp.tbl[[#This Row],[Dens]]&lt;=900,vp.tbl[[#This Row],[Sulf]]&lt;=0.5,vp.tbl[[#This Row],[Unknown]]=0),1,0)</f>
        <v>0</v>
      </c>
      <c r="AD1726">
        <f>IF(AND(vp.tbl[[#This Row],[CrudeType]]="Crude",vp.tbl[[#This Row],[Dens]]&gt;870,vp.tbl[[#This Row],[Dens]]&lt;=900,vp.tbl[[#This Row],[Sulf]]&gt;0.5,vp.tbl[[#This Row],[Unknown]]=0),1,0)</f>
        <v>0</v>
      </c>
      <c r="AE1726">
        <f>IF(AND(vp.tbl[[#This Row],[CrudeType]]="Crude",vp.tbl[[#This Row],[Dens]]&gt;900,vp.tbl[[#This Row],[Sulf]]&lt;=0.5,vp.tbl[[#This Row],[Unknown]]=0),1,0)</f>
        <v>0</v>
      </c>
      <c r="AF1726">
        <f>IF(AND(vp.tbl[[#This Row],[CrudeType]]="Crude",vp.tbl[[#This Row],[Dens]]&gt;900,vp.tbl[[#This Row],[Sulf]]&lt;=0.5,vp.tbl[[#This Row],[Unknown]]=0),1,0)</f>
        <v>0</v>
      </c>
      <c r="AG1726" t="str">
        <f>INDEX(vp.tbl[[#Headers],[Unknown]:[Heavy_SW]],MATCH(1,vp.tbl[[#This Row],[Unknown]:[Heavy_SW]],0))</f>
        <v>Unknown</v>
      </c>
      <c r="AH1726" t="e">
        <f>INDEX([1]!crudeBD.lkup[Number],MATCH(vp.tbl[[#This Row],[Crude_Breakdown]],[1]!crudeBD.lkup[Crude Breakdown],0))</f>
        <v>#REF!</v>
      </c>
      <c r="AI1726">
        <f>MONTH(vp.tbl[[#This Row],[SDate]])</f>
        <v>6</v>
      </c>
      <c r="AJ1726" s="5" t="str">
        <f>IFERROR(vp.tbl[[#This Row],[Sulf]]*vp.tbl[[#This Row],[Net Dens]],"")</f>
        <v/>
      </c>
      <c r="AK1726" s="5" t="str">
        <f>IFERROR(vp.tbl[[#This Row],[Dens]]*vp.tbl[[#This Row],[VolumeM3]],"")</f>
        <v/>
      </c>
      <c r="AL1726" s="5" t="str">
        <f>IFERROR(vp.tbl[[#This Row],[VP]]*vp.tbl[[#This Row],[VolumeM3]],"")</f>
        <v/>
      </c>
      <c r="AM1726" s="4">
        <f>IFERROR((vp.tbl[[#This Row],[VP]]-INDEX(crudeBD.lkup.complete[Mean_VP],MATCH(vp.tbl[[#This Row],[Crude_Breakdown]],crudeBD.lkup.complete[Crude Breakdown],0)))^2,"")</f>
        <v>4.6016126899979879</v>
      </c>
      <c r="AN1726" s="4" t="str">
        <f>IFERROR((vp.tbl[[#This Row],[Dens]]-INDEX(crudeBD.lkup.complete[Mean_Dens],MATCH(vp.tbl[[#This Row],[Crude_Breakdown]],crudeBD.lkup.complete[Crude Breakdown],0)))^2,"")</f>
        <v/>
      </c>
      <c r="AO1726" s="4" t="str">
        <f>IFERROR((vp.tbl[[#This Row],[Sulf]]-INDEX(crudeBD.lkup.complete[Mean_Sulf],MATCH(vp.tbl[[#This Row],[Crude_Breakdown]],crudeBD.lkup.complete[Crude Breakdown],0)))^2,"")</f>
        <v/>
      </c>
      <c r="AP1726">
        <f>IF(AND(vp.tbl[[#This Row],[SDate]]&gt;=DATE(YEAR(vp.tbl[[#This Row],[SDate]]),5,1),vp.tbl[[#This Row],[SDate]]&lt;=DATE(YEAR(vp.tbl[[#This Row],[SDate]]),9,15)),1,0)</f>
        <v>1</v>
      </c>
      <c r="AQ1726" s="15">
        <f>IF(vp.tbl[[#This Row],[SDate]]&lt;DATE(2016,12,1),0,1)</f>
        <v>1</v>
      </c>
    </row>
    <row r="1727" spans="1:43" x14ac:dyDescent="0.25">
      <c r="A1727">
        <v>1726</v>
      </c>
      <c r="B1727" t="s">
        <v>111</v>
      </c>
      <c r="C1727" t="s">
        <v>111</v>
      </c>
      <c r="D1727" t="s">
        <v>112</v>
      </c>
      <c r="F1727" s="1">
        <v>42914</v>
      </c>
      <c r="G1727" s="2">
        <v>69.400000000000006</v>
      </c>
      <c r="H1727" s="2"/>
      <c r="I1727" s="2" t="s">
        <v>310</v>
      </c>
      <c r="J1727" s="2"/>
      <c r="K1727" s="2"/>
      <c r="L1727" s="2"/>
      <c r="M1727" s="2" t="s">
        <v>310</v>
      </c>
      <c r="N1727" s="2">
        <f ca="1">INDEX(INDIRECT(_xlfn.CONCAT("weather.tbl[",N$1,"]")),MATCH(vp.tbl[[#This Row],[SDate]],weather.tbl[Date],0))</f>
        <v>16.833333333333332</v>
      </c>
      <c r="O1727" s="2">
        <f ca="1">INDEX(INDIRECT(_xlfn.CONCAT("weather.tbl[",O$1,"]")),MATCH(vp.tbl[[#This Row],[SDate]],weather.tbl[Date],0))</f>
        <v>14.397619047619045</v>
      </c>
      <c r="P1727" s="2">
        <f ca="1">INDEX(INDIRECT(_xlfn.CONCAT("weather.tbl[",P$1,"]")),MATCH(vp.tbl[[#This Row],[SDate]],weather.tbl[Date],0))</f>
        <v>16.8</v>
      </c>
      <c r="Q1727" s="2">
        <f ca="1">INDEX(INDIRECT(_xlfn.CONCAT("weather.tbl[",Q$1,"]")),MATCH(vp.tbl[[#This Row],[SDate]],weather.tbl[Date],0))</f>
        <v>15.2</v>
      </c>
      <c r="R1727" s="2">
        <f ca="1">INDEX(INDIRECT(_xlfn.CONCAT("weather.tbl[",R$1,"]")),MATCH(vp.tbl[[#This Row],[SDate]],weather.tbl[Date],0))</f>
        <v>17</v>
      </c>
      <c r="S1727" s="2">
        <f ca="1">INDEX(INDIRECT(_xlfn.CONCAT("weather.tbl[",S$1,"]")),MATCH(vp.tbl[[#This Row],[SDate]],weather.tbl[Date],0))</f>
        <v>16.2</v>
      </c>
      <c r="T1727" s="2">
        <f ca="1">INDEX(INDIRECT(_xlfn.CONCAT("weather.tbl[",T$1,"]")),MATCH(vp.tbl[[#This Row],[SDate]],weather.tbl[Date],0))</f>
        <v>19.5</v>
      </c>
      <c r="U1727" s="2">
        <f ca="1">INDEX(INDIRECT(_xlfn.CONCAT("weather.tbl[",U$1,"]")),MATCH(vp.tbl[[#This Row],[SDate]],weather.tbl[Date],0))</f>
        <v>16.3</v>
      </c>
      <c r="V1727" s="2" t="s">
        <v>310</v>
      </c>
      <c r="W1727" t="s">
        <v>48</v>
      </c>
      <c r="X1727">
        <f>IF(OR(vp.tbl[[#This Row],[Sulf]]="",vp.tbl[[#This Row],[Dens]]=""),1,0)</f>
        <v>1</v>
      </c>
      <c r="Y1727">
        <f>IF(vp.tbl[[#This Row],[CrudeType]]="C5+",1,0)</f>
        <v>0</v>
      </c>
      <c r="Z1727">
        <f>IF(AND(vp.tbl[[#This Row],[CrudeType]]="Crude",vp.tbl[[#This Row],[Dens]]&lt;=825,vp.tbl[[#This Row],[Sulf]]&gt;0.5,vp.tbl[[#This Row],[Unknown]]=0),1,0)</f>
        <v>0</v>
      </c>
      <c r="AA1727">
        <f>IF(AND(vp.tbl[[#This Row],[CrudeType]]="Crude",vp.tbl[[#This Row],[Dens]]&lt;=825,vp.tbl[[#This Row],[Sulf]]&lt;=0.5,vp.tbl[[#This Row],[Unknown]]=0),1,0)</f>
        <v>0</v>
      </c>
      <c r="AB1727">
        <f>IF(AND(vp.tbl[[#This Row],[CrudeType]]="Crude",vp.tbl[[#This Row],[Dens]]&gt;825,vp.tbl[[#This Row],[Dens]]&lt;=870,vp.tbl[[#This Row],[Sulf]]&gt;0.5,vp.tbl[[#This Row],[Unknown]]=0),1,0)</f>
        <v>0</v>
      </c>
      <c r="AC1727">
        <f>IF(AND(vp.tbl[[#This Row],[CrudeType]]="Crude",vp.tbl[[#This Row],[Dens]]&gt;825,vp.tbl[[#This Row],[Dens]]&lt;=900,vp.tbl[[#This Row],[Sulf]]&lt;=0.5,vp.tbl[[#This Row],[Unknown]]=0),1,0)</f>
        <v>0</v>
      </c>
      <c r="AD1727">
        <f>IF(AND(vp.tbl[[#This Row],[CrudeType]]="Crude",vp.tbl[[#This Row],[Dens]]&gt;870,vp.tbl[[#This Row],[Dens]]&lt;=900,vp.tbl[[#This Row],[Sulf]]&gt;0.5,vp.tbl[[#This Row],[Unknown]]=0),1,0)</f>
        <v>0</v>
      </c>
      <c r="AE1727">
        <f>IF(AND(vp.tbl[[#This Row],[CrudeType]]="Crude",vp.tbl[[#This Row],[Dens]]&gt;900,vp.tbl[[#This Row],[Sulf]]&lt;=0.5,vp.tbl[[#This Row],[Unknown]]=0),1,0)</f>
        <v>0</v>
      </c>
      <c r="AF1727">
        <f>IF(AND(vp.tbl[[#This Row],[CrudeType]]="Crude",vp.tbl[[#This Row],[Dens]]&gt;900,vp.tbl[[#This Row],[Sulf]]&lt;=0.5,vp.tbl[[#This Row],[Unknown]]=0),1,0)</f>
        <v>0</v>
      </c>
      <c r="AG1727" t="str">
        <f>INDEX(vp.tbl[[#Headers],[Unknown]:[Heavy_SW]],MATCH(1,vp.tbl[[#This Row],[Unknown]:[Heavy_SW]],0))</f>
        <v>Unknown</v>
      </c>
      <c r="AH1727" t="e">
        <f>INDEX([1]!crudeBD.lkup[Number],MATCH(vp.tbl[[#This Row],[Crude_Breakdown]],[1]!crudeBD.lkup[Crude Breakdown],0))</f>
        <v>#REF!</v>
      </c>
      <c r="AI1727">
        <f>MONTH(vp.tbl[[#This Row],[SDate]])</f>
        <v>6</v>
      </c>
      <c r="AJ1727" s="5" t="str">
        <f>IFERROR(vp.tbl[[#This Row],[Sulf]]*vp.tbl[[#This Row],[Net Dens]],"")</f>
        <v/>
      </c>
      <c r="AK1727" s="5" t="str">
        <f>IFERROR(vp.tbl[[#This Row],[Dens]]*vp.tbl[[#This Row],[VolumeM3]],"")</f>
        <v/>
      </c>
      <c r="AL1727" s="5" t="str">
        <f>IFERROR(vp.tbl[[#This Row],[VP]]*vp.tbl[[#This Row],[VolumeM3]],"")</f>
        <v/>
      </c>
      <c r="AM1727" s="4">
        <f>IFERROR((vp.tbl[[#This Row],[VP]]-INDEX(crudeBD.lkup.complete[Mean_VP],MATCH(vp.tbl[[#This Row],[Crude_Breakdown]],crudeBD.lkup.complete[Crude Breakdown],0)))^2,"")</f>
        <v>19.759242826984121</v>
      </c>
      <c r="AN1727" s="4" t="str">
        <f>IFERROR((vp.tbl[[#This Row],[Dens]]-INDEX(crudeBD.lkup.complete[Mean_Dens],MATCH(vp.tbl[[#This Row],[Crude_Breakdown]],crudeBD.lkup.complete[Crude Breakdown],0)))^2,"")</f>
        <v/>
      </c>
      <c r="AO1727" s="4" t="str">
        <f>IFERROR((vp.tbl[[#This Row],[Sulf]]-INDEX(crudeBD.lkup.complete[Mean_Sulf],MATCH(vp.tbl[[#This Row],[Crude_Breakdown]],crudeBD.lkup.complete[Crude Breakdown],0)))^2,"")</f>
        <v/>
      </c>
      <c r="AP1727">
        <f>IF(AND(vp.tbl[[#This Row],[SDate]]&gt;=DATE(YEAR(vp.tbl[[#This Row],[SDate]]),5,1),vp.tbl[[#This Row],[SDate]]&lt;=DATE(YEAR(vp.tbl[[#This Row],[SDate]]),9,15)),1,0)</f>
        <v>1</v>
      </c>
      <c r="AQ1727" s="15">
        <f>IF(vp.tbl[[#This Row],[SDate]]&lt;DATE(2016,12,1),0,1)</f>
        <v>1</v>
      </c>
    </row>
    <row r="1728" spans="1:43" x14ac:dyDescent="0.25">
      <c r="A1728">
        <v>1727</v>
      </c>
      <c r="B1728" t="s">
        <v>292</v>
      </c>
      <c r="C1728" t="s">
        <v>292</v>
      </c>
      <c r="D1728" t="s">
        <v>94</v>
      </c>
      <c r="F1728" s="1">
        <v>42914</v>
      </c>
      <c r="G1728" s="2">
        <v>71</v>
      </c>
      <c r="H1728" s="2"/>
      <c r="I1728" s="2" t="s">
        <v>310</v>
      </c>
      <c r="J1728" s="2"/>
      <c r="K1728" s="2"/>
      <c r="L1728" s="2"/>
      <c r="M1728" s="2" t="s">
        <v>310</v>
      </c>
      <c r="N1728" s="2">
        <f ca="1">INDEX(INDIRECT(_xlfn.CONCAT("weather.tbl[",N$1,"]")),MATCH(vp.tbl[[#This Row],[SDate]],weather.tbl[Date],0))</f>
        <v>16.833333333333332</v>
      </c>
      <c r="O1728" s="2">
        <f ca="1">INDEX(INDIRECT(_xlfn.CONCAT("weather.tbl[",O$1,"]")),MATCH(vp.tbl[[#This Row],[SDate]],weather.tbl[Date],0))</f>
        <v>14.397619047619045</v>
      </c>
      <c r="P1728" s="2">
        <f ca="1">INDEX(INDIRECT(_xlfn.CONCAT("weather.tbl[",P$1,"]")),MATCH(vp.tbl[[#This Row],[SDate]],weather.tbl[Date],0))</f>
        <v>16.8</v>
      </c>
      <c r="Q1728" s="2">
        <f ca="1">INDEX(INDIRECT(_xlfn.CONCAT("weather.tbl[",Q$1,"]")),MATCH(vp.tbl[[#This Row],[SDate]],weather.tbl[Date],0))</f>
        <v>15.2</v>
      </c>
      <c r="R1728" s="2">
        <f ca="1">INDEX(INDIRECT(_xlfn.CONCAT("weather.tbl[",R$1,"]")),MATCH(vp.tbl[[#This Row],[SDate]],weather.tbl[Date],0))</f>
        <v>17</v>
      </c>
      <c r="S1728" s="2">
        <f ca="1">INDEX(INDIRECT(_xlfn.CONCAT("weather.tbl[",S$1,"]")),MATCH(vp.tbl[[#This Row],[SDate]],weather.tbl[Date],0))</f>
        <v>16.2</v>
      </c>
      <c r="T1728" s="2">
        <f ca="1">INDEX(INDIRECT(_xlfn.CONCAT("weather.tbl[",T$1,"]")),MATCH(vp.tbl[[#This Row],[SDate]],weather.tbl[Date],0))</f>
        <v>19.5</v>
      </c>
      <c r="U1728" s="2">
        <f ca="1">INDEX(INDIRECT(_xlfn.CONCAT("weather.tbl[",U$1,"]")),MATCH(vp.tbl[[#This Row],[SDate]],weather.tbl[Date],0))</f>
        <v>16.3</v>
      </c>
      <c r="V1728" s="2" t="s">
        <v>310</v>
      </c>
      <c r="W1728" t="s">
        <v>48</v>
      </c>
      <c r="X1728">
        <f>IF(OR(vp.tbl[[#This Row],[Sulf]]="",vp.tbl[[#This Row],[Dens]]=""),1,0)</f>
        <v>1</v>
      </c>
      <c r="Y1728">
        <f>IF(vp.tbl[[#This Row],[CrudeType]]="C5+",1,0)</f>
        <v>0</v>
      </c>
      <c r="Z1728">
        <f>IF(AND(vp.tbl[[#This Row],[CrudeType]]="Crude",vp.tbl[[#This Row],[Dens]]&lt;=825,vp.tbl[[#This Row],[Sulf]]&gt;0.5,vp.tbl[[#This Row],[Unknown]]=0),1,0)</f>
        <v>0</v>
      </c>
      <c r="AA1728">
        <f>IF(AND(vp.tbl[[#This Row],[CrudeType]]="Crude",vp.tbl[[#This Row],[Dens]]&lt;=825,vp.tbl[[#This Row],[Sulf]]&lt;=0.5,vp.tbl[[#This Row],[Unknown]]=0),1,0)</f>
        <v>0</v>
      </c>
      <c r="AB1728">
        <f>IF(AND(vp.tbl[[#This Row],[CrudeType]]="Crude",vp.tbl[[#This Row],[Dens]]&gt;825,vp.tbl[[#This Row],[Dens]]&lt;=870,vp.tbl[[#This Row],[Sulf]]&gt;0.5,vp.tbl[[#This Row],[Unknown]]=0),1,0)</f>
        <v>0</v>
      </c>
      <c r="AC1728">
        <f>IF(AND(vp.tbl[[#This Row],[CrudeType]]="Crude",vp.tbl[[#This Row],[Dens]]&gt;825,vp.tbl[[#This Row],[Dens]]&lt;=900,vp.tbl[[#This Row],[Sulf]]&lt;=0.5,vp.tbl[[#This Row],[Unknown]]=0),1,0)</f>
        <v>0</v>
      </c>
      <c r="AD1728">
        <f>IF(AND(vp.tbl[[#This Row],[CrudeType]]="Crude",vp.tbl[[#This Row],[Dens]]&gt;870,vp.tbl[[#This Row],[Dens]]&lt;=900,vp.tbl[[#This Row],[Sulf]]&gt;0.5,vp.tbl[[#This Row],[Unknown]]=0),1,0)</f>
        <v>0</v>
      </c>
      <c r="AE1728">
        <f>IF(AND(vp.tbl[[#This Row],[CrudeType]]="Crude",vp.tbl[[#This Row],[Dens]]&gt;900,vp.tbl[[#This Row],[Sulf]]&lt;=0.5,vp.tbl[[#This Row],[Unknown]]=0),1,0)</f>
        <v>0</v>
      </c>
      <c r="AF1728">
        <f>IF(AND(vp.tbl[[#This Row],[CrudeType]]="Crude",vp.tbl[[#This Row],[Dens]]&gt;900,vp.tbl[[#This Row],[Sulf]]&lt;=0.5,vp.tbl[[#This Row],[Unknown]]=0),1,0)</f>
        <v>0</v>
      </c>
      <c r="AG1728" t="str">
        <f>INDEX(vp.tbl[[#Headers],[Unknown]:[Heavy_SW]],MATCH(1,vp.tbl[[#This Row],[Unknown]:[Heavy_SW]],0))</f>
        <v>Unknown</v>
      </c>
      <c r="AH1728" t="e">
        <f>INDEX([1]!crudeBD.lkup[Number],MATCH(vp.tbl[[#This Row],[Crude_Breakdown]],[1]!crudeBD.lkup[Crude Breakdown],0))</f>
        <v>#REF!</v>
      </c>
      <c r="AI1728">
        <f>MONTH(vp.tbl[[#This Row],[SDate]])</f>
        <v>6</v>
      </c>
      <c r="AJ1728" s="5" t="str">
        <f>IFERROR(vp.tbl[[#This Row],[Sulf]]*vp.tbl[[#This Row],[Net Dens]],"")</f>
        <v/>
      </c>
      <c r="AK1728" s="5" t="str">
        <f>IFERROR(vp.tbl[[#This Row],[Dens]]*vp.tbl[[#This Row],[VolumeM3]],"")</f>
        <v/>
      </c>
      <c r="AL1728" s="5" t="str">
        <f>IFERROR(vp.tbl[[#This Row],[VP]]*vp.tbl[[#This Row],[VolumeM3]],"")</f>
        <v/>
      </c>
      <c r="AM1728" s="4">
        <f>IFERROR((vp.tbl[[#This Row],[VP]]-INDEX(crudeBD.lkup.complete[Mean_VP],MATCH(vp.tbl[[#This Row],[Crude_Breakdown]],crudeBD.lkup.complete[Crude Breakdown],0)))^2,"")</f>
        <v>8.0948044708198772</v>
      </c>
      <c r="AN1728" s="4" t="str">
        <f>IFERROR((vp.tbl[[#This Row],[Dens]]-INDEX(crudeBD.lkup.complete[Mean_Dens],MATCH(vp.tbl[[#This Row],[Crude_Breakdown]],crudeBD.lkup.complete[Crude Breakdown],0)))^2,"")</f>
        <v/>
      </c>
      <c r="AO1728" s="4" t="str">
        <f>IFERROR((vp.tbl[[#This Row],[Sulf]]-INDEX(crudeBD.lkup.complete[Mean_Sulf],MATCH(vp.tbl[[#This Row],[Crude_Breakdown]],crudeBD.lkup.complete[Crude Breakdown],0)))^2,"")</f>
        <v/>
      </c>
      <c r="AP1728">
        <f>IF(AND(vp.tbl[[#This Row],[SDate]]&gt;=DATE(YEAR(vp.tbl[[#This Row],[SDate]]),5,1),vp.tbl[[#This Row],[SDate]]&lt;=DATE(YEAR(vp.tbl[[#This Row],[SDate]]),9,15)),1,0)</f>
        <v>1</v>
      </c>
      <c r="AQ1728" s="15">
        <f>IF(vp.tbl[[#This Row],[SDate]]&lt;DATE(2016,12,1),0,1)</f>
        <v>1</v>
      </c>
    </row>
    <row r="1729" spans="1:43" x14ac:dyDescent="0.25">
      <c r="A1729">
        <v>1728</v>
      </c>
      <c r="B1729" t="s">
        <v>49</v>
      </c>
      <c r="C1729" t="s">
        <v>49</v>
      </c>
      <c r="D1729" t="s">
        <v>78</v>
      </c>
      <c r="F1729" s="1">
        <v>42914</v>
      </c>
      <c r="G1729" s="2">
        <v>68</v>
      </c>
      <c r="H1729" s="2"/>
      <c r="I1729" s="2" t="s">
        <v>310</v>
      </c>
      <c r="J1729" s="2"/>
      <c r="K1729" s="2"/>
      <c r="L1729" s="2"/>
      <c r="M1729" s="2" t="s">
        <v>310</v>
      </c>
      <c r="N1729" s="2">
        <f ca="1">INDEX(INDIRECT(_xlfn.CONCAT("weather.tbl[",N$1,"]")),MATCH(vp.tbl[[#This Row],[SDate]],weather.tbl[Date],0))</f>
        <v>16.833333333333332</v>
      </c>
      <c r="O1729" s="2">
        <f ca="1">INDEX(INDIRECT(_xlfn.CONCAT("weather.tbl[",O$1,"]")),MATCH(vp.tbl[[#This Row],[SDate]],weather.tbl[Date],0))</f>
        <v>14.397619047619045</v>
      </c>
      <c r="P1729" s="2">
        <f ca="1">INDEX(INDIRECT(_xlfn.CONCAT("weather.tbl[",P$1,"]")),MATCH(vp.tbl[[#This Row],[SDate]],weather.tbl[Date],0))</f>
        <v>16.8</v>
      </c>
      <c r="Q1729" s="2">
        <f ca="1">INDEX(INDIRECT(_xlfn.CONCAT("weather.tbl[",Q$1,"]")),MATCH(vp.tbl[[#This Row],[SDate]],weather.tbl[Date],0))</f>
        <v>15.2</v>
      </c>
      <c r="R1729" s="2">
        <f ca="1">INDEX(INDIRECT(_xlfn.CONCAT("weather.tbl[",R$1,"]")),MATCH(vp.tbl[[#This Row],[SDate]],weather.tbl[Date],0))</f>
        <v>17</v>
      </c>
      <c r="S1729" s="2">
        <f ca="1">INDEX(INDIRECT(_xlfn.CONCAT("weather.tbl[",S$1,"]")),MATCH(vp.tbl[[#This Row],[SDate]],weather.tbl[Date],0))</f>
        <v>16.2</v>
      </c>
      <c r="T1729" s="2">
        <f ca="1">INDEX(INDIRECT(_xlfn.CONCAT("weather.tbl[",T$1,"]")),MATCH(vp.tbl[[#This Row],[SDate]],weather.tbl[Date],0))</f>
        <v>19.5</v>
      </c>
      <c r="U1729" s="2">
        <f ca="1">INDEX(INDIRECT(_xlfn.CONCAT("weather.tbl[",U$1,"]")),MATCH(vp.tbl[[#This Row],[SDate]],weather.tbl[Date],0))</f>
        <v>16.3</v>
      </c>
      <c r="V1729" s="2" t="s">
        <v>310</v>
      </c>
      <c r="W1729" t="s">
        <v>48</v>
      </c>
      <c r="X1729">
        <f>IF(OR(vp.tbl[[#This Row],[Sulf]]="",vp.tbl[[#This Row],[Dens]]=""),1,0)</f>
        <v>1</v>
      </c>
      <c r="Y1729">
        <f>IF(vp.tbl[[#This Row],[CrudeType]]="C5+",1,0)</f>
        <v>0</v>
      </c>
      <c r="Z1729">
        <f>IF(AND(vp.tbl[[#This Row],[CrudeType]]="Crude",vp.tbl[[#This Row],[Dens]]&lt;=825,vp.tbl[[#This Row],[Sulf]]&gt;0.5,vp.tbl[[#This Row],[Unknown]]=0),1,0)</f>
        <v>0</v>
      </c>
      <c r="AA1729">
        <f>IF(AND(vp.tbl[[#This Row],[CrudeType]]="Crude",vp.tbl[[#This Row],[Dens]]&lt;=825,vp.tbl[[#This Row],[Sulf]]&lt;=0.5,vp.tbl[[#This Row],[Unknown]]=0),1,0)</f>
        <v>0</v>
      </c>
      <c r="AB1729">
        <f>IF(AND(vp.tbl[[#This Row],[CrudeType]]="Crude",vp.tbl[[#This Row],[Dens]]&gt;825,vp.tbl[[#This Row],[Dens]]&lt;=870,vp.tbl[[#This Row],[Sulf]]&gt;0.5,vp.tbl[[#This Row],[Unknown]]=0),1,0)</f>
        <v>0</v>
      </c>
      <c r="AC1729">
        <f>IF(AND(vp.tbl[[#This Row],[CrudeType]]="Crude",vp.tbl[[#This Row],[Dens]]&gt;825,vp.tbl[[#This Row],[Dens]]&lt;=900,vp.tbl[[#This Row],[Sulf]]&lt;=0.5,vp.tbl[[#This Row],[Unknown]]=0),1,0)</f>
        <v>0</v>
      </c>
      <c r="AD1729">
        <f>IF(AND(vp.tbl[[#This Row],[CrudeType]]="Crude",vp.tbl[[#This Row],[Dens]]&gt;870,vp.tbl[[#This Row],[Dens]]&lt;=900,vp.tbl[[#This Row],[Sulf]]&gt;0.5,vp.tbl[[#This Row],[Unknown]]=0),1,0)</f>
        <v>0</v>
      </c>
      <c r="AE1729">
        <f>IF(AND(vp.tbl[[#This Row],[CrudeType]]="Crude",vp.tbl[[#This Row],[Dens]]&gt;900,vp.tbl[[#This Row],[Sulf]]&lt;=0.5,vp.tbl[[#This Row],[Unknown]]=0),1,0)</f>
        <v>0</v>
      </c>
      <c r="AF1729">
        <f>IF(AND(vp.tbl[[#This Row],[CrudeType]]="Crude",vp.tbl[[#This Row],[Dens]]&gt;900,vp.tbl[[#This Row],[Sulf]]&lt;=0.5,vp.tbl[[#This Row],[Unknown]]=0),1,0)</f>
        <v>0</v>
      </c>
      <c r="AG1729" t="str">
        <f>INDEX(vp.tbl[[#Headers],[Unknown]:[Heavy_SW]],MATCH(1,vp.tbl[[#This Row],[Unknown]:[Heavy_SW]],0))</f>
        <v>Unknown</v>
      </c>
      <c r="AH1729" t="e">
        <f>INDEX([1]!crudeBD.lkup[Number],MATCH(vp.tbl[[#This Row],[Crude_Breakdown]],[1]!crudeBD.lkup[Crude Breakdown],0))</f>
        <v>#REF!</v>
      </c>
      <c r="AI1729">
        <f>MONTH(vp.tbl[[#This Row],[SDate]])</f>
        <v>6</v>
      </c>
      <c r="AJ1729" s="5" t="str">
        <f>IFERROR(vp.tbl[[#This Row],[Sulf]]*vp.tbl[[#This Row],[Net Dens]],"")</f>
        <v/>
      </c>
      <c r="AK1729" s="5" t="str">
        <f>IFERROR(vp.tbl[[#This Row],[Dens]]*vp.tbl[[#This Row],[VolumeM3]],"")</f>
        <v/>
      </c>
      <c r="AL1729" s="5" t="str">
        <f>IFERROR(vp.tbl[[#This Row],[VP]]*vp.tbl[[#This Row],[VolumeM3]],"")</f>
        <v/>
      </c>
      <c r="AM1729" s="4">
        <f>IFERROR((vp.tbl[[#This Row],[VP]]-INDEX(crudeBD.lkup.complete[Mean_VP],MATCH(vp.tbl[[#This Row],[Crude_Breakdown]],crudeBD.lkup.complete[Crude Breakdown],0)))^2,"")</f>
        <v>34.165626388627928</v>
      </c>
      <c r="AN1729" s="4" t="str">
        <f>IFERROR((vp.tbl[[#This Row],[Dens]]-INDEX(crudeBD.lkup.complete[Mean_Dens],MATCH(vp.tbl[[#This Row],[Crude_Breakdown]],crudeBD.lkup.complete[Crude Breakdown],0)))^2,"")</f>
        <v/>
      </c>
      <c r="AO1729" s="4" t="str">
        <f>IFERROR((vp.tbl[[#This Row],[Sulf]]-INDEX(crudeBD.lkup.complete[Mean_Sulf],MATCH(vp.tbl[[#This Row],[Crude_Breakdown]],crudeBD.lkup.complete[Crude Breakdown],0)))^2,"")</f>
        <v/>
      </c>
      <c r="AP1729">
        <f>IF(AND(vp.tbl[[#This Row],[SDate]]&gt;=DATE(YEAR(vp.tbl[[#This Row],[SDate]]),5,1),vp.tbl[[#This Row],[SDate]]&lt;=DATE(YEAR(vp.tbl[[#This Row],[SDate]]),9,15)),1,0)</f>
        <v>1</v>
      </c>
      <c r="AQ1729" s="15">
        <f>IF(vp.tbl[[#This Row],[SDate]]&lt;DATE(2016,12,1),0,1)</f>
        <v>1</v>
      </c>
    </row>
    <row r="1730" spans="1:43" x14ac:dyDescent="0.25">
      <c r="A1730">
        <v>1729</v>
      </c>
      <c r="B1730" t="s">
        <v>49</v>
      </c>
      <c r="C1730" t="s">
        <v>49</v>
      </c>
      <c r="D1730" t="s">
        <v>92</v>
      </c>
      <c r="F1730" s="1">
        <v>42914</v>
      </c>
      <c r="G1730" s="2">
        <v>71.5</v>
      </c>
      <c r="H1730" s="2"/>
      <c r="I1730" s="2" t="s">
        <v>310</v>
      </c>
      <c r="J1730" s="2"/>
      <c r="K1730" s="2"/>
      <c r="L1730" s="2"/>
      <c r="M1730" s="2" t="s">
        <v>310</v>
      </c>
      <c r="N1730" s="2">
        <f ca="1">INDEX(INDIRECT(_xlfn.CONCAT("weather.tbl[",N$1,"]")),MATCH(vp.tbl[[#This Row],[SDate]],weather.tbl[Date],0))</f>
        <v>16.833333333333332</v>
      </c>
      <c r="O1730" s="2">
        <f ca="1">INDEX(INDIRECT(_xlfn.CONCAT("weather.tbl[",O$1,"]")),MATCH(vp.tbl[[#This Row],[SDate]],weather.tbl[Date],0))</f>
        <v>14.397619047619045</v>
      </c>
      <c r="P1730" s="2">
        <f ca="1">INDEX(INDIRECT(_xlfn.CONCAT("weather.tbl[",P$1,"]")),MATCH(vp.tbl[[#This Row],[SDate]],weather.tbl[Date],0))</f>
        <v>16.8</v>
      </c>
      <c r="Q1730" s="2">
        <f ca="1">INDEX(INDIRECT(_xlfn.CONCAT("weather.tbl[",Q$1,"]")),MATCH(vp.tbl[[#This Row],[SDate]],weather.tbl[Date],0))</f>
        <v>15.2</v>
      </c>
      <c r="R1730" s="2">
        <f ca="1">INDEX(INDIRECT(_xlfn.CONCAT("weather.tbl[",R$1,"]")),MATCH(vp.tbl[[#This Row],[SDate]],weather.tbl[Date],0))</f>
        <v>17</v>
      </c>
      <c r="S1730" s="2">
        <f ca="1">INDEX(INDIRECT(_xlfn.CONCAT("weather.tbl[",S$1,"]")),MATCH(vp.tbl[[#This Row],[SDate]],weather.tbl[Date],0))</f>
        <v>16.2</v>
      </c>
      <c r="T1730" s="2">
        <f ca="1">INDEX(INDIRECT(_xlfn.CONCAT("weather.tbl[",T$1,"]")),MATCH(vp.tbl[[#This Row],[SDate]],weather.tbl[Date],0))</f>
        <v>19.5</v>
      </c>
      <c r="U1730" s="2">
        <f ca="1">INDEX(INDIRECT(_xlfn.CONCAT("weather.tbl[",U$1,"]")),MATCH(vp.tbl[[#This Row],[SDate]],weather.tbl[Date],0))</f>
        <v>16.3</v>
      </c>
      <c r="V1730" s="2" t="s">
        <v>310</v>
      </c>
      <c r="W1730" t="s">
        <v>48</v>
      </c>
      <c r="X1730">
        <f>IF(OR(vp.tbl[[#This Row],[Sulf]]="",vp.tbl[[#This Row],[Dens]]=""),1,0)</f>
        <v>1</v>
      </c>
      <c r="Y1730">
        <f>IF(vp.tbl[[#This Row],[CrudeType]]="C5+",1,0)</f>
        <v>0</v>
      </c>
      <c r="Z1730">
        <f>IF(AND(vp.tbl[[#This Row],[CrudeType]]="Crude",vp.tbl[[#This Row],[Dens]]&lt;=825,vp.tbl[[#This Row],[Sulf]]&gt;0.5,vp.tbl[[#This Row],[Unknown]]=0),1,0)</f>
        <v>0</v>
      </c>
      <c r="AA1730">
        <f>IF(AND(vp.tbl[[#This Row],[CrudeType]]="Crude",vp.tbl[[#This Row],[Dens]]&lt;=825,vp.tbl[[#This Row],[Sulf]]&lt;=0.5,vp.tbl[[#This Row],[Unknown]]=0),1,0)</f>
        <v>0</v>
      </c>
      <c r="AB1730">
        <f>IF(AND(vp.tbl[[#This Row],[CrudeType]]="Crude",vp.tbl[[#This Row],[Dens]]&gt;825,vp.tbl[[#This Row],[Dens]]&lt;=870,vp.tbl[[#This Row],[Sulf]]&gt;0.5,vp.tbl[[#This Row],[Unknown]]=0),1,0)</f>
        <v>0</v>
      </c>
      <c r="AC1730">
        <f>IF(AND(vp.tbl[[#This Row],[CrudeType]]="Crude",vp.tbl[[#This Row],[Dens]]&gt;825,vp.tbl[[#This Row],[Dens]]&lt;=900,vp.tbl[[#This Row],[Sulf]]&lt;=0.5,vp.tbl[[#This Row],[Unknown]]=0),1,0)</f>
        <v>0</v>
      </c>
      <c r="AD1730">
        <f>IF(AND(vp.tbl[[#This Row],[CrudeType]]="Crude",vp.tbl[[#This Row],[Dens]]&gt;870,vp.tbl[[#This Row],[Dens]]&lt;=900,vp.tbl[[#This Row],[Sulf]]&gt;0.5,vp.tbl[[#This Row],[Unknown]]=0),1,0)</f>
        <v>0</v>
      </c>
      <c r="AE1730">
        <f>IF(AND(vp.tbl[[#This Row],[CrudeType]]="Crude",vp.tbl[[#This Row],[Dens]]&gt;900,vp.tbl[[#This Row],[Sulf]]&lt;=0.5,vp.tbl[[#This Row],[Unknown]]=0),1,0)</f>
        <v>0</v>
      </c>
      <c r="AF1730">
        <f>IF(AND(vp.tbl[[#This Row],[CrudeType]]="Crude",vp.tbl[[#This Row],[Dens]]&gt;900,vp.tbl[[#This Row],[Sulf]]&lt;=0.5,vp.tbl[[#This Row],[Unknown]]=0),1,0)</f>
        <v>0</v>
      </c>
      <c r="AG1730" t="str">
        <f>INDEX(vp.tbl[[#Headers],[Unknown]:[Heavy_SW]],MATCH(1,vp.tbl[[#This Row],[Unknown]:[Heavy_SW]],0))</f>
        <v>Unknown</v>
      </c>
      <c r="AH1730" t="e">
        <f>INDEX([1]!crudeBD.lkup[Number],MATCH(vp.tbl[[#This Row],[Crude_Breakdown]],[1]!crudeBD.lkup[Crude Breakdown],0))</f>
        <v>#REF!</v>
      </c>
      <c r="AI1730">
        <f>MONTH(vp.tbl[[#This Row],[SDate]])</f>
        <v>6</v>
      </c>
      <c r="AJ1730" s="5" t="str">
        <f>IFERROR(vp.tbl[[#This Row],[Sulf]]*vp.tbl[[#This Row],[Net Dens]],"")</f>
        <v/>
      </c>
      <c r="AK1730" s="5" t="str">
        <f>IFERROR(vp.tbl[[#This Row],[Dens]]*vp.tbl[[#This Row],[VolumeM3]],"")</f>
        <v/>
      </c>
      <c r="AL1730" s="5" t="str">
        <f>IFERROR(vp.tbl[[#This Row],[VP]]*vp.tbl[[#This Row],[VolumeM3]],"")</f>
        <v/>
      </c>
      <c r="AM1730" s="4">
        <f>IFERROR((vp.tbl[[#This Row],[VP]]-INDEX(crudeBD.lkup.complete[Mean_VP],MATCH(vp.tbl[[#This Row],[Crude_Breakdown]],crudeBD.lkup.complete[Crude Breakdown],0)))^2,"")</f>
        <v>5.4996674845185369</v>
      </c>
      <c r="AN1730" s="4" t="str">
        <f>IFERROR((vp.tbl[[#This Row],[Dens]]-INDEX(crudeBD.lkup.complete[Mean_Dens],MATCH(vp.tbl[[#This Row],[Crude_Breakdown]],crudeBD.lkup.complete[Crude Breakdown],0)))^2,"")</f>
        <v/>
      </c>
      <c r="AO1730" s="4" t="str">
        <f>IFERROR((vp.tbl[[#This Row],[Sulf]]-INDEX(crudeBD.lkup.complete[Mean_Sulf],MATCH(vp.tbl[[#This Row],[Crude_Breakdown]],crudeBD.lkup.complete[Crude Breakdown],0)))^2,"")</f>
        <v/>
      </c>
      <c r="AP1730">
        <f>IF(AND(vp.tbl[[#This Row],[SDate]]&gt;=DATE(YEAR(vp.tbl[[#This Row],[SDate]]),5,1),vp.tbl[[#This Row],[SDate]]&lt;=DATE(YEAR(vp.tbl[[#This Row],[SDate]]),9,15)),1,0)</f>
        <v>1</v>
      </c>
      <c r="AQ1730" s="15">
        <f>IF(vp.tbl[[#This Row],[SDate]]&lt;DATE(2016,12,1),0,1)</f>
        <v>1</v>
      </c>
    </row>
    <row r="1731" spans="1:43" x14ac:dyDescent="0.25">
      <c r="A1731">
        <v>1730</v>
      </c>
      <c r="B1731" t="s">
        <v>51</v>
      </c>
      <c r="C1731" t="s">
        <v>51</v>
      </c>
      <c r="D1731" t="s">
        <v>58</v>
      </c>
      <c r="F1731" s="1">
        <v>42914</v>
      </c>
      <c r="G1731" s="2">
        <v>83.4</v>
      </c>
      <c r="H1731" s="2"/>
      <c r="I1731" s="2" t="s">
        <v>310</v>
      </c>
      <c r="J1731" s="2"/>
      <c r="K1731" s="2"/>
      <c r="L1731" s="2"/>
      <c r="M1731" s="2" t="s">
        <v>310</v>
      </c>
      <c r="N1731" s="2">
        <f ca="1">INDEX(INDIRECT(_xlfn.CONCAT("weather.tbl[",N$1,"]")),MATCH(vp.tbl[[#This Row],[SDate]],weather.tbl[Date],0))</f>
        <v>16.833333333333332</v>
      </c>
      <c r="O1731" s="2">
        <f ca="1">INDEX(INDIRECT(_xlfn.CONCAT("weather.tbl[",O$1,"]")),MATCH(vp.tbl[[#This Row],[SDate]],weather.tbl[Date],0))</f>
        <v>14.397619047619045</v>
      </c>
      <c r="P1731" s="2">
        <f ca="1">INDEX(INDIRECT(_xlfn.CONCAT("weather.tbl[",P$1,"]")),MATCH(vp.tbl[[#This Row],[SDate]],weather.tbl[Date],0))</f>
        <v>16.8</v>
      </c>
      <c r="Q1731" s="2">
        <f ca="1">INDEX(INDIRECT(_xlfn.CONCAT("weather.tbl[",Q$1,"]")),MATCH(vp.tbl[[#This Row],[SDate]],weather.tbl[Date],0))</f>
        <v>15.2</v>
      </c>
      <c r="R1731" s="2">
        <f ca="1">INDEX(INDIRECT(_xlfn.CONCAT("weather.tbl[",R$1,"]")),MATCH(vp.tbl[[#This Row],[SDate]],weather.tbl[Date],0))</f>
        <v>17</v>
      </c>
      <c r="S1731" s="2">
        <f ca="1">INDEX(INDIRECT(_xlfn.CONCAT("weather.tbl[",S$1,"]")),MATCH(vp.tbl[[#This Row],[SDate]],weather.tbl[Date],0))</f>
        <v>16.2</v>
      </c>
      <c r="T1731" s="2">
        <f ca="1">INDEX(INDIRECT(_xlfn.CONCAT("weather.tbl[",T$1,"]")),MATCH(vp.tbl[[#This Row],[SDate]],weather.tbl[Date],0))</f>
        <v>19.5</v>
      </c>
      <c r="U1731" s="2">
        <f ca="1">INDEX(INDIRECT(_xlfn.CONCAT("weather.tbl[",U$1,"]")),MATCH(vp.tbl[[#This Row],[SDate]],weather.tbl[Date],0))</f>
        <v>16.3</v>
      </c>
      <c r="V1731" s="2" t="s">
        <v>310</v>
      </c>
      <c r="W1731" t="s">
        <v>48</v>
      </c>
      <c r="X1731">
        <f>IF(OR(vp.tbl[[#This Row],[Sulf]]="",vp.tbl[[#This Row],[Dens]]=""),1,0)</f>
        <v>1</v>
      </c>
      <c r="Y1731">
        <f>IF(vp.tbl[[#This Row],[CrudeType]]="C5+",1,0)</f>
        <v>0</v>
      </c>
      <c r="Z1731">
        <f>IF(AND(vp.tbl[[#This Row],[CrudeType]]="Crude",vp.tbl[[#This Row],[Dens]]&lt;=825,vp.tbl[[#This Row],[Sulf]]&gt;0.5,vp.tbl[[#This Row],[Unknown]]=0),1,0)</f>
        <v>0</v>
      </c>
      <c r="AA1731">
        <f>IF(AND(vp.tbl[[#This Row],[CrudeType]]="Crude",vp.tbl[[#This Row],[Dens]]&lt;=825,vp.tbl[[#This Row],[Sulf]]&lt;=0.5,vp.tbl[[#This Row],[Unknown]]=0),1,0)</f>
        <v>0</v>
      </c>
      <c r="AB1731">
        <f>IF(AND(vp.tbl[[#This Row],[CrudeType]]="Crude",vp.tbl[[#This Row],[Dens]]&gt;825,vp.tbl[[#This Row],[Dens]]&lt;=870,vp.tbl[[#This Row],[Sulf]]&gt;0.5,vp.tbl[[#This Row],[Unknown]]=0),1,0)</f>
        <v>0</v>
      </c>
      <c r="AC1731">
        <f>IF(AND(vp.tbl[[#This Row],[CrudeType]]="Crude",vp.tbl[[#This Row],[Dens]]&gt;825,vp.tbl[[#This Row],[Dens]]&lt;=900,vp.tbl[[#This Row],[Sulf]]&lt;=0.5,vp.tbl[[#This Row],[Unknown]]=0),1,0)</f>
        <v>0</v>
      </c>
      <c r="AD1731">
        <f>IF(AND(vp.tbl[[#This Row],[CrudeType]]="Crude",vp.tbl[[#This Row],[Dens]]&gt;870,vp.tbl[[#This Row],[Dens]]&lt;=900,vp.tbl[[#This Row],[Sulf]]&gt;0.5,vp.tbl[[#This Row],[Unknown]]=0),1,0)</f>
        <v>0</v>
      </c>
      <c r="AE1731">
        <f>IF(AND(vp.tbl[[#This Row],[CrudeType]]="Crude",vp.tbl[[#This Row],[Dens]]&gt;900,vp.tbl[[#This Row],[Sulf]]&lt;=0.5,vp.tbl[[#This Row],[Unknown]]=0),1,0)</f>
        <v>0</v>
      </c>
      <c r="AF1731">
        <f>IF(AND(vp.tbl[[#This Row],[CrudeType]]="Crude",vp.tbl[[#This Row],[Dens]]&gt;900,vp.tbl[[#This Row],[Sulf]]&lt;=0.5,vp.tbl[[#This Row],[Unknown]]=0),1,0)</f>
        <v>0</v>
      </c>
      <c r="AG1731" t="str">
        <f>INDEX(vp.tbl[[#Headers],[Unknown]:[Heavy_SW]],MATCH(1,vp.tbl[[#This Row],[Unknown]:[Heavy_SW]],0))</f>
        <v>Unknown</v>
      </c>
      <c r="AH1731" t="e">
        <f>INDEX([1]!crudeBD.lkup[Number],MATCH(vp.tbl[[#This Row],[Crude_Breakdown]],[1]!crudeBD.lkup[Crude Breakdown],0))</f>
        <v>#REF!</v>
      </c>
      <c r="AI1731">
        <f>MONTH(vp.tbl[[#This Row],[SDate]])</f>
        <v>6</v>
      </c>
      <c r="AJ1731" s="5" t="str">
        <f>IFERROR(vp.tbl[[#This Row],[Sulf]]*vp.tbl[[#This Row],[Net Dens]],"")</f>
        <v/>
      </c>
      <c r="AK1731" s="5" t="str">
        <f>IFERROR(vp.tbl[[#This Row],[Dens]]*vp.tbl[[#This Row],[VolumeM3]],"")</f>
        <v/>
      </c>
      <c r="AL1731" s="5" t="str">
        <f>IFERROR(vp.tbl[[#This Row],[VP]]*vp.tbl[[#This Row],[VolumeM3]],"")</f>
        <v/>
      </c>
      <c r="AM1731" s="4">
        <f>IFERROR((vp.tbl[[#This Row],[VP]]-INDEX(crudeBD.lkup.complete[Mean_VP],MATCH(vp.tbl[[#This Row],[Crude_Breakdown]],crudeBD.lkup.complete[Crude Breakdown],0)))^2,"")</f>
        <v>91.295407210546728</v>
      </c>
      <c r="AN1731" s="4" t="str">
        <f>IFERROR((vp.tbl[[#This Row],[Dens]]-INDEX(crudeBD.lkup.complete[Mean_Dens],MATCH(vp.tbl[[#This Row],[Crude_Breakdown]],crudeBD.lkup.complete[Crude Breakdown],0)))^2,"")</f>
        <v/>
      </c>
      <c r="AO1731" s="4" t="str">
        <f>IFERROR((vp.tbl[[#This Row],[Sulf]]-INDEX(crudeBD.lkup.complete[Mean_Sulf],MATCH(vp.tbl[[#This Row],[Crude_Breakdown]],crudeBD.lkup.complete[Crude Breakdown],0)))^2,"")</f>
        <v/>
      </c>
      <c r="AP1731">
        <f>IF(AND(vp.tbl[[#This Row],[SDate]]&gt;=DATE(YEAR(vp.tbl[[#This Row],[SDate]]),5,1),vp.tbl[[#This Row],[SDate]]&lt;=DATE(YEAR(vp.tbl[[#This Row],[SDate]]),9,15)),1,0)</f>
        <v>1</v>
      </c>
      <c r="AQ1731" s="15">
        <f>IF(vp.tbl[[#This Row],[SDate]]&lt;DATE(2016,12,1),0,1)</f>
        <v>1</v>
      </c>
    </row>
    <row r="1732" spans="1:43" x14ac:dyDescent="0.25">
      <c r="A1732">
        <v>1731</v>
      </c>
      <c r="B1732" t="s">
        <v>292</v>
      </c>
      <c r="C1732" t="s">
        <v>292</v>
      </c>
      <c r="D1732" t="s">
        <v>57</v>
      </c>
      <c r="F1732" s="1">
        <v>42914</v>
      </c>
      <c r="G1732" s="2">
        <v>71.3</v>
      </c>
      <c r="H1732" s="2"/>
      <c r="I1732" s="2" t="s">
        <v>310</v>
      </c>
      <c r="J1732" s="2"/>
      <c r="K1732" s="2"/>
      <c r="L1732" s="2"/>
      <c r="M1732" s="2" t="s">
        <v>310</v>
      </c>
      <c r="N1732" s="2">
        <f ca="1">INDEX(INDIRECT(_xlfn.CONCAT("weather.tbl[",N$1,"]")),MATCH(vp.tbl[[#This Row],[SDate]],weather.tbl[Date],0))</f>
        <v>16.833333333333332</v>
      </c>
      <c r="O1732" s="2">
        <f ca="1">INDEX(INDIRECT(_xlfn.CONCAT("weather.tbl[",O$1,"]")),MATCH(vp.tbl[[#This Row],[SDate]],weather.tbl[Date],0))</f>
        <v>14.397619047619045</v>
      </c>
      <c r="P1732" s="2">
        <f ca="1">INDEX(INDIRECT(_xlfn.CONCAT("weather.tbl[",P$1,"]")),MATCH(vp.tbl[[#This Row],[SDate]],weather.tbl[Date],0))</f>
        <v>16.8</v>
      </c>
      <c r="Q1732" s="2">
        <f ca="1">INDEX(INDIRECT(_xlfn.CONCAT("weather.tbl[",Q$1,"]")),MATCH(vp.tbl[[#This Row],[SDate]],weather.tbl[Date],0))</f>
        <v>15.2</v>
      </c>
      <c r="R1732" s="2">
        <f ca="1">INDEX(INDIRECT(_xlfn.CONCAT("weather.tbl[",R$1,"]")),MATCH(vp.tbl[[#This Row],[SDate]],weather.tbl[Date],0))</f>
        <v>17</v>
      </c>
      <c r="S1732" s="2">
        <f ca="1">INDEX(INDIRECT(_xlfn.CONCAT("weather.tbl[",S$1,"]")),MATCH(vp.tbl[[#This Row],[SDate]],weather.tbl[Date],0))</f>
        <v>16.2</v>
      </c>
      <c r="T1732" s="2">
        <f ca="1">INDEX(INDIRECT(_xlfn.CONCAT("weather.tbl[",T$1,"]")),MATCH(vp.tbl[[#This Row],[SDate]],weather.tbl[Date],0))</f>
        <v>19.5</v>
      </c>
      <c r="U1732" s="2">
        <f ca="1">INDEX(INDIRECT(_xlfn.CONCAT("weather.tbl[",U$1,"]")),MATCH(vp.tbl[[#This Row],[SDate]],weather.tbl[Date],0))</f>
        <v>16.3</v>
      </c>
      <c r="V1732" s="2" t="s">
        <v>310</v>
      </c>
      <c r="W1732" t="s">
        <v>48</v>
      </c>
      <c r="X1732">
        <f>IF(OR(vp.tbl[[#This Row],[Sulf]]="",vp.tbl[[#This Row],[Dens]]=""),1,0)</f>
        <v>1</v>
      </c>
      <c r="Y1732">
        <f>IF(vp.tbl[[#This Row],[CrudeType]]="C5+",1,0)</f>
        <v>0</v>
      </c>
      <c r="Z1732">
        <f>IF(AND(vp.tbl[[#This Row],[CrudeType]]="Crude",vp.tbl[[#This Row],[Dens]]&lt;=825,vp.tbl[[#This Row],[Sulf]]&gt;0.5,vp.tbl[[#This Row],[Unknown]]=0),1,0)</f>
        <v>0</v>
      </c>
      <c r="AA1732">
        <f>IF(AND(vp.tbl[[#This Row],[CrudeType]]="Crude",vp.tbl[[#This Row],[Dens]]&lt;=825,vp.tbl[[#This Row],[Sulf]]&lt;=0.5,vp.tbl[[#This Row],[Unknown]]=0),1,0)</f>
        <v>0</v>
      </c>
      <c r="AB1732">
        <f>IF(AND(vp.tbl[[#This Row],[CrudeType]]="Crude",vp.tbl[[#This Row],[Dens]]&gt;825,vp.tbl[[#This Row],[Dens]]&lt;=870,vp.tbl[[#This Row],[Sulf]]&gt;0.5,vp.tbl[[#This Row],[Unknown]]=0),1,0)</f>
        <v>0</v>
      </c>
      <c r="AC1732">
        <f>IF(AND(vp.tbl[[#This Row],[CrudeType]]="Crude",vp.tbl[[#This Row],[Dens]]&gt;825,vp.tbl[[#This Row],[Dens]]&lt;=900,vp.tbl[[#This Row],[Sulf]]&lt;=0.5,vp.tbl[[#This Row],[Unknown]]=0),1,0)</f>
        <v>0</v>
      </c>
      <c r="AD1732">
        <f>IF(AND(vp.tbl[[#This Row],[CrudeType]]="Crude",vp.tbl[[#This Row],[Dens]]&gt;870,vp.tbl[[#This Row],[Dens]]&lt;=900,vp.tbl[[#This Row],[Sulf]]&gt;0.5,vp.tbl[[#This Row],[Unknown]]=0),1,0)</f>
        <v>0</v>
      </c>
      <c r="AE1732">
        <f>IF(AND(vp.tbl[[#This Row],[CrudeType]]="Crude",vp.tbl[[#This Row],[Dens]]&gt;900,vp.tbl[[#This Row],[Sulf]]&lt;=0.5,vp.tbl[[#This Row],[Unknown]]=0),1,0)</f>
        <v>0</v>
      </c>
      <c r="AF1732">
        <f>IF(AND(vp.tbl[[#This Row],[CrudeType]]="Crude",vp.tbl[[#This Row],[Dens]]&gt;900,vp.tbl[[#This Row],[Sulf]]&lt;=0.5,vp.tbl[[#This Row],[Unknown]]=0),1,0)</f>
        <v>0</v>
      </c>
      <c r="AG1732" t="str">
        <f>INDEX(vp.tbl[[#Headers],[Unknown]:[Heavy_SW]],MATCH(1,vp.tbl[[#This Row],[Unknown]:[Heavy_SW]],0))</f>
        <v>Unknown</v>
      </c>
      <c r="AH1732" t="e">
        <f>INDEX([1]!crudeBD.lkup[Number],MATCH(vp.tbl[[#This Row],[Crude_Breakdown]],[1]!crudeBD.lkup[Crude Breakdown],0))</f>
        <v>#REF!</v>
      </c>
      <c r="AI1732">
        <f>MONTH(vp.tbl[[#This Row],[SDate]])</f>
        <v>6</v>
      </c>
      <c r="AJ1732" s="5" t="str">
        <f>IFERROR(vp.tbl[[#This Row],[Sulf]]*vp.tbl[[#This Row],[Net Dens]],"")</f>
        <v/>
      </c>
      <c r="AK1732" s="5" t="str">
        <f>IFERROR(vp.tbl[[#This Row],[Dens]]*vp.tbl[[#This Row],[VolumeM3]],"")</f>
        <v/>
      </c>
      <c r="AL1732" s="5" t="str">
        <f>IFERROR(vp.tbl[[#This Row],[VP]]*vp.tbl[[#This Row],[VolumeM3]],"")</f>
        <v/>
      </c>
      <c r="AM1732" s="4">
        <f>IFERROR((vp.tbl[[#This Row],[VP]]-INDEX(crudeBD.lkup.complete[Mean_VP],MATCH(vp.tbl[[#This Row],[Crude_Breakdown]],crudeBD.lkup.complete[Crude Breakdown],0)))^2,"")</f>
        <v>6.4777222790390878</v>
      </c>
      <c r="AN1732" s="4" t="str">
        <f>IFERROR((vp.tbl[[#This Row],[Dens]]-INDEX(crudeBD.lkup.complete[Mean_Dens],MATCH(vp.tbl[[#This Row],[Crude_Breakdown]],crudeBD.lkup.complete[Crude Breakdown],0)))^2,"")</f>
        <v/>
      </c>
      <c r="AO1732" s="4" t="str">
        <f>IFERROR((vp.tbl[[#This Row],[Sulf]]-INDEX(crudeBD.lkup.complete[Mean_Sulf],MATCH(vp.tbl[[#This Row],[Crude_Breakdown]],crudeBD.lkup.complete[Crude Breakdown],0)))^2,"")</f>
        <v/>
      </c>
      <c r="AP1732">
        <f>IF(AND(vp.tbl[[#This Row],[SDate]]&gt;=DATE(YEAR(vp.tbl[[#This Row],[SDate]]),5,1),vp.tbl[[#This Row],[SDate]]&lt;=DATE(YEAR(vp.tbl[[#This Row],[SDate]]),9,15)),1,0)</f>
        <v>1</v>
      </c>
      <c r="AQ1732" s="15">
        <f>IF(vp.tbl[[#This Row],[SDate]]&lt;DATE(2016,12,1),0,1)</f>
        <v>1</v>
      </c>
    </row>
    <row r="1733" spans="1:43" x14ac:dyDescent="0.25">
      <c r="A1733">
        <v>1732</v>
      </c>
      <c r="B1733" t="s">
        <v>51</v>
      </c>
      <c r="C1733" t="s">
        <v>51</v>
      </c>
      <c r="D1733" t="s">
        <v>71</v>
      </c>
      <c r="F1733" s="1">
        <v>42914</v>
      </c>
      <c r="G1733" s="2">
        <v>81.599999999999994</v>
      </c>
      <c r="H1733" s="2"/>
      <c r="I1733" s="2" t="s">
        <v>310</v>
      </c>
      <c r="J1733" s="2"/>
      <c r="K1733" s="2"/>
      <c r="L1733" s="2"/>
      <c r="M1733" s="2" t="s">
        <v>310</v>
      </c>
      <c r="N1733" s="2">
        <f ca="1">INDEX(INDIRECT(_xlfn.CONCAT("weather.tbl[",N$1,"]")),MATCH(vp.tbl[[#This Row],[SDate]],weather.tbl[Date],0))</f>
        <v>16.833333333333332</v>
      </c>
      <c r="O1733" s="2">
        <f ca="1">INDEX(INDIRECT(_xlfn.CONCAT("weather.tbl[",O$1,"]")),MATCH(vp.tbl[[#This Row],[SDate]],weather.tbl[Date],0))</f>
        <v>14.397619047619045</v>
      </c>
      <c r="P1733" s="2">
        <f ca="1">INDEX(INDIRECT(_xlfn.CONCAT("weather.tbl[",P$1,"]")),MATCH(vp.tbl[[#This Row],[SDate]],weather.tbl[Date],0))</f>
        <v>16.8</v>
      </c>
      <c r="Q1733" s="2">
        <f ca="1">INDEX(INDIRECT(_xlfn.CONCAT("weather.tbl[",Q$1,"]")),MATCH(vp.tbl[[#This Row],[SDate]],weather.tbl[Date],0))</f>
        <v>15.2</v>
      </c>
      <c r="R1733" s="2">
        <f ca="1">INDEX(INDIRECT(_xlfn.CONCAT("weather.tbl[",R$1,"]")),MATCH(vp.tbl[[#This Row],[SDate]],weather.tbl[Date],0))</f>
        <v>17</v>
      </c>
      <c r="S1733" s="2">
        <f ca="1">INDEX(INDIRECT(_xlfn.CONCAT("weather.tbl[",S$1,"]")),MATCH(vp.tbl[[#This Row],[SDate]],weather.tbl[Date],0))</f>
        <v>16.2</v>
      </c>
      <c r="T1733" s="2">
        <f ca="1">INDEX(INDIRECT(_xlfn.CONCAT("weather.tbl[",T$1,"]")),MATCH(vp.tbl[[#This Row],[SDate]],weather.tbl[Date],0))</f>
        <v>19.5</v>
      </c>
      <c r="U1733" s="2">
        <f ca="1">INDEX(INDIRECT(_xlfn.CONCAT("weather.tbl[",U$1,"]")),MATCH(vp.tbl[[#This Row],[SDate]],weather.tbl[Date],0))</f>
        <v>16.3</v>
      </c>
      <c r="V1733" s="2" t="s">
        <v>310</v>
      </c>
      <c r="W1733" t="s">
        <v>48</v>
      </c>
      <c r="X1733">
        <f>IF(OR(vp.tbl[[#This Row],[Sulf]]="",vp.tbl[[#This Row],[Dens]]=""),1,0)</f>
        <v>1</v>
      </c>
      <c r="Y1733">
        <f>IF(vp.tbl[[#This Row],[CrudeType]]="C5+",1,0)</f>
        <v>0</v>
      </c>
      <c r="Z1733">
        <f>IF(AND(vp.tbl[[#This Row],[CrudeType]]="Crude",vp.tbl[[#This Row],[Dens]]&lt;=825,vp.tbl[[#This Row],[Sulf]]&gt;0.5,vp.tbl[[#This Row],[Unknown]]=0),1,0)</f>
        <v>0</v>
      </c>
      <c r="AA1733">
        <f>IF(AND(vp.tbl[[#This Row],[CrudeType]]="Crude",vp.tbl[[#This Row],[Dens]]&lt;=825,vp.tbl[[#This Row],[Sulf]]&lt;=0.5,vp.tbl[[#This Row],[Unknown]]=0),1,0)</f>
        <v>0</v>
      </c>
      <c r="AB1733">
        <f>IF(AND(vp.tbl[[#This Row],[CrudeType]]="Crude",vp.tbl[[#This Row],[Dens]]&gt;825,vp.tbl[[#This Row],[Dens]]&lt;=870,vp.tbl[[#This Row],[Sulf]]&gt;0.5,vp.tbl[[#This Row],[Unknown]]=0),1,0)</f>
        <v>0</v>
      </c>
      <c r="AC1733">
        <f>IF(AND(vp.tbl[[#This Row],[CrudeType]]="Crude",vp.tbl[[#This Row],[Dens]]&gt;825,vp.tbl[[#This Row],[Dens]]&lt;=900,vp.tbl[[#This Row],[Sulf]]&lt;=0.5,vp.tbl[[#This Row],[Unknown]]=0),1,0)</f>
        <v>0</v>
      </c>
      <c r="AD1733">
        <f>IF(AND(vp.tbl[[#This Row],[CrudeType]]="Crude",vp.tbl[[#This Row],[Dens]]&gt;870,vp.tbl[[#This Row],[Dens]]&lt;=900,vp.tbl[[#This Row],[Sulf]]&gt;0.5,vp.tbl[[#This Row],[Unknown]]=0),1,0)</f>
        <v>0</v>
      </c>
      <c r="AE1733">
        <f>IF(AND(vp.tbl[[#This Row],[CrudeType]]="Crude",vp.tbl[[#This Row],[Dens]]&gt;900,vp.tbl[[#This Row],[Sulf]]&lt;=0.5,vp.tbl[[#This Row],[Unknown]]=0),1,0)</f>
        <v>0</v>
      </c>
      <c r="AF1733">
        <f>IF(AND(vp.tbl[[#This Row],[CrudeType]]="Crude",vp.tbl[[#This Row],[Dens]]&gt;900,vp.tbl[[#This Row],[Sulf]]&lt;=0.5,vp.tbl[[#This Row],[Unknown]]=0),1,0)</f>
        <v>0</v>
      </c>
      <c r="AG1733" t="str">
        <f>INDEX(vp.tbl[[#Headers],[Unknown]:[Heavy_SW]],MATCH(1,vp.tbl[[#This Row],[Unknown]:[Heavy_SW]],0))</f>
        <v>Unknown</v>
      </c>
      <c r="AH1733" t="e">
        <f>INDEX([1]!crudeBD.lkup[Number],MATCH(vp.tbl[[#This Row],[Crude_Breakdown]],[1]!crudeBD.lkup[Crude Breakdown],0))</f>
        <v>#REF!</v>
      </c>
      <c r="AI1733">
        <f>MONTH(vp.tbl[[#This Row],[SDate]])</f>
        <v>6</v>
      </c>
      <c r="AJ1733" s="5" t="str">
        <f>IFERROR(vp.tbl[[#This Row],[Sulf]]*vp.tbl[[#This Row],[Net Dens]],"")</f>
        <v/>
      </c>
      <c r="AK1733" s="5" t="str">
        <f>IFERROR(vp.tbl[[#This Row],[Dens]]*vp.tbl[[#This Row],[VolumeM3]],"")</f>
        <v/>
      </c>
      <c r="AL1733" s="5" t="str">
        <f>IFERROR(vp.tbl[[#This Row],[VP]]*vp.tbl[[#This Row],[VolumeM3]],"")</f>
        <v/>
      </c>
      <c r="AM1733" s="4">
        <f>IFERROR((vp.tbl[[#This Row],[VP]]-INDEX(crudeBD.lkup.complete[Mean_VP],MATCH(vp.tbl[[#This Row],[Crude_Breakdown]],crudeBD.lkup.complete[Crude Breakdown],0)))^2,"")</f>
        <v>60.13790036123136</v>
      </c>
      <c r="AN1733" s="4" t="str">
        <f>IFERROR((vp.tbl[[#This Row],[Dens]]-INDEX(crudeBD.lkup.complete[Mean_Dens],MATCH(vp.tbl[[#This Row],[Crude_Breakdown]],crudeBD.lkup.complete[Crude Breakdown],0)))^2,"")</f>
        <v/>
      </c>
      <c r="AO1733" s="4" t="str">
        <f>IFERROR((vp.tbl[[#This Row],[Sulf]]-INDEX(crudeBD.lkup.complete[Mean_Sulf],MATCH(vp.tbl[[#This Row],[Crude_Breakdown]],crudeBD.lkup.complete[Crude Breakdown],0)))^2,"")</f>
        <v/>
      </c>
      <c r="AP1733">
        <f>IF(AND(vp.tbl[[#This Row],[SDate]]&gt;=DATE(YEAR(vp.tbl[[#This Row],[SDate]]),5,1),vp.tbl[[#This Row],[SDate]]&lt;=DATE(YEAR(vp.tbl[[#This Row],[SDate]]),9,15)),1,0)</f>
        <v>1</v>
      </c>
      <c r="AQ1733" s="15">
        <f>IF(vp.tbl[[#This Row],[SDate]]&lt;DATE(2016,12,1),0,1)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topLeftCell="A1247" workbookViewId="0">
      <selection activeCell="M1281" sqref="M1281"/>
    </sheetView>
  </sheetViews>
  <sheetFormatPr defaultRowHeight="15" x14ac:dyDescent="0.25"/>
  <cols>
    <col min="1" max="1" width="10.7109375" bestFit="1" customWidth="1"/>
    <col min="2" max="2" width="10" customWidth="1"/>
    <col min="3" max="3" width="11.42578125" customWidth="1"/>
    <col min="4" max="4" width="9.42578125" customWidth="1"/>
    <col min="5" max="5" width="20.140625" customWidth="1"/>
    <col min="7" max="7" width="9.28515625" customWidth="1"/>
    <col min="8" max="8" width="13.85546875" customWidth="1"/>
    <col min="10" max="10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41640</v>
      </c>
      <c r="B2" s="2">
        <v>-23.6</v>
      </c>
      <c r="C2" s="2">
        <v>-24.8</v>
      </c>
      <c r="D2" s="2">
        <v>-27.3</v>
      </c>
      <c r="E2" s="2">
        <v>-23</v>
      </c>
      <c r="F2" s="2">
        <v>-26.7</v>
      </c>
      <c r="G2" s="2">
        <v>-25.7</v>
      </c>
      <c r="H2" s="2">
        <f>AVERAGE(weather.tbl[[#This Row],[Estevan]:[Kipling]])</f>
        <v>-25.183333333333334</v>
      </c>
      <c r="I2" s="2">
        <f>_xlfn.STDEV.S(weather.tbl[[#This Row],[Estevan]:[Kipling]])</f>
        <v>1.7010780895263644</v>
      </c>
      <c r="J2" s="2">
        <f>AVERAGE($H$2:H2)</f>
        <v>-25.183333333333334</v>
      </c>
      <c r="K2">
        <f>DAY(weather.tbl[[#This Row],[Date]])</f>
        <v>1</v>
      </c>
      <c r="L2">
        <f>MONTH(weather.tbl[[#This Row],[Date]])</f>
        <v>1</v>
      </c>
      <c r="M2">
        <f>YEAR(weather.tbl[[#This Row],[Date]])</f>
        <v>2014</v>
      </c>
    </row>
    <row r="3" spans="1:13" x14ac:dyDescent="0.25">
      <c r="A3" s="1">
        <v>41641</v>
      </c>
      <c r="B3" s="2">
        <v>-18.399999999999999</v>
      </c>
      <c r="C3" s="2">
        <v>-21.5</v>
      </c>
      <c r="D3" s="2">
        <v>-27.3</v>
      </c>
      <c r="E3" s="2">
        <v>-18.5</v>
      </c>
      <c r="F3" s="2">
        <v>-24.4</v>
      </c>
      <c r="G3" s="2">
        <v>-18.8</v>
      </c>
      <c r="H3" s="2">
        <f>AVERAGE(weather.tbl[[#This Row],[Estevan]:[Kipling]])</f>
        <v>-21.483333333333334</v>
      </c>
      <c r="I3" s="2">
        <f>_xlfn.STDEV.S(weather.tbl[[#This Row],[Estevan]:[Kipling]])</f>
        <v>3.6864165074861743</v>
      </c>
      <c r="J3" s="2">
        <f>AVERAGE($H$2:H3)</f>
        <v>-23.333333333333336</v>
      </c>
      <c r="K3">
        <f>DAY(weather.tbl[[#This Row],[Date]])</f>
        <v>2</v>
      </c>
      <c r="L3">
        <f>MONTH(weather.tbl[[#This Row],[Date]])</f>
        <v>1</v>
      </c>
      <c r="M3">
        <f>YEAR(weather.tbl[[#This Row],[Date]])</f>
        <v>2014</v>
      </c>
    </row>
    <row r="4" spans="1:13" x14ac:dyDescent="0.25">
      <c r="A4" s="1">
        <v>41642</v>
      </c>
      <c r="B4" s="2">
        <v>-9.1999999999999993</v>
      </c>
      <c r="C4" s="2">
        <v>-12.2</v>
      </c>
      <c r="D4" s="2">
        <v>-27.3</v>
      </c>
      <c r="E4" s="2">
        <v>-8.5</v>
      </c>
      <c r="F4" s="2">
        <v>-10.4</v>
      </c>
      <c r="G4" s="2">
        <v>-9.4</v>
      </c>
      <c r="H4" s="2">
        <f>AVERAGE(weather.tbl[[#This Row],[Estevan]:[Kipling]])</f>
        <v>-12.833333333333336</v>
      </c>
      <c r="I4" s="2">
        <f>_xlfn.STDEV.S(weather.tbl[[#This Row],[Estevan]:[Kipling]])</f>
        <v>7.2024070050689719</v>
      </c>
      <c r="J4" s="2">
        <f>AVERAGE($H$2:H4)</f>
        <v>-19.833333333333336</v>
      </c>
      <c r="K4">
        <f>DAY(weather.tbl[[#This Row],[Date]])</f>
        <v>3</v>
      </c>
      <c r="L4">
        <f>MONTH(weather.tbl[[#This Row],[Date]])</f>
        <v>1</v>
      </c>
      <c r="M4">
        <f>YEAR(weather.tbl[[#This Row],[Date]])</f>
        <v>2014</v>
      </c>
    </row>
    <row r="5" spans="1:13" x14ac:dyDescent="0.25">
      <c r="A5" s="1">
        <v>41643</v>
      </c>
      <c r="B5" s="2">
        <v>-22.9</v>
      </c>
      <c r="C5" s="2">
        <v>-24.2</v>
      </c>
      <c r="D5" s="2">
        <v>-24.8</v>
      </c>
      <c r="E5" s="2">
        <v>-24.3</v>
      </c>
      <c r="F5" s="2">
        <v>-21.1</v>
      </c>
      <c r="G5" s="2">
        <v>-26.6</v>
      </c>
      <c r="H5" s="2">
        <f>AVERAGE(weather.tbl[[#This Row],[Estevan]:[Kipling]])</f>
        <v>-23.983333333333331</v>
      </c>
      <c r="I5" s="2">
        <f>_xlfn.STDEV.S(weather.tbl[[#This Row],[Estevan]:[Kipling]])</f>
        <v>1.8519359240175313</v>
      </c>
      <c r="J5" s="2">
        <f>AVERAGE($H$2:H5)</f>
        <v>-20.870833333333334</v>
      </c>
      <c r="K5">
        <f>DAY(weather.tbl[[#This Row],[Date]])</f>
        <v>4</v>
      </c>
      <c r="L5">
        <f>MONTH(weather.tbl[[#This Row],[Date]])</f>
        <v>1</v>
      </c>
      <c r="M5">
        <f>YEAR(weather.tbl[[#This Row],[Date]])</f>
        <v>2014</v>
      </c>
    </row>
    <row r="6" spans="1:13" x14ac:dyDescent="0.25">
      <c r="A6" s="1">
        <v>41644</v>
      </c>
      <c r="B6" s="2">
        <v>-29.9</v>
      </c>
      <c r="C6" s="2">
        <v>-30.4</v>
      </c>
      <c r="D6" s="2">
        <v>-32.5</v>
      </c>
      <c r="E6" s="2">
        <v>-31.8</v>
      </c>
      <c r="F6" s="2">
        <v>-30.3</v>
      </c>
      <c r="G6" s="2">
        <v>-33.299999999999997</v>
      </c>
      <c r="H6" s="2">
        <f>AVERAGE(weather.tbl[[#This Row],[Estevan]:[Kipling]])</f>
        <v>-31.366666666666664</v>
      </c>
      <c r="I6" s="2">
        <f>_xlfn.STDEV.S(weather.tbl[[#This Row],[Estevan]:[Kipling]])</f>
        <v>1.3735598518691008</v>
      </c>
      <c r="J6" s="2">
        <f>AVERAGE($H$2:H6)</f>
        <v>-22.97</v>
      </c>
      <c r="K6">
        <f>DAY(weather.tbl[[#This Row],[Date]])</f>
        <v>5</v>
      </c>
      <c r="L6">
        <f>MONTH(weather.tbl[[#This Row],[Date]])</f>
        <v>1</v>
      </c>
      <c r="M6">
        <f>YEAR(weather.tbl[[#This Row],[Date]])</f>
        <v>2014</v>
      </c>
    </row>
    <row r="7" spans="1:13" x14ac:dyDescent="0.25">
      <c r="A7" s="1">
        <v>41645</v>
      </c>
      <c r="B7" s="2">
        <v>-26.6</v>
      </c>
      <c r="C7" s="2">
        <v>-27.7</v>
      </c>
      <c r="D7" s="2">
        <v>-28</v>
      </c>
      <c r="E7" s="2">
        <v>-27</v>
      </c>
      <c r="F7" s="2">
        <v>-28</v>
      </c>
      <c r="G7" s="2">
        <v>-28.2</v>
      </c>
      <c r="H7" s="2">
        <f>AVERAGE(weather.tbl[[#This Row],[Estevan]:[Kipling]])</f>
        <v>-27.583333333333332</v>
      </c>
      <c r="I7" s="2">
        <f>_xlfn.STDEV.S(weather.tbl[[#This Row],[Estevan]:[Kipling]])</f>
        <v>0.64005208121422885</v>
      </c>
      <c r="J7" s="2">
        <f>AVERAGE($H$2:H7)</f>
        <v>-23.738888888888891</v>
      </c>
      <c r="K7">
        <f>DAY(weather.tbl[[#This Row],[Date]])</f>
        <v>6</v>
      </c>
      <c r="L7">
        <f>MONTH(weather.tbl[[#This Row],[Date]])</f>
        <v>1</v>
      </c>
      <c r="M7">
        <f>YEAR(weather.tbl[[#This Row],[Date]])</f>
        <v>2014</v>
      </c>
    </row>
    <row r="8" spans="1:13" x14ac:dyDescent="0.25">
      <c r="A8" s="1">
        <v>41646</v>
      </c>
      <c r="B8" s="2">
        <v>-25.6</v>
      </c>
      <c r="C8" s="2">
        <v>-27.7</v>
      </c>
      <c r="D8" s="2">
        <v>-23</v>
      </c>
      <c r="E8" s="2">
        <v>-25</v>
      </c>
      <c r="F8" s="2">
        <v>-24.7</v>
      </c>
      <c r="G8" s="2">
        <v>-24.5</v>
      </c>
      <c r="H8" s="2">
        <f>AVERAGE(weather.tbl[[#This Row],[Estevan]:[Kipling]])</f>
        <v>-25.083333333333332</v>
      </c>
      <c r="I8" s="2">
        <f>_xlfn.STDEV.S(weather.tbl[[#This Row],[Estevan]:[Kipling]])</f>
        <v>1.545854671910224</v>
      </c>
      <c r="J8" s="2">
        <f>AVERAGE($H$2:H8)</f>
        <v>-23.930952380952384</v>
      </c>
      <c r="K8">
        <f>DAY(weather.tbl[[#This Row],[Date]])</f>
        <v>7</v>
      </c>
      <c r="L8">
        <f>MONTH(weather.tbl[[#This Row],[Date]])</f>
        <v>1</v>
      </c>
      <c r="M8">
        <f>YEAR(weather.tbl[[#This Row],[Date]])</f>
        <v>2014</v>
      </c>
    </row>
    <row r="9" spans="1:13" x14ac:dyDescent="0.25">
      <c r="A9" s="1">
        <v>41647</v>
      </c>
      <c r="B9" s="2">
        <v>-21.1</v>
      </c>
      <c r="C9" s="2">
        <v>-24.1</v>
      </c>
      <c r="D9" s="2">
        <v>-24.3</v>
      </c>
      <c r="E9" s="2">
        <v>-21.5</v>
      </c>
      <c r="F9" s="2">
        <v>-24.1</v>
      </c>
      <c r="G9" s="2">
        <v>-20</v>
      </c>
      <c r="H9" s="2">
        <f>AVERAGE(weather.tbl[[#This Row],[Estevan]:[Kipling]])</f>
        <v>-22.516666666666666</v>
      </c>
      <c r="I9" s="2">
        <f>_xlfn.STDEV.S(weather.tbl[[#This Row],[Estevan]:[Kipling]])</f>
        <v>1.8744777050332362</v>
      </c>
      <c r="J9" s="2">
        <f>AVERAGE(H3:H9)</f>
        <v>-23.549999999999994</v>
      </c>
      <c r="K9">
        <f>DAY(weather.tbl[[#This Row],[Date]])</f>
        <v>8</v>
      </c>
      <c r="L9">
        <f>MONTH(weather.tbl[[#This Row],[Date]])</f>
        <v>1</v>
      </c>
      <c r="M9">
        <f>YEAR(weather.tbl[[#This Row],[Date]])</f>
        <v>2014</v>
      </c>
    </row>
    <row r="10" spans="1:13" x14ac:dyDescent="0.25">
      <c r="A10" s="1">
        <v>41648</v>
      </c>
      <c r="B10" s="2">
        <v>-5.5</v>
      </c>
      <c r="C10" s="2">
        <v>-12.2</v>
      </c>
      <c r="D10" s="2">
        <v>-13.3</v>
      </c>
      <c r="E10" s="2">
        <v>-11</v>
      </c>
      <c r="F10" s="2">
        <v>-9.6</v>
      </c>
      <c r="G10" s="2">
        <v>-11.1</v>
      </c>
      <c r="H10" s="2">
        <f>AVERAGE(weather.tbl[[#This Row],[Estevan]:[Kipling]])</f>
        <v>-10.450000000000001</v>
      </c>
      <c r="I10" s="2">
        <f>_xlfn.STDEV.S(weather.tbl[[#This Row],[Estevan]:[Kipling]])</f>
        <v>2.7252522818997873</v>
      </c>
      <c r="J10" s="2">
        <f t="shared" ref="J10:J73" si="0">AVERAGE(H4:H10)</f>
        <v>-21.973809523809518</v>
      </c>
      <c r="K10">
        <f>DAY(weather.tbl[[#This Row],[Date]])</f>
        <v>9</v>
      </c>
      <c r="L10">
        <f>MONTH(weather.tbl[[#This Row],[Date]])</f>
        <v>1</v>
      </c>
      <c r="M10">
        <f>YEAR(weather.tbl[[#This Row],[Date]])</f>
        <v>2014</v>
      </c>
    </row>
    <row r="11" spans="1:13" x14ac:dyDescent="0.25">
      <c r="A11" s="1">
        <v>41649</v>
      </c>
      <c r="B11" s="2">
        <v>-5</v>
      </c>
      <c r="C11" s="2">
        <v>-8.3000000000000007</v>
      </c>
      <c r="D11" s="2">
        <v>-9.3000000000000007</v>
      </c>
      <c r="E11" s="2">
        <v>-7.5</v>
      </c>
      <c r="F11" s="2">
        <v>-5.6</v>
      </c>
      <c r="G11" s="2">
        <v>-9.1999999999999993</v>
      </c>
      <c r="H11" s="2">
        <f>AVERAGE(weather.tbl[[#This Row],[Estevan]:[Kipling]])</f>
        <v>-7.4833333333333343</v>
      </c>
      <c r="I11" s="2">
        <f>_xlfn.STDEV.S(weather.tbl[[#This Row],[Estevan]:[Kipling]])</f>
        <v>1.823641046551282</v>
      </c>
      <c r="J11" s="2">
        <f t="shared" si="0"/>
        <v>-21.209523809523805</v>
      </c>
      <c r="K11">
        <f>DAY(weather.tbl[[#This Row],[Date]])</f>
        <v>10</v>
      </c>
      <c r="L11">
        <f>MONTH(weather.tbl[[#This Row],[Date]])</f>
        <v>1</v>
      </c>
      <c r="M11">
        <f>YEAR(weather.tbl[[#This Row],[Date]])</f>
        <v>2014</v>
      </c>
    </row>
    <row r="12" spans="1:13" x14ac:dyDescent="0.25">
      <c r="A12" s="1">
        <v>41650</v>
      </c>
      <c r="B12" s="2">
        <v>-5.0999999999999996</v>
      </c>
      <c r="C12" s="2">
        <v>-6.2</v>
      </c>
      <c r="D12" s="2">
        <v>-4.5</v>
      </c>
      <c r="E12" s="2">
        <v>-4.5</v>
      </c>
      <c r="F12" s="2">
        <v>-7</v>
      </c>
      <c r="G12" s="2">
        <v>-6.4</v>
      </c>
      <c r="H12" s="2">
        <f>AVERAGE(weather.tbl[[#This Row],[Estevan]:[Kipling]])</f>
        <v>-5.6166666666666671</v>
      </c>
      <c r="I12" s="2">
        <f>_xlfn.STDEV.S(weather.tbl[[#This Row],[Estevan]:[Kipling]])</f>
        <v>1.0609743949156618</v>
      </c>
      <c r="J12" s="2">
        <f t="shared" si="0"/>
        <v>-18.585714285714285</v>
      </c>
      <c r="K12">
        <f>DAY(weather.tbl[[#This Row],[Date]])</f>
        <v>11</v>
      </c>
      <c r="L12">
        <f>MONTH(weather.tbl[[#This Row],[Date]])</f>
        <v>1</v>
      </c>
      <c r="M12">
        <f>YEAR(weather.tbl[[#This Row],[Date]])</f>
        <v>2014</v>
      </c>
    </row>
    <row r="13" spans="1:13" x14ac:dyDescent="0.25">
      <c r="A13" s="1">
        <v>41651</v>
      </c>
      <c r="B13" s="2">
        <v>-4.5999999999999996</v>
      </c>
      <c r="C13" s="2">
        <v>-5.9</v>
      </c>
      <c r="D13" s="2">
        <v>-3.3</v>
      </c>
      <c r="E13" s="2">
        <v>-4.3</v>
      </c>
      <c r="F13" s="2">
        <v>-2.4</v>
      </c>
      <c r="G13" s="2">
        <v>-5.0999999999999996</v>
      </c>
      <c r="H13" s="2">
        <f>AVERAGE(weather.tbl[[#This Row],[Estevan]:[Kipling]])</f>
        <v>-4.2666666666666666</v>
      </c>
      <c r="I13" s="2">
        <f>_xlfn.STDEV.S(weather.tbl[[#This Row],[Estevan]:[Kipling]])</f>
        <v>1.2564500255349049</v>
      </c>
      <c r="J13" s="2">
        <f t="shared" si="0"/>
        <v>-14.714285714285717</v>
      </c>
      <c r="K13">
        <f>DAY(weather.tbl[[#This Row],[Date]])</f>
        <v>12</v>
      </c>
      <c r="L13">
        <f>MONTH(weather.tbl[[#This Row],[Date]])</f>
        <v>1</v>
      </c>
      <c r="M13">
        <f>YEAR(weather.tbl[[#This Row],[Date]])</f>
        <v>2014</v>
      </c>
    </row>
    <row r="14" spans="1:13" x14ac:dyDescent="0.25">
      <c r="A14" s="1">
        <v>41652</v>
      </c>
      <c r="B14" s="2">
        <v>-10</v>
      </c>
      <c r="C14" s="2">
        <v>-11.3</v>
      </c>
      <c r="D14" s="2">
        <v>-15</v>
      </c>
      <c r="E14" s="2">
        <v>-10</v>
      </c>
      <c r="F14" s="2">
        <v>-11.4</v>
      </c>
      <c r="G14" s="2">
        <v>-11.4</v>
      </c>
      <c r="H14" s="2">
        <f>AVERAGE(weather.tbl[[#This Row],[Estevan]:[Kipling]])</f>
        <v>-11.516666666666666</v>
      </c>
      <c r="I14" s="2">
        <f>_xlfn.STDEV.S(weather.tbl[[#This Row],[Estevan]:[Kipling]])</f>
        <v>1.8334848422244188</v>
      </c>
      <c r="J14" s="2">
        <f t="shared" si="0"/>
        <v>-12.419047619047619</v>
      </c>
      <c r="K14">
        <f>DAY(weather.tbl[[#This Row],[Date]])</f>
        <v>13</v>
      </c>
      <c r="L14">
        <f>MONTH(weather.tbl[[#This Row],[Date]])</f>
        <v>1</v>
      </c>
      <c r="M14">
        <f>YEAR(weather.tbl[[#This Row],[Date]])</f>
        <v>2014</v>
      </c>
    </row>
    <row r="15" spans="1:13" x14ac:dyDescent="0.25">
      <c r="A15" s="1">
        <v>41653</v>
      </c>
      <c r="B15" s="2">
        <v>-10.1</v>
      </c>
      <c r="C15" s="2">
        <v>-10.7</v>
      </c>
      <c r="D15" s="2">
        <v>-15</v>
      </c>
      <c r="E15" s="2">
        <v>-7</v>
      </c>
      <c r="F15" s="2">
        <v>-13.8</v>
      </c>
      <c r="G15" s="2">
        <v>-10.8</v>
      </c>
      <c r="H15" s="2">
        <f>AVERAGE(weather.tbl[[#This Row],[Estevan]:[Kipling]])</f>
        <v>-11.233333333333333</v>
      </c>
      <c r="I15" s="2">
        <f>_xlfn.STDEV.S(weather.tbl[[#This Row],[Estevan]:[Kipling]])</f>
        <v>2.8444097220103015</v>
      </c>
      <c r="J15" s="2">
        <f t="shared" si="0"/>
        <v>-10.44047619047619</v>
      </c>
      <c r="K15">
        <f>DAY(weather.tbl[[#This Row],[Date]])</f>
        <v>14</v>
      </c>
      <c r="L15">
        <f>MONTH(weather.tbl[[#This Row],[Date]])</f>
        <v>1</v>
      </c>
      <c r="M15">
        <f>YEAR(weather.tbl[[#This Row],[Date]])</f>
        <v>2014</v>
      </c>
    </row>
    <row r="16" spans="1:13" x14ac:dyDescent="0.25">
      <c r="A16" s="1">
        <v>41654</v>
      </c>
      <c r="B16" s="2">
        <v>-2.2000000000000002</v>
      </c>
      <c r="C16" s="2">
        <v>-1.5</v>
      </c>
      <c r="D16" s="2">
        <v>-6.8</v>
      </c>
      <c r="E16" s="2">
        <v>-3.3</v>
      </c>
      <c r="F16" s="2">
        <v>-7.8</v>
      </c>
      <c r="G16" s="2">
        <v>-6</v>
      </c>
      <c r="H16" s="2">
        <f>AVERAGE(weather.tbl[[#This Row],[Estevan]:[Kipling]])</f>
        <v>-4.6000000000000005</v>
      </c>
      <c r="I16" s="2">
        <f>_xlfn.STDEV.S(weather.tbl[[#This Row],[Estevan]:[Kipling]])</f>
        <v>2.6115129714401184</v>
      </c>
      <c r="J16" s="2">
        <f t="shared" si="0"/>
        <v>-7.8809523809523814</v>
      </c>
      <c r="K16">
        <f>DAY(weather.tbl[[#This Row],[Date]])</f>
        <v>15</v>
      </c>
      <c r="L16">
        <f>MONTH(weather.tbl[[#This Row],[Date]])</f>
        <v>1</v>
      </c>
      <c r="M16">
        <f>YEAR(weather.tbl[[#This Row],[Date]])</f>
        <v>2014</v>
      </c>
    </row>
    <row r="17" spans="1:13" x14ac:dyDescent="0.25">
      <c r="A17" s="1">
        <v>41655</v>
      </c>
      <c r="B17" s="2">
        <v>-6.8</v>
      </c>
      <c r="C17" s="2">
        <v>-7.5</v>
      </c>
      <c r="D17" s="2">
        <v>-12.3</v>
      </c>
      <c r="E17" s="2">
        <v>-9.5</v>
      </c>
      <c r="F17" s="2">
        <v>-9.1999999999999993</v>
      </c>
      <c r="G17" s="2">
        <v>-12.5</v>
      </c>
      <c r="H17" s="2">
        <f>AVERAGE(weather.tbl[[#This Row],[Estevan]:[Kipling]])</f>
        <v>-9.6333333333333329</v>
      </c>
      <c r="I17" s="2">
        <f>_xlfn.STDEV.S(weather.tbl[[#This Row],[Estevan]:[Kipling]])</f>
        <v>2.3712162842445839</v>
      </c>
      <c r="J17" s="2">
        <f t="shared" si="0"/>
        <v>-7.7642857142857142</v>
      </c>
      <c r="K17">
        <f>DAY(weather.tbl[[#This Row],[Date]])</f>
        <v>16</v>
      </c>
      <c r="L17">
        <f>MONTH(weather.tbl[[#This Row],[Date]])</f>
        <v>1</v>
      </c>
      <c r="M17">
        <f>YEAR(weather.tbl[[#This Row],[Date]])</f>
        <v>2014</v>
      </c>
    </row>
    <row r="18" spans="1:13" x14ac:dyDescent="0.25">
      <c r="A18" s="1">
        <v>41656</v>
      </c>
      <c r="B18" s="2">
        <v>-5.8</v>
      </c>
      <c r="C18" s="2">
        <v>-6.6</v>
      </c>
      <c r="D18" s="2">
        <v>-9.3000000000000007</v>
      </c>
      <c r="E18" s="2">
        <v>-5</v>
      </c>
      <c r="F18" s="2">
        <v>-8.1999999999999993</v>
      </c>
      <c r="G18" s="2">
        <v>-7.1</v>
      </c>
      <c r="H18" s="2">
        <f>AVERAGE(weather.tbl[[#This Row],[Estevan]:[Kipling]])</f>
        <v>-7</v>
      </c>
      <c r="I18" s="2">
        <f>_xlfn.STDEV.S(weather.tbl[[#This Row],[Estevan]:[Kipling]])</f>
        <v>1.5709869509324406</v>
      </c>
      <c r="J18" s="2">
        <f t="shared" si="0"/>
        <v>-7.6952380952380954</v>
      </c>
      <c r="K18">
        <f>DAY(weather.tbl[[#This Row],[Date]])</f>
        <v>17</v>
      </c>
      <c r="L18">
        <f>MONTH(weather.tbl[[#This Row],[Date]])</f>
        <v>1</v>
      </c>
      <c r="M18">
        <f>YEAR(weather.tbl[[#This Row],[Date]])</f>
        <v>2014</v>
      </c>
    </row>
    <row r="19" spans="1:13" x14ac:dyDescent="0.25">
      <c r="A19" s="1">
        <v>41657</v>
      </c>
      <c r="B19" s="2">
        <v>-1.1000000000000001</v>
      </c>
      <c r="C19" s="2">
        <v>-1.7</v>
      </c>
      <c r="D19" s="2">
        <v>-1.5</v>
      </c>
      <c r="E19" s="2">
        <v>-0.8</v>
      </c>
      <c r="F19" s="2">
        <v>-1.1000000000000001</v>
      </c>
      <c r="G19" s="2">
        <v>-1.6</v>
      </c>
      <c r="H19" s="2">
        <f>AVERAGE(weather.tbl[[#This Row],[Estevan]:[Kipling]])</f>
        <v>-1.2999999999999998</v>
      </c>
      <c r="I19" s="2">
        <f>_xlfn.STDEV.S(weather.tbl[[#This Row],[Estevan]:[Kipling]])</f>
        <v>0.3521363372331815</v>
      </c>
      <c r="J19" s="2">
        <f t="shared" si="0"/>
        <v>-7.0785714285714283</v>
      </c>
      <c r="K19">
        <f>DAY(weather.tbl[[#This Row],[Date]])</f>
        <v>18</v>
      </c>
      <c r="L19">
        <f>MONTH(weather.tbl[[#This Row],[Date]])</f>
        <v>1</v>
      </c>
      <c r="M19">
        <f>YEAR(weather.tbl[[#This Row],[Date]])</f>
        <v>2014</v>
      </c>
    </row>
    <row r="20" spans="1:13" x14ac:dyDescent="0.25">
      <c r="A20" s="1">
        <v>41658</v>
      </c>
      <c r="B20" s="2">
        <v>-0.6</v>
      </c>
      <c r="C20" s="2">
        <v>-2.7</v>
      </c>
      <c r="D20" s="2">
        <v>-3.3</v>
      </c>
      <c r="E20" s="2">
        <v>-0.5</v>
      </c>
      <c r="F20" s="2">
        <v>-6.4</v>
      </c>
      <c r="G20" s="2">
        <v>-3.6</v>
      </c>
      <c r="H20" s="2">
        <f>AVERAGE(weather.tbl[[#This Row],[Estevan]:[Kipling]])</f>
        <v>-2.85</v>
      </c>
      <c r="I20" s="2">
        <f>_xlfn.STDEV.S(weather.tbl[[#This Row],[Estevan]:[Kipling]])</f>
        <v>2.1897488440458188</v>
      </c>
      <c r="J20" s="2">
        <f t="shared" si="0"/>
        <v>-6.8761904761904757</v>
      </c>
      <c r="K20">
        <f>DAY(weather.tbl[[#This Row],[Date]])</f>
        <v>19</v>
      </c>
      <c r="L20">
        <f>MONTH(weather.tbl[[#This Row],[Date]])</f>
        <v>1</v>
      </c>
      <c r="M20">
        <f>YEAR(weather.tbl[[#This Row],[Date]])</f>
        <v>2014</v>
      </c>
    </row>
    <row r="21" spans="1:13" x14ac:dyDescent="0.25">
      <c r="A21" s="1">
        <v>41659</v>
      </c>
      <c r="B21" s="2">
        <v>-12.4</v>
      </c>
      <c r="C21" s="2">
        <v>-12.8</v>
      </c>
      <c r="D21" s="2">
        <v>-18.5</v>
      </c>
      <c r="E21" s="2">
        <v>-16</v>
      </c>
      <c r="F21" s="2">
        <v>-20.5</v>
      </c>
      <c r="G21" s="2">
        <v>-19.600000000000001</v>
      </c>
      <c r="H21" s="2">
        <f>AVERAGE(weather.tbl[[#This Row],[Estevan]:[Kipling]])</f>
        <v>-16.633333333333336</v>
      </c>
      <c r="I21" s="2">
        <f>_xlfn.STDEV.S(weather.tbl[[#This Row],[Estevan]:[Kipling]])</f>
        <v>3.4714070154141501</v>
      </c>
      <c r="J21" s="2">
        <f t="shared" si="0"/>
        <v>-7.6071428571428568</v>
      </c>
      <c r="K21">
        <f>DAY(weather.tbl[[#This Row],[Date]])</f>
        <v>20</v>
      </c>
      <c r="L21">
        <f>MONTH(weather.tbl[[#This Row],[Date]])</f>
        <v>1</v>
      </c>
      <c r="M21">
        <f>YEAR(weather.tbl[[#This Row],[Date]])</f>
        <v>2014</v>
      </c>
    </row>
    <row r="22" spans="1:13" x14ac:dyDescent="0.25">
      <c r="A22" s="1">
        <v>41660</v>
      </c>
      <c r="B22" s="2">
        <v>-12.6</v>
      </c>
      <c r="C22" s="2">
        <v>-12.5</v>
      </c>
      <c r="D22" s="2">
        <v>-18.3</v>
      </c>
      <c r="E22" s="2">
        <v>-16</v>
      </c>
      <c r="F22" s="2">
        <v>-15.6</v>
      </c>
      <c r="G22" s="2">
        <v>-16.899999999999999</v>
      </c>
      <c r="H22" s="2">
        <f>AVERAGE(weather.tbl[[#This Row],[Estevan]:[Kipling]])</f>
        <v>-15.316666666666668</v>
      </c>
      <c r="I22" s="2">
        <f>_xlfn.STDEV.S(weather.tbl[[#This Row],[Estevan]:[Kipling]])</f>
        <v>2.3353086876613638</v>
      </c>
      <c r="J22" s="2">
        <f t="shared" si="0"/>
        <v>-8.1904761904761916</v>
      </c>
      <c r="K22">
        <f>DAY(weather.tbl[[#This Row],[Date]])</f>
        <v>21</v>
      </c>
      <c r="L22">
        <f>MONTH(weather.tbl[[#This Row],[Date]])</f>
        <v>1</v>
      </c>
      <c r="M22">
        <f>YEAR(weather.tbl[[#This Row],[Date]])</f>
        <v>2014</v>
      </c>
    </row>
    <row r="23" spans="1:13" x14ac:dyDescent="0.25">
      <c r="A23" s="1">
        <v>41661</v>
      </c>
      <c r="B23" s="2">
        <v>-18.2</v>
      </c>
      <c r="C23" s="2">
        <v>-20.7</v>
      </c>
      <c r="D23" s="2">
        <v>-22.3</v>
      </c>
      <c r="E23" s="2">
        <v>-21.8</v>
      </c>
      <c r="F23" s="2">
        <v>-17.899999999999999</v>
      </c>
      <c r="G23" s="2">
        <v>-25.1</v>
      </c>
      <c r="H23" s="2">
        <f>AVERAGE(weather.tbl[[#This Row],[Estevan]:[Kipling]])</f>
        <v>-21</v>
      </c>
      <c r="I23" s="2">
        <f>_xlfn.STDEV.S(weather.tbl[[#This Row],[Estevan]:[Kipling]])</f>
        <v>2.7085051227568426</v>
      </c>
      <c r="J23" s="2">
        <f t="shared" si="0"/>
        <v>-10.533333333333335</v>
      </c>
      <c r="K23">
        <f>DAY(weather.tbl[[#This Row],[Date]])</f>
        <v>22</v>
      </c>
      <c r="L23">
        <f>MONTH(weather.tbl[[#This Row],[Date]])</f>
        <v>1</v>
      </c>
      <c r="M23">
        <f>YEAR(weather.tbl[[#This Row],[Date]])</f>
        <v>2014</v>
      </c>
    </row>
    <row r="24" spans="1:13" x14ac:dyDescent="0.25">
      <c r="A24" s="1">
        <v>41662</v>
      </c>
      <c r="B24" s="2">
        <v>-15.2</v>
      </c>
      <c r="C24" s="2">
        <v>-15.7</v>
      </c>
      <c r="D24" s="2">
        <v>-16</v>
      </c>
      <c r="E24" s="2">
        <v>-15.5</v>
      </c>
      <c r="F24" s="2">
        <v>-15.7</v>
      </c>
      <c r="G24" s="2">
        <v>-15.4</v>
      </c>
      <c r="H24" s="2">
        <f>AVERAGE(weather.tbl[[#This Row],[Estevan]:[Kipling]])</f>
        <v>-15.583333333333334</v>
      </c>
      <c r="I24" s="2">
        <f>_xlfn.STDEV.S(weather.tbl[[#This Row],[Estevan]:[Kipling]])</f>
        <v>0.2786873995477131</v>
      </c>
      <c r="J24" s="2">
        <f t="shared" si="0"/>
        <v>-11.383333333333335</v>
      </c>
      <c r="K24">
        <f>DAY(weather.tbl[[#This Row],[Date]])</f>
        <v>23</v>
      </c>
      <c r="L24">
        <f>MONTH(weather.tbl[[#This Row],[Date]])</f>
        <v>1</v>
      </c>
      <c r="M24">
        <f>YEAR(weather.tbl[[#This Row],[Date]])</f>
        <v>2014</v>
      </c>
    </row>
    <row r="25" spans="1:13" x14ac:dyDescent="0.25">
      <c r="A25" s="1">
        <v>41663</v>
      </c>
      <c r="B25" s="2">
        <v>-1.2</v>
      </c>
      <c r="C25" s="2">
        <v>-0.9</v>
      </c>
      <c r="D25" s="2">
        <v>-3.5</v>
      </c>
      <c r="E25" s="2">
        <v>-0.5</v>
      </c>
      <c r="F25" s="2">
        <v>-4.7</v>
      </c>
      <c r="G25" s="2">
        <v>-1.6</v>
      </c>
      <c r="H25" s="2">
        <f>AVERAGE(weather.tbl[[#This Row],[Estevan]:[Kipling]])</f>
        <v>-2.0666666666666669</v>
      </c>
      <c r="I25" s="2">
        <f>_xlfn.STDEV.S(weather.tbl[[#This Row],[Estevan]:[Kipling]])</f>
        <v>1.6597188516934631</v>
      </c>
      <c r="J25" s="2">
        <f t="shared" si="0"/>
        <v>-10.678571428571429</v>
      </c>
      <c r="K25">
        <f>DAY(weather.tbl[[#This Row],[Date]])</f>
        <v>24</v>
      </c>
      <c r="L25">
        <f>MONTH(weather.tbl[[#This Row],[Date]])</f>
        <v>1</v>
      </c>
      <c r="M25">
        <f>YEAR(weather.tbl[[#This Row],[Date]])</f>
        <v>2014</v>
      </c>
    </row>
    <row r="26" spans="1:13" x14ac:dyDescent="0.25">
      <c r="A26" s="1">
        <v>41664</v>
      </c>
      <c r="B26" s="2">
        <v>-5.0999999999999996</v>
      </c>
      <c r="C26" s="2">
        <v>-4.7</v>
      </c>
      <c r="D26" s="2">
        <v>-8.3000000000000007</v>
      </c>
      <c r="E26" s="2">
        <v>-4</v>
      </c>
      <c r="F26" s="2">
        <v>-13</v>
      </c>
      <c r="G26" s="2">
        <v>-9.6999999999999993</v>
      </c>
      <c r="H26" s="2">
        <f>AVERAGE(weather.tbl[[#This Row],[Estevan]:[Kipling]])</f>
        <v>-7.4666666666666659</v>
      </c>
      <c r="I26" s="2">
        <f>_xlfn.STDEV.S(weather.tbl[[#This Row],[Estevan]:[Kipling]])</f>
        <v>3.5092259355400124</v>
      </c>
      <c r="J26" s="2">
        <f t="shared" si="0"/>
        <v>-11.55952380952381</v>
      </c>
      <c r="K26">
        <f>DAY(weather.tbl[[#This Row],[Date]])</f>
        <v>25</v>
      </c>
      <c r="L26">
        <f>MONTH(weather.tbl[[#This Row],[Date]])</f>
        <v>1</v>
      </c>
      <c r="M26">
        <f>YEAR(weather.tbl[[#This Row],[Date]])</f>
        <v>2014</v>
      </c>
    </row>
    <row r="27" spans="1:13" x14ac:dyDescent="0.25">
      <c r="A27" s="1">
        <v>41665</v>
      </c>
      <c r="B27" s="2">
        <v>-14.8</v>
      </c>
      <c r="C27" s="2">
        <v>-15.5</v>
      </c>
      <c r="D27" s="2">
        <v>-21.3</v>
      </c>
      <c r="E27" s="2">
        <v>-22</v>
      </c>
      <c r="F27" s="2">
        <v>-17.2</v>
      </c>
      <c r="G27" s="2">
        <v>-21.4</v>
      </c>
      <c r="H27" s="2">
        <f>AVERAGE(weather.tbl[[#This Row],[Estevan]:[Kipling]])</f>
        <v>-18.7</v>
      </c>
      <c r="I27" s="2">
        <f>_xlfn.STDEV.S(weather.tbl[[#This Row],[Estevan]:[Kipling]])</f>
        <v>3.2446879665077155</v>
      </c>
      <c r="J27" s="2">
        <f t="shared" si="0"/>
        <v>-13.823809523809524</v>
      </c>
      <c r="K27">
        <f>DAY(weather.tbl[[#This Row],[Date]])</f>
        <v>26</v>
      </c>
      <c r="L27">
        <f>MONTH(weather.tbl[[#This Row],[Date]])</f>
        <v>1</v>
      </c>
      <c r="M27">
        <f>YEAR(weather.tbl[[#This Row],[Date]])</f>
        <v>2014</v>
      </c>
    </row>
    <row r="28" spans="1:13" x14ac:dyDescent="0.25">
      <c r="A28" s="1">
        <v>41666</v>
      </c>
      <c r="B28" s="2">
        <v>-26.3</v>
      </c>
      <c r="C28" s="2">
        <v>-28.2</v>
      </c>
      <c r="D28" s="2">
        <v>-28</v>
      </c>
      <c r="E28" s="2">
        <v>-26.5</v>
      </c>
      <c r="F28" s="2">
        <v>-26.9</v>
      </c>
      <c r="G28" s="2">
        <v>-28.6</v>
      </c>
      <c r="H28" s="2">
        <f>AVERAGE(weather.tbl[[#This Row],[Estevan]:[Kipling]])</f>
        <v>-27.416666666666668</v>
      </c>
      <c r="I28" s="2">
        <f>_xlfn.STDEV.S(weather.tbl[[#This Row],[Estevan]:[Kipling]])</f>
        <v>0.97039510853397604</v>
      </c>
      <c r="J28" s="2">
        <f t="shared" si="0"/>
        <v>-15.364285714285716</v>
      </c>
      <c r="K28">
        <f>DAY(weather.tbl[[#This Row],[Date]])</f>
        <v>27</v>
      </c>
      <c r="L28">
        <f>MONTH(weather.tbl[[#This Row],[Date]])</f>
        <v>1</v>
      </c>
      <c r="M28">
        <f>YEAR(weather.tbl[[#This Row],[Date]])</f>
        <v>2014</v>
      </c>
    </row>
    <row r="29" spans="1:13" x14ac:dyDescent="0.25">
      <c r="A29" s="1">
        <v>41667</v>
      </c>
      <c r="B29" s="2">
        <v>-19.7</v>
      </c>
      <c r="C29" s="2">
        <v>-21.6</v>
      </c>
      <c r="D29" s="2">
        <v>-21</v>
      </c>
      <c r="E29" s="2">
        <v>-18</v>
      </c>
      <c r="F29" s="2">
        <v>-23</v>
      </c>
      <c r="G29" s="2">
        <v>-20.5</v>
      </c>
      <c r="H29" s="2">
        <f>AVERAGE(weather.tbl[[#This Row],[Estevan]:[Kipling]])</f>
        <v>-20.633333333333333</v>
      </c>
      <c r="I29" s="2">
        <f>_xlfn.STDEV.S(weather.tbl[[#This Row],[Estevan]:[Kipling]])</f>
        <v>1.7025471114382318</v>
      </c>
      <c r="J29" s="2">
        <f t="shared" si="0"/>
        <v>-16.123809523809523</v>
      </c>
      <c r="K29">
        <f>DAY(weather.tbl[[#This Row],[Date]])</f>
        <v>28</v>
      </c>
      <c r="L29">
        <f>MONTH(weather.tbl[[#This Row],[Date]])</f>
        <v>1</v>
      </c>
      <c r="M29">
        <f>YEAR(weather.tbl[[#This Row],[Date]])</f>
        <v>2014</v>
      </c>
    </row>
    <row r="30" spans="1:13" x14ac:dyDescent="0.25">
      <c r="A30" s="1">
        <v>41668</v>
      </c>
      <c r="B30" s="2">
        <v>-12.9</v>
      </c>
      <c r="C30" s="2">
        <v>-13.9</v>
      </c>
      <c r="D30" s="2">
        <v>-14.5</v>
      </c>
      <c r="E30" s="2">
        <v>-14</v>
      </c>
      <c r="F30" s="2">
        <v>-15.1</v>
      </c>
      <c r="G30" s="2">
        <v>-15.5</v>
      </c>
      <c r="H30" s="2">
        <f>AVERAGE(weather.tbl[[#This Row],[Estevan]:[Kipling]])</f>
        <v>-14.316666666666665</v>
      </c>
      <c r="I30" s="2">
        <f>_xlfn.STDEV.S(weather.tbl[[#This Row],[Estevan]:[Kipling]])</f>
        <v>0.93041209507758782</v>
      </c>
      <c r="J30" s="2">
        <f t="shared" si="0"/>
        <v>-15.169047619047619</v>
      </c>
      <c r="K30">
        <f>DAY(weather.tbl[[#This Row],[Date]])</f>
        <v>29</v>
      </c>
      <c r="L30">
        <f>MONTH(weather.tbl[[#This Row],[Date]])</f>
        <v>1</v>
      </c>
      <c r="M30">
        <f>YEAR(weather.tbl[[#This Row],[Date]])</f>
        <v>2014</v>
      </c>
    </row>
    <row r="31" spans="1:13" x14ac:dyDescent="0.25">
      <c r="A31" s="1">
        <v>41669</v>
      </c>
      <c r="B31" s="2">
        <v>-20.8</v>
      </c>
      <c r="C31" s="2">
        <v>-22.3</v>
      </c>
      <c r="D31" s="2">
        <v>-22</v>
      </c>
      <c r="E31" s="2">
        <v>-21</v>
      </c>
      <c r="F31" s="2">
        <v>-21.7</v>
      </c>
      <c r="G31" s="2">
        <v>-23.2</v>
      </c>
      <c r="H31" s="2">
        <f>AVERAGE(weather.tbl[[#This Row],[Estevan]:[Kipling]])</f>
        <v>-21.833333333333332</v>
      </c>
      <c r="I31" s="2">
        <f>_xlfn.STDEV.S(weather.tbl[[#This Row],[Estevan]:[Kipling]])</f>
        <v>0.88242091241462894</v>
      </c>
      <c r="J31" s="2">
        <f t="shared" si="0"/>
        <v>-16.06190476190476</v>
      </c>
      <c r="K31">
        <f>DAY(weather.tbl[[#This Row],[Date]])</f>
        <v>30</v>
      </c>
      <c r="L31">
        <f>MONTH(weather.tbl[[#This Row],[Date]])</f>
        <v>1</v>
      </c>
      <c r="M31">
        <f>YEAR(weather.tbl[[#This Row],[Date]])</f>
        <v>2014</v>
      </c>
    </row>
    <row r="32" spans="1:13" x14ac:dyDescent="0.25">
      <c r="A32" s="1">
        <v>41670</v>
      </c>
      <c r="B32" s="2">
        <v>-16.7</v>
      </c>
      <c r="C32" s="2">
        <v>-18.2</v>
      </c>
      <c r="D32" s="2">
        <v>-19.5</v>
      </c>
      <c r="E32" s="2">
        <v>-18</v>
      </c>
      <c r="F32" s="2">
        <v>-19.899999999999999</v>
      </c>
      <c r="G32" s="2">
        <v>-21.9</v>
      </c>
      <c r="H32" s="2">
        <f>AVERAGE(weather.tbl[[#This Row],[Estevan]:[Kipling]])</f>
        <v>-19.033333333333335</v>
      </c>
      <c r="I32" s="2">
        <f>_xlfn.STDEV.S(weather.tbl[[#This Row],[Estevan]:[Kipling]])</f>
        <v>1.8107088851239079</v>
      </c>
      <c r="J32" s="2">
        <f t="shared" si="0"/>
        <v>-18.485714285714288</v>
      </c>
      <c r="K32">
        <f>DAY(weather.tbl[[#This Row],[Date]])</f>
        <v>31</v>
      </c>
      <c r="L32">
        <f>MONTH(weather.tbl[[#This Row],[Date]])</f>
        <v>1</v>
      </c>
      <c r="M32">
        <f>YEAR(weather.tbl[[#This Row],[Date]])</f>
        <v>2014</v>
      </c>
    </row>
    <row r="33" spans="1:13" x14ac:dyDescent="0.25">
      <c r="A33" s="1">
        <v>41671</v>
      </c>
      <c r="B33" s="2">
        <v>-18.2</v>
      </c>
      <c r="C33" s="2">
        <v>-16.8</v>
      </c>
      <c r="D33" s="2">
        <v>-18.5</v>
      </c>
      <c r="E33" s="2">
        <v>-16.8</v>
      </c>
      <c r="F33" s="2">
        <v>-19</v>
      </c>
      <c r="G33" s="2">
        <v>-17.5</v>
      </c>
      <c r="H33" s="2">
        <f>AVERAGE(weather.tbl[[#This Row],[Estevan]:[Kipling]])</f>
        <v>-17.8</v>
      </c>
      <c r="I33" s="2">
        <f>_xlfn.STDEV.S(weather.tbl[[#This Row],[Estevan]:[Kipling]])</f>
        <v>0.91433035605299651</v>
      </c>
      <c r="J33" s="2">
        <f t="shared" si="0"/>
        <v>-19.961904761904758</v>
      </c>
      <c r="K33">
        <f>DAY(weather.tbl[[#This Row],[Date]])</f>
        <v>1</v>
      </c>
      <c r="L33">
        <f>MONTH(weather.tbl[[#This Row],[Date]])</f>
        <v>2</v>
      </c>
      <c r="M33">
        <f>YEAR(weather.tbl[[#This Row],[Date]])</f>
        <v>2014</v>
      </c>
    </row>
    <row r="34" spans="1:13" x14ac:dyDescent="0.25">
      <c r="A34" s="1">
        <v>41672</v>
      </c>
      <c r="B34" s="2">
        <v>-15.3</v>
      </c>
      <c r="C34" s="2">
        <v>-16</v>
      </c>
      <c r="D34" s="2">
        <v>-16</v>
      </c>
      <c r="E34" s="2">
        <v>-15.5</v>
      </c>
      <c r="F34" s="2">
        <v>-16.2</v>
      </c>
      <c r="G34" s="2">
        <v>-15.2</v>
      </c>
      <c r="H34" s="2">
        <f>AVERAGE(weather.tbl[[#This Row],[Estevan]:[Kipling]])</f>
        <v>-15.700000000000001</v>
      </c>
      <c r="I34" s="2">
        <f>_xlfn.STDEV.S(weather.tbl[[#This Row],[Estevan]:[Kipling]])</f>
        <v>0.41952353926806046</v>
      </c>
      <c r="J34" s="2">
        <f t="shared" si="0"/>
        <v>-19.533333333333331</v>
      </c>
      <c r="K34">
        <f>DAY(weather.tbl[[#This Row],[Date]])</f>
        <v>2</v>
      </c>
      <c r="L34">
        <f>MONTH(weather.tbl[[#This Row],[Date]])</f>
        <v>2</v>
      </c>
      <c r="M34">
        <f>YEAR(weather.tbl[[#This Row],[Date]])</f>
        <v>2014</v>
      </c>
    </row>
    <row r="35" spans="1:13" x14ac:dyDescent="0.25">
      <c r="A35" s="1">
        <v>41673</v>
      </c>
      <c r="B35" s="2">
        <v>-17.600000000000001</v>
      </c>
      <c r="C35" s="2">
        <v>-18</v>
      </c>
      <c r="D35" s="2">
        <v>-18.3</v>
      </c>
      <c r="E35" s="2">
        <v>-19.8</v>
      </c>
      <c r="F35" s="2">
        <v>-19.2</v>
      </c>
      <c r="G35" s="2">
        <v>-21.1</v>
      </c>
      <c r="H35" s="2">
        <f>AVERAGE(weather.tbl[[#This Row],[Estevan]:[Kipling]])</f>
        <v>-19</v>
      </c>
      <c r="I35" s="2">
        <f>_xlfn.STDEV.S(weather.tbl[[#This Row],[Estevan]:[Kipling]])</f>
        <v>1.3069047402163636</v>
      </c>
      <c r="J35" s="2">
        <f t="shared" si="0"/>
        <v>-18.330952380952379</v>
      </c>
      <c r="K35">
        <f>DAY(weather.tbl[[#This Row],[Date]])</f>
        <v>3</v>
      </c>
      <c r="L35">
        <f>MONTH(weather.tbl[[#This Row],[Date]])</f>
        <v>2</v>
      </c>
      <c r="M35">
        <f>YEAR(weather.tbl[[#This Row],[Date]])</f>
        <v>2014</v>
      </c>
    </row>
    <row r="36" spans="1:13" x14ac:dyDescent="0.25">
      <c r="A36" s="1">
        <v>41674</v>
      </c>
      <c r="B36" s="2">
        <v>-22.2</v>
      </c>
      <c r="C36" s="2">
        <v>-23.9</v>
      </c>
      <c r="D36" s="2">
        <v>-18.3</v>
      </c>
      <c r="E36" s="2">
        <v>-23.8</v>
      </c>
      <c r="F36" s="2">
        <v>-21.6</v>
      </c>
      <c r="G36" s="2">
        <v>-23</v>
      </c>
      <c r="H36" s="2">
        <f>AVERAGE(weather.tbl[[#This Row],[Estevan]:[Kipling]])</f>
        <v>-22.133333333333329</v>
      </c>
      <c r="I36" s="2">
        <f>_xlfn.STDEV.S(weather.tbl[[#This Row],[Estevan]:[Kipling]])</f>
        <v>2.0800641015763586</v>
      </c>
      <c r="J36" s="2">
        <f t="shared" si="0"/>
        <v>-18.545238095238094</v>
      </c>
      <c r="K36">
        <f>DAY(weather.tbl[[#This Row],[Date]])</f>
        <v>4</v>
      </c>
      <c r="L36">
        <f>MONTH(weather.tbl[[#This Row],[Date]])</f>
        <v>2</v>
      </c>
      <c r="M36">
        <f>YEAR(weather.tbl[[#This Row],[Date]])</f>
        <v>2014</v>
      </c>
    </row>
    <row r="37" spans="1:13" x14ac:dyDescent="0.25">
      <c r="A37" s="1">
        <v>41675</v>
      </c>
      <c r="B37" s="2">
        <v>-24.1</v>
      </c>
      <c r="C37" s="2">
        <v>-25.4</v>
      </c>
      <c r="D37" s="2">
        <v>-24.3</v>
      </c>
      <c r="E37" s="2">
        <v>-24</v>
      </c>
      <c r="F37" s="2">
        <v>-23</v>
      </c>
      <c r="G37" s="2">
        <v>-23.9</v>
      </c>
      <c r="H37" s="2">
        <f>AVERAGE(weather.tbl[[#This Row],[Estevan]:[Kipling]])</f>
        <v>-24.116666666666664</v>
      </c>
      <c r="I37" s="2">
        <f>_xlfn.STDEV.S(weather.tbl[[#This Row],[Estevan]:[Kipling]])</f>
        <v>0.77308904187465111</v>
      </c>
      <c r="J37" s="2">
        <f t="shared" si="0"/>
        <v>-19.945238095238096</v>
      </c>
      <c r="K37">
        <f>DAY(weather.tbl[[#This Row],[Date]])</f>
        <v>5</v>
      </c>
      <c r="L37">
        <f>MONTH(weather.tbl[[#This Row],[Date]])</f>
        <v>2</v>
      </c>
      <c r="M37">
        <f>YEAR(weather.tbl[[#This Row],[Date]])</f>
        <v>2014</v>
      </c>
    </row>
    <row r="38" spans="1:13" x14ac:dyDescent="0.25">
      <c r="A38" s="1">
        <v>41676</v>
      </c>
      <c r="B38" s="2">
        <v>-18</v>
      </c>
      <c r="C38" s="2">
        <v>-19.600000000000001</v>
      </c>
      <c r="D38" s="2">
        <v>-19.8</v>
      </c>
      <c r="E38" s="2">
        <v>-19.5</v>
      </c>
      <c r="F38" s="2">
        <v>-18.7</v>
      </c>
      <c r="G38" s="2">
        <v>-20.9</v>
      </c>
      <c r="H38" s="2">
        <f>AVERAGE(weather.tbl[[#This Row],[Estevan]:[Kipling]])</f>
        <v>-19.416666666666668</v>
      </c>
      <c r="I38" s="2">
        <f>_xlfn.STDEV.S(weather.tbl[[#This Row],[Estevan]:[Kipling]])</f>
        <v>0.99079092984678974</v>
      </c>
      <c r="J38" s="2">
        <f t="shared" si="0"/>
        <v>-19.599999999999998</v>
      </c>
      <c r="K38">
        <f>DAY(weather.tbl[[#This Row],[Date]])</f>
        <v>6</v>
      </c>
      <c r="L38">
        <f>MONTH(weather.tbl[[#This Row],[Date]])</f>
        <v>2</v>
      </c>
      <c r="M38">
        <f>YEAR(weather.tbl[[#This Row],[Date]])</f>
        <v>2014</v>
      </c>
    </row>
    <row r="39" spans="1:13" x14ac:dyDescent="0.25">
      <c r="A39" s="1">
        <v>41677</v>
      </c>
      <c r="B39" s="2">
        <v>-19.600000000000001</v>
      </c>
      <c r="C39" s="2">
        <v>-22.3</v>
      </c>
      <c r="D39" s="2">
        <v>-18.8</v>
      </c>
      <c r="E39" s="2">
        <v>-19</v>
      </c>
      <c r="F39" s="2">
        <v>-20.9</v>
      </c>
      <c r="G39" s="2">
        <v>-20.8</v>
      </c>
      <c r="H39" s="2">
        <f>AVERAGE(weather.tbl[[#This Row],[Estevan]:[Kipling]])</f>
        <v>-20.233333333333331</v>
      </c>
      <c r="I39" s="2">
        <f>_xlfn.STDEV.S(weather.tbl[[#This Row],[Estevan]:[Kipling]])</f>
        <v>1.3426342266852378</v>
      </c>
      <c r="J39" s="2">
        <f t="shared" si="0"/>
        <v>-19.771428571428569</v>
      </c>
      <c r="K39">
        <f>DAY(weather.tbl[[#This Row],[Date]])</f>
        <v>7</v>
      </c>
      <c r="L39">
        <f>MONTH(weather.tbl[[#This Row],[Date]])</f>
        <v>2</v>
      </c>
      <c r="M39">
        <f>YEAR(weather.tbl[[#This Row],[Date]])</f>
        <v>2014</v>
      </c>
    </row>
    <row r="40" spans="1:13" x14ac:dyDescent="0.25">
      <c r="A40" s="1">
        <v>41678</v>
      </c>
      <c r="B40" s="2">
        <v>-21.4</v>
      </c>
      <c r="C40" s="2">
        <v>-23</v>
      </c>
      <c r="D40" s="2">
        <v>-23</v>
      </c>
      <c r="E40" s="2">
        <v>-21</v>
      </c>
      <c r="F40" s="2">
        <v>-22.6</v>
      </c>
      <c r="G40" s="2">
        <v>-20.8</v>
      </c>
      <c r="H40" s="2">
        <f>AVERAGE(weather.tbl[[#This Row],[Estevan]:[Kipling]])</f>
        <v>-21.966666666666669</v>
      </c>
      <c r="I40" s="2">
        <f>_xlfn.STDEV.S(weather.tbl[[#This Row],[Estevan]:[Kipling]])</f>
        <v>1.0152175464730044</v>
      </c>
      <c r="J40" s="2">
        <f t="shared" si="0"/>
        <v>-20.366666666666667</v>
      </c>
      <c r="K40">
        <f>DAY(weather.tbl[[#This Row],[Date]])</f>
        <v>8</v>
      </c>
      <c r="L40">
        <f>MONTH(weather.tbl[[#This Row],[Date]])</f>
        <v>2</v>
      </c>
      <c r="M40">
        <f>YEAR(weather.tbl[[#This Row],[Date]])</f>
        <v>2014</v>
      </c>
    </row>
    <row r="41" spans="1:13" x14ac:dyDescent="0.25">
      <c r="A41" s="1">
        <v>41679</v>
      </c>
      <c r="B41" s="2">
        <v>-25.3</v>
      </c>
      <c r="C41" s="2">
        <v>-27.5</v>
      </c>
      <c r="D41" s="2">
        <v>-26</v>
      </c>
      <c r="E41" s="2">
        <v>-26.3</v>
      </c>
      <c r="F41" s="2">
        <v>-24.6</v>
      </c>
      <c r="G41" s="2">
        <v>-27.3</v>
      </c>
      <c r="H41" s="2">
        <f>AVERAGE(weather.tbl[[#This Row],[Estevan]:[Kipling]])</f>
        <v>-26.166666666666668</v>
      </c>
      <c r="I41" s="2">
        <f>_xlfn.STDEV.S(weather.tbl[[#This Row],[Estevan]:[Kipling]])</f>
        <v>1.1236844159579085</v>
      </c>
      <c r="J41" s="2">
        <f t="shared" si="0"/>
        <v>-21.861904761904761</v>
      </c>
      <c r="K41">
        <f>DAY(weather.tbl[[#This Row],[Date]])</f>
        <v>9</v>
      </c>
      <c r="L41">
        <f>MONTH(weather.tbl[[#This Row],[Date]])</f>
        <v>2</v>
      </c>
      <c r="M41">
        <f>YEAR(weather.tbl[[#This Row],[Date]])</f>
        <v>2014</v>
      </c>
    </row>
    <row r="42" spans="1:13" x14ac:dyDescent="0.25">
      <c r="A42" s="1">
        <v>41680</v>
      </c>
      <c r="B42" s="2">
        <v>-21.7</v>
      </c>
      <c r="C42" s="2">
        <v>-25</v>
      </c>
      <c r="D42" s="2">
        <v>-25</v>
      </c>
      <c r="E42" s="2">
        <v>-22.5</v>
      </c>
      <c r="F42" s="2">
        <v>-26.1</v>
      </c>
      <c r="G42" s="2">
        <v>-20.7</v>
      </c>
      <c r="H42" s="2">
        <f>AVERAGE(weather.tbl[[#This Row],[Estevan]:[Kipling]])</f>
        <v>-23.5</v>
      </c>
      <c r="I42" s="2">
        <f>_xlfn.STDEV.S(weather.tbl[[#This Row],[Estevan]:[Kipling]])</f>
        <v>2.1605554841290244</v>
      </c>
      <c r="J42" s="2">
        <f t="shared" si="0"/>
        <v>-22.504761904761903</v>
      </c>
      <c r="K42">
        <f>DAY(weather.tbl[[#This Row],[Date]])</f>
        <v>10</v>
      </c>
      <c r="L42">
        <f>MONTH(weather.tbl[[#This Row],[Date]])</f>
        <v>2</v>
      </c>
      <c r="M42">
        <f>YEAR(weather.tbl[[#This Row],[Date]])</f>
        <v>2014</v>
      </c>
    </row>
    <row r="43" spans="1:13" x14ac:dyDescent="0.25">
      <c r="A43" s="1">
        <v>41681</v>
      </c>
      <c r="B43" s="2">
        <v>-13.8</v>
      </c>
      <c r="C43" s="2">
        <v>-16</v>
      </c>
      <c r="D43" s="2">
        <v>-16.5</v>
      </c>
      <c r="E43" s="2">
        <v>-18.8</v>
      </c>
      <c r="F43" s="2">
        <v>-13.8</v>
      </c>
      <c r="G43" s="2">
        <v>-16.2</v>
      </c>
      <c r="H43" s="2">
        <f>AVERAGE(weather.tbl[[#This Row],[Estevan]:[Kipling]])</f>
        <v>-15.85</v>
      </c>
      <c r="I43" s="2">
        <f>_xlfn.STDEV.S(weather.tbl[[#This Row],[Estevan]:[Kipling]])</f>
        <v>1.8801595676963383</v>
      </c>
      <c r="J43" s="2">
        <f t="shared" si="0"/>
        <v>-21.607142857142858</v>
      </c>
      <c r="K43">
        <f>DAY(weather.tbl[[#This Row],[Date]])</f>
        <v>11</v>
      </c>
      <c r="L43">
        <f>MONTH(weather.tbl[[#This Row],[Date]])</f>
        <v>2</v>
      </c>
      <c r="M43">
        <f>YEAR(weather.tbl[[#This Row],[Date]])</f>
        <v>2014</v>
      </c>
    </row>
    <row r="44" spans="1:13" x14ac:dyDescent="0.25">
      <c r="A44" s="1">
        <v>41682</v>
      </c>
      <c r="B44" s="2">
        <v>-18.600000000000001</v>
      </c>
      <c r="C44" s="2">
        <v>-20.100000000000001</v>
      </c>
      <c r="D44" s="2">
        <v>-21.5</v>
      </c>
      <c r="E44" s="2">
        <v>-20</v>
      </c>
      <c r="F44" s="2">
        <v>-17.8</v>
      </c>
      <c r="G44" s="2">
        <v>-20.100000000000001</v>
      </c>
      <c r="H44" s="2">
        <f>AVERAGE(weather.tbl[[#This Row],[Estevan]:[Kipling]])</f>
        <v>-19.683333333333334</v>
      </c>
      <c r="I44" s="2">
        <f>_xlfn.STDEV.S(weather.tbl[[#This Row],[Estevan]:[Kipling]])</f>
        <v>1.3014094923069626</v>
      </c>
      <c r="J44" s="2">
        <f t="shared" si="0"/>
        <v>-20.973809523809525</v>
      </c>
      <c r="K44">
        <f>DAY(weather.tbl[[#This Row],[Date]])</f>
        <v>12</v>
      </c>
      <c r="L44">
        <f>MONTH(weather.tbl[[#This Row],[Date]])</f>
        <v>2</v>
      </c>
      <c r="M44">
        <f>YEAR(weather.tbl[[#This Row],[Date]])</f>
        <v>2014</v>
      </c>
    </row>
    <row r="45" spans="1:13" x14ac:dyDescent="0.25">
      <c r="A45" s="1">
        <v>41683</v>
      </c>
      <c r="B45" s="2">
        <v>-21.8</v>
      </c>
      <c r="C45" s="2">
        <v>-22.6</v>
      </c>
      <c r="D45" s="2">
        <v>-22.5</v>
      </c>
      <c r="E45" s="2">
        <v>-22.5</v>
      </c>
      <c r="F45" s="2">
        <v>-21.7</v>
      </c>
      <c r="G45" s="2">
        <v>-22</v>
      </c>
      <c r="H45" s="2">
        <f>AVERAGE(weather.tbl[[#This Row],[Estevan]:[Kipling]])</f>
        <v>-22.183333333333337</v>
      </c>
      <c r="I45" s="2">
        <f>_xlfn.STDEV.S(weather.tbl[[#This Row],[Estevan]:[Kipling]])</f>
        <v>0.39707262140151001</v>
      </c>
      <c r="J45" s="2">
        <f t="shared" si="0"/>
        <v>-21.36904761904762</v>
      </c>
      <c r="K45">
        <f>DAY(weather.tbl[[#This Row],[Date]])</f>
        <v>13</v>
      </c>
      <c r="L45">
        <f>MONTH(weather.tbl[[#This Row],[Date]])</f>
        <v>2</v>
      </c>
      <c r="M45">
        <f>YEAR(weather.tbl[[#This Row],[Date]])</f>
        <v>2014</v>
      </c>
    </row>
    <row r="46" spans="1:13" x14ac:dyDescent="0.25">
      <c r="A46" s="1">
        <v>41684</v>
      </c>
      <c r="B46" s="2">
        <v>-14.5</v>
      </c>
      <c r="C46" s="2">
        <v>-15.6</v>
      </c>
      <c r="D46" s="2">
        <v>-18</v>
      </c>
      <c r="E46" s="2">
        <v>-14</v>
      </c>
      <c r="F46" s="2">
        <v>-19.899999999999999</v>
      </c>
      <c r="G46" s="2">
        <v>-16.899999999999999</v>
      </c>
      <c r="H46" s="2">
        <f>AVERAGE(weather.tbl[[#This Row],[Estevan]:[Kipling]])</f>
        <v>-16.483333333333334</v>
      </c>
      <c r="I46" s="2">
        <f>_xlfn.STDEV.S(weather.tbl[[#This Row],[Estevan]:[Kipling]])</f>
        <v>2.2373347238771837</v>
      </c>
      <c r="J46" s="2">
        <f t="shared" si="0"/>
        <v>-20.833333333333339</v>
      </c>
      <c r="K46">
        <f>DAY(weather.tbl[[#This Row],[Date]])</f>
        <v>14</v>
      </c>
      <c r="L46">
        <f>MONTH(weather.tbl[[#This Row],[Date]])</f>
        <v>2</v>
      </c>
      <c r="M46">
        <f>YEAR(weather.tbl[[#This Row],[Date]])</f>
        <v>2014</v>
      </c>
    </row>
    <row r="47" spans="1:13" x14ac:dyDescent="0.25">
      <c r="A47" s="1">
        <v>41685</v>
      </c>
      <c r="B47" s="2">
        <v>-15.8</v>
      </c>
      <c r="C47" s="2">
        <v>-16.100000000000001</v>
      </c>
      <c r="D47" s="2">
        <v>-15</v>
      </c>
      <c r="E47" s="2">
        <v>-11.5</v>
      </c>
      <c r="F47" s="2">
        <v>-20.100000000000001</v>
      </c>
      <c r="G47" s="2">
        <v>-17.8</v>
      </c>
      <c r="H47" s="2">
        <f>AVERAGE(weather.tbl[[#This Row],[Estevan]:[Kipling]])</f>
        <v>-16.05</v>
      </c>
      <c r="I47" s="2">
        <f>_xlfn.STDEV.S(weather.tbl[[#This Row],[Estevan]:[Kipling]])</f>
        <v>2.875239120490694</v>
      </c>
      <c r="J47" s="2">
        <f t="shared" si="0"/>
        <v>-19.988095238095241</v>
      </c>
      <c r="K47">
        <f>DAY(weather.tbl[[#This Row],[Date]])</f>
        <v>15</v>
      </c>
      <c r="L47">
        <f>MONTH(weather.tbl[[#This Row],[Date]])</f>
        <v>2</v>
      </c>
      <c r="M47">
        <f>YEAR(weather.tbl[[#This Row],[Date]])</f>
        <v>2014</v>
      </c>
    </row>
    <row r="48" spans="1:13" x14ac:dyDescent="0.25">
      <c r="A48" s="1">
        <v>41686</v>
      </c>
      <c r="B48" s="2">
        <v>-11.2</v>
      </c>
      <c r="C48" s="2">
        <v>-10.4</v>
      </c>
      <c r="D48" s="2">
        <v>-15.5</v>
      </c>
      <c r="E48" s="2">
        <v>-10.5</v>
      </c>
      <c r="F48" s="2">
        <v>-18.2</v>
      </c>
      <c r="G48" s="2">
        <v>-14.1</v>
      </c>
      <c r="H48" s="2">
        <f>AVERAGE(weather.tbl[[#This Row],[Estevan]:[Kipling]])</f>
        <v>-13.316666666666665</v>
      </c>
      <c r="I48" s="2">
        <f>_xlfn.STDEV.S(weather.tbl[[#This Row],[Estevan]:[Kipling]])</f>
        <v>3.1669648982372238</v>
      </c>
      <c r="J48" s="2">
        <f t="shared" si="0"/>
        <v>-18.152380952380952</v>
      </c>
      <c r="K48">
        <f>DAY(weather.tbl[[#This Row],[Date]])</f>
        <v>16</v>
      </c>
      <c r="L48">
        <f>MONTH(weather.tbl[[#This Row],[Date]])</f>
        <v>2</v>
      </c>
      <c r="M48">
        <f>YEAR(weather.tbl[[#This Row],[Date]])</f>
        <v>2014</v>
      </c>
    </row>
    <row r="49" spans="1:13" x14ac:dyDescent="0.25">
      <c r="A49" s="1">
        <v>41687</v>
      </c>
      <c r="B49" s="2">
        <v>-2.9</v>
      </c>
      <c r="C49" s="2">
        <v>-1.9</v>
      </c>
      <c r="D49" s="2">
        <v>-3.5</v>
      </c>
      <c r="E49" s="2">
        <v>-2.5</v>
      </c>
      <c r="F49" s="2">
        <v>-4.5</v>
      </c>
      <c r="G49" s="2">
        <v>-4.5999999999999996</v>
      </c>
      <c r="H49" s="2">
        <f>AVERAGE(weather.tbl[[#This Row],[Estevan]:[Kipling]])</f>
        <v>-3.3166666666666664</v>
      </c>
      <c r="I49" s="2">
        <f>_xlfn.STDEV.S(weather.tbl[[#This Row],[Estevan]:[Kipling]])</f>
        <v>1.0888832199398926</v>
      </c>
      <c r="J49" s="2">
        <f t="shared" si="0"/>
        <v>-15.269047619047617</v>
      </c>
      <c r="K49">
        <f>DAY(weather.tbl[[#This Row],[Date]])</f>
        <v>17</v>
      </c>
      <c r="L49">
        <f>MONTH(weather.tbl[[#This Row],[Date]])</f>
        <v>2</v>
      </c>
      <c r="M49">
        <f>YEAR(weather.tbl[[#This Row],[Date]])</f>
        <v>2014</v>
      </c>
    </row>
    <row r="50" spans="1:13" x14ac:dyDescent="0.25">
      <c r="A50" s="1">
        <v>41688</v>
      </c>
      <c r="B50" s="2">
        <v>-4.5</v>
      </c>
      <c r="C50" s="2">
        <v>-7.2</v>
      </c>
      <c r="D50" s="2">
        <v>-5</v>
      </c>
      <c r="E50" s="2">
        <v>-6.3</v>
      </c>
      <c r="F50" s="2">
        <v>-7.2</v>
      </c>
      <c r="G50" s="2">
        <v>-8.1</v>
      </c>
      <c r="H50" s="2">
        <f>AVERAGE(weather.tbl[[#This Row],[Estevan]:[Kipling]])</f>
        <v>-6.3833333333333329</v>
      </c>
      <c r="I50" s="2">
        <f>_xlfn.STDEV.S(weather.tbl[[#This Row],[Estevan]:[Kipling]])</f>
        <v>1.3963046467969205</v>
      </c>
      <c r="J50" s="2">
        <f t="shared" si="0"/>
        <v>-13.916666666666666</v>
      </c>
      <c r="K50">
        <f>DAY(weather.tbl[[#This Row],[Date]])</f>
        <v>18</v>
      </c>
      <c r="L50">
        <f>MONTH(weather.tbl[[#This Row],[Date]])</f>
        <v>2</v>
      </c>
      <c r="M50">
        <f>YEAR(weather.tbl[[#This Row],[Date]])</f>
        <v>2014</v>
      </c>
    </row>
    <row r="51" spans="1:13" x14ac:dyDescent="0.25">
      <c r="A51" s="1">
        <v>41689</v>
      </c>
      <c r="B51" s="2">
        <v>-6</v>
      </c>
      <c r="C51" s="2">
        <v>-6.3</v>
      </c>
      <c r="D51" s="2">
        <v>-5</v>
      </c>
      <c r="E51" s="2">
        <v>-3.5</v>
      </c>
      <c r="F51" s="2">
        <v>-8.5</v>
      </c>
      <c r="G51" s="2">
        <v>-7.6</v>
      </c>
      <c r="H51" s="2">
        <f>AVERAGE(weather.tbl[[#This Row],[Estevan]:[Kipling]])</f>
        <v>-6.1499999999999995</v>
      </c>
      <c r="I51" s="2">
        <f>_xlfn.STDEV.S(weather.tbl[[#This Row],[Estevan]:[Kipling]])</f>
        <v>1.7896927110540521</v>
      </c>
      <c r="J51" s="2">
        <f t="shared" si="0"/>
        <v>-11.983333333333333</v>
      </c>
      <c r="K51">
        <f>DAY(weather.tbl[[#This Row],[Date]])</f>
        <v>19</v>
      </c>
      <c r="L51">
        <f>MONTH(weather.tbl[[#This Row],[Date]])</f>
        <v>2</v>
      </c>
      <c r="M51">
        <f>YEAR(weather.tbl[[#This Row],[Date]])</f>
        <v>2014</v>
      </c>
    </row>
    <row r="52" spans="1:13" x14ac:dyDescent="0.25">
      <c r="A52" s="1">
        <v>41690</v>
      </c>
      <c r="B52" s="2">
        <v>-16.600000000000001</v>
      </c>
      <c r="C52" s="2">
        <v>-18</v>
      </c>
      <c r="D52" s="2">
        <v>-5</v>
      </c>
      <c r="E52" s="2">
        <v>-18</v>
      </c>
      <c r="F52" s="2">
        <v>-18.5</v>
      </c>
      <c r="G52" s="2">
        <v>-7.6</v>
      </c>
      <c r="H52" s="2">
        <f>AVERAGE(weather.tbl[[#This Row],[Estevan]:[Kipling]])</f>
        <v>-13.949999999999998</v>
      </c>
      <c r="I52" s="2">
        <f>_xlfn.STDEV.S(weather.tbl[[#This Row],[Estevan]:[Kipling]])</f>
        <v>6.0158956107964565</v>
      </c>
      <c r="J52" s="2">
        <f t="shared" si="0"/>
        <v>-10.807142857142855</v>
      </c>
      <c r="K52">
        <f>DAY(weather.tbl[[#This Row],[Date]])</f>
        <v>20</v>
      </c>
      <c r="L52">
        <f>MONTH(weather.tbl[[#This Row],[Date]])</f>
        <v>2</v>
      </c>
      <c r="M52">
        <f>YEAR(weather.tbl[[#This Row],[Date]])</f>
        <v>2014</v>
      </c>
    </row>
    <row r="53" spans="1:13" x14ac:dyDescent="0.25">
      <c r="A53" s="1">
        <v>41691</v>
      </c>
      <c r="B53" s="2">
        <v>-20.7</v>
      </c>
      <c r="C53" s="2">
        <v>-22.9</v>
      </c>
      <c r="D53" s="2">
        <v>-5</v>
      </c>
      <c r="E53" s="2">
        <v>-22.8</v>
      </c>
      <c r="F53" s="2">
        <v>-21.6</v>
      </c>
      <c r="G53" s="2">
        <v>-22.5</v>
      </c>
      <c r="H53" s="2">
        <f>AVERAGE(weather.tbl[[#This Row],[Estevan]:[Kipling]])</f>
        <v>-19.25</v>
      </c>
      <c r="I53" s="2">
        <f>_xlfn.STDEV.S(weather.tbl[[#This Row],[Estevan]:[Kipling]])</f>
        <v>7.0310027734313936</v>
      </c>
      <c r="J53" s="2">
        <f t="shared" si="0"/>
        <v>-11.202380952380951</v>
      </c>
      <c r="K53">
        <f>DAY(weather.tbl[[#This Row],[Date]])</f>
        <v>21</v>
      </c>
      <c r="L53">
        <f>MONTH(weather.tbl[[#This Row],[Date]])</f>
        <v>2</v>
      </c>
      <c r="M53">
        <f>YEAR(weather.tbl[[#This Row],[Date]])</f>
        <v>2014</v>
      </c>
    </row>
    <row r="54" spans="1:13" x14ac:dyDescent="0.25">
      <c r="A54" s="1">
        <v>41692</v>
      </c>
      <c r="B54" s="2">
        <v>-19.100000000000001</v>
      </c>
      <c r="C54" s="2">
        <v>-20.7</v>
      </c>
      <c r="D54" s="2">
        <v>-5</v>
      </c>
      <c r="E54" s="2">
        <v>-19.5</v>
      </c>
      <c r="F54" s="2">
        <v>-17.7</v>
      </c>
      <c r="G54" s="2">
        <v>-19.100000000000001</v>
      </c>
      <c r="H54" s="2">
        <f>AVERAGE(weather.tbl[[#This Row],[Estevan]:[Kipling]])</f>
        <v>-16.849999999999998</v>
      </c>
      <c r="I54" s="2">
        <f>_xlfn.STDEV.S(weather.tbl[[#This Row],[Estevan]:[Kipling]])</f>
        <v>5.8841312018003178</v>
      </c>
      <c r="J54" s="2">
        <f t="shared" si="0"/>
        <v>-11.316666666666665</v>
      </c>
      <c r="K54">
        <f>DAY(weather.tbl[[#This Row],[Date]])</f>
        <v>22</v>
      </c>
      <c r="L54">
        <f>MONTH(weather.tbl[[#This Row],[Date]])</f>
        <v>2</v>
      </c>
      <c r="M54">
        <f>YEAR(weather.tbl[[#This Row],[Date]])</f>
        <v>2014</v>
      </c>
    </row>
    <row r="55" spans="1:13" x14ac:dyDescent="0.25">
      <c r="A55" s="1">
        <v>41693</v>
      </c>
      <c r="B55" s="2">
        <v>-21.4</v>
      </c>
      <c r="C55" s="2">
        <v>-24.2</v>
      </c>
      <c r="D55" s="2">
        <v>-5</v>
      </c>
      <c r="E55" s="2">
        <v>-23.5</v>
      </c>
      <c r="F55" s="2">
        <v>-19.899999999999999</v>
      </c>
      <c r="G55" s="2">
        <v>-22.9</v>
      </c>
      <c r="H55" s="2">
        <f>AVERAGE(weather.tbl[[#This Row],[Estevan]:[Kipling]])</f>
        <v>-19.483333333333334</v>
      </c>
      <c r="I55" s="2">
        <f>_xlfn.STDEV.S(weather.tbl[[#This Row],[Estevan]:[Kipling]])</f>
        <v>7.2617950030737317</v>
      </c>
      <c r="J55" s="2">
        <f t="shared" si="0"/>
        <v>-12.197619047619046</v>
      </c>
      <c r="K55">
        <f>DAY(weather.tbl[[#This Row],[Date]])</f>
        <v>23</v>
      </c>
      <c r="L55">
        <f>MONTH(weather.tbl[[#This Row],[Date]])</f>
        <v>2</v>
      </c>
      <c r="M55">
        <f>YEAR(weather.tbl[[#This Row],[Date]])</f>
        <v>2014</v>
      </c>
    </row>
    <row r="56" spans="1:13" x14ac:dyDescent="0.25">
      <c r="A56" s="1">
        <v>41694</v>
      </c>
      <c r="B56" s="2">
        <v>-23.7</v>
      </c>
      <c r="C56" s="2">
        <v>-25.9</v>
      </c>
      <c r="D56" s="2">
        <v>-5</v>
      </c>
      <c r="E56" s="2">
        <v>-25</v>
      </c>
      <c r="F56" s="2">
        <v>-23.6</v>
      </c>
      <c r="G56" s="2">
        <v>-25.8</v>
      </c>
      <c r="H56" s="2">
        <f>AVERAGE(weather.tbl[[#This Row],[Estevan]:[Kipling]])</f>
        <v>-21.5</v>
      </c>
      <c r="I56" s="2">
        <f>_xlfn.STDEV.S(weather.tbl[[#This Row],[Estevan]:[Kipling]])</f>
        <v>8.1437092286009314</v>
      </c>
      <c r="J56" s="2">
        <f t="shared" si="0"/>
        <v>-14.795238095238094</v>
      </c>
      <c r="K56">
        <f>DAY(weather.tbl[[#This Row],[Date]])</f>
        <v>24</v>
      </c>
      <c r="L56">
        <f>MONTH(weather.tbl[[#This Row],[Date]])</f>
        <v>2</v>
      </c>
      <c r="M56">
        <f>YEAR(weather.tbl[[#This Row],[Date]])</f>
        <v>2014</v>
      </c>
    </row>
    <row r="57" spans="1:13" x14ac:dyDescent="0.25">
      <c r="A57" s="1">
        <v>41695</v>
      </c>
      <c r="B57" s="2">
        <v>-24.2</v>
      </c>
      <c r="C57" s="2">
        <v>-26.3</v>
      </c>
      <c r="D57" s="2">
        <v>-5</v>
      </c>
      <c r="E57" s="2">
        <v>-22.8</v>
      </c>
      <c r="F57" s="2">
        <v>-24.2</v>
      </c>
      <c r="G57" s="2">
        <v>-24.1</v>
      </c>
      <c r="H57" s="2">
        <f>AVERAGE(weather.tbl[[#This Row],[Estevan]:[Kipling]])</f>
        <v>-21.099999999999998</v>
      </c>
      <c r="I57" s="2">
        <f>_xlfn.STDEV.S(weather.tbl[[#This Row],[Estevan]:[Kipling]])</f>
        <v>7.9669316552861194</v>
      </c>
      <c r="J57" s="2">
        <f t="shared" si="0"/>
        <v>-16.897619047619045</v>
      </c>
      <c r="K57">
        <f>DAY(weather.tbl[[#This Row],[Date]])</f>
        <v>25</v>
      </c>
      <c r="L57">
        <f>MONTH(weather.tbl[[#This Row],[Date]])</f>
        <v>2</v>
      </c>
      <c r="M57">
        <f>YEAR(weather.tbl[[#This Row],[Date]])</f>
        <v>2014</v>
      </c>
    </row>
    <row r="58" spans="1:13" x14ac:dyDescent="0.25">
      <c r="A58" s="1">
        <v>41696</v>
      </c>
      <c r="B58" s="2">
        <v>-20</v>
      </c>
      <c r="C58" s="2">
        <v>-20.5</v>
      </c>
      <c r="D58" s="2">
        <v>-5</v>
      </c>
      <c r="E58" s="2">
        <v>-19.5</v>
      </c>
      <c r="F58" s="2">
        <v>-19.8</v>
      </c>
      <c r="G58" s="2">
        <v>-19.899999999999999</v>
      </c>
      <c r="H58" s="2">
        <f>AVERAGE(weather.tbl[[#This Row],[Estevan]:[Kipling]])</f>
        <v>-17.45</v>
      </c>
      <c r="I58" s="2">
        <f>_xlfn.STDEV.S(weather.tbl[[#This Row],[Estevan]:[Kipling]])</f>
        <v>6.1079456448138156</v>
      </c>
      <c r="J58" s="2">
        <f t="shared" si="0"/>
        <v>-18.511904761904759</v>
      </c>
      <c r="K58">
        <f>DAY(weather.tbl[[#This Row],[Date]])</f>
        <v>26</v>
      </c>
      <c r="L58">
        <f>MONTH(weather.tbl[[#This Row],[Date]])</f>
        <v>2</v>
      </c>
      <c r="M58">
        <f>YEAR(weather.tbl[[#This Row],[Date]])</f>
        <v>2014</v>
      </c>
    </row>
    <row r="59" spans="1:13" x14ac:dyDescent="0.25">
      <c r="A59" s="1">
        <v>41697</v>
      </c>
      <c r="B59" s="2">
        <v>-20.6</v>
      </c>
      <c r="C59" s="2">
        <v>-22.4</v>
      </c>
      <c r="D59" s="2">
        <v>-5</v>
      </c>
      <c r="E59" s="2">
        <v>-21</v>
      </c>
      <c r="F59" s="2">
        <v>-23.4</v>
      </c>
      <c r="G59" s="2">
        <v>-21.9</v>
      </c>
      <c r="H59" s="2">
        <f>AVERAGE(weather.tbl[[#This Row],[Estevan]:[Kipling]])</f>
        <v>-19.05</v>
      </c>
      <c r="I59" s="2">
        <f>_xlfn.STDEV.S(weather.tbl[[#This Row],[Estevan]:[Kipling]])</f>
        <v>6.9552138716217708</v>
      </c>
      <c r="J59" s="2">
        <f t="shared" si="0"/>
        <v>-19.240476190476191</v>
      </c>
      <c r="K59">
        <f>DAY(weather.tbl[[#This Row],[Date]])</f>
        <v>27</v>
      </c>
      <c r="L59">
        <f>MONTH(weather.tbl[[#This Row],[Date]])</f>
        <v>2</v>
      </c>
      <c r="M59">
        <f>YEAR(weather.tbl[[#This Row],[Date]])</f>
        <v>2014</v>
      </c>
    </row>
    <row r="60" spans="1:13" x14ac:dyDescent="0.25">
      <c r="A60" s="1">
        <v>41698</v>
      </c>
      <c r="B60" s="2">
        <v>-23.7</v>
      </c>
      <c r="C60" s="2">
        <v>-25.2</v>
      </c>
      <c r="D60" s="2">
        <v>-5</v>
      </c>
      <c r="E60" s="2">
        <v>-25.5</v>
      </c>
      <c r="F60" s="2">
        <v>-23.2</v>
      </c>
      <c r="G60" s="2">
        <v>-24.4</v>
      </c>
      <c r="H60" s="2">
        <f>AVERAGE(weather.tbl[[#This Row],[Estevan]:[Kipling]])</f>
        <v>-21.166666666666668</v>
      </c>
      <c r="I60" s="2">
        <f>_xlfn.STDEV.S(weather.tbl[[#This Row],[Estevan]:[Kipling]])</f>
        <v>7.9676010609634993</v>
      </c>
      <c r="J60" s="2">
        <f t="shared" si="0"/>
        <v>-19.514285714285712</v>
      </c>
      <c r="K60">
        <f>DAY(weather.tbl[[#This Row],[Date]])</f>
        <v>28</v>
      </c>
      <c r="L60">
        <f>MONTH(weather.tbl[[#This Row],[Date]])</f>
        <v>2</v>
      </c>
      <c r="M60">
        <f>YEAR(weather.tbl[[#This Row],[Date]])</f>
        <v>2014</v>
      </c>
    </row>
    <row r="61" spans="1:13" x14ac:dyDescent="0.25">
      <c r="A61" s="1">
        <v>41699</v>
      </c>
      <c r="B61" s="2">
        <v>-31.2</v>
      </c>
      <c r="C61" s="2">
        <v>-33.200000000000003</v>
      </c>
      <c r="D61" s="2">
        <v>-32.5</v>
      </c>
      <c r="E61" s="2">
        <v>-32.299999999999997</v>
      </c>
      <c r="F61" s="2">
        <v>-30.5</v>
      </c>
      <c r="G61" s="2">
        <v>-32.5</v>
      </c>
      <c r="H61" s="2">
        <f>AVERAGE(weather.tbl[[#This Row],[Estevan]:[Kipling]])</f>
        <v>-32.033333333333331</v>
      </c>
      <c r="I61" s="2">
        <f>_xlfn.STDEV.S(weather.tbl[[#This Row],[Estevan]:[Kipling]])</f>
        <v>0.9912954487269009</v>
      </c>
      <c r="J61" s="2">
        <f t="shared" si="0"/>
        <v>-21.683333333333334</v>
      </c>
      <c r="K61">
        <f>DAY(weather.tbl[[#This Row],[Date]])</f>
        <v>1</v>
      </c>
      <c r="L61">
        <f>MONTH(weather.tbl[[#This Row],[Date]])</f>
        <v>3</v>
      </c>
      <c r="M61">
        <f>YEAR(weather.tbl[[#This Row],[Date]])</f>
        <v>2014</v>
      </c>
    </row>
    <row r="62" spans="1:13" x14ac:dyDescent="0.25">
      <c r="A62" s="1">
        <v>41700</v>
      </c>
      <c r="B62" s="2">
        <v>-26.4</v>
      </c>
      <c r="C62" s="2">
        <v>-28.3</v>
      </c>
      <c r="D62" s="2">
        <v>-26.8</v>
      </c>
      <c r="E62" s="2">
        <v>-27.5</v>
      </c>
      <c r="F62" s="2">
        <v>-25.4</v>
      </c>
      <c r="G62" s="2">
        <v>-27.3</v>
      </c>
      <c r="H62" s="2">
        <f>AVERAGE(weather.tbl[[#This Row],[Estevan]:[Kipling]])</f>
        <v>-26.950000000000003</v>
      </c>
      <c r="I62" s="2">
        <f>_xlfn.STDEV.S(weather.tbl[[#This Row],[Estevan]:[Kipling]])</f>
        <v>0.99749686716300101</v>
      </c>
      <c r="J62" s="2">
        <f t="shared" si="0"/>
        <v>-22.75</v>
      </c>
      <c r="K62">
        <f>DAY(weather.tbl[[#This Row],[Date]])</f>
        <v>2</v>
      </c>
      <c r="L62">
        <f>MONTH(weather.tbl[[#This Row],[Date]])</f>
        <v>3</v>
      </c>
      <c r="M62">
        <f>YEAR(weather.tbl[[#This Row],[Date]])</f>
        <v>2014</v>
      </c>
    </row>
    <row r="63" spans="1:13" x14ac:dyDescent="0.25">
      <c r="A63" s="1">
        <v>41701</v>
      </c>
      <c r="B63" s="2">
        <v>-20.7</v>
      </c>
      <c r="C63" s="2">
        <v>-22.1</v>
      </c>
      <c r="D63" s="2">
        <v>-22.3</v>
      </c>
      <c r="E63" s="2">
        <v>-20.5</v>
      </c>
      <c r="F63" s="2">
        <v>-22.9</v>
      </c>
      <c r="G63" s="2">
        <v>-21.8</v>
      </c>
      <c r="H63" s="2">
        <f>AVERAGE(weather.tbl[[#This Row],[Estevan]:[Kipling]])</f>
        <v>-21.716666666666669</v>
      </c>
      <c r="I63" s="2">
        <f>_xlfn.STDEV.S(weather.tbl[[#This Row],[Estevan]:[Kipling]])</f>
        <v>0.93897106806688502</v>
      </c>
      <c r="J63" s="2">
        <f t="shared" si="0"/>
        <v>-22.780952380952382</v>
      </c>
      <c r="K63">
        <f>DAY(weather.tbl[[#This Row],[Date]])</f>
        <v>3</v>
      </c>
      <c r="L63">
        <f>MONTH(weather.tbl[[#This Row],[Date]])</f>
        <v>3</v>
      </c>
      <c r="M63">
        <f>YEAR(weather.tbl[[#This Row],[Date]])</f>
        <v>2014</v>
      </c>
    </row>
    <row r="64" spans="1:13" x14ac:dyDescent="0.25">
      <c r="A64" s="1">
        <v>41702</v>
      </c>
      <c r="B64" s="2">
        <v>-16.399999999999999</v>
      </c>
      <c r="C64" s="2">
        <v>-16.5</v>
      </c>
      <c r="D64" s="2">
        <v>-20.8</v>
      </c>
      <c r="E64" s="2">
        <v>-15.8</v>
      </c>
      <c r="F64" s="2">
        <v>-20.8</v>
      </c>
      <c r="G64" s="2">
        <v>-19.399999999999999</v>
      </c>
      <c r="H64" s="2">
        <f>AVERAGE(weather.tbl[[#This Row],[Estevan]:[Kipling]])</f>
        <v>-18.283333333333331</v>
      </c>
      <c r="I64" s="2">
        <f>_xlfn.STDEV.S(weather.tbl[[#This Row],[Estevan]:[Kipling]])</f>
        <v>2.3155272977589294</v>
      </c>
      <c r="J64" s="2">
        <f t="shared" si="0"/>
        <v>-22.37857142857143</v>
      </c>
      <c r="K64">
        <f>DAY(weather.tbl[[#This Row],[Date]])</f>
        <v>4</v>
      </c>
      <c r="L64">
        <f>MONTH(weather.tbl[[#This Row],[Date]])</f>
        <v>3</v>
      </c>
      <c r="M64">
        <f>YEAR(weather.tbl[[#This Row],[Date]])</f>
        <v>2014</v>
      </c>
    </row>
    <row r="65" spans="1:13" x14ac:dyDescent="0.25">
      <c r="A65" s="1">
        <v>41703</v>
      </c>
      <c r="B65" s="2">
        <v>-8.9</v>
      </c>
      <c r="C65" s="2">
        <v>-10.8</v>
      </c>
      <c r="D65" s="2">
        <v>-10.3</v>
      </c>
      <c r="E65" s="2">
        <v>-10.5</v>
      </c>
      <c r="F65" s="2">
        <v>-10</v>
      </c>
      <c r="G65" s="2">
        <v>-11.9</v>
      </c>
      <c r="H65" s="2">
        <f>AVERAGE(weather.tbl[[#This Row],[Estevan]:[Kipling]])</f>
        <v>-10.4</v>
      </c>
      <c r="I65" s="2">
        <f>_xlfn.STDEV.S(weather.tbl[[#This Row],[Estevan]:[Kipling]])</f>
        <v>0.98386991009990743</v>
      </c>
      <c r="J65" s="2">
        <f t="shared" si="0"/>
        <v>-21.37142857142857</v>
      </c>
      <c r="K65">
        <f>DAY(weather.tbl[[#This Row],[Date]])</f>
        <v>5</v>
      </c>
      <c r="L65">
        <f>MONTH(weather.tbl[[#This Row],[Date]])</f>
        <v>3</v>
      </c>
      <c r="M65">
        <f>YEAR(weather.tbl[[#This Row],[Date]])</f>
        <v>2014</v>
      </c>
    </row>
    <row r="66" spans="1:13" x14ac:dyDescent="0.25">
      <c r="A66" s="1">
        <v>41704</v>
      </c>
      <c r="B66" s="2">
        <v>-8.8000000000000007</v>
      </c>
      <c r="C66" s="2">
        <v>-14.6</v>
      </c>
      <c r="D66" s="2">
        <v>-9.5</v>
      </c>
      <c r="E66" s="2">
        <v>-10.3</v>
      </c>
      <c r="F66" s="2">
        <v>-8.4</v>
      </c>
      <c r="G66" s="2">
        <v>-11</v>
      </c>
      <c r="H66" s="2">
        <f>AVERAGE(weather.tbl[[#This Row],[Estevan]:[Kipling]])</f>
        <v>-10.433333333333334</v>
      </c>
      <c r="I66" s="2">
        <f>_xlfn.STDEV.S(weather.tbl[[#This Row],[Estevan]:[Kipling]])</f>
        <v>2.2527020812052951</v>
      </c>
      <c r="J66" s="2">
        <f t="shared" si="0"/>
        <v>-20.140476190476193</v>
      </c>
      <c r="K66">
        <f>DAY(weather.tbl[[#This Row],[Date]])</f>
        <v>6</v>
      </c>
      <c r="L66">
        <f>MONTH(weather.tbl[[#This Row],[Date]])</f>
        <v>3</v>
      </c>
      <c r="M66">
        <f>YEAR(weather.tbl[[#This Row],[Date]])</f>
        <v>2014</v>
      </c>
    </row>
    <row r="67" spans="1:13" x14ac:dyDescent="0.25">
      <c r="A67" s="1">
        <v>41705</v>
      </c>
      <c r="B67" s="2">
        <v>-18.5</v>
      </c>
      <c r="C67" s="2">
        <v>-21.7</v>
      </c>
      <c r="D67" s="2">
        <v>-18</v>
      </c>
      <c r="E67" s="2">
        <v>-18</v>
      </c>
      <c r="F67" s="2">
        <v>-17.100000000000001</v>
      </c>
      <c r="G67" s="2">
        <v>-17.5</v>
      </c>
      <c r="H67" s="2">
        <f>AVERAGE(weather.tbl[[#This Row],[Estevan]:[Kipling]])</f>
        <v>-18.466666666666669</v>
      </c>
      <c r="I67" s="2">
        <f>_xlfn.STDEV.S(weather.tbl[[#This Row],[Estevan]:[Kipling]])</f>
        <v>1.6548917386544248</v>
      </c>
      <c r="J67" s="2">
        <f t="shared" si="0"/>
        <v>-19.75476190476191</v>
      </c>
      <c r="K67">
        <f>DAY(weather.tbl[[#This Row],[Date]])</f>
        <v>7</v>
      </c>
      <c r="L67">
        <f>MONTH(weather.tbl[[#This Row],[Date]])</f>
        <v>3</v>
      </c>
      <c r="M67">
        <f>YEAR(weather.tbl[[#This Row],[Date]])</f>
        <v>2014</v>
      </c>
    </row>
    <row r="68" spans="1:13" x14ac:dyDescent="0.25">
      <c r="A68" s="1">
        <v>41706</v>
      </c>
      <c r="B68" s="2">
        <v>-4</v>
      </c>
      <c r="C68" s="2">
        <v>-4.8</v>
      </c>
      <c r="D68" s="2">
        <v>-6.5</v>
      </c>
      <c r="E68" s="2">
        <v>-5.8</v>
      </c>
      <c r="F68" s="2">
        <v>-10</v>
      </c>
      <c r="G68" s="2">
        <v>-9.6</v>
      </c>
      <c r="H68" s="2">
        <f>AVERAGE(weather.tbl[[#This Row],[Estevan]:[Kipling]])</f>
        <v>-6.7833333333333341</v>
      </c>
      <c r="I68" s="2">
        <f>_xlfn.STDEV.S(weather.tbl[[#This Row],[Estevan]:[Kipling]])</f>
        <v>2.4903145718295643</v>
      </c>
      <c r="J68" s="2">
        <f t="shared" si="0"/>
        <v>-16.147619047619049</v>
      </c>
      <c r="K68">
        <f>DAY(weather.tbl[[#This Row],[Date]])</f>
        <v>8</v>
      </c>
      <c r="L68">
        <f>MONTH(weather.tbl[[#This Row],[Date]])</f>
        <v>3</v>
      </c>
      <c r="M68">
        <f>YEAR(weather.tbl[[#This Row],[Date]])</f>
        <v>2014</v>
      </c>
    </row>
    <row r="69" spans="1:13" x14ac:dyDescent="0.25">
      <c r="A69" s="1">
        <v>41707</v>
      </c>
      <c r="B69" s="2">
        <v>3.4</v>
      </c>
      <c r="C69" s="2">
        <v>2.2000000000000002</v>
      </c>
      <c r="D69" s="2">
        <v>3.5</v>
      </c>
      <c r="E69" s="2">
        <v>2.5</v>
      </c>
      <c r="F69" s="2">
        <v>0.2</v>
      </c>
      <c r="G69" s="2">
        <v>0.9</v>
      </c>
      <c r="H69" s="2">
        <f>AVERAGE(weather.tbl[[#This Row],[Estevan]:[Kipling]])</f>
        <v>2.1166666666666667</v>
      </c>
      <c r="I69" s="2">
        <f>_xlfn.STDEV.S(weather.tbl[[#This Row],[Estevan]:[Kipling]])</f>
        <v>1.3317907743585955</v>
      </c>
      <c r="J69" s="2">
        <f t="shared" si="0"/>
        <v>-11.995238095238095</v>
      </c>
      <c r="K69">
        <f>DAY(weather.tbl[[#This Row],[Date]])</f>
        <v>9</v>
      </c>
      <c r="L69">
        <f>MONTH(weather.tbl[[#This Row],[Date]])</f>
        <v>3</v>
      </c>
      <c r="M69">
        <f>YEAR(weather.tbl[[#This Row],[Date]])</f>
        <v>2014</v>
      </c>
    </row>
    <row r="70" spans="1:13" x14ac:dyDescent="0.25">
      <c r="A70" s="1">
        <v>41708</v>
      </c>
      <c r="B70" s="2">
        <v>0.4</v>
      </c>
      <c r="C70" s="2">
        <v>-0.9</v>
      </c>
      <c r="D70" s="2">
        <v>0.8</v>
      </c>
      <c r="E70" s="2">
        <v>2.2999999999999998</v>
      </c>
      <c r="F70" s="2">
        <v>-0.4</v>
      </c>
      <c r="G70" s="2">
        <v>0.4</v>
      </c>
      <c r="H70" s="2">
        <f>AVERAGE(weather.tbl[[#This Row],[Estevan]:[Kipling]])</f>
        <v>0.43333333333333329</v>
      </c>
      <c r="I70" s="2">
        <f>_xlfn.STDEV.S(weather.tbl[[#This Row],[Estevan]:[Kipling]])</f>
        <v>1.103932365077982</v>
      </c>
      <c r="J70" s="2">
        <f t="shared" si="0"/>
        <v>-8.8309523809523807</v>
      </c>
      <c r="K70">
        <f>DAY(weather.tbl[[#This Row],[Date]])</f>
        <v>10</v>
      </c>
      <c r="L70">
        <f>MONTH(weather.tbl[[#This Row],[Date]])</f>
        <v>3</v>
      </c>
      <c r="M70">
        <f>YEAR(weather.tbl[[#This Row],[Date]])</f>
        <v>2014</v>
      </c>
    </row>
    <row r="71" spans="1:13" x14ac:dyDescent="0.25">
      <c r="A71" s="1">
        <v>41709</v>
      </c>
      <c r="B71" s="2">
        <v>-2.8</v>
      </c>
      <c r="C71" s="2">
        <v>-4.5</v>
      </c>
      <c r="D71" s="2">
        <v>-4.3</v>
      </c>
      <c r="E71" s="2">
        <v>-2.5</v>
      </c>
      <c r="F71" s="2">
        <v>-5.2</v>
      </c>
      <c r="G71" s="2">
        <v>-4.3</v>
      </c>
      <c r="H71" s="2">
        <f>AVERAGE(weather.tbl[[#This Row],[Estevan]:[Kipling]])</f>
        <v>-3.9333333333333336</v>
      </c>
      <c r="I71" s="2">
        <f>_xlfn.STDEV.S(weather.tbl[[#This Row],[Estevan]:[Kipling]])</f>
        <v>1.0519822558706331</v>
      </c>
      <c r="J71" s="2">
        <f t="shared" si="0"/>
        <v>-6.7809523809523808</v>
      </c>
      <c r="K71">
        <f>DAY(weather.tbl[[#This Row],[Date]])</f>
        <v>11</v>
      </c>
      <c r="L71">
        <f>MONTH(weather.tbl[[#This Row],[Date]])</f>
        <v>3</v>
      </c>
      <c r="M71">
        <f>YEAR(weather.tbl[[#This Row],[Date]])</f>
        <v>2014</v>
      </c>
    </row>
    <row r="72" spans="1:13" x14ac:dyDescent="0.25">
      <c r="A72" s="1">
        <v>41710</v>
      </c>
      <c r="B72" s="2">
        <v>-0.3</v>
      </c>
      <c r="C72" s="2">
        <v>-3</v>
      </c>
      <c r="D72" s="2">
        <v>-3.5</v>
      </c>
      <c r="E72" s="2">
        <v>-1.3</v>
      </c>
      <c r="F72" s="2">
        <v>-3</v>
      </c>
      <c r="G72" s="2">
        <v>-4.7</v>
      </c>
      <c r="H72" s="2">
        <f>AVERAGE(weather.tbl[[#This Row],[Estevan]:[Kipling]])</f>
        <v>-2.6333333333333333</v>
      </c>
      <c r="I72" s="2">
        <f>_xlfn.STDEV.S(weather.tbl[[#This Row],[Estevan]:[Kipling]])</f>
        <v>1.5819818793736757</v>
      </c>
      <c r="J72" s="2">
        <f t="shared" si="0"/>
        <v>-5.6714285714285726</v>
      </c>
      <c r="K72">
        <f>DAY(weather.tbl[[#This Row],[Date]])</f>
        <v>12</v>
      </c>
      <c r="L72">
        <f>MONTH(weather.tbl[[#This Row],[Date]])</f>
        <v>3</v>
      </c>
      <c r="M72">
        <f>YEAR(weather.tbl[[#This Row],[Date]])</f>
        <v>2014</v>
      </c>
    </row>
    <row r="73" spans="1:13" x14ac:dyDescent="0.25">
      <c r="A73" s="1">
        <v>41711</v>
      </c>
      <c r="B73" s="2">
        <v>2.6</v>
      </c>
      <c r="C73" s="2">
        <v>2</v>
      </c>
      <c r="D73" s="2">
        <v>1</v>
      </c>
      <c r="E73" s="2">
        <v>1.5</v>
      </c>
      <c r="F73" s="2">
        <v>1.7</v>
      </c>
      <c r="G73" s="2">
        <v>0.8</v>
      </c>
      <c r="H73" s="2">
        <f>AVERAGE(weather.tbl[[#This Row],[Estevan]:[Kipling]])</f>
        <v>1.5999999999999999</v>
      </c>
      <c r="I73" s="2">
        <f>_xlfn.STDEV.S(weather.tbl[[#This Row],[Estevan]:[Kipling]])</f>
        <v>0.6603029607687676</v>
      </c>
      <c r="J73" s="2">
        <f t="shared" si="0"/>
        <v>-3.9523809523809526</v>
      </c>
      <c r="K73">
        <f>DAY(weather.tbl[[#This Row],[Date]])</f>
        <v>13</v>
      </c>
      <c r="L73">
        <f>MONTH(weather.tbl[[#This Row],[Date]])</f>
        <v>3</v>
      </c>
      <c r="M73">
        <f>YEAR(weather.tbl[[#This Row],[Date]])</f>
        <v>2014</v>
      </c>
    </row>
    <row r="74" spans="1:13" x14ac:dyDescent="0.25">
      <c r="A74" s="1">
        <v>41712</v>
      </c>
      <c r="B74" s="2">
        <v>-2.6</v>
      </c>
      <c r="C74" s="2">
        <v>-2.5</v>
      </c>
      <c r="D74" s="2">
        <v>-5.3</v>
      </c>
      <c r="E74" s="2">
        <v>-0.8</v>
      </c>
      <c r="F74" s="2">
        <v>-5</v>
      </c>
      <c r="G74" s="2">
        <v>-7.7</v>
      </c>
      <c r="H74" s="2">
        <f>AVERAGE(weather.tbl[[#This Row],[Estevan]:[Kipling]])</f>
        <v>-3.9833333333333329</v>
      </c>
      <c r="I74" s="2">
        <f>_xlfn.STDEV.S(weather.tbl[[#This Row],[Estevan]:[Kipling]])</f>
        <v>2.4830760493119559</v>
      </c>
      <c r="J74" s="2">
        <f t="shared" ref="J74:J137" si="1">AVERAGE(H68:H74)</f>
        <v>-1.8833333333333333</v>
      </c>
      <c r="K74">
        <f>DAY(weather.tbl[[#This Row],[Date]])</f>
        <v>14</v>
      </c>
      <c r="L74">
        <f>MONTH(weather.tbl[[#This Row],[Date]])</f>
        <v>3</v>
      </c>
      <c r="M74">
        <f>YEAR(weather.tbl[[#This Row],[Date]])</f>
        <v>2014</v>
      </c>
    </row>
    <row r="75" spans="1:13" x14ac:dyDescent="0.25">
      <c r="A75" s="1">
        <v>41713</v>
      </c>
      <c r="B75" s="2">
        <v>-9.1999999999999993</v>
      </c>
      <c r="C75" s="2">
        <v>-8.6999999999999993</v>
      </c>
      <c r="D75" s="2">
        <v>-10.8</v>
      </c>
      <c r="E75" s="2">
        <v>-8.5</v>
      </c>
      <c r="F75" s="2">
        <v>-14.3</v>
      </c>
      <c r="G75" s="2">
        <v>-9.9</v>
      </c>
      <c r="H75" s="2">
        <f>AVERAGE(weather.tbl[[#This Row],[Estevan]:[Kipling]])</f>
        <v>-10.233333333333333</v>
      </c>
      <c r="I75" s="2">
        <f>_xlfn.STDEV.S(weather.tbl[[#This Row],[Estevan]:[Kipling]])</f>
        <v>2.1630225765503841</v>
      </c>
      <c r="J75" s="2">
        <f t="shared" si="1"/>
        <v>-2.3761904761904762</v>
      </c>
      <c r="K75">
        <f>DAY(weather.tbl[[#This Row],[Date]])</f>
        <v>15</v>
      </c>
      <c r="L75">
        <f>MONTH(weather.tbl[[#This Row],[Date]])</f>
        <v>3</v>
      </c>
      <c r="M75">
        <f>YEAR(weather.tbl[[#This Row],[Date]])</f>
        <v>2014</v>
      </c>
    </row>
    <row r="76" spans="1:13" x14ac:dyDescent="0.25">
      <c r="A76" s="1">
        <v>41714</v>
      </c>
      <c r="B76" s="2">
        <v>2.8</v>
      </c>
      <c r="C76" s="2">
        <v>1.9</v>
      </c>
      <c r="D76" s="2">
        <v>-1.5</v>
      </c>
      <c r="E76" s="2">
        <v>-2.2999999999999998</v>
      </c>
      <c r="F76" s="2">
        <v>-3.3</v>
      </c>
      <c r="G76" s="2">
        <v>-3.5</v>
      </c>
      <c r="H76" s="2">
        <f>AVERAGE(weather.tbl[[#This Row],[Estevan]:[Kipling]])</f>
        <v>-0.98333333333333339</v>
      </c>
      <c r="I76" s="2">
        <f>_xlfn.STDEV.S(weather.tbl[[#This Row],[Estevan]:[Kipling]])</f>
        <v>2.6954900605764931</v>
      </c>
      <c r="J76" s="2">
        <f t="shared" si="1"/>
        <v>-2.8190476190476192</v>
      </c>
      <c r="K76">
        <f>DAY(weather.tbl[[#This Row],[Date]])</f>
        <v>16</v>
      </c>
      <c r="L76">
        <f>MONTH(weather.tbl[[#This Row],[Date]])</f>
        <v>3</v>
      </c>
      <c r="M76">
        <f>YEAR(weather.tbl[[#This Row],[Date]])</f>
        <v>2014</v>
      </c>
    </row>
    <row r="77" spans="1:13" x14ac:dyDescent="0.25">
      <c r="A77" s="1">
        <v>41715</v>
      </c>
      <c r="B77" s="2">
        <v>2.9</v>
      </c>
      <c r="C77" s="2">
        <v>0.3</v>
      </c>
      <c r="D77" s="2">
        <v>1.8</v>
      </c>
      <c r="E77" s="2">
        <v>0.8</v>
      </c>
      <c r="F77" s="2">
        <v>-2</v>
      </c>
      <c r="G77" s="2">
        <v>-0.5</v>
      </c>
      <c r="H77" s="2">
        <f>AVERAGE(weather.tbl[[#This Row],[Estevan]:[Kipling]])</f>
        <v>0.54999999999999993</v>
      </c>
      <c r="I77" s="2">
        <f>_xlfn.STDEV.S(weather.tbl[[#This Row],[Estevan]:[Kipling]])</f>
        <v>1.7213366899011944</v>
      </c>
      <c r="J77" s="2">
        <f t="shared" si="1"/>
        <v>-2.8023809523809518</v>
      </c>
      <c r="K77">
        <f>DAY(weather.tbl[[#This Row],[Date]])</f>
        <v>17</v>
      </c>
      <c r="L77">
        <f>MONTH(weather.tbl[[#This Row],[Date]])</f>
        <v>3</v>
      </c>
      <c r="M77">
        <f>YEAR(weather.tbl[[#This Row],[Date]])</f>
        <v>2014</v>
      </c>
    </row>
    <row r="78" spans="1:13" x14ac:dyDescent="0.25">
      <c r="A78" s="1">
        <v>41716</v>
      </c>
      <c r="B78" s="2">
        <v>-1</v>
      </c>
      <c r="C78" s="2">
        <v>-1.3</v>
      </c>
      <c r="D78" s="2">
        <v>-0.5</v>
      </c>
      <c r="E78" s="2">
        <v>-0.8</v>
      </c>
      <c r="F78" s="2">
        <v>-1.3</v>
      </c>
      <c r="G78" s="2">
        <v>-1.6</v>
      </c>
      <c r="H78" s="2">
        <f>AVERAGE(weather.tbl[[#This Row],[Estevan]:[Kipling]])</f>
        <v>-1.0833333333333333</v>
      </c>
      <c r="I78" s="2">
        <f>_xlfn.STDEV.S(weather.tbl[[#This Row],[Estevan]:[Kipling]])</f>
        <v>0.39707262140150984</v>
      </c>
      <c r="J78" s="2">
        <f t="shared" si="1"/>
        <v>-2.3952380952380952</v>
      </c>
      <c r="K78">
        <f>DAY(weather.tbl[[#This Row],[Date]])</f>
        <v>18</v>
      </c>
      <c r="L78">
        <f>MONTH(weather.tbl[[#This Row],[Date]])</f>
        <v>3</v>
      </c>
      <c r="M78">
        <f>YEAR(weather.tbl[[#This Row],[Date]])</f>
        <v>2014</v>
      </c>
    </row>
    <row r="79" spans="1:13" x14ac:dyDescent="0.25">
      <c r="A79" s="1">
        <v>41717</v>
      </c>
      <c r="B79" s="2">
        <v>1</v>
      </c>
      <c r="C79" s="2">
        <v>0.4</v>
      </c>
      <c r="D79" s="2">
        <v>1.8</v>
      </c>
      <c r="E79" s="2">
        <v>1</v>
      </c>
      <c r="F79" s="2">
        <v>-1.5</v>
      </c>
      <c r="G79" s="2">
        <v>-2.2000000000000002</v>
      </c>
      <c r="H79" s="2">
        <f>AVERAGE(weather.tbl[[#This Row],[Estevan]:[Kipling]])</f>
        <v>8.3333333333333329E-2</v>
      </c>
      <c r="I79" s="2">
        <f>_xlfn.STDEV.S(weather.tbl[[#This Row],[Estevan]:[Kipling]])</f>
        <v>1.5778677595624633</v>
      </c>
      <c r="J79" s="2">
        <f t="shared" si="1"/>
        <v>-2.0071428571428567</v>
      </c>
      <c r="K79">
        <f>DAY(weather.tbl[[#This Row],[Date]])</f>
        <v>19</v>
      </c>
      <c r="L79">
        <f>MONTH(weather.tbl[[#This Row],[Date]])</f>
        <v>3</v>
      </c>
      <c r="M79">
        <f>YEAR(weather.tbl[[#This Row],[Date]])</f>
        <v>2014</v>
      </c>
    </row>
    <row r="80" spans="1:13" x14ac:dyDescent="0.25">
      <c r="A80" s="1">
        <v>41718</v>
      </c>
      <c r="B80" s="2">
        <v>1.8</v>
      </c>
      <c r="C80" s="2">
        <v>0.8</v>
      </c>
      <c r="D80" s="2">
        <v>-1.5</v>
      </c>
      <c r="E80" s="2">
        <v>0</v>
      </c>
      <c r="F80" s="2">
        <v>-2</v>
      </c>
      <c r="G80" s="2">
        <v>-2.7</v>
      </c>
      <c r="H80" s="2">
        <f>AVERAGE(weather.tbl[[#This Row],[Estevan]:[Kipling]])</f>
        <v>-0.6</v>
      </c>
      <c r="I80" s="2">
        <f>_xlfn.STDEV.S(weather.tbl[[#This Row],[Estevan]:[Kipling]])</f>
        <v>1.7469974241537967</v>
      </c>
      <c r="J80" s="2">
        <f t="shared" si="1"/>
        <v>-2.3214285714285716</v>
      </c>
      <c r="K80">
        <f>DAY(weather.tbl[[#This Row],[Date]])</f>
        <v>20</v>
      </c>
      <c r="L80">
        <f>MONTH(weather.tbl[[#This Row],[Date]])</f>
        <v>3</v>
      </c>
      <c r="M80">
        <f>YEAR(weather.tbl[[#This Row],[Date]])</f>
        <v>2014</v>
      </c>
    </row>
    <row r="81" spans="1:13" x14ac:dyDescent="0.25">
      <c r="A81" s="1">
        <v>41719</v>
      </c>
      <c r="B81" s="2">
        <v>-8</v>
      </c>
      <c r="C81" s="2">
        <v>-9.6</v>
      </c>
      <c r="D81" s="2">
        <v>-11.5</v>
      </c>
      <c r="E81" s="2">
        <v>-12</v>
      </c>
      <c r="F81" s="2">
        <v>-8.4</v>
      </c>
      <c r="G81" s="2">
        <v>-15.3</v>
      </c>
      <c r="H81" s="2">
        <f>AVERAGE(weather.tbl[[#This Row],[Estevan]:[Kipling]])</f>
        <v>-10.799999999999999</v>
      </c>
      <c r="I81" s="2">
        <f>_xlfn.STDEV.S(weather.tbl[[#This Row],[Estevan]:[Kipling]])</f>
        <v>2.7283694764455899</v>
      </c>
      <c r="J81" s="2">
        <f t="shared" si="1"/>
        <v>-3.2952380952380946</v>
      </c>
      <c r="K81">
        <f>DAY(weather.tbl[[#This Row],[Date]])</f>
        <v>21</v>
      </c>
      <c r="L81">
        <f>MONTH(weather.tbl[[#This Row],[Date]])</f>
        <v>3</v>
      </c>
      <c r="M81">
        <f>YEAR(weather.tbl[[#This Row],[Date]])</f>
        <v>2014</v>
      </c>
    </row>
    <row r="82" spans="1:13" x14ac:dyDescent="0.25">
      <c r="A82" s="1">
        <v>41720</v>
      </c>
      <c r="B82" s="2">
        <v>-12.6</v>
      </c>
      <c r="C82" s="2">
        <v>-13.2</v>
      </c>
      <c r="D82" s="2">
        <v>-15</v>
      </c>
      <c r="E82" s="2">
        <v>-13.3</v>
      </c>
      <c r="F82" s="2">
        <v>-15.4</v>
      </c>
      <c r="G82" s="2">
        <v>-18.2</v>
      </c>
      <c r="H82" s="2">
        <f>AVERAGE(weather.tbl[[#This Row],[Estevan]:[Kipling]])</f>
        <v>-14.616666666666667</v>
      </c>
      <c r="I82" s="2">
        <f>_xlfn.STDEV.S(weather.tbl[[#This Row],[Estevan]:[Kipling]])</f>
        <v>2.0692188542217123</v>
      </c>
      <c r="J82" s="2">
        <f t="shared" si="1"/>
        <v>-3.9214285714285713</v>
      </c>
      <c r="K82">
        <f>DAY(weather.tbl[[#This Row],[Date]])</f>
        <v>22</v>
      </c>
      <c r="L82">
        <f>MONTH(weather.tbl[[#This Row],[Date]])</f>
        <v>3</v>
      </c>
      <c r="M82">
        <f>YEAR(weather.tbl[[#This Row],[Date]])</f>
        <v>2014</v>
      </c>
    </row>
    <row r="83" spans="1:13" x14ac:dyDescent="0.25">
      <c r="A83" s="1">
        <v>41721</v>
      </c>
      <c r="B83" s="2">
        <v>-9.1999999999999993</v>
      </c>
      <c r="C83" s="2">
        <v>-11</v>
      </c>
      <c r="D83" s="2">
        <v>-12.8</v>
      </c>
      <c r="E83" s="2">
        <v>-12</v>
      </c>
      <c r="F83" s="2">
        <v>-13.3</v>
      </c>
      <c r="G83" s="2">
        <v>-16.5</v>
      </c>
      <c r="H83" s="2">
        <f>AVERAGE(weather.tbl[[#This Row],[Estevan]:[Kipling]])</f>
        <v>-12.466666666666667</v>
      </c>
      <c r="I83" s="2">
        <f>_xlfn.STDEV.S(weather.tbl[[#This Row],[Estevan]:[Kipling]])</f>
        <v>2.4541121952076006</v>
      </c>
      <c r="J83" s="2">
        <f t="shared" si="1"/>
        <v>-5.5619047619047626</v>
      </c>
      <c r="K83">
        <f>DAY(weather.tbl[[#This Row],[Date]])</f>
        <v>23</v>
      </c>
      <c r="L83">
        <f>MONTH(weather.tbl[[#This Row],[Date]])</f>
        <v>3</v>
      </c>
      <c r="M83">
        <f>YEAR(weather.tbl[[#This Row],[Date]])</f>
        <v>2014</v>
      </c>
    </row>
    <row r="84" spans="1:13" x14ac:dyDescent="0.25">
      <c r="A84" s="1">
        <v>41722</v>
      </c>
      <c r="B84" s="2">
        <v>-9.3000000000000007</v>
      </c>
      <c r="C84" s="2">
        <v>-11.3</v>
      </c>
      <c r="D84" s="2">
        <v>-11.5</v>
      </c>
      <c r="E84" s="2">
        <v>-10.3</v>
      </c>
      <c r="F84" s="2">
        <v>-11.5</v>
      </c>
      <c r="G84" s="2">
        <v>-15.2</v>
      </c>
      <c r="H84" s="2">
        <f>AVERAGE(weather.tbl[[#This Row],[Estevan]:[Kipling]])</f>
        <v>-11.516666666666667</v>
      </c>
      <c r="I84" s="2">
        <f>_xlfn.STDEV.S(weather.tbl[[#This Row],[Estevan]:[Kipling]])</f>
        <v>2.0004166232729172</v>
      </c>
      <c r="J84" s="2">
        <f t="shared" si="1"/>
        <v>-7.2857142857142856</v>
      </c>
      <c r="K84">
        <f>DAY(weather.tbl[[#This Row],[Date]])</f>
        <v>24</v>
      </c>
      <c r="L84">
        <f>MONTH(weather.tbl[[#This Row],[Date]])</f>
        <v>3</v>
      </c>
      <c r="M84">
        <f>YEAR(weather.tbl[[#This Row],[Date]])</f>
        <v>2014</v>
      </c>
    </row>
    <row r="85" spans="1:13" x14ac:dyDescent="0.25">
      <c r="A85" s="1">
        <v>41723</v>
      </c>
      <c r="B85" s="2">
        <v>-9.3000000000000007</v>
      </c>
      <c r="C85" s="2">
        <v>-9.8000000000000007</v>
      </c>
      <c r="D85" s="2">
        <v>-11.3</v>
      </c>
      <c r="E85" s="2">
        <v>-9</v>
      </c>
      <c r="F85" s="2">
        <v>-11.9</v>
      </c>
      <c r="G85" s="2">
        <v>-14.9</v>
      </c>
      <c r="H85" s="2">
        <f>AVERAGE(weather.tbl[[#This Row],[Estevan]:[Kipling]])</f>
        <v>-11.033333333333333</v>
      </c>
      <c r="I85" s="2">
        <f>_xlfn.STDEV.S(weather.tbl[[#This Row],[Estevan]:[Kipling]])</f>
        <v>2.2105806175452312</v>
      </c>
      <c r="J85" s="2">
        <f t="shared" si="1"/>
        <v>-8.7071428571428573</v>
      </c>
      <c r="K85">
        <f>DAY(weather.tbl[[#This Row],[Date]])</f>
        <v>25</v>
      </c>
      <c r="L85">
        <f>MONTH(weather.tbl[[#This Row],[Date]])</f>
        <v>3</v>
      </c>
      <c r="M85">
        <f>YEAR(weather.tbl[[#This Row],[Date]])</f>
        <v>2014</v>
      </c>
    </row>
    <row r="86" spans="1:13" x14ac:dyDescent="0.25">
      <c r="A86" s="1">
        <v>41724</v>
      </c>
      <c r="B86" s="2">
        <v>-2.2999999999999998</v>
      </c>
      <c r="C86" s="2">
        <v>-4.9000000000000004</v>
      </c>
      <c r="D86" s="2">
        <v>-5</v>
      </c>
      <c r="E86" s="2">
        <v>-4</v>
      </c>
      <c r="F86" s="2">
        <v>-4.5999999999999996</v>
      </c>
      <c r="G86" s="2">
        <v>-7.4</v>
      </c>
      <c r="H86" s="2">
        <f>AVERAGE(weather.tbl[[#This Row],[Estevan]:[Kipling]])</f>
        <v>-4.6999999999999993</v>
      </c>
      <c r="I86" s="2">
        <f>_xlfn.STDEV.S(weather.tbl[[#This Row],[Estevan]:[Kipling]])</f>
        <v>1.6540858502508304</v>
      </c>
      <c r="J86" s="2">
        <f t="shared" si="1"/>
        <v>-9.3904761904761909</v>
      </c>
      <c r="K86">
        <f>DAY(weather.tbl[[#This Row],[Date]])</f>
        <v>26</v>
      </c>
      <c r="L86">
        <f>MONTH(weather.tbl[[#This Row],[Date]])</f>
        <v>3</v>
      </c>
      <c r="M86">
        <f>YEAR(weather.tbl[[#This Row],[Date]])</f>
        <v>2014</v>
      </c>
    </row>
    <row r="87" spans="1:13" x14ac:dyDescent="0.25">
      <c r="A87" s="1">
        <v>41725</v>
      </c>
      <c r="B87" s="2">
        <v>-5.2</v>
      </c>
      <c r="C87" s="2">
        <v>-8.1999999999999993</v>
      </c>
      <c r="D87" s="2">
        <v>-7.8</v>
      </c>
      <c r="E87" s="2">
        <v>-7</v>
      </c>
      <c r="F87" s="2">
        <v>-8.1999999999999993</v>
      </c>
      <c r="G87" s="2">
        <v>-9.5</v>
      </c>
      <c r="H87" s="2">
        <f>AVERAGE(weather.tbl[[#This Row],[Estevan]:[Kipling]])</f>
        <v>-7.6499999999999995</v>
      </c>
      <c r="I87" s="2">
        <f>_xlfn.STDEV.S(weather.tbl[[#This Row],[Estevan]:[Kipling]])</f>
        <v>1.4474114826130144</v>
      </c>
      <c r="J87" s="2">
        <f t="shared" si="1"/>
        <v>-10.397619047619047</v>
      </c>
      <c r="K87">
        <f>DAY(weather.tbl[[#This Row],[Date]])</f>
        <v>27</v>
      </c>
      <c r="L87">
        <f>MONTH(weather.tbl[[#This Row],[Date]])</f>
        <v>3</v>
      </c>
      <c r="M87">
        <f>YEAR(weather.tbl[[#This Row],[Date]])</f>
        <v>2014</v>
      </c>
    </row>
    <row r="88" spans="1:13" x14ac:dyDescent="0.25">
      <c r="A88" s="1">
        <v>41726</v>
      </c>
      <c r="B88" s="2">
        <v>-5.0999999999999996</v>
      </c>
      <c r="C88" s="2">
        <v>-9.1</v>
      </c>
      <c r="D88" s="2">
        <v>-7.3</v>
      </c>
      <c r="E88" s="2">
        <v>-7</v>
      </c>
      <c r="F88" s="2">
        <v>-7.6</v>
      </c>
      <c r="G88" s="2">
        <v>-11.3</v>
      </c>
      <c r="H88" s="2">
        <f>AVERAGE(weather.tbl[[#This Row],[Estevan]:[Kipling]])</f>
        <v>-7.9000000000000012</v>
      </c>
      <c r="I88" s="2">
        <f>_xlfn.STDEV.S(weather.tbl[[#This Row],[Estevan]:[Kipling]])</f>
        <v>2.1023796041628597</v>
      </c>
      <c r="J88" s="2">
        <f t="shared" si="1"/>
        <v>-9.9833333333333325</v>
      </c>
      <c r="K88">
        <f>DAY(weather.tbl[[#This Row],[Date]])</f>
        <v>28</v>
      </c>
      <c r="L88">
        <f>MONTH(weather.tbl[[#This Row],[Date]])</f>
        <v>3</v>
      </c>
      <c r="M88">
        <f>YEAR(weather.tbl[[#This Row],[Date]])</f>
        <v>2014</v>
      </c>
    </row>
    <row r="89" spans="1:13" x14ac:dyDescent="0.25">
      <c r="A89" s="1">
        <v>41727</v>
      </c>
      <c r="B89" s="2">
        <v>2.2999999999999998</v>
      </c>
      <c r="C89" s="2">
        <v>2.5</v>
      </c>
      <c r="D89" s="2">
        <v>0</v>
      </c>
      <c r="E89" s="2">
        <v>1</v>
      </c>
      <c r="F89" s="2">
        <v>0.7</v>
      </c>
      <c r="G89" s="2">
        <v>-3.7</v>
      </c>
      <c r="H89" s="2">
        <f>AVERAGE(weather.tbl[[#This Row],[Estevan]:[Kipling]])</f>
        <v>0.46666666666666662</v>
      </c>
      <c r="I89" s="2">
        <f>_xlfn.STDEV.S(weather.tbl[[#This Row],[Estevan]:[Kipling]])</f>
        <v>2.2544770273095858</v>
      </c>
      <c r="J89" s="2">
        <f t="shared" si="1"/>
        <v>-7.8285714285714283</v>
      </c>
      <c r="K89">
        <f>DAY(weather.tbl[[#This Row],[Date]])</f>
        <v>29</v>
      </c>
      <c r="L89">
        <f>MONTH(weather.tbl[[#This Row],[Date]])</f>
        <v>3</v>
      </c>
      <c r="M89">
        <f>YEAR(weather.tbl[[#This Row],[Date]])</f>
        <v>2014</v>
      </c>
    </row>
    <row r="90" spans="1:13" x14ac:dyDescent="0.25">
      <c r="A90" s="1">
        <v>41728</v>
      </c>
      <c r="B90" s="2">
        <v>-3.8</v>
      </c>
      <c r="C90" s="2">
        <v>-5</v>
      </c>
      <c r="D90" s="2">
        <v>-2.5</v>
      </c>
      <c r="E90" s="2">
        <v>-3.8</v>
      </c>
      <c r="F90" s="2">
        <v>-3.9</v>
      </c>
      <c r="G90" s="2">
        <v>-2.6</v>
      </c>
      <c r="H90" s="2">
        <f>AVERAGE(weather.tbl[[#This Row],[Estevan]:[Kipling]])</f>
        <v>-3.6</v>
      </c>
      <c r="I90" s="2">
        <f>_xlfn.STDEV.S(weather.tbl[[#This Row],[Estevan]:[Kipling]])</f>
        <v>0.93166517590816811</v>
      </c>
      <c r="J90" s="2">
        <f t="shared" si="1"/>
        <v>-6.5619047619047617</v>
      </c>
      <c r="K90">
        <f>DAY(weather.tbl[[#This Row],[Date]])</f>
        <v>30</v>
      </c>
      <c r="L90">
        <f>MONTH(weather.tbl[[#This Row],[Date]])</f>
        <v>3</v>
      </c>
      <c r="M90">
        <f>YEAR(weather.tbl[[#This Row],[Date]])</f>
        <v>2014</v>
      </c>
    </row>
    <row r="91" spans="1:13" x14ac:dyDescent="0.25">
      <c r="A91" s="1">
        <v>41729</v>
      </c>
      <c r="B91" s="2">
        <v>-9</v>
      </c>
      <c r="C91" s="2">
        <v>-12.1</v>
      </c>
      <c r="D91" s="2">
        <v>-2.5</v>
      </c>
      <c r="E91" s="2">
        <v>-11.5</v>
      </c>
      <c r="F91" s="2">
        <v>-10.1</v>
      </c>
      <c r="G91" s="2">
        <v>-14.5</v>
      </c>
      <c r="H91" s="2">
        <f>AVERAGE(weather.tbl[[#This Row],[Estevan]:[Kipling]])</f>
        <v>-9.9500000000000011</v>
      </c>
      <c r="I91" s="2">
        <f>_xlfn.STDEV.S(weather.tbl[[#This Row],[Estevan]:[Kipling]])</f>
        <v>4.1025601762801722</v>
      </c>
      <c r="J91" s="2">
        <f t="shared" si="1"/>
        <v>-6.3380952380952396</v>
      </c>
      <c r="K91">
        <f>DAY(weather.tbl[[#This Row],[Date]])</f>
        <v>31</v>
      </c>
      <c r="L91">
        <f>MONTH(weather.tbl[[#This Row],[Date]])</f>
        <v>3</v>
      </c>
      <c r="M91">
        <f>YEAR(weather.tbl[[#This Row],[Date]])</f>
        <v>2014</v>
      </c>
    </row>
    <row r="92" spans="1:13" x14ac:dyDescent="0.25">
      <c r="A92" s="1">
        <v>41730</v>
      </c>
      <c r="B92" s="2">
        <v>-6.9</v>
      </c>
      <c r="C92" s="2">
        <v>-7.4</v>
      </c>
      <c r="D92" s="2">
        <v>-8.8000000000000007</v>
      </c>
      <c r="E92" s="2">
        <v>-6.5</v>
      </c>
      <c r="F92" s="2">
        <v>-9.6999999999999993</v>
      </c>
      <c r="G92" s="2">
        <v>-12.2</v>
      </c>
      <c r="H92" s="2">
        <f>AVERAGE(weather.tbl[[#This Row],[Estevan]:[Kipling]])</f>
        <v>-8.5833333333333339</v>
      </c>
      <c r="I92" s="2">
        <f>_xlfn.STDEV.S(weather.tbl[[#This Row],[Estevan]:[Kipling]])</f>
        <v>2.142350733812429</v>
      </c>
      <c r="J92" s="2">
        <f t="shared" si="1"/>
        <v>-5.988095238095239</v>
      </c>
      <c r="K92">
        <f>DAY(weather.tbl[[#This Row],[Date]])</f>
        <v>1</v>
      </c>
      <c r="L92">
        <f>MONTH(weather.tbl[[#This Row],[Date]])</f>
        <v>4</v>
      </c>
      <c r="M92">
        <f>YEAR(weather.tbl[[#This Row],[Date]])</f>
        <v>2014</v>
      </c>
    </row>
    <row r="93" spans="1:13" x14ac:dyDescent="0.25">
      <c r="A93" s="1">
        <v>41731</v>
      </c>
      <c r="B93" s="2">
        <v>-5.4</v>
      </c>
      <c r="C93" s="2">
        <v>-4.3</v>
      </c>
      <c r="D93" s="2">
        <v>-5.8</v>
      </c>
      <c r="E93" s="2">
        <v>-3.3</v>
      </c>
      <c r="F93" s="2">
        <v>-4.0999999999999996</v>
      </c>
      <c r="G93" s="2">
        <v>-5.7</v>
      </c>
      <c r="H93" s="2">
        <f>AVERAGE(weather.tbl[[#This Row],[Estevan]:[Kipling]])</f>
        <v>-4.7666666666666666</v>
      </c>
      <c r="I93" s="2">
        <f>_xlfn.STDEV.S(weather.tbl[[#This Row],[Estevan]:[Kipling]])</f>
        <v>1.0152175464730073</v>
      </c>
      <c r="J93" s="2">
        <f t="shared" si="1"/>
        <v>-5.9976190476190476</v>
      </c>
      <c r="K93">
        <f>DAY(weather.tbl[[#This Row],[Date]])</f>
        <v>2</v>
      </c>
      <c r="L93">
        <f>MONTH(weather.tbl[[#This Row],[Date]])</f>
        <v>4</v>
      </c>
      <c r="M93">
        <f>YEAR(weather.tbl[[#This Row],[Date]])</f>
        <v>2014</v>
      </c>
    </row>
    <row r="94" spans="1:13" x14ac:dyDescent="0.25">
      <c r="A94" s="1">
        <v>41732</v>
      </c>
      <c r="B94" s="2">
        <v>-3.1</v>
      </c>
      <c r="C94" s="2">
        <v>-2.1</v>
      </c>
      <c r="D94" s="2">
        <v>-3.5</v>
      </c>
      <c r="E94" s="2">
        <v>-1.5</v>
      </c>
      <c r="F94" s="2">
        <v>-3</v>
      </c>
      <c r="G94" s="2">
        <v>-2.9</v>
      </c>
      <c r="H94" s="2">
        <f>AVERAGE(weather.tbl[[#This Row],[Estevan]:[Kipling]])</f>
        <v>-2.6833333333333331</v>
      </c>
      <c r="I94" s="2">
        <f>_xlfn.STDEV.S(weather.tbl[[#This Row],[Estevan]:[Kipling]])</f>
        <v>0.7386925386564227</v>
      </c>
      <c r="J94" s="2">
        <f t="shared" si="1"/>
        <v>-5.288095238095238</v>
      </c>
      <c r="K94">
        <f>DAY(weather.tbl[[#This Row],[Date]])</f>
        <v>3</v>
      </c>
      <c r="L94">
        <f>MONTH(weather.tbl[[#This Row],[Date]])</f>
        <v>4</v>
      </c>
      <c r="M94">
        <f>YEAR(weather.tbl[[#This Row],[Date]])</f>
        <v>2014</v>
      </c>
    </row>
    <row r="95" spans="1:13" x14ac:dyDescent="0.25">
      <c r="A95" s="1">
        <v>41733</v>
      </c>
      <c r="B95" s="2">
        <v>-1</v>
      </c>
      <c r="C95" s="2">
        <v>-0.1</v>
      </c>
      <c r="D95" s="2">
        <v>-3.3</v>
      </c>
      <c r="E95" s="2">
        <v>0</v>
      </c>
      <c r="F95" s="2">
        <v>-2.2999999999999998</v>
      </c>
      <c r="G95" s="2">
        <v>-6.4</v>
      </c>
      <c r="H95" s="2">
        <f>AVERAGE(weather.tbl[[#This Row],[Estevan]:[Kipling]])</f>
        <v>-2.1833333333333336</v>
      </c>
      <c r="I95" s="2">
        <f>_xlfn.STDEV.S(weather.tbl[[#This Row],[Estevan]:[Kipling]])</f>
        <v>2.4309805977561125</v>
      </c>
      <c r="J95" s="2">
        <f t="shared" si="1"/>
        <v>-4.4714285714285715</v>
      </c>
      <c r="K95">
        <f>DAY(weather.tbl[[#This Row],[Date]])</f>
        <v>4</v>
      </c>
      <c r="L95">
        <f>MONTH(weather.tbl[[#This Row],[Date]])</f>
        <v>4</v>
      </c>
      <c r="M95">
        <f>YEAR(weather.tbl[[#This Row],[Date]])</f>
        <v>2014</v>
      </c>
    </row>
    <row r="96" spans="1:13" x14ac:dyDescent="0.25">
      <c r="A96" s="1">
        <v>41734</v>
      </c>
      <c r="B96" s="2">
        <v>4</v>
      </c>
      <c r="C96" s="2">
        <v>3.4</v>
      </c>
      <c r="D96" s="2">
        <v>2.8</v>
      </c>
      <c r="E96" s="2">
        <v>4.5</v>
      </c>
      <c r="F96" s="2">
        <v>3.7</v>
      </c>
      <c r="G96" s="2">
        <v>-0.1</v>
      </c>
      <c r="H96" s="2">
        <f>AVERAGE(weather.tbl[[#This Row],[Estevan]:[Kipling]])</f>
        <v>3.0499999999999994</v>
      </c>
      <c r="I96" s="2">
        <f>_xlfn.STDEV.S(weather.tbl[[#This Row],[Estevan]:[Kipling]])</f>
        <v>1.6452963258939122</v>
      </c>
      <c r="J96" s="2">
        <f t="shared" si="1"/>
        <v>-4.102380952380952</v>
      </c>
      <c r="K96">
        <f>DAY(weather.tbl[[#This Row],[Date]])</f>
        <v>5</v>
      </c>
      <c r="L96">
        <f>MONTH(weather.tbl[[#This Row],[Date]])</f>
        <v>4</v>
      </c>
      <c r="M96">
        <f>YEAR(weather.tbl[[#This Row],[Date]])</f>
        <v>2014</v>
      </c>
    </row>
    <row r="97" spans="1:13" x14ac:dyDescent="0.25">
      <c r="A97" s="1">
        <v>41735</v>
      </c>
      <c r="B97" s="2">
        <v>5.8</v>
      </c>
      <c r="C97" s="2">
        <v>5.0999999999999996</v>
      </c>
      <c r="D97" s="2">
        <v>5</v>
      </c>
      <c r="E97" s="2">
        <v>6.3</v>
      </c>
      <c r="F97" s="2">
        <v>4.9000000000000004</v>
      </c>
      <c r="G97" s="2">
        <v>2.1</v>
      </c>
      <c r="H97" s="2">
        <f>AVERAGE(weather.tbl[[#This Row],[Estevan]:[Kipling]])</f>
        <v>4.8666666666666671</v>
      </c>
      <c r="I97" s="2">
        <f>_xlfn.STDEV.S(weather.tbl[[#This Row],[Estevan]:[Kipling]])</f>
        <v>1.459680330300666</v>
      </c>
      <c r="J97" s="2">
        <f t="shared" si="1"/>
        <v>-2.8928571428571428</v>
      </c>
      <c r="K97">
        <f>DAY(weather.tbl[[#This Row],[Date]])</f>
        <v>6</v>
      </c>
      <c r="L97">
        <f>MONTH(weather.tbl[[#This Row],[Date]])</f>
        <v>4</v>
      </c>
      <c r="M97">
        <f>YEAR(weather.tbl[[#This Row],[Date]])</f>
        <v>2014</v>
      </c>
    </row>
    <row r="98" spans="1:13" x14ac:dyDescent="0.25">
      <c r="A98" s="1">
        <v>41736</v>
      </c>
      <c r="B98" s="2">
        <v>4.0999999999999996</v>
      </c>
      <c r="C98" s="2">
        <v>4.4000000000000004</v>
      </c>
      <c r="D98" s="2">
        <v>2.8</v>
      </c>
      <c r="E98" s="2">
        <v>5</v>
      </c>
      <c r="F98" s="2">
        <v>3.1</v>
      </c>
      <c r="G98" s="2">
        <v>1.6</v>
      </c>
      <c r="H98" s="2">
        <f>AVERAGE(weather.tbl[[#This Row],[Estevan]:[Kipling]])</f>
        <v>3.5000000000000004</v>
      </c>
      <c r="I98" s="2">
        <f>_xlfn.STDEV.S(weather.tbl[[#This Row],[Estevan]:[Kipling]])</f>
        <v>1.2393546707863705</v>
      </c>
      <c r="J98" s="2">
        <f t="shared" si="1"/>
        <v>-0.97142857142857175</v>
      </c>
      <c r="K98">
        <f>DAY(weather.tbl[[#This Row],[Date]])</f>
        <v>7</v>
      </c>
      <c r="L98">
        <f>MONTH(weather.tbl[[#This Row],[Date]])</f>
        <v>4</v>
      </c>
      <c r="M98">
        <f>YEAR(weather.tbl[[#This Row],[Date]])</f>
        <v>2014</v>
      </c>
    </row>
    <row r="99" spans="1:13" x14ac:dyDescent="0.25">
      <c r="A99" s="1">
        <v>41737</v>
      </c>
      <c r="B99" s="2">
        <v>8.1999999999999993</v>
      </c>
      <c r="C99" s="2">
        <v>8.6</v>
      </c>
      <c r="D99" s="2">
        <v>7.3</v>
      </c>
      <c r="E99" s="2">
        <v>9.8000000000000007</v>
      </c>
      <c r="F99" s="2">
        <v>6</v>
      </c>
      <c r="G99" s="2">
        <v>4.4000000000000004</v>
      </c>
      <c r="H99" s="2">
        <f>AVERAGE(weather.tbl[[#This Row],[Estevan]:[Kipling]])</f>
        <v>7.3833333333333329</v>
      </c>
      <c r="I99" s="2">
        <f>_xlfn.STDEV.S(weather.tbl[[#This Row],[Estevan]:[Kipling]])</f>
        <v>1.9395016542057053</v>
      </c>
      <c r="J99" s="2">
        <f t="shared" si="1"/>
        <v>1.3095238095238095</v>
      </c>
      <c r="K99">
        <f>DAY(weather.tbl[[#This Row],[Date]])</f>
        <v>8</v>
      </c>
      <c r="L99">
        <f>MONTH(weather.tbl[[#This Row],[Date]])</f>
        <v>4</v>
      </c>
      <c r="M99">
        <f>YEAR(weather.tbl[[#This Row],[Date]])</f>
        <v>2014</v>
      </c>
    </row>
    <row r="100" spans="1:13" x14ac:dyDescent="0.25">
      <c r="A100" s="1">
        <v>41738</v>
      </c>
      <c r="B100" s="2">
        <v>8.4</v>
      </c>
      <c r="C100" s="2">
        <v>6.3</v>
      </c>
      <c r="D100" s="2">
        <v>7</v>
      </c>
      <c r="E100" s="2">
        <v>9</v>
      </c>
      <c r="F100" s="2">
        <v>7.2</v>
      </c>
      <c r="G100" s="2">
        <v>5.2</v>
      </c>
      <c r="H100" s="2">
        <f>AVERAGE(weather.tbl[[#This Row],[Estevan]:[Kipling]])</f>
        <v>7.1833333333333336</v>
      </c>
      <c r="I100" s="2">
        <f>_xlfn.STDEV.S(weather.tbl[[#This Row],[Estevan]:[Kipling]])</f>
        <v>1.3804588609106296</v>
      </c>
      <c r="J100" s="2">
        <f t="shared" si="1"/>
        <v>3.0166666666666666</v>
      </c>
      <c r="K100">
        <f>DAY(weather.tbl[[#This Row],[Date]])</f>
        <v>9</v>
      </c>
      <c r="L100">
        <f>MONTH(weather.tbl[[#This Row],[Date]])</f>
        <v>4</v>
      </c>
      <c r="M100">
        <f>YEAR(weather.tbl[[#This Row],[Date]])</f>
        <v>2014</v>
      </c>
    </row>
    <row r="101" spans="1:13" x14ac:dyDescent="0.25">
      <c r="A101" s="1">
        <v>41739</v>
      </c>
      <c r="B101" s="2">
        <v>6.4</v>
      </c>
      <c r="C101" s="2">
        <v>6.5</v>
      </c>
      <c r="D101" s="2">
        <v>4.8</v>
      </c>
      <c r="E101" s="2">
        <v>6</v>
      </c>
      <c r="F101" s="2">
        <v>5.6</v>
      </c>
      <c r="G101" s="2">
        <v>3.4</v>
      </c>
      <c r="H101" s="2">
        <f>AVERAGE(weather.tbl[[#This Row],[Estevan]:[Kipling]])</f>
        <v>5.4499999999999993</v>
      </c>
      <c r="I101" s="2">
        <f>_xlfn.STDEV.S(weather.tbl[[#This Row],[Estevan]:[Kipling]])</f>
        <v>1.1794066304714452</v>
      </c>
      <c r="J101" s="2">
        <f t="shared" si="1"/>
        <v>4.1785714285714288</v>
      </c>
      <c r="K101">
        <f>DAY(weather.tbl[[#This Row],[Date]])</f>
        <v>10</v>
      </c>
      <c r="L101">
        <f>MONTH(weather.tbl[[#This Row],[Date]])</f>
        <v>4</v>
      </c>
      <c r="M101">
        <f>YEAR(weather.tbl[[#This Row],[Date]])</f>
        <v>2014</v>
      </c>
    </row>
    <row r="102" spans="1:13" x14ac:dyDescent="0.25">
      <c r="A102" s="1">
        <v>41740</v>
      </c>
      <c r="B102" s="2">
        <v>4.3</v>
      </c>
      <c r="C102" s="2">
        <v>3.4</v>
      </c>
      <c r="D102" s="2">
        <v>3.8</v>
      </c>
      <c r="E102" s="2">
        <v>3.5</v>
      </c>
      <c r="F102" s="2">
        <v>4.9000000000000004</v>
      </c>
      <c r="G102" s="2">
        <v>3.2</v>
      </c>
      <c r="H102" s="2">
        <f>AVERAGE(weather.tbl[[#This Row],[Estevan]:[Kipling]])</f>
        <v>3.8499999999999996</v>
      </c>
      <c r="I102" s="2">
        <f>_xlfn.STDEV.S(weather.tbl[[#This Row],[Estevan]:[Kipling]])</f>
        <v>0.64109281699298748</v>
      </c>
      <c r="J102" s="2">
        <f t="shared" si="1"/>
        <v>5.0404761904761903</v>
      </c>
      <c r="K102">
        <f>DAY(weather.tbl[[#This Row],[Date]])</f>
        <v>11</v>
      </c>
      <c r="L102">
        <f>MONTH(weather.tbl[[#This Row],[Date]])</f>
        <v>4</v>
      </c>
      <c r="M102">
        <f>YEAR(weather.tbl[[#This Row],[Date]])</f>
        <v>2014</v>
      </c>
    </row>
    <row r="103" spans="1:13" x14ac:dyDescent="0.25">
      <c r="A103" s="1">
        <v>41741</v>
      </c>
      <c r="B103" s="2">
        <v>-0.8</v>
      </c>
      <c r="C103" s="2">
        <v>-1.1000000000000001</v>
      </c>
      <c r="D103" s="2">
        <v>0</v>
      </c>
      <c r="E103" s="2">
        <v>2.8</v>
      </c>
      <c r="F103" s="2">
        <v>-0.3</v>
      </c>
      <c r="G103" s="2">
        <v>-1.1000000000000001</v>
      </c>
      <c r="H103" s="2">
        <f>AVERAGE(weather.tbl[[#This Row],[Estevan]:[Kipling]])</f>
        <v>-8.3333333333333412E-2</v>
      </c>
      <c r="I103" s="2">
        <f>_xlfn.STDEV.S(weather.tbl[[#This Row],[Estevan]:[Kipling]])</f>
        <v>1.4797522315126497</v>
      </c>
      <c r="J103" s="2">
        <f t="shared" si="1"/>
        <v>4.5928571428571425</v>
      </c>
      <c r="K103">
        <f>DAY(weather.tbl[[#This Row],[Date]])</f>
        <v>12</v>
      </c>
      <c r="L103">
        <f>MONTH(weather.tbl[[#This Row],[Date]])</f>
        <v>4</v>
      </c>
      <c r="M103">
        <f>YEAR(weather.tbl[[#This Row],[Date]])</f>
        <v>2014</v>
      </c>
    </row>
    <row r="104" spans="1:13" x14ac:dyDescent="0.25">
      <c r="A104" s="1">
        <v>41742</v>
      </c>
      <c r="B104" s="2">
        <v>-2.5</v>
      </c>
      <c r="C104" s="2">
        <v>-3.5</v>
      </c>
      <c r="D104" s="2">
        <v>-3.5</v>
      </c>
      <c r="E104" s="2">
        <v>-3.3</v>
      </c>
      <c r="F104" s="2">
        <v>-3.9</v>
      </c>
      <c r="G104" s="2">
        <v>-5.5</v>
      </c>
      <c r="H104" s="2">
        <f>AVERAGE(weather.tbl[[#This Row],[Estevan]:[Kipling]])</f>
        <v>-3.6999999999999997</v>
      </c>
      <c r="I104" s="2">
        <f>_xlfn.STDEV.S(weather.tbl[[#This Row],[Estevan]:[Kipling]])</f>
        <v>0.99599196783909794</v>
      </c>
      <c r="J104" s="2">
        <f t="shared" si="1"/>
        <v>3.3690476190476195</v>
      </c>
      <c r="K104">
        <f>DAY(weather.tbl[[#This Row],[Date]])</f>
        <v>13</v>
      </c>
      <c r="L104">
        <f>MONTH(weather.tbl[[#This Row],[Date]])</f>
        <v>4</v>
      </c>
      <c r="M104">
        <f>YEAR(weather.tbl[[#This Row],[Date]])</f>
        <v>2014</v>
      </c>
    </row>
    <row r="105" spans="1:13" x14ac:dyDescent="0.25">
      <c r="A105" s="1">
        <v>41743</v>
      </c>
      <c r="B105" s="2">
        <v>-7.3</v>
      </c>
      <c r="C105" s="2">
        <v>-7.1</v>
      </c>
      <c r="D105" s="2">
        <v>-6.3</v>
      </c>
      <c r="E105" s="2">
        <v>-6.3</v>
      </c>
      <c r="F105" s="2">
        <v>-5.9</v>
      </c>
      <c r="G105" s="2">
        <v>-9.1</v>
      </c>
      <c r="H105" s="2">
        <f>AVERAGE(weather.tbl[[#This Row],[Estevan]:[Kipling]])</f>
        <v>-7</v>
      </c>
      <c r="I105" s="2">
        <f>_xlfn.STDEV.S(weather.tbl[[#This Row],[Estevan]:[Kipling]])</f>
        <v>1.1575836902790215</v>
      </c>
      <c r="J105" s="2">
        <f t="shared" si="1"/>
        <v>1.8690476190476193</v>
      </c>
      <c r="K105">
        <f>DAY(weather.tbl[[#This Row],[Date]])</f>
        <v>14</v>
      </c>
      <c r="L105">
        <f>MONTH(weather.tbl[[#This Row],[Date]])</f>
        <v>4</v>
      </c>
      <c r="M105">
        <f>YEAR(weather.tbl[[#This Row],[Date]])</f>
        <v>2014</v>
      </c>
    </row>
    <row r="106" spans="1:13" x14ac:dyDescent="0.25">
      <c r="A106" s="1">
        <v>41744</v>
      </c>
      <c r="B106" s="2">
        <v>-1.5</v>
      </c>
      <c r="C106" s="2">
        <v>0.1</v>
      </c>
      <c r="D106" s="2">
        <v>-6.3</v>
      </c>
      <c r="E106" s="2">
        <v>0</v>
      </c>
      <c r="F106" s="2">
        <v>-3</v>
      </c>
      <c r="G106" s="2">
        <v>-4.4000000000000004</v>
      </c>
      <c r="H106" s="2">
        <f>AVERAGE(weather.tbl[[#This Row],[Estevan]:[Kipling]])</f>
        <v>-2.5166666666666666</v>
      </c>
      <c r="I106" s="2">
        <f>_xlfn.STDEV.S(weather.tbl[[#This Row],[Estevan]:[Kipling]])</f>
        <v>2.5419808548977443</v>
      </c>
      <c r="J106" s="2">
        <f t="shared" si="1"/>
        <v>0.4547619047619052</v>
      </c>
      <c r="K106">
        <f>DAY(weather.tbl[[#This Row],[Date]])</f>
        <v>15</v>
      </c>
      <c r="L106">
        <f>MONTH(weather.tbl[[#This Row],[Date]])</f>
        <v>4</v>
      </c>
      <c r="M106">
        <f>YEAR(weather.tbl[[#This Row],[Date]])</f>
        <v>2014</v>
      </c>
    </row>
    <row r="107" spans="1:13" x14ac:dyDescent="0.25">
      <c r="A107" s="1">
        <v>41745</v>
      </c>
      <c r="B107" s="2">
        <v>-4.0999999999999996</v>
      </c>
      <c r="C107" s="2">
        <v>-3.2</v>
      </c>
      <c r="D107" s="2">
        <v>-6.3</v>
      </c>
      <c r="E107" s="2">
        <v>-3.3</v>
      </c>
      <c r="F107" s="2">
        <v>-3.2</v>
      </c>
      <c r="G107" s="2">
        <v>-4.3</v>
      </c>
      <c r="H107" s="2">
        <f>AVERAGE(weather.tbl[[#This Row],[Estevan]:[Kipling]])</f>
        <v>-4.0666666666666664</v>
      </c>
      <c r="I107" s="2">
        <f>_xlfn.STDEV.S(weather.tbl[[#This Row],[Estevan]:[Kipling]])</f>
        <v>1.1944315244779296</v>
      </c>
      <c r="J107" s="2">
        <f t="shared" si="1"/>
        <v>-1.1523809523809523</v>
      </c>
      <c r="K107">
        <f>DAY(weather.tbl[[#This Row],[Date]])</f>
        <v>16</v>
      </c>
      <c r="L107">
        <f>MONTH(weather.tbl[[#This Row],[Date]])</f>
        <v>4</v>
      </c>
      <c r="M107">
        <f>YEAR(weather.tbl[[#This Row],[Date]])</f>
        <v>2014</v>
      </c>
    </row>
    <row r="108" spans="1:13" x14ac:dyDescent="0.25">
      <c r="A108" s="1">
        <v>41746</v>
      </c>
      <c r="B108" s="2">
        <v>-0.6</v>
      </c>
      <c r="C108" s="2">
        <v>0.2</v>
      </c>
      <c r="D108" s="2">
        <v>-6.3</v>
      </c>
      <c r="E108" s="2">
        <v>-0.3</v>
      </c>
      <c r="F108" s="2">
        <v>-2.2999999999999998</v>
      </c>
      <c r="G108" s="2">
        <v>-2.9</v>
      </c>
      <c r="H108" s="2">
        <f>AVERAGE(weather.tbl[[#This Row],[Estevan]:[Kipling]])</f>
        <v>-2.0333333333333337</v>
      </c>
      <c r="I108" s="2">
        <f>_xlfn.STDEV.S(weather.tbl[[#This Row],[Estevan]:[Kipling]])</f>
        <v>2.4113619941159112</v>
      </c>
      <c r="J108" s="2">
        <f t="shared" si="1"/>
        <v>-2.2214285714285711</v>
      </c>
      <c r="K108">
        <f>DAY(weather.tbl[[#This Row],[Date]])</f>
        <v>17</v>
      </c>
      <c r="L108">
        <f>MONTH(weather.tbl[[#This Row],[Date]])</f>
        <v>4</v>
      </c>
      <c r="M108">
        <f>YEAR(weather.tbl[[#This Row],[Date]])</f>
        <v>2014</v>
      </c>
    </row>
    <row r="109" spans="1:13" x14ac:dyDescent="0.25">
      <c r="A109" s="1">
        <v>41747</v>
      </c>
      <c r="B109" s="2">
        <v>3.9</v>
      </c>
      <c r="C109" s="2">
        <v>3.3</v>
      </c>
      <c r="D109" s="2">
        <v>-6.3</v>
      </c>
      <c r="E109" s="2">
        <v>3.5</v>
      </c>
      <c r="F109" s="2">
        <v>4.3</v>
      </c>
      <c r="G109" s="2">
        <v>0.4</v>
      </c>
      <c r="H109" s="2">
        <f>AVERAGE(weather.tbl[[#This Row],[Estevan]:[Kipling]])</f>
        <v>1.5166666666666666</v>
      </c>
      <c r="I109" s="2">
        <f>_xlfn.STDEV.S(weather.tbl[[#This Row],[Estevan]:[Kipling]])</f>
        <v>4.0715680844935731</v>
      </c>
      <c r="J109" s="2">
        <f t="shared" si="1"/>
        <v>-2.554761904761905</v>
      </c>
      <c r="K109">
        <f>DAY(weather.tbl[[#This Row],[Date]])</f>
        <v>18</v>
      </c>
      <c r="L109">
        <f>MONTH(weather.tbl[[#This Row],[Date]])</f>
        <v>4</v>
      </c>
      <c r="M109">
        <f>YEAR(weather.tbl[[#This Row],[Date]])</f>
        <v>2014</v>
      </c>
    </row>
    <row r="110" spans="1:13" x14ac:dyDescent="0.25">
      <c r="A110" s="1">
        <v>41748</v>
      </c>
      <c r="B110" s="2">
        <v>4.5</v>
      </c>
      <c r="C110" s="2">
        <v>2.9</v>
      </c>
      <c r="D110" s="2">
        <v>4.8</v>
      </c>
      <c r="E110" s="2">
        <v>4.5</v>
      </c>
      <c r="F110" s="2">
        <v>3.7</v>
      </c>
      <c r="G110" s="2">
        <v>2.1</v>
      </c>
      <c r="H110" s="2">
        <f>AVERAGE(weather.tbl[[#This Row],[Estevan]:[Kipling]])</f>
        <v>3.75</v>
      </c>
      <c r="I110" s="2">
        <f>_xlfn.STDEV.S(weather.tbl[[#This Row],[Estevan]:[Kipling]])</f>
        <v>1.0653637876331254</v>
      </c>
      <c r="J110" s="2">
        <f t="shared" si="1"/>
        <v>-2.0071428571428571</v>
      </c>
      <c r="K110">
        <f>DAY(weather.tbl[[#This Row],[Date]])</f>
        <v>19</v>
      </c>
      <c r="L110">
        <f>MONTH(weather.tbl[[#This Row],[Date]])</f>
        <v>4</v>
      </c>
      <c r="M110">
        <f>YEAR(weather.tbl[[#This Row],[Date]])</f>
        <v>2014</v>
      </c>
    </row>
    <row r="111" spans="1:13" x14ac:dyDescent="0.25">
      <c r="A111" s="1">
        <v>41749</v>
      </c>
      <c r="B111" s="2">
        <v>7.8</v>
      </c>
      <c r="C111" s="2">
        <v>6.6</v>
      </c>
      <c r="D111" s="2">
        <v>7</v>
      </c>
      <c r="E111" s="2">
        <v>5</v>
      </c>
      <c r="F111" s="2">
        <v>8.3000000000000007</v>
      </c>
      <c r="G111" s="2">
        <v>5</v>
      </c>
      <c r="H111" s="2">
        <f>AVERAGE(weather.tbl[[#This Row],[Estevan]:[Kipling]])</f>
        <v>6.6166666666666671</v>
      </c>
      <c r="I111" s="2">
        <f>_xlfn.STDEV.S(weather.tbl[[#This Row],[Estevan]:[Kipling]])</f>
        <v>1.3862419221285505</v>
      </c>
      <c r="J111" s="2">
        <f t="shared" si="1"/>
        <v>-0.53333333333333299</v>
      </c>
      <c r="K111">
        <f>DAY(weather.tbl[[#This Row],[Date]])</f>
        <v>20</v>
      </c>
      <c r="L111">
        <f>MONTH(weather.tbl[[#This Row],[Date]])</f>
        <v>4</v>
      </c>
      <c r="M111">
        <f>YEAR(weather.tbl[[#This Row],[Date]])</f>
        <v>2014</v>
      </c>
    </row>
    <row r="112" spans="1:13" x14ac:dyDescent="0.25">
      <c r="A112" s="1">
        <v>41750</v>
      </c>
      <c r="B112" s="2">
        <v>7.5</v>
      </c>
      <c r="C112" s="2">
        <v>6.7</v>
      </c>
      <c r="D112" s="2">
        <v>6.8</v>
      </c>
      <c r="E112" s="2">
        <v>9</v>
      </c>
      <c r="F112" s="2">
        <v>6.7</v>
      </c>
      <c r="G112" s="2">
        <v>4.9000000000000004</v>
      </c>
      <c r="H112" s="2">
        <f>AVERAGE(weather.tbl[[#This Row],[Estevan]:[Kipling]])</f>
        <v>6.9333333333333336</v>
      </c>
      <c r="I112" s="2">
        <f>_xlfn.STDEV.S(weather.tbl[[#This Row],[Estevan]:[Kipling]])</f>
        <v>1.3306639946532932</v>
      </c>
      <c r="J112" s="2">
        <f t="shared" si="1"/>
        <v>1.4571428571428571</v>
      </c>
      <c r="K112">
        <f>DAY(weather.tbl[[#This Row],[Date]])</f>
        <v>21</v>
      </c>
      <c r="L112">
        <f>MONTH(weather.tbl[[#This Row],[Date]])</f>
        <v>4</v>
      </c>
      <c r="M112">
        <f>YEAR(weather.tbl[[#This Row],[Date]])</f>
        <v>2014</v>
      </c>
    </row>
    <row r="113" spans="1:13" x14ac:dyDescent="0.25">
      <c r="A113" s="1">
        <v>41751</v>
      </c>
      <c r="B113" s="2">
        <v>10</v>
      </c>
      <c r="C113" s="2">
        <v>10.7</v>
      </c>
      <c r="D113" s="2">
        <v>8</v>
      </c>
      <c r="E113" s="2">
        <v>10.8</v>
      </c>
      <c r="F113" s="2">
        <v>8.4</v>
      </c>
      <c r="G113" s="2">
        <v>9</v>
      </c>
      <c r="H113" s="2">
        <f>AVERAGE(weather.tbl[[#This Row],[Estevan]:[Kipling]])</f>
        <v>9.4833333333333325</v>
      </c>
      <c r="I113" s="2">
        <f>_xlfn.STDEV.S(weather.tbl[[#This Row],[Estevan]:[Kipling]])</f>
        <v>1.190658081342707</v>
      </c>
      <c r="J113" s="2">
        <f t="shared" si="1"/>
        <v>3.1714285714285717</v>
      </c>
      <c r="K113">
        <f>DAY(weather.tbl[[#This Row],[Date]])</f>
        <v>22</v>
      </c>
      <c r="L113">
        <f>MONTH(weather.tbl[[#This Row],[Date]])</f>
        <v>4</v>
      </c>
      <c r="M113">
        <f>YEAR(weather.tbl[[#This Row],[Date]])</f>
        <v>2014</v>
      </c>
    </row>
    <row r="114" spans="1:13" x14ac:dyDescent="0.25">
      <c r="A114" s="1">
        <v>41752</v>
      </c>
      <c r="B114" s="2">
        <v>7.5</v>
      </c>
      <c r="C114" s="2">
        <v>7.9</v>
      </c>
      <c r="D114" s="2">
        <v>6.5</v>
      </c>
      <c r="E114" s="2">
        <v>7.8</v>
      </c>
      <c r="F114" s="2">
        <v>6.9</v>
      </c>
      <c r="G114" s="2">
        <v>5.5</v>
      </c>
      <c r="H114" s="2">
        <f>AVERAGE(weather.tbl[[#This Row],[Estevan]:[Kipling]])</f>
        <v>7.0166666666666666</v>
      </c>
      <c r="I114" s="2">
        <f>_xlfn.STDEV.S(weather.tbl[[#This Row],[Estevan]:[Kipling]])</f>
        <v>0.91742392963485697</v>
      </c>
      <c r="J114" s="2">
        <f t="shared" si="1"/>
        <v>4.7547619047619047</v>
      </c>
      <c r="K114">
        <f>DAY(weather.tbl[[#This Row],[Date]])</f>
        <v>23</v>
      </c>
      <c r="L114">
        <f>MONTH(weather.tbl[[#This Row],[Date]])</f>
        <v>4</v>
      </c>
      <c r="M114">
        <f>YEAR(weather.tbl[[#This Row],[Date]])</f>
        <v>2014</v>
      </c>
    </row>
    <row r="115" spans="1:13" x14ac:dyDescent="0.25">
      <c r="A115" s="1">
        <v>41753</v>
      </c>
      <c r="B115" s="2">
        <v>7.3</v>
      </c>
      <c r="C115" s="2">
        <v>7.9</v>
      </c>
      <c r="D115" s="2">
        <v>6.3</v>
      </c>
      <c r="E115" s="2">
        <v>11</v>
      </c>
      <c r="F115" s="2">
        <v>7</v>
      </c>
      <c r="G115" s="2">
        <v>7</v>
      </c>
      <c r="H115" s="2">
        <f>AVERAGE(weather.tbl[[#This Row],[Estevan]:[Kipling]])</f>
        <v>7.75</v>
      </c>
      <c r="I115" s="2">
        <f>_xlfn.STDEV.S(weather.tbl[[#This Row],[Estevan]:[Kipling]])</f>
        <v>1.6742162345408067</v>
      </c>
      <c r="J115" s="2">
        <f t="shared" si="1"/>
        <v>6.1523809523809518</v>
      </c>
      <c r="K115">
        <f>DAY(weather.tbl[[#This Row],[Date]])</f>
        <v>24</v>
      </c>
      <c r="L115">
        <f>MONTH(weather.tbl[[#This Row],[Date]])</f>
        <v>4</v>
      </c>
      <c r="M115">
        <f>YEAR(weather.tbl[[#This Row],[Date]])</f>
        <v>2014</v>
      </c>
    </row>
    <row r="116" spans="1:13" x14ac:dyDescent="0.25">
      <c r="A116" s="1">
        <v>41754</v>
      </c>
      <c r="B116" s="2">
        <v>5.5</v>
      </c>
      <c r="C116" s="2">
        <v>5.3</v>
      </c>
      <c r="D116" s="2">
        <v>3.8</v>
      </c>
      <c r="E116" s="2">
        <v>6.3</v>
      </c>
      <c r="F116" s="2">
        <v>5.3</v>
      </c>
      <c r="G116" s="2">
        <v>3.6</v>
      </c>
      <c r="H116" s="2">
        <f>AVERAGE(weather.tbl[[#This Row],[Estevan]:[Kipling]])</f>
        <v>4.9666666666666677</v>
      </c>
      <c r="I116" s="2">
        <f>_xlfn.STDEV.S(weather.tbl[[#This Row],[Estevan]:[Kipling]])</f>
        <v>1.0500793620801518</v>
      </c>
      <c r="J116" s="2">
        <f t="shared" si="1"/>
        <v>6.6452380952380947</v>
      </c>
      <c r="K116">
        <f>DAY(weather.tbl[[#This Row],[Date]])</f>
        <v>25</v>
      </c>
      <c r="L116">
        <f>MONTH(weather.tbl[[#This Row],[Date]])</f>
        <v>4</v>
      </c>
      <c r="M116">
        <f>YEAR(weather.tbl[[#This Row],[Date]])</f>
        <v>2014</v>
      </c>
    </row>
    <row r="117" spans="1:13" x14ac:dyDescent="0.25">
      <c r="A117" s="1">
        <v>41755</v>
      </c>
      <c r="B117" s="2">
        <v>4.5</v>
      </c>
      <c r="C117" s="2">
        <v>6.2</v>
      </c>
      <c r="D117" s="2">
        <v>4</v>
      </c>
      <c r="E117" s="2">
        <v>6.8</v>
      </c>
      <c r="F117" s="2">
        <v>4.4000000000000004</v>
      </c>
      <c r="G117" s="2">
        <v>6.5</v>
      </c>
      <c r="H117" s="2">
        <f>AVERAGE(weather.tbl[[#This Row],[Estevan]:[Kipling]])</f>
        <v>5.3999999999999995</v>
      </c>
      <c r="I117" s="2">
        <f>_xlfn.STDEV.S(weather.tbl[[#This Row],[Estevan]:[Kipling]])</f>
        <v>1.2312595177297094</v>
      </c>
      <c r="J117" s="2">
        <f t="shared" si="1"/>
        <v>6.8809523809523805</v>
      </c>
      <c r="K117">
        <f>DAY(weather.tbl[[#This Row],[Date]])</f>
        <v>26</v>
      </c>
      <c r="L117">
        <f>MONTH(weather.tbl[[#This Row],[Date]])</f>
        <v>4</v>
      </c>
      <c r="M117">
        <f>YEAR(weather.tbl[[#This Row],[Date]])</f>
        <v>2014</v>
      </c>
    </row>
    <row r="118" spans="1:13" x14ac:dyDescent="0.25">
      <c r="A118" s="1">
        <v>41756</v>
      </c>
      <c r="B118" s="2">
        <v>2.5</v>
      </c>
      <c r="C118" s="2">
        <v>2.4</v>
      </c>
      <c r="D118" s="2">
        <v>-0.3</v>
      </c>
      <c r="E118" s="2">
        <v>2</v>
      </c>
      <c r="F118" s="2">
        <v>2.9</v>
      </c>
      <c r="G118" s="2">
        <v>2.2999999999999998</v>
      </c>
      <c r="H118" s="2">
        <f>AVERAGE(weather.tbl[[#This Row],[Estevan]:[Kipling]])</f>
        <v>1.9666666666666668</v>
      </c>
      <c r="I118" s="2">
        <f>_xlfn.STDEV.S(weather.tbl[[#This Row],[Estevan]:[Kipling]])</f>
        <v>1.1483321238503548</v>
      </c>
      <c r="J118" s="2">
        <f t="shared" si="1"/>
        <v>6.2166666666666668</v>
      </c>
      <c r="K118">
        <f>DAY(weather.tbl[[#This Row],[Date]])</f>
        <v>27</v>
      </c>
      <c r="L118">
        <f>MONTH(weather.tbl[[#This Row],[Date]])</f>
        <v>4</v>
      </c>
      <c r="M118">
        <f>YEAR(weather.tbl[[#This Row],[Date]])</f>
        <v>2014</v>
      </c>
    </row>
    <row r="119" spans="1:13" x14ac:dyDescent="0.25">
      <c r="A119" s="1">
        <v>41757</v>
      </c>
      <c r="B119" s="2">
        <v>0.8</v>
      </c>
      <c r="C119" s="2">
        <v>0.9</v>
      </c>
      <c r="D119" s="2">
        <v>0.3</v>
      </c>
      <c r="E119" s="2">
        <v>2.5</v>
      </c>
      <c r="F119" s="2">
        <v>1.8</v>
      </c>
      <c r="G119" s="2">
        <v>1.3</v>
      </c>
      <c r="H119" s="2">
        <f>AVERAGE(weather.tbl[[#This Row],[Estevan]:[Kipling]])</f>
        <v>1.2666666666666666</v>
      </c>
      <c r="I119" s="2">
        <f>_xlfn.STDEV.S(weather.tbl[[#This Row],[Estevan]:[Kipling]])</f>
        <v>0.78655366420014006</v>
      </c>
      <c r="J119" s="2">
        <f t="shared" si="1"/>
        <v>5.4071428571428575</v>
      </c>
      <c r="K119">
        <f>DAY(weather.tbl[[#This Row],[Date]])</f>
        <v>28</v>
      </c>
      <c r="L119">
        <f>MONTH(weather.tbl[[#This Row],[Date]])</f>
        <v>4</v>
      </c>
      <c r="M119">
        <f>YEAR(weather.tbl[[#This Row],[Date]])</f>
        <v>2014</v>
      </c>
    </row>
    <row r="120" spans="1:13" x14ac:dyDescent="0.25">
      <c r="A120" s="1">
        <v>41758</v>
      </c>
      <c r="B120" s="2">
        <v>0.8</v>
      </c>
      <c r="C120" s="2">
        <v>5</v>
      </c>
      <c r="D120" s="2">
        <v>5.3</v>
      </c>
      <c r="E120" s="2">
        <v>8</v>
      </c>
      <c r="F120" s="2">
        <v>6.2</v>
      </c>
      <c r="G120" s="2">
        <v>1.3</v>
      </c>
      <c r="H120" s="2">
        <f>AVERAGE(weather.tbl[[#This Row],[Estevan]:[Kipling]])</f>
        <v>4.4333333333333336</v>
      </c>
      <c r="I120" s="2">
        <f>_xlfn.STDEV.S(weather.tbl[[#This Row],[Estevan]:[Kipling]])</f>
        <v>2.8260691192302194</v>
      </c>
      <c r="J120" s="2">
        <f t="shared" si="1"/>
        <v>4.6857142857142851</v>
      </c>
      <c r="K120">
        <f>DAY(weather.tbl[[#This Row],[Date]])</f>
        <v>29</v>
      </c>
      <c r="L120">
        <f>MONTH(weather.tbl[[#This Row],[Date]])</f>
        <v>4</v>
      </c>
      <c r="M120">
        <f>YEAR(weather.tbl[[#This Row],[Date]])</f>
        <v>2014</v>
      </c>
    </row>
    <row r="121" spans="1:13" x14ac:dyDescent="0.25">
      <c r="A121" s="1">
        <v>41759</v>
      </c>
      <c r="B121" s="2">
        <v>6.8</v>
      </c>
      <c r="C121" s="2">
        <v>5</v>
      </c>
      <c r="D121" s="2">
        <v>5.8</v>
      </c>
      <c r="E121" s="2">
        <v>12</v>
      </c>
      <c r="F121" s="2">
        <v>6.8</v>
      </c>
      <c r="G121" s="2">
        <v>6.3</v>
      </c>
      <c r="H121" s="2">
        <f>AVERAGE(weather.tbl[[#This Row],[Estevan]:[Kipling]])</f>
        <v>7.1166666666666663</v>
      </c>
      <c r="I121" s="2">
        <f>_xlfn.STDEV.S(weather.tbl[[#This Row],[Estevan]:[Kipling]])</f>
        <v>2.4871000515995894</v>
      </c>
      <c r="J121" s="2">
        <f t="shared" si="1"/>
        <v>4.7</v>
      </c>
      <c r="K121">
        <f>DAY(weather.tbl[[#This Row],[Date]])</f>
        <v>30</v>
      </c>
      <c r="L121">
        <f>MONTH(weather.tbl[[#This Row],[Date]])</f>
        <v>4</v>
      </c>
      <c r="M121">
        <f>YEAR(weather.tbl[[#This Row],[Date]])</f>
        <v>2014</v>
      </c>
    </row>
    <row r="122" spans="1:13" x14ac:dyDescent="0.25">
      <c r="A122" s="1">
        <v>41760</v>
      </c>
      <c r="B122" s="2">
        <v>8.4</v>
      </c>
      <c r="C122" s="2">
        <v>8.8000000000000007</v>
      </c>
      <c r="D122" s="2">
        <v>8.8000000000000007</v>
      </c>
      <c r="E122" s="2">
        <v>11</v>
      </c>
      <c r="F122" s="2">
        <v>8.6999999999999993</v>
      </c>
      <c r="G122" s="2">
        <v>8.6999999999999993</v>
      </c>
      <c r="H122" s="2">
        <f>AVERAGE(weather.tbl[[#This Row],[Estevan]:[Kipling]])</f>
        <v>9.0666666666666682</v>
      </c>
      <c r="I122" s="2">
        <f>_xlfn.STDEV.S(weather.tbl[[#This Row],[Estevan]:[Kipling]])</f>
        <v>0.95847100460403423</v>
      </c>
      <c r="J122" s="2">
        <f t="shared" si="1"/>
        <v>4.8880952380952385</v>
      </c>
      <c r="K122">
        <f>DAY(weather.tbl[[#This Row],[Date]])</f>
        <v>1</v>
      </c>
      <c r="L122">
        <f>MONTH(weather.tbl[[#This Row],[Date]])</f>
        <v>5</v>
      </c>
      <c r="M122">
        <f>YEAR(weather.tbl[[#This Row],[Date]])</f>
        <v>2014</v>
      </c>
    </row>
    <row r="123" spans="1:13" x14ac:dyDescent="0.25">
      <c r="A123" s="1">
        <v>41761</v>
      </c>
      <c r="B123" s="2">
        <v>8.9</v>
      </c>
      <c r="C123" s="2">
        <v>8</v>
      </c>
      <c r="D123" s="2">
        <v>8.8000000000000007</v>
      </c>
      <c r="E123" s="2">
        <v>7.5</v>
      </c>
      <c r="F123" s="2">
        <v>10.1</v>
      </c>
      <c r="G123" s="2">
        <v>8.6999999999999993</v>
      </c>
      <c r="H123" s="2">
        <f>AVERAGE(weather.tbl[[#This Row],[Estevan]:[Kipling]])</f>
        <v>8.6666666666666661</v>
      </c>
      <c r="I123" s="2">
        <f>_xlfn.STDEV.S(weather.tbl[[#This Row],[Estevan]:[Kipling]])</f>
        <v>0.88694231304333793</v>
      </c>
      <c r="J123" s="2">
        <f t="shared" si="1"/>
        <v>5.4166666666666661</v>
      </c>
      <c r="K123">
        <f>DAY(weather.tbl[[#This Row],[Date]])</f>
        <v>2</v>
      </c>
      <c r="L123">
        <f>MONTH(weather.tbl[[#This Row],[Date]])</f>
        <v>5</v>
      </c>
      <c r="M123">
        <f>YEAR(weather.tbl[[#This Row],[Date]])</f>
        <v>2014</v>
      </c>
    </row>
    <row r="124" spans="1:13" x14ac:dyDescent="0.25">
      <c r="A124" s="1">
        <v>41762</v>
      </c>
      <c r="B124" s="2">
        <v>3.1</v>
      </c>
      <c r="C124" s="2">
        <v>2.2999999999999998</v>
      </c>
      <c r="D124" s="2">
        <v>1.8</v>
      </c>
      <c r="E124" s="2">
        <v>3</v>
      </c>
      <c r="F124" s="2">
        <v>3.1</v>
      </c>
      <c r="G124" s="2">
        <v>1.6</v>
      </c>
      <c r="H124" s="2">
        <f>AVERAGE(weather.tbl[[#This Row],[Estevan]:[Kipling]])</f>
        <v>2.4833333333333329</v>
      </c>
      <c r="I124" s="2">
        <f>_xlfn.STDEV.S(weather.tbl[[#This Row],[Estevan]:[Kipling]])</f>
        <v>0.6794605703546519</v>
      </c>
      <c r="J124" s="2">
        <f t="shared" si="1"/>
        <v>5</v>
      </c>
      <c r="K124">
        <f>DAY(weather.tbl[[#This Row],[Date]])</f>
        <v>3</v>
      </c>
      <c r="L124">
        <f>MONTH(weather.tbl[[#This Row],[Date]])</f>
        <v>5</v>
      </c>
      <c r="M124">
        <f>YEAR(weather.tbl[[#This Row],[Date]])</f>
        <v>2014</v>
      </c>
    </row>
    <row r="125" spans="1:13" x14ac:dyDescent="0.25">
      <c r="A125" s="1">
        <v>41763</v>
      </c>
      <c r="B125" s="2">
        <v>2.7</v>
      </c>
      <c r="C125" s="2">
        <v>2.2000000000000002</v>
      </c>
      <c r="D125" s="2">
        <v>1.5</v>
      </c>
      <c r="E125" s="2">
        <v>1.8</v>
      </c>
      <c r="F125" s="2">
        <v>2.8</v>
      </c>
      <c r="G125" s="2">
        <v>3.7</v>
      </c>
      <c r="H125" s="2">
        <f>AVERAGE(weather.tbl[[#This Row],[Estevan]:[Kipling]])</f>
        <v>2.4499999999999997</v>
      </c>
      <c r="I125" s="2">
        <f>_xlfn.STDEV.S(weather.tbl[[#This Row],[Estevan]:[Kipling]])</f>
        <v>0.79183331579316774</v>
      </c>
      <c r="J125" s="2">
        <f t="shared" si="1"/>
        <v>5.0690476190476188</v>
      </c>
      <c r="K125">
        <f>DAY(weather.tbl[[#This Row],[Date]])</f>
        <v>4</v>
      </c>
      <c r="L125">
        <f>MONTH(weather.tbl[[#This Row],[Date]])</f>
        <v>5</v>
      </c>
      <c r="M125">
        <f>YEAR(weather.tbl[[#This Row],[Date]])</f>
        <v>2014</v>
      </c>
    </row>
    <row r="126" spans="1:13" x14ac:dyDescent="0.25">
      <c r="A126" s="1">
        <v>41764</v>
      </c>
      <c r="B126" s="2">
        <v>6.9</v>
      </c>
      <c r="C126" s="2">
        <v>7</v>
      </c>
      <c r="D126" s="2">
        <v>6.3</v>
      </c>
      <c r="E126" s="2">
        <v>7.3</v>
      </c>
      <c r="F126" s="2">
        <v>7.2</v>
      </c>
      <c r="G126" s="2">
        <v>5.0999999999999996</v>
      </c>
      <c r="H126" s="2">
        <f>AVERAGE(weather.tbl[[#This Row],[Estevan]:[Kipling]])</f>
        <v>6.6333333333333337</v>
      </c>
      <c r="I126" s="2">
        <f>_xlfn.STDEV.S(weather.tbl[[#This Row],[Estevan]:[Kipling]])</f>
        <v>0.82865352631039713</v>
      </c>
      <c r="J126" s="2">
        <f t="shared" si="1"/>
        <v>5.8357142857142863</v>
      </c>
      <c r="K126">
        <f>DAY(weather.tbl[[#This Row],[Date]])</f>
        <v>5</v>
      </c>
      <c r="L126">
        <f>MONTH(weather.tbl[[#This Row],[Date]])</f>
        <v>5</v>
      </c>
      <c r="M126">
        <f>YEAR(weather.tbl[[#This Row],[Date]])</f>
        <v>2014</v>
      </c>
    </row>
    <row r="127" spans="1:13" x14ac:dyDescent="0.25">
      <c r="A127" s="1">
        <v>41765</v>
      </c>
      <c r="B127" s="2">
        <v>9.3000000000000007</v>
      </c>
      <c r="C127" s="2">
        <v>6.4</v>
      </c>
      <c r="D127" s="2">
        <v>8.3000000000000007</v>
      </c>
      <c r="E127" s="2">
        <v>7.5</v>
      </c>
      <c r="F127" s="2">
        <v>9.6</v>
      </c>
      <c r="G127" s="2">
        <v>6.6</v>
      </c>
      <c r="H127" s="2">
        <f>AVERAGE(weather.tbl[[#This Row],[Estevan]:[Kipling]])</f>
        <v>7.95</v>
      </c>
      <c r="I127" s="2">
        <f>_xlfn.STDEV.S(weather.tbl[[#This Row],[Estevan]:[Kipling]])</f>
        <v>1.3487030807408955</v>
      </c>
      <c r="J127" s="2">
        <f t="shared" si="1"/>
        <v>6.3380952380952396</v>
      </c>
      <c r="K127">
        <f>DAY(weather.tbl[[#This Row],[Date]])</f>
        <v>6</v>
      </c>
      <c r="L127">
        <f>MONTH(weather.tbl[[#This Row],[Date]])</f>
        <v>5</v>
      </c>
      <c r="M127">
        <f>YEAR(weather.tbl[[#This Row],[Date]])</f>
        <v>2014</v>
      </c>
    </row>
    <row r="128" spans="1:13" x14ac:dyDescent="0.25">
      <c r="A128" s="1">
        <v>41766</v>
      </c>
      <c r="B128" s="2">
        <v>5.4</v>
      </c>
      <c r="C128" s="2">
        <v>4.7</v>
      </c>
      <c r="D128" s="2">
        <v>6.5</v>
      </c>
      <c r="E128" s="2">
        <v>6.3</v>
      </c>
      <c r="F128" s="2">
        <v>4.9000000000000004</v>
      </c>
      <c r="G128" s="2">
        <v>5.2</v>
      </c>
      <c r="H128" s="2">
        <f>AVERAGE(weather.tbl[[#This Row],[Estevan]:[Kipling]])</f>
        <v>5.5000000000000009</v>
      </c>
      <c r="I128" s="2">
        <f>_xlfn.STDEV.S(weather.tbl[[#This Row],[Estevan]:[Kipling]])</f>
        <v>0.74027022093285577</v>
      </c>
      <c r="J128" s="2">
        <f t="shared" si="1"/>
        <v>6.1071428571428568</v>
      </c>
      <c r="K128">
        <f>DAY(weather.tbl[[#This Row],[Date]])</f>
        <v>7</v>
      </c>
      <c r="L128">
        <f>MONTH(weather.tbl[[#This Row],[Date]])</f>
        <v>5</v>
      </c>
      <c r="M128">
        <f>YEAR(weather.tbl[[#This Row],[Date]])</f>
        <v>2014</v>
      </c>
    </row>
    <row r="129" spans="1:13" x14ac:dyDescent="0.25">
      <c r="A129" s="1">
        <v>41767</v>
      </c>
      <c r="B129" s="2">
        <v>4.7</v>
      </c>
      <c r="C129" s="2">
        <v>4.5999999999999996</v>
      </c>
      <c r="D129" s="2">
        <v>4.3</v>
      </c>
      <c r="E129" s="2">
        <v>5</v>
      </c>
      <c r="F129" s="2">
        <v>5.4</v>
      </c>
      <c r="G129" s="2">
        <v>4.7</v>
      </c>
      <c r="H129" s="2">
        <f>AVERAGE(weather.tbl[[#This Row],[Estevan]:[Kipling]])</f>
        <v>4.7833333333333332</v>
      </c>
      <c r="I129" s="2">
        <f>_xlfn.STDEV.S(weather.tbl[[#This Row],[Estevan]:[Kipling]])</f>
        <v>0.37638632635454072</v>
      </c>
      <c r="J129" s="2">
        <f t="shared" si="1"/>
        <v>5.4952380952380944</v>
      </c>
      <c r="K129">
        <f>DAY(weather.tbl[[#This Row],[Date]])</f>
        <v>8</v>
      </c>
      <c r="L129">
        <f>MONTH(weather.tbl[[#This Row],[Date]])</f>
        <v>5</v>
      </c>
      <c r="M129">
        <f>YEAR(weather.tbl[[#This Row],[Date]])</f>
        <v>2014</v>
      </c>
    </row>
    <row r="130" spans="1:13" x14ac:dyDescent="0.25">
      <c r="A130" s="1">
        <v>41768</v>
      </c>
      <c r="B130" s="2">
        <v>9.1</v>
      </c>
      <c r="C130" s="2">
        <v>9.6</v>
      </c>
      <c r="D130" s="2">
        <v>8</v>
      </c>
      <c r="E130" s="2">
        <v>12.3</v>
      </c>
      <c r="F130" s="2">
        <v>8.1999999999999993</v>
      </c>
      <c r="G130" s="2">
        <v>9.9</v>
      </c>
      <c r="H130" s="2">
        <f>AVERAGE(weather.tbl[[#This Row],[Estevan]:[Kipling]])</f>
        <v>9.5166666666666675</v>
      </c>
      <c r="I130" s="2">
        <f>_xlfn.STDEV.S(weather.tbl[[#This Row],[Estevan]:[Kipling]])</f>
        <v>1.5561705133649868</v>
      </c>
      <c r="J130" s="2">
        <f t="shared" si="1"/>
        <v>5.6166666666666663</v>
      </c>
      <c r="K130">
        <f>DAY(weather.tbl[[#This Row],[Date]])</f>
        <v>9</v>
      </c>
      <c r="L130">
        <f>MONTH(weather.tbl[[#This Row],[Date]])</f>
        <v>5</v>
      </c>
      <c r="M130">
        <f>YEAR(weather.tbl[[#This Row],[Date]])</f>
        <v>2014</v>
      </c>
    </row>
    <row r="131" spans="1:13" x14ac:dyDescent="0.25">
      <c r="A131" s="1">
        <v>41769</v>
      </c>
      <c r="B131" s="2">
        <v>10.6</v>
      </c>
      <c r="C131" s="2">
        <v>10.1</v>
      </c>
      <c r="D131" s="2">
        <v>9.5</v>
      </c>
      <c r="E131" s="2">
        <v>9.3000000000000007</v>
      </c>
      <c r="F131" s="2">
        <v>11.6</v>
      </c>
      <c r="G131" s="2">
        <v>9.1</v>
      </c>
      <c r="H131" s="2">
        <f>AVERAGE(weather.tbl[[#This Row],[Estevan]:[Kipling]])</f>
        <v>10.033333333333333</v>
      </c>
      <c r="I131" s="2">
        <f>_xlfn.STDEV.S(weather.tbl[[#This Row],[Estevan]:[Kipling]])</f>
        <v>0.94586820787394377</v>
      </c>
      <c r="J131" s="2">
        <f t="shared" si="1"/>
        <v>6.6952380952380954</v>
      </c>
      <c r="K131">
        <f>DAY(weather.tbl[[#This Row],[Date]])</f>
        <v>10</v>
      </c>
      <c r="L131">
        <f>MONTH(weather.tbl[[#This Row],[Date]])</f>
        <v>5</v>
      </c>
      <c r="M131">
        <f>YEAR(weather.tbl[[#This Row],[Date]])</f>
        <v>2014</v>
      </c>
    </row>
    <row r="132" spans="1:13" x14ac:dyDescent="0.25">
      <c r="A132" s="1">
        <v>41770</v>
      </c>
      <c r="B132" s="2">
        <v>6.2</v>
      </c>
      <c r="C132" s="2">
        <v>6.9</v>
      </c>
      <c r="D132" s="2">
        <v>6.3</v>
      </c>
      <c r="E132" s="2">
        <v>9.8000000000000007</v>
      </c>
      <c r="F132" s="2">
        <v>5.4</v>
      </c>
      <c r="G132" s="2">
        <v>7.9</v>
      </c>
      <c r="H132" s="2">
        <f>AVERAGE(weather.tbl[[#This Row],[Estevan]:[Kipling]])</f>
        <v>7.083333333333333</v>
      </c>
      <c r="I132" s="2">
        <f>_xlfn.STDEV.S(weather.tbl[[#This Row],[Estevan]:[Kipling]])</f>
        <v>1.5689699381016411</v>
      </c>
      <c r="J132" s="2">
        <f t="shared" si="1"/>
        <v>7.3571428571428568</v>
      </c>
      <c r="K132">
        <f>DAY(weather.tbl[[#This Row],[Date]])</f>
        <v>11</v>
      </c>
      <c r="L132">
        <f>MONTH(weather.tbl[[#This Row],[Date]])</f>
        <v>5</v>
      </c>
      <c r="M132">
        <f>YEAR(weather.tbl[[#This Row],[Date]])</f>
        <v>2014</v>
      </c>
    </row>
    <row r="133" spans="1:13" x14ac:dyDescent="0.25">
      <c r="A133" s="1">
        <v>41771</v>
      </c>
      <c r="B133" s="2">
        <v>5.6</v>
      </c>
      <c r="C133" s="2">
        <v>4.4000000000000004</v>
      </c>
      <c r="D133" s="2">
        <v>5.3</v>
      </c>
      <c r="E133" s="2">
        <v>5.5</v>
      </c>
      <c r="F133" s="2">
        <v>6.8</v>
      </c>
      <c r="G133" s="2">
        <v>4.7</v>
      </c>
      <c r="H133" s="2">
        <f>AVERAGE(weather.tbl[[#This Row],[Estevan]:[Kipling]])</f>
        <v>5.3833333333333337</v>
      </c>
      <c r="I133" s="2">
        <f>_xlfn.STDEV.S(weather.tbl[[#This Row],[Estevan]:[Kipling]])</f>
        <v>0.83765545820860332</v>
      </c>
      <c r="J133" s="2">
        <f t="shared" si="1"/>
        <v>7.1785714285714288</v>
      </c>
      <c r="K133">
        <f>DAY(weather.tbl[[#This Row],[Date]])</f>
        <v>12</v>
      </c>
      <c r="L133">
        <f>MONTH(weather.tbl[[#This Row],[Date]])</f>
        <v>5</v>
      </c>
      <c r="M133">
        <f>YEAR(weather.tbl[[#This Row],[Date]])</f>
        <v>2014</v>
      </c>
    </row>
    <row r="134" spans="1:13" x14ac:dyDescent="0.25">
      <c r="A134" s="1">
        <v>41772</v>
      </c>
      <c r="B134" s="2">
        <v>5.4</v>
      </c>
      <c r="C134" s="2">
        <v>4.2</v>
      </c>
      <c r="D134" s="2">
        <v>4.8</v>
      </c>
      <c r="E134" s="2">
        <v>6</v>
      </c>
      <c r="F134" s="2">
        <v>6.1</v>
      </c>
      <c r="G134" s="2">
        <v>4.5</v>
      </c>
      <c r="H134" s="2">
        <f>AVERAGE(weather.tbl[[#This Row],[Estevan]:[Kipling]])</f>
        <v>5.166666666666667</v>
      </c>
      <c r="I134" s="2">
        <f>_xlfn.STDEV.S(weather.tbl[[#This Row],[Estevan]:[Kipling]])</f>
        <v>0.79162280580253042</v>
      </c>
      <c r="J134" s="2">
        <f t="shared" si="1"/>
        <v>6.7809523809523808</v>
      </c>
      <c r="K134">
        <f>DAY(weather.tbl[[#This Row],[Date]])</f>
        <v>13</v>
      </c>
      <c r="L134">
        <f>MONTH(weather.tbl[[#This Row],[Date]])</f>
        <v>5</v>
      </c>
      <c r="M134">
        <f>YEAR(weather.tbl[[#This Row],[Date]])</f>
        <v>2014</v>
      </c>
    </row>
    <row r="135" spans="1:13" x14ac:dyDescent="0.25">
      <c r="A135" s="1">
        <v>41773</v>
      </c>
      <c r="B135" s="2">
        <v>3.8</v>
      </c>
      <c r="C135" s="2">
        <v>3.4</v>
      </c>
      <c r="D135" s="2">
        <v>4</v>
      </c>
      <c r="E135" s="2">
        <v>5.8</v>
      </c>
      <c r="F135" s="2">
        <v>4.3</v>
      </c>
      <c r="G135" s="2">
        <v>3.8</v>
      </c>
      <c r="H135" s="2">
        <f>AVERAGE(weather.tbl[[#This Row],[Estevan]:[Kipling]])</f>
        <v>4.1833333333333336</v>
      </c>
      <c r="I135" s="2">
        <f>_xlfn.STDEV.S(weather.tbl[[#This Row],[Estevan]:[Kipling]])</f>
        <v>0.8447879418331341</v>
      </c>
      <c r="J135" s="2">
        <f t="shared" si="1"/>
        <v>6.5928571428571434</v>
      </c>
      <c r="K135">
        <f>DAY(weather.tbl[[#This Row],[Date]])</f>
        <v>14</v>
      </c>
      <c r="L135">
        <f>MONTH(weather.tbl[[#This Row],[Date]])</f>
        <v>5</v>
      </c>
      <c r="M135">
        <f>YEAR(weather.tbl[[#This Row],[Date]])</f>
        <v>2014</v>
      </c>
    </row>
    <row r="136" spans="1:13" x14ac:dyDescent="0.25">
      <c r="A136" s="1">
        <v>41774</v>
      </c>
      <c r="B136" s="2">
        <v>7.8</v>
      </c>
      <c r="C136" s="2">
        <v>8.6</v>
      </c>
      <c r="D136" s="2">
        <v>6.8</v>
      </c>
      <c r="E136" s="2">
        <v>8.5</v>
      </c>
      <c r="F136" s="2">
        <v>6.9</v>
      </c>
      <c r="G136" s="2">
        <v>8.6</v>
      </c>
      <c r="H136" s="2">
        <f>AVERAGE(weather.tbl[[#This Row],[Estevan]:[Kipling]])</f>
        <v>7.8666666666666671</v>
      </c>
      <c r="I136" s="2">
        <f>_xlfn.STDEV.S(weather.tbl[[#This Row],[Estevan]:[Kipling]])</f>
        <v>0.84301047838485754</v>
      </c>
      <c r="J136" s="2">
        <f t="shared" si="1"/>
        <v>7.0333333333333323</v>
      </c>
      <c r="K136">
        <f>DAY(weather.tbl[[#This Row],[Date]])</f>
        <v>15</v>
      </c>
      <c r="L136">
        <f>MONTH(weather.tbl[[#This Row],[Date]])</f>
        <v>5</v>
      </c>
      <c r="M136">
        <f>YEAR(weather.tbl[[#This Row],[Date]])</f>
        <v>2014</v>
      </c>
    </row>
    <row r="137" spans="1:13" x14ac:dyDescent="0.25">
      <c r="A137" s="1">
        <v>41775</v>
      </c>
      <c r="B137" s="2">
        <v>10.4</v>
      </c>
      <c r="C137" s="2">
        <v>11.5</v>
      </c>
      <c r="D137" s="2">
        <v>9.3000000000000007</v>
      </c>
      <c r="E137" s="2">
        <v>12.3</v>
      </c>
      <c r="F137" s="2">
        <v>8.1999999999999993</v>
      </c>
      <c r="G137" s="2">
        <v>10.3</v>
      </c>
      <c r="H137" s="2">
        <f>AVERAGE(weather.tbl[[#This Row],[Estevan]:[Kipling]])</f>
        <v>10.333333333333334</v>
      </c>
      <c r="I137" s="2">
        <f>_xlfn.STDEV.S(weather.tbl[[#This Row],[Estevan]:[Kipling]])</f>
        <v>1.4733182502998778</v>
      </c>
      <c r="J137" s="2">
        <f t="shared" si="1"/>
        <v>7.15</v>
      </c>
      <c r="K137">
        <f>DAY(weather.tbl[[#This Row],[Date]])</f>
        <v>16</v>
      </c>
      <c r="L137">
        <f>MONTH(weather.tbl[[#This Row],[Date]])</f>
        <v>5</v>
      </c>
      <c r="M137">
        <f>YEAR(weather.tbl[[#This Row],[Date]])</f>
        <v>2014</v>
      </c>
    </row>
    <row r="138" spans="1:13" x14ac:dyDescent="0.25">
      <c r="A138" s="1">
        <v>41776</v>
      </c>
      <c r="B138" s="2">
        <v>11.2</v>
      </c>
      <c r="C138" s="2">
        <v>10.199999999999999</v>
      </c>
      <c r="D138" s="2">
        <v>11.8</v>
      </c>
      <c r="E138" s="2">
        <v>14.3</v>
      </c>
      <c r="F138" s="2">
        <v>11.9</v>
      </c>
      <c r="G138" s="2">
        <v>12</v>
      </c>
      <c r="H138" s="2">
        <f>AVERAGE(weather.tbl[[#This Row],[Estevan]:[Kipling]])</f>
        <v>11.9</v>
      </c>
      <c r="I138" s="2">
        <f>_xlfn.STDEV.S(weather.tbl[[#This Row],[Estevan]:[Kipling]])</f>
        <v>1.3535139452550797</v>
      </c>
      <c r="J138" s="2">
        <f t="shared" ref="J138:J201" si="2">AVERAGE(H132:H138)</f>
        <v>7.4166666666666661</v>
      </c>
      <c r="K138">
        <f>DAY(weather.tbl[[#This Row],[Date]])</f>
        <v>17</v>
      </c>
      <c r="L138">
        <f>MONTH(weather.tbl[[#This Row],[Date]])</f>
        <v>5</v>
      </c>
      <c r="M138">
        <f>YEAR(weather.tbl[[#This Row],[Date]])</f>
        <v>2014</v>
      </c>
    </row>
    <row r="139" spans="1:13" x14ac:dyDescent="0.25">
      <c r="A139" s="1">
        <v>41777</v>
      </c>
      <c r="B139" s="2">
        <v>13.7</v>
      </c>
      <c r="C139" s="2">
        <v>12.4</v>
      </c>
      <c r="D139" s="2">
        <v>12.3</v>
      </c>
      <c r="E139" s="2">
        <v>12</v>
      </c>
      <c r="F139" s="2">
        <v>12.3</v>
      </c>
      <c r="G139" s="2">
        <v>12.2</v>
      </c>
      <c r="H139" s="2">
        <f>AVERAGE(weather.tbl[[#This Row],[Estevan]:[Kipling]])</f>
        <v>12.483333333333334</v>
      </c>
      <c r="I139" s="2">
        <f>_xlfn.STDEV.S(weather.tbl[[#This Row],[Estevan]:[Kipling]])</f>
        <v>0.61128280416405167</v>
      </c>
      <c r="J139" s="2">
        <f t="shared" si="2"/>
        <v>8.1880952380952383</v>
      </c>
      <c r="K139">
        <f>DAY(weather.tbl[[#This Row],[Date]])</f>
        <v>18</v>
      </c>
      <c r="L139">
        <f>MONTH(weather.tbl[[#This Row],[Date]])</f>
        <v>5</v>
      </c>
      <c r="M139">
        <f>YEAR(weather.tbl[[#This Row],[Date]])</f>
        <v>2014</v>
      </c>
    </row>
    <row r="140" spans="1:13" x14ac:dyDescent="0.25">
      <c r="A140" s="1">
        <v>41778</v>
      </c>
      <c r="B140" s="2">
        <v>9.6999999999999993</v>
      </c>
      <c r="C140" s="2">
        <v>9</v>
      </c>
      <c r="D140" s="2">
        <v>9.3000000000000007</v>
      </c>
      <c r="E140" s="2">
        <v>10</v>
      </c>
      <c r="F140" s="2">
        <v>11.9</v>
      </c>
      <c r="G140" s="2">
        <v>7.8</v>
      </c>
      <c r="H140" s="2">
        <f>AVERAGE(weather.tbl[[#This Row],[Estevan]:[Kipling]])</f>
        <v>9.6166666666666654</v>
      </c>
      <c r="I140" s="2">
        <f>_xlfn.STDEV.S(weather.tbl[[#This Row],[Estevan]:[Kipling]])</f>
        <v>1.3526517166908432</v>
      </c>
      <c r="J140" s="2">
        <f t="shared" si="2"/>
        <v>8.7928571428571427</v>
      </c>
      <c r="K140">
        <f>DAY(weather.tbl[[#This Row],[Date]])</f>
        <v>19</v>
      </c>
      <c r="L140">
        <f>MONTH(weather.tbl[[#This Row],[Date]])</f>
        <v>5</v>
      </c>
      <c r="M140">
        <f>YEAR(weather.tbl[[#This Row],[Date]])</f>
        <v>2014</v>
      </c>
    </row>
    <row r="141" spans="1:13" x14ac:dyDescent="0.25">
      <c r="A141" s="1">
        <v>41779</v>
      </c>
      <c r="B141" s="2">
        <v>10.1</v>
      </c>
      <c r="C141" s="2">
        <v>9.3000000000000007</v>
      </c>
      <c r="D141" s="2">
        <v>8.3000000000000007</v>
      </c>
      <c r="E141" s="2">
        <v>12</v>
      </c>
      <c r="F141" s="2">
        <v>8.6</v>
      </c>
      <c r="G141" s="2">
        <v>8.1999999999999993</v>
      </c>
      <c r="H141" s="2">
        <f>AVERAGE(weather.tbl[[#This Row],[Estevan]:[Kipling]])</f>
        <v>9.4166666666666661</v>
      </c>
      <c r="I141" s="2">
        <f>_xlfn.STDEV.S(weather.tbl[[#This Row],[Estevan]:[Kipling]])</f>
        <v>1.4524691620363779</v>
      </c>
      <c r="J141" s="2">
        <f t="shared" si="2"/>
        <v>9.4</v>
      </c>
      <c r="K141">
        <f>DAY(weather.tbl[[#This Row],[Date]])</f>
        <v>20</v>
      </c>
      <c r="L141">
        <f>MONTH(weather.tbl[[#This Row],[Date]])</f>
        <v>5</v>
      </c>
      <c r="M141">
        <f>YEAR(weather.tbl[[#This Row],[Date]])</f>
        <v>2014</v>
      </c>
    </row>
    <row r="142" spans="1:13" x14ac:dyDescent="0.25">
      <c r="A142" s="1">
        <v>41780</v>
      </c>
      <c r="B142" s="2">
        <v>11.2</v>
      </c>
      <c r="C142" s="2">
        <v>11.3</v>
      </c>
      <c r="D142" s="2">
        <v>10.8</v>
      </c>
      <c r="E142" s="2">
        <v>11.8</v>
      </c>
      <c r="F142" s="2">
        <v>10.5</v>
      </c>
      <c r="G142" s="2">
        <v>10.5</v>
      </c>
      <c r="H142" s="2">
        <f>AVERAGE(weather.tbl[[#This Row],[Estevan]:[Kipling]])</f>
        <v>11.016666666666666</v>
      </c>
      <c r="I142" s="2">
        <f>_xlfn.STDEV.S(weather.tbl[[#This Row],[Estevan]:[Kipling]])</f>
        <v>0.51153364177409366</v>
      </c>
      <c r="J142" s="2">
        <f t="shared" si="2"/>
        <v>10.376190476190475</v>
      </c>
      <c r="K142">
        <f>DAY(weather.tbl[[#This Row],[Date]])</f>
        <v>21</v>
      </c>
      <c r="L142">
        <f>MONTH(weather.tbl[[#This Row],[Date]])</f>
        <v>5</v>
      </c>
      <c r="M142">
        <f>YEAR(weather.tbl[[#This Row],[Date]])</f>
        <v>2014</v>
      </c>
    </row>
    <row r="143" spans="1:13" x14ac:dyDescent="0.25">
      <c r="A143" s="1">
        <v>41781</v>
      </c>
      <c r="B143" s="2">
        <v>16.5</v>
      </c>
      <c r="C143" s="2">
        <v>16.8</v>
      </c>
      <c r="D143" s="2">
        <v>15</v>
      </c>
      <c r="E143" s="2">
        <v>17</v>
      </c>
      <c r="F143" s="2">
        <v>16.600000000000001</v>
      </c>
      <c r="G143" s="2">
        <v>17.5</v>
      </c>
      <c r="H143" s="2">
        <f>AVERAGE(weather.tbl[[#This Row],[Estevan]:[Kipling]])</f>
        <v>16.566666666666666</v>
      </c>
      <c r="I143" s="2">
        <f>_xlfn.STDEV.S(weather.tbl[[#This Row],[Estevan]:[Kipling]])</f>
        <v>0.84537959915452576</v>
      </c>
      <c r="J143" s="2">
        <f t="shared" si="2"/>
        <v>11.619047619047619</v>
      </c>
      <c r="K143">
        <f>DAY(weather.tbl[[#This Row],[Date]])</f>
        <v>22</v>
      </c>
      <c r="L143">
        <f>MONTH(weather.tbl[[#This Row],[Date]])</f>
        <v>5</v>
      </c>
      <c r="M143">
        <f>YEAR(weather.tbl[[#This Row],[Date]])</f>
        <v>2014</v>
      </c>
    </row>
    <row r="144" spans="1:13" x14ac:dyDescent="0.25">
      <c r="A144" s="1">
        <v>41782</v>
      </c>
      <c r="B144" s="2">
        <v>20.399999999999999</v>
      </c>
      <c r="C144" s="2">
        <v>20.2</v>
      </c>
      <c r="D144" s="2">
        <v>19.5</v>
      </c>
      <c r="E144" s="2">
        <v>20.5</v>
      </c>
      <c r="F144" s="2">
        <v>21.2</v>
      </c>
      <c r="G144" s="2">
        <v>21</v>
      </c>
      <c r="H144" s="2">
        <f>AVERAGE(weather.tbl[[#This Row],[Estevan]:[Kipling]])</f>
        <v>20.466666666666665</v>
      </c>
      <c r="I144" s="2">
        <f>_xlfn.STDEV.S(weather.tbl[[#This Row],[Estevan]:[Kipling]])</f>
        <v>0.60553007081949828</v>
      </c>
      <c r="J144" s="2">
        <f t="shared" si="2"/>
        <v>13.066666666666666</v>
      </c>
      <c r="K144">
        <f>DAY(weather.tbl[[#This Row],[Date]])</f>
        <v>23</v>
      </c>
      <c r="L144">
        <f>MONTH(weather.tbl[[#This Row],[Date]])</f>
        <v>5</v>
      </c>
      <c r="M144">
        <f>YEAR(weather.tbl[[#This Row],[Date]])</f>
        <v>2014</v>
      </c>
    </row>
    <row r="145" spans="1:13" x14ac:dyDescent="0.25">
      <c r="A145" s="1">
        <v>41783</v>
      </c>
      <c r="B145" s="2">
        <v>22.3</v>
      </c>
      <c r="C145" s="2">
        <v>21.1</v>
      </c>
      <c r="D145" s="2">
        <v>21.3</v>
      </c>
      <c r="E145" s="2">
        <v>23.8</v>
      </c>
      <c r="F145" s="2">
        <v>23.1</v>
      </c>
      <c r="G145" s="2">
        <v>23.3</v>
      </c>
      <c r="H145" s="2">
        <f>AVERAGE(weather.tbl[[#This Row],[Estevan]:[Kipling]])</f>
        <v>22.483333333333334</v>
      </c>
      <c r="I145" s="2">
        <f>_xlfn.STDEV.S(weather.tbl[[#This Row],[Estevan]:[Kipling]])</f>
        <v>1.1070983093956319</v>
      </c>
      <c r="J145" s="2">
        <f t="shared" si="2"/>
        <v>14.578571428571427</v>
      </c>
      <c r="K145">
        <f>DAY(weather.tbl[[#This Row],[Date]])</f>
        <v>24</v>
      </c>
      <c r="L145">
        <f>MONTH(weather.tbl[[#This Row],[Date]])</f>
        <v>5</v>
      </c>
      <c r="M145">
        <f>YEAR(weather.tbl[[#This Row],[Date]])</f>
        <v>2014</v>
      </c>
    </row>
    <row r="146" spans="1:13" x14ac:dyDescent="0.25">
      <c r="A146" s="1">
        <v>41784</v>
      </c>
      <c r="B146" s="2">
        <v>16.8</v>
      </c>
      <c r="C146" s="2">
        <v>17.399999999999999</v>
      </c>
      <c r="D146" s="2">
        <v>18.3</v>
      </c>
      <c r="E146" s="2">
        <v>19.3</v>
      </c>
      <c r="F146" s="2">
        <v>17</v>
      </c>
      <c r="G146" s="2">
        <v>13.4</v>
      </c>
      <c r="H146" s="2">
        <f>AVERAGE(weather.tbl[[#This Row],[Estevan]:[Kipling]])</f>
        <v>17.033333333333335</v>
      </c>
      <c r="I146" s="2">
        <f>_xlfn.STDEV.S(weather.tbl[[#This Row],[Estevan]:[Kipling]])</f>
        <v>2.0066555924389933</v>
      </c>
      <c r="J146" s="2">
        <f t="shared" si="2"/>
        <v>15.228571428571428</v>
      </c>
      <c r="K146">
        <f>DAY(weather.tbl[[#This Row],[Date]])</f>
        <v>25</v>
      </c>
      <c r="L146">
        <f>MONTH(weather.tbl[[#This Row],[Date]])</f>
        <v>5</v>
      </c>
      <c r="M146">
        <f>YEAR(weather.tbl[[#This Row],[Date]])</f>
        <v>2014</v>
      </c>
    </row>
    <row r="147" spans="1:13" x14ac:dyDescent="0.25">
      <c r="A147" s="1">
        <v>41785</v>
      </c>
      <c r="B147" s="2">
        <v>17.3</v>
      </c>
      <c r="C147" s="2">
        <v>18.5</v>
      </c>
      <c r="D147" s="2">
        <v>15.5</v>
      </c>
      <c r="E147" s="2">
        <v>18</v>
      </c>
      <c r="F147" s="2">
        <v>16</v>
      </c>
      <c r="G147" s="2">
        <v>15.2</v>
      </c>
      <c r="H147" s="2">
        <f>AVERAGE(weather.tbl[[#This Row],[Estevan]:[Kipling]])</f>
        <v>16.75</v>
      </c>
      <c r="I147" s="2">
        <f>_xlfn.STDEV.S(weather.tbl[[#This Row],[Estevan]:[Kipling]])</f>
        <v>1.3751363568752011</v>
      </c>
      <c r="J147" s="2">
        <f t="shared" si="2"/>
        <v>16.247619047619047</v>
      </c>
      <c r="K147">
        <f>DAY(weather.tbl[[#This Row],[Date]])</f>
        <v>26</v>
      </c>
      <c r="L147">
        <f>MONTH(weather.tbl[[#This Row],[Date]])</f>
        <v>5</v>
      </c>
      <c r="M147">
        <f>YEAR(weather.tbl[[#This Row],[Date]])</f>
        <v>2014</v>
      </c>
    </row>
    <row r="148" spans="1:13" x14ac:dyDescent="0.25">
      <c r="A148" s="1">
        <v>41786</v>
      </c>
      <c r="B148" s="2">
        <v>18.3</v>
      </c>
      <c r="C148" s="2">
        <v>17.7</v>
      </c>
      <c r="D148" s="2">
        <v>17.3</v>
      </c>
      <c r="E148" s="2">
        <v>18.5</v>
      </c>
      <c r="F148" s="2">
        <v>18.100000000000001</v>
      </c>
      <c r="G148" s="2">
        <v>17.2</v>
      </c>
      <c r="H148" s="2">
        <f>AVERAGE(weather.tbl[[#This Row],[Estevan]:[Kipling]])</f>
        <v>17.850000000000001</v>
      </c>
      <c r="I148" s="2">
        <f>_xlfn.STDEV.S(weather.tbl[[#This Row],[Estevan]:[Kipling]])</f>
        <v>0.53572380943915521</v>
      </c>
      <c r="J148" s="2">
        <f t="shared" si="2"/>
        <v>17.452380952380953</v>
      </c>
      <c r="K148">
        <f>DAY(weather.tbl[[#This Row],[Date]])</f>
        <v>27</v>
      </c>
      <c r="L148">
        <f>MONTH(weather.tbl[[#This Row],[Date]])</f>
        <v>5</v>
      </c>
      <c r="M148">
        <f>YEAR(weather.tbl[[#This Row],[Date]])</f>
        <v>2014</v>
      </c>
    </row>
    <row r="149" spans="1:13" x14ac:dyDescent="0.25">
      <c r="A149" s="1">
        <v>41787</v>
      </c>
      <c r="B149" s="2">
        <v>18.7</v>
      </c>
      <c r="C149" s="2">
        <v>19.2</v>
      </c>
      <c r="D149" s="2">
        <v>17.3</v>
      </c>
      <c r="E149" s="2">
        <v>19.8</v>
      </c>
      <c r="F149" s="2">
        <v>18.600000000000001</v>
      </c>
      <c r="G149" s="2">
        <v>18.2</v>
      </c>
      <c r="H149" s="2">
        <f>AVERAGE(weather.tbl[[#This Row],[Estevan]:[Kipling]])</f>
        <v>18.633333333333333</v>
      </c>
      <c r="I149" s="2">
        <f>_xlfn.STDEV.S(weather.tbl[[#This Row],[Estevan]:[Kipling]])</f>
        <v>0.8547904226573122</v>
      </c>
      <c r="J149" s="2">
        <f t="shared" si="2"/>
        <v>18.540476190476191</v>
      </c>
      <c r="K149">
        <f>DAY(weather.tbl[[#This Row],[Date]])</f>
        <v>28</v>
      </c>
      <c r="L149">
        <f>MONTH(weather.tbl[[#This Row],[Date]])</f>
        <v>5</v>
      </c>
      <c r="M149">
        <f>YEAR(weather.tbl[[#This Row],[Date]])</f>
        <v>2014</v>
      </c>
    </row>
    <row r="150" spans="1:13" x14ac:dyDescent="0.25">
      <c r="A150" s="1">
        <v>41788</v>
      </c>
      <c r="B150" s="2">
        <v>21.7</v>
      </c>
      <c r="C150" s="2">
        <v>19.5</v>
      </c>
      <c r="D150" s="2">
        <v>23.5</v>
      </c>
      <c r="E150" s="2">
        <v>20</v>
      </c>
      <c r="F150" s="2">
        <v>24.7</v>
      </c>
      <c r="G150" s="2">
        <v>21.6</v>
      </c>
      <c r="H150" s="2">
        <f>AVERAGE(weather.tbl[[#This Row],[Estevan]:[Kipling]])</f>
        <v>21.833333333333332</v>
      </c>
      <c r="I150" s="2">
        <f>_xlfn.STDEV.S(weather.tbl[[#This Row],[Estevan]:[Kipling]])</f>
        <v>1.9936566070080037</v>
      </c>
      <c r="J150" s="2">
        <f t="shared" si="2"/>
        <v>19.292857142857144</v>
      </c>
      <c r="K150">
        <f>DAY(weather.tbl[[#This Row],[Date]])</f>
        <v>29</v>
      </c>
      <c r="L150">
        <f>MONTH(weather.tbl[[#This Row],[Date]])</f>
        <v>5</v>
      </c>
      <c r="M150">
        <f>YEAR(weather.tbl[[#This Row],[Date]])</f>
        <v>2014</v>
      </c>
    </row>
    <row r="151" spans="1:13" x14ac:dyDescent="0.25">
      <c r="A151" s="1">
        <v>41789</v>
      </c>
      <c r="B151" s="2">
        <v>16.5</v>
      </c>
      <c r="C151" s="2">
        <v>15</v>
      </c>
      <c r="D151" s="2">
        <v>17</v>
      </c>
      <c r="E151" s="2">
        <v>16.5</v>
      </c>
      <c r="F151" s="2">
        <v>19.5</v>
      </c>
      <c r="G151" s="2">
        <v>16.3</v>
      </c>
      <c r="H151" s="2">
        <f>AVERAGE(weather.tbl[[#This Row],[Estevan]:[Kipling]])</f>
        <v>16.8</v>
      </c>
      <c r="I151" s="2">
        <f>_xlfn.STDEV.S(weather.tbl[[#This Row],[Estevan]:[Kipling]])</f>
        <v>1.4832396974191326</v>
      </c>
      <c r="J151" s="2">
        <f t="shared" si="2"/>
        <v>18.769047619047619</v>
      </c>
      <c r="K151">
        <f>DAY(weather.tbl[[#This Row],[Date]])</f>
        <v>30</v>
      </c>
      <c r="L151">
        <f>MONTH(weather.tbl[[#This Row],[Date]])</f>
        <v>5</v>
      </c>
      <c r="M151">
        <f>YEAR(weather.tbl[[#This Row],[Date]])</f>
        <v>2014</v>
      </c>
    </row>
    <row r="152" spans="1:13" x14ac:dyDescent="0.25">
      <c r="A152" s="1">
        <v>41790</v>
      </c>
      <c r="B152" s="2">
        <v>18.2</v>
      </c>
      <c r="C152" s="2">
        <v>17.600000000000001</v>
      </c>
      <c r="D152" s="2">
        <v>16</v>
      </c>
      <c r="E152" s="2">
        <v>17.5</v>
      </c>
      <c r="F152" s="2">
        <v>19.100000000000001</v>
      </c>
      <c r="G152" s="2">
        <v>18.399999999999999</v>
      </c>
      <c r="H152" s="2">
        <f>AVERAGE(weather.tbl[[#This Row],[Estevan]:[Kipling]])</f>
        <v>17.8</v>
      </c>
      <c r="I152" s="2">
        <f>_xlfn.STDEV.S(weather.tbl[[#This Row],[Estevan]:[Kipling]])</f>
        <v>1.0564090116995406</v>
      </c>
      <c r="J152" s="2">
        <f t="shared" si="2"/>
        <v>18.099999999999998</v>
      </c>
      <c r="K152">
        <f>DAY(weather.tbl[[#This Row],[Date]])</f>
        <v>31</v>
      </c>
      <c r="L152">
        <f>MONTH(weather.tbl[[#This Row],[Date]])</f>
        <v>5</v>
      </c>
      <c r="M152">
        <f>YEAR(weather.tbl[[#This Row],[Date]])</f>
        <v>2014</v>
      </c>
    </row>
    <row r="153" spans="1:13" x14ac:dyDescent="0.25">
      <c r="A153" s="1">
        <v>41791</v>
      </c>
      <c r="B153" s="2">
        <v>13.4</v>
      </c>
      <c r="C153" s="2">
        <v>11.8</v>
      </c>
      <c r="D153" s="2">
        <v>14.5</v>
      </c>
      <c r="E153" s="2">
        <v>13.5</v>
      </c>
      <c r="F153" s="2">
        <v>15.1</v>
      </c>
      <c r="G153" s="2">
        <v>12.4</v>
      </c>
      <c r="H153" s="2">
        <f>AVERAGE(weather.tbl[[#This Row],[Estevan]:[Kipling]])</f>
        <v>13.450000000000001</v>
      </c>
      <c r="I153" s="2">
        <f>_xlfn.STDEV.S(weather.tbl[[#This Row],[Estevan]:[Kipling]])</f>
        <v>1.2373358476985945</v>
      </c>
      <c r="J153" s="2">
        <f t="shared" si="2"/>
        <v>17.588095238095239</v>
      </c>
      <c r="K153">
        <f>DAY(weather.tbl[[#This Row],[Date]])</f>
        <v>1</v>
      </c>
      <c r="L153">
        <f>MONTH(weather.tbl[[#This Row],[Date]])</f>
        <v>6</v>
      </c>
      <c r="M153">
        <f>YEAR(weather.tbl[[#This Row],[Date]])</f>
        <v>2014</v>
      </c>
    </row>
    <row r="154" spans="1:13" x14ac:dyDescent="0.25">
      <c r="A154" s="1">
        <v>41792</v>
      </c>
      <c r="B154" s="2">
        <v>13.7</v>
      </c>
      <c r="C154" s="2">
        <v>13.6</v>
      </c>
      <c r="D154" s="2">
        <v>12</v>
      </c>
      <c r="E154" s="2">
        <v>13</v>
      </c>
      <c r="F154" s="2">
        <v>13.1</v>
      </c>
      <c r="G154" s="2">
        <v>12.4</v>
      </c>
      <c r="H154" s="2">
        <f>AVERAGE(weather.tbl[[#This Row],[Estevan]:[Kipling]])</f>
        <v>12.966666666666667</v>
      </c>
      <c r="I154" s="2">
        <f>_xlfn.STDEV.S(weather.tbl[[#This Row],[Estevan]:[Kipling]])</f>
        <v>0.66533199732664761</v>
      </c>
      <c r="J154" s="2">
        <f t="shared" si="2"/>
        <v>17.047619047619047</v>
      </c>
      <c r="K154">
        <f>DAY(weather.tbl[[#This Row],[Date]])</f>
        <v>2</v>
      </c>
      <c r="L154">
        <f>MONTH(weather.tbl[[#This Row],[Date]])</f>
        <v>6</v>
      </c>
      <c r="M154">
        <f>YEAR(weather.tbl[[#This Row],[Date]])</f>
        <v>2014</v>
      </c>
    </row>
    <row r="155" spans="1:13" x14ac:dyDescent="0.25">
      <c r="A155" s="1">
        <v>41793</v>
      </c>
      <c r="B155" s="2">
        <v>15.3</v>
      </c>
      <c r="C155" s="2">
        <v>15.1</v>
      </c>
      <c r="D155" s="2">
        <v>14.3</v>
      </c>
      <c r="E155" s="2">
        <v>17</v>
      </c>
      <c r="F155" s="2">
        <v>16.600000000000001</v>
      </c>
      <c r="G155" s="2">
        <v>15.7</v>
      </c>
      <c r="H155" s="2">
        <f>AVERAGE(weather.tbl[[#This Row],[Estevan]:[Kipling]])</f>
        <v>15.66666666666667</v>
      </c>
      <c r="I155" s="2">
        <f>_xlfn.STDEV.S(weather.tbl[[#This Row],[Estevan]:[Kipling]])</f>
        <v>0.99732976826457298</v>
      </c>
      <c r="J155" s="2">
        <f t="shared" si="2"/>
        <v>16.735714285714288</v>
      </c>
      <c r="K155">
        <f>DAY(weather.tbl[[#This Row],[Date]])</f>
        <v>3</v>
      </c>
      <c r="L155">
        <f>MONTH(weather.tbl[[#This Row],[Date]])</f>
        <v>6</v>
      </c>
      <c r="M155">
        <f>YEAR(weather.tbl[[#This Row],[Date]])</f>
        <v>2014</v>
      </c>
    </row>
    <row r="156" spans="1:13" x14ac:dyDescent="0.25">
      <c r="A156" s="1">
        <v>41794</v>
      </c>
      <c r="B156" s="2">
        <v>19</v>
      </c>
      <c r="C156" s="2">
        <v>18.100000000000001</v>
      </c>
      <c r="D156" s="2">
        <v>16.5</v>
      </c>
      <c r="E156" s="2">
        <v>18.5</v>
      </c>
      <c r="F156" s="2">
        <v>18.100000000000001</v>
      </c>
      <c r="G156" s="2">
        <v>17.100000000000001</v>
      </c>
      <c r="H156" s="2">
        <f>AVERAGE(weather.tbl[[#This Row],[Estevan]:[Kipling]])</f>
        <v>17.883333333333329</v>
      </c>
      <c r="I156" s="2">
        <f>_xlfn.STDEV.S(weather.tbl[[#This Row],[Estevan]:[Kipling]])</f>
        <v>0.92177365262122046</v>
      </c>
      <c r="J156" s="2">
        <f t="shared" si="2"/>
        <v>16.62857142857143</v>
      </c>
      <c r="K156">
        <f>DAY(weather.tbl[[#This Row],[Date]])</f>
        <v>4</v>
      </c>
      <c r="L156">
        <f>MONTH(weather.tbl[[#This Row],[Date]])</f>
        <v>6</v>
      </c>
      <c r="M156">
        <f>YEAR(weather.tbl[[#This Row],[Date]])</f>
        <v>2014</v>
      </c>
    </row>
    <row r="157" spans="1:13" x14ac:dyDescent="0.25">
      <c r="A157" s="1">
        <v>41795</v>
      </c>
      <c r="B157" s="2">
        <v>17</v>
      </c>
      <c r="C157" s="2">
        <v>15</v>
      </c>
      <c r="D157" s="2">
        <v>16.8</v>
      </c>
      <c r="E157" s="2">
        <v>15.5</v>
      </c>
      <c r="F157" s="2">
        <v>18.2</v>
      </c>
      <c r="G157" s="2">
        <v>16.8</v>
      </c>
      <c r="H157" s="2">
        <f>AVERAGE(weather.tbl[[#This Row],[Estevan]:[Kipling]])</f>
        <v>16.55</v>
      </c>
      <c r="I157" s="2">
        <f>_xlfn.STDEV.S(weather.tbl[[#This Row],[Estevan]:[Kipling]])</f>
        <v>1.1449890829173872</v>
      </c>
      <c r="J157" s="2">
        <f t="shared" si="2"/>
        <v>15.873809523809523</v>
      </c>
      <c r="K157">
        <f>DAY(weather.tbl[[#This Row],[Date]])</f>
        <v>5</v>
      </c>
      <c r="L157">
        <f>MONTH(weather.tbl[[#This Row],[Date]])</f>
        <v>6</v>
      </c>
      <c r="M157">
        <f>YEAR(weather.tbl[[#This Row],[Date]])</f>
        <v>2014</v>
      </c>
    </row>
    <row r="158" spans="1:13" x14ac:dyDescent="0.25">
      <c r="A158" s="1">
        <v>41796</v>
      </c>
      <c r="B158" s="2">
        <v>10.4</v>
      </c>
      <c r="C158" s="2">
        <v>9.8000000000000007</v>
      </c>
      <c r="D158" s="2">
        <v>10</v>
      </c>
      <c r="E158" s="2">
        <v>10.5</v>
      </c>
      <c r="F158" s="2">
        <v>12.9</v>
      </c>
      <c r="G158" s="2">
        <v>9.3000000000000007</v>
      </c>
      <c r="H158" s="2">
        <f>AVERAGE(weather.tbl[[#This Row],[Estevan]:[Kipling]])</f>
        <v>10.483333333333334</v>
      </c>
      <c r="I158" s="2">
        <f>_xlfn.STDEV.S(weather.tbl[[#This Row],[Estevan]:[Kipling]])</f>
        <v>1.2608198390994065</v>
      </c>
      <c r="J158" s="2">
        <f t="shared" si="2"/>
        <v>14.971428571428572</v>
      </c>
      <c r="K158">
        <f>DAY(weather.tbl[[#This Row],[Date]])</f>
        <v>6</v>
      </c>
      <c r="L158">
        <f>MONTH(weather.tbl[[#This Row],[Date]])</f>
        <v>6</v>
      </c>
      <c r="M158">
        <f>YEAR(weather.tbl[[#This Row],[Date]])</f>
        <v>2014</v>
      </c>
    </row>
    <row r="159" spans="1:13" x14ac:dyDescent="0.25">
      <c r="A159" s="1">
        <v>41797</v>
      </c>
      <c r="B159" s="2">
        <v>13.1</v>
      </c>
      <c r="C159" s="2">
        <v>12.3</v>
      </c>
      <c r="D159" s="2">
        <v>12.3</v>
      </c>
      <c r="E159" s="2">
        <v>12</v>
      </c>
      <c r="F159" s="2">
        <v>13.5</v>
      </c>
      <c r="G159" s="2">
        <v>12.2</v>
      </c>
      <c r="H159" s="2">
        <f>AVERAGE(weather.tbl[[#This Row],[Estevan]:[Kipling]])</f>
        <v>12.566666666666668</v>
      </c>
      <c r="I159" s="2">
        <f>_xlfn.STDEV.S(weather.tbl[[#This Row],[Estevan]:[Kipling]])</f>
        <v>0.59217114643206537</v>
      </c>
      <c r="J159" s="2">
        <f t="shared" si="2"/>
        <v>14.223809523809523</v>
      </c>
      <c r="K159">
        <f>DAY(weather.tbl[[#This Row],[Date]])</f>
        <v>7</v>
      </c>
      <c r="L159">
        <f>MONTH(weather.tbl[[#This Row],[Date]])</f>
        <v>6</v>
      </c>
      <c r="M159">
        <f>YEAR(weather.tbl[[#This Row],[Date]])</f>
        <v>2014</v>
      </c>
    </row>
    <row r="160" spans="1:13" x14ac:dyDescent="0.25">
      <c r="A160" s="1">
        <v>41798</v>
      </c>
      <c r="B160" s="2">
        <v>14.9</v>
      </c>
      <c r="C160" s="2">
        <v>12.6</v>
      </c>
      <c r="D160" s="2">
        <v>13.3</v>
      </c>
      <c r="E160" s="2">
        <v>13</v>
      </c>
      <c r="F160" s="2">
        <v>15.8</v>
      </c>
      <c r="G160" s="2">
        <v>13.4</v>
      </c>
      <c r="H160" s="2">
        <f>AVERAGE(weather.tbl[[#This Row],[Estevan]:[Kipling]])</f>
        <v>13.833333333333334</v>
      </c>
      <c r="I160" s="2">
        <f>_xlfn.STDEV.S(weather.tbl[[#This Row],[Estevan]:[Kipling]])</f>
        <v>1.2404300329590006</v>
      </c>
      <c r="J160" s="2">
        <f t="shared" si="2"/>
        <v>14.278571428571427</v>
      </c>
      <c r="K160">
        <f>DAY(weather.tbl[[#This Row],[Date]])</f>
        <v>8</v>
      </c>
      <c r="L160">
        <f>MONTH(weather.tbl[[#This Row],[Date]])</f>
        <v>6</v>
      </c>
      <c r="M160">
        <f>YEAR(weather.tbl[[#This Row],[Date]])</f>
        <v>2014</v>
      </c>
    </row>
    <row r="161" spans="1:13" x14ac:dyDescent="0.25">
      <c r="A161" s="1">
        <v>41799</v>
      </c>
      <c r="B161" s="2">
        <v>16</v>
      </c>
      <c r="C161" s="2">
        <v>14.1</v>
      </c>
      <c r="D161" s="2">
        <v>12.8</v>
      </c>
      <c r="E161" s="2">
        <v>14.5</v>
      </c>
      <c r="F161" s="2">
        <v>16.2</v>
      </c>
      <c r="G161" s="2">
        <v>12.8</v>
      </c>
      <c r="H161" s="2">
        <f>AVERAGE(weather.tbl[[#This Row],[Estevan]:[Kipling]])</f>
        <v>14.4</v>
      </c>
      <c r="I161" s="2">
        <f>_xlfn.STDEV.S(weather.tbl[[#This Row],[Estevan]:[Kipling]])</f>
        <v>1.4845874847916503</v>
      </c>
      <c r="J161" s="2">
        <f t="shared" si="2"/>
        <v>14.483333333333333</v>
      </c>
      <c r="K161">
        <f>DAY(weather.tbl[[#This Row],[Date]])</f>
        <v>9</v>
      </c>
      <c r="L161">
        <f>MONTH(weather.tbl[[#This Row],[Date]])</f>
        <v>6</v>
      </c>
      <c r="M161">
        <f>YEAR(weather.tbl[[#This Row],[Date]])</f>
        <v>2014</v>
      </c>
    </row>
    <row r="162" spans="1:13" x14ac:dyDescent="0.25">
      <c r="A162" s="1">
        <v>41800</v>
      </c>
      <c r="B162" s="2">
        <v>15.9</v>
      </c>
      <c r="C162" s="2">
        <v>14.9</v>
      </c>
      <c r="D162" s="2">
        <v>15.3</v>
      </c>
      <c r="E162" s="2">
        <v>15.5</v>
      </c>
      <c r="F162" s="2">
        <v>18</v>
      </c>
      <c r="G162" s="2">
        <v>14.8</v>
      </c>
      <c r="H162" s="2">
        <f>AVERAGE(weather.tbl[[#This Row],[Estevan]:[Kipling]])</f>
        <v>15.733333333333333</v>
      </c>
      <c r="I162" s="2">
        <f>_xlfn.STDEV.S(weather.tbl[[#This Row],[Estevan]:[Kipling]])</f>
        <v>1.1809600614189568</v>
      </c>
      <c r="J162" s="2">
        <f t="shared" si="2"/>
        <v>14.492857142857144</v>
      </c>
      <c r="K162">
        <f>DAY(weather.tbl[[#This Row],[Date]])</f>
        <v>10</v>
      </c>
      <c r="L162">
        <f>MONTH(weather.tbl[[#This Row],[Date]])</f>
        <v>6</v>
      </c>
      <c r="M162">
        <f>YEAR(weather.tbl[[#This Row],[Date]])</f>
        <v>2014</v>
      </c>
    </row>
    <row r="163" spans="1:13" x14ac:dyDescent="0.25">
      <c r="A163" s="1">
        <v>41801</v>
      </c>
      <c r="B163" s="2">
        <v>11.4</v>
      </c>
      <c r="C163" s="2">
        <v>12.3</v>
      </c>
      <c r="D163" s="2">
        <v>10.5</v>
      </c>
      <c r="E163" s="2">
        <v>14</v>
      </c>
      <c r="F163" s="2">
        <v>18</v>
      </c>
      <c r="G163" s="2">
        <v>11.7</v>
      </c>
      <c r="H163" s="2">
        <f>AVERAGE(weather.tbl[[#This Row],[Estevan]:[Kipling]])</f>
        <v>12.983333333333334</v>
      </c>
      <c r="I163" s="2">
        <f>_xlfn.STDEV.S(weather.tbl[[#This Row],[Estevan]:[Kipling]])</f>
        <v>2.7198651927377986</v>
      </c>
      <c r="J163" s="2">
        <f t="shared" si="2"/>
        <v>13.792857142857144</v>
      </c>
      <c r="K163">
        <f>DAY(weather.tbl[[#This Row],[Date]])</f>
        <v>11</v>
      </c>
      <c r="L163">
        <f>MONTH(weather.tbl[[#This Row],[Date]])</f>
        <v>6</v>
      </c>
      <c r="M163">
        <f>YEAR(weather.tbl[[#This Row],[Date]])</f>
        <v>2014</v>
      </c>
    </row>
    <row r="164" spans="1:13" x14ac:dyDescent="0.25">
      <c r="A164" s="1">
        <v>41802</v>
      </c>
      <c r="B164" s="2">
        <v>12.9</v>
      </c>
      <c r="C164" s="2">
        <v>12.7</v>
      </c>
      <c r="D164" s="2">
        <v>12.5</v>
      </c>
      <c r="E164" s="2">
        <v>15.5</v>
      </c>
      <c r="F164" s="2">
        <v>14.5</v>
      </c>
      <c r="G164" s="2">
        <v>13.6</v>
      </c>
      <c r="H164" s="2">
        <f>AVERAGE(weather.tbl[[#This Row],[Estevan]:[Kipling]])</f>
        <v>13.616666666666665</v>
      </c>
      <c r="I164" s="2">
        <f>_xlfn.STDEV.S(weather.tbl[[#This Row],[Estevan]:[Kipling]])</f>
        <v>1.1771434350437786</v>
      </c>
      <c r="J164" s="2">
        <f t="shared" si="2"/>
        <v>13.373809523809523</v>
      </c>
      <c r="K164">
        <f>DAY(weather.tbl[[#This Row],[Date]])</f>
        <v>12</v>
      </c>
      <c r="L164">
        <f>MONTH(weather.tbl[[#This Row],[Date]])</f>
        <v>6</v>
      </c>
      <c r="M164">
        <f>YEAR(weather.tbl[[#This Row],[Date]])</f>
        <v>2014</v>
      </c>
    </row>
    <row r="165" spans="1:13" x14ac:dyDescent="0.25">
      <c r="A165" s="1">
        <v>41803</v>
      </c>
      <c r="B165" s="2">
        <v>11.7</v>
      </c>
      <c r="C165" s="2">
        <v>11.3</v>
      </c>
      <c r="D165" s="2">
        <v>8.5</v>
      </c>
      <c r="E165" s="2">
        <v>11.3</v>
      </c>
      <c r="F165" s="2">
        <v>12.9</v>
      </c>
      <c r="G165" s="2">
        <v>12.7</v>
      </c>
      <c r="H165" s="2">
        <f>AVERAGE(weather.tbl[[#This Row],[Estevan]:[Kipling]])</f>
        <v>11.399999999999999</v>
      </c>
      <c r="I165" s="2">
        <f>_xlfn.STDEV.S(weather.tbl[[#This Row],[Estevan]:[Kipling]])</f>
        <v>1.5786069808536989</v>
      </c>
      <c r="J165" s="2">
        <f t="shared" si="2"/>
        <v>13.504761904761905</v>
      </c>
      <c r="K165">
        <f>DAY(weather.tbl[[#This Row],[Date]])</f>
        <v>13</v>
      </c>
      <c r="L165">
        <f>MONTH(weather.tbl[[#This Row],[Date]])</f>
        <v>6</v>
      </c>
      <c r="M165">
        <f>YEAR(weather.tbl[[#This Row],[Date]])</f>
        <v>2014</v>
      </c>
    </row>
    <row r="166" spans="1:13" x14ac:dyDescent="0.25">
      <c r="A166" s="1">
        <v>41804</v>
      </c>
      <c r="B166" s="2">
        <v>13.7</v>
      </c>
      <c r="C166" s="2">
        <v>11.9</v>
      </c>
      <c r="D166" s="2">
        <v>12.3</v>
      </c>
      <c r="E166" s="2">
        <v>13.5</v>
      </c>
      <c r="F166" s="2">
        <v>13.5</v>
      </c>
      <c r="G166" s="2">
        <v>10.9</v>
      </c>
      <c r="H166" s="2">
        <f>AVERAGE(weather.tbl[[#This Row],[Estevan]:[Kipling]])</f>
        <v>12.633333333333335</v>
      </c>
      <c r="I166" s="2">
        <f>_xlfn.STDEV.S(weather.tbl[[#This Row],[Estevan]:[Kipling]])</f>
        <v>1.1219031449580066</v>
      </c>
      <c r="J166" s="2">
        <f t="shared" si="2"/>
        <v>13.514285714285716</v>
      </c>
      <c r="K166">
        <f>DAY(weather.tbl[[#This Row],[Date]])</f>
        <v>14</v>
      </c>
      <c r="L166">
        <f>MONTH(weather.tbl[[#This Row],[Date]])</f>
        <v>6</v>
      </c>
      <c r="M166">
        <f>YEAR(weather.tbl[[#This Row],[Date]])</f>
        <v>2014</v>
      </c>
    </row>
    <row r="167" spans="1:13" x14ac:dyDescent="0.25">
      <c r="A167" s="1">
        <v>41805</v>
      </c>
      <c r="B167" s="2">
        <v>14.8</v>
      </c>
      <c r="C167" s="2">
        <v>12.1</v>
      </c>
      <c r="D167" s="2">
        <v>15.3</v>
      </c>
      <c r="E167" s="2">
        <v>13</v>
      </c>
      <c r="F167" s="2">
        <v>16.3</v>
      </c>
      <c r="G167" s="2">
        <v>14.3</v>
      </c>
      <c r="H167" s="2">
        <f>AVERAGE(weather.tbl[[#This Row],[Estevan]:[Kipling]])</f>
        <v>14.299999999999999</v>
      </c>
      <c r="I167" s="2">
        <f>_xlfn.STDEV.S(weather.tbl[[#This Row],[Estevan]:[Kipling]])</f>
        <v>1.5349267083479918</v>
      </c>
      <c r="J167" s="2">
        <f t="shared" si="2"/>
        <v>13.580952380952381</v>
      </c>
      <c r="K167">
        <f>DAY(weather.tbl[[#This Row],[Date]])</f>
        <v>15</v>
      </c>
      <c r="L167">
        <f>MONTH(weather.tbl[[#This Row],[Date]])</f>
        <v>6</v>
      </c>
      <c r="M167">
        <f>YEAR(weather.tbl[[#This Row],[Date]])</f>
        <v>2014</v>
      </c>
    </row>
    <row r="168" spans="1:13" x14ac:dyDescent="0.25">
      <c r="A168" s="1">
        <v>41806</v>
      </c>
      <c r="B168" s="2">
        <v>14.4</v>
      </c>
      <c r="C168" s="2">
        <v>14.4</v>
      </c>
      <c r="D168" s="2">
        <v>13.5</v>
      </c>
      <c r="E168" s="2">
        <v>14.5</v>
      </c>
      <c r="F168" s="2">
        <v>15.6</v>
      </c>
      <c r="G168" s="2">
        <v>14.3</v>
      </c>
      <c r="H168" s="2">
        <f>AVERAGE(weather.tbl[[#This Row],[Estevan]:[Kipling]])</f>
        <v>14.449999999999998</v>
      </c>
      <c r="I168" s="2">
        <f>_xlfn.STDEV.S(weather.tbl[[#This Row],[Estevan]:[Kipling]])</f>
        <v>0.67156533561523246</v>
      </c>
      <c r="J168" s="2">
        <f t="shared" si="2"/>
        <v>13.588095238095239</v>
      </c>
      <c r="K168">
        <f>DAY(weather.tbl[[#This Row],[Date]])</f>
        <v>16</v>
      </c>
      <c r="L168">
        <f>MONTH(weather.tbl[[#This Row],[Date]])</f>
        <v>6</v>
      </c>
      <c r="M168">
        <f>YEAR(weather.tbl[[#This Row],[Date]])</f>
        <v>2014</v>
      </c>
    </row>
    <row r="169" spans="1:13" x14ac:dyDescent="0.25">
      <c r="A169" s="1">
        <v>41807</v>
      </c>
      <c r="B169" s="2">
        <v>16.8</v>
      </c>
      <c r="C169" s="2">
        <v>16.399999999999999</v>
      </c>
      <c r="D169" s="2">
        <v>15.3</v>
      </c>
      <c r="E169" s="2">
        <v>16.8</v>
      </c>
      <c r="F169" s="2">
        <v>16.3</v>
      </c>
      <c r="G169" s="2">
        <v>15.1</v>
      </c>
      <c r="H169" s="2">
        <f>AVERAGE(weather.tbl[[#This Row],[Estevan]:[Kipling]])</f>
        <v>16.116666666666664</v>
      </c>
      <c r="I169" s="2">
        <f>_xlfn.STDEV.S(weather.tbl[[#This Row],[Estevan]:[Kipling]])</f>
        <v>0.7413950813612582</v>
      </c>
      <c r="J169" s="2">
        <f t="shared" si="2"/>
        <v>13.642857142857142</v>
      </c>
      <c r="K169">
        <f>DAY(weather.tbl[[#This Row],[Date]])</f>
        <v>17</v>
      </c>
      <c r="L169">
        <f>MONTH(weather.tbl[[#This Row],[Date]])</f>
        <v>6</v>
      </c>
      <c r="M169">
        <f>YEAR(weather.tbl[[#This Row],[Date]])</f>
        <v>2014</v>
      </c>
    </row>
    <row r="170" spans="1:13" x14ac:dyDescent="0.25">
      <c r="A170" s="1">
        <v>41808</v>
      </c>
      <c r="B170" s="2">
        <v>17.5</v>
      </c>
      <c r="C170" s="2">
        <v>16</v>
      </c>
      <c r="D170" s="2">
        <v>15.3</v>
      </c>
      <c r="E170" s="2">
        <v>16</v>
      </c>
      <c r="F170" s="2">
        <v>18.899999999999999</v>
      </c>
      <c r="G170" s="2">
        <v>16.600000000000001</v>
      </c>
      <c r="H170" s="2">
        <f>AVERAGE(weather.tbl[[#This Row],[Estevan]:[Kipling]])</f>
        <v>16.716666666666665</v>
      </c>
      <c r="I170" s="2">
        <f>_xlfn.STDEV.S(weather.tbl[[#This Row],[Estevan]:[Kipling]])</f>
        <v>1.2983322635853523</v>
      </c>
      <c r="J170" s="2">
        <f t="shared" si="2"/>
        <v>14.176190476190474</v>
      </c>
      <c r="K170">
        <f>DAY(weather.tbl[[#This Row],[Date]])</f>
        <v>18</v>
      </c>
      <c r="L170">
        <f>MONTH(weather.tbl[[#This Row],[Date]])</f>
        <v>6</v>
      </c>
      <c r="M170">
        <f>YEAR(weather.tbl[[#This Row],[Date]])</f>
        <v>2014</v>
      </c>
    </row>
    <row r="171" spans="1:13" x14ac:dyDescent="0.25">
      <c r="A171" s="1">
        <v>41809</v>
      </c>
      <c r="B171" s="2">
        <v>17.3</v>
      </c>
      <c r="C171" s="2">
        <v>16.8</v>
      </c>
      <c r="D171" s="2">
        <v>16.8</v>
      </c>
      <c r="E171" s="2">
        <v>17</v>
      </c>
      <c r="F171" s="2">
        <v>16.399999999999999</v>
      </c>
      <c r="G171" s="2">
        <v>16.3</v>
      </c>
      <c r="H171" s="2">
        <f>AVERAGE(weather.tbl[[#This Row],[Estevan]:[Kipling]])</f>
        <v>16.766666666666669</v>
      </c>
      <c r="I171" s="2">
        <f>_xlfn.STDEV.S(weather.tbl[[#This Row],[Estevan]:[Kipling]])</f>
        <v>0.37237973450050543</v>
      </c>
      <c r="J171" s="2">
        <f t="shared" si="2"/>
        <v>14.626190476190475</v>
      </c>
      <c r="K171">
        <f>DAY(weather.tbl[[#This Row],[Date]])</f>
        <v>19</v>
      </c>
      <c r="L171">
        <f>MONTH(weather.tbl[[#This Row],[Date]])</f>
        <v>6</v>
      </c>
      <c r="M171">
        <f>YEAR(weather.tbl[[#This Row],[Date]])</f>
        <v>2014</v>
      </c>
    </row>
    <row r="172" spans="1:13" x14ac:dyDescent="0.25">
      <c r="A172" s="1">
        <v>41810</v>
      </c>
      <c r="B172" s="2">
        <v>15.5</v>
      </c>
      <c r="C172" s="2">
        <v>13.4</v>
      </c>
      <c r="D172" s="2">
        <v>14.3</v>
      </c>
      <c r="E172" s="2">
        <v>15</v>
      </c>
      <c r="F172" s="2">
        <v>17.2</v>
      </c>
      <c r="G172" s="2">
        <v>13.6</v>
      </c>
      <c r="H172" s="2">
        <f>AVERAGE(weather.tbl[[#This Row],[Estevan]:[Kipling]])</f>
        <v>14.833333333333334</v>
      </c>
      <c r="I172" s="2">
        <f>_xlfn.STDEV.S(weather.tbl[[#This Row],[Estevan]:[Kipling]])</f>
        <v>1.4094916341243979</v>
      </c>
      <c r="J172" s="2">
        <f t="shared" si="2"/>
        <v>15.116666666666665</v>
      </c>
      <c r="K172">
        <f>DAY(weather.tbl[[#This Row],[Date]])</f>
        <v>20</v>
      </c>
      <c r="L172">
        <f>MONTH(weather.tbl[[#This Row],[Date]])</f>
        <v>6</v>
      </c>
      <c r="M172">
        <f>YEAR(weather.tbl[[#This Row],[Date]])</f>
        <v>2014</v>
      </c>
    </row>
    <row r="173" spans="1:13" x14ac:dyDescent="0.25">
      <c r="A173" s="1">
        <v>41811</v>
      </c>
      <c r="B173" s="2">
        <v>18.5</v>
      </c>
      <c r="C173" s="2">
        <v>16.899999999999999</v>
      </c>
      <c r="D173" s="2">
        <v>16.8</v>
      </c>
      <c r="E173" s="2">
        <v>17</v>
      </c>
      <c r="F173" s="2">
        <v>20.2</v>
      </c>
      <c r="G173" s="2">
        <v>17</v>
      </c>
      <c r="H173" s="2">
        <f>AVERAGE(weather.tbl[[#This Row],[Estevan]:[Kipling]])</f>
        <v>17.733333333333334</v>
      </c>
      <c r="I173" s="2">
        <f>_xlfn.STDEV.S(weather.tbl[[#This Row],[Estevan]:[Kipling]])</f>
        <v>1.3647954669717606</v>
      </c>
      <c r="J173" s="2">
        <f t="shared" si="2"/>
        <v>15.845238095238093</v>
      </c>
      <c r="K173">
        <f>DAY(weather.tbl[[#This Row],[Date]])</f>
        <v>21</v>
      </c>
      <c r="L173">
        <f>MONTH(weather.tbl[[#This Row],[Date]])</f>
        <v>6</v>
      </c>
      <c r="M173">
        <f>YEAR(weather.tbl[[#This Row],[Date]])</f>
        <v>2014</v>
      </c>
    </row>
    <row r="174" spans="1:13" x14ac:dyDescent="0.25">
      <c r="A174" s="1">
        <v>41812</v>
      </c>
      <c r="B174" s="2">
        <v>17.100000000000001</v>
      </c>
      <c r="C174" s="2">
        <v>17.3</v>
      </c>
      <c r="D174" s="2">
        <v>16.3</v>
      </c>
      <c r="E174" s="2">
        <v>17.8</v>
      </c>
      <c r="F174" s="2">
        <v>18.399999999999999</v>
      </c>
      <c r="G174" s="2">
        <v>15.6</v>
      </c>
      <c r="H174" s="2">
        <f>AVERAGE(weather.tbl[[#This Row],[Estevan]:[Kipling]])</f>
        <v>17.083333333333332</v>
      </c>
      <c r="I174" s="2">
        <f>_xlfn.STDEV.S(weather.tbl[[#This Row],[Estevan]:[Kipling]])</f>
        <v>1.0107752800037533</v>
      </c>
      <c r="J174" s="2">
        <f t="shared" si="2"/>
        <v>16.24285714285714</v>
      </c>
      <c r="K174">
        <f>DAY(weather.tbl[[#This Row],[Date]])</f>
        <v>22</v>
      </c>
      <c r="L174">
        <f>MONTH(weather.tbl[[#This Row],[Date]])</f>
        <v>6</v>
      </c>
      <c r="M174">
        <f>YEAR(weather.tbl[[#This Row],[Date]])</f>
        <v>2014</v>
      </c>
    </row>
    <row r="175" spans="1:13" x14ac:dyDescent="0.25">
      <c r="A175" s="1">
        <v>41813</v>
      </c>
      <c r="B175" s="2">
        <v>17</v>
      </c>
      <c r="C175" s="2">
        <v>16.2</v>
      </c>
      <c r="D175" s="2">
        <v>17</v>
      </c>
      <c r="E175" s="2">
        <v>17</v>
      </c>
      <c r="F175" s="2">
        <v>18.2</v>
      </c>
      <c r="G175" s="2">
        <v>16.399999999999999</v>
      </c>
      <c r="H175" s="2">
        <f>AVERAGE(weather.tbl[[#This Row],[Estevan]:[Kipling]])</f>
        <v>16.966666666666669</v>
      </c>
      <c r="I175" s="2">
        <f>_xlfn.STDEV.S(weather.tbl[[#This Row],[Estevan]:[Kipling]])</f>
        <v>0.69761498454854509</v>
      </c>
      <c r="J175" s="2">
        <f t="shared" si="2"/>
        <v>16.602380952380951</v>
      </c>
      <c r="K175">
        <f>DAY(weather.tbl[[#This Row],[Date]])</f>
        <v>23</v>
      </c>
      <c r="L175">
        <f>MONTH(weather.tbl[[#This Row],[Date]])</f>
        <v>6</v>
      </c>
      <c r="M175">
        <f>YEAR(weather.tbl[[#This Row],[Date]])</f>
        <v>2014</v>
      </c>
    </row>
    <row r="176" spans="1:13" x14ac:dyDescent="0.25">
      <c r="A176" s="1">
        <v>41814</v>
      </c>
      <c r="B176" s="2">
        <v>15.9</v>
      </c>
      <c r="C176" s="2">
        <v>17.2</v>
      </c>
      <c r="D176" s="2">
        <v>15</v>
      </c>
      <c r="E176" s="2">
        <v>18.3</v>
      </c>
      <c r="F176" s="2">
        <v>16.3</v>
      </c>
      <c r="G176" s="2">
        <v>15.7</v>
      </c>
      <c r="H176" s="2">
        <f>AVERAGE(weather.tbl[[#This Row],[Estevan]:[Kipling]])</f>
        <v>16.400000000000002</v>
      </c>
      <c r="I176" s="2">
        <f>_xlfn.STDEV.S(weather.tbl[[#This Row],[Estevan]:[Kipling]])</f>
        <v>1.1798304963002102</v>
      </c>
      <c r="J176" s="2">
        <f t="shared" si="2"/>
        <v>16.642857142857146</v>
      </c>
      <c r="K176">
        <f>DAY(weather.tbl[[#This Row],[Date]])</f>
        <v>24</v>
      </c>
      <c r="L176">
        <f>MONTH(weather.tbl[[#This Row],[Date]])</f>
        <v>6</v>
      </c>
      <c r="M176">
        <f>YEAR(weather.tbl[[#This Row],[Date]])</f>
        <v>2014</v>
      </c>
    </row>
    <row r="177" spans="1:13" x14ac:dyDescent="0.25">
      <c r="A177" s="1">
        <v>41815</v>
      </c>
      <c r="B177" s="2">
        <v>15.1</v>
      </c>
      <c r="C177" s="2">
        <v>17.2</v>
      </c>
      <c r="D177" s="2">
        <v>14.5</v>
      </c>
      <c r="E177" s="2">
        <v>17</v>
      </c>
      <c r="F177" s="2">
        <v>16.7</v>
      </c>
      <c r="G177" s="2">
        <v>15.4</v>
      </c>
      <c r="H177" s="2">
        <f>AVERAGE(weather.tbl[[#This Row],[Estevan]:[Kipling]])</f>
        <v>15.983333333333334</v>
      </c>
      <c r="I177" s="2">
        <f>_xlfn.STDEV.S(weather.tbl[[#This Row],[Estevan]:[Kipling]])</f>
        <v>1.1267948645013723</v>
      </c>
      <c r="J177" s="2">
        <f t="shared" si="2"/>
        <v>16.538095238095242</v>
      </c>
      <c r="K177">
        <f>DAY(weather.tbl[[#This Row],[Date]])</f>
        <v>25</v>
      </c>
      <c r="L177">
        <f>MONTH(weather.tbl[[#This Row],[Date]])</f>
        <v>6</v>
      </c>
      <c r="M177">
        <f>YEAR(weather.tbl[[#This Row],[Date]])</f>
        <v>2014</v>
      </c>
    </row>
    <row r="178" spans="1:13" x14ac:dyDescent="0.25">
      <c r="A178" s="1">
        <v>41816</v>
      </c>
      <c r="B178" s="2">
        <v>18.2</v>
      </c>
      <c r="C178" s="2">
        <v>19.2</v>
      </c>
      <c r="D178" s="2">
        <v>14.5</v>
      </c>
      <c r="E178" s="2">
        <v>20</v>
      </c>
      <c r="F178" s="2">
        <v>19.100000000000001</v>
      </c>
      <c r="G178" s="2">
        <v>17.600000000000001</v>
      </c>
      <c r="H178" s="2">
        <f>AVERAGE(weather.tbl[[#This Row],[Estevan]:[Kipling]])</f>
        <v>18.099999999999998</v>
      </c>
      <c r="I178" s="2">
        <f>_xlfn.STDEV.S(weather.tbl[[#This Row],[Estevan]:[Kipling]])</f>
        <v>1.951409746824075</v>
      </c>
      <c r="J178" s="2">
        <f t="shared" si="2"/>
        <v>16.728571428571431</v>
      </c>
      <c r="K178">
        <f>DAY(weather.tbl[[#This Row],[Date]])</f>
        <v>26</v>
      </c>
      <c r="L178">
        <f>MONTH(weather.tbl[[#This Row],[Date]])</f>
        <v>6</v>
      </c>
      <c r="M178">
        <f>YEAR(weather.tbl[[#This Row],[Date]])</f>
        <v>2014</v>
      </c>
    </row>
    <row r="179" spans="1:13" x14ac:dyDescent="0.25">
      <c r="A179" s="1">
        <v>41817</v>
      </c>
      <c r="B179" s="2">
        <v>20.6</v>
      </c>
      <c r="C179" s="2">
        <v>19.5</v>
      </c>
      <c r="D179" s="2">
        <v>14.5</v>
      </c>
      <c r="E179" s="2">
        <v>20</v>
      </c>
      <c r="F179" s="2">
        <v>21.5</v>
      </c>
      <c r="G179" s="2">
        <v>19.8</v>
      </c>
      <c r="H179" s="2">
        <f>AVERAGE(weather.tbl[[#This Row],[Estevan]:[Kipling]])</f>
        <v>19.316666666666666</v>
      </c>
      <c r="I179" s="2">
        <f>_xlfn.STDEV.S(weather.tbl[[#This Row],[Estevan]:[Kipling]])</f>
        <v>2.4636693501090527</v>
      </c>
      <c r="J179" s="2">
        <f t="shared" si="2"/>
        <v>17.369047619047617</v>
      </c>
      <c r="K179">
        <f>DAY(weather.tbl[[#This Row],[Date]])</f>
        <v>27</v>
      </c>
      <c r="L179">
        <f>MONTH(weather.tbl[[#This Row],[Date]])</f>
        <v>6</v>
      </c>
      <c r="M179">
        <f>YEAR(weather.tbl[[#This Row],[Date]])</f>
        <v>2014</v>
      </c>
    </row>
    <row r="180" spans="1:13" x14ac:dyDescent="0.25">
      <c r="A180" s="1">
        <v>41818</v>
      </c>
      <c r="B180" s="2">
        <v>16.399999999999999</v>
      </c>
      <c r="C180" s="2">
        <v>16.2</v>
      </c>
      <c r="D180" s="2">
        <v>14.5</v>
      </c>
      <c r="E180" s="2">
        <v>16.5</v>
      </c>
      <c r="F180" s="2">
        <v>18</v>
      </c>
      <c r="G180" s="2">
        <v>16.8</v>
      </c>
      <c r="H180" s="2">
        <f>AVERAGE(weather.tbl[[#This Row],[Estevan]:[Kipling]])</f>
        <v>16.399999999999999</v>
      </c>
      <c r="I180" s="2">
        <f>_xlfn.STDEV.S(weather.tbl[[#This Row],[Estevan]:[Kipling]])</f>
        <v>1.1296016997154352</v>
      </c>
      <c r="J180" s="2">
        <f t="shared" si="2"/>
        <v>17.178571428571427</v>
      </c>
      <c r="K180">
        <f>DAY(weather.tbl[[#This Row],[Date]])</f>
        <v>28</v>
      </c>
      <c r="L180">
        <f>MONTH(weather.tbl[[#This Row],[Date]])</f>
        <v>6</v>
      </c>
      <c r="M180">
        <f>YEAR(weather.tbl[[#This Row],[Date]])</f>
        <v>2014</v>
      </c>
    </row>
    <row r="181" spans="1:13" x14ac:dyDescent="0.25">
      <c r="A181" s="1">
        <v>41819</v>
      </c>
      <c r="B181" s="2">
        <v>16.600000000000001</v>
      </c>
      <c r="C181" s="2">
        <v>16.3</v>
      </c>
      <c r="D181" s="2">
        <v>14.5</v>
      </c>
      <c r="E181" s="2">
        <v>16.8</v>
      </c>
      <c r="F181" s="2">
        <v>17.100000000000001</v>
      </c>
      <c r="G181" s="2">
        <v>16.3</v>
      </c>
      <c r="H181" s="2">
        <f>AVERAGE(weather.tbl[[#This Row],[Estevan]:[Kipling]])</f>
        <v>16.266666666666669</v>
      </c>
      <c r="I181" s="2">
        <f>_xlfn.STDEV.S(weather.tbl[[#This Row],[Estevan]:[Kipling]])</f>
        <v>0.91796877216312078</v>
      </c>
      <c r="J181" s="2">
        <f t="shared" si="2"/>
        <v>17.06190476190476</v>
      </c>
      <c r="K181">
        <f>DAY(weather.tbl[[#This Row],[Date]])</f>
        <v>29</v>
      </c>
      <c r="L181">
        <f>MONTH(weather.tbl[[#This Row],[Date]])</f>
        <v>6</v>
      </c>
      <c r="M181">
        <f>YEAR(weather.tbl[[#This Row],[Date]])</f>
        <v>2014</v>
      </c>
    </row>
    <row r="182" spans="1:13" x14ac:dyDescent="0.25">
      <c r="A182" s="1">
        <v>41820</v>
      </c>
      <c r="B182" s="2">
        <v>14.7</v>
      </c>
      <c r="C182" s="2">
        <v>15</v>
      </c>
      <c r="D182" s="2">
        <v>17.3</v>
      </c>
      <c r="E182" s="2">
        <v>14.8</v>
      </c>
      <c r="F182" s="2">
        <v>17.899999999999999</v>
      </c>
      <c r="G182" s="2">
        <v>16</v>
      </c>
      <c r="H182" s="2">
        <f>AVERAGE(weather.tbl[[#This Row],[Estevan]:[Kipling]])</f>
        <v>15.949999999999998</v>
      </c>
      <c r="I182" s="2">
        <f>_xlfn.STDEV.S(weather.tbl[[#This Row],[Estevan]:[Kipling]])</f>
        <v>1.3722244714331542</v>
      </c>
      <c r="J182" s="2">
        <f t="shared" si="2"/>
        <v>16.916666666666664</v>
      </c>
      <c r="K182">
        <f>DAY(weather.tbl[[#This Row],[Date]])</f>
        <v>30</v>
      </c>
      <c r="L182">
        <f>MONTH(weather.tbl[[#This Row],[Date]])</f>
        <v>6</v>
      </c>
      <c r="M182">
        <f>YEAR(weather.tbl[[#This Row],[Date]])</f>
        <v>2014</v>
      </c>
    </row>
    <row r="183" spans="1:13" x14ac:dyDescent="0.25">
      <c r="A183" s="1">
        <v>41821</v>
      </c>
      <c r="B183" s="2">
        <v>15</v>
      </c>
      <c r="C183" s="2">
        <v>15.8</v>
      </c>
      <c r="D183" s="2">
        <v>14.5</v>
      </c>
      <c r="E183" s="2">
        <v>16.5</v>
      </c>
      <c r="F183" s="2">
        <v>15.1</v>
      </c>
      <c r="G183" s="2">
        <v>14</v>
      </c>
      <c r="H183" s="2">
        <f>AVERAGE(weather.tbl[[#This Row],[Estevan]:[Kipling]])</f>
        <v>15.149999999999999</v>
      </c>
      <c r="I183" s="2">
        <f>_xlfn.STDEV.S(weather.tbl[[#This Row],[Estevan]:[Kipling]])</f>
        <v>0.89610267268879418</v>
      </c>
      <c r="J183" s="2">
        <f t="shared" si="2"/>
        <v>16.738095238095237</v>
      </c>
      <c r="K183">
        <f>DAY(weather.tbl[[#This Row],[Date]])</f>
        <v>1</v>
      </c>
      <c r="L183">
        <f>MONTH(weather.tbl[[#This Row],[Date]])</f>
        <v>7</v>
      </c>
      <c r="M183">
        <f>YEAR(weather.tbl[[#This Row],[Date]])</f>
        <v>2014</v>
      </c>
    </row>
    <row r="184" spans="1:13" x14ac:dyDescent="0.25">
      <c r="A184" s="1">
        <v>41822</v>
      </c>
      <c r="B184" s="2">
        <v>14.5</v>
      </c>
      <c r="C184" s="2">
        <v>15.1</v>
      </c>
      <c r="D184" s="2">
        <v>14.5</v>
      </c>
      <c r="E184" s="2">
        <v>16</v>
      </c>
      <c r="F184" s="2">
        <v>15.6</v>
      </c>
      <c r="G184" s="2">
        <v>15.3</v>
      </c>
      <c r="H184" s="2">
        <f>AVERAGE(weather.tbl[[#This Row],[Estevan]:[Kipling]])</f>
        <v>15.166666666666666</v>
      </c>
      <c r="I184" s="2">
        <f>_xlfn.STDEV.S(weather.tbl[[#This Row],[Estevan]:[Kipling]])</f>
        <v>0.59888785817268553</v>
      </c>
      <c r="J184" s="2">
        <f t="shared" si="2"/>
        <v>16.621428571428574</v>
      </c>
      <c r="K184">
        <f>DAY(weather.tbl[[#This Row],[Date]])</f>
        <v>2</v>
      </c>
      <c r="L184">
        <f>MONTH(weather.tbl[[#This Row],[Date]])</f>
        <v>7</v>
      </c>
      <c r="M184">
        <f>YEAR(weather.tbl[[#This Row],[Date]])</f>
        <v>2014</v>
      </c>
    </row>
    <row r="185" spans="1:13" x14ac:dyDescent="0.25">
      <c r="A185" s="1">
        <v>41823</v>
      </c>
      <c r="B185" s="2">
        <v>16.600000000000001</v>
      </c>
      <c r="C185" s="2">
        <v>17.399999999999999</v>
      </c>
      <c r="D185" s="2">
        <v>14.8</v>
      </c>
      <c r="E185" s="2">
        <v>17</v>
      </c>
      <c r="F185" s="2">
        <v>17.7</v>
      </c>
      <c r="G185" s="2">
        <v>17.5</v>
      </c>
      <c r="H185" s="2">
        <f>AVERAGE(weather.tbl[[#This Row],[Estevan]:[Kipling]])</f>
        <v>16.833333333333332</v>
      </c>
      <c r="I185" s="2">
        <f>_xlfn.STDEV.S(weather.tbl[[#This Row],[Estevan]:[Kipling]])</f>
        <v>1.0708252269472669</v>
      </c>
      <c r="J185" s="2">
        <f t="shared" si="2"/>
        <v>16.440476190476193</v>
      </c>
      <c r="K185">
        <f>DAY(weather.tbl[[#This Row],[Date]])</f>
        <v>3</v>
      </c>
      <c r="L185">
        <f>MONTH(weather.tbl[[#This Row],[Date]])</f>
        <v>7</v>
      </c>
      <c r="M185">
        <f>YEAR(weather.tbl[[#This Row],[Date]])</f>
        <v>2014</v>
      </c>
    </row>
    <row r="186" spans="1:13" x14ac:dyDescent="0.25">
      <c r="A186" s="1">
        <v>41824</v>
      </c>
      <c r="B186" s="2">
        <v>21.9</v>
      </c>
      <c r="C186" s="2">
        <v>22.3</v>
      </c>
      <c r="D186" s="2">
        <v>20.5</v>
      </c>
      <c r="E186" s="2">
        <v>24.3</v>
      </c>
      <c r="F186" s="2">
        <v>21.3</v>
      </c>
      <c r="G186" s="2">
        <v>20.399999999999999</v>
      </c>
      <c r="H186" s="2">
        <f>AVERAGE(weather.tbl[[#This Row],[Estevan]:[Kipling]])</f>
        <v>21.783333333333331</v>
      </c>
      <c r="I186" s="2">
        <f>_xlfn.STDEV.S(weather.tbl[[#This Row],[Estevan]:[Kipling]])</f>
        <v>1.4427982071886103</v>
      </c>
      <c r="J186" s="2">
        <f t="shared" si="2"/>
        <v>16.792857142857141</v>
      </c>
      <c r="K186">
        <f>DAY(weather.tbl[[#This Row],[Date]])</f>
        <v>4</v>
      </c>
      <c r="L186">
        <f>MONTH(weather.tbl[[#This Row],[Date]])</f>
        <v>7</v>
      </c>
      <c r="M186">
        <f>YEAR(weather.tbl[[#This Row],[Date]])</f>
        <v>2014</v>
      </c>
    </row>
    <row r="187" spans="1:13" x14ac:dyDescent="0.25">
      <c r="A187" s="1">
        <v>41825</v>
      </c>
      <c r="B187" s="2">
        <v>22.8</v>
      </c>
      <c r="C187" s="2">
        <v>22.9</v>
      </c>
      <c r="D187" s="2">
        <v>22.5</v>
      </c>
      <c r="E187" s="2">
        <v>24</v>
      </c>
      <c r="F187" s="2">
        <v>25.2</v>
      </c>
      <c r="G187" s="2">
        <v>23</v>
      </c>
      <c r="H187" s="2">
        <f>AVERAGE(weather.tbl[[#This Row],[Estevan]:[Kipling]])</f>
        <v>23.400000000000002</v>
      </c>
      <c r="I187" s="2">
        <f>_xlfn.STDEV.S(weather.tbl[[#This Row],[Estevan]:[Kipling]])</f>
        <v>1.0178408519999576</v>
      </c>
      <c r="J187" s="2">
        <f t="shared" si="2"/>
        <v>17.792857142857141</v>
      </c>
      <c r="K187">
        <f>DAY(weather.tbl[[#This Row],[Date]])</f>
        <v>5</v>
      </c>
      <c r="L187">
        <f>MONTH(weather.tbl[[#This Row],[Date]])</f>
        <v>7</v>
      </c>
      <c r="M187">
        <f>YEAR(weather.tbl[[#This Row],[Date]])</f>
        <v>2014</v>
      </c>
    </row>
    <row r="188" spans="1:13" x14ac:dyDescent="0.25">
      <c r="A188" s="1">
        <v>41826</v>
      </c>
      <c r="B188" s="2">
        <v>19.399999999999999</v>
      </c>
      <c r="C188" s="2">
        <v>19.7</v>
      </c>
      <c r="D188" s="2">
        <v>21</v>
      </c>
      <c r="E188" s="2">
        <v>23.8</v>
      </c>
      <c r="F188" s="2">
        <v>22.7</v>
      </c>
      <c r="G188" s="2">
        <v>19.600000000000001</v>
      </c>
      <c r="H188" s="2">
        <f>AVERAGE(weather.tbl[[#This Row],[Estevan]:[Kipling]])</f>
        <v>21.033333333333331</v>
      </c>
      <c r="I188" s="2">
        <f>_xlfn.STDEV.S(weather.tbl[[#This Row],[Estevan]:[Kipling]])</f>
        <v>1.8402898322456351</v>
      </c>
      <c r="J188" s="2">
        <f t="shared" si="2"/>
        <v>18.473809523809525</v>
      </c>
      <c r="K188">
        <f>DAY(weather.tbl[[#This Row],[Date]])</f>
        <v>6</v>
      </c>
      <c r="L188">
        <f>MONTH(weather.tbl[[#This Row],[Date]])</f>
        <v>7</v>
      </c>
      <c r="M188">
        <f>YEAR(weather.tbl[[#This Row],[Date]])</f>
        <v>2014</v>
      </c>
    </row>
    <row r="189" spans="1:13" x14ac:dyDescent="0.25">
      <c r="A189" s="1">
        <v>41827</v>
      </c>
      <c r="B189" s="2">
        <v>17.8</v>
      </c>
      <c r="C189" s="2">
        <v>17.8</v>
      </c>
      <c r="D189" s="2">
        <v>17.8</v>
      </c>
      <c r="E189" s="2">
        <v>18.5</v>
      </c>
      <c r="F189" s="2">
        <v>19.2</v>
      </c>
      <c r="G189" s="2">
        <v>17.5</v>
      </c>
      <c r="H189" s="2">
        <f>AVERAGE(weather.tbl[[#This Row],[Estevan]:[Kipling]])</f>
        <v>18.100000000000001</v>
      </c>
      <c r="I189" s="2">
        <f>_xlfn.STDEV.S(weather.tbl[[#This Row],[Estevan]:[Kipling]])</f>
        <v>0.63245553203367544</v>
      </c>
      <c r="J189" s="2">
        <f t="shared" si="2"/>
        <v>18.780952380952382</v>
      </c>
      <c r="K189">
        <f>DAY(weather.tbl[[#This Row],[Date]])</f>
        <v>7</v>
      </c>
      <c r="L189">
        <f>MONTH(weather.tbl[[#This Row],[Date]])</f>
        <v>7</v>
      </c>
      <c r="M189">
        <f>YEAR(weather.tbl[[#This Row],[Date]])</f>
        <v>2014</v>
      </c>
    </row>
    <row r="190" spans="1:13" x14ac:dyDescent="0.25">
      <c r="A190" s="1">
        <v>41828</v>
      </c>
      <c r="B190" s="2">
        <v>18.2</v>
      </c>
      <c r="C190" s="2">
        <v>18</v>
      </c>
      <c r="D190" s="2">
        <v>18</v>
      </c>
      <c r="E190" s="2">
        <v>19.3</v>
      </c>
      <c r="F190" s="2">
        <v>19.100000000000001</v>
      </c>
      <c r="G190" s="2">
        <v>17.5</v>
      </c>
      <c r="H190" s="2">
        <f>AVERAGE(weather.tbl[[#This Row],[Estevan]:[Kipling]])</f>
        <v>18.349999999999998</v>
      </c>
      <c r="I190" s="2">
        <f>_xlfn.STDEV.S(weather.tbl[[#This Row],[Estevan]:[Kipling]])</f>
        <v>0.70071392165419455</v>
      </c>
      <c r="J190" s="2">
        <f t="shared" si="2"/>
        <v>19.238095238095237</v>
      </c>
      <c r="K190">
        <f>DAY(weather.tbl[[#This Row],[Date]])</f>
        <v>8</v>
      </c>
      <c r="L190">
        <f>MONTH(weather.tbl[[#This Row],[Date]])</f>
        <v>7</v>
      </c>
      <c r="M190">
        <f>YEAR(weather.tbl[[#This Row],[Date]])</f>
        <v>2014</v>
      </c>
    </row>
    <row r="191" spans="1:13" x14ac:dyDescent="0.25">
      <c r="A191" s="1">
        <v>41829</v>
      </c>
      <c r="B191" s="2">
        <v>17.7</v>
      </c>
      <c r="C191" s="2">
        <v>17.600000000000001</v>
      </c>
      <c r="D191" s="2">
        <v>16.8</v>
      </c>
      <c r="E191" s="2">
        <v>18.5</v>
      </c>
      <c r="F191" s="2">
        <v>18</v>
      </c>
      <c r="G191" s="2">
        <v>17.3</v>
      </c>
      <c r="H191" s="2">
        <f>AVERAGE(weather.tbl[[#This Row],[Estevan]:[Kipling]])</f>
        <v>17.649999999999999</v>
      </c>
      <c r="I191" s="2">
        <f>_xlfn.STDEV.S(weather.tbl[[#This Row],[Estevan]:[Kipling]])</f>
        <v>0.58223706512038509</v>
      </c>
      <c r="J191" s="2">
        <f t="shared" si="2"/>
        <v>19.592857142857145</v>
      </c>
      <c r="K191">
        <f>DAY(weather.tbl[[#This Row],[Date]])</f>
        <v>9</v>
      </c>
      <c r="L191">
        <f>MONTH(weather.tbl[[#This Row],[Date]])</f>
        <v>7</v>
      </c>
      <c r="M191">
        <f>YEAR(weather.tbl[[#This Row],[Date]])</f>
        <v>2014</v>
      </c>
    </row>
    <row r="192" spans="1:13" x14ac:dyDescent="0.25">
      <c r="A192" s="1">
        <v>41830</v>
      </c>
      <c r="B192" s="2">
        <v>23.2</v>
      </c>
      <c r="C192" s="2">
        <v>22.3</v>
      </c>
      <c r="D192" s="2">
        <v>20.8</v>
      </c>
      <c r="E192" s="2">
        <v>23.3</v>
      </c>
      <c r="F192" s="2">
        <v>21.3</v>
      </c>
      <c r="G192" s="2">
        <v>23</v>
      </c>
      <c r="H192" s="2">
        <f>AVERAGE(weather.tbl[[#This Row],[Estevan]:[Kipling]])</f>
        <v>22.316666666666663</v>
      </c>
      <c r="I192" s="2">
        <f>_xlfn.STDEV.S(weather.tbl[[#This Row],[Estevan]:[Kipling]])</f>
        <v>1.0534071704078467</v>
      </c>
      <c r="J192" s="2">
        <f t="shared" si="2"/>
        <v>20.376190476190477</v>
      </c>
      <c r="K192">
        <f>DAY(weather.tbl[[#This Row],[Date]])</f>
        <v>10</v>
      </c>
      <c r="L192">
        <f>MONTH(weather.tbl[[#This Row],[Date]])</f>
        <v>7</v>
      </c>
      <c r="M192">
        <f>YEAR(weather.tbl[[#This Row],[Date]])</f>
        <v>2014</v>
      </c>
    </row>
    <row r="193" spans="1:13" x14ac:dyDescent="0.25">
      <c r="A193" s="1">
        <v>41831</v>
      </c>
      <c r="B193" s="2">
        <v>17.600000000000001</v>
      </c>
      <c r="C193" s="2">
        <v>17.399999999999999</v>
      </c>
      <c r="D193" s="2">
        <v>17.3</v>
      </c>
      <c r="E193" s="2">
        <v>18.3</v>
      </c>
      <c r="F193" s="2">
        <v>19.600000000000001</v>
      </c>
      <c r="G193" s="2">
        <v>17.5</v>
      </c>
      <c r="H193" s="2">
        <f>AVERAGE(weather.tbl[[#This Row],[Estevan]:[Kipling]])</f>
        <v>17.95</v>
      </c>
      <c r="I193" s="2">
        <f>_xlfn.STDEV.S(weather.tbl[[#This Row],[Estevan]:[Kipling]])</f>
        <v>0.88260976654464973</v>
      </c>
      <c r="J193" s="2">
        <f t="shared" si="2"/>
        <v>19.828571428571426</v>
      </c>
      <c r="K193">
        <f>DAY(weather.tbl[[#This Row],[Date]])</f>
        <v>11</v>
      </c>
      <c r="L193">
        <f>MONTH(weather.tbl[[#This Row],[Date]])</f>
        <v>7</v>
      </c>
      <c r="M193">
        <f>YEAR(weather.tbl[[#This Row],[Date]])</f>
        <v>2014</v>
      </c>
    </row>
    <row r="194" spans="1:13" x14ac:dyDescent="0.25">
      <c r="A194" s="1">
        <v>41832</v>
      </c>
      <c r="B194" s="2">
        <v>18.100000000000001</v>
      </c>
      <c r="C194" s="2">
        <v>17.899999999999999</v>
      </c>
      <c r="D194" s="2">
        <v>17.5</v>
      </c>
      <c r="E194" s="2">
        <v>18.3</v>
      </c>
      <c r="F194" s="2">
        <v>19.3</v>
      </c>
      <c r="G194" s="2">
        <v>17.5</v>
      </c>
      <c r="H194" s="2">
        <f>AVERAGE(weather.tbl[[#This Row],[Estevan]:[Kipling]])</f>
        <v>18.099999999999998</v>
      </c>
      <c r="I194" s="2">
        <f>_xlfn.STDEV.S(weather.tbl[[#This Row],[Estevan]:[Kipling]])</f>
        <v>0.66932802122726087</v>
      </c>
      <c r="J194" s="2">
        <f t="shared" si="2"/>
        <v>19.071428571428573</v>
      </c>
      <c r="K194">
        <f>DAY(weather.tbl[[#This Row],[Date]])</f>
        <v>12</v>
      </c>
      <c r="L194">
        <f>MONTH(weather.tbl[[#This Row],[Date]])</f>
        <v>7</v>
      </c>
      <c r="M194">
        <f>YEAR(weather.tbl[[#This Row],[Date]])</f>
        <v>2014</v>
      </c>
    </row>
    <row r="195" spans="1:13" x14ac:dyDescent="0.25">
      <c r="A195" s="1">
        <v>41833</v>
      </c>
      <c r="B195" s="2">
        <v>14.8</v>
      </c>
      <c r="C195" s="2">
        <v>13.9</v>
      </c>
      <c r="D195" s="2">
        <v>13.5</v>
      </c>
      <c r="E195" s="2">
        <v>16.8</v>
      </c>
      <c r="F195" s="2">
        <v>15.8</v>
      </c>
      <c r="G195" s="2">
        <v>13.8</v>
      </c>
      <c r="H195" s="2">
        <f>AVERAGE(weather.tbl[[#This Row],[Estevan]:[Kipling]])</f>
        <v>14.766666666666666</v>
      </c>
      <c r="I195" s="2">
        <f>_xlfn.STDEV.S(weather.tbl[[#This Row],[Estevan]:[Kipling]])</f>
        <v>1.303329070751768</v>
      </c>
      <c r="J195" s="2">
        <f t="shared" si="2"/>
        <v>18.176190476190474</v>
      </c>
      <c r="K195">
        <f>DAY(weather.tbl[[#This Row],[Date]])</f>
        <v>13</v>
      </c>
      <c r="L195">
        <f>MONTH(weather.tbl[[#This Row],[Date]])</f>
        <v>7</v>
      </c>
      <c r="M195">
        <f>YEAR(weather.tbl[[#This Row],[Date]])</f>
        <v>2014</v>
      </c>
    </row>
    <row r="196" spans="1:13" x14ac:dyDescent="0.25">
      <c r="A196" s="1">
        <v>41834</v>
      </c>
      <c r="B196" s="2">
        <v>14.4</v>
      </c>
      <c r="C196" s="2">
        <v>13.4</v>
      </c>
      <c r="D196" s="2">
        <v>14.8</v>
      </c>
      <c r="E196" s="2">
        <v>15</v>
      </c>
      <c r="F196" s="2">
        <v>15.9</v>
      </c>
      <c r="G196" s="2">
        <v>14</v>
      </c>
      <c r="H196" s="2">
        <f>AVERAGE(weather.tbl[[#This Row],[Estevan]:[Kipling]])</f>
        <v>14.583333333333334</v>
      </c>
      <c r="I196" s="2">
        <f>_xlfn.STDEV.S(weather.tbl[[#This Row],[Estevan]:[Kipling]])</f>
        <v>0.86351992835525615</v>
      </c>
      <c r="J196" s="2">
        <f t="shared" si="2"/>
        <v>17.673809523809521</v>
      </c>
      <c r="K196">
        <f>DAY(weather.tbl[[#This Row],[Date]])</f>
        <v>14</v>
      </c>
      <c r="L196">
        <f>MONTH(weather.tbl[[#This Row],[Date]])</f>
        <v>7</v>
      </c>
      <c r="M196">
        <f>YEAR(weather.tbl[[#This Row],[Date]])</f>
        <v>2014</v>
      </c>
    </row>
    <row r="197" spans="1:13" x14ac:dyDescent="0.25">
      <c r="A197" s="1">
        <v>41835</v>
      </c>
      <c r="B197" s="2">
        <v>16.2</v>
      </c>
      <c r="C197" s="2">
        <v>15.8</v>
      </c>
      <c r="D197" s="2">
        <v>16.3</v>
      </c>
      <c r="E197" s="2">
        <v>16.5</v>
      </c>
      <c r="F197" s="2">
        <v>18.8</v>
      </c>
      <c r="G197" s="2">
        <v>16.8</v>
      </c>
      <c r="H197" s="2">
        <f>AVERAGE(weather.tbl[[#This Row],[Estevan]:[Kipling]])</f>
        <v>16.733333333333331</v>
      </c>
      <c r="I197" s="2">
        <f>_xlfn.STDEV.S(weather.tbl[[#This Row],[Estevan]:[Kipling]])</f>
        <v>1.0652073350604883</v>
      </c>
      <c r="J197" s="2">
        <f t="shared" si="2"/>
        <v>17.44285714285714</v>
      </c>
      <c r="K197">
        <f>DAY(weather.tbl[[#This Row],[Date]])</f>
        <v>15</v>
      </c>
      <c r="L197">
        <f>MONTH(weather.tbl[[#This Row],[Date]])</f>
        <v>7</v>
      </c>
      <c r="M197">
        <f>YEAR(weather.tbl[[#This Row],[Date]])</f>
        <v>2014</v>
      </c>
    </row>
    <row r="198" spans="1:13" x14ac:dyDescent="0.25">
      <c r="A198" s="1">
        <v>41836</v>
      </c>
      <c r="B198" s="2">
        <v>17</v>
      </c>
      <c r="C198" s="2">
        <v>17.600000000000001</v>
      </c>
      <c r="D198" s="2">
        <v>16.3</v>
      </c>
      <c r="E198" s="2">
        <v>17.8</v>
      </c>
      <c r="F198" s="2">
        <v>19.3</v>
      </c>
      <c r="G198" s="2">
        <v>17.5</v>
      </c>
      <c r="H198" s="2">
        <f>AVERAGE(weather.tbl[[#This Row],[Estevan]:[Kipling]])</f>
        <v>17.583333333333332</v>
      </c>
      <c r="I198" s="2">
        <f>_xlfn.STDEV.S(weather.tbl[[#This Row],[Estevan]:[Kipling]])</f>
        <v>0.99883265198263671</v>
      </c>
      <c r="J198" s="2">
        <f t="shared" si="2"/>
        <v>17.43333333333333</v>
      </c>
      <c r="K198">
        <f>DAY(weather.tbl[[#This Row],[Date]])</f>
        <v>16</v>
      </c>
      <c r="L198">
        <f>MONTH(weather.tbl[[#This Row],[Date]])</f>
        <v>7</v>
      </c>
      <c r="M198">
        <f>YEAR(weather.tbl[[#This Row],[Date]])</f>
        <v>2014</v>
      </c>
    </row>
    <row r="199" spans="1:13" x14ac:dyDescent="0.25">
      <c r="A199" s="1">
        <v>41837</v>
      </c>
      <c r="B199" s="2">
        <v>20.6</v>
      </c>
      <c r="C199" s="2">
        <v>20</v>
      </c>
      <c r="D199" s="2">
        <v>16.3</v>
      </c>
      <c r="E199" s="2">
        <v>21.3</v>
      </c>
      <c r="F199" s="2">
        <v>20.8</v>
      </c>
      <c r="G199" s="2">
        <v>19.399999999999999</v>
      </c>
      <c r="H199" s="2">
        <f>AVERAGE(weather.tbl[[#This Row],[Estevan]:[Kipling]])</f>
        <v>19.733333333333334</v>
      </c>
      <c r="I199" s="2">
        <f>_xlfn.STDEV.S(weather.tbl[[#This Row],[Estevan]:[Kipling]])</f>
        <v>1.8062853226073305</v>
      </c>
      <c r="J199" s="2">
        <f t="shared" si="2"/>
        <v>17.064285714285713</v>
      </c>
      <c r="K199">
        <f>DAY(weather.tbl[[#This Row],[Date]])</f>
        <v>17</v>
      </c>
      <c r="L199">
        <f>MONTH(weather.tbl[[#This Row],[Date]])</f>
        <v>7</v>
      </c>
      <c r="M199">
        <f>YEAR(weather.tbl[[#This Row],[Date]])</f>
        <v>2014</v>
      </c>
    </row>
    <row r="200" spans="1:13" x14ac:dyDescent="0.25">
      <c r="A200" s="1">
        <v>41838</v>
      </c>
      <c r="B200" s="2">
        <v>17.600000000000001</v>
      </c>
      <c r="C200" s="2">
        <v>17.5</v>
      </c>
      <c r="D200" s="2">
        <v>16.3</v>
      </c>
      <c r="E200" s="2">
        <v>20</v>
      </c>
      <c r="F200" s="2">
        <v>20.399999999999999</v>
      </c>
      <c r="G200" s="2">
        <v>18.600000000000001</v>
      </c>
      <c r="H200" s="2">
        <f>AVERAGE(weather.tbl[[#This Row],[Estevan]:[Kipling]])</f>
        <v>18.400000000000002</v>
      </c>
      <c r="I200" s="2">
        <f>_xlfn.STDEV.S(weather.tbl[[#This Row],[Estevan]:[Kipling]])</f>
        <v>1.5786069808536887</v>
      </c>
      <c r="J200" s="2">
        <f t="shared" si="2"/>
        <v>17.128571428571426</v>
      </c>
      <c r="K200">
        <f>DAY(weather.tbl[[#This Row],[Date]])</f>
        <v>18</v>
      </c>
      <c r="L200">
        <f>MONTH(weather.tbl[[#This Row],[Date]])</f>
        <v>7</v>
      </c>
      <c r="M200">
        <f>YEAR(weather.tbl[[#This Row],[Date]])</f>
        <v>2014</v>
      </c>
    </row>
    <row r="201" spans="1:13" x14ac:dyDescent="0.25">
      <c r="A201" s="1">
        <v>41839</v>
      </c>
      <c r="B201" s="2">
        <v>18</v>
      </c>
      <c r="C201" s="2">
        <v>18.899999999999999</v>
      </c>
      <c r="D201" s="2">
        <v>17.5</v>
      </c>
      <c r="E201" s="2">
        <v>19.5</v>
      </c>
      <c r="F201" s="2">
        <v>18.600000000000001</v>
      </c>
      <c r="G201" s="2">
        <v>16.899999999999999</v>
      </c>
      <c r="H201" s="2">
        <f>AVERAGE(weather.tbl[[#This Row],[Estevan]:[Kipling]])</f>
        <v>18.233333333333334</v>
      </c>
      <c r="I201" s="2">
        <f>_xlfn.STDEV.S(weather.tbl[[#This Row],[Estevan]:[Kipling]])</f>
        <v>0.95428856572143173</v>
      </c>
      <c r="J201" s="2">
        <f t="shared" si="2"/>
        <v>17.147619047619049</v>
      </c>
      <c r="K201">
        <f>DAY(weather.tbl[[#This Row],[Date]])</f>
        <v>19</v>
      </c>
      <c r="L201">
        <f>MONTH(weather.tbl[[#This Row],[Date]])</f>
        <v>7</v>
      </c>
      <c r="M201">
        <f>YEAR(weather.tbl[[#This Row],[Date]])</f>
        <v>2014</v>
      </c>
    </row>
    <row r="202" spans="1:13" x14ac:dyDescent="0.25">
      <c r="A202" s="1">
        <v>41840</v>
      </c>
      <c r="B202" s="2">
        <v>20.9</v>
      </c>
      <c r="C202" s="2">
        <v>20.6</v>
      </c>
      <c r="D202" s="2">
        <v>21.8</v>
      </c>
      <c r="E202" s="2">
        <v>21.5</v>
      </c>
      <c r="F202" s="2">
        <v>23.8</v>
      </c>
      <c r="G202" s="2">
        <v>20.399999999999999</v>
      </c>
      <c r="H202" s="2">
        <f>AVERAGE(weather.tbl[[#This Row],[Estevan]:[Kipling]])</f>
        <v>21.5</v>
      </c>
      <c r="I202" s="2">
        <f>_xlfn.STDEV.S(weather.tbl[[#This Row],[Estevan]:[Kipling]])</f>
        <v>1.2457929201917954</v>
      </c>
      <c r="J202" s="2">
        <f t="shared" ref="J202:J265" si="3">AVERAGE(H196:H202)</f>
        <v>18.109523809523811</v>
      </c>
      <c r="K202">
        <f>DAY(weather.tbl[[#This Row],[Date]])</f>
        <v>20</v>
      </c>
      <c r="L202">
        <f>MONTH(weather.tbl[[#This Row],[Date]])</f>
        <v>7</v>
      </c>
      <c r="M202">
        <f>YEAR(weather.tbl[[#This Row],[Date]])</f>
        <v>2014</v>
      </c>
    </row>
    <row r="203" spans="1:13" x14ac:dyDescent="0.25">
      <c r="A203" s="1">
        <v>41841</v>
      </c>
      <c r="B203" s="2">
        <v>18.7</v>
      </c>
      <c r="C203" s="2">
        <v>19.2</v>
      </c>
      <c r="D203" s="2">
        <v>21.8</v>
      </c>
      <c r="E203" s="2">
        <v>18.5</v>
      </c>
      <c r="F203" s="2">
        <v>21</v>
      </c>
      <c r="G203" s="2">
        <v>18.600000000000001</v>
      </c>
      <c r="H203" s="2">
        <f>AVERAGE(weather.tbl[[#This Row],[Estevan]:[Kipling]])</f>
        <v>19.633333333333336</v>
      </c>
      <c r="I203" s="2">
        <f>_xlfn.STDEV.S(weather.tbl[[#This Row],[Estevan]:[Kipling]])</f>
        <v>1.4123266855323051</v>
      </c>
      <c r="J203" s="2">
        <f t="shared" si="3"/>
        <v>18.830952380952379</v>
      </c>
      <c r="K203">
        <f>DAY(weather.tbl[[#This Row],[Date]])</f>
        <v>21</v>
      </c>
      <c r="L203">
        <f>MONTH(weather.tbl[[#This Row],[Date]])</f>
        <v>7</v>
      </c>
      <c r="M203">
        <f>YEAR(weather.tbl[[#This Row],[Date]])</f>
        <v>2014</v>
      </c>
    </row>
    <row r="204" spans="1:13" x14ac:dyDescent="0.25">
      <c r="A204" s="1">
        <v>41842</v>
      </c>
      <c r="B204" s="2">
        <v>20.100000000000001</v>
      </c>
      <c r="C204" s="2">
        <v>19.7</v>
      </c>
      <c r="D204" s="2">
        <v>18.3</v>
      </c>
      <c r="E204" s="2">
        <v>20.3</v>
      </c>
      <c r="F204" s="2">
        <v>20</v>
      </c>
      <c r="G204" s="2">
        <v>18.7</v>
      </c>
      <c r="H204" s="2">
        <f>AVERAGE(weather.tbl[[#This Row],[Estevan]:[Kipling]])</f>
        <v>19.516666666666666</v>
      </c>
      <c r="I204" s="2">
        <f>_xlfn.STDEV.S(weather.tbl[[#This Row],[Estevan]:[Kipling]])</f>
        <v>0.82077199432404313</v>
      </c>
      <c r="J204" s="2">
        <f t="shared" si="3"/>
        <v>19.228571428571431</v>
      </c>
      <c r="K204">
        <f>DAY(weather.tbl[[#This Row],[Date]])</f>
        <v>22</v>
      </c>
      <c r="L204">
        <f>MONTH(weather.tbl[[#This Row],[Date]])</f>
        <v>7</v>
      </c>
      <c r="M204">
        <f>YEAR(weather.tbl[[#This Row],[Date]])</f>
        <v>2014</v>
      </c>
    </row>
    <row r="205" spans="1:13" x14ac:dyDescent="0.25">
      <c r="A205" s="1">
        <v>41843</v>
      </c>
      <c r="B205" s="2">
        <v>19.8</v>
      </c>
      <c r="C205" s="2">
        <v>20.2</v>
      </c>
      <c r="D205" s="2">
        <v>18.5</v>
      </c>
      <c r="E205" s="2">
        <v>19.5</v>
      </c>
      <c r="F205" s="2">
        <v>19.899999999999999</v>
      </c>
      <c r="G205" s="2">
        <v>18.8</v>
      </c>
      <c r="H205" s="2">
        <f>AVERAGE(weather.tbl[[#This Row],[Estevan]:[Kipling]])</f>
        <v>19.45</v>
      </c>
      <c r="I205" s="2">
        <f>_xlfn.STDEV.S(weather.tbl[[#This Row],[Estevan]:[Kipling]])</f>
        <v>0.66558245169174901</v>
      </c>
      <c r="J205" s="2">
        <f t="shared" si="3"/>
        <v>19.495238095238097</v>
      </c>
      <c r="K205">
        <f>DAY(weather.tbl[[#This Row],[Date]])</f>
        <v>23</v>
      </c>
      <c r="L205">
        <f>MONTH(weather.tbl[[#This Row],[Date]])</f>
        <v>7</v>
      </c>
      <c r="M205">
        <f>YEAR(weather.tbl[[#This Row],[Date]])</f>
        <v>2014</v>
      </c>
    </row>
    <row r="206" spans="1:13" x14ac:dyDescent="0.25">
      <c r="A206" s="1">
        <v>41844</v>
      </c>
      <c r="B206" s="2">
        <v>21.7</v>
      </c>
      <c r="C206" s="2">
        <v>20.7</v>
      </c>
      <c r="D206" s="2">
        <v>20.3</v>
      </c>
      <c r="E206" s="2">
        <v>23.3</v>
      </c>
      <c r="F206" s="2">
        <v>20.8</v>
      </c>
      <c r="G206" s="2">
        <v>19.600000000000001</v>
      </c>
      <c r="H206" s="2">
        <f>AVERAGE(weather.tbl[[#This Row],[Estevan]:[Kipling]])</f>
        <v>21.066666666666666</v>
      </c>
      <c r="I206" s="2">
        <f>_xlfn.STDEV.S(weather.tbl[[#This Row],[Estevan]:[Kipling]])</f>
        <v>1.2909944487358056</v>
      </c>
      <c r="J206" s="2">
        <f t="shared" si="3"/>
        <v>19.685714285714287</v>
      </c>
      <c r="K206">
        <f>DAY(weather.tbl[[#This Row],[Date]])</f>
        <v>24</v>
      </c>
      <c r="L206">
        <f>MONTH(weather.tbl[[#This Row],[Date]])</f>
        <v>7</v>
      </c>
      <c r="M206">
        <f>YEAR(weather.tbl[[#This Row],[Date]])</f>
        <v>2014</v>
      </c>
    </row>
    <row r="207" spans="1:13" x14ac:dyDescent="0.25">
      <c r="A207" s="1">
        <v>41845</v>
      </c>
      <c r="B207" s="2">
        <v>18</v>
      </c>
      <c r="C207" s="2">
        <v>17.7</v>
      </c>
      <c r="D207" s="2">
        <v>17.8</v>
      </c>
      <c r="E207" s="2">
        <v>17.5</v>
      </c>
      <c r="F207" s="2">
        <v>20.7</v>
      </c>
      <c r="G207" s="2">
        <v>17.100000000000001</v>
      </c>
      <c r="H207" s="2">
        <f>AVERAGE(weather.tbl[[#This Row],[Estevan]:[Kipling]])</f>
        <v>18.133333333333336</v>
      </c>
      <c r="I207" s="2">
        <f>_xlfn.STDEV.S(weather.tbl[[#This Row],[Estevan]:[Kipling]])</f>
        <v>1.2940891262454319</v>
      </c>
      <c r="J207" s="2">
        <f t="shared" si="3"/>
        <v>19.647619047619049</v>
      </c>
      <c r="K207">
        <f>DAY(weather.tbl[[#This Row],[Date]])</f>
        <v>25</v>
      </c>
      <c r="L207">
        <f>MONTH(weather.tbl[[#This Row],[Date]])</f>
        <v>7</v>
      </c>
      <c r="M207">
        <f>YEAR(weather.tbl[[#This Row],[Date]])</f>
        <v>2014</v>
      </c>
    </row>
    <row r="208" spans="1:13" x14ac:dyDescent="0.25">
      <c r="A208" s="1">
        <v>41846</v>
      </c>
      <c r="B208" s="2">
        <v>17.2</v>
      </c>
      <c r="C208" s="2">
        <v>16.3</v>
      </c>
      <c r="D208" s="2">
        <v>16.3</v>
      </c>
      <c r="E208" s="2">
        <v>18</v>
      </c>
      <c r="F208" s="2">
        <v>17.7</v>
      </c>
      <c r="G208" s="2">
        <v>15.9</v>
      </c>
      <c r="H208" s="2">
        <f>AVERAGE(weather.tbl[[#This Row],[Estevan]:[Kipling]])</f>
        <v>16.900000000000002</v>
      </c>
      <c r="I208" s="2">
        <f>_xlfn.STDEV.S(weather.tbl[[#This Row],[Estevan]:[Kipling]])</f>
        <v>0.85556998544829699</v>
      </c>
      <c r="J208" s="2">
        <f t="shared" si="3"/>
        <v>19.457142857142859</v>
      </c>
      <c r="K208">
        <f>DAY(weather.tbl[[#This Row],[Date]])</f>
        <v>26</v>
      </c>
      <c r="L208">
        <f>MONTH(weather.tbl[[#This Row],[Date]])</f>
        <v>7</v>
      </c>
      <c r="M208">
        <f>YEAR(weather.tbl[[#This Row],[Date]])</f>
        <v>2014</v>
      </c>
    </row>
    <row r="209" spans="1:13" x14ac:dyDescent="0.25">
      <c r="A209" s="1">
        <v>41847</v>
      </c>
      <c r="B209" s="2">
        <v>15.5</v>
      </c>
      <c r="C209" s="2">
        <v>15.3</v>
      </c>
      <c r="D209" s="2">
        <v>14.5</v>
      </c>
      <c r="E209" s="2">
        <v>17.8</v>
      </c>
      <c r="F209" s="2">
        <v>16</v>
      </c>
      <c r="G209" s="2">
        <v>15.4</v>
      </c>
      <c r="H209" s="2">
        <f>AVERAGE(weather.tbl[[#This Row],[Estevan]:[Kipling]])</f>
        <v>15.75</v>
      </c>
      <c r="I209" s="2">
        <f>_xlfn.STDEV.S(weather.tbl[[#This Row],[Estevan]:[Kipling]])</f>
        <v>1.114899098573499</v>
      </c>
      <c r="J209" s="2">
        <f t="shared" si="3"/>
        <v>18.63571428571429</v>
      </c>
      <c r="K209">
        <f>DAY(weather.tbl[[#This Row],[Date]])</f>
        <v>27</v>
      </c>
      <c r="L209">
        <f>MONTH(weather.tbl[[#This Row],[Date]])</f>
        <v>7</v>
      </c>
      <c r="M209">
        <f>YEAR(weather.tbl[[#This Row],[Date]])</f>
        <v>2014</v>
      </c>
    </row>
    <row r="210" spans="1:13" x14ac:dyDescent="0.25">
      <c r="A210" s="1">
        <v>41848</v>
      </c>
      <c r="B210" s="2">
        <v>17.899999999999999</v>
      </c>
      <c r="C210" s="2">
        <v>18.8</v>
      </c>
      <c r="D210" s="2">
        <v>15.5</v>
      </c>
      <c r="E210" s="2">
        <v>19.5</v>
      </c>
      <c r="F210" s="2">
        <v>17.100000000000001</v>
      </c>
      <c r="G210" s="2">
        <v>16.2</v>
      </c>
      <c r="H210" s="2">
        <f>AVERAGE(weather.tbl[[#This Row],[Estevan]:[Kipling]])</f>
        <v>17.500000000000004</v>
      </c>
      <c r="I210" s="2">
        <f>_xlfn.STDEV.S(weather.tbl[[#This Row],[Estevan]:[Kipling]])</f>
        <v>1.5297058540778357</v>
      </c>
      <c r="J210" s="2">
        <f t="shared" si="3"/>
        <v>18.330952380952386</v>
      </c>
      <c r="K210">
        <f>DAY(weather.tbl[[#This Row],[Date]])</f>
        <v>28</v>
      </c>
      <c r="L210">
        <f>MONTH(weather.tbl[[#This Row],[Date]])</f>
        <v>7</v>
      </c>
      <c r="M210">
        <f>YEAR(weather.tbl[[#This Row],[Date]])</f>
        <v>2014</v>
      </c>
    </row>
    <row r="211" spans="1:13" x14ac:dyDescent="0.25">
      <c r="A211" s="1">
        <v>41849</v>
      </c>
      <c r="B211" s="2">
        <v>19.5</v>
      </c>
      <c r="C211" s="2">
        <v>19.399999999999999</v>
      </c>
      <c r="D211" s="2">
        <v>17</v>
      </c>
      <c r="E211" s="2">
        <v>19.8</v>
      </c>
      <c r="F211" s="2">
        <v>18.600000000000001</v>
      </c>
      <c r="G211" s="2">
        <v>18.600000000000001</v>
      </c>
      <c r="H211" s="2">
        <f>AVERAGE(weather.tbl[[#This Row],[Estevan]:[Kipling]])</f>
        <v>18.816666666666666</v>
      </c>
      <c r="I211" s="2">
        <f>_xlfn.STDEV.S(weather.tbl[[#This Row],[Estevan]:[Kipling]])</f>
        <v>1.0166939887039101</v>
      </c>
      <c r="J211" s="2">
        <f t="shared" si="3"/>
        <v>18.230952380952381</v>
      </c>
      <c r="K211">
        <f>DAY(weather.tbl[[#This Row],[Date]])</f>
        <v>29</v>
      </c>
      <c r="L211">
        <f>MONTH(weather.tbl[[#This Row],[Date]])</f>
        <v>7</v>
      </c>
      <c r="M211">
        <f>YEAR(weather.tbl[[#This Row],[Date]])</f>
        <v>2014</v>
      </c>
    </row>
    <row r="212" spans="1:13" x14ac:dyDescent="0.25">
      <c r="A212" s="1">
        <v>41850</v>
      </c>
      <c r="B212" s="2">
        <v>17.3</v>
      </c>
      <c r="C212" s="2">
        <v>19.3</v>
      </c>
      <c r="D212" s="2">
        <v>18</v>
      </c>
      <c r="E212" s="2">
        <v>19.8</v>
      </c>
      <c r="F212" s="2">
        <v>20.3</v>
      </c>
      <c r="G212" s="2">
        <v>19</v>
      </c>
      <c r="H212" s="2">
        <f>AVERAGE(weather.tbl[[#This Row],[Estevan]:[Kipling]])</f>
        <v>18.95</v>
      </c>
      <c r="I212" s="2">
        <f>_xlfn.STDEV.S(weather.tbl[[#This Row],[Estevan]:[Kipling]])</f>
        <v>1.1220516922138659</v>
      </c>
      <c r="J212" s="2">
        <f t="shared" si="3"/>
        <v>18.159523809523812</v>
      </c>
      <c r="K212">
        <f>DAY(weather.tbl[[#This Row],[Date]])</f>
        <v>30</v>
      </c>
      <c r="L212">
        <f>MONTH(weather.tbl[[#This Row],[Date]])</f>
        <v>7</v>
      </c>
      <c r="M212">
        <f>YEAR(weather.tbl[[#This Row],[Date]])</f>
        <v>2014</v>
      </c>
    </row>
    <row r="213" spans="1:13" x14ac:dyDescent="0.25">
      <c r="A213" s="1">
        <v>41851</v>
      </c>
      <c r="B213" s="2">
        <v>20.8</v>
      </c>
      <c r="C213" s="2">
        <v>21.3</v>
      </c>
      <c r="D213" s="2">
        <v>18.8</v>
      </c>
      <c r="E213" s="2">
        <v>19.8</v>
      </c>
      <c r="F213" s="2">
        <v>20.9</v>
      </c>
      <c r="G213" s="2">
        <v>20.5</v>
      </c>
      <c r="H213" s="2">
        <f>AVERAGE(weather.tbl[[#This Row],[Estevan]:[Kipling]])</f>
        <v>20.349999999999998</v>
      </c>
      <c r="I213" s="2">
        <f>_xlfn.STDEV.S(weather.tbl[[#This Row],[Estevan]:[Kipling]])</f>
        <v>0.90939540355117232</v>
      </c>
      <c r="J213" s="2">
        <f t="shared" si="3"/>
        <v>18.057142857142857</v>
      </c>
      <c r="K213">
        <f>DAY(weather.tbl[[#This Row],[Date]])</f>
        <v>31</v>
      </c>
      <c r="L213">
        <f>MONTH(weather.tbl[[#This Row],[Date]])</f>
        <v>7</v>
      </c>
      <c r="M213">
        <f>YEAR(weather.tbl[[#This Row],[Date]])</f>
        <v>2014</v>
      </c>
    </row>
    <row r="214" spans="1:13" x14ac:dyDescent="0.25">
      <c r="A214" s="1">
        <v>41852</v>
      </c>
      <c r="B214" s="2">
        <v>20.399999999999999</v>
      </c>
      <c r="C214" s="2">
        <v>21.2</v>
      </c>
      <c r="D214" s="2">
        <v>20.3</v>
      </c>
      <c r="E214" s="2">
        <v>19.8</v>
      </c>
      <c r="F214" s="2">
        <v>20.6</v>
      </c>
      <c r="G214" s="2">
        <v>20.6</v>
      </c>
      <c r="H214" s="2">
        <f>AVERAGE(weather.tbl[[#This Row],[Estevan]:[Kipling]])</f>
        <v>20.483333333333331</v>
      </c>
      <c r="I214" s="2">
        <f>_xlfn.STDEV.S(weather.tbl[[#This Row],[Estevan]:[Kipling]])</f>
        <v>0.45789372857319893</v>
      </c>
      <c r="J214" s="2">
        <f t="shared" si="3"/>
        <v>18.392857142857142</v>
      </c>
      <c r="K214">
        <f>DAY(weather.tbl[[#This Row],[Date]])</f>
        <v>1</v>
      </c>
      <c r="L214">
        <f>MONTH(weather.tbl[[#This Row],[Date]])</f>
        <v>8</v>
      </c>
      <c r="M214">
        <f>YEAR(weather.tbl[[#This Row],[Date]])</f>
        <v>2014</v>
      </c>
    </row>
    <row r="215" spans="1:13" x14ac:dyDescent="0.25">
      <c r="A215" s="1">
        <v>41853</v>
      </c>
      <c r="B215" s="2">
        <v>20.100000000000001</v>
      </c>
      <c r="C215" s="2">
        <v>18.5</v>
      </c>
      <c r="D215" s="2">
        <v>20.3</v>
      </c>
      <c r="E215" s="2">
        <v>19.5</v>
      </c>
      <c r="F215" s="2">
        <v>20.399999999999999</v>
      </c>
      <c r="G215" s="2">
        <v>18.600000000000001</v>
      </c>
      <c r="H215" s="2">
        <f>AVERAGE(weather.tbl[[#This Row],[Estevan]:[Kipling]])</f>
        <v>19.566666666666666</v>
      </c>
      <c r="I215" s="2">
        <f>_xlfn.STDEV.S(weather.tbl[[#This Row],[Estevan]:[Kipling]])</f>
        <v>0.84774209914729737</v>
      </c>
      <c r="J215" s="2">
        <f t="shared" si="3"/>
        <v>18.773809523809522</v>
      </c>
      <c r="K215">
        <f>DAY(weather.tbl[[#This Row],[Date]])</f>
        <v>2</v>
      </c>
      <c r="L215">
        <f>MONTH(weather.tbl[[#This Row],[Date]])</f>
        <v>8</v>
      </c>
      <c r="M215">
        <f>YEAR(weather.tbl[[#This Row],[Date]])</f>
        <v>2014</v>
      </c>
    </row>
    <row r="216" spans="1:13" x14ac:dyDescent="0.25">
      <c r="A216" s="1">
        <v>41854</v>
      </c>
      <c r="B216" s="2">
        <v>19.7</v>
      </c>
      <c r="C216" s="2">
        <v>20.5</v>
      </c>
      <c r="D216" s="2">
        <v>19.3</v>
      </c>
      <c r="E216" s="2">
        <v>20</v>
      </c>
      <c r="F216" s="2">
        <v>19.5</v>
      </c>
      <c r="G216" s="2">
        <v>19.100000000000001</v>
      </c>
      <c r="H216" s="2">
        <f>AVERAGE(weather.tbl[[#This Row],[Estevan]:[Kipling]])</f>
        <v>19.683333333333334</v>
      </c>
      <c r="I216" s="2">
        <f>_xlfn.STDEV.S(weather.tbl[[#This Row],[Estevan]:[Kipling]])</f>
        <v>0.50760877323650166</v>
      </c>
      <c r="J216" s="2">
        <f t="shared" si="3"/>
        <v>19.335714285714285</v>
      </c>
      <c r="K216">
        <f>DAY(weather.tbl[[#This Row],[Date]])</f>
        <v>3</v>
      </c>
      <c r="L216">
        <f>MONTH(weather.tbl[[#This Row],[Date]])</f>
        <v>8</v>
      </c>
      <c r="M216">
        <f>YEAR(weather.tbl[[#This Row],[Date]])</f>
        <v>2014</v>
      </c>
    </row>
    <row r="217" spans="1:13" x14ac:dyDescent="0.25">
      <c r="A217" s="1">
        <v>41855</v>
      </c>
      <c r="B217" s="2">
        <v>19</v>
      </c>
      <c r="C217" s="2">
        <v>20.100000000000001</v>
      </c>
      <c r="D217" s="2">
        <v>18</v>
      </c>
      <c r="E217" s="2">
        <v>21</v>
      </c>
      <c r="F217" s="2">
        <v>19.899999999999999</v>
      </c>
      <c r="G217" s="2">
        <v>19.600000000000001</v>
      </c>
      <c r="H217" s="2">
        <f>AVERAGE(weather.tbl[[#This Row],[Estevan]:[Kipling]])</f>
        <v>19.599999999999998</v>
      </c>
      <c r="I217" s="2">
        <f>_xlfn.STDEV.S(weather.tbl[[#This Row],[Estevan]:[Kipling]])</f>
        <v>1.0217631819555841</v>
      </c>
      <c r="J217" s="2">
        <f t="shared" si="3"/>
        <v>19.635714285714283</v>
      </c>
      <c r="K217">
        <f>DAY(weather.tbl[[#This Row],[Date]])</f>
        <v>4</v>
      </c>
      <c r="L217">
        <f>MONTH(weather.tbl[[#This Row],[Date]])</f>
        <v>8</v>
      </c>
      <c r="M217">
        <f>YEAR(weather.tbl[[#This Row],[Date]])</f>
        <v>2014</v>
      </c>
    </row>
    <row r="218" spans="1:13" x14ac:dyDescent="0.25">
      <c r="A218" s="1">
        <v>41856</v>
      </c>
      <c r="B218" s="2">
        <v>19.5</v>
      </c>
      <c r="C218" s="2">
        <v>20.6</v>
      </c>
      <c r="D218" s="2">
        <v>18.3</v>
      </c>
      <c r="E218" s="2">
        <v>19.3</v>
      </c>
      <c r="F218" s="2">
        <v>19.8</v>
      </c>
      <c r="G218" s="2">
        <v>20.399999999999999</v>
      </c>
      <c r="H218" s="2">
        <f>AVERAGE(weather.tbl[[#This Row],[Estevan]:[Kipling]])</f>
        <v>19.650000000000002</v>
      </c>
      <c r="I218" s="2">
        <f>_xlfn.STDEV.S(weather.tbl[[#This Row],[Estevan]:[Kipling]])</f>
        <v>0.83126409762481601</v>
      </c>
      <c r="J218" s="2">
        <f t="shared" si="3"/>
        <v>19.754761904761903</v>
      </c>
      <c r="K218">
        <f>DAY(weather.tbl[[#This Row],[Date]])</f>
        <v>5</v>
      </c>
      <c r="L218">
        <f>MONTH(weather.tbl[[#This Row],[Date]])</f>
        <v>8</v>
      </c>
      <c r="M218">
        <f>YEAR(weather.tbl[[#This Row],[Date]])</f>
        <v>2014</v>
      </c>
    </row>
    <row r="219" spans="1:13" x14ac:dyDescent="0.25">
      <c r="A219" s="1">
        <v>41857</v>
      </c>
      <c r="B219" s="2">
        <v>18.3</v>
      </c>
      <c r="C219" s="2">
        <v>18</v>
      </c>
      <c r="D219" s="2">
        <v>19</v>
      </c>
      <c r="E219" s="2">
        <v>18.5</v>
      </c>
      <c r="F219" s="2">
        <v>22.1</v>
      </c>
      <c r="G219" s="2">
        <v>18.7</v>
      </c>
      <c r="H219" s="2">
        <f>AVERAGE(weather.tbl[[#This Row],[Estevan]:[Kipling]])</f>
        <v>19.100000000000001</v>
      </c>
      <c r="I219" s="2">
        <f>_xlfn.STDEV.S(weather.tbl[[#This Row],[Estevan]:[Kipling]])</f>
        <v>1.5086417732516892</v>
      </c>
      <c r="J219" s="2">
        <f t="shared" si="3"/>
        <v>19.776190476190475</v>
      </c>
      <c r="K219">
        <f>DAY(weather.tbl[[#This Row],[Date]])</f>
        <v>6</v>
      </c>
      <c r="L219">
        <f>MONTH(weather.tbl[[#This Row],[Date]])</f>
        <v>8</v>
      </c>
      <c r="M219">
        <f>YEAR(weather.tbl[[#This Row],[Date]])</f>
        <v>2014</v>
      </c>
    </row>
    <row r="220" spans="1:13" x14ac:dyDescent="0.25">
      <c r="A220" s="1">
        <v>41858</v>
      </c>
      <c r="B220" s="2">
        <v>21.2</v>
      </c>
      <c r="C220" s="2">
        <v>21.7</v>
      </c>
      <c r="D220" s="2">
        <v>21</v>
      </c>
      <c r="E220" s="2">
        <v>22.5</v>
      </c>
      <c r="F220" s="2">
        <v>22.8</v>
      </c>
      <c r="G220" s="2">
        <v>20.399999999999999</v>
      </c>
      <c r="H220" s="2">
        <f>AVERAGE(weather.tbl[[#This Row],[Estevan]:[Kipling]])</f>
        <v>21.599999999999998</v>
      </c>
      <c r="I220" s="2">
        <f>_xlfn.STDEV.S(weather.tbl[[#This Row],[Estevan]:[Kipling]])</f>
        <v>0.91869472622846882</v>
      </c>
      <c r="J220" s="2">
        <f t="shared" si="3"/>
        <v>19.954761904761906</v>
      </c>
      <c r="K220">
        <f>DAY(weather.tbl[[#This Row],[Date]])</f>
        <v>7</v>
      </c>
      <c r="L220">
        <f>MONTH(weather.tbl[[#This Row],[Date]])</f>
        <v>8</v>
      </c>
      <c r="M220">
        <f>YEAR(weather.tbl[[#This Row],[Date]])</f>
        <v>2014</v>
      </c>
    </row>
    <row r="221" spans="1:13" x14ac:dyDescent="0.25">
      <c r="A221" s="1">
        <v>41859</v>
      </c>
      <c r="B221" s="2">
        <v>24.1</v>
      </c>
      <c r="C221" s="2">
        <v>23.1</v>
      </c>
      <c r="D221" s="2">
        <v>23.8</v>
      </c>
      <c r="E221" s="2">
        <v>26.5</v>
      </c>
      <c r="F221" s="2">
        <v>22.6</v>
      </c>
      <c r="G221" s="2">
        <v>22.8</v>
      </c>
      <c r="H221" s="2">
        <f>AVERAGE(weather.tbl[[#This Row],[Estevan]:[Kipling]])</f>
        <v>23.816666666666666</v>
      </c>
      <c r="I221" s="2">
        <f>_xlfn.STDEV.S(weather.tbl[[#This Row],[Estevan]:[Kipling]])</f>
        <v>1.4358505028959891</v>
      </c>
      <c r="J221" s="2">
        <f t="shared" si="3"/>
        <v>20.43095238095238</v>
      </c>
      <c r="K221">
        <f>DAY(weather.tbl[[#This Row],[Date]])</f>
        <v>8</v>
      </c>
      <c r="L221">
        <f>MONTH(weather.tbl[[#This Row],[Date]])</f>
        <v>8</v>
      </c>
      <c r="M221">
        <f>YEAR(weather.tbl[[#This Row],[Date]])</f>
        <v>2014</v>
      </c>
    </row>
    <row r="222" spans="1:13" x14ac:dyDescent="0.25">
      <c r="A222" s="1">
        <v>41860</v>
      </c>
      <c r="B222" s="2">
        <v>19.7</v>
      </c>
      <c r="C222" s="2">
        <v>17.600000000000001</v>
      </c>
      <c r="D222" s="2">
        <v>21.3</v>
      </c>
      <c r="E222" s="2">
        <v>20.5</v>
      </c>
      <c r="F222" s="2">
        <v>21.3</v>
      </c>
      <c r="G222" s="2">
        <v>20.100000000000001</v>
      </c>
      <c r="H222" s="2">
        <f>AVERAGE(weather.tbl[[#This Row],[Estevan]:[Kipling]])</f>
        <v>20.083333333333332</v>
      </c>
      <c r="I222" s="2">
        <f>_xlfn.STDEV.S(weather.tbl[[#This Row],[Estevan]:[Kipling]])</f>
        <v>1.3746514709797049</v>
      </c>
      <c r="J222" s="2">
        <f t="shared" si="3"/>
        <v>20.504761904761903</v>
      </c>
      <c r="K222">
        <f>DAY(weather.tbl[[#This Row],[Date]])</f>
        <v>9</v>
      </c>
      <c r="L222">
        <f>MONTH(weather.tbl[[#This Row],[Date]])</f>
        <v>8</v>
      </c>
      <c r="M222">
        <f>YEAR(weather.tbl[[#This Row],[Date]])</f>
        <v>2014</v>
      </c>
    </row>
    <row r="223" spans="1:13" x14ac:dyDescent="0.25">
      <c r="A223" s="1">
        <v>41861</v>
      </c>
      <c r="B223" s="2">
        <v>16.100000000000001</v>
      </c>
      <c r="C223" s="2">
        <v>16.2</v>
      </c>
      <c r="D223" s="2">
        <v>16.5</v>
      </c>
      <c r="E223" s="2">
        <v>17</v>
      </c>
      <c r="F223" s="2">
        <v>16.899999999999999</v>
      </c>
      <c r="G223" s="2">
        <v>15.5</v>
      </c>
      <c r="H223" s="2">
        <f>AVERAGE(weather.tbl[[#This Row],[Estevan]:[Kipling]])</f>
        <v>16.366666666666664</v>
      </c>
      <c r="I223" s="2">
        <f>_xlfn.STDEV.S(weather.tbl[[#This Row],[Estevan]:[Kipling]])</f>
        <v>0.55737479909542575</v>
      </c>
      <c r="J223" s="2">
        <f t="shared" si="3"/>
        <v>20.030952380952382</v>
      </c>
      <c r="K223">
        <f>DAY(weather.tbl[[#This Row],[Date]])</f>
        <v>10</v>
      </c>
      <c r="L223">
        <f>MONTH(weather.tbl[[#This Row],[Date]])</f>
        <v>8</v>
      </c>
      <c r="M223">
        <f>YEAR(weather.tbl[[#This Row],[Date]])</f>
        <v>2014</v>
      </c>
    </row>
    <row r="224" spans="1:13" x14ac:dyDescent="0.25">
      <c r="A224" s="1">
        <v>41862</v>
      </c>
      <c r="B224" s="2">
        <v>17.899999999999999</v>
      </c>
      <c r="C224" s="2">
        <v>17.600000000000001</v>
      </c>
      <c r="D224" s="2">
        <v>16.8</v>
      </c>
      <c r="E224" s="2">
        <v>18.8</v>
      </c>
      <c r="F224" s="2">
        <v>17.5</v>
      </c>
      <c r="G224" s="2">
        <v>17</v>
      </c>
      <c r="H224" s="2">
        <f>AVERAGE(weather.tbl[[#This Row],[Estevan]:[Kipling]])</f>
        <v>17.599999999999998</v>
      </c>
      <c r="I224" s="2">
        <f>_xlfn.STDEV.S(weather.tbl[[#This Row],[Estevan]:[Kipling]])</f>
        <v>0.71274118724821844</v>
      </c>
      <c r="J224" s="2">
        <f t="shared" si="3"/>
        <v>19.74523809523809</v>
      </c>
      <c r="K224">
        <f>DAY(weather.tbl[[#This Row],[Date]])</f>
        <v>11</v>
      </c>
      <c r="L224">
        <f>MONTH(weather.tbl[[#This Row],[Date]])</f>
        <v>8</v>
      </c>
      <c r="M224">
        <f>YEAR(weather.tbl[[#This Row],[Date]])</f>
        <v>2014</v>
      </c>
    </row>
    <row r="225" spans="1:13" x14ac:dyDescent="0.25">
      <c r="A225" s="1">
        <v>41863</v>
      </c>
      <c r="B225" s="2">
        <v>21.2</v>
      </c>
      <c r="C225" s="2">
        <v>21.4</v>
      </c>
      <c r="D225" s="2">
        <v>21.8</v>
      </c>
      <c r="E225" s="2">
        <v>21.3</v>
      </c>
      <c r="F225" s="2">
        <v>20.3</v>
      </c>
      <c r="G225" s="2">
        <v>20.100000000000001</v>
      </c>
      <c r="H225" s="2">
        <f>AVERAGE(weather.tbl[[#This Row],[Estevan]:[Kipling]])</f>
        <v>21.016666666666666</v>
      </c>
      <c r="I225" s="2">
        <f>_xlfn.STDEV.S(weather.tbl[[#This Row],[Estevan]:[Kipling]])</f>
        <v>0.66758270399004949</v>
      </c>
      <c r="J225" s="2">
        <f t="shared" si="3"/>
        <v>19.940476190476186</v>
      </c>
      <c r="K225">
        <f>DAY(weather.tbl[[#This Row],[Date]])</f>
        <v>12</v>
      </c>
      <c r="L225">
        <f>MONTH(weather.tbl[[#This Row],[Date]])</f>
        <v>8</v>
      </c>
      <c r="M225">
        <f>YEAR(weather.tbl[[#This Row],[Date]])</f>
        <v>2014</v>
      </c>
    </row>
    <row r="226" spans="1:13" x14ac:dyDescent="0.25">
      <c r="A226" s="1">
        <v>41864</v>
      </c>
      <c r="B226" s="2">
        <v>22.1</v>
      </c>
      <c r="C226" s="2">
        <v>23</v>
      </c>
      <c r="D226" s="2">
        <v>22.3</v>
      </c>
      <c r="E226" s="2">
        <v>22.3</v>
      </c>
      <c r="F226" s="2">
        <v>21.9</v>
      </c>
      <c r="G226" s="2">
        <v>20</v>
      </c>
      <c r="H226" s="2">
        <f>AVERAGE(weather.tbl[[#This Row],[Estevan]:[Kipling]])</f>
        <v>21.933333333333334</v>
      </c>
      <c r="I226" s="2">
        <f>_xlfn.STDEV.S(weather.tbl[[#This Row],[Estevan]:[Kipling]])</f>
        <v>1.0171856598805682</v>
      </c>
      <c r="J226" s="2">
        <f t="shared" si="3"/>
        <v>20.345238095238095</v>
      </c>
      <c r="K226">
        <f>DAY(weather.tbl[[#This Row],[Date]])</f>
        <v>13</v>
      </c>
      <c r="L226">
        <f>MONTH(weather.tbl[[#This Row],[Date]])</f>
        <v>8</v>
      </c>
      <c r="M226">
        <f>YEAR(weather.tbl[[#This Row],[Date]])</f>
        <v>2014</v>
      </c>
    </row>
    <row r="227" spans="1:13" x14ac:dyDescent="0.25">
      <c r="A227" s="1">
        <v>41865</v>
      </c>
      <c r="B227" s="2">
        <v>24.1</v>
      </c>
      <c r="C227" s="2">
        <v>24.8</v>
      </c>
      <c r="D227" s="2">
        <v>24.5</v>
      </c>
      <c r="E227" s="2">
        <v>24.3</v>
      </c>
      <c r="F227" s="2">
        <v>24.9</v>
      </c>
      <c r="G227" s="2">
        <v>23.1</v>
      </c>
      <c r="H227" s="2">
        <f>AVERAGE(weather.tbl[[#This Row],[Estevan]:[Kipling]])</f>
        <v>24.283333333333331</v>
      </c>
      <c r="I227" s="2">
        <f>_xlfn.STDEV.S(weather.tbl[[#This Row],[Estevan]:[Kipling]])</f>
        <v>0.65243135015621812</v>
      </c>
      <c r="J227" s="2">
        <f t="shared" si="3"/>
        <v>20.728571428571428</v>
      </c>
      <c r="K227">
        <f>DAY(weather.tbl[[#This Row],[Date]])</f>
        <v>14</v>
      </c>
      <c r="L227">
        <f>MONTH(weather.tbl[[#This Row],[Date]])</f>
        <v>8</v>
      </c>
      <c r="M227">
        <f>YEAR(weather.tbl[[#This Row],[Date]])</f>
        <v>2014</v>
      </c>
    </row>
    <row r="228" spans="1:13" x14ac:dyDescent="0.25">
      <c r="A228" s="1">
        <v>41866</v>
      </c>
      <c r="B228" s="2">
        <v>22.4</v>
      </c>
      <c r="C228" s="2">
        <v>23.3</v>
      </c>
      <c r="D228" s="2">
        <v>22.5</v>
      </c>
      <c r="E228" s="2">
        <v>23.5</v>
      </c>
      <c r="F228" s="2">
        <v>23</v>
      </c>
      <c r="G228" s="2">
        <v>24.1</v>
      </c>
      <c r="H228" s="2">
        <f>AVERAGE(weather.tbl[[#This Row],[Estevan]:[Kipling]])</f>
        <v>23.133333333333336</v>
      </c>
      <c r="I228" s="2">
        <f>_xlfn.STDEV.S(weather.tbl[[#This Row],[Estevan]:[Kipling]])</f>
        <v>0.64083279150388961</v>
      </c>
      <c r="J228" s="2">
        <f t="shared" si="3"/>
        <v>20.63095238095238</v>
      </c>
      <c r="K228">
        <f>DAY(weather.tbl[[#This Row],[Date]])</f>
        <v>15</v>
      </c>
      <c r="L228">
        <f>MONTH(weather.tbl[[#This Row],[Date]])</f>
        <v>8</v>
      </c>
      <c r="M228">
        <f>YEAR(weather.tbl[[#This Row],[Date]])</f>
        <v>2014</v>
      </c>
    </row>
    <row r="229" spans="1:13" x14ac:dyDescent="0.25">
      <c r="A229" s="1">
        <v>41867</v>
      </c>
      <c r="B229" s="2">
        <v>18.8</v>
      </c>
      <c r="C229" s="2">
        <v>19.8</v>
      </c>
      <c r="D229" s="2">
        <v>18.5</v>
      </c>
      <c r="E229" s="2">
        <v>21</v>
      </c>
      <c r="F229" s="2">
        <v>19.100000000000001</v>
      </c>
      <c r="G229" s="2">
        <v>17.100000000000001</v>
      </c>
      <c r="H229" s="2">
        <f>AVERAGE(weather.tbl[[#This Row],[Estevan]:[Kipling]])</f>
        <v>19.049999999999997</v>
      </c>
      <c r="I229" s="2">
        <f>_xlfn.STDEV.S(weather.tbl[[#This Row],[Estevan]:[Kipling]])</f>
        <v>1.306522100846365</v>
      </c>
      <c r="J229" s="2">
        <f t="shared" si="3"/>
        <v>20.483333333333331</v>
      </c>
      <c r="K229">
        <f>DAY(weather.tbl[[#This Row],[Date]])</f>
        <v>16</v>
      </c>
      <c r="L229">
        <f>MONTH(weather.tbl[[#This Row],[Date]])</f>
        <v>8</v>
      </c>
      <c r="M229">
        <f>YEAR(weather.tbl[[#This Row],[Date]])</f>
        <v>2014</v>
      </c>
    </row>
    <row r="230" spans="1:13" x14ac:dyDescent="0.25">
      <c r="A230" s="1">
        <v>41868</v>
      </c>
      <c r="B230" s="2">
        <v>20.9</v>
      </c>
      <c r="C230" s="2">
        <v>20.8</v>
      </c>
      <c r="D230" s="2">
        <v>22</v>
      </c>
      <c r="E230" s="2">
        <v>21</v>
      </c>
      <c r="F230" s="2">
        <v>20.5</v>
      </c>
      <c r="G230" s="2">
        <v>19.7</v>
      </c>
      <c r="H230" s="2">
        <f>AVERAGE(weather.tbl[[#This Row],[Estevan]:[Kipling]])</f>
        <v>20.816666666666666</v>
      </c>
      <c r="I230" s="2">
        <f>_xlfn.STDEV.S(weather.tbl[[#This Row],[Estevan]:[Kipling]])</f>
        <v>0.74677082606825707</v>
      </c>
      <c r="J230" s="2">
        <f t="shared" si="3"/>
        <v>21.11904761904762</v>
      </c>
      <c r="K230">
        <f>DAY(weather.tbl[[#This Row],[Date]])</f>
        <v>17</v>
      </c>
      <c r="L230">
        <f>MONTH(weather.tbl[[#This Row],[Date]])</f>
        <v>8</v>
      </c>
      <c r="M230">
        <f>YEAR(weather.tbl[[#This Row],[Date]])</f>
        <v>2014</v>
      </c>
    </row>
    <row r="231" spans="1:13" x14ac:dyDescent="0.25">
      <c r="A231" s="1">
        <v>41869</v>
      </c>
      <c r="B231" s="2">
        <v>20.6</v>
      </c>
      <c r="C231" s="2">
        <v>20</v>
      </c>
      <c r="D231" s="2">
        <v>21.5</v>
      </c>
      <c r="E231" s="2">
        <v>20.5</v>
      </c>
      <c r="F231" s="2">
        <v>21.7</v>
      </c>
      <c r="G231" s="2">
        <v>19.600000000000001</v>
      </c>
      <c r="H231" s="2">
        <f>AVERAGE(weather.tbl[[#This Row],[Estevan]:[Kipling]])</f>
        <v>20.650000000000002</v>
      </c>
      <c r="I231" s="2">
        <f>_xlfn.STDEV.S(weather.tbl[[#This Row],[Estevan]:[Kipling]])</f>
        <v>0.82158383625774867</v>
      </c>
      <c r="J231" s="2">
        <f t="shared" si="3"/>
        <v>21.554761904761907</v>
      </c>
      <c r="K231">
        <f>DAY(weather.tbl[[#This Row],[Date]])</f>
        <v>18</v>
      </c>
      <c r="L231">
        <f>MONTH(weather.tbl[[#This Row],[Date]])</f>
        <v>8</v>
      </c>
      <c r="M231">
        <f>YEAR(weather.tbl[[#This Row],[Date]])</f>
        <v>2014</v>
      </c>
    </row>
    <row r="232" spans="1:13" x14ac:dyDescent="0.25">
      <c r="A232" s="1">
        <v>41870</v>
      </c>
      <c r="B232" s="2">
        <v>20.7</v>
      </c>
      <c r="C232" s="2">
        <v>20.100000000000001</v>
      </c>
      <c r="D232" s="2">
        <v>21.3</v>
      </c>
      <c r="E232" s="2">
        <v>21</v>
      </c>
      <c r="F232" s="2">
        <v>21.4</v>
      </c>
      <c r="G232" s="2">
        <v>19.7</v>
      </c>
      <c r="H232" s="2">
        <f>AVERAGE(weather.tbl[[#This Row],[Estevan]:[Kipling]])</f>
        <v>20.7</v>
      </c>
      <c r="I232" s="2">
        <f>_xlfn.STDEV.S(weather.tbl[[#This Row],[Estevan]:[Kipling]])</f>
        <v>0.67823299831252659</v>
      </c>
      <c r="J232" s="2">
        <f t="shared" si="3"/>
        <v>21.509523809523809</v>
      </c>
      <c r="K232">
        <f>DAY(weather.tbl[[#This Row],[Date]])</f>
        <v>19</v>
      </c>
      <c r="L232">
        <f>MONTH(weather.tbl[[#This Row],[Date]])</f>
        <v>8</v>
      </c>
      <c r="M232">
        <f>YEAR(weather.tbl[[#This Row],[Date]])</f>
        <v>2014</v>
      </c>
    </row>
    <row r="233" spans="1:13" x14ac:dyDescent="0.25">
      <c r="A233" s="1">
        <v>41871</v>
      </c>
      <c r="B233" s="2">
        <v>20.100000000000001</v>
      </c>
      <c r="C233" s="2">
        <v>19.5</v>
      </c>
      <c r="D233" s="2">
        <v>20.3</v>
      </c>
      <c r="E233" s="2">
        <v>19</v>
      </c>
      <c r="F233" s="2">
        <v>22.6</v>
      </c>
      <c r="G233" s="2">
        <v>20.5</v>
      </c>
      <c r="H233" s="2">
        <f>AVERAGE(weather.tbl[[#This Row],[Estevan]:[Kipling]])</f>
        <v>20.333333333333332</v>
      </c>
      <c r="I233" s="2">
        <f>_xlfn.STDEV.S(weather.tbl[[#This Row],[Estevan]:[Kipling]])</f>
        <v>1.2404300329590008</v>
      </c>
      <c r="J233" s="2">
        <f t="shared" si="3"/>
        <v>21.280952380952382</v>
      </c>
      <c r="K233">
        <f>DAY(weather.tbl[[#This Row],[Date]])</f>
        <v>20</v>
      </c>
      <c r="L233">
        <f>MONTH(weather.tbl[[#This Row],[Date]])</f>
        <v>8</v>
      </c>
      <c r="M233">
        <f>YEAR(weather.tbl[[#This Row],[Date]])</f>
        <v>2014</v>
      </c>
    </row>
    <row r="234" spans="1:13" x14ac:dyDescent="0.25">
      <c r="A234" s="1">
        <v>41872</v>
      </c>
      <c r="B234" s="2">
        <v>18.399999999999999</v>
      </c>
      <c r="C234" s="2">
        <v>18.100000000000001</v>
      </c>
      <c r="D234" s="2">
        <v>17.8</v>
      </c>
      <c r="E234" s="2">
        <v>19.3</v>
      </c>
      <c r="F234" s="2">
        <v>20</v>
      </c>
      <c r="G234" s="2">
        <v>18</v>
      </c>
      <c r="H234" s="2">
        <f>AVERAGE(weather.tbl[[#This Row],[Estevan]:[Kipling]])</f>
        <v>18.599999999999998</v>
      </c>
      <c r="I234" s="2">
        <f>_xlfn.STDEV.S(weather.tbl[[#This Row],[Estevan]:[Kipling]])</f>
        <v>0.86486993241758603</v>
      </c>
      <c r="J234" s="2">
        <f t="shared" si="3"/>
        <v>20.469047619047618</v>
      </c>
      <c r="K234">
        <f>DAY(weather.tbl[[#This Row],[Date]])</f>
        <v>21</v>
      </c>
      <c r="L234">
        <f>MONTH(weather.tbl[[#This Row],[Date]])</f>
        <v>8</v>
      </c>
      <c r="M234">
        <f>YEAR(weather.tbl[[#This Row],[Date]])</f>
        <v>2014</v>
      </c>
    </row>
    <row r="235" spans="1:13" x14ac:dyDescent="0.25">
      <c r="A235" s="1">
        <v>41873</v>
      </c>
      <c r="B235" s="2">
        <v>16</v>
      </c>
      <c r="C235" s="2">
        <v>16.3</v>
      </c>
      <c r="D235" s="2">
        <v>16.3</v>
      </c>
      <c r="E235" s="2">
        <v>16.8</v>
      </c>
      <c r="F235" s="2">
        <v>16.8</v>
      </c>
      <c r="G235" s="2">
        <v>15.8</v>
      </c>
      <c r="H235" s="2">
        <f>AVERAGE(weather.tbl[[#This Row],[Estevan]:[Kipling]])</f>
        <v>16.333333333333332</v>
      </c>
      <c r="I235" s="2">
        <f>_xlfn.STDEV.S(weather.tbl[[#This Row],[Estevan]:[Kipling]])</f>
        <v>0.40824829046386313</v>
      </c>
      <c r="J235" s="2">
        <f t="shared" si="3"/>
        <v>19.497619047619047</v>
      </c>
      <c r="K235">
        <f>DAY(weather.tbl[[#This Row],[Date]])</f>
        <v>22</v>
      </c>
      <c r="L235">
        <f>MONTH(weather.tbl[[#This Row],[Date]])</f>
        <v>8</v>
      </c>
      <c r="M235">
        <f>YEAR(weather.tbl[[#This Row],[Date]])</f>
        <v>2014</v>
      </c>
    </row>
    <row r="236" spans="1:13" x14ac:dyDescent="0.25">
      <c r="A236" s="1">
        <v>41874</v>
      </c>
      <c r="B236" s="2">
        <v>12.4</v>
      </c>
      <c r="C236" s="2">
        <v>12.1</v>
      </c>
      <c r="D236" s="2">
        <v>12.8</v>
      </c>
      <c r="E236" s="2">
        <v>12.5</v>
      </c>
      <c r="F236" s="2">
        <v>13.2</v>
      </c>
      <c r="G236" s="2">
        <v>12.4</v>
      </c>
      <c r="H236" s="2">
        <f>AVERAGE(weather.tbl[[#This Row],[Estevan]:[Kipling]])</f>
        <v>12.566666666666668</v>
      </c>
      <c r="I236" s="2">
        <f>_xlfn.STDEV.S(weather.tbl[[#This Row],[Estevan]:[Kipling]])</f>
        <v>0.3829708431025351</v>
      </c>
      <c r="J236" s="2">
        <f t="shared" si="3"/>
        <v>18.571428571428573</v>
      </c>
      <c r="K236">
        <f>DAY(weather.tbl[[#This Row],[Date]])</f>
        <v>23</v>
      </c>
      <c r="L236">
        <f>MONTH(weather.tbl[[#This Row],[Date]])</f>
        <v>8</v>
      </c>
      <c r="M236">
        <f>YEAR(weather.tbl[[#This Row],[Date]])</f>
        <v>2014</v>
      </c>
    </row>
    <row r="237" spans="1:13" x14ac:dyDescent="0.25">
      <c r="A237" s="1">
        <v>41875</v>
      </c>
      <c r="B237" s="2">
        <v>12.6</v>
      </c>
      <c r="C237" s="2">
        <v>10.6</v>
      </c>
      <c r="D237" s="2">
        <v>13.3</v>
      </c>
      <c r="E237" s="2">
        <v>12.5</v>
      </c>
      <c r="F237" s="2">
        <v>14.3</v>
      </c>
      <c r="G237" s="2">
        <v>11.4</v>
      </c>
      <c r="H237" s="2">
        <f>AVERAGE(weather.tbl[[#This Row],[Estevan]:[Kipling]])</f>
        <v>12.450000000000001</v>
      </c>
      <c r="I237" s="2">
        <f>_xlfn.STDEV.S(weather.tbl[[#This Row],[Estevan]:[Kipling]])</f>
        <v>1.318711492328781</v>
      </c>
      <c r="J237" s="2">
        <f t="shared" si="3"/>
        <v>17.376190476190477</v>
      </c>
      <c r="K237">
        <f>DAY(weather.tbl[[#This Row],[Date]])</f>
        <v>24</v>
      </c>
      <c r="L237">
        <f>MONTH(weather.tbl[[#This Row],[Date]])</f>
        <v>8</v>
      </c>
      <c r="M237">
        <f>YEAR(weather.tbl[[#This Row],[Date]])</f>
        <v>2014</v>
      </c>
    </row>
    <row r="238" spans="1:13" x14ac:dyDescent="0.25">
      <c r="A238" s="1">
        <v>41876</v>
      </c>
      <c r="B238" s="2">
        <v>11.5</v>
      </c>
      <c r="C238" s="2">
        <v>11.5</v>
      </c>
      <c r="D238" s="2">
        <v>11</v>
      </c>
      <c r="E238" s="2">
        <v>10.5</v>
      </c>
      <c r="F238" s="2">
        <v>10.6</v>
      </c>
      <c r="G238" s="2">
        <v>9.6</v>
      </c>
      <c r="H238" s="2">
        <f>AVERAGE(weather.tbl[[#This Row],[Estevan]:[Kipling]])</f>
        <v>10.783333333333333</v>
      </c>
      <c r="I238" s="2">
        <f>_xlfn.STDEV.S(weather.tbl[[#This Row],[Estevan]:[Kipling]])</f>
        <v>0.71949056051255245</v>
      </c>
      <c r="J238" s="2">
        <f t="shared" si="3"/>
        <v>15.966666666666665</v>
      </c>
      <c r="K238">
        <f>DAY(weather.tbl[[#This Row],[Date]])</f>
        <v>25</v>
      </c>
      <c r="L238">
        <f>MONTH(weather.tbl[[#This Row],[Date]])</f>
        <v>8</v>
      </c>
      <c r="M238">
        <f>YEAR(weather.tbl[[#This Row],[Date]])</f>
        <v>2014</v>
      </c>
    </row>
    <row r="239" spans="1:13" x14ac:dyDescent="0.25">
      <c r="A239" s="1">
        <v>41877</v>
      </c>
      <c r="B239" s="2">
        <v>12.7</v>
      </c>
      <c r="C239" s="2">
        <v>12.9</v>
      </c>
      <c r="D239" s="2">
        <v>11</v>
      </c>
      <c r="E239" s="2">
        <v>13</v>
      </c>
      <c r="F239" s="2">
        <v>13</v>
      </c>
      <c r="G239" s="2">
        <v>11.8</v>
      </c>
      <c r="H239" s="2">
        <f>AVERAGE(weather.tbl[[#This Row],[Estevan]:[Kipling]])</f>
        <v>12.4</v>
      </c>
      <c r="I239" s="2">
        <f>_xlfn.STDEV.S(weather.tbl[[#This Row],[Estevan]:[Kipling]])</f>
        <v>0.82219219164377844</v>
      </c>
      <c r="J239" s="2">
        <f t="shared" si="3"/>
        <v>14.780952380952382</v>
      </c>
      <c r="K239">
        <f>DAY(weather.tbl[[#This Row],[Date]])</f>
        <v>26</v>
      </c>
      <c r="L239">
        <f>MONTH(weather.tbl[[#This Row],[Date]])</f>
        <v>8</v>
      </c>
      <c r="M239">
        <f>YEAR(weather.tbl[[#This Row],[Date]])</f>
        <v>2014</v>
      </c>
    </row>
    <row r="240" spans="1:13" x14ac:dyDescent="0.25">
      <c r="A240" s="1">
        <v>41878</v>
      </c>
      <c r="B240" s="2">
        <v>17.899999999999999</v>
      </c>
      <c r="C240" s="2">
        <v>17.899999999999999</v>
      </c>
      <c r="D240" s="2">
        <v>16.3</v>
      </c>
      <c r="E240" s="2">
        <v>18</v>
      </c>
      <c r="F240" s="2">
        <v>16.600000000000001</v>
      </c>
      <c r="G240" s="2">
        <v>16.7</v>
      </c>
      <c r="H240" s="2">
        <f>AVERAGE(weather.tbl[[#This Row],[Estevan]:[Kipling]])</f>
        <v>17.233333333333331</v>
      </c>
      <c r="I240" s="2">
        <f>_xlfn.STDEV.S(weather.tbl[[#This Row],[Estevan]:[Kipling]])</f>
        <v>0.77888809636986067</v>
      </c>
      <c r="J240" s="2">
        <f t="shared" si="3"/>
        <v>14.338095238095239</v>
      </c>
      <c r="K240">
        <f>DAY(weather.tbl[[#This Row],[Date]])</f>
        <v>27</v>
      </c>
      <c r="L240">
        <f>MONTH(weather.tbl[[#This Row],[Date]])</f>
        <v>8</v>
      </c>
      <c r="M240">
        <f>YEAR(weather.tbl[[#This Row],[Date]])</f>
        <v>2014</v>
      </c>
    </row>
    <row r="241" spans="1:13" x14ac:dyDescent="0.25">
      <c r="A241" s="1">
        <v>41879</v>
      </c>
      <c r="B241" s="2">
        <v>22.8</v>
      </c>
      <c r="C241" s="2">
        <v>21.3</v>
      </c>
      <c r="D241" s="2">
        <v>20.8</v>
      </c>
      <c r="E241" s="2">
        <v>21</v>
      </c>
      <c r="F241" s="2">
        <v>22.4</v>
      </c>
      <c r="G241" s="2">
        <v>21.4</v>
      </c>
      <c r="H241" s="2">
        <f>AVERAGE(weather.tbl[[#This Row],[Estevan]:[Kipling]])</f>
        <v>21.616666666666671</v>
      </c>
      <c r="I241" s="2">
        <f>_xlfn.STDEV.S(weather.tbl[[#This Row],[Estevan]:[Kipling]])</f>
        <v>0.8010409893798609</v>
      </c>
      <c r="J241" s="2">
        <f t="shared" si="3"/>
        <v>14.769047619047621</v>
      </c>
      <c r="K241">
        <f>DAY(weather.tbl[[#This Row],[Date]])</f>
        <v>28</v>
      </c>
      <c r="L241">
        <f>MONTH(weather.tbl[[#This Row],[Date]])</f>
        <v>8</v>
      </c>
      <c r="M241">
        <f>YEAR(weather.tbl[[#This Row],[Date]])</f>
        <v>2014</v>
      </c>
    </row>
    <row r="242" spans="1:13" x14ac:dyDescent="0.25">
      <c r="A242" s="1">
        <v>41880</v>
      </c>
      <c r="B242" s="2">
        <v>15.5</v>
      </c>
      <c r="C242" s="2">
        <v>15.6</v>
      </c>
      <c r="D242" s="2">
        <v>16.8</v>
      </c>
      <c r="E242" s="2">
        <v>17.5</v>
      </c>
      <c r="F242" s="2">
        <v>15.8</v>
      </c>
      <c r="G242" s="2">
        <v>15.8</v>
      </c>
      <c r="H242" s="2">
        <f>AVERAGE(weather.tbl[[#This Row],[Estevan]:[Kipling]])</f>
        <v>16.166666666666668</v>
      </c>
      <c r="I242" s="2">
        <f>_xlfn.STDEV.S(weather.tbl[[#This Row],[Estevan]:[Kipling]])</f>
        <v>0.80166493416306206</v>
      </c>
      <c r="J242" s="2">
        <f t="shared" si="3"/>
        <v>14.745238095238097</v>
      </c>
      <c r="K242">
        <f>DAY(weather.tbl[[#This Row],[Date]])</f>
        <v>29</v>
      </c>
      <c r="L242">
        <f>MONTH(weather.tbl[[#This Row],[Date]])</f>
        <v>8</v>
      </c>
      <c r="M242">
        <f>YEAR(weather.tbl[[#This Row],[Date]])</f>
        <v>2014</v>
      </c>
    </row>
    <row r="243" spans="1:13" x14ac:dyDescent="0.25">
      <c r="A243" s="1">
        <v>41881</v>
      </c>
      <c r="B243" s="2">
        <v>15.8</v>
      </c>
      <c r="C243" s="2">
        <v>15.6</v>
      </c>
      <c r="D243" s="2">
        <v>15.5</v>
      </c>
      <c r="E243" s="2">
        <v>15.3</v>
      </c>
      <c r="F243" s="2">
        <v>15.4</v>
      </c>
      <c r="G243" s="2">
        <v>13.8</v>
      </c>
      <c r="H243" s="2">
        <f>AVERAGE(weather.tbl[[#This Row],[Estevan]:[Kipling]])</f>
        <v>15.233333333333334</v>
      </c>
      <c r="I243" s="2">
        <f>_xlfn.STDEV.S(weather.tbl[[#This Row],[Estevan]:[Kipling]])</f>
        <v>0.72295689129205098</v>
      </c>
      <c r="J243" s="2">
        <f t="shared" si="3"/>
        <v>15.126190476190477</v>
      </c>
      <c r="K243">
        <f>DAY(weather.tbl[[#This Row],[Date]])</f>
        <v>30</v>
      </c>
      <c r="L243">
        <f>MONTH(weather.tbl[[#This Row],[Date]])</f>
        <v>8</v>
      </c>
      <c r="M243">
        <f>YEAR(weather.tbl[[#This Row],[Date]])</f>
        <v>2014</v>
      </c>
    </row>
    <row r="244" spans="1:13" x14ac:dyDescent="0.25">
      <c r="A244" s="1">
        <v>41882</v>
      </c>
      <c r="B244" s="2">
        <v>16.8</v>
      </c>
      <c r="C244" s="2">
        <v>15.7</v>
      </c>
      <c r="D244" s="2">
        <v>17.3</v>
      </c>
      <c r="E244" s="2">
        <v>16</v>
      </c>
      <c r="F244" s="2">
        <v>17.399999999999999</v>
      </c>
      <c r="G244" s="2">
        <v>16.2</v>
      </c>
      <c r="H244" s="2">
        <f>AVERAGE(weather.tbl[[#This Row],[Estevan]:[Kipling]])</f>
        <v>16.566666666666666</v>
      </c>
      <c r="I244" s="2">
        <f>_xlfn.STDEV.S(weather.tbl[[#This Row],[Estevan]:[Kipling]])</f>
        <v>0.70616334276615256</v>
      </c>
      <c r="J244" s="2">
        <f t="shared" si="3"/>
        <v>15.714285714285714</v>
      </c>
      <c r="K244">
        <f>DAY(weather.tbl[[#This Row],[Date]])</f>
        <v>31</v>
      </c>
      <c r="L244">
        <f>MONTH(weather.tbl[[#This Row],[Date]])</f>
        <v>8</v>
      </c>
      <c r="M244">
        <f>YEAR(weather.tbl[[#This Row],[Date]])</f>
        <v>2014</v>
      </c>
    </row>
    <row r="245" spans="1:13" x14ac:dyDescent="0.25">
      <c r="A245" s="1">
        <v>41883</v>
      </c>
      <c r="B245" s="2">
        <v>15.7</v>
      </c>
      <c r="C245" s="2">
        <v>14.7</v>
      </c>
      <c r="D245" s="2">
        <v>16</v>
      </c>
      <c r="E245" s="2">
        <v>15.3</v>
      </c>
      <c r="F245" s="2">
        <v>16.399999999999999</v>
      </c>
      <c r="G245" s="2">
        <v>15.1</v>
      </c>
      <c r="H245" s="2">
        <f>AVERAGE(weather.tbl[[#This Row],[Estevan]:[Kipling]])</f>
        <v>15.533333333333331</v>
      </c>
      <c r="I245" s="2">
        <f>_xlfn.STDEV.S(weather.tbl[[#This Row],[Estevan]:[Kipling]])</f>
        <v>0.62182527020592082</v>
      </c>
      <c r="J245" s="2">
        <f t="shared" si="3"/>
        <v>16.392857142857142</v>
      </c>
      <c r="K245">
        <f>DAY(weather.tbl[[#This Row],[Date]])</f>
        <v>1</v>
      </c>
      <c r="L245">
        <f>MONTH(weather.tbl[[#This Row],[Date]])</f>
        <v>9</v>
      </c>
      <c r="M245">
        <f>YEAR(weather.tbl[[#This Row],[Date]])</f>
        <v>2014</v>
      </c>
    </row>
    <row r="246" spans="1:13" x14ac:dyDescent="0.25">
      <c r="A246" s="1">
        <v>41884</v>
      </c>
      <c r="B246" s="2">
        <v>15.6</v>
      </c>
      <c r="C246" s="2">
        <v>14.9</v>
      </c>
      <c r="D246" s="2">
        <v>15.3</v>
      </c>
      <c r="E246" s="2">
        <v>14.5</v>
      </c>
      <c r="F246" s="2">
        <v>17</v>
      </c>
      <c r="G246" s="2">
        <v>14.5</v>
      </c>
      <c r="H246" s="2">
        <f>AVERAGE(weather.tbl[[#This Row],[Estevan]:[Kipling]])</f>
        <v>15.299999999999999</v>
      </c>
      <c r="I246" s="2">
        <f>_xlfn.STDEV.S(weather.tbl[[#This Row],[Estevan]:[Kipling]])</f>
        <v>0.94021274188345272</v>
      </c>
      <c r="J246" s="2">
        <f t="shared" si="3"/>
        <v>16.807142857142857</v>
      </c>
      <c r="K246">
        <f>DAY(weather.tbl[[#This Row],[Date]])</f>
        <v>2</v>
      </c>
      <c r="L246">
        <f>MONTH(weather.tbl[[#This Row],[Date]])</f>
        <v>9</v>
      </c>
      <c r="M246">
        <f>YEAR(weather.tbl[[#This Row],[Date]])</f>
        <v>2014</v>
      </c>
    </row>
    <row r="247" spans="1:13" x14ac:dyDescent="0.25">
      <c r="A247" s="1">
        <v>41885</v>
      </c>
      <c r="B247" s="2">
        <v>13.4</v>
      </c>
      <c r="C247" s="2">
        <v>15.9</v>
      </c>
      <c r="D247" s="2">
        <v>12.5</v>
      </c>
      <c r="E247" s="2">
        <v>14.8</v>
      </c>
      <c r="F247" s="2">
        <v>14.4</v>
      </c>
      <c r="G247" s="2">
        <v>14.8</v>
      </c>
      <c r="H247" s="2">
        <f>AVERAGE(weather.tbl[[#This Row],[Estevan]:[Kipling]])</f>
        <v>14.299999999999999</v>
      </c>
      <c r="I247" s="2">
        <f>_xlfn.STDEV.S(weather.tbl[[#This Row],[Estevan]:[Kipling]])</f>
        <v>1.193314711214104</v>
      </c>
      <c r="J247" s="2">
        <f t="shared" si="3"/>
        <v>16.388095238095239</v>
      </c>
      <c r="K247">
        <f>DAY(weather.tbl[[#This Row],[Date]])</f>
        <v>3</v>
      </c>
      <c r="L247">
        <f>MONTH(weather.tbl[[#This Row],[Date]])</f>
        <v>9</v>
      </c>
      <c r="M247">
        <f>YEAR(weather.tbl[[#This Row],[Date]])</f>
        <v>2014</v>
      </c>
    </row>
    <row r="248" spans="1:13" x14ac:dyDescent="0.25">
      <c r="A248" s="1">
        <v>41886</v>
      </c>
      <c r="B248" s="2">
        <v>11.7</v>
      </c>
      <c r="C248" s="2">
        <v>11.2</v>
      </c>
      <c r="D248" s="2">
        <v>14.5</v>
      </c>
      <c r="E248" s="2">
        <v>13.8</v>
      </c>
      <c r="F248" s="2">
        <v>13</v>
      </c>
      <c r="G248" s="2">
        <v>11.9</v>
      </c>
      <c r="H248" s="2">
        <f>AVERAGE(weather.tbl[[#This Row],[Estevan]:[Kipling]])</f>
        <v>12.683333333333335</v>
      </c>
      <c r="I248" s="2">
        <f>_xlfn.STDEV.S(weather.tbl[[#This Row],[Estevan]:[Kipling]])</f>
        <v>1.2983322635853534</v>
      </c>
      <c r="J248" s="2">
        <f t="shared" si="3"/>
        <v>15.111904761904762</v>
      </c>
      <c r="K248">
        <f>DAY(weather.tbl[[#This Row],[Date]])</f>
        <v>4</v>
      </c>
      <c r="L248">
        <f>MONTH(weather.tbl[[#This Row],[Date]])</f>
        <v>9</v>
      </c>
      <c r="M248">
        <f>YEAR(weather.tbl[[#This Row],[Date]])</f>
        <v>2014</v>
      </c>
    </row>
    <row r="249" spans="1:13" x14ac:dyDescent="0.25">
      <c r="A249" s="1">
        <v>41887</v>
      </c>
      <c r="B249" s="2">
        <v>13.6</v>
      </c>
      <c r="C249" s="2">
        <v>13.4</v>
      </c>
      <c r="D249" s="2">
        <v>14.3</v>
      </c>
      <c r="E249" s="2">
        <v>14.3</v>
      </c>
      <c r="F249" s="2">
        <v>14.7</v>
      </c>
      <c r="G249" s="2">
        <v>12.5</v>
      </c>
      <c r="H249" s="2">
        <f>AVERAGE(weather.tbl[[#This Row],[Estevan]:[Kipling]])</f>
        <v>13.799999999999999</v>
      </c>
      <c r="I249" s="2">
        <f>_xlfn.STDEV.S(weather.tbl[[#This Row],[Estevan]:[Kipling]])</f>
        <v>0.8</v>
      </c>
      <c r="J249" s="2">
        <f t="shared" si="3"/>
        <v>14.773809523809522</v>
      </c>
      <c r="K249">
        <f>DAY(weather.tbl[[#This Row],[Date]])</f>
        <v>5</v>
      </c>
      <c r="L249">
        <f>MONTH(weather.tbl[[#This Row],[Date]])</f>
        <v>9</v>
      </c>
      <c r="M249">
        <f>YEAR(weather.tbl[[#This Row],[Date]])</f>
        <v>2014</v>
      </c>
    </row>
    <row r="250" spans="1:13" x14ac:dyDescent="0.25">
      <c r="A250" s="1">
        <v>41888</v>
      </c>
      <c r="B250" s="2">
        <v>15.4</v>
      </c>
      <c r="C250" s="2">
        <v>14.6</v>
      </c>
      <c r="D250" s="2">
        <v>15.8</v>
      </c>
      <c r="E250" s="2">
        <v>16.5</v>
      </c>
      <c r="F250" s="2">
        <v>16.5</v>
      </c>
      <c r="G250" s="2">
        <v>14.8</v>
      </c>
      <c r="H250" s="2">
        <f>AVERAGE(weather.tbl[[#This Row],[Estevan]:[Kipling]])</f>
        <v>15.6</v>
      </c>
      <c r="I250" s="2">
        <f>_xlfn.STDEV.S(weather.tbl[[#This Row],[Estevan]:[Kipling]])</f>
        <v>0.8173126696681019</v>
      </c>
      <c r="J250" s="2">
        <f t="shared" si="3"/>
        <v>14.826190476190474</v>
      </c>
      <c r="K250">
        <f>DAY(weather.tbl[[#This Row],[Date]])</f>
        <v>6</v>
      </c>
      <c r="L250">
        <f>MONTH(weather.tbl[[#This Row],[Date]])</f>
        <v>9</v>
      </c>
      <c r="M250">
        <f>YEAR(weather.tbl[[#This Row],[Date]])</f>
        <v>2014</v>
      </c>
    </row>
    <row r="251" spans="1:13" x14ac:dyDescent="0.25">
      <c r="A251" s="1">
        <v>41889</v>
      </c>
      <c r="B251" s="2">
        <v>16.5</v>
      </c>
      <c r="C251" s="2">
        <v>16.600000000000001</v>
      </c>
      <c r="D251" s="2">
        <v>16.3</v>
      </c>
      <c r="E251" s="2">
        <v>16.5</v>
      </c>
      <c r="F251" s="2">
        <v>16.600000000000001</v>
      </c>
      <c r="G251" s="2">
        <v>16.3</v>
      </c>
      <c r="H251" s="2">
        <f>AVERAGE(weather.tbl[[#This Row],[Estevan]:[Kipling]])</f>
        <v>16.466666666666665</v>
      </c>
      <c r="I251" s="2">
        <f>_xlfn.STDEV.S(weather.tbl[[#This Row],[Estevan]:[Kipling]])</f>
        <v>0.13662601021279486</v>
      </c>
      <c r="J251" s="2">
        <f t="shared" si="3"/>
        <v>14.81190476190476</v>
      </c>
      <c r="K251">
        <f>DAY(weather.tbl[[#This Row],[Date]])</f>
        <v>7</v>
      </c>
      <c r="L251">
        <f>MONTH(weather.tbl[[#This Row],[Date]])</f>
        <v>9</v>
      </c>
      <c r="M251">
        <f>YEAR(weather.tbl[[#This Row],[Date]])</f>
        <v>2014</v>
      </c>
    </row>
    <row r="252" spans="1:13" x14ac:dyDescent="0.25">
      <c r="A252" s="1">
        <v>41890</v>
      </c>
      <c r="B252" s="2">
        <v>12.7</v>
      </c>
      <c r="C252" s="2">
        <v>10.6</v>
      </c>
      <c r="D252" s="2">
        <v>13.3</v>
      </c>
      <c r="E252" s="2">
        <v>10.5</v>
      </c>
      <c r="F252" s="2">
        <v>12</v>
      </c>
      <c r="G252" s="2">
        <v>9.3000000000000007</v>
      </c>
      <c r="H252" s="2">
        <f>AVERAGE(weather.tbl[[#This Row],[Estevan]:[Kipling]])</f>
        <v>11.399999999999999</v>
      </c>
      <c r="I252" s="2">
        <f>_xlfn.STDEV.S(weather.tbl[[#This Row],[Estevan]:[Kipling]])</f>
        <v>1.517893276880836</v>
      </c>
      <c r="J252" s="2">
        <f t="shared" si="3"/>
        <v>14.22142857142857</v>
      </c>
      <c r="K252">
        <f>DAY(weather.tbl[[#This Row],[Date]])</f>
        <v>8</v>
      </c>
      <c r="L252">
        <f>MONTH(weather.tbl[[#This Row],[Date]])</f>
        <v>9</v>
      </c>
      <c r="M252">
        <f>YEAR(weather.tbl[[#This Row],[Date]])</f>
        <v>2014</v>
      </c>
    </row>
    <row r="253" spans="1:13" x14ac:dyDescent="0.25">
      <c r="A253" s="1">
        <v>41891</v>
      </c>
      <c r="B253" s="2">
        <v>6.2</v>
      </c>
      <c r="C253" s="2">
        <v>5</v>
      </c>
      <c r="D253" s="2">
        <v>5.8</v>
      </c>
      <c r="E253" s="2">
        <v>5.3</v>
      </c>
      <c r="F253" s="2">
        <v>7.7</v>
      </c>
      <c r="G253" s="2">
        <v>5.2</v>
      </c>
      <c r="H253" s="2">
        <f>AVERAGE(weather.tbl[[#This Row],[Estevan]:[Kipling]])</f>
        <v>5.8666666666666671</v>
      </c>
      <c r="I253" s="2">
        <f>_xlfn.STDEV.S(weather.tbl[[#This Row],[Estevan]:[Kipling]])</f>
        <v>0.99933311096284005</v>
      </c>
      <c r="J253" s="2">
        <f t="shared" si="3"/>
        <v>12.873809523809525</v>
      </c>
      <c r="K253">
        <f>DAY(weather.tbl[[#This Row],[Date]])</f>
        <v>9</v>
      </c>
      <c r="L253">
        <f>MONTH(weather.tbl[[#This Row],[Date]])</f>
        <v>9</v>
      </c>
      <c r="M253">
        <f>YEAR(weather.tbl[[#This Row],[Date]])</f>
        <v>2014</v>
      </c>
    </row>
    <row r="254" spans="1:13" x14ac:dyDescent="0.25">
      <c r="A254" s="1">
        <v>41892</v>
      </c>
      <c r="B254" s="2">
        <v>6</v>
      </c>
      <c r="C254" s="2">
        <v>5.3</v>
      </c>
      <c r="D254" s="2">
        <v>6.3</v>
      </c>
      <c r="E254" s="2">
        <v>5</v>
      </c>
      <c r="F254" s="2">
        <v>7</v>
      </c>
      <c r="G254" s="2">
        <v>4.5999999999999996</v>
      </c>
      <c r="H254" s="2">
        <f>AVERAGE(weather.tbl[[#This Row],[Estevan]:[Kipling]])</f>
        <v>5.7</v>
      </c>
      <c r="I254" s="2">
        <f>_xlfn.STDEV.S(weather.tbl[[#This Row],[Estevan]:[Kipling]])</f>
        <v>0.89442719099991264</v>
      </c>
      <c r="J254" s="2">
        <f t="shared" si="3"/>
        <v>11.645238095238096</v>
      </c>
      <c r="K254">
        <f>DAY(weather.tbl[[#This Row],[Date]])</f>
        <v>10</v>
      </c>
      <c r="L254">
        <f>MONTH(weather.tbl[[#This Row],[Date]])</f>
        <v>9</v>
      </c>
      <c r="M254">
        <f>YEAR(weather.tbl[[#This Row],[Date]])</f>
        <v>2014</v>
      </c>
    </row>
    <row r="255" spans="1:13" x14ac:dyDescent="0.25">
      <c r="A255" s="1">
        <v>41893</v>
      </c>
      <c r="B255" s="2">
        <v>5.4</v>
      </c>
      <c r="C255" s="2">
        <v>4</v>
      </c>
      <c r="D255" s="2">
        <v>5.5</v>
      </c>
      <c r="E255" s="2">
        <v>3.3</v>
      </c>
      <c r="F255" s="2">
        <v>7.6</v>
      </c>
      <c r="G255" s="2">
        <v>4.9000000000000004</v>
      </c>
      <c r="H255" s="2">
        <f>AVERAGE(weather.tbl[[#This Row],[Estevan]:[Kipling]])</f>
        <v>5.1166666666666663</v>
      </c>
      <c r="I255" s="2">
        <f>_xlfn.STDEV.S(weather.tbl[[#This Row],[Estevan]:[Kipling]])</f>
        <v>1.4824529222429543</v>
      </c>
      <c r="J255" s="2">
        <f t="shared" si="3"/>
        <v>10.564285714285713</v>
      </c>
      <c r="K255">
        <f>DAY(weather.tbl[[#This Row],[Date]])</f>
        <v>11</v>
      </c>
      <c r="L255">
        <f>MONTH(weather.tbl[[#This Row],[Date]])</f>
        <v>9</v>
      </c>
      <c r="M255">
        <f>YEAR(weather.tbl[[#This Row],[Date]])</f>
        <v>2014</v>
      </c>
    </row>
    <row r="256" spans="1:13" x14ac:dyDescent="0.25">
      <c r="A256" s="1">
        <v>41894</v>
      </c>
      <c r="B256" s="2">
        <v>5.9</v>
      </c>
      <c r="C256" s="2">
        <v>5.7</v>
      </c>
      <c r="D256" s="2">
        <v>6.8</v>
      </c>
      <c r="E256" s="2">
        <v>6</v>
      </c>
      <c r="F256" s="2">
        <v>7.5</v>
      </c>
      <c r="G256" s="2">
        <v>6</v>
      </c>
      <c r="H256" s="2">
        <f>AVERAGE(weather.tbl[[#This Row],[Estevan]:[Kipling]])</f>
        <v>6.3166666666666673</v>
      </c>
      <c r="I256" s="2">
        <f>_xlfn.STDEV.S(weather.tbl[[#This Row],[Estevan]:[Kipling]])</f>
        <v>0.69113433330045659</v>
      </c>
      <c r="J256" s="2">
        <f t="shared" si="3"/>
        <v>9.4952380952380953</v>
      </c>
      <c r="K256">
        <f>DAY(weather.tbl[[#This Row],[Date]])</f>
        <v>12</v>
      </c>
      <c r="L256">
        <f>MONTH(weather.tbl[[#This Row],[Date]])</f>
        <v>9</v>
      </c>
      <c r="M256">
        <f>YEAR(weather.tbl[[#This Row],[Date]])</f>
        <v>2014</v>
      </c>
    </row>
    <row r="257" spans="1:13" x14ac:dyDescent="0.25">
      <c r="A257" s="1">
        <v>41895</v>
      </c>
      <c r="B257" s="2">
        <v>7.6</v>
      </c>
      <c r="C257" s="2">
        <v>6.9</v>
      </c>
      <c r="D257" s="2">
        <v>7.3</v>
      </c>
      <c r="E257" s="2">
        <v>7.5</v>
      </c>
      <c r="F257" s="2">
        <v>9.5</v>
      </c>
      <c r="G257" s="2">
        <v>8</v>
      </c>
      <c r="H257" s="2">
        <f>AVERAGE(weather.tbl[[#This Row],[Estevan]:[Kipling]])</f>
        <v>7.8</v>
      </c>
      <c r="I257" s="2">
        <f>_xlfn.STDEV.S(weather.tbl[[#This Row],[Estevan]:[Kipling]])</f>
        <v>0.90774445743281795</v>
      </c>
      <c r="J257" s="2">
        <f t="shared" si="3"/>
        <v>8.3809523809523814</v>
      </c>
      <c r="K257">
        <f>DAY(weather.tbl[[#This Row],[Date]])</f>
        <v>13</v>
      </c>
      <c r="L257">
        <f>MONTH(weather.tbl[[#This Row],[Date]])</f>
        <v>9</v>
      </c>
      <c r="M257">
        <f>YEAR(weather.tbl[[#This Row],[Date]])</f>
        <v>2014</v>
      </c>
    </row>
    <row r="258" spans="1:13" x14ac:dyDescent="0.25">
      <c r="A258" s="1">
        <v>41896</v>
      </c>
      <c r="B258" s="2">
        <v>5.5</v>
      </c>
      <c r="C258" s="2">
        <v>5.5</v>
      </c>
      <c r="D258" s="2">
        <v>6.3</v>
      </c>
      <c r="E258" s="2">
        <v>6</v>
      </c>
      <c r="F258" s="2">
        <v>8.8000000000000007</v>
      </c>
      <c r="G258" s="2">
        <v>6.3</v>
      </c>
      <c r="H258" s="2">
        <f>AVERAGE(weather.tbl[[#This Row],[Estevan]:[Kipling]])</f>
        <v>6.3999999999999995</v>
      </c>
      <c r="I258" s="2">
        <f>_xlfn.STDEV.S(weather.tbl[[#This Row],[Estevan]:[Kipling]])</f>
        <v>1.229634091915152</v>
      </c>
      <c r="J258" s="2">
        <f t="shared" si="3"/>
        <v>6.9428571428571422</v>
      </c>
      <c r="K258">
        <f>DAY(weather.tbl[[#This Row],[Date]])</f>
        <v>14</v>
      </c>
      <c r="L258">
        <f>MONTH(weather.tbl[[#This Row],[Date]])</f>
        <v>9</v>
      </c>
      <c r="M258">
        <f>YEAR(weather.tbl[[#This Row],[Date]])</f>
        <v>2014</v>
      </c>
    </row>
    <row r="259" spans="1:13" x14ac:dyDescent="0.25">
      <c r="A259" s="1">
        <v>41897</v>
      </c>
      <c r="B259" s="2">
        <v>10.8</v>
      </c>
      <c r="C259" s="2">
        <v>10.4</v>
      </c>
      <c r="D259" s="2">
        <v>10</v>
      </c>
      <c r="E259" s="2">
        <v>11.3</v>
      </c>
      <c r="F259" s="2">
        <v>10.3</v>
      </c>
      <c r="G259" s="2">
        <v>10.4</v>
      </c>
      <c r="H259" s="2">
        <f>AVERAGE(weather.tbl[[#This Row],[Estevan]:[Kipling]])</f>
        <v>10.533333333333333</v>
      </c>
      <c r="I259" s="2">
        <f>_xlfn.STDEV.S(weather.tbl[[#This Row],[Estevan]:[Kipling]])</f>
        <v>0.4546060565661954</v>
      </c>
      <c r="J259" s="2">
        <f t="shared" si="3"/>
        <v>6.8190476190476188</v>
      </c>
      <c r="K259">
        <f>DAY(weather.tbl[[#This Row],[Date]])</f>
        <v>15</v>
      </c>
      <c r="L259">
        <f>MONTH(weather.tbl[[#This Row],[Date]])</f>
        <v>9</v>
      </c>
      <c r="M259">
        <f>YEAR(weather.tbl[[#This Row],[Date]])</f>
        <v>2014</v>
      </c>
    </row>
    <row r="260" spans="1:13" x14ac:dyDescent="0.25">
      <c r="A260" s="1">
        <v>41898</v>
      </c>
      <c r="B260" s="2">
        <v>13</v>
      </c>
      <c r="C260" s="2">
        <v>12.9</v>
      </c>
      <c r="D260" s="2">
        <v>13</v>
      </c>
      <c r="E260" s="2">
        <v>13.5</v>
      </c>
      <c r="F260" s="2">
        <v>10.3</v>
      </c>
      <c r="G260" s="2">
        <v>13.1</v>
      </c>
      <c r="H260" s="2">
        <f>AVERAGE(weather.tbl[[#This Row],[Estevan]:[Kipling]])</f>
        <v>12.633333333333333</v>
      </c>
      <c r="I260" s="2">
        <f>_xlfn.STDEV.S(weather.tbl[[#This Row],[Estevan]:[Kipling]])</f>
        <v>1.1621818561080128</v>
      </c>
      <c r="J260" s="2">
        <f t="shared" si="3"/>
        <v>7.7857142857142856</v>
      </c>
      <c r="K260">
        <f>DAY(weather.tbl[[#This Row],[Date]])</f>
        <v>16</v>
      </c>
      <c r="L260">
        <f>MONTH(weather.tbl[[#This Row],[Date]])</f>
        <v>9</v>
      </c>
      <c r="M260">
        <f>YEAR(weather.tbl[[#This Row],[Date]])</f>
        <v>2014</v>
      </c>
    </row>
    <row r="261" spans="1:13" x14ac:dyDescent="0.25">
      <c r="A261" s="1">
        <v>41899</v>
      </c>
      <c r="B261" s="2">
        <v>11.8</v>
      </c>
      <c r="C261" s="2">
        <v>11.6</v>
      </c>
      <c r="D261" s="2">
        <v>10</v>
      </c>
      <c r="E261" s="2">
        <v>12.5</v>
      </c>
      <c r="F261" s="2">
        <v>9.4</v>
      </c>
      <c r="G261" s="2">
        <v>10</v>
      </c>
      <c r="H261" s="2">
        <f>AVERAGE(weather.tbl[[#This Row],[Estevan]:[Kipling]])</f>
        <v>10.883333333333333</v>
      </c>
      <c r="I261" s="2">
        <f>_xlfn.STDEV.S(weather.tbl[[#This Row],[Estevan]:[Kipling]])</f>
        <v>1.2432484332050024</v>
      </c>
      <c r="J261" s="2">
        <f t="shared" si="3"/>
        <v>8.5261904761904752</v>
      </c>
      <c r="K261">
        <f>DAY(weather.tbl[[#This Row],[Date]])</f>
        <v>17</v>
      </c>
      <c r="L261">
        <f>MONTH(weather.tbl[[#This Row],[Date]])</f>
        <v>9</v>
      </c>
      <c r="M261">
        <f>YEAR(weather.tbl[[#This Row],[Date]])</f>
        <v>2014</v>
      </c>
    </row>
    <row r="262" spans="1:13" x14ac:dyDescent="0.25">
      <c r="A262" s="1">
        <v>41900</v>
      </c>
      <c r="B262" s="2">
        <v>11.8</v>
      </c>
      <c r="C262" s="2">
        <v>17.100000000000001</v>
      </c>
      <c r="D262" s="2">
        <v>15.8</v>
      </c>
      <c r="E262" s="2">
        <v>17.5</v>
      </c>
      <c r="F262" s="2">
        <v>13.7</v>
      </c>
      <c r="G262" s="2">
        <v>13.4</v>
      </c>
      <c r="H262" s="2">
        <f>AVERAGE(weather.tbl[[#This Row],[Estevan]:[Kipling]])</f>
        <v>14.883333333333335</v>
      </c>
      <c r="I262" s="2">
        <f>_xlfn.STDEV.S(weather.tbl[[#This Row],[Estevan]:[Kipling]])</f>
        <v>2.2675243475355686</v>
      </c>
      <c r="J262" s="2">
        <f t="shared" si="3"/>
        <v>9.9214285714285726</v>
      </c>
      <c r="K262">
        <f>DAY(weather.tbl[[#This Row],[Date]])</f>
        <v>18</v>
      </c>
      <c r="L262">
        <f>MONTH(weather.tbl[[#This Row],[Date]])</f>
        <v>9</v>
      </c>
      <c r="M262">
        <f>YEAR(weather.tbl[[#This Row],[Date]])</f>
        <v>2014</v>
      </c>
    </row>
    <row r="263" spans="1:13" x14ac:dyDescent="0.25">
      <c r="A263" s="1">
        <v>41901</v>
      </c>
      <c r="B263" s="2">
        <v>17.3</v>
      </c>
      <c r="C263" s="2">
        <v>15.3</v>
      </c>
      <c r="D263" s="2">
        <v>18.5</v>
      </c>
      <c r="E263" s="2">
        <v>16.5</v>
      </c>
      <c r="F263" s="2">
        <v>18.2</v>
      </c>
      <c r="G263" s="2">
        <v>15.8</v>
      </c>
      <c r="H263" s="2">
        <f>AVERAGE(weather.tbl[[#This Row],[Estevan]:[Kipling]])</f>
        <v>16.933333333333334</v>
      </c>
      <c r="I263" s="2">
        <f>_xlfn.STDEV.S(weather.tbl[[#This Row],[Estevan]:[Kipling]])</f>
        <v>1.2909944487358052</v>
      </c>
      <c r="J263" s="2">
        <f t="shared" si="3"/>
        <v>11.438095238095238</v>
      </c>
      <c r="K263">
        <f>DAY(weather.tbl[[#This Row],[Date]])</f>
        <v>19</v>
      </c>
      <c r="L263">
        <f>MONTH(weather.tbl[[#This Row],[Date]])</f>
        <v>9</v>
      </c>
      <c r="M263">
        <f>YEAR(weather.tbl[[#This Row],[Date]])</f>
        <v>2014</v>
      </c>
    </row>
    <row r="264" spans="1:13" x14ac:dyDescent="0.25">
      <c r="A264" s="1">
        <v>41902</v>
      </c>
      <c r="B264" s="2">
        <v>14.5</v>
      </c>
      <c r="C264" s="2">
        <v>12.9</v>
      </c>
      <c r="D264" s="2">
        <v>14.8</v>
      </c>
      <c r="E264" s="2">
        <v>15.5</v>
      </c>
      <c r="F264" s="2">
        <v>15.8</v>
      </c>
      <c r="G264" s="2">
        <v>13.7</v>
      </c>
      <c r="H264" s="2">
        <f>AVERAGE(weather.tbl[[#This Row],[Estevan]:[Kipling]])</f>
        <v>14.533333333333333</v>
      </c>
      <c r="I264" s="2">
        <f>_xlfn.STDEV.S(weather.tbl[[#This Row],[Estevan]:[Kipling]])</f>
        <v>1.0930080817023573</v>
      </c>
      <c r="J264" s="2">
        <f t="shared" si="3"/>
        <v>12.4</v>
      </c>
      <c r="K264">
        <f>DAY(weather.tbl[[#This Row],[Date]])</f>
        <v>20</v>
      </c>
      <c r="L264">
        <f>MONTH(weather.tbl[[#This Row],[Date]])</f>
        <v>9</v>
      </c>
      <c r="M264">
        <f>YEAR(weather.tbl[[#This Row],[Date]])</f>
        <v>2014</v>
      </c>
    </row>
    <row r="265" spans="1:13" x14ac:dyDescent="0.25">
      <c r="A265" s="1">
        <v>41903</v>
      </c>
      <c r="B265" s="2">
        <v>12.8</v>
      </c>
      <c r="C265" s="2">
        <v>12.9</v>
      </c>
      <c r="D265" s="2">
        <v>13.3</v>
      </c>
      <c r="E265" s="2">
        <v>13.8</v>
      </c>
      <c r="F265" s="2">
        <v>14.5</v>
      </c>
      <c r="G265" s="2">
        <v>13.8</v>
      </c>
      <c r="H265" s="2">
        <f>AVERAGE(weather.tbl[[#This Row],[Estevan]:[Kipling]])</f>
        <v>13.516666666666666</v>
      </c>
      <c r="I265" s="2">
        <f>_xlfn.STDEV.S(weather.tbl[[#This Row],[Estevan]:[Kipling]])</f>
        <v>0.64316923641190005</v>
      </c>
      <c r="J265" s="2">
        <f t="shared" si="3"/>
        <v>13.416666666666666</v>
      </c>
      <c r="K265">
        <f>DAY(weather.tbl[[#This Row],[Date]])</f>
        <v>21</v>
      </c>
      <c r="L265">
        <f>MONTH(weather.tbl[[#This Row],[Date]])</f>
        <v>9</v>
      </c>
      <c r="M265">
        <f>YEAR(weather.tbl[[#This Row],[Date]])</f>
        <v>2014</v>
      </c>
    </row>
    <row r="266" spans="1:13" x14ac:dyDescent="0.25">
      <c r="A266" s="1">
        <v>41904</v>
      </c>
      <c r="B266" s="2">
        <v>16.100000000000001</v>
      </c>
      <c r="C266" s="2">
        <v>16.2</v>
      </c>
      <c r="D266" s="2">
        <v>15</v>
      </c>
      <c r="E266" s="2">
        <v>16</v>
      </c>
      <c r="F266" s="2">
        <v>16.2</v>
      </c>
      <c r="G266" s="2">
        <v>15.5</v>
      </c>
      <c r="H266" s="2">
        <f>AVERAGE(weather.tbl[[#This Row],[Estevan]:[Kipling]])</f>
        <v>15.833333333333334</v>
      </c>
      <c r="I266" s="2">
        <f>_xlfn.STDEV.S(weather.tbl[[#This Row],[Estevan]:[Kipling]])</f>
        <v>0.48442405665559862</v>
      </c>
      <c r="J266" s="2">
        <f t="shared" ref="J266:J329" si="4">AVERAGE(H260:H266)</f>
        <v>14.173809523809522</v>
      </c>
      <c r="K266">
        <f>DAY(weather.tbl[[#This Row],[Date]])</f>
        <v>22</v>
      </c>
      <c r="L266">
        <f>MONTH(weather.tbl[[#This Row],[Date]])</f>
        <v>9</v>
      </c>
      <c r="M266">
        <f>YEAR(weather.tbl[[#This Row],[Date]])</f>
        <v>2014</v>
      </c>
    </row>
    <row r="267" spans="1:13" x14ac:dyDescent="0.25">
      <c r="A267" s="1">
        <v>41905</v>
      </c>
      <c r="B267" s="2">
        <v>18.3</v>
      </c>
      <c r="C267" s="2">
        <v>18.600000000000001</v>
      </c>
      <c r="D267" s="2">
        <v>18</v>
      </c>
      <c r="E267" s="2">
        <v>18.8</v>
      </c>
      <c r="F267" s="2">
        <v>18.899999999999999</v>
      </c>
      <c r="G267" s="2">
        <v>17.8</v>
      </c>
      <c r="H267" s="2">
        <f>AVERAGE(weather.tbl[[#This Row],[Estevan]:[Kipling]])</f>
        <v>18.399999999999999</v>
      </c>
      <c r="I267" s="2">
        <f>_xlfn.STDEV.S(weather.tbl[[#This Row],[Estevan]:[Kipling]])</f>
        <v>0.44271887242357283</v>
      </c>
      <c r="J267" s="2">
        <f t="shared" si="4"/>
        <v>14.997619047619045</v>
      </c>
      <c r="K267">
        <f>DAY(weather.tbl[[#This Row],[Date]])</f>
        <v>23</v>
      </c>
      <c r="L267">
        <f>MONTH(weather.tbl[[#This Row],[Date]])</f>
        <v>9</v>
      </c>
      <c r="M267">
        <f>YEAR(weather.tbl[[#This Row],[Date]])</f>
        <v>2014</v>
      </c>
    </row>
    <row r="268" spans="1:13" x14ac:dyDescent="0.25">
      <c r="A268" s="1">
        <v>41906</v>
      </c>
      <c r="B268" s="2">
        <v>18.5</v>
      </c>
      <c r="C268" s="2">
        <v>17.7</v>
      </c>
      <c r="D268" s="2">
        <v>19.5</v>
      </c>
      <c r="E268" s="2">
        <v>19.5</v>
      </c>
      <c r="F268" s="2">
        <v>20.6</v>
      </c>
      <c r="G268" s="2">
        <v>18.8</v>
      </c>
      <c r="H268" s="2">
        <f>AVERAGE(weather.tbl[[#This Row],[Estevan]:[Kipling]])</f>
        <v>19.100000000000001</v>
      </c>
      <c r="I268" s="2">
        <f>_xlfn.STDEV.S(weather.tbl[[#This Row],[Estevan]:[Kipling]])</f>
        <v>0.99799799598997263</v>
      </c>
      <c r="J268" s="2">
        <f t="shared" si="4"/>
        <v>16.171428571428571</v>
      </c>
      <c r="K268">
        <f>DAY(weather.tbl[[#This Row],[Date]])</f>
        <v>24</v>
      </c>
      <c r="L268">
        <f>MONTH(weather.tbl[[#This Row],[Date]])</f>
        <v>9</v>
      </c>
      <c r="M268">
        <f>YEAR(weather.tbl[[#This Row],[Date]])</f>
        <v>2014</v>
      </c>
    </row>
    <row r="269" spans="1:13" x14ac:dyDescent="0.25">
      <c r="A269" s="1">
        <v>41907</v>
      </c>
      <c r="B269" s="2">
        <v>23.5</v>
      </c>
      <c r="C269" s="2">
        <v>23.3</v>
      </c>
      <c r="D269" s="2">
        <v>21.8</v>
      </c>
      <c r="E269" s="2">
        <v>22.3</v>
      </c>
      <c r="F269" s="2">
        <v>23.4</v>
      </c>
      <c r="G269" s="2">
        <v>22.8</v>
      </c>
      <c r="H269" s="2">
        <f>AVERAGE(weather.tbl[[#This Row],[Estevan]:[Kipling]])</f>
        <v>22.849999999999998</v>
      </c>
      <c r="I269" s="2">
        <f>_xlfn.STDEV.S(weather.tbl[[#This Row],[Estevan]:[Kipling]])</f>
        <v>0.68337398253079495</v>
      </c>
      <c r="J269" s="2">
        <f t="shared" si="4"/>
        <v>17.309523809523807</v>
      </c>
      <c r="K269">
        <f>DAY(weather.tbl[[#This Row],[Date]])</f>
        <v>25</v>
      </c>
      <c r="L269">
        <f>MONTH(weather.tbl[[#This Row],[Date]])</f>
        <v>9</v>
      </c>
      <c r="M269">
        <f>YEAR(weather.tbl[[#This Row],[Date]])</f>
        <v>2014</v>
      </c>
    </row>
    <row r="270" spans="1:13" x14ac:dyDescent="0.25">
      <c r="A270" s="1">
        <v>41908</v>
      </c>
      <c r="B270" s="2">
        <v>23.2</v>
      </c>
      <c r="C270" s="2">
        <v>22.1</v>
      </c>
      <c r="D270" s="2">
        <v>23.5</v>
      </c>
      <c r="E270" s="2">
        <v>22.3</v>
      </c>
      <c r="F270" s="2">
        <v>24.7</v>
      </c>
      <c r="G270" s="2">
        <v>22.6</v>
      </c>
      <c r="H270" s="2">
        <f>AVERAGE(weather.tbl[[#This Row],[Estevan]:[Kipling]])</f>
        <v>23.066666666666666</v>
      </c>
      <c r="I270" s="2">
        <f>_xlfn.STDEV.S(weather.tbl[[#This Row],[Estevan]:[Kipling]])</f>
        <v>0.96055539489748587</v>
      </c>
      <c r="J270" s="2">
        <f t="shared" si="4"/>
        <v>18.185714285714283</v>
      </c>
      <c r="K270">
        <f>DAY(weather.tbl[[#This Row],[Date]])</f>
        <v>26</v>
      </c>
      <c r="L270">
        <f>MONTH(weather.tbl[[#This Row],[Date]])</f>
        <v>9</v>
      </c>
      <c r="M270">
        <f>YEAR(weather.tbl[[#This Row],[Date]])</f>
        <v>2014</v>
      </c>
    </row>
    <row r="271" spans="1:13" x14ac:dyDescent="0.25">
      <c r="A271" s="1">
        <v>41909</v>
      </c>
      <c r="B271" s="2">
        <v>14.6</v>
      </c>
      <c r="C271" s="2">
        <v>11.9</v>
      </c>
      <c r="D271" s="2">
        <v>14.5</v>
      </c>
      <c r="E271" s="2">
        <v>12</v>
      </c>
      <c r="F271" s="2">
        <v>16.3</v>
      </c>
      <c r="G271" s="2">
        <v>12.9</v>
      </c>
      <c r="H271" s="2">
        <f>AVERAGE(weather.tbl[[#This Row],[Estevan]:[Kipling]])</f>
        <v>13.700000000000001</v>
      </c>
      <c r="I271" s="2">
        <f>_xlfn.STDEV.S(weather.tbl[[#This Row],[Estevan]:[Kipling]])</f>
        <v>1.7308957218735055</v>
      </c>
      <c r="J271" s="2">
        <f t="shared" si="4"/>
        <v>18.066666666666666</v>
      </c>
      <c r="K271">
        <f>DAY(weather.tbl[[#This Row],[Date]])</f>
        <v>27</v>
      </c>
      <c r="L271">
        <f>MONTH(weather.tbl[[#This Row],[Date]])</f>
        <v>9</v>
      </c>
      <c r="M271">
        <f>YEAR(weather.tbl[[#This Row],[Date]])</f>
        <v>2014</v>
      </c>
    </row>
    <row r="272" spans="1:13" x14ac:dyDescent="0.25">
      <c r="A272" s="1">
        <v>41910</v>
      </c>
      <c r="B272" s="2">
        <v>8.6</v>
      </c>
      <c r="C272" s="2">
        <v>7.8</v>
      </c>
      <c r="D272" s="2">
        <v>8</v>
      </c>
      <c r="E272" s="2">
        <v>8</v>
      </c>
      <c r="F272" s="2">
        <v>9.1</v>
      </c>
      <c r="G272" s="2">
        <v>6.9</v>
      </c>
      <c r="H272" s="2">
        <f>AVERAGE(weather.tbl[[#This Row],[Estevan]:[Kipling]])</f>
        <v>8.0666666666666664</v>
      </c>
      <c r="I272" s="2">
        <f>_xlfn.STDEV.S(weather.tbl[[#This Row],[Estevan]:[Kipling]])</f>
        <v>0.74744007563594439</v>
      </c>
      <c r="J272" s="2">
        <f t="shared" si="4"/>
        <v>17.288095238095238</v>
      </c>
      <c r="K272">
        <f>DAY(weather.tbl[[#This Row],[Date]])</f>
        <v>28</v>
      </c>
      <c r="L272">
        <f>MONTH(weather.tbl[[#This Row],[Date]])</f>
        <v>9</v>
      </c>
      <c r="M272">
        <f>YEAR(weather.tbl[[#This Row],[Date]])</f>
        <v>2014</v>
      </c>
    </row>
    <row r="273" spans="1:13" x14ac:dyDescent="0.25">
      <c r="A273" s="1">
        <v>41911</v>
      </c>
      <c r="B273" s="2">
        <v>8.3000000000000007</v>
      </c>
      <c r="C273" s="2">
        <v>8.4</v>
      </c>
      <c r="D273" s="2">
        <v>7.8</v>
      </c>
      <c r="E273" s="2">
        <v>8.5</v>
      </c>
      <c r="F273" s="2">
        <v>8</v>
      </c>
      <c r="G273" s="2">
        <v>7.6</v>
      </c>
      <c r="H273" s="2">
        <f>AVERAGE(weather.tbl[[#This Row],[Estevan]:[Kipling]])</f>
        <v>8.1</v>
      </c>
      <c r="I273" s="2">
        <f>_xlfn.STDEV.S(weather.tbl[[#This Row],[Estevan]:[Kipling]])</f>
        <v>0.35777087639996663</v>
      </c>
      <c r="J273" s="2">
        <f t="shared" si="4"/>
        <v>16.18333333333333</v>
      </c>
      <c r="K273">
        <f>DAY(weather.tbl[[#This Row],[Date]])</f>
        <v>29</v>
      </c>
      <c r="L273">
        <f>MONTH(weather.tbl[[#This Row],[Date]])</f>
        <v>9</v>
      </c>
      <c r="M273">
        <f>YEAR(weather.tbl[[#This Row],[Date]])</f>
        <v>2014</v>
      </c>
    </row>
    <row r="274" spans="1:13" x14ac:dyDescent="0.25">
      <c r="A274" s="1">
        <v>41912</v>
      </c>
      <c r="B274" s="2">
        <v>9.8000000000000007</v>
      </c>
      <c r="C274" s="2">
        <v>10.6</v>
      </c>
      <c r="D274" s="2">
        <v>9.3000000000000007</v>
      </c>
      <c r="E274" s="2">
        <v>11</v>
      </c>
      <c r="F274" s="2">
        <v>11.6</v>
      </c>
      <c r="G274" s="2">
        <v>9.6</v>
      </c>
      <c r="H274" s="2">
        <f>AVERAGE(weather.tbl[[#This Row],[Estevan]:[Kipling]])</f>
        <v>10.316666666666668</v>
      </c>
      <c r="I274" s="2">
        <f>_xlfn.STDEV.S(weather.tbl[[#This Row],[Estevan]:[Kipling]])</f>
        <v>0.89535840123755261</v>
      </c>
      <c r="J274" s="2">
        <f t="shared" si="4"/>
        <v>15.028571428571427</v>
      </c>
      <c r="K274">
        <f>DAY(weather.tbl[[#This Row],[Date]])</f>
        <v>30</v>
      </c>
      <c r="L274">
        <f>MONTH(weather.tbl[[#This Row],[Date]])</f>
        <v>9</v>
      </c>
      <c r="M274">
        <f>YEAR(weather.tbl[[#This Row],[Date]])</f>
        <v>2014</v>
      </c>
    </row>
    <row r="275" spans="1:13" x14ac:dyDescent="0.25">
      <c r="A275" s="1">
        <v>41913</v>
      </c>
      <c r="B275" s="2">
        <v>9.3000000000000007</v>
      </c>
      <c r="C275" s="2">
        <v>9.3000000000000007</v>
      </c>
      <c r="D275" s="2">
        <v>11.5</v>
      </c>
      <c r="E275" s="2">
        <v>12</v>
      </c>
      <c r="F275" s="2">
        <v>12.2</v>
      </c>
      <c r="G275" s="2">
        <v>10.7</v>
      </c>
      <c r="H275" s="2">
        <f>AVERAGE(weather.tbl[[#This Row],[Estevan]:[Kipling]])</f>
        <v>10.833333333333334</v>
      </c>
      <c r="I275" s="2">
        <f>_xlfn.STDEV.S(weather.tbl[[#This Row],[Estevan]:[Kipling]])</f>
        <v>1.2956336930886998</v>
      </c>
      <c r="J275" s="2">
        <f t="shared" si="4"/>
        <v>13.847619047619046</v>
      </c>
      <c r="K275">
        <f>DAY(weather.tbl[[#This Row],[Date]])</f>
        <v>1</v>
      </c>
      <c r="L275">
        <f>MONTH(weather.tbl[[#This Row],[Date]])</f>
        <v>10</v>
      </c>
      <c r="M275">
        <f>YEAR(weather.tbl[[#This Row],[Date]])</f>
        <v>2014</v>
      </c>
    </row>
    <row r="276" spans="1:13" x14ac:dyDescent="0.25">
      <c r="A276" s="1">
        <v>41914</v>
      </c>
      <c r="B276" s="2">
        <v>5.6</v>
      </c>
      <c r="C276" s="2">
        <v>4.5999999999999996</v>
      </c>
      <c r="D276" s="2">
        <v>7.5</v>
      </c>
      <c r="E276" s="2">
        <v>4.3</v>
      </c>
      <c r="F276" s="2">
        <v>8.3000000000000007</v>
      </c>
      <c r="G276" s="2">
        <v>4.5999999999999996</v>
      </c>
      <c r="H276" s="2">
        <f>AVERAGE(weather.tbl[[#This Row],[Estevan]:[Kipling]])</f>
        <v>5.8166666666666664</v>
      </c>
      <c r="I276" s="2">
        <f>_xlfn.STDEV.S(weather.tbl[[#This Row],[Estevan]:[Kipling]])</f>
        <v>1.691646141090585</v>
      </c>
      <c r="J276" s="2">
        <f t="shared" si="4"/>
        <v>11.414285714285713</v>
      </c>
      <c r="K276">
        <f>DAY(weather.tbl[[#This Row],[Date]])</f>
        <v>2</v>
      </c>
      <c r="L276">
        <f>MONTH(weather.tbl[[#This Row],[Date]])</f>
        <v>10</v>
      </c>
      <c r="M276">
        <f>YEAR(weather.tbl[[#This Row],[Date]])</f>
        <v>2014</v>
      </c>
    </row>
    <row r="277" spans="1:13" x14ac:dyDescent="0.25">
      <c r="A277" s="1">
        <v>41915</v>
      </c>
      <c r="B277" s="2">
        <v>1.2</v>
      </c>
      <c r="C277" s="2">
        <v>0.4</v>
      </c>
      <c r="D277" s="2">
        <v>1.8</v>
      </c>
      <c r="E277" s="2">
        <v>1.8</v>
      </c>
      <c r="F277" s="2">
        <v>2.7</v>
      </c>
      <c r="G277" s="2">
        <v>0.4</v>
      </c>
      <c r="H277" s="2">
        <f>AVERAGE(weather.tbl[[#This Row],[Estevan]:[Kipling]])</f>
        <v>1.3833333333333335</v>
      </c>
      <c r="I277" s="2">
        <f>_xlfn.STDEV.S(weather.tbl[[#This Row],[Estevan]:[Kipling]])</f>
        <v>0.89981479575891976</v>
      </c>
      <c r="J277" s="2">
        <f t="shared" si="4"/>
        <v>8.3166666666666682</v>
      </c>
      <c r="K277">
        <f>DAY(weather.tbl[[#This Row],[Date]])</f>
        <v>3</v>
      </c>
      <c r="L277">
        <f>MONTH(weather.tbl[[#This Row],[Date]])</f>
        <v>10</v>
      </c>
      <c r="M277">
        <f>YEAR(weather.tbl[[#This Row],[Date]])</f>
        <v>2014</v>
      </c>
    </row>
    <row r="278" spans="1:13" x14ac:dyDescent="0.25">
      <c r="A278" s="1">
        <v>41916</v>
      </c>
      <c r="B278" s="2">
        <v>1.4</v>
      </c>
      <c r="C278" s="2">
        <v>1.3</v>
      </c>
      <c r="D278" s="2">
        <v>1.8</v>
      </c>
      <c r="E278" s="2">
        <v>1.5</v>
      </c>
      <c r="F278" s="2">
        <v>2.2000000000000002</v>
      </c>
      <c r="G278" s="2">
        <v>0.8</v>
      </c>
      <c r="H278" s="2">
        <f>AVERAGE(weather.tbl[[#This Row],[Estevan]:[Kipling]])</f>
        <v>1.5</v>
      </c>
      <c r="I278" s="2">
        <f>_xlfn.STDEV.S(weather.tbl[[#This Row],[Estevan]:[Kipling]])</f>
        <v>0.47328638264796952</v>
      </c>
      <c r="J278" s="2">
        <f t="shared" si="4"/>
        <v>6.5738095238095244</v>
      </c>
      <c r="K278">
        <f>DAY(weather.tbl[[#This Row],[Date]])</f>
        <v>4</v>
      </c>
      <c r="L278">
        <f>MONTH(weather.tbl[[#This Row],[Date]])</f>
        <v>10</v>
      </c>
      <c r="M278">
        <f>YEAR(weather.tbl[[#This Row],[Date]])</f>
        <v>2014</v>
      </c>
    </row>
    <row r="279" spans="1:13" x14ac:dyDescent="0.25">
      <c r="A279" s="1">
        <v>41917</v>
      </c>
      <c r="B279" s="2">
        <v>4.5</v>
      </c>
      <c r="C279" s="2">
        <v>4.9000000000000004</v>
      </c>
      <c r="D279" s="2">
        <v>5.8</v>
      </c>
      <c r="E279" s="2">
        <v>5.5</v>
      </c>
      <c r="F279" s="2">
        <v>6.4</v>
      </c>
      <c r="G279" s="2">
        <v>5.0999999999999996</v>
      </c>
      <c r="H279" s="2">
        <f>AVERAGE(weather.tbl[[#This Row],[Estevan]:[Kipling]])</f>
        <v>5.3666666666666671</v>
      </c>
      <c r="I279" s="2">
        <f>_xlfn.STDEV.S(weather.tbl[[#This Row],[Estevan]:[Kipling]])</f>
        <v>0.68019605016984686</v>
      </c>
      <c r="J279" s="2">
        <f t="shared" si="4"/>
        <v>6.1880952380952374</v>
      </c>
      <c r="K279">
        <f>DAY(weather.tbl[[#This Row],[Date]])</f>
        <v>5</v>
      </c>
      <c r="L279">
        <f>MONTH(weather.tbl[[#This Row],[Date]])</f>
        <v>10</v>
      </c>
      <c r="M279">
        <f>YEAR(weather.tbl[[#This Row],[Date]])</f>
        <v>2014</v>
      </c>
    </row>
    <row r="280" spans="1:13" x14ac:dyDescent="0.25">
      <c r="A280" s="1">
        <v>41918</v>
      </c>
      <c r="B280" s="2">
        <v>9</v>
      </c>
      <c r="C280" s="2">
        <v>8.8000000000000007</v>
      </c>
      <c r="D280" s="2">
        <v>7.5</v>
      </c>
      <c r="E280" s="2">
        <v>7.8</v>
      </c>
      <c r="F280" s="2">
        <v>7.9</v>
      </c>
      <c r="G280" s="2">
        <v>7.6</v>
      </c>
      <c r="H280" s="2">
        <f>AVERAGE(weather.tbl[[#This Row],[Estevan]:[Kipling]])</f>
        <v>8.1</v>
      </c>
      <c r="I280" s="2">
        <f>_xlfn.STDEV.S(weather.tbl[[#This Row],[Estevan]:[Kipling]])</f>
        <v>0.63874877690685272</v>
      </c>
      <c r="J280" s="2">
        <f t="shared" si="4"/>
        <v>6.1880952380952383</v>
      </c>
      <c r="K280">
        <f>DAY(weather.tbl[[#This Row],[Date]])</f>
        <v>6</v>
      </c>
      <c r="L280">
        <f>MONTH(weather.tbl[[#This Row],[Date]])</f>
        <v>10</v>
      </c>
      <c r="M280">
        <f>YEAR(weather.tbl[[#This Row],[Date]])</f>
        <v>2014</v>
      </c>
    </row>
    <row r="281" spans="1:13" x14ac:dyDescent="0.25">
      <c r="A281" s="1">
        <v>41919</v>
      </c>
      <c r="B281" s="2">
        <v>7.4</v>
      </c>
      <c r="C281" s="2">
        <v>6.3</v>
      </c>
      <c r="D281" s="2">
        <v>9.8000000000000007</v>
      </c>
      <c r="E281" s="2">
        <v>9.5</v>
      </c>
      <c r="F281" s="2">
        <v>8</v>
      </c>
      <c r="G281" s="2">
        <v>8</v>
      </c>
      <c r="H281" s="2">
        <f>AVERAGE(weather.tbl[[#This Row],[Estevan]:[Kipling]])</f>
        <v>8.1666666666666661</v>
      </c>
      <c r="I281" s="2">
        <f>_xlfn.STDEV.S(weather.tbl[[#This Row],[Estevan]:[Kipling]])</f>
        <v>1.3094528119281981</v>
      </c>
      <c r="J281" s="2">
        <f t="shared" si="4"/>
        <v>5.8809523809523805</v>
      </c>
      <c r="K281">
        <f>DAY(weather.tbl[[#This Row],[Date]])</f>
        <v>7</v>
      </c>
      <c r="L281">
        <f>MONTH(weather.tbl[[#This Row],[Date]])</f>
        <v>10</v>
      </c>
      <c r="M281">
        <f>YEAR(weather.tbl[[#This Row],[Date]])</f>
        <v>2014</v>
      </c>
    </row>
    <row r="282" spans="1:13" x14ac:dyDescent="0.25">
      <c r="A282" s="1">
        <v>41920</v>
      </c>
      <c r="B282" s="2">
        <v>4.4000000000000004</v>
      </c>
      <c r="C282" s="2">
        <v>3.8</v>
      </c>
      <c r="D282" s="2">
        <v>5</v>
      </c>
      <c r="E282" s="2">
        <v>9.5</v>
      </c>
      <c r="F282" s="2">
        <v>4.7</v>
      </c>
      <c r="G282" s="2">
        <v>3.4</v>
      </c>
      <c r="H282" s="2">
        <f>AVERAGE(weather.tbl[[#This Row],[Estevan]:[Kipling]])</f>
        <v>5.1333333333333329</v>
      </c>
      <c r="I282" s="2">
        <f>_xlfn.STDEV.S(weather.tbl[[#This Row],[Estevan]:[Kipling]])</f>
        <v>2.2178067243713264</v>
      </c>
      <c r="J282" s="2">
        <f t="shared" si="4"/>
        <v>5.0666666666666655</v>
      </c>
      <c r="K282">
        <f>DAY(weather.tbl[[#This Row],[Date]])</f>
        <v>8</v>
      </c>
      <c r="L282">
        <f>MONTH(weather.tbl[[#This Row],[Date]])</f>
        <v>10</v>
      </c>
      <c r="M282">
        <f>YEAR(weather.tbl[[#This Row],[Date]])</f>
        <v>2014</v>
      </c>
    </row>
    <row r="283" spans="1:13" x14ac:dyDescent="0.25">
      <c r="A283" s="1">
        <v>41921</v>
      </c>
      <c r="B283" s="2">
        <v>3.9</v>
      </c>
      <c r="C283" s="2">
        <v>3.9</v>
      </c>
      <c r="D283" s="2">
        <v>3</v>
      </c>
      <c r="E283" s="2">
        <v>4.5</v>
      </c>
      <c r="F283" s="2">
        <v>2.5</v>
      </c>
      <c r="G283" s="2">
        <v>3.6</v>
      </c>
      <c r="H283" s="2">
        <f>AVERAGE(weather.tbl[[#This Row],[Estevan]:[Kipling]])</f>
        <v>3.5666666666666669</v>
      </c>
      <c r="I283" s="2">
        <f>_xlfn.STDEV.S(weather.tbl[[#This Row],[Estevan]:[Kipling]])</f>
        <v>0.71460945044594992</v>
      </c>
      <c r="J283" s="2">
        <f t="shared" si="4"/>
        <v>4.7452380952380953</v>
      </c>
      <c r="K283">
        <f>DAY(weather.tbl[[#This Row],[Date]])</f>
        <v>9</v>
      </c>
      <c r="L283">
        <f>MONTH(weather.tbl[[#This Row],[Date]])</f>
        <v>10</v>
      </c>
      <c r="M283">
        <f>YEAR(weather.tbl[[#This Row],[Date]])</f>
        <v>2014</v>
      </c>
    </row>
    <row r="284" spans="1:13" x14ac:dyDescent="0.25">
      <c r="A284" s="1">
        <v>41922</v>
      </c>
      <c r="B284" s="2">
        <v>7.3</v>
      </c>
      <c r="C284" s="2">
        <v>8.4</v>
      </c>
      <c r="D284" s="2">
        <v>6.8</v>
      </c>
      <c r="E284" s="2">
        <v>8.8000000000000007</v>
      </c>
      <c r="F284" s="2">
        <v>7.3</v>
      </c>
      <c r="G284" s="2">
        <v>8.5</v>
      </c>
      <c r="H284" s="2">
        <f>AVERAGE(weather.tbl[[#This Row],[Estevan]:[Kipling]])</f>
        <v>7.8500000000000005</v>
      </c>
      <c r="I284" s="2">
        <f>_xlfn.STDEV.S(weather.tbl[[#This Row],[Estevan]:[Kipling]])</f>
        <v>0.81670067956381698</v>
      </c>
      <c r="J284" s="2">
        <f t="shared" si="4"/>
        <v>5.6690476190476184</v>
      </c>
      <c r="K284">
        <f>DAY(weather.tbl[[#This Row],[Date]])</f>
        <v>10</v>
      </c>
      <c r="L284">
        <f>MONTH(weather.tbl[[#This Row],[Date]])</f>
        <v>10</v>
      </c>
      <c r="M284">
        <f>YEAR(weather.tbl[[#This Row],[Date]])</f>
        <v>2014</v>
      </c>
    </row>
    <row r="285" spans="1:13" x14ac:dyDescent="0.25">
      <c r="A285" s="1">
        <v>41923</v>
      </c>
      <c r="B285" s="2">
        <v>12</v>
      </c>
      <c r="C285" s="2">
        <v>12.6</v>
      </c>
      <c r="D285" s="2">
        <v>10.5</v>
      </c>
      <c r="E285" s="2">
        <v>13</v>
      </c>
      <c r="F285" s="2">
        <v>10.3</v>
      </c>
      <c r="G285" s="2">
        <v>12.9</v>
      </c>
      <c r="H285" s="2">
        <f>AVERAGE(weather.tbl[[#This Row],[Estevan]:[Kipling]])</f>
        <v>11.883333333333335</v>
      </c>
      <c r="I285" s="2">
        <f>_xlfn.STDEV.S(weather.tbl[[#This Row],[Estevan]:[Kipling]])</f>
        <v>1.2023587928179618</v>
      </c>
      <c r="J285" s="2">
        <f t="shared" si="4"/>
        <v>7.1523809523809518</v>
      </c>
      <c r="K285">
        <f>DAY(weather.tbl[[#This Row],[Date]])</f>
        <v>11</v>
      </c>
      <c r="L285">
        <f>MONTH(weather.tbl[[#This Row],[Date]])</f>
        <v>10</v>
      </c>
      <c r="M285">
        <f>YEAR(weather.tbl[[#This Row],[Date]])</f>
        <v>2014</v>
      </c>
    </row>
    <row r="286" spans="1:13" x14ac:dyDescent="0.25">
      <c r="A286" s="1">
        <v>41924</v>
      </c>
      <c r="B286" s="2">
        <v>10.1</v>
      </c>
      <c r="C286" s="2">
        <v>10.6</v>
      </c>
      <c r="D286" s="2">
        <v>10.5</v>
      </c>
      <c r="E286" s="2">
        <v>11</v>
      </c>
      <c r="F286" s="2">
        <v>12</v>
      </c>
      <c r="G286" s="2">
        <v>10.199999999999999</v>
      </c>
      <c r="H286" s="2">
        <f>AVERAGE(weather.tbl[[#This Row],[Estevan]:[Kipling]])</f>
        <v>10.733333333333334</v>
      </c>
      <c r="I286" s="2">
        <f>_xlfn.STDEV.S(weather.tbl[[#This Row],[Estevan]:[Kipling]])</f>
        <v>0.6976149845485452</v>
      </c>
      <c r="J286" s="2">
        <f t="shared" si="4"/>
        <v>7.9190476190476184</v>
      </c>
      <c r="K286">
        <f>DAY(weather.tbl[[#This Row],[Date]])</f>
        <v>12</v>
      </c>
      <c r="L286">
        <f>MONTH(weather.tbl[[#This Row],[Date]])</f>
        <v>10</v>
      </c>
      <c r="M286">
        <f>YEAR(weather.tbl[[#This Row],[Date]])</f>
        <v>2014</v>
      </c>
    </row>
    <row r="287" spans="1:13" x14ac:dyDescent="0.25">
      <c r="A287" s="1">
        <v>41925</v>
      </c>
      <c r="B287" s="2">
        <v>9.5</v>
      </c>
      <c r="C287" s="2">
        <v>8.6999999999999993</v>
      </c>
      <c r="D287" s="2">
        <v>9.8000000000000007</v>
      </c>
      <c r="E287" s="2">
        <v>9</v>
      </c>
      <c r="F287" s="2">
        <v>9.6</v>
      </c>
      <c r="G287" s="2">
        <v>8.6999999999999993</v>
      </c>
      <c r="H287" s="2">
        <f>AVERAGE(weather.tbl[[#This Row],[Estevan]:[Kipling]])</f>
        <v>9.2166666666666668</v>
      </c>
      <c r="I287" s="2">
        <f>_xlfn.STDEV.S(weather.tbl[[#This Row],[Estevan]:[Kipling]])</f>
        <v>0.47923550230201756</v>
      </c>
      <c r="J287" s="2">
        <f t="shared" si="4"/>
        <v>8.0785714285714292</v>
      </c>
      <c r="K287">
        <f>DAY(weather.tbl[[#This Row],[Date]])</f>
        <v>13</v>
      </c>
      <c r="L287">
        <f>MONTH(weather.tbl[[#This Row],[Date]])</f>
        <v>10</v>
      </c>
      <c r="M287">
        <f>YEAR(weather.tbl[[#This Row],[Date]])</f>
        <v>2014</v>
      </c>
    </row>
    <row r="288" spans="1:13" x14ac:dyDescent="0.25">
      <c r="A288" s="1">
        <v>41926</v>
      </c>
      <c r="B288" s="2">
        <v>10.7</v>
      </c>
      <c r="C288" s="2">
        <v>10.5</v>
      </c>
      <c r="D288" s="2">
        <v>9</v>
      </c>
      <c r="E288" s="2">
        <v>11.3</v>
      </c>
      <c r="F288" s="2">
        <v>10.1</v>
      </c>
      <c r="G288" s="2">
        <v>11</v>
      </c>
      <c r="H288" s="2">
        <f>AVERAGE(weather.tbl[[#This Row],[Estevan]:[Kipling]])</f>
        <v>10.433333333333334</v>
      </c>
      <c r="I288" s="2">
        <f>_xlfn.STDEV.S(weather.tbl[[#This Row],[Estevan]:[Kipling]])</f>
        <v>0.81404340588611546</v>
      </c>
      <c r="J288" s="2">
        <f t="shared" si="4"/>
        <v>8.4023809523809536</v>
      </c>
      <c r="K288">
        <f>DAY(weather.tbl[[#This Row],[Date]])</f>
        <v>14</v>
      </c>
      <c r="L288">
        <f>MONTH(weather.tbl[[#This Row],[Date]])</f>
        <v>10</v>
      </c>
      <c r="M288">
        <f>YEAR(weather.tbl[[#This Row],[Date]])</f>
        <v>2014</v>
      </c>
    </row>
    <row r="289" spans="1:13" x14ac:dyDescent="0.25">
      <c r="A289" s="1">
        <v>41927</v>
      </c>
      <c r="B289" s="2">
        <v>9.5</v>
      </c>
      <c r="C289" s="2">
        <v>10.8</v>
      </c>
      <c r="D289" s="2">
        <v>7.8</v>
      </c>
      <c r="E289" s="2">
        <v>11</v>
      </c>
      <c r="F289" s="2">
        <v>14</v>
      </c>
      <c r="G289" s="2">
        <v>12.4</v>
      </c>
      <c r="H289" s="2">
        <f>AVERAGE(weather.tbl[[#This Row],[Estevan]:[Kipling]])</f>
        <v>10.916666666666666</v>
      </c>
      <c r="I289" s="2">
        <f>_xlfn.STDEV.S(weather.tbl[[#This Row],[Estevan]:[Kipling]])</f>
        <v>2.1655638218871953</v>
      </c>
      <c r="J289" s="2">
        <f t="shared" si="4"/>
        <v>9.2285714285714295</v>
      </c>
      <c r="K289">
        <f>DAY(weather.tbl[[#This Row],[Date]])</f>
        <v>15</v>
      </c>
      <c r="L289">
        <f>MONTH(weather.tbl[[#This Row],[Date]])</f>
        <v>10</v>
      </c>
      <c r="M289">
        <f>YEAR(weather.tbl[[#This Row],[Date]])</f>
        <v>2014</v>
      </c>
    </row>
    <row r="290" spans="1:13" x14ac:dyDescent="0.25">
      <c r="A290" s="1">
        <v>41928</v>
      </c>
      <c r="B290" s="2">
        <v>7.3</v>
      </c>
      <c r="C290" s="2">
        <v>7</v>
      </c>
      <c r="D290" s="2">
        <v>7.8</v>
      </c>
      <c r="E290" s="2">
        <v>7.5</v>
      </c>
      <c r="F290" s="2">
        <v>7.5</v>
      </c>
      <c r="G290" s="2">
        <v>8.1999999999999993</v>
      </c>
      <c r="H290" s="2">
        <f>AVERAGE(weather.tbl[[#This Row],[Estevan]:[Kipling]])</f>
        <v>7.55</v>
      </c>
      <c r="I290" s="2">
        <f>_xlfn.STDEV.S(weather.tbl[[#This Row],[Estevan]:[Kipling]])</f>
        <v>0.41352146256270644</v>
      </c>
      <c r="J290" s="2">
        <f t="shared" si="4"/>
        <v>9.7976190476190492</v>
      </c>
      <c r="K290">
        <f>DAY(weather.tbl[[#This Row],[Date]])</f>
        <v>16</v>
      </c>
      <c r="L290">
        <f>MONTH(weather.tbl[[#This Row],[Date]])</f>
        <v>10</v>
      </c>
      <c r="M290">
        <f>YEAR(weather.tbl[[#This Row],[Date]])</f>
        <v>2014</v>
      </c>
    </row>
    <row r="291" spans="1:13" x14ac:dyDescent="0.25">
      <c r="A291" s="1">
        <v>41929</v>
      </c>
      <c r="B291" s="2">
        <v>3.5</v>
      </c>
      <c r="C291" s="2">
        <v>3.6</v>
      </c>
      <c r="D291" s="2">
        <v>7.8</v>
      </c>
      <c r="E291" s="2">
        <v>5</v>
      </c>
      <c r="F291" s="2">
        <v>4.5999999999999996</v>
      </c>
      <c r="G291" s="2">
        <v>1</v>
      </c>
      <c r="H291" s="2">
        <f>AVERAGE(weather.tbl[[#This Row],[Estevan]:[Kipling]])</f>
        <v>4.25</v>
      </c>
      <c r="I291" s="2">
        <f>_xlfn.STDEV.S(weather.tbl[[#This Row],[Estevan]:[Kipling]])</f>
        <v>2.2286767374386076</v>
      </c>
      <c r="J291" s="2">
        <f t="shared" si="4"/>
        <v>9.2833333333333314</v>
      </c>
      <c r="K291">
        <f>DAY(weather.tbl[[#This Row],[Date]])</f>
        <v>17</v>
      </c>
      <c r="L291">
        <f>MONTH(weather.tbl[[#This Row],[Date]])</f>
        <v>10</v>
      </c>
      <c r="M291">
        <f>YEAR(weather.tbl[[#This Row],[Date]])</f>
        <v>2014</v>
      </c>
    </row>
    <row r="292" spans="1:13" x14ac:dyDescent="0.25">
      <c r="A292" s="1">
        <v>41930</v>
      </c>
      <c r="B292" s="2">
        <v>8.9</v>
      </c>
      <c r="C292" s="2">
        <v>8.6</v>
      </c>
      <c r="D292" s="2">
        <v>7.8</v>
      </c>
      <c r="E292" s="2">
        <v>9</v>
      </c>
      <c r="F292" s="2">
        <v>6.8</v>
      </c>
      <c r="G292" s="2">
        <v>5.2</v>
      </c>
      <c r="H292" s="2">
        <f>AVERAGE(weather.tbl[[#This Row],[Estevan]:[Kipling]])</f>
        <v>7.7166666666666659</v>
      </c>
      <c r="I292" s="2">
        <f>_xlfn.STDEV.S(weather.tbl[[#This Row],[Estevan]:[Kipling]])</f>
        <v>1.4838014242703395</v>
      </c>
      <c r="J292" s="2">
        <f t="shared" si="4"/>
        <v>8.6880952380952383</v>
      </c>
      <c r="K292">
        <f>DAY(weather.tbl[[#This Row],[Date]])</f>
        <v>18</v>
      </c>
      <c r="L292">
        <f>MONTH(weather.tbl[[#This Row],[Date]])</f>
        <v>10</v>
      </c>
      <c r="M292">
        <f>YEAR(weather.tbl[[#This Row],[Date]])</f>
        <v>2014</v>
      </c>
    </row>
    <row r="293" spans="1:13" x14ac:dyDescent="0.25">
      <c r="A293" s="1">
        <v>41931</v>
      </c>
      <c r="B293" s="2">
        <v>11</v>
      </c>
      <c r="C293" s="2">
        <v>10.6</v>
      </c>
      <c r="D293" s="2">
        <v>7.8</v>
      </c>
      <c r="E293" s="2">
        <v>12</v>
      </c>
      <c r="F293" s="2">
        <v>12</v>
      </c>
      <c r="G293" s="2">
        <v>11.6</v>
      </c>
      <c r="H293" s="2">
        <f>AVERAGE(weather.tbl[[#This Row],[Estevan]:[Kipling]])</f>
        <v>10.833333333333334</v>
      </c>
      <c r="I293" s="2">
        <f>_xlfn.STDEV.S(weather.tbl[[#This Row],[Estevan]:[Kipling]])</f>
        <v>1.5870307705481557</v>
      </c>
      <c r="J293" s="2">
        <f t="shared" si="4"/>
        <v>8.7023809523809526</v>
      </c>
      <c r="K293">
        <f>DAY(weather.tbl[[#This Row],[Date]])</f>
        <v>19</v>
      </c>
      <c r="L293">
        <f>MONTH(weather.tbl[[#This Row],[Date]])</f>
        <v>10</v>
      </c>
      <c r="M293">
        <f>YEAR(weather.tbl[[#This Row],[Date]])</f>
        <v>2014</v>
      </c>
    </row>
    <row r="294" spans="1:13" x14ac:dyDescent="0.25">
      <c r="A294" s="1">
        <v>41932</v>
      </c>
      <c r="B294" s="2">
        <v>12.8</v>
      </c>
      <c r="C294" s="2">
        <v>12.7</v>
      </c>
      <c r="D294" s="2">
        <v>10.8</v>
      </c>
      <c r="E294" s="2">
        <v>12.5</v>
      </c>
      <c r="F294" s="2">
        <v>10.5</v>
      </c>
      <c r="G294" s="2">
        <v>12.8</v>
      </c>
      <c r="H294" s="2">
        <f>AVERAGE(weather.tbl[[#This Row],[Estevan]:[Kipling]])</f>
        <v>12.016666666666666</v>
      </c>
      <c r="I294" s="2">
        <f>_xlfn.STDEV.S(weather.tbl[[#This Row],[Estevan]:[Kipling]])</f>
        <v>1.0684880283216405</v>
      </c>
      <c r="J294" s="2">
        <f t="shared" si="4"/>
        <v>9.1023809523809529</v>
      </c>
      <c r="K294">
        <f>DAY(weather.tbl[[#This Row],[Date]])</f>
        <v>20</v>
      </c>
      <c r="L294">
        <f>MONTH(weather.tbl[[#This Row],[Date]])</f>
        <v>10</v>
      </c>
      <c r="M294">
        <f>YEAR(weather.tbl[[#This Row],[Date]])</f>
        <v>2014</v>
      </c>
    </row>
    <row r="295" spans="1:13" x14ac:dyDescent="0.25">
      <c r="A295" s="1">
        <v>41933</v>
      </c>
      <c r="B295" s="2">
        <v>12.1</v>
      </c>
      <c r="C295" s="2">
        <v>12.7</v>
      </c>
      <c r="D295" s="2">
        <v>11.5</v>
      </c>
      <c r="E295" s="2">
        <v>13.8</v>
      </c>
      <c r="F295" s="2">
        <v>14.4</v>
      </c>
      <c r="G295" s="2">
        <v>14.5</v>
      </c>
      <c r="H295" s="2">
        <f>AVERAGE(weather.tbl[[#This Row],[Estevan]:[Kipling]])</f>
        <v>13.166666666666666</v>
      </c>
      <c r="I295" s="2">
        <f>_xlfn.STDEV.S(weather.tbl[[#This Row],[Estevan]:[Kipling]])</f>
        <v>1.2516655570345727</v>
      </c>
      <c r="J295" s="2">
        <f t="shared" si="4"/>
        <v>9.4928571428571438</v>
      </c>
      <c r="K295">
        <f>DAY(weather.tbl[[#This Row],[Date]])</f>
        <v>21</v>
      </c>
      <c r="L295">
        <f>MONTH(weather.tbl[[#This Row],[Date]])</f>
        <v>10</v>
      </c>
      <c r="M295">
        <f>YEAR(weather.tbl[[#This Row],[Date]])</f>
        <v>2014</v>
      </c>
    </row>
    <row r="296" spans="1:13" x14ac:dyDescent="0.25">
      <c r="A296" s="1">
        <v>41934</v>
      </c>
      <c r="B296" s="2">
        <v>8.8000000000000007</v>
      </c>
      <c r="C296" s="2">
        <v>7.4</v>
      </c>
      <c r="D296" s="2">
        <v>10.3</v>
      </c>
      <c r="E296" s="2">
        <v>10</v>
      </c>
      <c r="F296" s="2">
        <v>12.6</v>
      </c>
      <c r="G296" s="2">
        <v>10.4</v>
      </c>
      <c r="H296" s="2">
        <f>AVERAGE(weather.tbl[[#This Row],[Estevan]:[Kipling]])</f>
        <v>9.9166666666666661</v>
      </c>
      <c r="I296" s="2">
        <f>_xlfn.STDEV.S(weather.tbl[[#This Row],[Estevan]:[Kipling]])</f>
        <v>1.7417424225948801</v>
      </c>
      <c r="J296" s="2">
        <f t="shared" si="4"/>
        <v>9.35</v>
      </c>
      <c r="K296">
        <f>DAY(weather.tbl[[#This Row],[Date]])</f>
        <v>22</v>
      </c>
      <c r="L296">
        <f>MONTH(weather.tbl[[#This Row],[Date]])</f>
        <v>10</v>
      </c>
      <c r="M296">
        <f>YEAR(weather.tbl[[#This Row],[Date]])</f>
        <v>2014</v>
      </c>
    </row>
    <row r="297" spans="1:13" x14ac:dyDescent="0.25">
      <c r="A297" s="1">
        <v>41935</v>
      </c>
      <c r="B297" s="2">
        <v>9.9</v>
      </c>
      <c r="C297" s="2">
        <v>9.1999999999999993</v>
      </c>
      <c r="D297" s="2">
        <v>11.8</v>
      </c>
      <c r="E297" s="2">
        <v>8.8000000000000007</v>
      </c>
      <c r="F297" s="2">
        <v>11.2</v>
      </c>
      <c r="G297" s="2">
        <v>8.6</v>
      </c>
      <c r="H297" s="2">
        <f>AVERAGE(weather.tbl[[#This Row],[Estevan]:[Kipling]])</f>
        <v>9.9166666666666679</v>
      </c>
      <c r="I297" s="2">
        <f>_xlfn.STDEV.S(weather.tbl[[#This Row],[Estevan]:[Kipling]])</f>
        <v>1.3182058514005437</v>
      </c>
      <c r="J297" s="2">
        <f t="shared" si="4"/>
        <v>9.6880952380952383</v>
      </c>
      <c r="K297">
        <f>DAY(weather.tbl[[#This Row],[Date]])</f>
        <v>23</v>
      </c>
      <c r="L297">
        <f>MONTH(weather.tbl[[#This Row],[Date]])</f>
        <v>10</v>
      </c>
      <c r="M297">
        <f>YEAR(weather.tbl[[#This Row],[Date]])</f>
        <v>2014</v>
      </c>
    </row>
    <row r="298" spans="1:13" x14ac:dyDescent="0.25">
      <c r="A298" s="1">
        <v>41936</v>
      </c>
      <c r="B298" s="2">
        <v>9.1</v>
      </c>
      <c r="C298" s="2">
        <v>7.4</v>
      </c>
      <c r="D298" s="2">
        <v>9</v>
      </c>
      <c r="E298" s="2">
        <v>11</v>
      </c>
      <c r="F298" s="2">
        <v>10.8</v>
      </c>
      <c r="G298" s="2">
        <v>10.7</v>
      </c>
      <c r="H298" s="2">
        <f>AVERAGE(weather.tbl[[#This Row],[Estevan]:[Kipling]])</f>
        <v>9.6666666666666661</v>
      </c>
      <c r="I298" s="2">
        <f>_xlfn.STDEV.S(weather.tbl[[#This Row],[Estevan]:[Kipling]])</f>
        <v>1.416568624058391</v>
      </c>
      <c r="J298" s="2">
        <f t="shared" si="4"/>
        <v>10.461904761904762</v>
      </c>
      <c r="K298">
        <f>DAY(weather.tbl[[#This Row],[Date]])</f>
        <v>24</v>
      </c>
      <c r="L298">
        <f>MONTH(weather.tbl[[#This Row],[Date]])</f>
        <v>10</v>
      </c>
      <c r="M298">
        <f>YEAR(weather.tbl[[#This Row],[Date]])</f>
        <v>2014</v>
      </c>
    </row>
    <row r="299" spans="1:13" x14ac:dyDescent="0.25">
      <c r="A299" s="1">
        <v>41937</v>
      </c>
      <c r="B299" s="2">
        <v>6.2</v>
      </c>
      <c r="C299" s="2">
        <v>5.2</v>
      </c>
      <c r="D299" s="2">
        <v>7.5</v>
      </c>
      <c r="E299" s="2">
        <v>6.3</v>
      </c>
      <c r="F299" s="2">
        <v>8</v>
      </c>
      <c r="G299" s="2">
        <v>6.3</v>
      </c>
      <c r="H299" s="2">
        <f>AVERAGE(weather.tbl[[#This Row],[Estevan]:[Kipling]])</f>
        <v>6.583333333333333</v>
      </c>
      <c r="I299" s="2">
        <f>_xlfn.STDEV.S(weather.tbl[[#This Row],[Estevan]:[Kipling]])</f>
        <v>1.006810144300635</v>
      </c>
      <c r="J299" s="2">
        <f t="shared" si="4"/>
        <v>10.299999999999999</v>
      </c>
      <c r="K299">
        <f>DAY(weather.tbl[[#This Row],[Date]])</f>
        <v>25</v>
      </c>
      <c r="L299">
        <f>MONTH(weather.tbl[[#This Row],[Date]])</f>
        <v>10</v>
      </c>
      <c r="M299">
        <f>YEAR(weather.tbl[[#This Row],[Date]])</f>
        <v>2014</v>
      </c>
    </row>
    <row r="300" spans="1:13" x14ac:dyDescent="0.25">
      <c r="A300" s="1">
        <v>41938</v>
      </c>
      <c r="B300" s="2">
        <v>8.4</v>
      </c>
      <c r="C300" s="2">
        <v>8.5</v>
      </c>
      <c r="D300" s="2">
        <v>8</v>
      </c>
      <c r="E300" s="2">
        <v>7.8</v>
      </c>
      <c r="F300" s="2">
        <v>10.4</v>
      </c>
      <c r="G300" s="2">
        <v>7.1</v>
      </c>
      <c r="H300" s="2">
        <f>AVERAGE(weather.tbl[[#This Row],[Estevan]:[Kipling]])</f>
        <v>8.3666666666666654</v>
      </c>
      <c r="I300" s="2">
        <f>_xlfn.STDEV.S(weather.tbl[[#This Row],[Estevan]:[Kipling]])</f>
        <v>1.1147495981908604</v>
      </c>
      <c r="J300" s="2">
        <f t="shared" si="4"/>
        <v>9.947619047619046</v>
      </c>
      <c r="K300">
        <f>DAY(weather.tbl[[#This Row],[Date]])</f>
        <v>26</v>
      </c>
      <c r="L300">
        <f>MONTH(weather.tbl[[#This Row],[Date]])</f>
        <v>10</v>
      </c>
      <c r="M300">
        <f>YEAR(weather.tbl[[#This Row],[Date]])</f>
        <v>2014</v>
      </c>
    </row>
    <row r="301" spans="1:13" x14ac:dyDescent="0.25">
      <c r="A301" s="1">
        <v>41939</v>
      </c>
      <c r="B301" s="2">
        <v>2.9</v>
      </c>
      <c r="C301" s="2">
        <v>2.9</v>
      </c>
      <c r="D301" s="2">
        <v>2.8</v>
      </c>
      <c r="E301" s="2">
        <v>2</v>
      </c>
      <c r="F301" s="2">
        <v>3</v>
      </c>
      <c r="G301" s="2">
        <v>1.5</v>
      </c>
      <c r="H301" s="2">
        <f>AVERAGE(weather.tbl[[#This Row],[Estevan]:[Kipling]])</f>
        <v>2.5166666666666666</v>
      </c>
      <c r="I301" s="2">
        <f>_xlfn.STDEV.S(weather.tbl[[#This Row],[Estevan]:[Kipling]])</f>
        <v>0.61779176642835432</v>
      </c>
      <c r="J301" s="2">
        <f t="shared" si="4"/>
        <v>8.5904761904761902</v>
      </c>
      <c r="K301">
        <f>DAY(weather.tbl[[#This Row],[Date]])</f>
        <v>27</v>
      </c>
      <c r="L301">
        <f>MONTH(weather.tbl[[#This Row],[Date]])</f>
        <v>10</v>
      </c>
      <c r="M301">
        <f>YEAR(weather.tbl[[#This Row],[Date]])</f>
        <v>2014</v>
      </c>
    </row>
    <row r="302" spans="1:13" x14ac:dyDescent="0.25">
      <c r="A302" s="1">
        <v>41940</v>
      </c>
      <c r="B302" s="2">
        <v>1.6</v>
      </c>
      <c r="C302" s="2">
        <v>0.2</v>
      </c>
      <c r="D302" s="2">
        <v>2.8</v>
      </c>
      <c r="E302" s="2">
        <v>2</v>
      </c>
      <c r="F302" s="2">
        <v>0.9</v>
      </c>
      <c r="G302" s="2">
        <v>-0.8</v>
      </c>
      <c r="H302" s="2">
        <f>AVERAGE(weather.tbl[[#This Row],[Estevan]:[Kipling]])</f>
        <v>1.1166666666666667</v>
      </c>
      <c r="I302" s="2">
        <f>_xlfn.STDEV.S(weather.tbl[[#This Row],[Estevan]:[Kipling]])</f>
        <v>1.2967909109284608</v>
      </c>
      <c r="J302" s="2">
        <f t="shared" si="4"/>
        <v>6.8690476190476195</v>
      </c>
      <c r="K302">
        <f>DAY(weather.tbl[[#This Row],[Date]])</f>
        <v>28</v>
      </c>
      <c r="L302">
        <f>MONTH(weather.tbl[[#This Row],[Date]])</f>
        <v>10</v>
      </c>
      <c r="M302">
        <f>YEAR(weather.tbl[[#This Row],[Date]])</f>
        <v>2014</v>
      </c>
    </row>
    <row r="303" spans="1:13" x14ac:dyDescent="0.25">
      <c r="A303" s="1">
        <v>41941</v>
      </c>
      <c r="B303" s="2">
        <v>3.6</v>
      </c>
      <c r="C303" s="2">
        <v>3.5</v>
      </c>
      <c r="D303" s="2">
        <v>2.8</v>
      </c>
      <c r="E303" s="2">
        <v>4.5</v>
      </c>
      <c r="F303" s="2">
        <v>2.9</v>
      </c>
      <c r="G303" s="2">
        <v>2.2000000000000002</v>
      </c>
      <c r="H303" s="2">
        <f>AVERAGE(weather.tbl[[#This Row],[Estevan]:[Kipling]])</f>
        <v>3.2499999999999996</v>
      </c>
      <c r="I303" s="2">
        <f>_xlfn.STDEV.S(weather.tbl[[#This Row],[Estevan]:[Kipling]])</f>
        <v>0.79686887252546368</v>
      </c>
      <c r="J303" s="2">
        <f t="shared" si="4"/>
        <v>5.9166666666666661</v>
      </c>
      <c r="K303">
        <f>DAY(weather.tbl[[#This Row],[Date]])</f>
        <v>29</v>
      </c>
      <c r="L303">
        <f>MONTH(weather.tbl[[#This Row],[Date]])</f>
        <v>10</v>
      </c>
      <c r="M303">
        <f>YEAR(weather.tbl[[#This Row],[Date]])</f>
        <v>2014</v>
      </c>
    </row>
    <row r="304" spans="1:13" x14ac:dyDescent="0.25">
      <c r="A304" s="1">
        <v>41942</v>
      </c>
      <c r="B304" s="2">
        <v>-2.5</v>
      </c>
      <c r="C304" s="2">
        <v>-2.2000000000000002</v>
      </c>
      <c r="D304" s="2">
        <v>2.8</v>
      </c>
      <c r="E304" s="2">
        <v>-0.3</v>
      </c>
      <c r="F304" s="2">
        <v>-2.8</v>
      </c>
      <c r="G304" s="2">
        <v>-2.5</v>
      </c>
      <c r="H304" s="2">
        <f>AVERAGE(weather.tbl[[#This Row],[Estevan]:[Kipling]])</f>
        <v>-1.25</v>
      </c>
      <c r="I304" s="2">
        <f>_xlfn.STDEV.S(weather.tbl[[#This Row],[Estevan]:[Kipling]])</f>
        <v>2.1787611158637836</v>
      </c>
      <c r="J304" s="2">
        <f t="shared" si="4"/>
        <v>4.3214285714285712</v>
      </c>
      <c r="K304">
        <f>DAY(weather.tbl[[#This Row],[Date]])</f>
        <v>30</v>
      </c>
      <c r="L304">
        <f>MONTH(weather.tbl[[#This Row],[Date]])</f>
        <v>10</v>
      </c>
      <c r="M304">
        <f>YEAR(weather.tbl[[#This Row],[Date]])</f>
        <v>2014</v>
      </c>
    </row>
    <row r="305" spans="1:13" x14ac:dyDescent="0.25">
      <c r="A305" s="1">
        <v>41943</v>
      </c>
      <c r="B305" s="2">
        <v>-1</v>
      </c>
      <c r="C305" s="2">
        <v>0.5</v>
      </c>
      <c r="D305" s="2">
        <v>2.8</v>
      </c>
      <c r="E305" s="2">
        <v>1.3</v>
      </c>
      <c r="F305" s="2">
        <v>-1.8</v>
      </c>
      <c r="G305" s="2">
        <v>-1.2</v>
      </c>
      <c r="H305" s="2">
        <f>AVERAGE(weather.tbl[[#This Row],[Estevan]:[Kipling]])</f>
        <v>9.9999999999999936E-2</v>
      </c>
      <c r="I305" s="2">
        <f>_xlfn.STDEV.S(weather.tbl[[#This Row],[Estevan]:[Kipling]])</f>
        <v>1.7549928774784243</v>
      </c>
      <c r="J305" s="2">
        <f t="shared" si="4"/>
        <v>2.9547619047619049</v>
      </c>
      <c r="K305">
        <f>DAY(weather.tbl[[#This Row],[Date]])</f>
        <v>31</v>
      </c>
      <c r="L305">
        <f>MONTH(weather.tbl[[#This Row],[Date]])</f>
        <v>10</v>
      </c>
      <c r="M305">
        <f>YEAR(weather.tbl[[#This Row],[Date]])</f>
        <v>2014</v>
      </c>
    </row>
    <row r="306" spans="1:13" x14ac:dyDescent="0.25">
      <c r="A306" s="1">
        <v>41944</v>
      </c>
      <c r="B306" s="2">
        <v>3</v>
      </c>
      <c r="C306" s="2">
        <v>4.7</v>
      </c>
      <c r="D306" s="2">
        <v>2.8</v>
      </c>
      <c r="E306" s="2">
        <v>5</v>
      </c>
      <c r="F306" s="2">
        <v>3.4</v>
      </c>
      <c r="G306" s="2">
        <v>4.2</v>
      </c>
      <c r="H306" s="2">
        <f>AVERAGE(weather.tbl[[#This Row],[Estevan]:[Kipling]])</f>
        <v>3.8499999999999996</v>
      </c>
      <c r="I306" s="2">
        <f>_xlfn.STDEV.S(weather.tbl[[#This Row],[Estevan]:[Kipling]])</f>
        <v>0.91596943180435964</v>
      </c>
      <c r="J306" s="2">
        <f t="shared" si="4"/>
        <v>2.5642857142857141</v>
      </c>
      <c r="K306">
        <f>DAY(weather.tbl[[#This Row],[Date]])</f>
        <v>1</v>
      </c>
      <c r="L306">
        <f>MONTH(weather.tbl[[#This Row],[Date]])</f>
        <v>11</v>
      </c>
      <c r="M306">
        <f>YEAR(weather.tbl[[#This Row],[Date]])</f>
        <v>2014</v>
      </c>
    </row>
    <row r="307" spans="1:13" x14ac:dyDescent="0.25">
      <c r="A307" s="1">
        <v>41945</v>
      </c>
      <c r="B307" s="2">
        <v>2.6</v>
      </c>
      <c r="C307" s="2">
        <v>3</v>
      </c>
      <c r="D307" s="2">
        <v>2.8</v>
      </c>
      <c r="E307" s="2">
        <v>2.2999999999999998</v>
      </c>
      <c r="F307" s="2">
        <v>3.3</v>
      </c>
      <c r="G307" s="2">
        <v>1.9</v>
      </c>
      <c r="H307" s="2">
        <f>AVERAGE(weather.tbl[[#This Row],[Estevan]:[Kipling]])</f>
        <v>2.65</v>
      </c>
      <c r="I307" s="2">
        <f>_xlfn.STDEV.S(weather.tbl[[#This Row],[Estevan]:[Kipling]])</f>
        <v>0.50099900199501446</v>
      </c>
      <c r="J307" s="2">
        <f t="shared" si="4"/>
        <v>1.7476190476190474</v>
      </c>
      <c r="K307">
        <f>DAY(weather.tbl[[#This Row],[Date]])</f>
        <v>2</v>
      </c>
      <c r="L307">
        <f>MONTH(weather.tbl[[#This Row],[Date]])</f>
        <v>11</v>
      </c>
      <c r="M307">
        <f>YEAR(weather.tbl[[#This Row],[Date]])</f>
        <v>2014</v>
      </c>
    </row>
    <row r="308" spans="1:13" x14ac:dyDescent="0.25">
      <c r="A308" s="1">
        <v>41946</v>
      </c>
      <c r="B308" s="2">
        <v>2.2000000000000002</v>
      </c>
      <c r="C308" s="2">
        <v>3.2</v>
      </c>
      <c r="D308" s="2">
        <v>2.8</v>
      </c>
      <c r="E308" s="2">
        <v>4</v>
      </c>
      <c r="F308" s="2">
        <v>0.9</v>
      </c>
      <c r="G308" s="2">
        <v>0.8</v>
      </c>
      <c r="H308" s="2">
        <f>AVERAGE(weather.tbl[[#This Row],[Estevan]:[Kipling]])</f>
        <v>2.3166666666666669</v>
      </c>
      <c r="I308" s="2">
        <f>_xlfn.STDEV.S(weather.tbl[[#This Row],[Estevan]:[Kipling]])</f>
        <v>1.2781497043252279</v>
      </c>
      <c r="J308" s="2">
        <f t="shared" si="4"/>
        <v>1.7190476190476189</v>
      </c>
      <c r="K308">
        <f>DAY(weather.tbl[[#This Row],[Date]])</f>
        <v>3</v>
      </c>
      <c r="L308">
        <f>MONTH(weather.tbl[[#This Row],[Date]])</f>
        <v>11</v>
      </c>
      <c r="M308">
        <f>YEAR(weather.tbl[[#This Row],[Date]])</f>
        <v>2014</v>
      </c>
    </row>
    <row r="309" spans="1:13" x14ac:dyDescent="0.25">
      <c r="A309" s="1">
        <v>41947</v>
      </c>
      <c r="B309" s="2">
        <v>3.4</v>
      </c>
      <c r="C309" s="2">
        <v>3.2</v>
      </c>
      <c r="D309" s="2">
        <v>2.8</v>
      </c>
      <c r="E309" s="2">
        <v>2.5</v>
      </c>
      <c r="F309" s="2">
        <v>3.7</v>
      </c>
      <c r="G309" s="2">
        <v>1.9</v>
      </c>
      <c r="H309" s="2">
        <f>AVERAGE(weather.tbl[[#This Row],[Estevan]:[Kipling]])</f>
        <v>2.9166666666666661</v>
      </c>
      <c r="I309" s="2">
        <f>_xlfn.STDEV.S(weather.tbl[[#This Row],[Estevan]:[Kipling]])</f>
        <v>0.65548963887056944</v>
      </c>
      <c r="J309" s="2">
        <f t="shared" si="4"/>
        <v>1.9761904761904761</v>
      </c>
      <c r="K309">
        <f>DAY(weather.tbl[[#This Row],[Date]])</f>
        <v>4</v>
      </c>
      <c r="L309">
        <f>MONTH(weather.tbl[[#This Row],[Date]])</f>
        <v>11</v>
      </c>
      <c r="M309">
        <f>YEAR(weather.tbl[[#This Row],[Date]])</f>
        <v>2014</v>
      </c>
    </row>
    <row r="310" spans="1:13" x14ac:dyDescent="0.25">
      <c r="A310" s="1">
        <v>41948</v>
      </c>
      <c r="B310" s="2">
        <v>0.7</v>
      </c>
      <c r="C310" s="2">
        <v>0.2</v>
      </c>
      <c r="D310" s="2">
        <v>2.8</v>
      </c>
      <c r="E310" s="2">
        <v>3.5</v>
      </c>
      <c r="F310" s="2">
        <v>0</v>
      </c>
      <c r="G310" s="2">
        <v>0.1</v>
      </c>
      <c r="H310" s="2">
        <f>AVERAGE(weather.tbl[[#This Row],[Estevan]:[Kipling]])</f>
        <v>1.2166666666666666</v>
      </c>
      <c r="I310" s="2">
        <f>_xlfn.STDEV.S(weather.tbl[[#This Row],[Estevan]:[Kipling]])</f>
        <v>1.5328622464744399</v>
      </c>
      <c r="J310" s="2">
        <f t="shared" si="4"/>
        <v>1.6857142857142855</v>
      </c>
      <c r="K310">
        <f>DAY(weather.tbl[[#This Row],[Date]])</f>
        <v>5</v>
      </c>
      <c r="L310">
        <f>MONTH(weather.tbl[[#This Row],[Date]])</f>
        <v>11</v>
      </c>
      <c r="M310">
        <f>YEAR(weather.tbl[[#This Row],[Date]])</f>
        <v>2014</v>
      </c>
    </row>
    <row r="311" spans="1:13" x14ac:dyDescent="0.25">
      <c r="A311" s="1">
        <v>41949</v>
      </c>
      <c r="B311" s="2">
        <v>0.6</v>
      </c>
      <c r="C311" s="2">
        <v>-0.2</v>
      </c>
      <c r="D311" s="2">
        <v>2.8</v>
      </c>
      <c r="E311" s="2">
        <v>3.5</v>
      </c>
      <c r="F311" s="2">
        <v>-0.8</v>
      </c>
      <c r="G311" s="2">
        <v>1.1000000000000001</v>
      </c>
      <c r="H311" s="2">
        <f>AVERAGE(weather.tbl[[#This Row],[Estevan]:[Kipling]])</f>
        <v>1.1666666666666667</v>
      </c>
      <c r="I311" s="2">
        <f>_xlfn.STDEV.S(weather.tbl[[#This Row],[Estevan]:[Kipling]])</f>
        <v>1.6836468354933189</v>
      </c>
      <c r="J311" s="2">
        <f t="shared" si="4"/>
        <v>2.0309523809523808</v>
      </c>
      <c r="K311">
        <f>DAY(weather.tbl[[#This Row],[Date]])</f>
        <v>6</v>
      </c>
      <c r="L311">
        <f>MONTH(weather.tbl[[#This Row],[Date]])</f>
        <v>11</v>
      </c>
      <c r="M311">
        <f>YEAR(weather.tbl[[#This Row],[Date]])</f>
        <v>2014</v>
      </c>
    </row>
    <row r="312" spans="1:13" x14ac:dyDescent="0.25">
      <c r="A312" s="1">
        <v>41950</v>
      </c>
      <c r="B312" s="2">
        <v>5.6</v>
      </c>
      <c r="C312" s="2">
        <v>5.9</v>
      </c>
      <c r="D312" s="2">
        <v>2.8</v>
      </c>
      <c r="E312" s="2">
        <v>3</v>
      </c>
      <c r="F312" s="2">
        <v>5</v>
      </c>
      <c r="G312" s="2">
        <v>3.7</v>
      </c>
      <c r="H312" s="2">
        <f>AVERAGE(weather.tbl[[#This Row],[Estevan]:[Kipling]])</f>
        <v>4.333333333333333</v>
      </c>
      <c r="I312" s="2">
        <f>_xlfn.STDEV.S(weather.tbl[[#This Row],[Estevan]:[Kipling]])</f>
        <v>1.34412301024373</v>
      </c>
      <c r="J312" s="2">
        <f t="shared" si="4"/>
        <v>2.6357142857142857</v>
      </c>
      <c r="K312">
        <f>DAY(weather.tbl[[#This Row],[Date]])</f>
        <v>7</v>
      </c>
      <c r="L312">
        <f>MONTH(weather.tbl[[#This Row],[Date]])</f>
        <v>11</v>
      </c>
      <c r="M312">
        <f>YEAR(weather.tbl[[#This Row],[Date]])</f>
        <v>2014</v>
      </c>
    </row>
    <row r="313" spans="1:13" x14ac:dyDescent="0.25">
      <c r="A313" s="1">
        <v>41951</v>
      </c>
      <c r="B313" s="2">
        <v>-0.8</v>
      </c>
      <c r="C313" s="2">
        <v>-2.4</v>
      </c>
      <c r="D313" s="2">
        <v>2.8</v>
      </c>
      <c r="E313" s="2">
        <v>-1.3</v>
      </c>
      <c r="F313" s="2">
        <v>-0.6</v>
      </c>
      <c r="G313" s="2">
        <v>-3.4</v>
      </c>
      <c r="H313" s="2">
        <f>AVERAGE(weather.tbl[[#This Row],[Estevan]:[Kipling]])</f>
        <v>-0.95000000000000007</v>
      </c>
      <c r="I313" s="2">
        <f>_xlfn.STDEV.S(weather.tbl[[#This Row],[Estevan]:[Kipling]])</f>
        <v>2.118253997989854</v>
      </c>
      <c r="J313" s="2">
        <f t="shared" si="4"/>
        <v>1.9499999999999997</v>
      </c>
      <c r="K313">
        <f>DAY(weather.tbl[[#This Row],[Date]])</f>
        <v>8</v>
      </c>
      <c r="L313">
        <f>MONTH(weather.tbl[[#This Row],[Date]])</f>
        <v>11</v>
      </c>
      <c r="M313">
        <f>YEAR(weather.tbl[[#This Row],[Date]])</f>
        <v>2014</v>
      </c>
    </row>
    <row r="314" spans="1:13" x14ac:dyDescent="0.25">
      <c r="A314" s="1">
        <v>41952</v>
      </c>
      <c r="B314" s="2">
        <v>-6.6</v>
      </c>
      <c r="C314" s="2">
        <v>-8.6</v>
      </c>
      <c r="D314" s="2">
        <v>2.8</v>
      </c>
      <c r="E314" s="2">
        <v>-7.3</v>
      </c>
      <c r="F314" s="2">
        <v>-6.4</v>
      </c>
      <c r="G314" s="2">
        <v>-9.9</v>
      </c>
      <c r="H314" s="2">
        <f>AVERAGE(weather.tbl[[#This Row],[Estevan]:[Kipling]])</f>
        <v>-6</v>
      </c>
      <c r="I314" s="2">
        <f>_xlfn.STDEV.S(weather.tbl[[#This Row],[Estevan]:[Kipling]])</f>
        <v>4.5082147242561552</v>
      </c>
      <c r="J314" s="2">
        <f t="shared" si="4"/>
        <v>0.7142857142857143</v>
      </c>
      <c r="K314">
        <f>DAY(weather.tbl[[#This Row],[Date]])</f>
        <v>9</v>
      </c>
      <c r="L314">
        <f>MONTH(weather.tbl[[#This Row],[Date]])</f>
        <v>11</v>
      </c>
      <c r="M314">
        <f>YEAR(weather.tbl[[#This Row],[Date]])</f>
        <v>2014</v>
      </c>
    </row>
    <row r="315" spans="1:13" x14ac:dyDescent="0.25">
      <c r="A315" s="1">
        <v>41953</v>
      </c>
      <c r="B315" s="2">
        <v>-10.9</v>
      </c>
      <c r="C315" s="2">
        <v>-12.2</v>
      </c>
      <c r="D315" s="2">
        <v>2.8</v>
      </c>
      <c r="E315" s="2">
        <v>-12</v>
      </c>
      <c r="F315" s="2">
        <v>-9.6999999999999993</v>
      </c>
      <c r="G315" s="2">
        <v>-9.9</v>
      </c>
      <c r="H315" s="2">
        <f>AVERAGE(weather.tbl[[#This Row],[Estevan]:[Kipling]])</f>
        <v>-8.65</v>
      </c>
      <c r="I315" s="2">
        <f>_xlfn.STDEV.S(weather.tbl[[#This Row],[Estevan]:[Kipling]])</f>
        <v>5.7035953573162947</v>
      </c>
      <c r="J315" s="2">
        <f t="shared" si="4"/>
        <v>-0.85238095238095235</v>
      </c>
      <c r="K315">
        <f>DAY(weather.tbl[[#This Row],[Date]])</f>
        <v>10</v>
      </c>
      <c r="L315">
        <f>MONTH(weather.tbl[[#This Row],[Date]])</f>
        <v>11</v>
      </c>
      <c r="M315">
        <f>YEAR(weather.tbl[[#This Row],[Date]])</f>
        <v>2014</v>
      </c>
    </row>
    <row r="316" spans="1:13" x14ac:dyDescent="0.25">
      <c r="A316" s="1">
        <v>41954</v>
      </c>
      <c r="B316" s="2">
        <v>-11.3</v>
      </c>
      <c r="C316" s="2">
        <v>-13.1</v>
      </c>
      <c r="D316" s="2">
        <v>2.8</v>
      </c>
      <c r="E316" s="2">
        <v>-10.5</v>
      </c>
      <c r="F316" s="2">
        <v>-8.5</v>
      </c>
      <c r="G316" s="2">
        <v>-9.9</v>
      </c>
      <c r="H316" s="2">
        <f>AVERAGE(weather.tbl[[#This Row],[Estevan]:[Kipling]])</f>
        <v>-8.4166666666666661</v>
      </c>
      <c r="I316" s="2">
        <f>_xlfn.STDEV.S(weather.tbl[[#This Row],[Estevan]:[Kipling]])</f>
        <v>5.7027771012609891</v>
      </c>
      <c r="J316" s="2">
        <f t="shared" si="4"/>
        <v>-2.4714285714285711</v>
      </c>
      <c r="K316">
        <f>DAY(weather.tbl[[#This Row],[Date]])</f>
        <v>11</v>
      </c>
      <c r="L316">
        <f>MONTH(weather.tbl[[#This Row],[Date]])</f>
        <v>11</v>
      </c>
      <c r="M316">
        <f>YEAR(weather.tbl[[#This Row],[Date]])</f>
        <v>2014</v>
      </c>
    </row>
    <row r="317" spans="1:13" x14ac:dyDescent="0.25">
      <c r="A317" s="1">
        <v>41955</v>
      </c>
      <c r="B317" s="2">
        <v>-12.4</v>
      </c>
      <c r="C317" s="2">
        <v>-14.4</v>
      </c>
      <c r="D317" s="2">
        <v>2.8</v>
      </c>
      <c r="E317" s="2">
        <v>-10.5</v>
      </c>
      <c r="F317" s="2">
        <v>-10</v>
      </c>
      <c r="G317" s="2">
        <v>-13.1</v>
      </c>
      <c r="H317" s="2">
        <f>AVERAGE(weather.tbl[[#This Row],[Estevan]:[Kipling]])</f>
        <v>-9.6</v>
      </c>
      <c r="I317" s="2">
        <f>_xlfn.STDEV.S(weather.tbl[[#This Row],[Estevan]:[Kipling]])</f>
        <v>6.2906279495770532</v>
      </c>
      <c r="J317" s="2">
        <f t="shared" si="4"/>
        <v>-4.0166666666666666</v>
      </c>
      <c r="K317">
        <f>DAY(weather.tbl[[#This Row],[Date]])</f>
        <v>12</v>
      </c>
      <c r="L317">
        <f>MONTH(weather.tbl[[#This Row],[Date]])</f>
        <v>11</v>
      </c>
      <c r="M317">
        <f>YEAR(weather.tbl[[#This Row],[Date]])</f>
        <v>2014</v>
      </c>
    </row>
    <row r="318" spans="1:13" x14ac:dyDescent="0.25">
      <c r="A318" s="1">
        <v>41956</v>
      </c>
      <c r="B318" s="2">
        <v>-13.2</v>
      </c>
      <c r="C318" s="2">
        <v>-14.7</v>
      </c>
      <c r="D318" s="2">
        <v>2.8</v>
      </c>
      <c r="E318" s="2">
        <v>-10.5</v>
      </c>
      <c r="F318" s="2">
        <v>-11.7</v>
      </c>
      <c r="G318" s="2">
        <v>-12.9</v>
      </c>
      <c r="H318" s="2">
        <f>AVERAGE(weather.tbl[[#This Row],[Estevan]:[Kipling]])</f>
        <v>-10.033333333333333</v>
      </c>
      <c r="I318" s="2">
        <f>_xlfn.STDEV.S(weather.tbl[[#This Row],[Estevan]:[Kipling]])</f>
        <v>6.4453600882081581</v>
      </c>
      <c r="J318" s="2">
        <f t="shared" si="4"/>
        <v>-5.6166666666666663</v>
      </c>
      <c r="K318">
        <f>DAY(weather.tbl[[#This Row],[Date]])</f>
        <v>13</v>
      </c>
      <c r="L318">
        <f>MONTH(weather.tbl[[#This Row],[Date]])</f>
        <v>11</v>
      </c>
      <c r="M318">
        <f>YEAR(weather.tbl[[#This Row],[Date]])</f>
        <v>2014</v>
      </c>
    </row>
    <row r="319" spans="1:13" x14ac:dyDescent="0.25">
      <c r="A319" s="1">
        <v>41957</v>
      </c>
      <c r="B319" s="2">
        <v>-13.9</v>
      </c>
      <c r="C319" s="2">
        <v>-15.4</v>
      </c>
      <c r="D319" s="2">
        <v>2.8</v>
      </c>
      <c r="E319" s="2">
        <v>-15</v>
      </c>
      <c r="F319" s="2">
        <v>-12.7</v>
      </c>
      <c r="G319" s="2">
        <v>-14.9</v>
      </c>
      <c r="H319" s="2">
        <f>AVERAGE(weather.tbl[[#This Row],[Estevan]:[Kipling]])</f>
        <v>-11.516666666666667</v>
      </c>
      <c r="I319" s="2">
        <f>_xlfn.STDEV.S(weather.tbl[[#This Row],[Estevan]:[Kipling]])</f>
        <v>7.0810780723465143</v>
      </c>
      <c r="J319" s="2">
        <f t="shared" si="4"/>
        <v>-7.8809523809523805</v>
      </c>
      <c r="K319">
        <f>DAY(weather.tbl[[#This Row],[Date]])</f>
        <v>14</v>
      </c>
      <c r="L319">
        <f>MONTH(weather.tbl[[#This Row],[Date]])</f>
        <v>11</v>
      </c>
      <c r="M319">
        <f>YEAR(weather.tbl[[#This Row],[Date]])</f>
        <v>2014</v>
      </c>
    </row>
    <row r="320" spans="1:13" x14ac:dyDescent="0.25">
      <c r="A320" s="1">
        <v>41958</v>
      </c>
      <c r="B320" s="2">
        <v>-15.5</v>
      </c>
      <c r="C320" s="2">
        <v>-16.3</v>
      </c>
      <c r="D320" s="2">
        <v>2.8</v>
      </c>
      <c r="E320" s="2">
        <v>-13.8</v>
      </c>
      <c r="F320" s="2">
        <v>-12.5</v>
      </c>
      <c r="G320" s="2">
        <v>-14.1</v>
      </c>
      <c r="H320" s="2">
        <f>AVERAGE(weather.tbl[[#This Row],[Estevan]:[Kipling]])</f>
        <v>-11.566666666666665</v>
      </c>
      <c r="I320" s="2">
        <f>_xlfn.STDEV.S(weather.tbl[[#This Row],[Estevan]:[Kipling]])</f>
        <v>7.1631464222551466</v>
      </c>
      <c r="J320" s="2">
        <f t="shared" si="4"/>
        <v>-9.3976190476190471</v>
      </c>
      <c r="K320">
        <f>DAY(weather.tbl[[#This Row],[Date]])</f>
        <v>15</v>
      </c>
      <c r="L320">
        <f>MONTH(weather.tbl[[#This Row],[Date]])</f>
        <v>11</v>
      </c>
      <c r="M320">
        <f>YEAR(weather.tbl[[#This Row],[Date]])</f>
        <v>2014</v>
      </c>
    </row>
    <row r="321" spans="1:13" x14ac:dyDescent="0.25">
      <c r="A321" s="1">
        <v>41959</v>
      </c>
      <c r="B321" s="2">
        <v>-12.6</v>
      </c>
      <c r="C321" s="2">
        <v>-12.8</v>
      </c>
      <c r="D321" s="2">
        <v>2.8</v>
      </c>
      <c r="E321" s="2">
        <v>-10</v>
      </c>
      <c r="F321" s="2">
        <v>-9.8000000000000007</v>
      </c>
      <c r="G321" s="2">
        <v>-12.3</v>
      </c>
      <c r="H321" s="2">
        <f>AVERAGE(weather.tbl[[#This Row],[Estevan]:[Kipling]])</f>
        <v>-9.1166666666666654</v>
      </c>
      <c r="I321" s="2">
        <f>_xlfn.STDEV.S(weather.tbl[[#This Row],[Estevan]:[Kipling]])</f>
        <v>5.9847862674173014</v>
      </c>
      <c r="J321" s="2">
        <f t="shared" si="4"/>
        <v>-9.8428571428571416</v>
      </c>
      <c r="K321">
        <f>DAY(weather.tbl[[#This Row],[Date]])</f>
        <v>16</v>
      </c>
      <c r="L321">
        <f>MONTH(weather.tbl[[#This Row],[Date]])</f>
        <v>11</v>
      </c>
      <c r="M321">
        <f>YEAR(weather.tbl[[#This Row],[Date]])</f>
        <v>2014</v>
      </c>
    </row>
    <row r="322" spans="1:13" x14ac:dyDescent="0.25">
      <c r="A322" s="1">
        <v>41960</v>
      </c>
      <c r="B322" s="2">
        <v>-13.3</v>
      </c>
      <c r="C322" s="2">
        <v>-12.9</v>
      </c>
      <c r="D322" s="2">
        <v>2.8</v>
      </c>
      <c r="E322" s="2">
        <v>-11.3</v>
      </c>
      <c r="F322" s="2">
        <v>-11.3</v>
      </c>
      <c r="G322" s="2">
        <v>-13.8</v>
      </c>
      <c r="H322" s="2">
        <f>AVERAGE(weather.tbl[[#This Row],[Estevan]:[Kipling]])</f>
        <v>-9.9666666666666668</v>
      </c>
      <c r="I322" s="2">
        <f>_xlfn.STDEV.S(weather.tbl[[#This Row],[Estevan]:[Kipling]])</f>
        <v>6.3396109239184941</v>
      </c>
      <c r="J322" s="2">
        <f t="shared" si="4"/>
        <v>-10.03095238095238</v>
      </c>
      <c r="K322">
        <f>DAY(weather.tbl[[#This Row],[Date]])</f>
        <v>17</v>
      </c>
      <c r="L322">
        <f>MONTH(weather.tbl[[#This Row],[Date]])</f>
        <v>11</v>
      </c>
      <c r="M322">
        <f>YEAR(weather.tbl[[#This Row],[Date]])</f>
        <v>2014</v>
      </c>
    </row>
    <row r="323" spans="1:13" x14ac:dyDescent="0.25">
      <c r="A323" s="1">
        <v>41961</v>
      </c>
      <c r="B323" s="2">
        <v>-9.5</v>
      </c>
      <c r="C323" s="2">
        <v>-11.3</v>
      </c>
      <c r="D323" s="2">
        <v>2.8</v>
      </c>
      <c r="E323" s="2">
        <v>-12.3</v>
      </c>
      <c r="F323" s="2">
        <v>-8.9</v>
      </c>
      <c r="G323" s="2">
        <v>-11.5</v>
      </c>
      <c r="H323" s="2">
        <f>AVERAGE(weather.tbl[[#This Row],[Estevan]:[Kipling]])</f>
        <v>-8.4500000000000011</v>
      </c>
      <c r="I323" s="2">
        <f>_xlfn.STDEV.S(weather.tbl[[#This Row],[Estevan]:[Kipling]])</f>
        <v>5.6588868163270423</v>
      </c>
      <c r="J323" s="2">
        <f t="shared" si="4"/>
        <v>-10.035714285714286</v>
      </c>
      <c r="K323">
        <f>DAY(weather.tbl[[#This Row],[Date]])</f>
        <v>18</v>
      </c>
      <c r="L323">
        <f>MONTH(weather.tbl[[#This Row],[Date]])</f>
        <v>11</v>
      </c>
      <c r="M323">
        <f>YEAR(weather.tbl[[#This Row],[Date]])</f>
        <v>2014</v>
      </c>
    </row>
    <row r="324" spans="1:13" x14ac:dyDescent="0.25">
      <c r="A324" s="1">
        <v>41962</v>
      </c>
      <c r="B324" s="2">
        <v>-12</v>
      </c>
      <c r="C324" s="2">
        <v>-10.4</v>
      </c>
      <c r="D324" s="2">
        <v>2.8</v>
      </c>
      <c r="E324" s="2">
        <v>-9.8000000000000007</v>
      </c>
      <c r="F324" s="2">
        <v>-9.5</v>
      </c>
      <c r="G324" s="2">
        <v>-10.9</v>
      </c>
      <c r="H324" s="2">
        <f>AVERAGE(weather.tbl[[#This Row],[Estevan]:[Kipling]])</f>
        <v>-8.2999999999999989</v>
      </c>
      <c r="I324" s="2">
        <f>_xlfn.STDEV.S(weather.tbl[[#This Row],[Estevan]:[Kipling]])</f>
        <v>5.5092649237443663</v>
      </c>
      <c r="J324" s="2">
        <f t="shared" si="4"/>
        <v>-9.85</v>
      </c>
      <c r="K324">
        <f>DAY(weather.tbl[[#This Row],[Date]])</f>
        <v>19</v>
      </c>
      <c r="L324">
        <f>MONTH(weather.tbl[[#This Row],[Date]])</f>
        <v>11</v>
      </c>
      <c r="M324">
        <f>YEAR(weather.tbl[[#This Row],[Date]])</f>
        <v>2014</v>
      </c>
    </row>
    <row r="325" spans="1:13" x14ac:dyDescent="0.25">
      <c r="A325" s="1">
        <v>41963</v>
      </c>
      <c r="B325" s="2">
        <v>-10.199999999999999</v>
      </c>
      <c r="C325" s="2">
        <v>-8.9</v>
      </c>
      <c r="D325" s="2">
        <v>2.8</v>
      </c>
      <c r="E325" s="2">
        <v>-5.5</v>
      </c>
      <c r="F325" s="2">
        <v>-11.6</v>
      </c>
      <c r="G325" s="2">
        <v>-10.9</v>
      </c>
      <c r="H325" s="2">
        <f>AVERAGE(weather.tbl[[#This Row],[Estevan]:[Kipling]])</f>
        <v>-7.3833333333333329</v>
      </c>
      <c r="I325" s="2">
        <f>_xlfn.STDEV.S(weather.tbl[[#This Row],[Estevan]:[Kipling]])</f>
        <v>5.4337525400653517</v>
      </c>
      <c r="J325" s="2">
        <f t="shared" si="4"/>
        <v>-9.4714285714285715</v>
      </c>
      <c r="K325">
        <f>DAY(weather.tbl[[#This Row],[Date]])</f>
        <v>20</v>
      </c>
      <c r="L325">
        <f>MONTH(weather.tbl[[#This Row],[Date]])</f>
        <v>11</v>
      </c>
      <c r="M325">
        <f>YEAR(weather.tbl[[#This Row],[Date]])</f>
        <v>2014</v>
      </c>
    </row>
    <row r="326" spans="1:13" x14ac:dyDescent="0.25">
      <c r="A326" s="1">
        <v>41964</v>
      </c>
      <c r="B326" s="2">
        <v>0.4</v>
      </c>
      <c r="C326" s="2">
        <v>-1.4</v>
      </c>
      <c r="D326" s="2">
        <v>2.8</v>
      </c>
      <c r="E326" s="2">
        <v>-1.5</v>
      </c>
      <c r="F326" s="2">
        <v>-0.6</v>
      </c>
      <c r="G326" s="2">
        <v>-3.4</v>
      </c>
      <c r="H326" s="2">
        <f>AVERAGE(weather.tbl[[#This Row],[Estevan]:[Kipling]])</f>
        <v>-0.6166666666666667</v>
      </c>
      <c r="I326" s="2">
        <f>_xlfn.STDEV.S(weather.tbl[[#This Row],[Estevan]:[Kipling]])</f>
        <v>2.0903747670374004</v>
      </c>
      <c r="J326" s="2">
        <f t="shared" si="4"/>
        <v>-7.9142857142857137</v>
      </c>
      <c r="K326">
        <f>DAY(weather.tbl[[#This Row],[Date]])</f>
        <v>21</v>
      </c>
      <c r="L326">
        <f>MONTH(weather.tbl[[#This Row],[Date]])</f>
        <v>11</v>
      </c>
      <c r="M326">
        <f>YEAR(weather.tbl[[#This Row],[Date]])</f>
        <v>2014</v>
      </c>
    </row>
    <row r="327" spans="1:13" x14ac:dyDescent="0.25">
      <c r="A327" s="1">
        <v>41965</v>
      </c>
      <c r="B327" s="2">
        <v>-1.3</v>
      </c>
      <c r="C327" s="2">
        <v>-1.6</v>
      </c>
      <c r="D327" s="2">
        <v>2.8</v>
      </c>
      <c r="E327" s="2">
        <v>-1.8</v>
      </c>
      <c r="F327" s="2">
        <v>-2.5</v>
      </c>
      <c r="G327" s="2">
        <v>0.3</v>
      </c>
      <c r="H327" s="2">
        <f>AVERAGE(weather.tbl[[#This Row],[Estevan]:[Kipling]])</f>
        <v>-0.68333333333333346</v>
      </c>
      <c r="I327" s="2">
        <f>_xlfn.STDEV.S(weather.tbl[[#This Row],[Estevan]:[Kipling]])</f>
        <v>1.942592769127556</v>
      </c>
      <c r="J327" s="2">
        <f t="shared" si="4"/>
        <v>-6.3595238095238082</v>
      </c>
      <c r="K327">
        <f>DAY(weather.tbl[[#This Row],[Date]])</f>
        <v>22</v>
      </c>
      <c r="L327">
        <f>MONTH(weather.tbl[[#This Row],[Date]])</f>
        <v>11</v>
      </c>
      <c r="M327">
        <f>YEAR(weather.tbl[[#This Row],[Date]])</f>
        <v>2014</v>
      </c>
    </row>
    <row r="328" spans="1:13" x14ac:dyDescent="0.25">
      <c r="A328" s="1">
        <v>41966</v>
      </c>
      <c r="B328" s="2">
        <v>-6.6</v>
      </c>
      <c r="C328" s="2">
        <v>-6.3</v>
      </c>
      <c r="D328" s="2">
        <v>2.8</v>
      </c>
      <c r="E328" s="2">
        <v>-9.5</v>
      </c>
      <c r="F328" s="2">
        <v>-6.2</v>
      </c>
      <c r="G328" s="2">
        <v>-12.7</v>
      </c>
      <c r="H328" s="2">
        <f>AVERAGE(weather.tbl[[#This Row],[Estevan]:[Kipling]])</f>
        <v>-6.416666666666667</v>
      </c>
      <c r="I328" s="2">
        <f>_xlfn.STDEV.S(weather.tbl[[#This Row],[Estevan]:[Kipling]])</f>
        <v>5.1774189193715694</v>
      </c>
      <c r="J328" s="2">
        <f t="shared" si="4"/>
        <v>-5.973809523809523</v>
      </c>
      <c r="K328">
        <f>DAY(weather.tbl[[#This Row],[Date]])</f>
        <v>23</v>
      </c>
      <c r="L328">
        <f>MONTH(weather.tbl[[#This Row],[Date]])</f>
        <v>11</v>
      </c>
      <c r="M328">
        <f>YEAR(weather.tbl[[#This Row],[Date]])</f>
        <v>2014</v>
      </c>
    </row>
    <row r="329" spans="1:13" x14ac:dyDescent="0.25">
      <c r="A329" s="1">
        <v>41967</v>
      </c>
      <c r="B329" s="2">
        <v>-9.9</v>
      </c>
      <c r="C329" s="2">
        <v>-9.3000000000000007</v>
      </c>
      <c r="D329" s="2">
        <v>2.8</v>
      </c>
      <c r="E329" s="2">
        <v>-8.3000000000000007</v>
      </c>
      <c r="F329" s="2">
        <v>-10.9</v>
      </c>
      <c r="G329" s="2">
        <v>-12.4</v>
      </c>
      <c r="H329" s="2">
        <f>AVERAGE(weather.tbl[[#This Row],[Estevan]:[Kipling]])</f>
        <v>-8</v>
      </c>
      <c r="I329" s="2">
        <f>_xlfn.STDEV.S(weather.tbl[[#This Row],[Estevan]:[Kipling]])</f>
        <v>5.4735728733616051</v>
      </c>
      <c r="J329" s="2">
        <f t="shared" si="4"/>
        <v>-5.6928571428571431</v>
      </c>
      <c r="K329">
        <f>DAY(weather.tbl[[#This Row],[Date]])</f>
        <v>24</v>
      </c>
      <c r="L329">
        <f>MONTH(weather.tbl[[#This Row],[Date]])</f>
        <v>11</v>
      </c>
      <c r="M329">
        <f>YEAR(weather.tbl[[#This Row],[Date]])</f>
        <v>2014</v>
      </c>
    </row>
    <row r="330" spans="1:13" x14ac:dyDescent="0.25">
      <c r="A330" s="1">
        <v>41968</v>
      </c>
      <c r="B330" s="2">
        <v>-7.6</v>
      </c>
      <c r="C330" s="2">
        <v>-9.1</v>
      </c>
      <c r="D330" s="2">
        <v>2.8</v>
      </c>
      <c r="E330" s="2">
        <v>-8</v>
      </c>
      <c r="F330" s="2">
        <v>-10.1</v>
      </c>
      <c r="G330" s="2">
        <v>-10</v>
      </c>
      <c r="H330" s="2">
        <f>AVERAGE(weather.tbl[[#This Row],[Estevan]:[Kipling]])</f>
        <v>-7</v>
      </c>
      <c r="I330" s="2">
        <f>_xlfn.STDEV.S(weather.tbl[[#This Row],[Estevan]:[Kipling]])</f>
        <v>4.907545211202847</v>
      </c>
      <c r="J330" s="2">
        <f t="shared" ref="J330:J393" si="5">AVERAGE(H324:H330)</f>
        <v>-5.4857142857142858</v>
      </c>
      <c r="K330">
        <f>DAY(weather.tbl[[#This Row],[Date]])</f>
        <v>25</v>
      </c>
      <c r="L330">
        <f>MONTH(weather.tbl[[#This Row],[Date]])</f>
        <v>11</v>
      </c>
      <c r="M330">
        <f>YEAR(weather.tbl[[#This Row],[Date]])</f>
        <v>2014</v>
      </c>
    </row>
    <row r="331" spans="1:13" x14ac:dyDescent="0.25">
      <c r="A331" s="1">
        <v>41969</v>
      </c>
      <c r="B331" s="2">
        <v>-18.899999999999999</v>
      </c>
      <c r="C331" s="2">
        <v>-20.3</v>
      </c>
      <c r="D331" s="2">
        <v>2.8</v>
      </c>
      <c r="E331" s="2">
        <v>-19.8</v>
      </c>
      <c r="F331" s="2">
        <v>-20.9</v>
      </c>
      <c r="G331" s="2">
        <v>-19.899999999999999</v>
      </c>
      <c r="H331" s="2">
        <f>AVERAGE(weather.tbl[[#This Row],[Estevan]:[Kipling]])</f>
        <v>-16.166666666666668</v>
      </c>
      <c r="I331" s="2">
        <f>_xlfn.STDEV.S(weather.tbl[[#This Row],[Estevan]:[Kipling]])</f>
        <v>9.3148626756741102</v>
      </c>
      <c r="J331" s="2">
        <f t="shared" si="5"/>
        <v>-6.6095238095238091</v>
      </c>
      <c r="K331">
        <f>DAY(weather.tbl[[#This Row],[Date]])</f>
        <v>26</v>
      </c>
      <c r="L331">
        <f>MONTH(weather.tbl[[#This Row],[Date]])</f>
        <v>11</v>
      </c>
      <c r="M331">
        <f>YEAR(weather.tbl[[#This Row],[Date]])</f>
        <v>2014</v>
      </c>
    </row>
    <row r="332" spans="1:13" x14ac:dyDescent="0.25">
      <c r="A332" s="1">
        <v>41970</v>
      </c>
      <c r="B332" s="2">
        <v>-18.7</v>
      </c>
      <c r="C332" s="2">
        <v>-14.8</v>
      </c>
      <c r="D332" s="2">
        <v>2.8</v>
      </c>
      <c r="E332" s="2">
        <v>-15.5</v>
      </c>
      <c r="F332" s="2">
        <v>-18.8</v>
      </c>
      <c r="G332" s="2">
        <v>-17.5</v>
      </c>
      <c r="H332" s="2">
        <f>AVERAGE(weather.tbl[[#This Row],[Estevan]:[Kipling]])</f>
        <v>-13.75</v>
      </c>
      <c r="I332" s="2">
        <f>_xlfn.STDEV.S(weather.tbl[[#This Row],[Estevan]:[Kipling]])</f>
        <v>8.2720614117643034</v>
      </c>
      <c r="J332" s="2">
        <f t="shared" si="5"/>
        <v>-7.5190476190476199</v>
      </c>
      <c r="K332">
        <f>DAY(weather.tbl[[#This Row],[Date]])</f>
        <v>27</v>
      </c>
      <c r="L332">
        <f>MONTH(weather.tbl[[#This Row],[Date]])</f>
        <v>11</v>
      </c>
      <c r="M332">
        <f>YEAR(weather.tbl[[#This Row],[Date]])</f>
        <v>2014</v>
      </c>
    </row>
    <row r="333" spans="1:13" x14ac:dyDescent="0.25">
      <c r="A333" s="1">
        <v>41971</v>
      </c>
      <c r="B333" s="2">
        <v>-12.2</v>
      </c>
      <c r="C333" s="2">
        <v>-11.9</v>
      </c>
      <c r="D333" s="2">
        <v>2.8</v>
      </c>
      <c r="E333" s="2">
        <v>-11.3</v>
      </c>
      <c r="F333" s="2">
        <v>-11.2</v>
      </c>
      <c r="G333" s="2">
        <v>-13</v>
      </c>
      <c r="H333" s="2">
        <f>AVERAGE(weather.tbl[[#This Row],[Estevan]:[Kipling]])</f>
        <v>-9.4666666666666668</v>
      </c>
      <c r="I333" s="2">
        <f>_xlfn.STDEV.S(weather.tbl[[#This Row],[Estevan]:[Kipling]])</f>
        <v>6.0450530739329889</v>
      </c>
      <c r="J333" s="2">
        <f t="shared" si="5"/>
        <v>-8.7833333333333332</v>
      </c>
      <c r="K333">
        <f>DAY(weather.tbl[[#This Row],[Date]])</f>
        <v>28</v>
      </c>
      <c r="L333">
        <f>MONTH(weather.tbl[[#This Row],[Date]])</f>
        <v>11</v>
      </c>
      <c r="M333">
        <f>YEAR(weather.tbl[[#This Row],[Date]])</f>
        <v>2014</v>
      </c>
    </row>
    <row r="334" spans="1:13" x14ac:dyDescent="0.25">
      <c r="A334" s="1">
        <v>41972</v>
      </c>
      <c r="B334" s="2">
        <v>-18.100000000000001</v>
      </c>
      <c r="C334" s="2">
        <v>-18.3</v>
      </c>
      <c r="D334" s="2">
        <v>2.8</v>
      </c>
      <c r="E334" s="2">
        <v>-20</v>
      </c>
      <c r="F334" s="2">
        <v>-17.100000000000001</v>
      </c>
      <c r="G334" s="2">
        <v>-19.899999999999999</v>
      </c>
      <c r="H334" s="2">
        <f>AVERAGE(weather.tbl[[#This Row],[Estevan]:[Kipling]])</f>
        <v>-15.100000000000003</v>
      </c>
      <c r="I334" s="2">
        <f>_xlfn.STDEV.S(weather.tbl[[#This Row],[Estevan]:[Kipling]])</f>
        <v>8.8396832522438213</v>
      </c>
      <c r="J334" s="2">
        <f t="shared" si="5"/>
        <v>-10.842857142857143</v>
      </c>
      <c r="K334">
        <f>DAY(weather.tbl[[#This Row],[Date]])</f>
        <v>29</v>
      </c>
      <c r="L334">
        <f>MONTH(weather.tbl[[#This Row],[Date]])</f>
        <v>11</v>
      </c>
      <c r="M334">
        <f>YEAR(weather.tbl[[#This Row],[Date]])</f>
        <v>2014</v>
      </c>
    </row>
    <row r="335" spans="1:13" x14ac:dyDescent="0.25">
      <c r="A335" s="1">
        <v>41973</v>
      </c>
      <c r="B335" s="2">
        <v>-23.5</v>
      </c>
      <c r="C335" s="2">
        <v>-24.5</v>
      </c>
      <c r="D335" s="2">
        <v>2.8</v>
      </c>
      <c r="E335" s="2">
        <v>-23.3</v>
      </c>
      <c r="F335" s="2">
        <v>-23.1</v>
      </c>
      <c r="G335" s="2">
        <v>-25.2</v>
      </c>
      <c r="H335" s="2">
        <f>AVERAGE(weather.tbl[[#This Row],[Estevan]:[Kipling]])</f>
        <v>-19.466666666666665</v>
      </c>
      <c r="I335" s="2">
        <f>_xlfn.STDEV.S(weather.tbl[[#This Row],[Estevan]:[Kipling]])</f>
        <v>10.937763330163381</v>
      </c>
      <c r="J335" s="2">
        <f t="shared" si="5"/>
        <v>-12.707142857142859</v>
      </c>
      <c r="K335">
        <f>DAY(weather.tbl[[#This Row],[Date]])</f>
        <v>30</v>
      </c>
      <c r="L335">
        <f>MONTH(weather.tbl[[#This Row],[Date]])</f>
        <v>11</v>
      </c>
      <c r="M335">
        <f>YEAR(weather.tbl[[#This Row],[Date]])</f>
        <v>2014</v>
      </c>
    </row>
    <row r="336" spans="1:13" x14ac:dyDescent="0.25">
      <c r="A336" s="1">
        <v>41974</v>
      </c>
      <c r="B336" s="2">
        <v>-19.399999999999999</v>
      </c>
      <c r="C336" s="2">
        <v>-20.8</v>
      </c>
      <c r="D336" s="2">
        <v>2.8</v>
      </c>
      <c r="E336" s="2">
        <v>-20</v>
      </c>
      <c r="F336" s="2">
        <v>-21.6</v>
      </c>
      <c r="G336" s="2">
        <v>-20.2</v>
      </c>
      <c r="H336" s="2">
        <f>AVERAGE(weather.tbl[[#This Row],[Estevan]:[Kipling]])</f>
        <v>-16.533333333333335</v>
      </c>
      <c r="I336" s="2">
        <f>_xlfn.STDEV.S(weather.tbl[[#This Row],[Estevan]:[Kipling]])</f>
        <v>9.5008771524879041</v>
      </c>
      <c r="J336" s="2">
        <f t="shared" si="5"/>
        <v>-13.926190476190476</v>
      </c>
      <c r="K336">
        <f>DAY(weather.tbl[[#This Row],[Date]])</f>
        <v>1</v>
      </c>
      <c r="L336">
        <f>MONTH(weather.tbl[[#This Row],[Date]])</f>
        <v>12</v>
      </c>
      <c r="M336">
        <f>YEAR(weather.tbl[[#This Row],[Date]])</f>
        <v>2014</v>
      </c>
    </row>
    <row r="337" spans="1:13" x14ac:dyDescent="0.25">
      <c r="A337" s="1">
        <v>41975</v>
      </c>
      <c r="B337" s="2">
        <v>-13.6</v>
      </c>
      <c r="C337" s="2">
        <v>-11.9</v>
      </c>
      <c r="D337" s="2">
        <v>2.8</v>
      </c>
      <c r="E337" s="2">
        <v>-11.3</v>
      </c>
      <c r="F337" s="2">
        <v>-15.1</v>
      </c>
      <c r="G337" s="2">
        <v>-14.8</v>
      </c>
      <c r="H337" s="2">
        <f>AVERAGE(weather.tbl[[#This Row],[Estevan]:[Kipling]])</f>
        <v>-10.65</v>
      </c>
      <c r="I337" s="2">
        <f>_xlfn.STDEV.S(weather.tbl[[#This Row],[Estevan]:[Kipling]])</f>
        <v>6.7618784372391625</v>
      </c>
      <c r="J337" s="2">
        <f t="shared" si="5"/>
        <v>-14.447619047619048</v>
      </c>
      <c r="K337">
        <f>DAY(weather.tbl[[#This Row],[Date]])</f>
        <v>2</v>
      </c>
      <c r="L337">
        <f>MONTH(weather.tbl[[#This Row],[Date]])</f>
        <v>12</v>
      </c>
      <c r="M337">
        <f>YEAR(weather.tbl[[#This Row],[Date]])</f>
        <v>2014</v>
      </c>
    </row>
    <row r="338" spans="1:13" x14ac:dyDescent="0.25">
      <c r="A338" s="1">
        <v>41976</v>
      </c>
      <c r="B338" s="2">
        <v>-15.4</v>
      </c>
      <c r="C338" s="2">
        <v>-16.399999999999999</v>
      </c>
      <c r="D338" s="2">
        <v>2.8</v>
      </c>
      <c r="E338" s="2">
        <v>-14.5</v>
      </c>
      <c r="F338" s="2">
        <v>-16</v>
      </c>
      <c r="G338" s="2">
        <v>-15</v>
      </c>
      <c r="H338" s="2">
        <f>AVERAGE(weather.tbl[[#This Row],[Estevan]:[Kipling]])</f>
        <v>-12.416666666666666</v>
      </c>
      <c r="I338" s="2">
        <f>_xlfn.STDEV.S(weather.tbl[[#This Row],[Estevan]:[Kipling]])</f>
        <v>7.4855638843487728</v>
      </c>
      <c r="J338" s="2">
        <f t="shared" si="5"/>
        <v>-13.911904761904763</v>
      </c>
      <c r="K338">
        <f>DAY(weather.tbl[[#This Row],[Date]])</f>
        <v>3</v>
      </c>
      <c r="L338">
        <f>MONTH(weather.tbl[[#This Row],[Date]])</f>
        <v>12</v>
      </c>
      <c r="M338">
        <f>YEAR(weather.tbl[[#This Row],[Date]])</f>
        <v>2014</v>
      </c>
    </row>
    <row r="339" spans="1:13" x14ac:dyDescent="0.25">
      <c r="A339" s="1">
        <v>41977</v>
      </c>
      <c r="B339" s="2">
        <v>-14.3</v>
      </c>
      <c r="C339" s="2">
        <v>-14</v>
      </c>
      <c r="D339" s="2">
        <v>2.8</v>
      </c>
      <c r="E339" s="2">
        <v>-13.3</v>
      </c>
      <c r="F339" s="2">
        <v>-13.8</v>
      </c>
      <c r="G339" s="2">
        <v>-9.8000000000000007</v>
      </c>
      <c r="H339" s="2">
        <f>AVERAGE(weather.tbl[[#This Row],[Estevan]:[Kipling]])</f>
        <v>-10.399999999999999</v>
      </c>
      <c r="I339" s="2">
        <f>_xlfn.STDEV.S(weather.tbl[[#This Row],[Estevan]:[Kipling]])</f>
        <v>6.6744288145128978</v>
      </c>
      <c r="J339" s="2">
        <f t="shared" si="5"/>
        <v>-13.433333333333334</v>
      </c>
      <c r="K339">
        <f>DAY(weather.tbl[[#This Row],[Date]])</f>
        <v>4</v>
      </c>
      <c r="L339">
        <f>MONTH(weather.tbl[[#This Row],[Date]])</f>
        <v>12</v>
      </c>
      <c r="M339">
        <f>YEAR(weather.tbl[[#This Row],[Date]])</f>
        <v>2014</v>
      </c>
    </row>
    <row r="340" spans="1:13" x14ac:dyDescent="0.25">
      <c r="A340" s="1">
        <v>41978</v>
      </c>
      <c r="B340" s="2">
        <v>-12.3</v>
      </c>
      <c r="C340" s="2">
        <v>-12.8</v>
      </c>
      <c r="D340" s="2">
        <v>2.8</v>
      </c>
      <c r="E340" s="2">
        <v>-10</v>
      </c>
      <c r="F340" s="2">
        <v>-13</v>
      </c>
      <c r="G340" s="2">
        <v>-9.1999999999999993</v>
      </c>
      <c r="H340" s="2">
        <f>AVERAGE(weather.tbl[[#This Row],[Estevan]:[Kipling]])</f>
        <v>-9.0833333333333339</v>
      </c>
      <c r="I340" s="2">
        <f>_xlfn.STDEV.S(weather.tbl[[#This Row],[Estevan]:[Kipling]])</f>
        <v>6.0260821987977113</v>
      </c>
      <c r="J340" s="2">
        <f t="shared" si="5"/>
        <v>-13.378571428571428</v>
      </c>
      <c r="K340">
        <f>DAY(weather.tbl[[#This Row],[Date]])</f>
        <v>5</v>
      </c>
      <c r="L340">
        <f>MONTH(weather.tbl[[#This Row],[Date]])</f>
        <v>12</v>
      </c>
      <c r="M340">
        <f>YEAR(weather.tbl[[#This Row],[Date]])</f>
        <v>2014</v>
      </c>
    </row>
    <row r="341" spans="1:13" x14ac:dyDescent="0.25">
      <c r="A341" s="1">
        <v>41979</v>
      </c>
      <c r="B341" s="2">
        <v>-8.9</v>
      </c>
      <c r="C341" s="2">
        <v>-7.7</v>
      </c>
      <c r="D341" s="2">
        <v>2.8</v>
      </c>
      <c r="E341" s="2">
        <v>-9.3000000000000007</v>
      </c>
      <c r="F341" s="2">
        <v>-11.3</v>
      </c>
      <c r="G341" s="2">
        <v>-7.3</v>
      </c>
      <c r="H341" s="2">
        <f>AVERAGE(weather.tbl[[#This Row],[Estevan]:[Kipling]])</f>
        <v>-6.95</v>
      </c>
      <c r="I341" s="2">
        <f>_xlfn.STDEV.S(weather.tbl[[#This Row],[Estevan]:[Kipling]])</f>
        <v>4.9798594357672386</v>
      </c>
      <c r="J341" s="2">
        <f t="shared" si="5"/>
        <v>-12.214285714285714</v>
      </c>
      <c r="K341">
        <f>DAY(weather.tbl[[#This Row],[Date]])</f>
        <v>6</v>
      </c>
      <c r="L341">
        <f>MONTH(weather.tbl[[#This Row],[Date]])</f>
        <v>12</v>
      </c>
      <c r="M341">
        <f>YEAR(weather.tbl[[#This Row],[Date]])</f>
        <v>2014</v>
      </c>
    </row>
    <row r="342" spans="1:13" x14ac:dyDescent="0.25">
      <c r="A342" s="1">
        <v>41980</v>
      </c>
      <c r="B342" s="2">
        <v>-4.7</v>
      </c>
      <c r="C342" s="2">
        <v>-5.2</v>
      </c>
      <c r="D342" s="2">
        <v>2.8</v>
      </c>
      <c r="E342" s="2">
        <v>-5</v>
      </c>
      <c r="F342" s="2">
        <v>-6.3</v>
      </c>
      <c r="G342" s="2">
        <v>-6.2</v>
      </c>
      <c r="H342" s="2">
        <f>AVERAGE(weather.tbl[[#This Row],[Estevan]:[Kipling]])</f>
        <v>-4.1000000000000005</v>
      </c>
      <c r="I342" s="2">
        <f>_xlfn.STDEV.S(weather.tbl[[#This Row],[Estevan]:[Kipling]])</f>
        <v>3.4420923869065447</v>
      </c>
      <c r="J342" s="2">
        <f t="shared" si="5"/>
        <v>-10.019047619047617</v>
      </c>
      <c r="K342">
        <f>DAY(weather.tbl[[#This Row],[Date]])</f>
        <v>7</v>
      </c>
      <c r="L342">
        <f>MONTH(weather.tbl[[#This Row],[Date]])</f>
        <v>12</v>
      </c>
      <c r="M342">
        <f>YEAR(weather.tbl[[#This Row],[Date]])</f>
        <v>2014</v>
      </c>
    </row>
    <row r="343" spans="1:13" x14ac:dyDescent="0.25">
      <c r="A343" s="1">
        <v>41981</v>
      </c>
      <c r="B343" s="2">
        <v>-9</v>
      </c>
      <c r="C343" s="2">
        <v>-8.4</v>
      </c>
      <c r="D343" s="2">
        <v>2.8</v>
      </c>
      <c r="E343" s="2">
        <v>-6.5</v>
      </c>
      <c r="F343" s="2">
        <v>-13.2</v>
      </c>
      <c r="G343" s="2">
        <v>-11.1</v>
      </c>
      <c r="H343" s="2">
        <f>AVERAGE(weather.tbl[[#This Row],[Estevan]:[Kipling]])</f>
        <v>-7.5666666666666664</v>
      </c>
      <c r="I343" s="2">
        <f>_xlfn.STDEV.S(weather.tbl[[#This Row],[Estevan]:[Kipling]])</f>
        <v>5.5780522287503427</v>
      </c>
      <c r="J343" s="2">
        <f t="shared" si="5"/>
        <v>-8.738095238095239</v>
      </c>
      <c r="K343">
        <f>DAY(weather.tbl[[#This Row],[Date]])</f>
        <v>8</v>
      </c>
      <c r="L343">
        <f>MONTH(weather.tbl[[#This Row],[Date]])</f>
        <v>12</v>
      </c>
      <c r="M343">
        <f>YEAR(weather.tbl[[#This Row],[Date]])</f>
        <v>2014</v>
      </c>
    </row>
    <row r="344" spans="1:13" x14ac:dyDescent="0.25">
      <c r="A344" s="1">
        <v>41982</v>
      </c>
      <c r="B344" s="2">
        <v>-5.0999999999999996</v>
      </c>
      <c r="C344" s="2">
        <v>-4.3</v>
      </c>
      <c r="D344" s="2">
        <v>2.8</v>
      </c>
      <c r="E344" s="2">
        <v>-1.5</v>
      </c>
      <c r="F344" s="2">
        <v>-11.3</v>
      </c>
      <c r="G344" s="2">
        <v>-6.8</v>
      </c>
      <c r="H344" s="2">
        <f>AVERAGE(weather.tbl[[#This Row],[Estevan]:[Kipling]])</f>
        <v>-4.3666666666666663</v>
      </c>
      <c r="I344" s="2">
        <f>_xlfn.STDEV.S(weather.tbl[[#This Row],[Estevan]:[Kipling]])</f>
        <v>4.7773074703923619</v>
      </c>
      <c r="J344" s="2">
        <f t="shared" si="5"/>
        <v>-7.8404761904761902</v>
      </c>
      <c r="K344">
        <f>DAY(weather.tbl[[#This Row],[Date]])</f>
        <v>9</v>
      </c>
      <c r="L344">
        <f>MONTH(weather.tbl[[#This Row],[Date]])</f>
        <v>12</v>
      </c>
      <c r="M344">
        <f>YEAR(weather.tbl[[#This Row],[Date]])</f>
        <v>2014</v>
      </c>
    </row>
    <row r="345" spans="1:13" x14ac:dyDescent="0.25">
      <c r="A345" s="1">
        <v>41983</v>
      </c>
      <c r="B345" s="2">
        <v>0.3</v>
      </c>
      <c r="C345" s="2">
        <v>1.2</v>
      </c>
      <c r="D345" s="2">
        <v>2.8</v>
      </c>
      <c r="E345" s="2">
        <v>2.5</v>
      </c>
      <c r="F345" s="2">
        <v>-3.9</v>
      </c>
      <c r="G345" s="2">
        <v>1.5</v>
      </c>
      <c r="H345" s="2">
        <f>AVERAGE(weather.tbl[[#This Row],[Estevan]:[Kipling]])</f>
        <v>0.73333333333333339</v>
      </c>
      <c r="I345" s="2">
        <f>_xlfn.STDEV.S(weather.tbl[[#This Row],[Estevan]:[Kipling]])</f>
        <v>2.4434947650172418</v>
      </c>
      <c r="J345" s="2">
        <f t="shared" si="5"/>
        <v>-5.961904761904762</v>
      </c>
      <c r="K345">
        <f>DAY(weather.tbl[[#This Row],[Date]])</f>
        <v>10</v>
      </c>
      <c r="L345">
        <f>MONTH(weather.tbl[[#This Row],[Date]])</f>
        <v>12</v>
      </c>
      <c r="M345">
        <f>YEAR(weather.tbl[[#This Row],[Date]])</f>
        <v>2014</v>
      </c>
    </row>
    <row r="346" spans="1:13" x14ac:dyDescent="0.25">
      <c r="A346" s="1">
        <v>41984</v>
      </c>
      <c r="B346" s="2">
        <v>1.5</v>
      </c>
      <c r="C346" s="2">
        <v>1.1000000000000001</v>
      </c>
      <c r="D346" s="2">
        <v>2.8</v>
      </c>
      <c r="E346" s="2">
        <v>1</v>
      </c>
      <c r="F346" s="2">
        <v>-1.1000000000000001</v>
      </c>
      <c r="G346" s="2">
        <v>2.5</v>
      </c>
      <c r="H346" s="2">
        <f>AVERAGE(weather.tbl[[#This Row],[Estevan]:[Kipling]])</f>
        <v>1.3</v>
      </c>
      <c r="I346" s="2">
        <f>_xlfn.STDEV.S(weather.tbl[[#This Row],[Estevan]:[Kipling]])</f>
        <v>1.3870832707519758</v>
      </c>
      <c r="J346" s="2">
        <f t="shared" si="5"/>
        <v>-4.2904761904761903</v>
      </c>
      <c r="K346">
        <f>DAY(weather.tbl[[#This Row],[Date]])</f>
        <v>11</v>
      </c>
      <c r="L346">
        <f>MONTH(weather.tbl[[#This Row],[Date]])</f>
        <v>12</v>
      </c>
      <c r="M346">
        <f>YEAR(weather.tbl[[#This Row],[Date]])</f>
        <v>2014</v>
      </c>
    </row>
    <row r="347" spans="1:13" x14ac:dyDescent="0.25">
      <c r="A347" s="1">
        <v>41985</v>
      </c>
      <c r="B347" s="2">
        <v>0.4</v>
      </c>
      <c r="C347" s="2">
        <v>1.3</v>
      </c>
      <c r="D347" s="2">
        <v>2.8</v>
      </c>
      <c r="E347" s="2">
        <v>2</v>
      </c>
      <c r="F347" s="2">
        <v>-0.2</v>
      </c>
      <c r="G347" s="2">
        <v>4</v>
      </c>
      <c r="H347" s="2">
        <f>AVERAGE(weather.tbl[[#This Row],[Estevan]:[Kipling]])</f>
        <v>1.7166666666666668</v>
      </c>
      <c r="I347" s="2">
        <f>_xlfn.STDEV.S(weather.tbl[[#This Row],[Estevan]:[Kipling]])</f>
        <v>1.5523101064757214</v>
      </c>
      <c r="J347" s="2">
        <f t="shared" si="5"/>
        <v>-2.7476190476190476</v>
      </c>
      <c r="K347">
        <f>DAY(weather.tbl[[#This Row],[Date]])</f>
        <v>12</v>
      </c>
      <c r="L347">
        <f>MONTH(weather.tbl[[#This Row],[Date]])</f>
        <v>12</v>
      </c>
      <c r="M347">
        <f>YEAR(weather.tbl[[#This Row],[Date]])</f>
        <v>2014</v>
      </c>
    </row>
    <row r="348" spans="1:13" x14ac:dyDescent="0.25">
      <c r="A348" s="1">
        <v>41986</v>
      </c>
      <c r="B348" s="2">
        <v>1.2</v>
      </c>
      <c r="C348" s="2">
        <v>1.4</v>
      </c>
      <c r="D348" s="2">
        <v>2.8</v>
      </c>
      <c r="E348" s="2">
        <v>1.5</v>
      </c>
      <c r="F348" s="2">
        <v>-0.1</v>
      </c>
      <c r="G348" s="2">
        <v>3.5</v>
      </c>
      <c r="H348" s="2">
        <f>AVERAGE(weather.tbl[[#This Row],[Estevan]:[Kipling]])</f>
        <v>1.7166666666666668</v>
      </c>
      <c r="I348" s="2">
        <f>_xlfn.STDEV.S(weather.tbl[[#This Row],[Estevan]:[Kipling]])</f>
        <v>1.2703018014104626</v>
      </c>
      <c r="J348" s="2">
        <f t="shared" si="5"/>
        <v>-1.5095238095238095</v>
      </c>
      <c r="K348">
        <f>DAY(weather.tbl[[#This Row],[Date]])</f>
        <v>13</v>
      </c>
      <c r="L348">
        <f>MONTH(weather.tbl[[#This Row],[Date]])</f>
        <v>12</v>
      </c>
      <c r="M348">
        <f>YEAR(weather.tbl[[#This Row],[Date]])</f>
        <v>2014</v>
      </c>
    </row>
    <row r="349" spans="1:13" x14ac:dyDescent="0.25">
      <c r="A349" s="1">
        <v>41987</v>
      </c>
      <c r="B349" s="2">
        <v>-1.7</v>
      </c>
      <c r="C349" s="2">
        <v>-1.7</v>
      </c>
      <c r="D349" s="2">
        <v>2.8</v>
      </c>
      <c r="E349" s="2">
        <v>-1.8</v>
      </c>
      <c r="F349" s="2">
        <v>-2.2999999999999998</v>
      </c>
      <c r="G349" s="2">
        <v>-3.2</v>
      </c>
      <c r="H349" s="2">
        <f>AVERAGE(weather.tbl[[#This Row],[Estevan]:[Kipling]])</f>
        <v>-1.3166666666666667</v>
      </c>
      <c r="I349" s="2">
        <f>_xlfn.STDEV.S(weather.tbl[[#This Row],[Estevan]:[Kipling]])</f>
        <v>2.097061436073504</v>
      </c>
      <c r="J349" s="2">
        <f t="shared" si="5"/>
        <v>-1.1119047619047617</v>
      </c>
      <c r="K349">
        <f>DAY(weather.tbl[[#This Row],[Date]])</f>
        <v>14</v>
      </c>
      <c r="L349">
        <f>MONTH(weather.tbl[[#This Row],[Date]])</f>
        <v>12</v>
      </c>
      <c r="M349">
        <f>YEAR(weather.tbl[[#This Row],[Date]])</f>
        <v>2014</v>
      </c>
    </row>
    <row r="350" spans="1:13" x14ac:dyDescent="0.25">
      <c r="A350" s="1">
        <v>41988</v>
      </c>
      <c r="B350" s="2">
        <v>-5.3</v>
      </c>
      <c r="C350" s="2">
        <v>-5.2</v>
      </c>
      <c r="D350" s="2">
        <v>2.8</v>
      </c>
      <c r="E350" s="2">
        <v>-4.3</v>
      </c>
      <c r="F350" s="2">
        <v>-5.5</v>
      </c>
      <c r="G350" s="2">
        <v>-6</v>
      </c>
      <c r="H350" s="2">
        <f>AVERAGE(weather.tbl[[#This Row],[Estevan]:[Kipling]])</f>
        <v>-3.9166666666666665</v>
      </c>
      <c r="I350" s="2">
        <f>_xlfn.STDEV.S(weather.tbl[[#This Row],[Estevan]:[Kipling]])</f>
        <v>3.3367149513655883</v>
      </c>
      <c r="J350" s="2">
        <f t="shared" si="5"/>
        <v>-0.59047619047619038</v>
      </c>
      <c r="K350">
        <f>DAY(weather.tbl[[#This Row],[Date]])</f>
        <v>15</v>
      </c>
      <c r="L350">
        <f>MONTH(weather.tbl[[#This Row],[Date]])</f>
        <v>12</v>
      </c>
      <c r="M350">
        <f>YEAR(weather.tbl[[#This Row],[Date]])</f>
        <v>2014</v>
      </c>
    </row>
    <row r="351" spans="1:13" x14ac:dyDescent="0.25">
      <c r="A351" s="1">
        <v>41989</v>
      </c>
      <c r="B351" s="2">
        <v>-7.9</v>
      </c>
      <c r="C351" s="2">
        <v>-7.1</v>
      </c>
      <c r="D351" s="2">
        <v>2.8</v>
      </c>
      <c r="E351" s="2">
        <v>-6.5</v>
      </c>
      <c r="F351" s="2">
        <v>-13.6</v>
      </c>
      <c r="G351" s="2">
        <v>-8.6999999999999993</v>
      </c>
      <c r="H351" s="2">
        <f>AVERAGE(weather.tbl[[#This Row],[Estevan]:[Kipling]])</f>
        <v>-6.833333333333333</v>
      </c>
      <c r="I351" s="2">
        <f>_xlfn.STDEV.S(weather.tbl[[#This Row],[Estevan]:[Kipling]])</f>
        <v>5.3552466485369905</v>
      </c>
      <c r="J351" s="2">
        <f t="shared" si="5"/>
        <v>-0.94285714285714284</v>
      </c>
      <c r="K351">
        <f>DAY(weather.tbl[[#This Row],[Date]])</f>
        <v>16</v>
      </c>
      <c r="L351">
        <f>MONTH(weather.tbl[[#This Row],[Date]])</f>
        <v>12</v>
      </c>
      <c r="M351">
        <f>YEAR(weather.tbl[[#This Row],[Date]])</f>
        <v>2014</v>
      </c>
    </row>
    <row r="352" spans="1:13" x14ac:dyDescent="0.25">
      <c r="A352" s="1">
        <v>41990</v>
      </c>
      <c r="B352" s="2">
        <v>-8</v>
      </c>
      <c r="C352" s="2">
        <v>-7.8</v>
      </c>
      <c r="D352" s="2">
        <v>2.8</v>
      </c>
      <c r="E352" s="2">
        <v>-7.3</v>
      </c>
      <c r="F352" s="2">
        <v>-15.4</v>
      </c>
      <c r="G352" s="2">
        <v>-10.3</v>
      </c>
      <c r="H352" s="2">
        <f>AVERAGE(weather.tbl[[#This Row],[Estevan]:[Kipling]])</f>
        <v>-7.666666666666667</v>
      </c>
      <c r="I352" s="2">
        <f>_xlfn.STDEV.S(weather.tbl[[#This Row],[Estevan]:[Kipling]])</f>
        <v>5.9422779021741041</v>
      </c>
      <c r="J352" s="2">
        <f t="shared" si="5"/>
        <v>-2.1428571428571428</v>
      </c>
      <c r="K352">
        <f>DAY(weather.tbl[[#This Row],[Date]])</f>
        <v>17</v>
      </c>
      <c r="L352">
        <f>MONTH(weather.tbl[[#This Row],[Date]])</f>
        <v>12</v>
      </c>
      <c r="M352">
        <f>YEAR(weather.tbl[[#This Row],[Date]])</f>
        <v>2014</v>
      </c>
    </row>
    <row r="353" spans="1:13" x14ac:dyDescent="0.25">
      <c r="A353" s="1">
        <v>41991</v>
      </c>
      <c r="B353" s="2">
        <v>-6.2</v>
      </c>
      <c r="C353" s="2">
        <v>-5.6</v>
      </c>
      <c r="D353" s="2">
        <v>2.8</v>
      </c>
      <c r="E353" s="2">
        <v>-5.8</v>
      </c>
      <c r="F353" s="2">
        <v>-10.9</v>
      </c>
      <c r="G353" s="2">
        <v>-7.6</v>
      </c>
      <c r="H353" s="2">
        <f>AVERAGE(weather.tbl[[#This Row],[Estevan]:[Kipling]])</f>
        <v>-5.5500000000000007</v>
      </c>
      <c r="I353" s="2">
        <f>_xlfn.STDEV.S(weather.tbl[[#This Row],[Estevan]:[Kipling]])</f>
        <v>4.5394933638017347</v>
      </c>
      <c r="J353" s="2">
        <f t="shared" si="5"/>
        <v>-3.1214285714285714</v>
      </c>
      <c r="K353">
        <f>DAY(weather.tbl[[#This Row],[Date]])</f>
        <v>18</v>
      </c>
      <c r="L353">
        <f>MONTH(weather.tbl[[#This Row],[Date]])</f>
        <v>12</v>
      </c>
      <c r="M353">
        <f>YEAR(weather.tbl[[#This Row],[Date]])</f>
        <v>2014</v>
      </c>
    </row>
    <row r="354" spans="1:13" x14ac:dyDescent="0.25">
      <c r="A354" s="1">
        <v>41992</v>
      </c>
      <c r="B354" s="2">
        <v>-5.3</v>
      </c>
      <c r="C354" s="2">
        <v>-5.6</v>
      </c>
      <c r="D354" s="2">
        <v>2.8</v>
      </c>
      <c r="E354" s="2">
        <v>-6.5</v>
      </c>
      <c r="F354" s="2">
        <v>-4.4000000000000004</v>
      </c>
      <c r="G354" s="2">
        <v>-5.6</v>
      </c>
      <c r="H354" s="2">
        <f>AVERAGE(weather.tbl[[#This Row],[Estevan]:[Kipling]])</f>
        <v>-4.1000000000000005</v>
      </c>
      <c r="I354" s="2">
        <f>_xlfn.STDEV.S(weather.tbl[[#This Row],[Estevan]:[Kipling]])</f>
        <v>3.4467375879228164</v>
      </c>
      <c r="J354" s="2">
        <f t="shared" si="5"/>
        <v>-3.9523809523809526</v>
      </c>
      <c r="K354">
        <f>DAY(weather.tbl[[#This Row],[Date]])</f>
        <v>19</v>
      </c>
      <c r="L354">
        <f>MONTH(weather.tbl[[#This Row],[Date]])</f>
        <v>12</v>
      </c>
      <c r="M354">
        <f>YEAR(weather.tbl[[#This Row],[Date]])</f>
        <v>2014</v>
      </c>
    </row>
    <row r="355" spans="1:13" x14ac:dyDescent="0.25">
      <c r="A355" s="1">
        <v>41993</v>
      </c>
      <c r="B355" s="2">
        <v>-4.2</v>
      </c>
      <c r="C355" s="2">
        <v>-5.9</v>
      </c>
      <c r="D355" s="2">
        <v>2.8</v>
      </c>
      <c r="E355" s="2">
        <v>-4.3</v>
      </c>
      <c r="F355" s="2">
        <v>-3.9</v>
      </c>
      <c r="G355" s="2">
        <v>-6.9</v>
      </c>
      <c r="H355" s="2">
        <f>AVERAGE(weather.tbl[[#This Row],[Estevan]:[Kipling]])</f>
        <v>-3.7333333333333338</v>
      </c>
      <c r="I355" s="2">
        <f>_xlfn.STDEV.S(weather.tbl[[#This Row],[Estevan]:[Kipling]])</f>
        <v>3.4050942228764631</v>
      </c>
      <c r="J355" s="2">
        <f t="shared" si="5"/>
        <v>-4.730952380952381</v>
      </c>
      <c r="K355">
        <f>DAY(weather.tbl[[#This Row],[Date]])</f>
        <v>20</v>
      </c>
      <c r="L355">
        <f>MONTH(weather.tbl[[#This Row],[Date]])</f>
        <v>12</v>
      </c>
      <c r="M355">
        <f>YEAR(weather.tbl[[#This Row],[Date]])</f>
        <v>2014</v>
      </c>
    </row>
    <row r="356" spans="1:13" x14ac:dyDescent="0.25">
      <c r="A356" s="1">
        <v>41994</v>
      </c>
      <c r="B356" s="2">
        <v>-6.2</v>
      </c>
      <c r="C356" s="2">
        <v>-7.1</v>
      </c>
      <c r="D356" s="2">
        <v>2.8</v>
      </c>
      <c r="E356" s="2">
        <v>-6.5</v>
      </c>
      <c r="F356" s="2">
        <v>-5.6</v>
      </c>
      <c r="G356" s="2">
        <v>-5.7</v>
      </c>
      <c r="H356" s="2">
        <f>AVERAGE(weather.tbl[[#This Row],[Estevan]:[Kipling]])</f>
        <v>-4.7166666666666668</v>
      </c>
      <c r="I356" s="2">
        <f>_xlfn.STDEV.S(weather.tbl[[#This Row],[Estevan]:[Kipling]])</f>
        <v>3.7231259267807029</v>
      </c>
      <c r="J356" s="2">
        <f t="shared" si="5"/>
        <v>-5.2166666666666677</v>
      </c>
      <c r="K356">
        <f>DAY(weather.tbl[[#This Row],[Date]])</f>
        <v>21</v>
      </c>
      <c r="L356">
        <f>MONTH(weather.tbl[[#This Row],[Date]])</f>
        <v>12</v>
      </c>
      <c r="M356">
        <f>YEAR(weather.tbl[[#This Row],[Date]])</f>
        <v>2014</v>
      </c>
    </row>
    <row r="357" spans="1:13" x14ac:dyDescent="0.25">
      <c r="A357" s="1">
        <v>41995</v>
      </c>
      <c r="B357" s="2">
        <v>-2.4</v>
      </c>
      <c r="C357" s="2">
        <v>-3.8</v>
      </c>
      <c r="D357" s="2">
        <v>2.8</v>
      </c>
      <c r="E357" s="2">
        <v>-4</v>
      </c>
      <c r="F357" s="2">
        <v>-1.7</v>
      </c>
      <c r="G357" s="2">
        <v>-5.0999999999999996</v>
      </c>
      <c r="H357" s="2">
        <f>AVERAGE(weather.tbl[[#This Row],[Estevan]:[Kipling]])</f>
        <v>-2.3666666666666667</v>
      </c>
      <c r="I357" s="2">
        <f>_xlfn.STDEV.S(weather.tbl[[#This Row],[Estevan]:[Kipling]])</f>
        <v>2.8047578623950176</v>
      </c>
      <c r="J357" s="2">
        <f t="shared" si="5"/>
        <v>-4.9952380952380953</v>
      </c>
      <c r="K357">
        <f>DAY(weather.tbl[[#This Row],[Date]])</f>
        <v>22</v>
      </c>
      <c r="L357">
        <f>MONTH(weather.tbl[[#This Row],[Date]])</f>
        <v>12</v>
      </c>
      <c r="M357">
        <f>YEAR(weather.tbl[[#This Row],[Date]])</f>
        <v>2014</v>
      </c>
    </row>
    <row r="358" spans="1:13" x14ac:dyDescent="0.25">
      <c r="A358" s="1">
        <v>41996</v>
      </c>
      <c r="B358" s="2">
        <v>-4.2</v>
      </c>
      <c r="C358" s="2">
        <v>-6.5</v>
      </c>
      <c r="D358" s="2">
        <v>2.8</v>
      </c>
      <c r="E358" s="2">
        <v>-5.5</v>
      </c>
      <c r="F358" s="2">
        <v>-3.7</v>
      </c>
      <c r="G358" s="2">
        <v>-4.8</v>
      </c>
      <c r="H358" s="2">
        <f>AVERAGE(weather.tbl[[#This Row],[Estevan]:[Kipling]])</f>
        <v>-3.65</v>
      </c>
      <c r="I358" s="2">
        <f>_xlfn.STDEV.S(weather.tbl[[#This Row],[Estevan]:[Kipling]])</f>
        <v>3.3098338326870738</v>
      </c>
      <c r="J358" s="2">
        <f t="shared" si="5"/>
        <v>-4.5404761904761912</v>
      </c>
      <c r="K358">
        <f>DAY(weather.tbl[[#This Row],[Date]])</f>
        <v>23</v>
      </c>
      <c r="L358">
        <f>MONTH(weather.tbl[[#This Row],[Date]])</f>
        <v>12</v>
      </c>
      <c r="M358">
        <f>YEAR(weather.tbl[[#This Row],[Date]])</f>
        <v>2014</v>
      </c>
    </row>
    <row r="359" spans="1:13" x14ac:dyDescent="0.25">
      <c r="A359" s="1">
        <v>41997</v>
      </c>
      <c r="B359" s="2">
        <v>-2.5</v>
      </c>
      <c r="C359" s="2">
        <v>-4.7</v>
      </c>
      <c r="D359" s="2">
        <v>2.8</v>
      </c>
      <c r="E359" s="2">
        <v>-6.5</v>
      </c>
      <c r="F359" s="2">
        <v>-4.2</v>
      </c>
      <c r="G359" s="2">
        <v>-5.0999999999999996</v>
      </c>
      <c r="H359" s="2">
        <f>AVERAGE(weather.tbl[[#This Row],[Estevan]:[Kipling]])</f>
        <v>-3.3666666666666671</v>
      </c>
      <c r="I359" s="2">
        <f>_xlfn.STDEV.S(weather.tbl[[#This Row],[Estevan]:[Kipling]])</f>
        <v>3.2885660502210783</v>
      </c>
      <c r="J359" s="2">
        <f t="shared" si="5"/>
        <v>-3.9261904761904765</v>
      </c>
      <c r="K359">
        <f>DAY(weather.tbl[[#This Row],[Date]])</f>
        <v>24</v>
      </c>
      <c r="L359">
        <f>MONTH(weather.tbl[[#This Row],[Date]])</f>
        <v>12</v>
      </c>
      <c r="M359">
        <f>YEAR(weather.tbl[[#This Row],[Date]])</f>
        <v>2014</v>
      </c>
    </row>
    <row r="360" spans="1:13" x14ac:dyDescent="0.25">
      <c r="A360" s="1">
        <v>41998</v>
      </c>
      <c r="B360" s="2">
        <v>-9.6999999999999993</v>
      </c>
      <c r="C360" s="2">
        <v>-10.3</v>
      </c>
      <c r="D360" s="2">
        <v>2.8</v>
      </c>
      <c r="E360" s="2">
        <v>-10.5</v>
      </c>
      <c r="F360" s="2">
        <v>-7</v>
      </c>
      <c r="G360" s="2">
        <v>-11</v>
      </c>
      <c r="H360" s="2">
        <f>AVERAGE(weather.tbl[[#This Row],[Estevan]:[Kipling]])</f>
        <v>-7.6166666666666671</v>
      </c>
      <c r="I360" s="2">
        <f>_xlfn.STDEV.S(weather.tbl[[#This Row],[Estevan]:[Kipling]])</f>
        <v>5.2950605914065472</v>
      </c>
      <c r="J360" s="2">
        <f t="shared" si="5"/>
        <v>-4.2214285714285715</v>
      </c>
      <c r="K360">
        <f>DAY(weather.tbl[[#This Row],[Date]])</f>
        <v>25</v>
      </c>
      <c r="L360">
        <f>MONTH(weather.tbl[[#This Row],[Date]])</f>
        <v>12</v>
      </c>
      <c r="M360">
        <f>YEAR(weather.tbl[[#This Row],[Date]])</f>
        <v>2014</v>
      </c>
    </row>
    <row r="361" spans="1:13" x14ac:dyDescent="0.25">
      <c r="A361" s="1">
        <v>41999</v>
      </c>
      <c r="B361" s="2">
        <v>-15.2</v>
      </c>
      <c r="C361" s="2">
        <v>-16</v>
      </c>
      <c r="D361" s="2">
        <v>2.8</v>
      </c>
      <c r="E361" s="2">
        <v>-16.3</v>
      </c>
      <c r="F361" s="2">
        <v>-16.600000000000001</v>
      </c>
      <c r="G361" s="2">
        <v>-16.899999999999999</v>
      </c>
      <c r="H361" s="2">
        <f>AVERAGE(weather.tbl[[#This Row],[Estevan]:[Kipling]])</f>
        <v>-13.033333333333333</v>
      </c>
      <c r="I361" s="2">
        <f>_xlfn.STDEV.S(weather.tbl[[#This Row],[Estevan]:[Kipling]])</f>
        <v>7.7786031308112538</v>
      </c>
      <c r="J361" s="2">
        <f t="shared" si="5"/>
        <v>-5.4976190476190476</v>
      </c>
      <c r="K361">
        <f>DAY(weather.tbl[[#This Row],[Date]])</f>
        <v>26</v>
      </c>
      <c r="L361">
        <f>MONTH(weather.tbl[[#This Row],[Date]])</f>
        <v>12</v>
      </c>
      <c r="M361">
        <f>YEAR(weather.tbl[[#This Row],[Date]])</f>
        <v>2014</v>
      </c>
    </row>
    <row r="362" spans="1:13" x14ac:dyDescent="0.25">
      <c r="A362" s="1">
        <v>42000</v>
      </c>
      <c r="B362" s="2">
        <v>-9.1</v>
      </c>
      <c r="C362" s="2">
        <v>-11.5</v>
      </c>
      <c r="D362" s="2">
        <v>2.8</v>
      </c>
      <c r="E362" s="2">
        <v>-12</v>
      </c>
      <c r="F362" s="2">
        <v>-15.2</v>
      </c>
      <c r="G362" s="2">
        <v>-14.2</v>
      </c>
      <c r="H362" s="2">
        <f>AVERAGE(weather.tbl[[#This Row],[Estevan]:[Kipling]])</f>
        <v>-9.8666666666666671</v>
      </c>
      <c r="I362" s="2">
        <f>_xlfn.STDEV.S(weather.tbl[[#This Row],[Estevan]:[Kipling]])</f>
        <v>6.5646528214877176</v>
      </c>
      <c r="J362" s="2">
        <f t="shared" si="5"/>
        <v>-6.3738095238095243</v>
      </c>
      <c r="K362">
        <f>DAY(weather.tbl[[#This Row],[Date]])</f>
        <v>27</v>
      </c>
      <c r="L362">
        <f>MONTH(weather.tbl[[#This Row],[Date]])</f>
        <v>12</v>
      </c>
      <c r="M362">
        <f>YEAR(weather.tbl[[#This Row],[Date]])</f>
        <v>2014</v>
      </c>
    </row>
    <row r="363" spans="1:13" x14ac:dyDescent="0.25">
      <c r="A363" s="1">
        <v>42001</v>
      </c>
      <c r="B363" s="2">
        <v>-18.8</v>
      </c>
      <c r="C363" s="2">
        <v>-22.9</v>
      </c>
      <c r="D363" s="2">
        <v>-22</v>
      </c>
      <c r="E363" s="2">
        <v>-25</v>
      </c>
      <c r="F363" s="2">
        <v>-23.4</v>
      </c>
      <c r="G363" s="2">
        <v>-24.6</v>
      </c>
      <c r="H363" s="2">
        <f>AVERAGE(weather.tbl[[#This Row],[Estevan]:[Kipling]])</f>
        <v>-22.783333333333331</v>
      </c>
      <c r="I363" s="2">
        <f>_xlfn.STDEV.S(weather.tbl[[#This Row],[Estevan]:[Kipling]])</f>
        <v>2.2400148809029519</v>
      </c>
      <c r="J363" s="2">
        <f t="shared" si="5"/>
        <v>-8.954761904761904</v>
      </c>
      <c r="K363">
        <f>DAY(weather.tbl[[#This Row],[Date]])</f>
        <v>28</v>
      </c>
      <c r="L363">
        <f>MONTH(weather.tbl[[#This Row],[Date]])</f>
        <v>12</v>
      </c>
      <c r="M363">
        <f>YEAR(weather.tbl[[#This Row],[Date]])</f>
        <v>2014</v>
      </c>
    </row>
    <row r="364" spans="1:13" x14ac:dyDescent="0.25">
      <c r="A364" s="1">
        <v>42002</v>
      </c>
      <c r="B364" s="2">
        <v>-24.4</v>
      </c>
      <c r="C364" s="2">
        <v>-26.9</v>
      </c>
      <c r="D364" s="2">
        <v>-25.8</v>
      </c>
      <c r="E364" s="2">
        <v>-25.5</v>
      </c>
      <c r="F364" s="2">
        <v>-25.6</v>
      </c>
      <c r="G364" s="2">
        <v>-26.2</v>
      </c>
      <c r="H364" s="2">
        <f>AVERAGE(weather.tbl[[#This Row],[Estevan]:[Kipling]])</f>
        <v>-25.733333333333331</v>
      </c>
      <c r="I364" s="2">
        <f>_xlfn.STDEV.S(weather.tbl[[#This Row],[Estevan]:[Kipling]])</f>
        <v>0.82865352631040345</v>
      </c>
      <c r="J364" s="2">
        <f t="shared" si="5"/>
        <v>-12.292857142857143</v>
      </c>
      <c r="K364">
        <f>DAY(weather.tbl[[#This Row],[Date]])</f>
        <v>29</v>
      </c>
      <c r="L364">
        <f>MONTH(weather.tbl[[#This Row],[Date]])</f>
        <v>12</v>
      </c>
      <c r="M364">
        <f>YEAR(weather.tbl[[#This Row],[Date]])</f>
        <v>2014</v>
      </c>
    </row>
    <row r="365" spans="1:13" x14ac:dyDescent="0.25">
      <c r="A365" s="1">
        <v>42003</v>
      </c>
      <c r="B365" s="2">
        <v>-20.8</v>
      </c>
      <c r="C365" s="2">
        <v>-20.399999999999999</v>
      </c>
      <c r="D365" s="2">
        <v>-19.5</v>
      </c>
      <c r="E365" s="2">
        <v>-18.8</v>
      </c>
      <c r="F365" s="2">
        <v>-20.9</v>
      </c>
      <c r="G365" s="2">
        <v>-21.7</v>
      </c>
      <c r="H365" s="2">
        <f>AVERAGE(weather.tbl[[#This Row],[Estevan]:[Kipling]])</f>
        <v>-20.350000000000001</v>
      </c>
      <c r="I365" s="2">
        <f>_xlfn.STDEV.S(weather.tbl[[#This Row],[Estevan]:[Kipling]])</f>
        <v>1.0445094542415587</v>
      </c>
      <c r="J365" s="2">
        <f t="shared" si="5"/>
        <v>-14.678571428571429</v>
      </c>
      <c r="K365">
        <f>DAY(weather.tbl[[#This Row],[Date]])</f>
        <v>30</v>
      </c>
      <c r="L365">
        <f>MONTH(weather.tbl[[#This Row],[Date]])</f>
        <v>12</v>
      </c>
      <c r="M365">
        <f>YEAR(weather.tbl[[#This Row],[Date]])</f>
        <v>2014</v>
      </c>
    </row>
    <row r="366" spans="1:13" x14ac:dyDescent="0.25">
      <c r="A366" s="1">
        <v>42004</v>
      </c>
      <c r="B366" s="2">
        <v>-8.8000000000000007</v>
      </c>
      <c r="C366" s="2">
        <v>-8.1</v>
      </c>
      <c r="D366" s="2">
        <v>-10.5</v>
      </c>
      <c r="E366" s="2">
        <v>-10.3</v>
      </c>
      <c r="F366" s="2">
        <v>-8.6999999999999993</v>
      </c>
      <c r="G366" s="2">
        <v>-10.9</v>
      </c>
      <c r="H366" s="2">
        <f>AVERAGE(weather.tbl[[#This Row],[Estevan]:[Kipling]])</f>
        <v>-9.5500000000000007</v>
      </c>
      <c r="I366" s="2">
        <f>_xlfn.STDEV.S(weather.tbl[[#This Row],[Estevan]:[Kipling]])</f>
        <v>1.1554220008291403</v>
      </c>
      <c r="J366" s="2">
        <f t="shared" si="5"/>
        <v>-15.56190476190476</v>
      </c>
      <c r="K366">
        <f>DAY(weather.tbl[[#This Row],[Date]])</f>
        <v>31</v>
      </c>
      <c r="L366">
        <f>MONTH(weather.tbl[[#This Row],[Date]])</f>
        <v>12</v>
      </c>
      <c r="M366">
        <f>YEAR(weather.tbl[[#This Row],[Date]])</f>
        <v>2014</v>
      </c>
    </row>
    <row r="367" spans="1:13" x14ac:dyDescent="0.25">
      <c r="A367" s="1">
        <v>42005</v>
      </c>
      <c r="B367" s="2">
        <v>-3.7</v>
      </c>
      <c r="C367" s="2">
        <v>-3.5</v>
      </c>
      <c r="D367" s="2">
        <v>-10.5</v>
      </c>
      <c r="E367" s="2">
        <v>-4</v>
      </c>
      <c r="F367" s="2">
        <v>-6.8</v>
      </c>
      <c r="G367" s="2">
        <v>-7.7</v>
      </c>
      <c r="H367" s="2">
        <f>AVERAGE(weather.tbl[[#This Row],[Estevan]:[Kipling]])</f>
        <v>-6.0333333333333341</v>
      </c>
      <c r="I367" s="2">
        <f>_xlfn.STDEV.S(weather.tbl[[#This Row],[Estevan]:[Kipling]])</f>
        <v>2.8040446976941471</v>
      </c>
      <c r="J367" s="2">
        <f t="shared" si="5"/>
        <v>-15.335714285714284</v>
      </c>
      <c r="K367">
        <f>DAY(weather.tbl[[#This Row],[Date]])</f>
        <v>1</v>
      </c>
      <c r="L367">
        <f>MONTH(weather.tbl[[#This Row],[Date]])</f>
        <v>1</v>
      </c>
      <c r="M367">
        <f>YEAR(weather.tbl[[#This Row],[Date]])</f>
        <v>2015</v>
      </c>
    </row>
    <row r="368" spans="1:13" x14ac:dyDescent="0.25">
      <c r="A368" s="1">
        <v>42006</v>
      </c>
      <c r="B368" s="2">
        <v>-8</v>
      </c>
      <c r="C368" s="2">
        <v>-7.8</v>
      </c>
      <c r="D368" s="2">
        <v>-10.5</v>
      </c>
      <c r="E368" s="2">
        <v>-10.5</v>
      </c>
      <c r="F368" s="2">
        <v>-10.1</v>
      </c>
      <c r="G368" s="2">
        <v>-14.4</v>
      </c>
      <c r="H368" s="2">
        <f>AVERAGE(weather.tbl[[#This Row],[Estevan]:[Kipling]])</f>
        <v>-10.216666666666667</v>
      </c>
      <c r="I368" s="2">
        <f>_xlfn.STDEV.S(weather.tbl[[#This Row],[Estevan]:[Kipling]])</f>
        <v>2.3844636014556144</v>
      </c>
      <c r="J368" s="2">
        <f t="shared" si="5"/>
        <v>-14.933333333333332</v>
      </c>
      <c r="K368">
        <f>DAY(weather.tbl[[#This Row],[Date]])</f>
        <v>2</v>
      </c>
      <c r="L368">
        <f>MONTH(weather.tbl[[#This Row],[Date]])</f>
        <v>1</v>
      </c>
      <c r="M368">
        <f>YEAR(weather.tbl[[#This Row],[Date]])</f>
        <v>2015</v>
      </c>
    </row>
    <row r="369" spans="1:13" x14ac:dyDescent="0.25">
      <c r="A369" s="1">
        <v>42007</v>
      </c>
      <c r="B369" s="2">
        <v>-20.2</v>
      </c>
      <c r="C369" s="2">
        <v>-23.8</v>
      </c>
      <c r="D369" s="2">
        <v>-21</v>
      </c>
      <c r="E369" s="2">
        <v>-22</v>
      </c>
      <c r="F369" s="2">
        <v>-22.6</v>
      </c>
      <c r="G369" s="2">
        <v>-25.8</v>
      </c>
      <c r="H369" s="2">
        <f>AVERAGE(weather.tbl[[#This Row],[Estevan]:[Kipling]])</f>
        <v>-22.566666666666666</v>
      </c>
      <c r="I369" s="2">
        <f>_xlfn.STDEV.S(weather.tbl[[#This Row],[Estevan]:[Kipling]])</f>
        <v>2.0175893206167279</v>
      </c>
      <c r="J369" s="2">
        <f t="shared" si="5"/>
        <v>-16.747619047619047</v>
      </c>
      <c r="K369">
        <f>DAY(weather.tbl[[#This Row],[Date]])</f>
        <v>3</v>
      </c>
      <c r="L369">
        <f>MONTH(weather.tbl[[#This Row],[Date]])</f>
        <v>1</v>
      </c>
      <c r="M369">
        <f>YEAR(weather.tbl[[#This Row],[Date]])</f>
        <v>2015</v>
      </c>
    </row>
    <row r="370" spans="1:13" x14ac:dyDescent="0.25">
      <c r="A370" s="1">
        <v>42008</v>
      </c>
      <c r="B370" s="2">
        <v>-27.9</v>
      </c>
      <c r="C370" s="2">
        <v>-30.1</v>
      </c>
      <c r="D370" s="2">
        <v>-28.5</v>
      </c>
      <c r="E370" s="2">
        <v>-28.5</v>
      </c>
      <c r="F370" s="2">
        <v>-28.9</v>
      </c>
      <c r="G370" s="2">
        <v>-31.7</v>
      </c>
      <c r="H370" s="2">
        <f>AVERAGE(weather.tbl[[#This Row],[Estevan]:[Kipling]])</f>
        <v>-29.266666666666666</v>
      </c>
      <c r="I370" s="2">
        <f>_xlfn.STDEV.S(weather.tbl[[#This Row],[Estevan]:[Kipling]])</f>
        <v>1.3995237285114772</v>
      </c>
      <c r="J370" s="2">
        <f t="shared" si="5"/>
        <v>-17.673809523809521</v>
      </c>
      <c r="K370">
        <f>DAY(weather.tbl[[#This Row],[Date]])</f>
        <v>4</v>
      </c>
      <c r="L370">
        <f>MONTH(weather.tbl[[#This Row],[Date]])</f>
        <v>1</v>
      </c>
      <c r="M370">
        <f>YEAR(weather.tbl[[#This Row],[Date]])</f>
        <v>2015</v>
      </c>
    </row>
    <row r="371" spans="1:13" x14ac:dyDescent="0.25">
      <c r="A371" s="1">
        <v>42009</v>
      </c>
      <c r="B371" s="2">
        <v>-23.8</v>
      </c>
      <c r="C371" s="2">
        <v>-27.8</v>
      </c>
      <c r="D371" s="2">
        <v>-23.5</v>
      </c>
      <c r="E371" s="2">
        <v>-26.5</v>
      </c>
      <c r="F371" s="2">
        <v>-23.5</v>
      </c>
      <c r="G371" s="2">
        <v>-25.5</v>
      </c>
      <c r="H371" s="2">
        <f>AVERAGE(weather.tbl[[#This Row],[Estevan]:[Kipling]])</f>
        <v>-25.099999999999998</v>
      </c>
      <c r="I371" s="2">
        <f>_xlfn.STDEV.S(weather.tbl[[#This Row],[Estevan]:[Kipling]])</f>
        <v>1.8011107683871086</v>
      </c>
      <c r="J371" s="2">
        <f t="shared" si="5"/>
        <v>-17.583333333333332</v>
      </c>
      <c r="K371">
        <f>DAY(weather.tbl[[#This Row],[Date]])</f>
        <v>5</v>
      </c>
      <c r="L371">
        <f>MONTH(weather.tbl[[#This Row],[Date]])</f>
        <v>1</v>
      </c>
      <c r="M371">
        <f>YEAR(weather.tbl[[#This Row],[Date]])</f>
        <v>2015</v>
      </c>
    </row>
    <row r="372" spans="1:13" x14ac:dyDescent="0.25">
      <c r="A372" s="1">
        <v>42010</v>
      </c>
      <c r="B372" s="2">
        <v>-21.4</v>
      </c>
      <c r="C372" s="2">
        <v>-22.9</v>
      </c>
      <c r="D372" s="2">
        <v>-22</v>
      </c>
      <c r="E372" s="2">
        <v>-22.5</v>
      </c>
      <c r="F372" s="2">
        <v>-20.9</v>
      </c>
      <c r="G372" s="2">
        <v>-22.9</v>
      </c>
      <c r="H372" s="2">
        <f>AVERAGE(weather.tbl[[#This Row],[Estevan]:[Kipling]])</f>
        <v>-22.099999999999998</v>
      </c>
      <c r="I372" s="2">
        <f>_xlfn.STDEV.S(weather.tbl[[#This Row],[Estevan]:[Kipling]])</f>
        <v>0.82219219164377877</v>
      </c>
      <c r="J372" s="2">
        <f t="shared" si="5"/>
        <v>-17.833333333333332</v>
      </c>
      <c r="K372">
        <f>DAY(weather.tbl[[#This Row],[Date]])</f>
        <v>6</v>
      </c>
      <c r="L372">
        <f>MONTH(weather.tbl[[#This Row],[Date]])</f>
        <v>1</v>
      </c>
      <c r="M372">
        <f>YEAR(weather.tbl[[#This Row],[Date]])</f>
        <v>2015</v>
      </c>
    </row>
    <row r="373" spans="1:13" x14ac:dyDescent="0.25">
      <c r="A373" s="1">
        <v>42011</v>
      </c>
      <c r="B373" s="2">
        <v>-20.8</v>
      </c>
      <c r="C373" s="2">
        <v>-22.9</v>
      </c>
      <c r="D373" s="2">
        <v>-20.3</v>
      </c>
      <c r="E373" s="2">
        <v>-20</v>
      </c>
      <c r="F373" s="2">
        <v>-21.8</v>
      </c>
      <c r="G373" s="2">
        <v>-22.2</v>
      </c>
      <c r="H373" s="2">
        <f>AVERAGE(weather.tbl[[#This Row],[Estevan]:[Kipling]])</f>
        <v>-21.333333333333332</v>
      </c>
      <c r="I373" s="2">
        <f>_xlfn.STDEV.S(weather.tbl[[#This Row],[Estevan]:[Kipling]])</f>
        <v>1.144843511868179</v>
      </c>
      <c r="J373" s="2">
        <f t="shared" si="5"/>
        <v>-19.516666666666662</v>
      </c>
      <c r="K373">
        <f>DAY(weather.tbl[[#This Row],[Date]])</f>
        <v>7</v>
      </c>
      <c r="L373">
        <f>MONTH(weather.tbl[[#This Row],[Date]])</f>
        <v>1</v>
      </c>
      <c r="M373">
        <f>YEAR(weather.tbl[[#This Row],[Date]])</f>
        <v>2015</v>
      </c>
    </row>
    <row r="374" spans="1:13" x14ac:dyDescent="0.25">
      <c r="A374" s="1">
        <v>42012</v>
      </c>
      <c r="B374" s="2">
        <v>-15</v>
      </c>
      <c r="C374" s="2">
        <v>-15.5</v>
      </c>
      <c r="D374" s="2">
        <v>-17</v>
      </c>
      <c r="E374" s="2">
        <v>-16</v>
      </c>
      <c r="F374" s="2">
        <v>-15.9</v>
      </c>
      <c r="G374" s="2">
        <v>-18.100000000000001</v>
      </c>
      <c r="H374" s="2">
        <f>AVERAGE(weather.tbl[[#This Row],[Estevan]:[Kipling]])</f>
        <v>-16.25</v>
      </c>
      <c r="I374" s="2">
        <f>_xlfn.STDEV.S(weather.tbl[[#This Row],[Estevan]:[Kipling]])</f>
        <v>1.1220516922138664</v>
      </c>
      <c r="J374" s="2">
        <f t="shared" si="5"/>
        <v>-20.976190476190474</v>
      </c>
      <c r="K374">
        <f>DAY(weather.tbl[[#This Row],[Date]])</f>
        <v>8</v>
      </c>
      <c r="L374">
        <f>MONTH(weather.tbl[[#This Row],[Date]])</f>
        <v>1</v>
      </c>
      <c r="M374">
        <f>YEAR(weather.tbl[[#This Row],[Date]])</f>
        <v>2015</v>
      </c>
    </row>
    <row r="375" spans="1:13" x14ac:dyDescent="0.25">
      <c r="A375" s="1">
        <v>42013</v>
      </c>
      <c r="B375" s="2">
        <v>-20.9</v>
      </c>
      <c r="C375" s="2">
        <v>-22.3</v>
      </c>
      <c r="D375" s="2">
        <v>-17</v>
      </c>
      <c r="E375" s="2">
        <v>-20.5</v>
      </c>
      <c r="F375" s="2">
        <v>-21.3</v>
      </c>
      <c r="G375" s="2">
        <v>-21.8</v>
      </c>
      <c r="H375" s="2">
        <f>AVERAGE(weather.tbl[[#This Row],[Estevan]:[Kipling]])</f>
        <v>-20.633333333333333</v>
      </c>
      <c r="I375" s="2">
        <f>_xlfn.STDEV.S(weather.tbl[[#This Row],[Estevan]:[Kipling]])</f>
        <v>1.8906788904165266</v>
      </c>
      <c r="J375" s="2">
        <f t="shared" si="5"/>
        <v>-22.464285714285712</v>
      </c>
      <c r="K375">
        <f>DAY(weather.tbl[[#This Row],[Date]])</f>
        <v>9</v>
      </c>
      <c r="L375">
        <f>MONTH(weather.tbl[[#This Row],[Date]])</f>
        <v>1</v>
      </c>
      <c r="M375">
        <f>YEAR(weather.tbl[[#This Row],[Date]])</f>
        <v>2015</v>
      </c>
    </row>
    <row r="376" spans="1:13" x14ac:dyDescent="0.25">
      <c r="A376" s="1">
        <v>42014</v>
      </c>
      <c r="B376" s="2">
        <v>-22.4</v>
      </c>
      <c r="C376" s="2">
        <v>-24.1</v>
      </c>
      <c r="D376" s="2">
        <v>-17</v>
      </c>
      <c r="E376" s="2">
        <v>-23.5</v>
      </c>
      <c r="F376" s="2">
        <v>-24.2</v>
      </c>
      <c r="G376" s="2">
        <v>-23.8</v>
      </c>
      <c r="H376" s="2">
        <f>AVERAGE(weather.tbl[[#This Row],[Estevan]:[Kipling]])</f>
        <v>-22.5</v>
      </c>
      <c r="I376" s="2">
        <f>_xlfn.STDEV.S(weather.tbl[[#This Row],[Estevan]:[Kipling]])</f>
        <v>2.7712812921102068</v>
      </c>
      <c r="J376" s="2">
        <f t="shared" si="5"/>
        <v>-22.454761904761902</v>
      </c>
      <c r="K376">
        <f>DAY(weather.tbl[[#This Row],[Date]])</f>
        <v>10</v>
      </c>
      <c r="L376">
        <f>MONTH(weather.tbl[[#This Row],[Date]])</f>
        <v>1</v>
      </c>
      <c r="M376">
        <f>YEAR(weather.tbl[[#This Row],[Date]])</f>
        <v>2015</v>
      </c>
    </row>
    <row r="377" spans="1:13" x14ac:dyDescent="0.25">
      <c r="A377" s="1">
        <v>42015</v>
      </c>
      <c r="B377" s="2">
        <v>-21.5</v>
      </c>
      <c r="C377" s="2">
        <v>-22.6</v>
      </c>
      <c r="D377" s="2">
        <v>-17</v>
      </c>
      <c r="E377" s="2">
        <v>-21</v>
      </c>
      <c r="F377" s="2">
        <v>-21.5</v>
      </c>
      <c r="G377" s="2">
        <v>-23</v>
      </c>
      <c r="H377" s="2">
        <f>AVERAGE(weather.tbl[[#This Row],[Estevan]:[Kipling]])</f>
        <v>-21.099999999999998</v>
      </c>
      <c r="I377" s="2">
        <f>_xlfn.STDEV.S(weather.tbl[[#This Row],[Estevan]:[Kipling]])</f>
        <v>2.1447610589527217</v>
      </c>
      <c r="J377" s="2">
        <f t="shared" si="5"/>
        <v>-21.288095238095234</v>
      </c>
      <c r="K377">
        <f>DAY(weather.tbl[[#This Row],[Date]])</f>
        <v>11</v>
      </c>
      <c r="L377">
        <f>MONTH(weather.tbl[[#This Row],[Date]])</f>
        <v>1</v>
      </c>
      <c r="M377">
        <f>YEAR(weather.tbl[[#This Row],[Date]])</f>
        <v>2015</v>
      </c>
    </row>
    <row r="378" spans="1:13" x14ac:dyDescent="0.25">
      <c r="A378" s="1">
        <v>42016</v>
      </c>
      <c r="B378" s="2">
        <v>-20.7</v>
      </c>
      <c r="C378" s="2">
        <v>-22.7</v>
      </c>
      <c r="D378" s="2">
        <v>-17</v>
      </c>
      <c r="E378" s="2">
        <v>-21</v>
      </c>
      <c r="F378" s="2">
        <v>-24.7</v>
      </c>
      <c r="G378" s="2">
        <v>-21.2</v>
      </c>
      <c r="H378" s="2">
        <f>AVERAGE(weather.tbl[[#This Row],[Estevan]:[Kipling]])</f>
        <v>-21.216666666666669</v>
      </c>
      <c r="I378" s="2">
        <f>_xlfn.STDEV.S(weather.tbl[[#This Row],[Estevan]:[Kipling]])</f>
        <v>2.546697207495733</v>
      </c>
      <c r="J378" s="2">
        <f t="shared" si="5"/>
        <v>-20.733333333333331</v>
      </c>
      <c r="K378">
        <f>DAY(weather.tbl[[#This Row],[Date]])</f>
        <v>12</v>
      </c>
      <c r="L378">
        <f>MONTH(weather.tbl[[#This Row],[Date]])</f>
        <v>1</v>
      </c>
      <c r="M378">
        <f>YEAR(weather.tbl[[#This Row],[Date]])</f>
        <v>2015</v>
      </c>
    </row>
    <row r="379" spans="1:13" x14ac:dyDescent="0.25">
      <c r="A379" s="1">
        <v>42017</v>
      </c>
      <c r="B379" s="2">
        <v>-12.5</v>
      </c>
      <c r="C379" s="2">
        <v>-12.4</v>
      </c>
      <c r="D379" s="2">
        <v>-15.5</v>
      </c>
      <c r="E379" s="2">
        <v>-10.5</v>
      </c>
      <c r="F379" s="2">
        <v>-14.4</v>
      </c>
      <c r="G379" s="2">
        <v>-12</v>
      </c>
      <c r="H379" s="2">
        <f>AVERAGE(weather.tbl[[#This Row],[Estevan]:[Kipling]])</f>
        <v>-12.883333333333333</v>
      </c>
      <c r="I379" s="2">
        <f>_xlfn.STDEV.S(weather.tbl[[#This Row],[Estevan]:[Kipling]])</f>
        <v>1.7882020765748676</v>
      </c>
      <c r="J379" s="2">
        <f t="shared" si="5"/>
        <v>-19.416666666666664</v>
      </c>
      <c r="K379">
        <f>DAY(weather.tbl[[#This Row],[Date]])</f>
        <v>13</v>
      </c>
      <c r="L379">
        <f>MONTH(weather.tbl[[#This Row],[Date]])</f>
        <v>1</v>
      </c>
      <c r="M379">
        <f>YEAR(weather.tbl[[#This Row],[Date]])</f>
        <v>2015</v>
      </c>
    </row>
    <row r="380" spans="1:13" x14ac:dyDescent="0.25">
      <c r="A380" s="1">
        <v>42018</v>
      </c>
      <c r="B380" s="2">
        <v>-5.2</v>
      </c>
      <c r="C380" s="2">
        <v>-6.2</v>
      </c>
      <c r="D380" s="2">
        <v>-5.5</v>
      </c>
      <c r="E380" s="2">
        <v>-5</v>
      </c>
      <c r="F380" s="2">
        <v>-4.8</v>
      </c>
      <c r="G380" s="2">
        <v>-5.8</v>
      </c>
      <c r="H380" s="2">
        <f>AVERAGE(weather.tbl[[#This Row],[Estevan]:[Kipling]])</f>
        <v>-5.416666666666667</v>
      </c>
      <c r="I380" s="2">
        <f>_xlfn.STDEV.S(weather.tbl[[#This Row],[Estevan]:[Kipling]])</f>
        <v>0.52313159593611502</v>
      </c>
      <c r="J380" s="2">
        <f t="shared" si="5"/>
        <v>-17.142857142857146</v>
      </c>
      <c r="K380">
        <f>DAY(weather.tbl[[#This Row],[Date]])</f>
        <v>14</v>
      </c>
      <c r="L380">
        <f>MONTH(weather.tbl[[#This Row],[Date]])</f>
        <v>1</v>
      </c>
      <c r="M380">
        <f>YEAR(weather.tbl[[#This Row],[Date]])</f>
        <v>2015</v>
      </c>
    </row>
    <row r="381" spans="1:13" x14ac:dyDescent="0.25">
      <c r="A381" s="1">
        <v>42019</v>
      </c>
      <c r="B381" s="2">
        <v>-3.5</v>
      </c>
      <c r="C381" s="2">
        <v>-4.2</v>
      </c>
      <c r="D381" s="2">
        <v>-3.5</v>
      </c>
      <c r="E381" s="2">
        <v>-2.8</v>
      </c>
      <c r="F381" s="2">
        <v>-5.8</v>
      </c>
      <c r="G381" s="2">
        <v>-3.3</v>
      </c>
      <c r="H381" s="2">
        <f>AVERAGE(weather.tbl[[#This Row],[Estevan]:[Kipling]])</f>
        <v>-3.85</v>
      </c>
      <c r="I381" s="2">
        <f>_xlfn.STDEV.S(weather.tbl[[#This Row],[Estevan]:[Kipling]])</f>
        <v>1.0559356040971442</v>
      </c>
      <c r="J381" s="2">
        <f t="shared" si="5"/>
        <v>-15.371428571428572</v>
      </c>
      <c r="K381">
        <f>DAY(weather.tbl[[#This Row],[Date]])</f>
        <v>15</v>
      </c>
      <c r="L381">
        <f>MONTH(weather.tbl[[#This Row],[Date]])</f>
        <v>1</v>
      </c>
      <c r="M381">
        <f>YEAR(weather.tbl[[#This Row],[Date]])</f>
        <v>2015</v>
      </c>
    </row>
    <row r="382" spans="1:13" x14ac:dyDescent="0.25">
      <c r="A382" s="1">
        <v>42020</v>
      </c>
      <c r="B382" s="2">
        <v>-3.7</v>
      </c>
      <c r="C382" s="2">
        <v>-3</v>
      </c>
      <c r="D382" s="2">
        <v>-5.8</v>
      </c>
      <c r="E382" s="2">
        <v>-3</v>
      </c>
      <c r="F382" s="2">
        <v>-6.8</v>
      </c>
      <c r="G382" s="2">
        <v>-6.1</v>
      </c>
      <c r="H382" s="2">
        <f>AVERAGE(weather.tbl[[#This Row],[Estevan]:[Kipling]])</f>
        <v>-4.7333333333333334</v>
      </c>
      <c r="I382" s="2">
        <f>_xlfn.STDEV.S(weather.tbl[[#This Row],[Estevan]:[Kipling]])</f>
        <v>1.6943041836301607</v>
      </c>
      <c r="J382" s="2">
        <f t="shared" si="5"/>
        <v>-13.099999999999998</v>
      </c>
      <c r="K382">
        <f>DAY(weather.tbl[[#This Row],[Date]])</f>
        <v>16</v>
      </c>
      <c r="L382">
        <f>MONTH(weather.tbl[[#This Row],[Date]])</f>
        <v>1</v>
      </c>
      <c r="M382">
        <f>YEAR(weather.tbl[[#This Row],[Date]])</f>
        <v>2015</v>
      </c>
    </row>
    <row r="383" spans="1:13" x14ac:dyDescent="0.25">
      <c r="A383" s="1">
        <v>42021</v>
      </c>
      <c r="B383" s="2">
        <v>-1.2</v>
      </c>
      <c r="C383" s="2">
        <v>-2.4</v>
      </c>
      <c r="D383" s="2">
        <v>-3.3</v>
      </c>
      <c r="E383" s="2">
        <v>-0.3</v>
      </c>
      <c r="F383" s="2">
        <v>-2.1</v>
      </c>
      <c r="G383" s="2">
        <v>-2</v>
      </c>
      <c r="H383" s="2">
        <f>AVERAGE(weather.tbl[[#This Row],[Estevan]:[Kipling]])</f>
        <v>-1.8833333333333331</v>
      </c>
      <c r="I383" s="2">
        <f>_xlfn.STDEV.S(weather.tbl[[#This Row],[Estevan]:[Kipling]])</f>
        <v>1.0303721010715823</v>
      </c>
      <c r="J383" s="2">
        <f t="shared" si="5"/>
        <v>-10.154761904761903</v>
      </c>
      <c r="K383">
        <f>DAY(weather.tbl[[#This Row],[Date]])</f>
        <v>17</v>
      </c>
      <c r="L383">
        <f>MONTH(weather.tbl[[#This Row],[Date]])</f>
        <v>1</v>
      </c>
      <c r="M383">
        <f>YEAR(weather.tbl[[#This Row],[Date]])</f>
        <v>2015</v>
      </c>
    </row>
    <row r="384" spans="1:13" x14ac:dyDescent="0.25">
      <c r="A384" s="1">
        <v>42022</v>
      </c>
      <c r="B384" s="2">
        <v>-7.1</v>
      </c>
      <c r="C384" s="2">
        <v>-7.9</v>
      </c>
      <c r="D384" s="2">
        <v>-8.3000000000000007</v>
      </c>
      <c r="E384" s="2">
        <v>-6.3</v>
      </c>
      <c r="F384" s="2">
        <v>-8.1</v>
      </c>
      <c r="G384" s="2">
        <v>-7.8</v>
      </c>
      <c r="H384" s="2">
        <f>AVERAGE(weather.tbl[[#This Row],[Estevan]:[Kipling]])</f>
        <v>-7.583333333333333</v>
      </c>
      <c r="I384" s="2">
        <f>_xlfn.STDEV.S(weather.tbl[[#This Row],[Estevan]:[Kipling]])</f>
        <v>0.74944423853057074</v>
      </c>
      <c r="J384" s="2">
        <f t="shared" si="5"/>
        <v>-8.2238095238095248</v>
      </c>
      <c r="K384">
        <f>DAY(weather.tbl[[#This Row],[Date]])</f>
        <v>18</v>
      </c>
      <c r="L384">
        <f>MONTH(weather.tbl[[#This Row],[Date]])</f>
        <v>1</v>
      </c>
      <c r="M384">
        <f>YEAR(weather.tbl[[#This Row],[Date]])</f>
        <v>2015</v>
      </c>
    </row>
    <row r="385" spans="1:13" x14ac:dyDescent="0.25">
      <c r="A385" s="1">
        <v>42023</v>
      </c>
      <c r="B385" s="2">
        <v>-3.4</v>
      </c>
      <c r="C385" s="2">
        <v>-4.0999999999999996</v>
      </c>
      <c r="D385" s="2">
        <v>-6.5</v>
      </c>
      <c r="E385" s="2">
        <v>-3.3</v>
      </c>
      <c r="F385" s="2">
        <v>-5.9</v>
      </c>
      <c r="G385" s="2">
        <v>-6.7</v>
      </c>
      <c r="H385" s="2">
        <f>AVERAGE(weather.tbl[[#This Row],[Estevan]:[Kipling]])</f>
        <v>-4.9833333333333334</v>
      </c>
      <c r="I385" s="2">
        <f>_xlfn.STDEV.S(weather.tbl[[#This Row],[Estevan]:[Kipling]])</f>
        <v>1.5625833311112285</v>
      </c>
      <c r="J385" s="2">
        <f t="shared" si="5"/>
        <v>-5.9047619047619051</v>
      </c>
      <c r="K385">
        <f>DAY(weather.tbl[[#This Row],[Date]])</f>
        <v>19</v>
      </c>
      <c r="L385">
        <f>MONTH(weather.tbl[[#This Row],[Date]])</f>
        <v>1</v>
      </c>
      <c r="M385">
        <f>YEAR(weather.tbl[[#This Row],[Date]])</f>
        <v>2015</v>
      </c>
    </row>
    <row r="386" spans="1:13" x14ac:dyDescent="0.25">
      <c r="A386" s="1">
        <v>42024</v>
      </c>
      <c r="B386" s="2">
        <v>-3.2</v>
      </c>
      <c r="C386" s="2">
        <v>-4.7</v>
      </c>
      <c r="D386" s="2">
        <v>-4</v>
      </c>
      <c r="E386" s="2">
        <v>-3.3</v>
      </c>
      <c r="F386" s="2">
        <v>-5.6</v>
      </c>
      <c r="G386" s="2">
        <v>-4.0999999999999996</v>
      </c>
      <c r="H386" s="2">
        <f>AVERAGE(weather.tbl[[#This Row],[Estevan]:[Kipling]])</f>
        <v>-4.1499999999999995</v>
      </c>
      <c r="I386" s="2">
        <f>_xlfn.STDEV.S(weather.tbl[[#This Row],[Estevan]:[Kipling]])</f>
        <v>0.90055538419355652</v>
      </c>
      <c r="J386" s="2">
        <f t="shared" si="5"/>
        <v>-4.6571428571428575</v>
      </c>
      <c r="K386">
        <f>DAY(weather.tbl[[#This Row],[Date]])</f>
        <v>20</v>
      </c>
      <c r="L386">
        <f>MONTH(weather.tbl[[#This Row],[Date]])</f>
        <v>1</v>
      </c>
      <c r="M386">
        <f>YEAR(weather.tbl[[#This Row],[Date]])</f>
        <v>2015</v>
      </c>
    </row>
    <row r="387" spans="1:13" x14ac:dyDescent="0.25">
      <c r="A387" s="1">
        <v>42025</v>
      </c>
      <c r="B387" s="2">
        <v>-7.6</v>
      </c>
      <c r="C387" s="2">
        <v>-8.3000000000000007</v>
      </c>
      <c r="D387" s="2">
        <v>-7</v>
      </c>
      <c r="E387" s="2">
        <v>-5.5</v>
      </c>
      <c r="F387" s="2">
        <v>-8.6</v>
      </c>
      <c r="G387" s="2">
        <v>-6.5</v>
      </c>
      <c r="H387" s="2">
        <f>AVERAGE(weather.tbl[[#This Row],[Estevan]:[Kipling]])</f>
        <v>-7.25</v>
      </c>
      <c r="I387" s="2">
        <f>_xlfn.STDEV.S(weather.tbl[[#This Row],[Estevan]:[Kipling]])</f>
        <v>1.1606032913963336</v>
      </c>
      <c r="J387" s="2">
        <f t="shared" si="5"/>
        <v>-4.9190476190476193</v>
      </c>
      <c r="K387">
        <f>DAY(weather.tbl[[#This Row],[Date]])</f>
        <v>21</v>
      </c>
      <c r="L387">
        <f>MONTH(weather.tbl[[#This Row],[Date]])</f>
        <v>1</v>
      </c>
      <c r="M387">
        <f>YEAR(weather.tbl[[#This Row],[Date]])</f>
        <v>2015</v>
      </c>
    </row>
    <row r="388" spans="1:13" x14ac:dyDescent="0.25">
      <c r="A388" s="1">
        <v>42026</v>
      </c>
      <c r="B388" s="2">
        <v>-1.1000000000000001</v>
      </c>
      <c r="C388" s="2">
        <v>-0.1</v>
      </c>
      <c r="D388" s="2">
        <v>-2.5</v>
      </c>
      <c r="E388" s="2">
        <v>-0.5</v>
      </c>
      <c r="F388" s="2">
        <v>-3.1</v>
      </c>
      <c r="G388" s="2">
        <v>-0.8</v>
      </c>
      <c r="H388" s="2">
        <f>AVERAGE(weather.tbl[[#This Row],[Estevan]:[Kipling]])</f>
        <v>-1.3500000000000003</v>
      </c>
      <c r="I388" s="2">
        <f>_xlfn.STDEV.S(weather.tbl[[#This Row],[Estevan]:[Kipling]])</f>
        <v>1.1861703081766968</v>
      </c>
      <c r="J388" s="2">
        <f t="shared" si="5"/>
        <v>-4.5619047619047617</v>
      </c>
      <c r="K388">
        <f>DAY(weather.tbl[[#This Row],[Date]])</f>
        <v>22</v>
      </c>
      <c r="L388">
        <f>MONTH(weather.tbl[[#This Row],[Date]])</f>
        <v>1</v>
      </c>
      <c r="M388">
        <f>YEAR(weather.tbl[[#This Row],[Date]])</f>
        <v>2015</v>
      </c>
    </row>
    <row r="389" spans="1:13" x14ac:dyDescent="0.25">
      <c r="A389" s="1">
        <v>42027</v>
      </c>
      <c r="B389" s="2">
        <v>0.3</v>
      </c>
      <c r="C389" s="2">
        <v>0</v>
      </c>
      <c r="D389" s="2">
        <v>0.8</v>
      </c>
      <c r="E389" s="2">
        <v>0.5</v>
      </c>
      <c r="F389" s="2">
        <v>0.7</v>
      </c>
      <c r="G389" s="2">
        <v>-0.4</v>
      </c>
      <c r="H389" s="2">
        <f>AVERAGE(weather.tbl[[#This Row],[Estevan]:[Kipling]])</f>
        <v>0.31666666666666665</v>
      </c>
      <c r="I389" s="2">
        <f>_xlfn.STDEV.S(weather.tbl[[#This Row],[Estevan]:[Kipling]])</f>
        <v>0.45350486950711638</v>
      </c>
      <c r="J389" s="2">
        <f t="shared" si="5"/>
        <v>-3.8404761904761906</v>
      </c>
      <c r="K389">
        <f>DAY(weather.tbl[[#This Row],[Date]])</f>
        <v>23</v>
      </c>
      <c r="L389">
        <f>MONTH(weather.tbl[[#This Row],[Date]])</f>
        <v>1</v>
      </c>
      <c r="M389">
        <f>YEAR(weather.tbl[[#This Row],[Date]])</f>
        <v>2015</v>
      </c>
    </row>
    <row r="390" spans="1:13" x14ac:dyDescent="0.25">
      <c r="A390" s="1">
        <v>42028</v>
      </c>
      <c r="B390" s="2">
        <v>-1.3</v>
      </c>
      <c r="C390" s="2">
        <v>-2</v>
      </c>
      <c r="D390" s="2">
        <v>-1.5</v>
      </c>
      <c r="E390" s="2">
        <v>-0.5</v>
      </c>
      <c r="F390" s="2">
        <v>-4.0999999999999996</v>
      </c>
      <c r="G390" s="2">
        <v>-1.5</v>
      </c>
      <c r="H390" s="2">
        <f>AVERAGE(weather.tbl[[#This Row],[Estevan]:[Kipling]])</f>
        <v>-1.8166666666666664</v>
      </c>
      <c r="I390" s="2">
        <f>_xlfn.STDEV.S(weather.tbl[[#This Row],[Estevan]:[Kipling]])</f>
        <v>1.2205190152827066</v>
      </c>
      <c r="J390" s="2">
        <f t="shared" si="5"/>
        <v>-3.8309523809523811</v>
      </c>
      <c r="K390">
        <f>DAY(weather.tbl[[#This Row],[Date]])</f>
        <v>24</v>
      </c>
      <c r="L390">
        <f>MONTH(weather.tbl[[#This Row],[Date]])</f>
        <v>1</v>
      </c>
      <c r="M390">
        <f>YEAR(weather.tbl[[#This Row],[Date]])</f>
        <v>2015</v>
      </c>
    </row>
    <row r="391" spans="1:13" x14ac:dyDescent="0.25">
      <c r="A391" s="1">
        <v>42029</v>
      </c>
      <c r="B391" s="2">
        <v>-0.4</v>
      </c>
      <c r="C391" s="2">
        <v>-1.6</v>
      </c>
      <c r="D391" s="2">
        <v>-1.5</v>
      </c>
      <c r="E391" s="2">
        <v>-0.5</v>
      </c>
      <c r="F391" s="2">
        <v>-3.8</v>
      </c>
      <c r="G391" s="2">
        <v>-3.1</v>
      </c>
      <c r="H391" s="2">
        <f>AVERAGE(weather.tbl[[#This Row],[Estevan]:[Kipling]])</f>
        <v>-1.8166666666666667</v>
      </c>
      <c r="I391" s="2">
        <f>_xlfn.STDEV.S(weather.tbl[[#This Row],[Estevan]:[Kipling]])</f>
        <v>1.3761056161017102</v>
      </c>
      <c r="J391" s="2">
        <f t="shared" si="5"/>
        <v>-3.0071428571428571</v>
      </c>
      <c r="K391">
        <f>DAY(weather.tbl[[#This Row],[Date]])</f>
        <v>25</v>
      </c>
      <c r="L391">
        <f>MONTH(weather.tbl[[#This Row],[Date]])</f>
        <v>1</v>
      </c>
      <c r="M391">
        <f>YEAR(weather.tbl[[#This Row],[Date]])</f>
        <v>2015</v>
      </c>
    </row>
    <row r="392" spans="1:13" x14ac:dyDescent="0.25">
      <c r="A392" s="1">
        <v>42030</v>
      </c>
      <c r="B392" s="2">
        <v>2.4</v>
      </c>
      <c r="C392" s="2">
        <v>2.2000000000000002</v>
      </c>
      <c r="D392" s="2">
        <v>1.5</v>
      </c>
      <c r="E392" s="2">
        <v>4</v>
      </c>
      <c r="F392" s="2">
        <v>-0.7</v>
      </c>
      <c r="G392" s="2">
        <v>1.7</v>
      </c>
      <c r="H392" s="2">
        <f>AVERAGE(weather.tbl[[#This Row],[Estevan]:[Kipling]])</f>
        <v>1.8499999999999999</v>
      </c>
      <c r="I392" s="2">
        <f>_xlfn.STDEV.S(weather.tbl[[#This Row],[Estevan]:[Kipling]])</f>
        <v>1.5293789589241771</v>
      </c>
      <c r="J392" s="2">
        <f t="shared" si="5"/>
        <v>-2.0309523809523808</v>
      </c>
      <c r="K392">
        <f>DAY(weather.tbl[[#This Row],[Date]])</f>
        <v>26</v>
      </c>
      <c r="L392">
        <f>MONTH(weather.tbl[[#This Row],[Date]])</f>
        <v>1</v>
      </c>
      <c r="M392">
        <f>YEAR(weather.tbl[[#This Row],[Date]])</f>
        <v>2015</v>
      </c>
    </row>
    <row r="393" spans="1:13" x14ac:dyDescent="0.25">
      <c r="A393" s="1">
        <v>42031</v>
      </c>
      <c r="B393" s="2">
        <v>1.6</v>
      </c>
      <c r="C393" s="2">
        <v>0.2</v>
      </c>
      <c r="D393" s="2">
        <v>-3</v>
      </c>
      <c r="E393" s="2">
        <v>0</v>
      </c>
      <c r="F393" s="2">
        <v>-1.4</v>
      </c>
      <c r="G393" s="2">
        <v>1.6</v>
      </c>
      <c r="H393" s="2">
        <f>AVERAGE(weather.tbl[[#This Row],[Estevan]:[Kipling]])</f>
        <v>-0.1666666666666666</v>
      </c>
      <c r="I393" s="2">
        <f>_xlfn.STDEV.S(weather.tbl[[#This Row],[Estevan]:[Kipling]])</f>
        <v>1.7862437310363519</v>
      </c>
      <c r="J393" s="2">
        <f t="shared" si="5"/>
        <v>-1.4619047619047618</v>
      </c>
      <c r="K393">
        <f>DAY(weather.tbl[[#This Row],[Date]])</f>
        <v>27</v>
      </c>
      <c r="L393">
        <f>MONTH(weather.tbl[[#This Row],[Date]])</f>
        <v>1</v>
      </c>
      <c r="M393">
        <f>YEAR(weather.tbl[[#This Row],[Date]])</f>
        <v>2015</v>
      </c>
    </row>
    <row r="394" spans="1:13" x14ac:dyDescent="0.25">
      <c r="A394" s="1">
        <v>42032</v>
      </c>
      <c r="B394" s="2">
        <v>-3.2</v>
      </c>
      <c r="C394" s="2">
        <v>-3.1</v>
      </c>
      <c r="D394" s="2">
        <v>-3.8</v>
      </c>
      <c r="E394" s="2">
        <v>-1.5</v>
      </c>
      <c r="F394" s="2">
        <v>-2.9</v>
      </c>
      <c r="G394" s="2">
        <v>-4.9000000000000004</v>
      </c>
      <c r="H394" s="2">
        <f>AVERAGE(weather.tbl[[#This Row],[Estevan]:[Kipling]])</f>
        <v>-3.2333333333333338</v>
      </c>
      <c r="I394" s="2">
        <f>_xlfn.STDEV.S(weather.tbl[[#This Row],[Estevan]:[Kipling]])</f>
        <v>1.1165422816296144</v>
      </c>
      <c r="J394" s="2">
        <f t="shared" ref="J394:J457" si="6">AVERAGE(H388:H394)</f>
        <v>-0.88809523809523827</v>
      </c>
      <c r="K394">
        <f>DAY(weather.tbl[[#This Row],[Date]])</f>
        <v>28</v>
      </c>
      <c r="L394">
        <f>MONTH(weather.tbl[[#This Row],[Date]])</f>
        <v>1</v>
      </c>
      <c r="M394">
        <f>YEAR(weather.tbl[[#This Row],[Date]])</f>
        <v>2015</v>
      </c>
    </row>
    <row r="395" spans="1:13" x14ac:dyDescent="0.25">
      <c r="A395" s="1">
        <v>42033</v>
      </c>
      <c r="B395" s="2">
        <v>-7.1</v>
      </c>
      <c r="C395" s="2">
        <v>-7.8</v>
      </c>
      <c r="D395" s="2">
        <v>-10.3</v>
      </c>
      <c r="E395" s="2">
        <v>-7</v>
      </c>
      <c r="F395" s="2">
        <v>-9.6</v>
      </c>
      <c r="G395" s="2">
        <v>-10.199999999999999</v>
      </c>
      <c r="H395" s="2">
        <f>AVERAGE(weather.tbl[[#This Row],[Estevan]:[Kipling]])</f>
        <v>-8.6666666666666661</v>
      </c>
      <c r="I395" s="2">
        <f>_xlfn.STDEV.S(weather.tbl[[#This Row],[Estevan]:[Kipling]])</f>
        <v>1.540995349333234</v>
      </c>
      <c r="J395" s="2">
        <f t="shared" si="6"/>
        <v>-1.9333333333333333</v>
      </c>
      <c r="K395">
        <f>DAY(weather.tbl[[#This Row],[Date]])</f>
        <v>29</v>
      </c>
      <c r="L395">
        <f>MONTH(weather.tbl[[#This Row],[Date]])</f>
        <v>1</v>
      </c>
      <c r="M395">
        <f>YEAR(weather.tbl[[#This Row],[Date]])</f>
        <v>2015</v>
      </c>
    </row>
    <row r="396" spans="1:13" x14ac:dyDescent="0.25">
      <c r="A396" s="1">
        <v>42034</v>
      </c>
      <c r="B396" s="2">
        <v>-7.8</v>
      </c>
      <c r="C396" s="2">
        <v>-8.5</v>
      </c>
      <c r="D396" s="2">
        <v>-10.8</v>
      </c>
      <c r="E396" s="2">
        <v>-7</v>
      </c>
      <c r="F396" s="2">
        <v>-8.3000000000000007</v>
      </c>
      <c r="G396" s="2">
        <v>-8.8000000000000007</v>
      </c>
      <c r="H396" s="2">
        <f>AVERAGE(weather.tbl[[#This Row],[Estevan]:[Kipling]])</f>
        <v>-8.5333333333333332</v>
      </c>
      <c r="I396" s="2">
        <f>_xlfn.STDEV.S(weather.tbl[[#This Row],[Estevan]:[Kipling]])</f>
        <v>1.276975593606491</v>
      </c>
      <c r="J396" s="2">
        <f t="shared" si="6"/>
        <v>-3.1976190476190474</v>
      </c>
      <c r="K396">
        <f>DAY(weather.tbl[[#This Row],[Date]])</f>
        <v>30</v>
      </c>
      <c r="L396">
        <f>MONTH(weather.tbl[[#This Row],[Date]])</f>
        <v>1</v>
      </c>
      <c r="M396">
        <f>YEAR(weather.tbl[[#This Row],[Date]])</f>
        <v>2015</v>
      </c>
    </row>
    <row r="397" spans="1:13" x14ac:dyDescent="0.25">
      <c r="A397" s="1">
        <v>42035</v>
      </c>
      <c r="B397" s="2">
        <v>-14.1</v>
      </c>
      <c r="C397" s="2">
        <v>-15.4</v>
      </c>
      <c r="D397" s="2">
        <v>-18</v>
      </c>
      <c r="E397" s="2">
        <v>-16.3</v>
      </c>
      <c r="F397" s="2">
        <v>-15.4</v>
      </c>
      <c r="G397" s="2">
        <v>-20.399999999999999</v>
      </c>
      <c r="H397" s="2">
        <f>AVERAGE(weather.tbl[[#This Row],[Estevan]:[Kipling]])</f>
        <v>-16.599999999999998</v>
      </c>
      <c r="I397" s="2">
        <f>_xlfn.STDEV.S(weather.tbl[[#This Row],[Estevan]:[Kipling]])</f>
        <v>2.2636254107073612</v>
      </c>
      <c r="J397" s="2">
        <f t="shared" si="6"/>
        <v>-5.3095238095238093</v>
      </c>
      <c r="K397">
        <f>DAY(weather.tbl[[#This Row],[Date]])</f>
        <v>31</v>
      </c>
      <c r="L397">
        <f>MONTH(weather.tbl[[#This Row],[Date]])</f>
        <v>1</v>
      </c>
      <c r="M397">
        <f>YEAR(weather.tbl[[#This Row],[Date]])</f>
        <v>2015</v>
      </c>
    </row>
    <row r="398" spans="1:13" x14ac:dyDescent="0.25">
      <c r="A398" s="1">
        <v>42036</v>
      </c>
      <c r="B398" s="2">
        <v>-19.5</v>
      </c>
      <c r="C398" s="2">
        <v>-20.2</v>
      </c>
      <c r="D398" s="2">
        <v>-23.3</v>
      </c>
      <c r="E398" s="2">
        <v>-19</v>
      </c>
      <c r="F398" s="2">
        <v>-22.6</v>
      </c>
      <c r="G398" s="2">
        <v>-22</v>
      </c>
      <c r="H398" s="2">
        <f>AVERAGE(weather.tbl[[#This Row],[Estevan]:[Kipling]])</f>
        <v>-21.099999999999998</v>
      </c>
      <c r="I398" s="2">
        <f>_xlfn.STDEV.S(weather.tbl[[#This Row],[Estevan]:[Kipling]])</f>
        <v>1.7708754896942929</v>
      </c>
      <c r="J398" s="2">
        <f t="shared" si="6"/>
        <v>-8.0642857142857132</v>
      </c>
      <c r="K398">
        <f>DAY(weather.tbl[[#This Row],[Date]])</f>
        <v>1</v>
      </c>
      <c r="L398">
        <f>MONTH(weather.tbl[[#This Row],[Date]])</f>
        <v>2</v>
      </c>
      <c r="M398">
        <f>YEAR(weather.tbl[[#This Row],[Date]])</f>
        <v>2015</v>
      </c>
    </row>
    <row r="399" spans="1:13" x14ac:dyDescent="0.25">
      <c r="A399" s="1">
        <v>42037</v>
      </c>
      <c r="B399" s="2">
        <v>-14.9</v>
      </c>
      <c r="C399" s="2">
        <v>-16.600000000000001</v>
      </c>
      <c r="D399" s="2">
        <v>-17.5</v>
      </c>
      <c r="E399" s="2">
        <v>-16</v>
      </c>
      <c r="F399" s="2">
        <v>-16.899999999999999</v>
      </c>
      <c r="G399" s="2">
        <v>-17.5</v>
      </c>
      <c r="H399" s="2">
        <f>AVERAGE(weather.tbl[[#This Row],[Estevan]:[Kipling]])</f>
        <v>-16.566666666666666</v>
      </c>
      <c r="I399" s="2">
        <f>_xlfn.STDEV.S(weather.tbl[[#This Row],[Estevan]:[Kipling]])</f>
        <v>0.99532239333125938</v>
      </c>
      <c r="J399" s="2">
        <f t="shared" si="6"/>
        <v>-10.695238095238095</v>
      </c>
      <c r="K399">
        <f>DAY(weather.tbl[[#This Row],[Date]])</f>
        <v>2</v>
      </c>
      <c r="L399">
        <f>MONTH(weather.tbl[[#This Row],[Date]])</f>
        <v>2</v>
      </c>
      <c r="M399">
        <f>YEAR(weather.tbl[[#This Row],[Date]])</f>
        <v>2015</v>
      </c>
    </row>
    <row r="400" spans="1:13" x14ac:dyDescent="0.25">
      <c r="A400" s="1">
        <v>42038</v>
      </c>
      <c r="B400" s="2">
        <v>-17.399999999999999</v>
      </c>
      <c r="C400" s="2">
        <v>-18.2</v>
      </c>
      <c r="D400" s="2">
        <v>-16</v>
      </c>
      <c r="E400" s="2">
        <v>-16.8</v>
      </c>
      <c r="F400" s="2">
        <v>-16.8</v>
      </c>
      <c r="G400" s="2">
        <v>-17</v>
      </c>
      <c r="H400" s="2">
        <f>AVERAGE(weather.tbl[[#This Row],[Estevan]:[Kipling]])</f>
        <v>-17.033333333333331</v>
      </c>
      <c r="I400" s="2">
        <f>_xlfn.STDEV.S(weather.tbl[[#This Row],[Estevan]:[Kipling]])</f>
        <v>0.73120904443713353</v>
      </c>
      <c r="J400" s="2">
        <f t="shared" si="6"/>
        <v>-13.104761904761903</v>
      </c>
      <c r="K400">
        <f>DAY(weather.tbl[[#This Row],[Date]])</f>
        <v>3</v>
      </c>
      <c r="L400">
        <f>MONTH(weather.tbl[[#This Row],[Date]])</f>
        <v>2</v>
      </c>
      <c r="M400">
        <f>YEAR(weather.tbl[[#This Row],[Date]])</f>
        <v>2015</v>
      </c>
    </row>
    <row r="401" spans="1:13" x14ac:dyDescent="0.25">
      <c r="A401" s="1">
        <v>42039</v>
      </c>
      <c r="B401" s="2">
        <v>-19.399999999999999</v>
      </c>
      <c r="C401" s="2">
        <v>-21.2</v>
      </c>
      <c r="D401" s="2">
        <v>-19.5</v>
      </c>
      <c r="E401" s="2">
        <v>-19.3</v>
      </c>
      <c r="F401" s="2">
        <v>-20.8</v>
      </c>
      <c r="G401" s="2">
        <v>-19</v>
      </c>
      <c r="H401" s="2">
        <f>AVERAGE(weather.tbl[[#This Row],[Estevan]:[Kipling]])</f>
        <v>-19.866666666666664</v>
      </c>
      <c r="I401" s="2">
        <f>_xlfn.STDEV.S(weather.tbl[[#This Row],[Estevan]:[Kipling]])</f>
        <v>0.90258886912406955</v>
      </c>
      <c r="J401" s="2">
        <f t="shared" si="6"/>
        <v>-15.480952380952377</v>
      </c>
      <c r="K401">
        <f>DAY(weather.tbl[[#This Row],[Date]])</f>
        <v>4</v>
      </c>
      <c r="L401">
        <f>MONTH(weather.tbl[[#This Row],[Date]])</f>
        <v>2</v>
      </c>
      <c r="M401">
        <f>YEAR(weather.tbl[[#This Row],[Date]])</f>
        <v>2015</v>
      </c>
    </row>
    <row r="402" spans="1:13" x14ac:dyDescent="0.25">
      <c r="A402" s="1">
        <v>42040</v>
      </c>
      <c r="B402" s="2">
        <v>-10.9</v>
      </c>
      <c r="C402" s="2">
        <v>-12.7</v>
      </c>
      <c r="D402" s="2">
        <v>-13.3</v>
      </c>
      <c r="E402" s="2">
        <v>-11.3</v>
      </c>
      <c r="F402" s="2">
        <v>-11.2</v>
      </c>
      <c r="G402" s="2">
        <v>-12.1</v>
      </c>
      <c r="H402" s="2">
        <f>AVERAGE(weather.tbl[[#This Row],[Estevan]:[Kipling]])</f>
        <v>-11.916666666666666</v>
      </c>
      <c r="I402" s="2">
        <f>_xlfn.STDEV.S(weather.tbl[[#This Row],[Estevan]:[Kipling]])</f>
        <v>0.94745272529380942</v>
      </c>
      <c r="J402" s="2">
        <f t="shared" si="6"/>
        <v>-15.945238095238095</v>
      </c>
      <c r="K402">
        <f>DAY(weather.tbl[[#This Row],[Date]])</f>
        <v>5</v>
      </c>
      <c r="L402">
        <f>MONTH(weather.tbl[[#This Row],[Date]])</f>
        <v>2</v>
      </c>
      <c r="M402">
        <f>YEAR(weather.tbl[[#This Row],[Date]])</f>
        <v>2015</v>
      </c>
    </row>
    <row r="403" spans="1:13" x14ac:dyDescent="0.25">
      <c r="A403" s="1">
        <v>42041</v>
      </c>
      <c r="B403" s="2">
        <v>-11.9</v>
      </c>
      <c r="C403" s="2">
        <v>-11.9</v>
      </c>
      <c r="D403" s="2">
        <v>-13.3</v>
      </c>
      <c r="E403" s="2">
        <v>-6</v>
      </c>
      <c r="F403" s="2">
        <v>-13</v>
      </c>
      <c r="G403" s="2">
        <v>-14.5</v>
      </c>
      <c r="H403" s="2">
        <f>AVERAGE(weather.tbl[[#This Row],[Estevan]:[Kipling]])</f>
        <v>-11.766666666666666</v>
      </c>
      <c r="I403" s="2">
        <f>_xlfn.STDEV.S(weather.tbl[[#This Row],[Estevan]:[Kipling]])</f>
        <v>2.987752778706215</v>
      </c>
      <c r="J403" s="2">
        <f t="shared" si="6"/>
        <v>-16.407142857142855</v>
      </c>
      <c r="K403">
        <f>DAY(weather.tbl[[#This Row],[Date]])</f>
        <v>6</v>
      </c>
      <c r="L403">
        <f>MONTH(weather.tbl[[#This Row],[Date]])</f>
        <v>2</v>
      </c>
      <c r="M403">
        <f>YEAR(weather.tbl[[#This Row],[Date]])</f>
        <v>2015</v>
      </c>
    </row>
    <row r="404" spans="1:13" x14ac:dyDescent="0.25">
      <c r="A404" s="1">
        <v>42042</v>
      </c>
      <c r="B404" s="2">
        <v>-4.7</v>
      </c>
      <c r="C404" s="2">
        <v>-6.8</v>
      </c>
      <c r="D404" s="2">
        <v>-13.3</v>
      </c>
      <c r="E404" s="2">
        <v>-10</v>
      </c>
      <c r="F404" s="2">
        <v>-11.4</v>
      </c>
      <c r="G404" s="2">
        <v>-12.9</v>
      </c>
      <c r="H404" s="2">
        <f>AVERAGE(weather.tbl[[#This Row],[Estevan]:[Kipling]])</f>
        <v>-9.85</v>
      </c>
      <c r="I404" s="2">
        <f>_xlfn.STDEV.S(weather.tbl[[#This Row],[Estevan]:[Kipling]])</f>
        <v>3.4483329305622492</v>
      </c>
      <c r="J404" s="2">
        <f t="shared" si="6"/>
        <v>-15.442857142857141</v>
      </c>
      <c r="K404">
        <f>DAY(weather.tbl[[#This Row],[Date]])</f>
        <v>7</v>
      </c>
      <c r="L404">
        <f>MONTH(weather.tbl[[#This Row],[Date]])</f>
        <v>2</v>
      </c>
      <c r="M404">
        <f>YEAR(weather.tbl[[#This Row],[Date]])</f>
        <v>2015</v>
      </c>
    </row>
    <row r="405" spans="1:13" x14ac:dyDescent="0.25">
      <c r="A405" s="1">
        <v>42043</v>
      </c>
      <c r="B405" s="2">
        <v>-13.7</v>
      </c>
      <c r="C405" s="2">
        <v>-13</v>
      </c>
      <c r="D405" s="2">
        <v>-13.3</v>
      </c>
      <c r="E405" s="2">
        <v>-11.5</v>
      </c>
      <c r="F405" s="2">
        <v>-15.7</v>
      </c>
      <c r="G405" s="2">
        <v>-15.7</v>
      </c>
      <c r="H405" s="2">
        <f>AVERAGE(weather.tbl[[#This Row],[Estevan]:[Kipling]])</f>
        <v>-13.816666666666668</v>
      </c>
      <c r="I405" s="2">
        <f>_xlfn.STDEV.S(weather.tbl[[#This Row],[Estevan]:[Kipling]])</f>
        <v>1.6375795146088679</v>
      </c>
      <c r="J405" s="2">
        <f t="shared" si="6"/>
        <v>-14.40238095238095</v>
      </c>
      <c r="K405">
        <f>DAY(weather.tbl[[#This Row],[Date]])</f>
        <v>8</v>
      </c>
      <c r="L405">
        <f>MONTH(weather.tbl[[#This Row],[Date]])</f>
        <v>2</v>
      </c>
      <c r="M405">
        <f>YEAR(weather.tbl[[#This Row],[Date]])</f>
        <v>2015</v>
      </c>
    </row>
    <row r="406" spans="1:13" x14ac:dyDescent="0.25">
      <c r="A406" s="1">
        <v>42044</v>
      </c>
      <c r="B406" s="2">
        <v>-11.5</v>
      </c>
      <c r="C406" s="2">
        <v>-11.8</v>
      </c>
      <c r="D406" s="2">
        <v>-13</v>
      </c>
      <c r="E406" s="2">
        <v>-11.3</v>
      </c>
      <c r="F406" s="2">
        <v>-13.1</v>
      </c>
      <c r="G406" s="2">
        <v>-13.2</v>
      </c>
      <c r="H406" s="2">
        <f>AVERAGE(weather.tbl[[#This Row],[Estevan]:[Kipling]])</f>
        <v>-12.316666666666665</v>
      </c>
      <c r="I406" s="2">
        <f>_xlfn.STDEV.S(weather.tbl[[#This Row],[Estevan]:[Kipling]])</f>
        <v>0.87502380919987888</v>
      </c>
      <c r="J406" s="2">
        <f t="shared" si="6"/>
        <v>-13.795238095238092</v>
      </c>
      <c r="K406">
        <f>DAY(weather.tbl[[#This Row],[Date]])</f>
        <v>9</v>
      </c>
      <c r="L406">
        <f>MONTH(weather.tbl[[#This Row],[Date]])</f>
        <v>2</v>
      </c>
      <c r="M406">
        <f>YEAR(weather.tbl[[#This Row],[Date]])</f>
        <v>2015</v>
      </c>
    </row>
    <row r="407" spans="1:13" x14ac:dyDescent="0.25">
      <c r="A407" s="1">
        <v>42045</v>
      </c>
      <c r="B407" s="2">
        <v>-13.7</v>
      </c>
      <c r="C407" s="2">
        <v>-14.2</v>
      </c>
      <c r="D407" s="2">
        <v>-11.8</v>
      </c>
      <c r="E407" s="2">
        <v>-12.5</v>
      </c>
      <c r="F407" s="2">
        <v>-13.9</v>
      </c>
      <c r="G407" s="2">
        <v>-14.4</v>
      </c>
      <c r="H407" s="2">
        <f>AVERAGE(weather.tbl[[#This Row],[Estevan]:[Kipling]])</f>
        <v>-13.41666666666667</v>
      </c>
      <c r="I407" s="2">
        <f>_xlfn.STDEV.S(weather.tbl[[#This Row],[Estevan]:[Kipling]])</f>
        <v>1.0342469079802299</v>
      </c>
      <c r="J407" s="2">
        <f t="shared" si="6"/>
        <v>-13.278571428571428</v>
      </c>
      <c r="K407">
        <f>DAY(weather.tbl[[#This Row],[Date]])</f>
        <v>10</v>
      </c>
      <c r="L407">
        <f>MONTH(weather.tbl[[#This Row],[Date]])</f>
        <v>2</v>
      </c>
      <c r="M407">
        <f>YEAR(weather.tbl[[#This Row],[Date]])</f>
        <v>2015</v>
      </c>
    </row>
    <row r="408" spans="1:13" x14ac:dyDescent="0.25">
      <c r="A408" s="1">
        <v>42046</v>
      </c>
      <c r="B408" s="2">
        <v>-21.4</v>
      </c>
      <c r="C408" s="2">
        <v>-22.5</v>
      </c>
      <c r="D408" s="2">
        <v>-20</v>
      </c>
      <c r="E408" s="2">
        <v>-19.3</v>
      </c>
      <c r="F408" s="2">
        <v>-23</v>
      </c>
      <c r="G408" s="2">
        <v>-22.2</v>
      </c>
      <c r="H408" s="2">
        <f>AVERAGE(weather.tbl[[#This Row],[Estevan]:[Kipling]])</f>
        <v>-21.400000000000002</v>
      </c>
      <c r="I408" s="2">
        <f>_xlfn.STDEV.S(weather.tbl[[#This Row],[Estevan]:[Kipling]])</f>
        <v>1.4683323874382119</v>
      </c>
      <c r="J408" s="2">
        <f t="shared" si="6"/>
        <v>-13.497619047619049</v>
      </c>
      <c r="K408">
        <f>DAY(weather.tbl[[#This Row],[Date]])</f>
        <v>11</v>
      </c>
      <c r="L408">
        <f>MONTH(weather.tbl[[#This Row],[Date]])</f>
        <v>2</v>
      </c>
      <c r="M408">
        <f>YEAR(weather.tbl[[#This Row],[Date]])</f>
        <v>2015</v>
      </c>
    </row>
    <row r="409" spans="1:13" x14ac:dyDescent="0.25">
      <c r="A409" s="1">
        <v>42047</v>
      </c>
      <c r="B409" s="2">
        <v>-13.9</v>
      </c>
      <c r="C409" s="2">
        <v>-14.3</v>
      </c>
      <c r="D409" s="2">
        <v>-19.5</v>
      </c>
      <c r="E409" s="2">
        <v>-14.5</v>
      </c>
      <c r="F409" s="2">
        <v>-20</v>
      </c>
      <c r="G409" s="2">
        <v>-18.2</v>
      </c>
      <c r="H409" s="2">
        <f>AVERAGE(weather.tbl[[#This Row],[Estevan]:[Kipling]])</f>
        <v>-16.733333333333334</v>
      </c>
      <c r="I409" s="2">
        <f>_xlfn.STDEV.S(weather.tbl[[#This Row],[Estevan]:[Kipling]])</f>
        <v>2.8076087096792239</v>
      </c>
      <c r="J409" s="2">
        <f t="shared" si="6"/>
        <v>-14.185714285714287</v>
      </c>
      <c r="K409">
        <f>DAY(weather.tbl[[#This Row],[Date]])</f>
        <v>12</v>
      </c>
      <c r="L409">
        <f>MONTH(weather.tbl[[#This Row],[Date]])</f>
        <v>2</v>
      </c>
      <c r="M409">
        <f>YEAR(weather.tbl[[#This Row],[Date]])</f>
        <v>2015</v>
      </c>
    </row>
    <row r="410" spans="1:13" x14ac:dyDescent="0.25">
      <c r="A410" s="1">
        <v>42048</v>
      </c>
      <c r="B410" s="2">
        <v>-8.1999999999999993</v>
      </c>
      <c r="C410" s="2">
        <v>-9.1</v>
      </c>
      <c r="D410" s="2">
        <v>-10</v>
      </c>
      <c r="E410" s="2">
        <v>-7.3</v>
      </c>
      <c r="F410" s="2">
        <v>-13.3</v>
      </c>
      <c r="G410" s="2">
        <v>-11.3</v>
      </c>
      <c r="H410" s="2">
        <f>AVERAGE(weather.tbl[[#This Row],[Estevan]:[Kipling]])</f>
        <v>-9.8666666666666654</v>
      </c>
      <c r="I410" s="2">
        <f>_xlfn.STDEV.S(weather.tbl[[#This Row],[Estevan]:[Kipling]])</f>
        <v>2.1823534696897116</v>
      </c>
      <c r="J410" s="2">
        <f t="shared" si="6"/>
        <v>-13.914285714285715</v>
      </c>
      <c r="K410">
        <f>DAY(weather.tbl[[#This Row],[Date]])</f>
        <v>13</v>
      </c>
      <c r="L410">
        <f>MONTH(weather.tbl[[#This Row],[Date]])</f>
        <v>2</v>
      </c>
      <c r="M410">
        <f>YEAR(weather.tbl[[#This Row],[Date]])</f>
        <v>2015</v>
      </c>
    </row>
    <row r="411" spans="1:13" x14ac:dyDescent="0.25">
      <c r="A411" s="1">
        <v>42049</v>
      </c>
      <c r="B411" s="2">
        <v>-17.5</v>
      </c>
      <c r="C411" s="2">
        <v>-17.3</v>
      </c>
      <c r="D411" s="2">
        <v>-22.3</v>
      </c>
      <c r="E411" s="2">
        <v>-16.5</v>
      </c>
      <c r="F411" s="2">
        <v>-23.5</v>
      </c>
      <c r="G411" s="2">
        <v>-22.5</v>
      </c>
      <c r="H411" s="2">
        <f>AVERAGE(weather.tbl[[#This Row],[Estevan]:[Kipling]])</f>
        <v>-19.933333333333334</v>
      </c>
      <c r="I411" s="2">
        <f>_xlfn.STDEV.S(weather.tbl[[#This Row],[Estevan]:[Kipling]])</f>
        <v>3.1481211327817022</v>
      </c>
      <c r="J411" s="2">
        <f t="shared" si="6"/>
        <v>-15.354761904761904</v>
      </c>
      <c r="K411">
        <f>DAY(weather.tbl[[#This Row],[Date]])</f>
        <v>14</v>
      </c>
      <c r="L411">
        <f>MONTH(weather.tbl[[#This Row],[Date]])</f>
        <v>2</v>
      </c>
      <c r="M411">
        <f>YEAR(weather.tbl[[#This Row],[Date]])</f>
        <v>2015</v>
      </c>
    </row>
    <row r="412" spans="1:13" x14ac:dyDescent="0.25">
      <c r="A412" s="1">
        <v>42050</v>
      </c>
      <c r="B412" s="2">
        <v>-13</v>
      </c>
      <c r="C412" s="2">
        <v>-11.4</v>
      </c>
      <c r="D412" s="2">
        <v>-15.3</v>
      </c>
      <c r="E412" s="2">
        <v>-11.3</v>
      </c>
      <c r="F412" s="2">
        <v>-15.9</v>
      </c>
      <c r="G412" s="2">
        <v>-15</v>
      </c>
      <c r="H412" s="2">
        <f>AVERAGE(weather.tbl[[#This Row],[Estevan]:[Kipling]])</f>
        <v>-13.65</v>
      </c>
      <c r="I412" s="2">
        <f>_xlfn.STDEV.S(weather.tbl[[#This Row],[Estevan]:[Kipling]])</f>
        <v>2.0305171754998779</v>
      </c>
      <c r="J412" s="2">
        <f t="shared" si="6"/>
        <v>-15.330952380952382</v>
      </c>
      <c r="K412">
        <f>DAY(weather.tbl[[#This Row],[Date]])</f>
        <v>15</v>
      </c>
      <c r="L412">
        <f>MONTH(weather.tbl[[#This Row],[Date]])</f>
        <v>2</v>
      </c>
      <c r="M412">
        <f>YEAR(weather.tbl[[#This Row],[Date]])</f>
        <v>2015</v>
      </c>
    </row>
    <row r="413" spans="1:13" x14ac:dyDescent="0.25">
      <c r="A413" s="1">
        <v>42051</v>
      </c>
      <c r="B413" s="2">
        <v>-14.1</v>
      </c>
      <c r="C413" s="2">
        <v>-14.1</v>
      </c>
      <c r="D413" s="2">
        <v>-15.3</v>
      </c>
      <c r="E413" s="2">
        <v>-13.5</v>
      </c>
      <c r="F413" s="2">
        <v>-16.100000000000001</v>
      </c>
      <c r="G413" s="2">
        <v>-16</v>
      </c>
      <c r="H413" s="2">
        <f>AVERAGE(weather.tbl[[#This Row],[Estevan]:[Kipling]])</f>
        <v>-14.85</v>
      </c>
      <c r="I413" s="2">
        <f>_xlfn.STDEV.S(weather.tbl[[#This Row],[Estevan]:[Kipling]])</f>
        <v>1.098635517357782</v>
      </c>
      <c r="J413" s="2">
        <f t="shared" si="6"/>
        <v>-15.692857142857145</v>
      </c>
      <c r="K413">
        <f>DAY(weather.tbl[[#This Row],[Date]])</f>
        <v>16</v>
      </c>
      <c r="L413">
        <f>MONTH(weather.tbl[[#This Row],[Date]])</f>
        <v>2</v>
      </c>
      <c r="M413">
        <f>YEAR(weather.tbl[[#This Row],[Date]])</f>
        <v>2015</v>
      </c>
    </row>
    <row r="414" spans="1:13" x14ac:dyDescent="0.25">
      <c r="A414" s="1">
        <v>42052</v>
      </c>
      <c r="B414" s="2">
        <v>-21.9</v>
      </c>
      <c r="C414" s="2">
        <v>-22.1</v>
      </c>
      <c r="D414" s="2">
        <v>-21.8</v>
      </c>
      <c r="E414" s="2">
        <v>-20.5</v>
      </c>
      <c r="F414" s="2">
        <v>-22.6</v>
      </c>
      <c r="G414" s="2">
        <v>-22</v>
      </c>
      <c r="H414" s="2">
        <f>AVERAGE(weather.tbl[[#This Row],[Estevan]:[Kipling]])</f>
        <v>-21.816666666666666</v>
      </c>
      <c r="I414" s="2">
        <f>_xlfn.STDEV.S(weather.tbl[[#This Row],[Estevan]:[Kipling]])</f>
        <v>0.70261416628663786</v>
      </c>
      <c r="J414" s="2">
        <f t="shared" si="6"/>
        <v>-16.892857142857142</v>
      </c>
      <c r="K414">
        <f>DAY(weather.tbl[[#This Row],[Date]])</f>
        <v>17</v>
      </c>
      <c r="L414">
        <f>MONTH(weather.tbl[[#This Row],[Date]])</f>
        <v>2</v>
      </c>
      <c r="M414">
        <f>YEAR(weather.tbl[[#This Row],[Date]])</f>
        <v>2015</v>
      </c>
    </row>
    <row r="415" spans="1:13" x14ac:dyDescent="0.25">
      <c r="A415" s="1">
        <v>42053</v>
      </c>
      <c r="B415" s="2">
        <v>-22.4</v>
      </c>
      <c r="C415" s="2">
        <v>-22.3</v>
      </c>
      <c r="D415" s="2">
        <v>-22.3</v>
      </c>
      <c r="E415" s="2">
        <v>-19</v>
      </c>
      <c r="F415" s="2">
        <v>-23.4</v>
      </c>
      <c r="G415" s="2">
        <v>-20</v>
      </c>
      <c r="H415" s="2">
        <f>AVERAGE(weather.tbl[[#This Row],[Estevan]:[Kipling]])</f>
        <v>-21.566666666666666</v>
      </c>
      <c r="I415" s="2">
        <f>_xlfn.STDEV.S(weather.tbl[[#This Row],[Estevan]:[Kipling]])</f>
        <v>1.6836468354933185</v>
      </c>
      <c r="J415" s="2">
        <f t="shared" si="6"/>
        <v>-16.916666666666664</v>
      </c>
      <c r="K415">
        <f>DAY(weather.tbl[[#This Row],[Date]])</f>
        <v>18</v>
      </c>
      <c r="L415">
        <f>MONTH(weather.tbl[[#This Row],[Date]])</f>
        <v>2</v>
      </c>
      <c r="M415">
        <f>YEAR(weather.tbl[[#This Row],[Date]])</f>
        <v>2015</v>
      </c>
    </row>
    <row r="416" spans="1:13" x14ac:dyDescent="0.25">
      <c r="A416" s="1">
        <v>42054</v>
      </c>
      <c r="B416" s="2">
        <v>-8.1</v>
      </c>
      <c r="C416" s="2">
        <v>-7</v>
      </c>
      <c r="D416" s="2">
        <v>-15.3</v>
      </c>
      <c r="E416" s="2">
        <v>-8</v>
      </c>
      <c r="F416" s="2">
        <v>-16.3</v>
      </c>
      <c r="G416" s="2">
        <v>-12.9</v>
      </c>
      <c r="H416" s="2">
        <f>AVERAGE(weather.tbl[[#This Row],[Estevan]:[Kipling]])</f>
        <v>-11.266666666666667</v>
      </c>
      <c r="I416" s="2">
        <f>_xlfn.STDEV.S(weather.tbl[[#This Row],[Estevan]:[Kipling]])</f>
        <v>4.078561838033921</v>
      </c>
      <c r="J416" s="2">
        <f t="shared" si="6"/>
        <v>-16.135714285714283</v>
      </c>
      <c r="K416">
        <f>DAY(weather.tbl[[#This Row],[Date]])</f>
        <v>19</v>
      </c>
      <c r="L416">
        <f>MONTH(weather.tbl[[#This Row],[Date]])</f>
        <v>2</v>
      </c>
      <c r="M416">
        <f>YEAR(weather.tbl[[#This Row],[Date]])</f>
        <v>2015</v>
      </c>
    </row>
    <row r="417" spans="1:13" x14ac:dyDescent="0.25">
      <c r="A417" s="1">
        <v>42055</v>
      </c>
      <c r="B417" s="2">
        <v>-5.7</v>
      </c>
      <c r="C417" s="2">
        <v>-6.7</v>
      </c>
      <c r="D417" s="2">
        <v>-6.8</v>
      </c>
      <c r="E417" s="2">
        <v>-5.3</v>
      </c>
      <c r="F417" s="2">
        <v>-9.1</v>
      </c>
      <c r="G417" s="2">
        <v>-9</v>
      </c>
      <c r="H417" s="2">
        <f>AVERAGE(weather.tbl[[#This Row],[Estevan]:[Kipling]])</f>
        <v>-7.1000000000000005</v>
      </c>
      <c r="I417" s="2">
        <f>_xlfn.STDEV.S(weather.tbl[[#This Row],[Estevan]:[Kipling]])</f>
        <v>1.6161683080669504</v>
      </c>
      <c r="J417" s="2">
        <f t="shared" si="6"/>
        <v>-15.740476190476189</v>
      </c>
      <c r="K417">
        <f>DAY(weather.tbl[[#This Row],[Date]])</f>
        <v>20</v>
      </c>
      <c r="L417">
        <f>MONTH(weather.tbl[[#This Row],[Date]])</f>
        <v>2</v>
      </c>
      <c r="M417">
        <f>YEAR(weather.tbl[[#This Row],[Date]])</f>
        <v>2015</v>
      </c>
    </row>
    <row r="418" spans="1:13" x14ac:dyDescent="0.25">
      <c r="A418" s="1">
        <v>42056</v>
      </c>
      <c r="B418" s="2">
        <v>-20.6</v>
      </c>
      <c r="C418" s="2">
        <v>-21.8</v>
      </c>
      <c r="D418" s="2">
        <v>-20</v>
      </c>
      <c r="E418" s="2">
        <v>-21.3</v>
      </c>
      <c r="F418" s="2">
        <v>-22.3</v>
      </c>
      <c r="G418" s="2">
        <v>-23</v>
      </c>
      <c r="H418" s="2">
        <f>AVERAGE(weather.tbl[[#This Row],[Estevan]:[Kipling]])</f>
        <v>-21.5</v>
      </c>
      <c r="I418" s="2">
        <f>_xlfn.STDEV.S(weather.tbl[[#This Row],[Estevan]:[Kipling]])</f>
        <v>1.1027239001672176</v>
      </c>
      <c r="J418" s="2">
        <f t="shared" si="6"/>
        <v>-15.964285714285712</v>
      </c>
      <c r="K418">
        <f>DAY(weather.tbl[[#This Row],[Date]])</f>
        <v>21</v>
      </c>
      <c r="L418">
        <f>MONTH(weather.tbl[[#This Row],[Date]])</f>
        <v>2</v>
      </c>
      <c r="M418">
        <f>YEAR(weather.tbl[[#This Row],[Date]])</f>
        <v>2015</v>
      </c>
    </row>
    <row r="419" spans="1:13" x14ac:dyDescent="0.25">
      <c r="A419" s="1">
        <v>42057</v>
      </c>
      <c r="B419" s="2">
        <v>-27</v>
      </c>
      <c r="C419" s="2">
        <v>-25.9</v>
      </c>
      <c r="D419" s="2">
        <v>-23.5</v>
      </c>
      <c r="E419" s="2">
        <v>-19.5</v>
      </c>
      <c r="F419" s="2">
        <v>-27.5</v>
      </c>
      <c r="G419" s="2">
        <v>-22.5</v>
      </c>
      <c r="H419" s="2">
        <f>AVERAGE(weather.tbl[[#This Row],[Estevan]:[Kipling]])</f>
        <v>-24.316666666666666</v>
      </c>
      <c r="I419" s="2">
        <f>_xlfn.STDEV.S(weather.tbl[[#This Row],[Estevan]:[Kipling]])</f>
        <v>3.066213734667993</v>
      </c>
      <c r="J419" s="2">
        <f t="shared" si="6"/>
        <v>-17.488095238095237</v>
      </c>
      <c r="K419">
        <f>DAY(weather.tbl[[#This Row],[Date]])</f>
        <v>22</v>
      </c>
      <c r="L419">
        <f>MONTH(weather.tbl[[#This Row],[Date]])</f>
        <v>2</v>
      </c>
      <c r="M419">
        <f>YEAR(weather.tbl[[#This Row],[Date]])</f>
        <v>2015</v>
      </c>
    </row>
    <row r="420" spans="1:13" x14ac:dyDescent="0.25">
      <c r="A420" s="1">
        <v>42058</v>
      </c>
      <c r="B420" s="2">
        <v>-10.5</v>
      </c>
      <c r="C420" s="2">
        <v>-13.2</v>
      </c>
      <c r="D420" s="2">
        <v>-16.3</v>
      </c>
      <c r="E420" s="2">
        <v>-12.5</v>
      </c>
      <c r="F420" s="2">
        <v>-14.3</v>
      </c>
      <c r="G420" s="2">
        <v>-13.1</v>
      </c>
      <c r="H420" s="2">
        <f>AVERAGE(weather.tbl[[#This Row],[Estevan]:[Kipling]])</f>
        <v>-13.316666666666665</v>
      </c>
      <c r="I420" s="2">
        <f>_xlfn.STDEV.S(weather.tbl[[#This Row],[Estevan]:[Kipling]])</f>
        <v>1.9250108224804166</v>
      </c>
      <c r="J420" s="2">
        <f t="shared" si="6"/>
        <v>-17.269047619047619</v>
      </c>
      <c r="K420">
        <f>DAY(weather.tbl[[#This Row],[Date]])</f>
        <v>23</v>
      </c>
      <c r="L420">
        <f>MONTH(weather.tbl[[#This Row],[Date]])</f>
        <v>2</v>
      </c>
      <c r="M420">
        <f>YEAR(weather.tbl[[#This Row],[Date]])</f>
        <v>2015</v>
      </c>
    </row>
    <row r="421" spans="1:13" x14ac:dyDescent="0.25">
      <c r="A421" s="1">
        <v>42059</v>
      </c>
      <c r="B421" s="2">
        <v>-7.1</v>
      </c>
      <c r="C421" s="2">
        <v>-7.2</v>
      </c>
      <c r="D421" s="2">
        <v>-9.3000000000000007</v>
      </c>
      <c r="E421" s="2">
        <v>-6.8</v>
      </c>
      <c r="F421" s="2">
        <v>-7.1</v>
      </c>
      <c r="G421" s="2">
        <v>-10.9</v>
      </c>
      <c r="H421" s="2">
        <f>AVERAGE(weather.tbl[[#This Row],[Estevan]:[Kipling]])</f>
        <v>-8.0666666666666664</v>
      </c>
      <c r="I421" s="2">
        <f>_xlfn.STDEV.S(weather.tbl[[#This Row],[Estevan]:[Kipling]])</f>
        <v>1.6597188516934616</v>
      </c>
      <c r="J421" s="2">
        <f t="shared" si="6"/>
        <v>-15.304761904761904</v>
      </c>
      <c r="K421">
        <f>DAY(weather.tbl[[#This Row],[Date]])</f>
        <v>24</v>
      </c>
      <c r="L421">
        <f>MONTH(weather.tbl[[#This Row],[Date]])</f>
        <v>2</v>
      </c>
      <c r="M421">
        <f>YEAR(weather.tbl[[#This Row],[Date]])</f>
        <v>2015</v>
      </c>
    </row>
    <row r="422" spans="1:13" x14ac:dyDescent="0.25">
      <c r="A422" s="1">
        <v>42060</v>
      </c>
      <c r="B422" s="2">
        <v>-18.899999999999999</v>
      </c>
      <c r="C422" s="2">
        <v>-19.600000000000001</v>
      </c>
      <c r="D422" s="2">
        <v>-17.3</v>
      </c>
      <c r="E422" s="2">
        <v>-18</v>
      </c>
      <c r="F422" s="2">
        <v>-18.5</v>
      </c>
      <c r="G422" s="2">
        <v>-19.600000000000001</v>
      </c>
      <c r="H422" s="2">
        <f>AVERAGE(weather.tbl[[#This Row],[Estevan]:[Kipling]])</f>
        <v>-18.650000000000002</v>
      </c>
      <c r="I422" s="2">
        <f>_xlfn.STDEV.S(weather.tbl[[#This Row],[Estevan]:[Kipling]])</f>
        <v>0.90939540355117288</v>
      </c>
      <c r="J422" s="2">
        <f t="shared" si="6"/>
        <v>-14.888095238095238</v>
      </c>
      <c r="K422">
        <f>DAY(weather.tbl[[#This Row],[Date]])</f>
        <v>25</v>
      </c>
      <c r="L422">
        <f>MONTH(weather.tbl[[#This Row],[Date]])</f>
        <v>2</v>
      </c>
      <c r="M422">
        <f>YEAR(weather.tbl[[#This Row],[Date]])</f>
        <v>2015</v>
      </c>
    </row>
    <row r="423" spans="1:13" x14ac:dyDescent="0.25">
      <c r="A423" s="1">
        <v>42061</v>
      </c>
      <c r="B423" s="2">
        <v>-23.7</v>
      </c>
      <c r="C423" s="2">
        <v>-25</v>
      </c>
      <c r="D423" s="2">
        <v>-23</v>
      </c>
      <c r="E423" s="2">
        <v>-23</v>
      </c>
      <c r="F423" s="2">
        <v>-20.9</v>
      </c>
      <c r="G423" s="2">
        <v>-21.9</v>
      </c>
      <c r="H423" s="2">
        <f>AVERAGE(weather.tbl[[#This Row],[Estevan]:[Kipling]])</f>
        <v>-22.916666666666668</v>
      </c>
      <c r="I423" s="2">
        <f>_xlfn.STDEV.S(weather.tbl[[#This Row],[Estevan]:[Kipling]])</f>
        <v>1.419037232304589</v>
      </c>
      <c r="J423" s="2">
        <f t="shared" si="6"/>
        <v>-16.552380952380954</v>
      </c>
      <c r="K423">
        <f>DAY(weather.tbl[[#This Row],[Date]])</f>
        <v>26</v>
      </c>
      <c r="L423">
        <f>MONTH(weather.tbl[[#This Row],[Date]])</f>
        <v>2</v>
      </c>
      <c r="M423">
        <f>YEAR(weather.tbl[[#This Row],[Date]])</f>
        <v>2015</v>
      </c>
    </row>
    <row r="424" spans="1:13" x14ac:dyDescent="0.25">
      <c r="A424" s="1">
        <v>42062</v>
      </c>
      <c r="B424" s="2">
        <v>-18.3</v>
      </c>
      <c r="C424" s="2">
        <v>-20.100000000000001</v>
      </c>
      <c r="D424" s="2">
        <v>-21.3</v>
      </c>
      <c r="E424" s="2">
        <v>-19.8</v>
      </c>
      <c r="F424" s="2">
        <v>-21.1</v>
      </c>
      <c r="G424" s="2">
        <v>-18.8</v>
      </c>
      <c r="H424" s="2">
        <f>AVERAGE(weather.tbl[[#This Row],[Estevan]:[Kipling]])</f>
        <v>-19.899999999999999</v>
      </c>
      <c r="I424" s="2">
        <f>_xlfn.STDEV.S(weather.tbl[[#This Row],[Estevan]:[Kipling]])</f>
        <v>1.2016655108639842</v>
      </c>
      <c r="J424" s="2">
        <f t="shared" si="6"/>
        <v>-18.38095238095238</v>
      </c>
      <c r="K424">
        <f>DAY(weather.tbl[[#This Row],[Date]])</f>
        <v>27</v>
      </c>
      <c r="L424">
        <f>MONTH(weather.tbl[[#This Row],[Date]])</f>
        <v>2</v>
      </c>
      <c r="M424">
        <f>YEAR(weather.tbl[[#This Row],[Date]])</f>
        <v>2015</v>
      </c>
    </row>
    <row r="425" spans="1:13" x14ac:dyDescent="0.25">
      <c r="A425" s="1">
        <v>42063</v>
      </c>
      <c r="B425" s="2">
        <v>-18</v>
      </c>
      <c r="C425" s="2">
        <v>-19.100000000000001</v>
      </c>
      <c r="D425" s="2">
        <v>-18.5</v>
      </c>
      <c r="E425" s="2">
        <v>-17.5</v>
      </c>
      <c r="F425" s="2">
        <v>-15.5</v>
      </c>
      <c r="G425" s="2">
        <v>-18.8</v>
      </c>
      <c r="H425" s="2">
        <f>AVERAGE(weather.tbl[[#This Row],[Estevan]:[Kipling]])</f>
        <v>-17.899999999999999</v>
      </c>
      <c r="I425" s="2">
        <f>_xlfn.STDEV.S(weather.tbl[[#This Row],[Estevan]:[Kipling]])</f>
        <v>1.3069047402163636</v>
      </c>
      <c r="J425" s="2">
        <f t="shared" si="6"/>
        <v>-17.866666666666671</v>
      </c>
      <c r="K425">
        <f>DAY(weather.tbl[[#This Row],[Date]])</f>
        <v>28</v>
      </c>
      <c r="L425">
        <f>MONTH(weather.tbl[[#This Row],[Date]])</f>
        <v>2</v>
      </c>
      <c r="M425">
        <f>YEAR(weather.tbl[[#This Row],[Date]])</f>
        <v>2015</v>
      </c>
    </row>
    <row r="426" spans="1:13" x14ac:dyDescent="0.25">
      <c r="A426" s="1">
        <v>42064</v>
      </c>
      <c r="B426" s="2">
        <v>-12.8</v>
      </c>
      <c r="C426" s="2">
        <v>-13.6</v>
      </c>
      <c r="D426" s="2">
        <v>-12.5</v>
      </c>
      <c r="E426" s="2">
        <v>-13.3</v>
      </c>
      <c r="F426" s="2">
        <v>-12.9</v>
      </c>
      <c r="G426" s="2">
        <v>-12.4</v>
      </c>
      <c r="H426" s="2">
        <f>AVERAGE(weather.tbl[[#This Row],[Estevan]:[Kipling]])</f>
        <v>-12.91666666666667</v>
      </c>
      <c r="I426" s="2">
        <f>_xlfn.STDEV.S(weather.tbl[[#This Row],[Estevan]:[Kipling]])</f>
        <v>0.46224091842530179</v>
      </c>
      <c r="J426" s="2">
        <f t="shared" si="6"/>
        <v>-16.238095238095237</v>
      </c>
      <c r="K426">
        <f>DAY(weather.tbl[[#This Row],[Date]])</f>
        <v>1</v>
      </c>
      <c r="L426">
        <f>MONTH(weather.tbl[[#This Row],[Date]])</f>
        <v>3</v>
      </c>
      <c r="M426">
        <f>YEAR(weather.tbl[[#This Row],[Date]])</f>
        <v>2015</v>
      </c>
    </row>
    <row r="427" spans="1:13" x14ac:dyDescent="0.25">
      <c r="A427" s="1">
        <v>42065</v>
      </c>
      <c r="B427" s="2">
        <v>-10.7</v>
      </c>
      <c r="C427" s="2">
        <v>-11.3</v>
      </c>
      <c r="D427" s="2">
        <v>-11.5</v>
      </c>
      <c r="E427" s="2">
        <v>-11.5</v>
      </c>
      <c r="F427" s="2">
        <v>-11.4</v>
      </c>
      <c r="G427" s="2">
        <v>-11.4</v>
      </c>
      <c r="H427" s="2">
        <f>AVERAGE(weather.tbl[[#This Row],[Estevan]:[Kipling]])</f>
        <v>-11.299999999999999</v>
      </c>
      <c r="I427" s="2">
        <f>_xlfn.STDEV.S(weather.tbl[[#This Row],[Estevan]:[Kipling]])</f>
        <v>0.30331501776206238</v>
      </c>
      <c r="J427" s="2">
        <f t="shared" si="6"/>
        <v>-15.950000000000001</v>
      </c>
      <c r="K427">
        <f>DAY(weather.tbl[[#This Row],[Date]])</f>
        <v>2</v>
      </c>
      <c r="L427">
        <f>MONTH(weather.tbl[[#This Row],[Date]])</f>
        <v>3</v>
      </c>
      <c r="M427">
        <f>YEAR(weather.tbl[[#This Row],[Date]])</f>
        <v>2015</v>
      </c>
    </row>
    <row r="428" spans="1:13" x14ac:dyDescent="0.25">
      <c r="A428" s="1">
        <v>42066</v>
      </c>
      <c r="B428" s="2">
        <v>-18.600000000000001</v>
      </c>
      <c r="C428" s="2">
        <v>-20.2</v>
      </c>
      <c r="D428" s="2">
        <v>-18.3</v>
      </c>
      <c r="E428" s="2">
        <v>-18.5</v>
      </c>
      <c r="F428" s="2">
        <v>-16.3</v>
      </c>
      <c r="G428" s="2">
        <v>-20.3</v>
      </c>
      <c r="H428" s="2">
        <f>AVERAGE(weather.tbl[[#This Row],[Estevan]:[Kipling]])</f>
        <v>-18.7</v>
      </c>
      <c r="I428" s="2">
        <f>_xlfn.STDEV.S(weather.tbl[[#This Row],[Estevan]:[Kipling]])</f>
        <v>1.4683323874382119</v>
      </c>
      <c r="J428" s="2">
        <f t="shared" si="6"/>
        <v>-17.469047619047622</v>
      </c>
      <c r="K428">
        <f>DAY(weather.tbl[[#This Row],[Date]])</f>
        <v>3</v>
      </c>
      <c r="L428">
        <f>MONTH(weather.tbl[[#This Row],[Date]])</f>
        <v>3</v>
      </c>
      <c r="M428">
        <f>YEAR(weather.tbl[[#This Row],[Date]])</f>
        <v>2015</v>
      </c>
    </row>
    <row r="429" spans="1:13" x14ac:dyDescent="0.25">
      <c r="A429" s="1">
        <v>42067</v>
      </c>
      <c r="B429" s="2">
        <v>-24.6</v>
      </c>
      <c r="C429" s="2">
        <v>-25.6</v>
      </c>
      <c r="D429" s="2">
        <v>-23.3</v>
      </c>
      <c r="E429" s="2">
        <v>-25.3</v>
      </c>
      <c r="F429" s="2">
        <v>-22.6</v>
      </c>
      <c r="G429" s="2">
        <v>-23.9</v>
      </c>
      <c r="H429" s="2">
        <f>AVERAGE(weather.tbl[[#This Row],[Estevan]:[Kipling]])</f>
        <v>-24.216666666666669</v>
      </c>
      <c r="I429" s="2">
        <f>_xlfn.STDEV.S(weather.tbl[[#This Row],[Estevan]:[Kipling]])</f>
        <v>1.16518954109049</v>
      </c>
      <c r="J429" s="2">
        <f t="shared" si="6"/>
        <v>-18.264285714285712</v>
      </c>
      <c r="K429">
        <f>DAY(weather.tbl[[#This Row],[Date]])</f>
        <v>4</v>
      </c>
      <c r="L429">
        <f>MONTH(weather.tbl[[#This Row],[Date]])</f>
        <v>3</v>
      </c>
      <c r="M429">
        <f>YEAR(weather.tbl[[#This Row],[Date]])</f>
        <v>2015</v>
      </c>
    </row>
    <row r="430" spans="1:13" x14ac:dyDescent="0.25">
      <c r="A430" s="1">
        <v>42068</v>
      </c>
      <c r="B430" s="2">
        <v>-13.5</v>
      </c>
      <c r="C430" s="2">
        <v>-12.6</v>
      </c>
      <c r="D430" s="2">
        <v>-17.5</v>
      </c>
      <c r="E430" s="2">
        <v>-13.5</v>
      </c>
      <c r="F430" s="2">
        <v>-16.100000000000001</v>
      </c>
      <c r="G430" s="2">
        <v>-15.9</v>
      </c>
      <c r="H430" s="2">
        <f>AVERAGE(weather.tbl[[#This Row],[Estevan]:[Kipling]])</f>
        <v>-14.850000000000001</v>
      </c>
      <c r="I430" s="2">
        <f>_xlfn.STDEV.S(weather.tbl[[#This Row],[Estevan]:[Kipling]])</f>
        <v>1.9180719485983708</v>
      </c>
      <c r="J430" s="2">
        <f t="shared" si="6"/>
        <v>-17.111904761904761</v>
      </c>
      <c r="K430">
        <f>DAY(weather.tbl[[#This Row],[Date]])</f>
        <v>5</v>
      </c>
      <c r="L430">
        <f>MONTH(weather.tbl[[#This Row],[Date]])</f>
        <v>3</v>
      </c>
      <c r="M430">
        <f>YEAR(weather.tbl[[#This Row],[Date]])</f>
        <v>2015</v>
      </c>
    </row>
    <row r="431" spans="1:13" x14ac:dyDescent="0.25">
      <c r="A431" s="1">
        <v>42069</v>
      </c>
      <c r="B431" s="2">
        <v>-4.8</v>
      </c>
      <c r="C431" s="2">
        <v>-5.8</v>
      </c>
      <c r="D431" s="2">
        <v>-4.5</v>
      </c>
      <c r="E431" s="2">
        <v>-4.3</v>
      </c>
      <c r="F431" s="2">
        <v>-5.3</v>
      </c>
      <c r="G431" s="2">
        <v>-6</v>
      </c>
      <c r="H431" s="2">
        <f>AVERAGE(weather.tbl[[#This Row],[Estevan]:[Kipling]])</f>
        <v>-5.1166666666666663</v>
      </c>
      <c r="I431" s="2">
        <f>_xlfn.STDEV.S(weather.tbl[[#This Row],[Estevan]:[Kipling]])</f>
        <v>0.69689788826388521</v>
      </c>
      <c r="J431" s="2">
        <f t="shared" si="6"/>
        <v>-14.999999999999998</v>
      </c>
      <c r="K431">
        <f>DAY(weather.tbl[[#This Row],[Date]])</f>
        <v>6</v>
      </c>
      <c r="L431">
        <f>MONTH(weather.tbl[[#This Row],[Date]])</f>
        <v>3</v>
      </c>
      <c r="M431">
        <f>YEAR(weather.tbl[[#This Row],[Date]])</f>
        <v>2015</v>
      </c>
    </row>
    <row r="432" spans="1:13" x14ac:dyDescent="0.25">
      <c r="A432" s="1">
        <v>42070</v>
      </c>
      <c r="B432" s="2">
        <v>-2</v>
      </c>
      <c r="C432" s="2">
        <v>-4.4000000000000004</v>
      </c>
      <c r="D432" s="2">
        <v>-2.5</v>
      </c>
      <c r="E432" s="2">
        <v>-2</v>
      </c>
      <c r="F432" s="2">
        <v>-3</v>
      </c>
      <c r="G432" s="2">
        <v>-3.5</v>
      </c>
      <c r="H432" s="2">
        <f>AVERAGE(weather.tbl[[#This Row],[Estevan]:[Kipling]])</f>
        <v>-2.9</v>
      </c>
      <c r="I432" s="2">
        <f>_xlfn.STDEV.S(weather.tbl[[#This Row],[Estevan]:[Kipling]])</f>
        <v>0.93808315196468728</v>
      </c>
      <c r="J432" s="2">
        <f t="shared" si="6"/>
        <v>-12.857142857142859</v>
      </c>
      <c r="K432">
        <f>DAY(weather.tbl[[#This Row],[Date]])</f>
        <v>7</v>
      </c>
      <c r="L432">
        <f>MONTH(weather.tbl[[#This Row],[Date]])</f>
        <v>3</v>
      </c>
      <c r="M432">
        <f>YEAR(weather.tbl[[#This Row],[Date]])</f>
        <v>2015</v>
      </c>
    </row>
    <row r="433" spans="1:13" x14ac:dyDescent="0.25">
      <c r="A433" s="1">
        <v>42071</v>
      </c>
      <c r="B433" s="2">
        <v>0.6</v>
      </c>
      <c r="C433" s="2">
        <v>-0.5</v>
      </c>
      <c r="D433" s="2">
        <v>-1</v>
      </c>
      <c r="E433" s="2">
        <v>-0.8</v>
      </c>
      <c r="F433" s="2">
        <v>-1.4</v>
      </c>
      <c r="G433" s="2">
        <v>-3</v>
      </c>
      <c r="H433" s="2">
        <f>AVERAGE(weather.tbl[[#This Row],[Estevan]:[Kipling]])</f>
        <v>-1.0166666666666666</v>
      </c>
      <c r="I433" s="2">
        <f>_xlfn.STDEV.S(weather.tbl[[#This Row],[Estevan]:[Kipling]])</f>
        <v>1.183920042345203</v>
      </c>
      <c r="J433" s="2">
        <f t="shared" si="6"/>
        <v>-11.157142857142857</v>
      </c>
      <c r="K433">
        <f>DAY(weather.tbl[[#This Row],[Date]])</f>
        <v>8</v>
      </c>
      <c r="L433">
        <f>MONTH(weather.tbl[[#This Row],[Date]])</f>
        <v>3</v>
      </c>
      <c r="M433">
        <f>YEAR(weather.tbl[[#This Row],[Date]])</f>
        <v>2015</v>
      </c>
    </row>
    <row r="434" spans="1:13" x14ac:dyDescent="0.25">
      <c r="A434" s="1">
        <v>42072</v>
      </c>
      <c r="B434" s="2">
        <v>4.0999999999999996</v>
      </c>
      <c r="C434" s="2">
        <v>1.1000000000000001</v>
      </c>
      <c r="D434" s="2">
        <v>1.8</v>
      </c>
      <c r="E434" s="2">
        <v>2</v>
      </c>
      <c r="F434" s="2">
        <v>-0.6</v>
      </c>
      <c r="G434" s="2">
        <v>0.2</v>
      </c>
      <c r="H434" s="2">
        <f>AVERAGE(weather.tbl[[#This Row],[Estevan]:[Kipling]])</f>
        <v>1.4333333333333333</v>
      </c>
      <c r="I434" s="2">
        <f>_xlfn.STDEV.S(weather.tbl[[#This Row],[Estevan]:[Kipling]])</f>
        <v>1.6329931618554518</v>
      </c>
      <c r="J434" s="2">
        <f t="shared" si="6"/>
        <v>-9.3380952380952387</v>
      </c>
      <c r="K434">
        <f>DAY(weather.tbl[[#This Row],[Date]])</f>
        <v>9</v>
      </c>
      <c r="L434">
        <f>MONTH(weather.tbl[[#This Row],[Date]])</f>
        <v>3</v>
      </c>
      <c r="M434">
        <f>YEAR(weather.tbl[[#This Row],[Date]])</f>
        <v>2015</v>
      </c>
    </row>
    <row r="435" spans="1:13" x14ac:dyDescent="0.25">
      <c r="A435" s="1">
        <v>42073</v>
      </c>
      <c r="B435" s="2">
        <v>4.4000000000000004</v>
      </c>
      <c r="C435" s="2">
        <v>3.2</v>
      </c>
      <c r="D435" s="2">
        <v>3.3</v>
      </c>
      <c r="E435" s="2">
        <v>3.5</v>
      </c>
      <c r="F435" s="2">
        <v>3.3</v>
      </c>
      <c r="G435" s="2">
        <v>1.4</v>
      </c>
      <c r="H435" s="2">
        <f>AVERAGE(weather.tbl[[#This Row],[Estevan]:[Kipling]])</f>
        <v>3.1833333333333331</v>
      </c>
      <c r="I435" s="2">
        <f>_xlfn.STDEV.S(weather.tbl[[#This Row],[Estevan]:[Kipling]])</f>
        <v>0.97860444852180684</v>
      </c>
      <c r="J435" s="2">
        <f t="shared" si="6"/>
        <v>-6.2119047619047629</v>
      </c>
      <c r="K435">
        <f>DAY(weather.tbl[[#This Row],[Date]])</f>
        <v>10</v>
      </c>
      <c r="L435">
        <f>MONTH(weather.tbl[[#This Row],[Date]])</f>
        <v>3</v>
      </c>
      <c r="M435">
        <f>YEAR(weather.tbl[[#This Row],[Date]])</f>
        <v>2015</v>
      </c>
    </row>
    <row r="436" spans="1:13" x14ac:dyDescent="0.25">
      <c r="A436" s="1">
        <v>42074</v>
      </c>
      <c r="B436" s="2">
        <v>3.5</v>
      </c>
      <c r="C436" s="2">
        <v>1.8</v>
      </c>
      <c r="D436" s="2">
        <v>3</v>
      </c>
      <c r="E436" s="2">
        <v>2</v>
      </c>
      <c r="F436" s="2">
        <v>3.9</v>
      </c>
      <c r="G436" s="2">
        <v>0.4</v>
      </c>
      <c r="H436" s="2">
        <f>AVERAGE(weather.tbl[[#This Row],[Estevan]:[Kipling]])</f>
        <v>2.4333333333333336</v>
      </c>
      <c r="I436" s="2">
        <f>_xlfn.STDEV.S(weather.tbl[[#This Row],[Estevan]:[Kipling]])</f>
        <v>1.2909944487358047</v>
      </c>
      <c r="J436" s="2">
        <f t="shared" si="6"/>
        <v>-2.4047619047619047</v>
      </c>
      <c r="K436">
        <f>DAY(weather.tbl[[#This Row],[Date]])</f>
        <v>11</v>
      </c>
      <c r="L436">
        <f>MONTH(weather.tbl[[#This Row],[Date]])</f>
        <v>3</v>
      </c>
      <c r="M436">
        <f>YEAR(weather.tbl[[#This Row],[Date]])</f>
        <v>2015</v>
      </c>
    </row>
    <row r="437" spans="1:13" x14ac:dyDescent="0.25">
      <c r="A437" s="1">
        <v>42075</v>
      </c>
      <c r="B437" s="2">
        <v>4.5</v>
      </c>
      <c r="C437" s="2">
        <v>2.5</v>
      </c>
      <c r="D437" s="2">
        <v>4</v>
      </c>
      <c r="E437" s="2">
        <v>2.5</v>
      </c>
      <c r="F437" s="2">
        <v>2.9</v>
      </c>
      <c r="G437" s="2">
        <v>2.6</v>
      </c>
      <c r="H437" s="2">
        <f>AVERAGE(weather.tbl[[#This Row],[Estevan]:[Kipling]])</f>
        <v>3.1666666666666665</v>
      </c>
      <c r="I437" s="2">
        <f>_xlfn.STDEV.S(weather.tbl[[#This Row],[Estevan]:[Kipling]])</f>
        <v>0.86641021846851851</v>
      </c>
      <c r="J437" s="2">
        <f t="shared" si="6"/>
        <v>0.16904761904761939</v>
      </c>
      <c r="K437">
        <f>DAY(weather.tbl[[#This Row],[Date]])</f>
        <v>12</v>
      </c>
      <c r="L437">
        <f>MONTH(weather.tbl[[#This Row],[Date]])</f>
        <v>3</v>
      </c>
      <c r="M437">
        <f>YEAR(weather.tbl[[#This Row],[Date]])</f>
        <v>2015</v>
      </c>
    </row>
    <row r="438" spans="1:13" x14ac:dyDescent="0.25">
      <c r="A438" s="1">
        <v>42076</v>
      </c>
      <c r="B438" s="2">
        <v>6.7</v>
      </c>
      <c r="C438" s="2">
        <v>5.8</v>
      </c>
      <c r="D438" s="2">
        <v>4.8</v>
      </c>
      <c r="E438" s="2">
        <v>6</v>
      </c>
      <c r="F438" s="2">
        <v>4.9000000000000004</v>
      </c>
      <c r="G438" s="2">
        <v>2.2999999999999998</v>
      </c>
      <c r="H438" s="2">
        <f>AVERAGE(weather.tbl[[#This Row],[Estevan]:[Kipling]])</f>
        <v>5.0833333333333339</v>
      </c>
      <c r="I438" s="2">
        <f>_xlfn.STDEV.S(weather.tbl[[#This Row],[Estevan]:[Kipling]])</f>
        <v>1.5380723866797208</v>
      </c>
      <c r="J438" s="2">
        <f t="shared" si="6"/>
        <v>1.6261904761904762</v>
      </c>
      <c r="K438">
        <f>DAY(weather.tbl[[#This Row],[Date]])</f>
        <v>13</v>
      </c>
      <c r="L438">
        <f>MONTH(weather.tbl[[#This Row],[Date]])</f>
        <v>3</v>
      </c>
      <c r="M438">
        <f>YEAR(weather.tbl[[#This Row],[Date]])</f>
        <v>2015</v>
      </c>
    </row>
    <row r="439" spans="1:13" x14ac:dyDescent="0.25">
      <c r="A439" s="1">
        <v>42077</v>
      </c>
      <c r="B439" s="2">
        <v>8.1999999999999993</v>
      </c>
      <c r="C439" s="2">
        <v>7.2</v>
      </c>
      <c r="D439" s="2">
        <v>6.5</v>
      </c>
      <c r="E439" s="2">
        <v>7</v>
      </c>
      <c r="F439" s="2">
        <v>6.7</v>
      </c>
      <c r="G439" s="2">
        <v>5.5</v>
      </c>
      <c r="H439" s="2">
        <f>AVERAGE(weather.tbl[[#This Row],[Estevan]:[Kipling]])</f>
        <v>6.8500000000000005</v>
      </c>
      <c r="I439" s="2">
        <f>_xlfn.STDEV.S(weather.tbl[[#This Row],[Estevan]:[Kipling]])</f>
        <v>0.88713020464866887</v>
      </c>
      <c r="J439" s="2">
        <f t="shared" si="6"/>
        <v>3.019047619047619</v>
      </c>
      <c r="K439">
        <f>DAY(weather.tbl[[#This Row],[Date]])</f>
        <v>14</v>
      </c>
      <c r="L439">
        <f>MONTH(weather.tbl[[#This Row],[Date]])</f>
        <v>3</v>
      </c>
      <c r="M439">
        <f>YEAR(weather.tbl[[#This Row],[Date]])</f>
        <v>2015</v>
      </c>
    </row>
    <row r="440" spans="1:13" x14ac:dyDescent="0.25">
      <c r="A440" s="1">
        <v>42078</v>
      </c>
      <c r="B440" s="2">
        <v>7.2</v>
      </c>
      <c r="C440" s="2">
        <v>6.8</v>
      </c>
      <c r="D440" s="2">
        <v>9</v>
      </c>
      <c r="E440" s="2">
        <v>6</v>
      </c>
      <c r="F440" s="2">
        <v>8.4</v>
      </c>
      <c r="G440" s="2">
        <v>6.1</v>
      </c>
      <c r="H440" s="2">
        <f>AVERAGE(weather.tbl[[#This Row],[Estevan]:[Kipling]])</f>
        <v>7.25</v>
      </c>
      <c r="I440" s="2">
        <f>_xlfn.STDEV.S(weather.tbl[[#This Row],[Estevan]:[Kipling]])</f>
        <v>1.2227019260637455</v>
      </c>
      <c r="J440" s="2">
        <f t="shared" si="6"/>
        <v>4.2</v>
      </c>
      <c r="K440">
        <f>DAY(weather.tbl[[#This Row],[Date]])</f>
        <v>15</v>
      </c>
      <c r="L440">
        <f>MONTH(weather.tbl[[#This Row],[Date]])</f>
        <v>3</v>
      </c>
      <c r="M440">
        <f>YEAR(weather.tbl[[#This Row],[Date]])</f>
        <v>2015</v>
      </c>
    </row>
    <row r="441" spans="1:13" x14ac:dyDescent="0.25">
      <c r="A441" s="1">
        <v>42079</v>
      </c>
      <c r="B441" s="2">
        <v>-0.6</v>
      </c>
      <c r="C441" s="2">
        <v>-0.6</v>
      </c>
      <c r="D441" s="2">
        <v>1</v>
      </c>
      <c r="E441" s="2">
        <v>0.8</v>
      </c>
      <c r="F441" s="2">
        <v>1.6</v>
      </c>
      <c r="G441" s="2">
        <v>-0.3</v>
      </c>
      <c r="H441" s="2">
        <f>AVERAGE(weather.tbl[[#This Row],[Estevan]:[Kipling]])</f>
        <v>0.31666666666666671</v>
      </c>
      <c r="I441" s="2">
        <f>_xlfn.STDEV.S(weather.tbl[[#This Row],[Estevan]:[Kipling]])</f>
        <v>0.93897106806688502</v>
      </c>
      <c r="J441" s="2">
        <f t="shared" si="6"/>
        <v>4.0404761904761903</v>
      </c>
      <c r="K441">
        <f>DAY(weather.tbl[[#This Row],[Date]])</f>
        <v>16</v>
      </c>
      <c r="L441">
        <f>MONTH(weather.tbl[[#This Row],[Date]])</f>
        <v>3</v>
      </c>
      <c r="M441">
        <f>YEAR(weather.tbl[[#This Row],[Date]])</f>
        <v>2015</v>
      </c>
    </row>
    <row r="442" spans="1:13" x14ac:dyDescent="0.25">
      <c r="A442" s="1">
        <v>42080</v>
      </c>
      <c r="B442" s="2">
        <v>-1.2</v>
      </c>
      <c r="C442" s="2">
        <v>-0.5</v>
      </c>
      <c r="D442" s="2">
        <v>-0.8</v>
      </c>
      <c r="E442" s="2">
        <v>0.8</v>
      </c>
      <c r="F442" s="2">
        <v>0.4</v>
      </c>
      <c r="G442" s="2">
        <v>-1.2</v>
      </c>
      <c r="H442" s="2">
        <f>AVERAGE(weather.tbl[[#This Row],[Estevan]:[Kipling]])</f>
        <v>-0.41666666666666669</v>
      </c>
      <c r="I442" s="2">
        <f>_xlfn.STDEV.S(weather.tbl[[#This Row],[Estevan]:[Kipling]])</f>
        <v>0.84003968160240305</v>
      </c>
      <c r="J442" s="2">
        <f t="shared" si="6"/>
        <v>3.5261904761904761</v>
      </c>
      <c r="K442">
        <f>DAY(weather.tbl[[#This Row],[Date]])</f>
        <v>17</v>
      </c>
      <c r="L442">
        <f>MONTH(weather.tbl[[#This Row],[Date]])</f>
        <v>3</v>
      </c>
      <c r="M442">
        <f>YEAR(weather.tbl[[#This Row],[Date]])</f>
        <v>2015</v>
      </c>
    </row>
    <row r="443" spans="1:13" x14ac:dyDescent="0.25">
      <c r="A443" s="1">
        <v>42081</v>
      </c>
      <c r="B443" s="2">
        <v>1.4</v>
      </c>
      <c r="C443" s="2">
        <v>2.2999999999999998</v>
      </c>
      <c r="D443" s="2">
        <v>1</v>
      </c>
      <c r="E443" s="2">
        <v>0.8</v>
      </c>
      <c r="F443" s="2">
        <v>1.2</v>
      </c>
      <c r="G443" s="2">
        <v>1.4</v>
      </c>
      <c r="H443" s="2">
        <f>AVERAGE(weather.tbl[[#This Row],[Estevan]:[Kipling]])</f>
        <v>1.3499999999999999</v>
      </c>
      <c r="I443" s="2">
        <f>_xlfn.STDEV.S(weather.tbl[[#This Row],[Estevan]:[Kipling]])</f>
        <v>0.52057660339281453</v>
      </c>
      <c r="J443" s="2">
        <f t="shared" si="6"/>
        <v>3.3714285714285714</v>
      </c>
      <c r="K443">
        <f>DAY(weather.tbl[[#This Row],[Date]])</f>
        <v>18</v>
      </c>
      <c r="L443">
        <f>MONTH(weather.tbl[[#This Row],[Date]])</f>
        <v>3</v>
      </c>
      <c r="M443">
        <f>YEAR(weather.tbl[[#This Row],[Date]])</f>
        <v>2015</v>
      </c>
    </row>
    <row r="444" spans="1:13" x14ac:dyDescent="0.25">
      <c r="A444" s="1">
        <v>42082</v>
      </c>
      <c r="B444" s="2">
        <v>4.2</v>
      </c>
      <c r="C444" s="2">
        <v>3.8</v>
      </c>
      <c r="D444" s="2">
        <v>4.8</v>
      </c>
      <c r="E444" s="2">
        <v>3.5</v>
      </c>
      <c r="F444" s="2">
        <v>3.6</v>
      </c>
      <c r="G444" s="2">
        <v>3.2</v>
      </c>
      <c r="H444" s="2">
        <f>AVERAGE(weather.tbl[[#This Row],[Estevan]:[Kipling]])</f>
        <v>3.85</v>
      </c>
      <c r="I444" s="2">
        <f>_xlfn.STDEV.S(weather.tbl[[#This Row],[Estevan]:[Kipling]])</f>
        <v>0.57183913821983523</v>
      </c>
      <c r="J444" s="2">
        <f t="shared" si="6"/>
        <v>3.4690476190476192</v>
      </c>
      <c r="K444">
        <f>DAY(weather.tbl[[#This Row],[Date]])</f>
        <v>19</v>
      </c>
      <c r="L444">
        <f>MONTH(weather.tbl[[#This Row],[Date]])</f>
        <v>3</v>
      </c>
      <c r="M444">
        <f>YEAR(weather.tbl[[#This Row],[Date]])</f>
        <v>2015</v>
      </c>
    </row>
    <row r="445" spans="1:13" x14ac:dyDescent="0.25">
      <c r="A445" s="1">
        <v>42083</v>
      </c>
      <c r="B445" s="2">
        <v>0.3</v>
      </c>
      <c r="C445" s="2">
        <v>0.1</v>
      </c>
      <c r="D445" s="2">
        <v>-2.5</v>
      </c>
      <c r="E445" s="2">
        <v>-0.3</v>
      </c>
      <c r="F445" s="2">
        <v>-2.1</v>
      </c>
      <c r="G445" s="2">
        <v>-2.4</v>
      </c>
      <c r="H445" s="2">
        <f>AVERAGE(weather.tbl[[#This Row],[Estevan]:[Kipling]])</f>
        <v>-1.1500000000000001</v>
      </c>
      <c r="I445" s="2">
        <f>_xlfn.STDEV.S(weather.tbl[[#This Row],[Estevan]:[Kipling]])</f>
        <v>1.3171939872319489</v>
      </c>
      <c r="J445" s="2">
        <f t="shared" si="6"/>
        <v>2.5785714285714292</v>
      </c>
      <c r="K445">
        <f>DAY(weather.tbl[[#This Row],[Date]])</f>
        <v>20</v>
      </c>
      <c r="L445">
        <f>MONTH(weather.tbl[[#This Row],[Date]])</f>
        <v>3</v>
      </c>
      <c r="M445">
        <f>YEAR(weather.tbl[[#This Row],[Date]])</f>
        <v>2015</v>
      </c>
    </row>
    <row r="446" spans="1:13" x14ac:dyDescent="0.25">
      <c r="A446" s="1">
        <v>42084</v>
      </c>
      <c r="B446" s="2">
        <v>-4.5</v>
      </c>
      <c r="C446" s="2">
        <v>-4.0999999999999996</v>
      </c>
      <c r="D446" s="2">
        <v>-7.3</v>
      </c>
      <c r="E446" s="2">
        <v>-3.3</v>
      </c>
      <c r="F446" s="2">
        <v>-6.6</v>
      </c>
      <c r="G446" s="2">
        <v>-6.3</v>
      </c>
      <c r="H446" s="2">
        <f>AVERAGE(weather.tbl[[#This Row],[Estevan]:[Kipling]])</f>
        <v>-5.3499999999999988</v>
      </c>
      <c r="I446" s="2">
        <f>_xlfn.STDEV.S(weather.tbl[[#This Row],[Estevan]:[Kipling]])</f>
        <v>1.5971850237214253</v>
      </c>
      <c r="J446" s="2">
        <f t="shared" si="6"/>
        <v>0.83571428571428574</v>
      </c>
      <c r="K446">
        <f>DAY(weather.tbl[[#This Row],[Date]])</f>
        <v>21</v>
      </c>
      <c r="L446">
        <f>MONTH(weather.tbl[[#This Row],[Date]])</f>
        <v>3</v>
      </c>
      <c r="M446">
        <f>YEAR(weather.tbl[[#This Row],[Date]])</f>
        <v>2015</v>
      </c>
    </row>
    <row r="447" spans="1:13" x14ac:dyDescent="0.25">
      <c r="A447" s="1">
        <v>42085</v>
      </c>
      <c r="B447" s="2">
        <v>0.7</v>
      </c>
      <c r="C447" s="2">
        <v>0.5</v>
      </c>
      <c r="D447" s="2">
        <v>-2.2999999999999998</v>
      </c>
      <c r="E447" s="2">
        <v>0</v>
      </c>
      <c r="F447" s="2">
        <v>-3.7</v>
      </c>
      <c r="G447" s="2">
        <v>-3.3</v>
      </c>
      <c r="H447" s="2">
        <f>AVERAGE(weather.tbl[[#This Row],[Estevan]:[Kipling]])</f>
        <v>-1.3499999999999999</v>
      </c>
      <c r="I447" s="2">
        <f>_xlfn.STDEV.S(weather.tbl[[#This Row],[Estevan]:[Kipling]])</f>
        <v>1.9836834424877372</v>
      </c>
      <c r="J447" s="2">
        <f t="shared" si="6"/>
        <v>-0.39285714285714274</v>
      </c>
      <c r="K447">
        <f>DAY(weather.tbl[[#This Row],[Date]])</f>
        <v>22</v>
      </c>
      <c r="L447">
        <f>MONTH(weather.tbl[[#This Row],[Date]])</f>
        <v>3</v>
      </c>
      <c r="M447">
        <f>YEAR(weather.tbl[[#This Row],[Date]])</f>
        <v>2015</v>
      </c>
    </row>
    <row r="448" spans="1:13" x14ac:dyDescent="0.25">
      <c r="A448" s="1">
        <v>42086</v>
      </c>
      <c r="B448" s="2">
        <v>-1.3</v>
      </c>
      <c r="C448" s="2">
        <v>-2</v>
      </c>
      <c r="D448" s="2">
        <v>-2.8</v>
      </c>
      <c r="E448" s="2">
        <v>-1.5</v>
      </c>
      <c r="F448" s="2">
        <v>-1.3</v>
      </c>
      <c r="G448" s="2">
        <v>-3.2</v>
      </c>
      <c r="H448" s="2">
        <f>AVERAGE(weather.tbl[[#This Row],[Estevan]:[Kipling]])</f>
        <v>-2.0166666666666671</v>
      </c>
      <c r="I448" s="2">
        <f>_xlfn.STDEV.S(weather.tbl[[#This Row],[Estevan]:[Kipling]])</f>
        <v>0.81342895612749488</v>
      </c>
      <c r="J448" s="2">
        <f t="shared" si="6"/>
        <v>-0.72619047619047605</v>
      </c>
      <c r="K448">
        <f>DAY(weather.tbl[[#This Row],[Date]])</f>
        <v>23</v>
      </c>
      <c r="L448">
        <f>MONTH(weather.tbl[[#This Row],[Date]])</f>
        <v>3</v>
      </c>
      <c r="M448">
        <f>YEAR(weather.tbl[[#This Row],[Date]])</f>
        <v>2015</v>
      </c>
    </row>
    <row r="449" spans="1:13" x14ac:dyDescent="0.25">
      <c r="A449" s="1">
        <v>42087</v>
      </c>
      <c r="B449" s="2">
        <v>-1.6</v>
      </c>
      <c r="C449" s="2">
        <v>-1.9</v>
      </c>
      <c r="D449" s="2">
        <v>-1</v>
      </c>
      <c r="E449" s="2">
        <v>-1.5</v>
      </c>
      <c r="F449" s="2">
        <v>-1.3</v>
      </c>
      <c r="G449" s="2">
        <v>-1.8</v>
      </c>
      <c r="H449" s="2">
        <f>AVERAGE(weather.tbl[[#This Row],[Estevan]:[Kipling]])</f>
        <v>-1.5166666666666666</v>
      </c>
      <c r="I449" s="2">
        <f>_xlfn.STDEV.S(weather.tbl[[#This Row],[Estevan]:[Kipling]])</f>
        <v>0.33115957885386177</v>
      </c>
      <c r="J449" s="2">
        <f t="shared" si="6"/>
        <v>-0.88333333333333319</v>
      </c>
      <c r="K449">
        <f>DAY(weather.tbl[[#This Row],[Date]])</f>
        <v>24</v>
      </c>
      <c r="L449">
        <f>MONTH(weather.tbl[[#This Row],[Date]])</f>
        <v>3</v>
      </c>
      <c r="M449">
        <f>YEAR(weather.tbl[[#This Row],[Date]])</f>
        <v>2015</v>
      </c>
    </row>
    <row r="450" spans="1:13" x14ac:dyDescent="0.25">
      <c r="A450" s="1">
        <v>42088</v>
      </c>
      <c r="B450" s="2">
        <v>-1</v>
      </c>
      <c r="C450" s="2">
        <v>-2.4</v>
      </c>
      <c r="D450" s="2">
        <v>-2</v>
      </c>
      <c r="E450" s="2">
        <v>-1.3</v>
      </c>
      <c r="F450" s="2">
        <v>-2.4</v>
      </c>
      <c r="G450" s="2">
        <v>-2.5</v>
      </c>
      <c r="H450" s="2">
        <f>AVERAGE(weather.tbl[[#This Row],[Estevan]:[Kipling]])</f>
        <v>-1.9333333333333333</v>
      </c>
      <c r="I450" s="2">
        <f>_xlfn.STDEV.S(weather.tbl[[#This Row],[Estevan]:[Kipling]])</f>
        <v>0.63770421565696667</v>
      </c>
      <c r="J450" s="2">
        <f t="shared" si="6"/>
        <v>-1.3523809523809522</v>
      </c>
      <c r="K450">
        <f>DAY(weather.tbl[[#This Row],[Date]])</f>
        <v>25</v>
      </c>
      <c r="L450">
        <f>MONTH(weather.tbl[[#This Row],[Date]])</f>
        <v>3</v>
      </c>
      <c r="M450">
        <f>YEAR(weather.tbl[[#This Row],[Date]])</f>
        <v>2015</v>
      </c>
    </row>
    <row r="451" spans="1:13" x14ac:dyDescent="0.25">
      <c r="A451" s="1">
        <v>42089</v>
      </c>
      <c r="B451" s="2">
        <v>-0.5</v>
      </c>
      <c r="C451" s="2">
        <v>0.8</v>
      </c>
      <c r="D451" s="2">
        <v>-2.5</v>
      </c>
      <c r="E451" s="2">
        <v>0.5</v>
      </c>
      <c r="F451" s="2">
        <v>-3.6</v>
      </c>
      <c r="G451" s="2">
        <v>-3.2</v>
      </c>
      <c r="H451" s="2">
        <f>AVERAGE(weather.tbl[[#This Row],[Estevan]:[Kipling]])</f>
        <v>-1.4166666666666667</v>
      </c>
      <c r="I451" s="2">
        <f>_xlfn.STDEV.S(weather.tbl[[#This Row],[Estevan]:[Kipling]])</f>
        <v>1.9260494974601945</v>
      </c>
      <c r="J451" s="2">
        <f t="shared" si="6"/>
        <v>-2.1047619047619048</v>
      </c>
      <c r="K451">
        <f>DAY(weather.tbl[[#This Row],[Date]])</f>
        <v>26</v>
      </c>
      <c r="L451">
        <f>MONTH(weather.tbl[[#This Row],[Date]])</f>
        <v>3</v>
      </c>
      <c r="M451">
        <f>YEAR(weather.tbl[[#This Row],[Date]])</f>
        <v>2015</v>
      </c>
    </row>
    <row r="452" spans="1:13" x14ac:dyDescent="0.25">
      <c r="A452" s="1">
        <v>42090</v>
      </c>
      <c r="B452" s="2">
        <v>6</v>
      </c>
      <c r="C452" s="2">
        <v>6.1</v>
      </c>
      <c r="D452" s="2">
        <v>3.8</v>
      </c>
      <c r="E452" s="2">
        <v>6.5</v>
      </c>
      <c r="F452" s="2">
        <v>-0.5</v>
      </c>
      <c r="G452" s="2">
        <v>2</v>
      </c>
      <c r="H452" s="2">
        <f>AVERAGE(weather.tbl[[#This Row],[Estevan]:[Kipling]])</f>
        <v>3.9833333333333329</v>
      </c>
      <c r="I452" s="2">
        <f>_xlfn.STDEV.S(weather.tbl[[#This Row],[Estevan]:[Kipling]])</f>
        <v>2.7909974322214386</v>
      </c>
      <c r="J452" s="2">
        <f t="shared" si="6"/>
        <v>-1.3714285714285712</v>
      </c>
      <c r="K452">
        <f>DAY(weather.tbl[[#This Row],[Date]])</f>
        <v>27</v>
      </c>
      <c r="L452">
        <f>MONTH(weather.tbl[[#This Row],[Date]])</f>
        <v>3</v>
      </c>
      <c r="M452">
        <f>YEAR(weather.tbl[[#This Row],[Date]])</f>
        <v>2015</v>
      </c>
    </row>
    <row r="453" spans="1:13" x14ac:dyDescent="0.25">
      <c r="A453" s="1">
        <v>42091</v>
      </c>
      <c r="B453" s="2">
        <v>10.4</v>
      </c>
      <c r="C453" s="2">
        <v>9.5</v>
      </c>
      <c r="D453" s="2">
        <v>8.3000000000000007</v>
      </c>
      <c r="E453" s="2">
        <v>10</v>
      </c>
      <c r="F453" s="2">
        <v>5.3</v>
      </c>
      <c r="G453" s="2">
        <v>7.1</v>
      </c>
      <c r="H453" s="2">
        <f>AVERAGE(weather.tbl[[#This Row],[Estevan]:[Kipling]])</f>
        <v>8.4333333333333336</v>
      </c>
      <c r="I453" s="2">
        <f>_xlfn.STDEV.S(weather.tbl[[#This Row],[Estevan]:[Kipling]])</f>
        <v>1.9531171666509606</v>
      </c>
      <c r="J453" s="2">
        <f t="shared" si="6"/>
        <v>0.59761904761904738</v>
      </c>
      <c r="K453">
        <f>DAY(weather.tbl[[#This Row],[Date]])</f>
        <v>28</v>
      </c>
      <c r="L453">
        <f>MONTH(weather.tbl[[#This Row],[Date]])</f>
        <v>3</v>
      </c>
      <c r="M453">
        <f>YEAR(weather.tbl[[#This Row],[Date]])</f>
        <v>2015</v>
      </c>
    </row>
    <row r="454" spans="1:13" x14ac:dyDescent="0.25">
      <c r="A454" s="1">
        <v>42092</v>
      </c>
      <c r="B454" s="2">
        <v>7</v>
      </c>
      <c r="C454" s="2">
        <v>6.8</v>
      </c>
      <c r="D454" s="2">
        <v>6</v>
      </c>
      <c r="E454" s="2">
        <v>7.3</v>
      </c>
      <c r="F454" s="2">
        <v>6.8</v>
      </c>
      <c r="G454" s="2">
        <v>5.5</v>
      </c>
      <c r="H454" s="2">
        <f>AVERAGE(weather.tbl[[#This Row],[Estevan]:[Kipling]])</f>
        <v>6.5666666666666664</v>
      </c>
      <c r="I454" s="2">
        <f>_xlfn.STDEV.S(weather.tbl[[#This Row],[Estevan]:[Kipling]])</f>
        <v>0.6772493386240156</v>
      </c>
      <c r="J454" s="2">
        <f t="shared" si="6"/>
        <v>1.7285714285714284</v>
      </c>
      <c r="K454">
        <f>DAY(weather.tbl[[#This Row],[Date]])</f>
        <v>29</v>
      </c>
      <c r="L454">
        <f>MONTH(weather.tbl[[#This Row],[Date]])</f>
        <v>3</v>
      </c>
      <c r="M454">
        <f>YEAR(weather.tbl[[#This Row],[Date]])</f>
        <v>2015</v>
      </c>
    </row>
    <row r="455" spans="1:13" x14ac:dyDescent="0.25">
      <c r="A455" s="1">
        <v>42093</v>
      </c>
      <c r="B455" s="2">
        <v>8.4</v>
      </c>
      <c r="C455" s="2">
        <v>7.9</v>
      </c>
      <c r="D455" s="2">
        <v>7.5</v>
      </c>
      <c r="E455" s="2">
        <v>8.5</v>
      </c>
      <c r="F455" s="2">
        <v>8.1999999999999993</v>
      </c>
      <c r="G455" s="2">
        <v>6.6</v>
      </c>
      <c r="H455" s="2">
        <f>AVERAGE(weather.tbl[[#This Row],[Estevan]:[Kipling]])</f>
        <v>7.8500000000000005</v>
      </c>
      <c r="I455" s="2">
        <f>_xlfn.STDEV.S(weather.tbl[[#This Row],[Estevan]:[Kipling]])</f>
        <v>0.71203932475671616</v>
      </c>
      <c r="J455" s="2">
        <f t="shared" si="6"/>
        <v>3.138095238095238</v>
      </c>
      <c r="K455">
        <f>DAY(weather.tbl[[#This Row],[Date]])</f>
        <v>30</v>
      </c>
      <c r="L455">
        <f>MONTH(weather.tbl[[#This Row],[Date]])</f>
        <v>3</v>
      </c>
      <c r="M455">
        <f>YEAR(weather.tbl[[#This Row],[Date]])</f>
        <v>2015</v>
      </c>
    </row>
    <row r="456" spans="1:13" x14ac:dyDescent="0.25">
      <c r="A456" s="1">
        <v>42094</v>
      </c>
      <c r="B456" s="2">
        <v>9.5</v>
      </c>
      <c r="C456" s="2">
        <v>9.6999999999999993</v>
      </c>
      <c r="D456" s="2">
        <v>7</v>
      </c>
      <c r="E456" s="2">
        <v>11</v>
      </c>
      <c r="F456" s="2">
        <v>7.2</v>
      </c>
      <c r="G456" s="2">
        <v>6.8</v>
      </c>
      <c r="H456" s="2">
        <f>AVERAGE(weather.tbl[[#This Row],[Estevan]:[Kipling]])</f>
        <v>8.5333333333333332</v>
      </c>
      <c r="I456" s="2">
        <f>_xlfn.STDEV.S(weather.tbl[[#This Row],[Estevan]:[Kipling]])</f>
        <v>1.7614388058251247</v>
      </c>
      <c r="J456" s="2">
        <f t="shared" si="6"/>
        <v>4.5738095238095235</v>
      </c>
      <c r="K456">
        <f>DAY(weather.tbl[[#This Row],[Date]])</f>
        <v>31</v>
      </c>
      <c r="L456">
        <f>MONTH(weather.tbl[[#This Row],[Date]])</f>
        <v>3</v>
      </c>
      <c r="M456">
        <f>YEAR(weather.tbl[[#This Row],[Date]])</f>
        <v>2015</v>
      </c>
    </row>
    <row r="457" spans="1:13" x14ac:dyDescent="0.25">
      <c r="A457" s="1">
        <v>42095</v>
      </c>
      <c r="B457" s="2">
        <v>7.1</v>
      </c>
      <c r="C457" s="2">
        <v>6.8</v>
      </c>
      <c r="D457" s="2">
        <v>7</v>
      </c>
      <c r="E457" s="2">
        <v>8.5</v>
      </c>
      <c r="F457" s="2">
        <v>8.4</v>
      </c>
      <c r="G457" s="2">
        <v>6.7</v>
      </c>
      <c r="H457" s="2">
        <f>AVERAGE(weather.tbl[[#This Row],[Estevan]:[Kipling]])</f>
        <v>7.416666666666667</v>
      </c>
      <c r="I457" s="2">
        <f>_xlfn.STDEV.S(weather.tbl[[#This Row],[Estevan]:[Kipling]])</f>
        <v>0.81342895612749544</v>
      </c>
      <c r="J457" s="2">
        <f t="shared" si="6"/>
        <v>5.9095238095238098</v>
      </c>
      <c r="K457">
        <f>DAY(weather.tbl[[#This Row],[Date]])</f>
        <v>1</v>
      </c>
      <c r="L457">
        <f>MONTH(weather.tbl[[#This Row],[Date]])</f>
        <v>4</v>
      </c>
      <c r="M457">
        <f>YEAR(weather.tbl[[#This Row],[Date]])</f>
        <v>2015</v>
      </c>
    </row>
    <row r="458" spans="1:13" x14ac:dyDescent="0.25">
      <c r="A458" s="1">
        <v>42096</v>
      </c>
      <c r="B458" s="2">
        <v>-1.7</v>
      </c>
      <c r="C458" s="2">
        <v>-1.7</v>
      </c>
      <c r="D458" s="2">
        <v>-1.8</v>
      </c>
      <c r="E458" s="2">
        <v>-1.5</v>
      </c>
      <c r="F458" s="2">
        <v>-0.2</v>
      </c>
      <c r="G458" s="2">
        <v>-4.7</v>
      </c>
      <c r="H458" s="2">
        <f>AVERAGE(weather.tbl[[#This Row],[Estevan]:[Kipling]])</f>
        <v>-1.9333333333333336</v>
      </c>
      <c r="I458" s="2">
        <f>_xlfn.STDEV.S(weather.tbl[[#This Row],[Estevan]:[Kipling]])</f>
        <v>1.4814407401805401</v>
      </c>
      <c r="J458" s="2">
        <f t="shared" ref="J458:J521" si="7">AVERAGE(H452:H458)</f>
        <v>5.8357142857142845</v>
      </c>
      <c r="K458">
        <f>DAY(weather.tbl[[#This Row],[Date]])</f>
        <v>2</v>
      </c>
      <c r="L458">
        <f>MONTH(weather.tbl[[#This Row],[Date]])</f>
        <v>4</v>
      </c>
      <c r="M458">
        <f>YEAR(weather.tbl[[#This Row],[Date]])</f>
        <v>2015</v>
      </c>
    </row>
    <row r="459" spans="1:13" x14ac:dyDescent="0.25">
      <c r="A459" s="1">
        <v>42097</v>
      </c>
      <c r="B459" s="2">
        <v>-0.8</v>
      </c>
      <c r="C459" s="2">
        <v>-1</v>
      </c>
      <c r="D459" s="2">
        <v>-1</v>
      </c>
      <c r="E459" s="2">
        <v>0.5</v>
      </c>
      <c r="F459" s="2">
        <v>-1</v>
      </c>
      <c r="G459" s="2">
        <v>-3.3</v>
      </c>
      <c r="H459" s="2">
        <f>AVERAGE(weather.tbl[[#This Row],[Estevan]:[Kipling]])</f>
        <v>-1.0999999999999999</v>
      </c>
      <c r="I459" s="2">
        <f>_xlfn.STDEV.S(weather.tbl[[#This Row],[Estevan]:[Kipling]])</f>
        <v>1.2263767773404712</v>
      </c>
      <c r="J459" s="2">
        <f t="shared" si="7"/>
        <v>5.1095238095238082</v>
      </c>
      <c r="K459">
        <f>DAY(weather.tbl[[#This Row],[Date]])</f>
        <v>3</v>
      </c>
      <c r="L459">
        <f>MONTH(weather.tbl[[#This Row],[Date]])</f>
        <v>4</v>
      </c>
      <c r="M459">
        <f>YEAR(weather.tbl[[#This Row],[Date]])</f>
        <v>2015</v>
      </c>
    </row>
    <row r="460" spans="1:13" x14ac:dyDescent="0.25">
      <c r="A460" s="1">
        <v>42098</v>
      </c>
      <c r="B460" s="2">
        <v>0.7</v>
      </c>
      <c r="C460" s="2">
        <v>0.6</v>
      </c>
      <c r="D460" s="2">
        <v>-1</v>
      </c>
      <c r="E460" s="2">
        <v>2</v>
      </c>
      <c r="F460" s="2">
        <v>-2.2000000000000002</v>
      </c>
      <c r="G460" s="2">
        <v>-2.6</v>
      </c>
      <c r="H460" s="2">
        <f>AVERAGE(weather.tbl[[#This Row],[Estevan]:[Kipling]])</f>
        <v>-0.41666666666666674</v>
      </c>
      <c r="I460" s="2">
        <f>_xlfn.STDEV.S(weather.tbl[[#This Row],[Estevan]:[Kipling]])</f>
        <v>1.8115371005493284</v>
      </c>
      <c r="J460" s="2">
        <f t="shared" si="7"/>
        <v>3.8452380952380953</v>
      </c>
      <c r="K460">
        <f>DAY(weather.tbl[[#This Row],[Date]])</f>
        <v>4</v>
      </c>
      <c r="L460">
        <f>MONTH(weather.tbl[[#This Row],[Date]])</f>
        <v>4</v>
      </c>
      <c r="M460">
        <f>YEAR(weather.tbl[[#This Row],[Date]])</f>
        <v>2015</v>
      </c>
    </row>
    <row r="461" spans="1:13" x14ac:dyDescent="0.25">
      <c r="A461" s="1">
        <v>42099</v>
      </c>
      <c r="B461" s="2">
        <v>-2.8</v>
      </c>
      <c r="C461" s="2">
        <v>-1.9</v>
      </c>
      <c r="D461" s="2">
        <v>-2.5</v>
      </c>
      <c r="E461" s="2">
        <v>0</v>
      </c>
      <c r="F461" s="2">
        <v>-2</v>
      </c>
      <c r="G461" s="2">
        <v>-4.9000000000000004</v>
      </c>
      <c r="H461" s="2">
        <f>AVERAGE(weather.tbl[[#This Row],[Estevan]:[Kipling]])</f>
        <v>-2.35</v>
      </c>
      <c r="I461" s="2">
        <f>_xlfn.STDEV.S(weather.tbl[[#This Row],[Estevan]:[Kipling]])</f>
        <v>1.5858751527153712</v>
      </c>
      <c r="J461" s="2">
        <f t="shared" si="7"/>
        <v>2.5714285714285707</v>
      </c>
      <c r="K461">
        <f>DAY(weather.tbl[[#This Row],[Date]])</f>
        <v>5</v>
      </c>
      <c r="L461">
        <f>MONTH(weather.tbl[[#This Row],[Date]])</f>
        <v>4</v>
      </c>
      <c r="M461">
        <f>YEAR(weather.tbl[[#This Row],[Date]])</f>
        <v>2015</v>
      </c>
    </row>
    <row r="462" spans="1:13" x14ac:dyDescent="0.25">
      <c r="A462" s="1">
        <v>42100</v>
      </c>
      <c r="B462" s="2">
        <v>-2.8</v>
      </c>
      <c r="C462" s="2">
        <v>-2.1</v>
      </c>
      <c r="D462" s="2">
        <v>-1.8</v>
      </c>
      <c r="E462" s="2">
        <v>-1.8</v>
      </c>
      <c r="F462" s="2">
        <v>-1.1000000000000001</v>
      </c>
      <c r="G462" s="2">
        <v>-2</v>
      </c>
      <c r="H462" s="2">
        <f>AVERAGE(weather.tbl[[#This Row],[Estevan]:[Kipling]])</f>
        <v>-1.9333333333333333</v>
      </c>
      <c r="I462" s="2">
        <f>_xlfn.STDEV.S(weather.tbl[[#This Row],[Estevan]:[Kipling]])</f>
        <v>0.55015149428740728</v>
      </c>
      <c r="J462" s="2">
        <f t="shared" si="7"/>
        <v>1.1738095238095239</v>
      </c>
      <c r="K462">
        <f>DAY(weather.tbl[[#This Row],[Date]])</f>
        <v>6</v>
      </c>
      <c r="L462">
        <f>MONTH(weather.tbl[[#This Row],[Date]])</f>
        <v>4</v>
      </c>
      <c r="M462">
        <f>YEAR(weather.tbl[[#This Row],[Date]])</f>
        <v>2015</v>
      </c>
    </row>
    <row r="463" spans="1:13" x14ac:dyDescent="0.25">
      <c r="A463" s="1">
        <v>42101</v>
      </c>
      <c r="B463" s="2">
        <v>-0.8</v>
      </c>
      <c r="C463" s="2">
        <v>-0.3</v>
      </c>
      <c r="D463" s="2">
        <v>-1.8</v>
      </c>
      <c r="E463" s="2">
        <v>1</v>
      </c>
      <c r="F463" s="2">
        <v>-1.2</v>
      </c>
      <c r="G463" s="2">
        <v>-1.7</v>
      </c>
      <c r="H463" s="2">
        <f>AVERAGE(weather.tbl[[#This Row],[Estevan]:[Kipling]])</f>
        <v>-0.80000000000000016</v>
      </c>
      <c r="I463" s="2">
        <f>_xlfn.STDEV.S(weather.tbl[[#This Row],[Estevan]:[Kipling]])</f>
        <v>1.0449880382090504</v>
      </c>
      <c r="J463" s="2">
        <f t="shared" si="7"/>
        <v>-0.15952380952380954</v>
      </c>
      <c r="K463">
        <f>DAY(weather.tbl[[#This Row],[Date]])</f>
        <v>7</v>
      </c>
      <c r="L463">
        <f>MONTH(weather.tbl[[#This Row],[Date]])</f>
        <v>4</v>
      </c>
      <c r="M463">
        <f>YEAR(weather.tbl[[#This Row],[Date]])</f>
        <v>2015</v>
      </c>
    </row>
    <row r="464" spans="1:13" x14ac:dyDescent="0.25">
      <c r="A464" s="1">
        <v>42102</v>
      </c>
      <c r="B464" s="2">
        <v>1.1000000000000001</v>
      </c>
      <c r="C464" s="2">
        <v>2.5</v>
      </c>
      <c r="D464" s="2">
        <v>0.8</v>
      </c>
      <c r="E464" s="2">
        <v>4.5</v>
      </c>
      <c r="F464" s="2">
        <v>1.5</v>
      </c>
      <c r="G464" s="2">
        <v>2.8</v>
      </c>
      <c r="H464" s="2">
        <f>AVERAGE(weather.tbl[[#This Row],[Estevan]:[Kipling]])</f>
        <v>2.1999999999999997</v>
      </c>
      <c r="I464" s="2">
        <f>_xlfn.STDEV.S(weather.tbl[[#This Row],[Estevan]:[Kipling]])</f>
        <v>1.3711309200802089</v>
      </c>
      <c r="J464" s="2">
        <f t="shared" si="7"/>
        <v>-0.9047619047619051</v>
      </c>
      <c r="K464">
        <f>DAY(weather.tbl[[#This Row],[Date]])</f>
        <v>8</v>
      </c>
      <c r="L464">
        <f>MONTH(weather.tbl[[#This Row],[Date]])</f>
        <v>4</v>
      </c>
      <c r="M464">
        <f>YEAR(weather.tbl[[#This Row],[Date]])</f>
        <v>2015</v>
      </c>
    </row>
    <row r="465" spans="1:13" x14ac:dyDescent="0.25">
      <c r="A465" s="1">
        <v>42103</v>
      </c>
      <c r="B465" s="2">
        <v>6.2</v>
      </c>
      <c r="C465" s="2">
        <v>6</v>
      </c>
      <c r="D465" s="2">
        <v>6.5</v>
      </c>
      <c r="E465" s="2">
        <v>8</v>
      </c>
      <c r="F465" s="2">
        <v>6</v>
      </c>
      <c r="G465" s="2">
        <v>4.5999999999999996</v>
      </c>
      <c r="H465" s="2">
        <f>AVERAGE(weather.tbl[[#This Row],[Estevan]:[Kipling]])</f>
        <v>6.2166666666666677</v>
      </c>
      <c r="I465" s="2">
        <f>_xlfn.STDEV.S(weather.tbl[[#This Row],[Estevan]:[Kipling]])</f>
        <v>1.0925505327748688</v>
      </c>
      <c r="J465" s="2">
        <f t="shared" si="7"/>
        <v>0.2595238095238096</v>
      </c>
      <c r="K465">
        <f>DAY(weather.tbl[[#This Row],[Date]])</f>
        <v>9</v>
      </c>
      <c r="L465">
        <f>MONTH(weather.tbl[[#This Row],[Date]])</f>
        <v>4</v>
      </c>
      <c r="M465">
        <f>YEAR(weather.tbl[[#This Row],[Date]])</f>
        <v>2015</v>
      </c>
    </row>
    <row r="466" spans="1:13" x14ac:dyDescent="0.25">
      <c r="A466" s="1">
        <v>42104</v>
      </c>
      <c r="B466" s="2">
        <v>6.7</v>
      </c>
      <c r="C466" s="2">
        <v>7</v>
      </c>
      <c r="D466" s="2">
        <v>5.8</v>
      </c>
      <c r="E466" s="2">
        <v>7.3</v>
      </c>
      <c r="F466" s="2">
        <v>4.5999999999999996</v>
      </c>
      <c r="G466" s="2">
        <v>6.1</v>
      </c>
      <c r="H466" s="2">
        <f>AVERAGE(weather.tbl[[#This Row],[Estevan]:[Kipling]])</f>
        <v>6.25</v>
      </c>
      <c r="I466" s="2">
        <f>_xlfn.STDEV.S(weather.tbl[[#This Row],[Estevan]:[Kipling]])</f>
        <v>0.98132563402776729</v>
      </c>
      <c r="J466" s="2">
        <f t="shared" si="7"/>
        <v>1.3095238095238098</v>
      </c>
      <c r="K466">
        <f>DAY(weather.tbl[[#This Row],[Date]])</f>
        <v>10</v>
      </c>
      <c r="L466">
        <f>MONTH(weather.tbl[[#This Row],[Date]])</f>
        <v>4</v>
      </c>
      <c r="M466">
        <f>YEAR(weather.tbl[[#This Row],[Date]])</f>
        <v>2015</v>
      </c>
    </row>
    <row r="467" spans="1:13" x14ac:dyDescent="0.25">
      <c r="A467" s="1">
        <v>42105</v>
      </c>
      <c r="B467" s="2">
        <v>12.9</v>
      </c>
      <c r="C467" s="2">
        <v>12</v>
      </c>
      <c r="D467" s="2">
        <v>5.8</v>
      </c>
      <c r="E467" s="2">
        <v>11</v>
      </c>
      <c r="F467" s="2">
        <v>12.3</v>
      </c>
      <c r="G467" s="2">
        <v>12</v>
      </c>
      <c r="H467" s="2">
        <f>AVERAGE(weather.tbl[[#This Row],[Estevan]:[Kipling]])</f>
        <v>11</v>
      </c>
      <c r="I467" s="2">
        <f>_xlfn.STDEV.S(weather.tbl[[#This Row],[Estevan]:[Kipling]])</f>
        <v>2.6206869328479478</v>
      </c>
      <c r="J467" s="2">
        <f t="shared" si="7"/>
        <v>2.9404761904761907</v>
      </c>
      <c r="K467">
        <f>DAY(weather.tbl[[#This Row],[Date]])</f>
        <v>11</v>
      </c>
      <c r="L467">
        <f>MONTH(weather.tbl[[#This Row],[Date]])</f>
        <v>4</v>
      </c>
      <c r="M467">
        <f>YEAR(weather.tbl[[#This Row],[Date]])</f>
        <v>2015</v>
      </c>
    </row>
    <row r="468" spans="1:13" x14ac:dyDescent="0.25">
      <c r="A468" s="1">
        <v>42106</v>
      </c>
      <c r="B468" s="2">
        <v>7.2</v>
      </c>
      <c r="C468" s="2">
        <v>7.1</v>
      </c>
      <c r="D468" s="2">
        <v>10</v>
      </c>
      <c r="E468" s="2">
        <v>9</v>
      </c>
      <c r="F468" s="2">
        <v>8.6</v>
      </c>
      <c r="G468" s="2">
        <v>7.3</v>
      </c>
      <c r="H468" s="2">
        <f>AVERAGE(weather.tbl[[#This Row],[Estevan]:[Kipling]])</f>
        <v>8.1999999999999993</v>
      </c>
      <c r="I468" s="2">
        <f>_xlfn.STDEV.S(weather.tbl[[#This Row],[Estevan]:[Kipling]])</f>
        <v>1.1882760622010455</v>
      </c>
      <c r="J468" s="2">
        <f t="shared" si="7"/>
        <v>4.4476190476190478</v>
      </c>
      <c r="K468">
        <f>DAY(weather.tbl[[#This Row],[Date]])</f>
        <v>12</v>
      </c>
      <c r="L468">
        <f>MONTH(weather.tbl[[#This Row],[Date]])</f>
        <v>4</v>
      </c>
      <c r="M468">
        <f>YEAR(weather.tbl[[#This Row],[Date]])</f>
        <v>2015</v>
      </c>
    </row>
    <row r="469" spans="1:13" x14ac:dyDescent="0.25">
      <c r="A469" s="1">
        <v>42107</v>
      </c>
      <c r="B469" s="2">
        <v>6.5</v>
      </c>
      <c r="C469" s="2">
        <v>6.3</v>
      </c>
      <c r="D469" s="2">
        <v>5.8</v>
      </c>
      <c r="E469" s="2">
        <v>7.3</v>
      </c>
      <c r="F469" s="2">
        <v>6.7</v>
      </c>
      <c r="G469" s="2">
        <v>5.4</v>
      </c>
      <c r="H469" s="2">
        <f>AVERAGE(weather.tbl[[#This Row],[Estevan]:[Kipling]])</f>
        <v>6.333333333333333</v>
      </c>
      <c r="I469" s="2">
        <f>_xlfn.STDEV.S(weather.tbl[[#This Row],[Estevan]:[Kipling]])</f>
        <v>0.67131711334261879</v>
      </c>
      <c r="J469" s="2">
        <f t="shared" si="7"/>
        <v>5.6285714285714281</v>
      </c>
      <c r="K469">
        <f>DAY(weather.tbl[[#This Row],[Date]])</f>
        <v>13</v>
      </c>
      <c r="L469">
        <f>MONTH(weather.tbl[[#This Row],[Date]])</f>
        <v>4</v>
      </c>
      <c r="M469">
        <f>YEAR(weather.tbl[[#This Row],[Date]])</f>
        <v>2015</v>
      </c>
    </row>
    <row r="470" spans="1:13" x14ac:dyDescent="0.25">
      <c r="A470" s="1">
        <v>42108</v>
      </c>
      <c r="B470" s="2">
        <v>11.9</v>
      </c>
      <c r="C470" s="2">
        <v>11.7</v>
      </c>
      <c r="D470" s="2">
        <v>10</v>
      </c>
      <c r="E470" s="2">
        <v>10</v>
      </c>
      <c r="F470" s="2">
        <v>11.7</v>
      </c>
      <c r="G470" s="2">
        <v>9.9</v>
      </c>
      <c r="H470" s="2">
        <f>AVERAGE(weather.tbl[[#This Row],[Estevan]:[Kipling]])</f>
        <v>10.866666666666667</v>
      </c>
      <c r="I470" s="2">
        <f>_xlfn.STDEV.S(weather.tbl[[#This Row],[Estevan]:[Kipling]])</f>
        <v>0.98927582941597547</v>
      </c>
      <c r="J470" s="2">
        <f t="shared" si="7"/>
        <v>7.295238095238096</v>
      </c>
      <c r="K470">
        <f>DAY(weather.tbl[[#This Row],[Date]])</f>
        <v>14</v>
      </c>
      <c r="L470">
        <f>MONTH(weather.tbl[[#This Row],[Date]])</f>
        <v>4</v>
      </c>
      <c r="M470">
        <f>YEAR(weather.tbl[[#This Row],[Date]])</f>
        <v>2015</v>
      </c>
    </row>
    <row r="471" spans="1:13" x14ac:dyDescent="0.25">
      <c r="A471" s="1">
        <v>42109</v>
      </c>
      <c r="B471" s="2">
        <v>11.5</v>
      </c>
      <c r="C471" s="2">
        <v>10.7</v>
      </c>
      <c r="D471" s="2">
        <v>15</v>
      </c>
      <c r="E471" s="2">
        <v>10.5</v>
      </c>
      <c r="F471" s="2">
        <v>14.8</v>
      </c>
      <c r="G471" s="2">
        <v>12</v>
      </c>
      <c r="H471" s="2">
        <f>AVERAGE(weather.tbl[[#This Row],[Estevan]:[Kipling]])</f>
        <v>12.416666666666666</v>
      </c>
      <c r="I471" s="2">
        <f>_xlfn.STDEV.S(weather.tbl[[#This Row],[Estevan]:[Kipling]])</f>
        <v>1.9994165815724017</v>
      </c>
      <c r="J471" s="2">
        <f t="shared" si="7"/>
        <v>8.7547619047619047</v>
      </c>
      <c r="K471">
        <f>DAY(weather.tbl[[#This Row],[Date]])</f>
        <v>15</v>
      </c>
      <c r="L471">
        <f>MONTH(weather.tbl[[#This Row],[Date]])</f>
        <v>4</v>
      </c>
      <c r="M471">
        <f>YEAR(weather.tbl[[#This Row],[Date]])</f>
        <v>2015</v>
      </c>
    </row>
    <row r="472" spans="1:13" x14ac:dyDescent="0.25">
      <c r="A472" s="1">
        <v>42110</v>
      </c>
      <c r="B472" s="2">
        <v>7.5</v>
      </c>
      <c r="C472" s="2">
        <v>6.3</v>
      </c>
      <c r="D472" s="2">
        <v>8.8000000000000007</v>
      </c>
      <c r="E472" s="2">
        <v>8.5</v>
      </c>
      <c r="F472" s="2">
        <v>9.8000000000000007</v>
      </c>
      <c r="G472" s="2">
        <v>7.9</v>
      </c>
      <c r="H472" s="2">
        <f>AVERAGE(weather.tbl[[#This Row],[Estevan]:[Kipling]])</f>
        <v>8.1333333333333346</v>
      </c>
      <c r="I472" s="2">
        <f>_xlfn.STDEV.S(weather.tbl[[#This Row],[Estevan]:[Kipling]])</f>
        <v>1.1977757163453673</v>
      </c>
      <c r="J472" s="2">
        <f t="shared" si="7"/>
        <v>9.0285714285714285</v>
      </c>
      <c r="K472">
        <f>DAY(weather.tbl[[#This Row],[Date]])</f>
        <v>16</v>
      </c>
      <c r="L472">
        <f>MONTH(weather.tbl[[#This Row],[Date]])</f>
        <v>4</v>
      </c>
      <c r="M472">
        <f>YEAR(weather.tbl[[#This Row],[Date]])</f>
        <v>2015</v>
      </c>
    </row>
    <row r="473" spans="1:13" x14ac:dyDescent="0.25">
      <c r="A473" s="1">
        <v>42111</v>
      </c>
      <c r="B473" s="2">
        <v>9.8000000000000007</v>
      </c>
      <c r="C473" s="2">
        <v>9.3000000000000007</v>
      </c>
      <c r="D473" s="2">
        <v>10.3</v>
      </c>
      <c r="E473" s="2">
        <v>12.5</v>
      </c>
      <c r="F473" s="2">
        <v>9.9</v>
      </c>
      <c r="G473" s="2">
        <v>9.6</v>
      </c>
      <c r="H473" s="2">
        <f>AVERAGE(weather.tbl[[#This Row],[Estevan]:[Kipling]])</f>
        <v>10.233333333333334</v>
      </c>
      <c r="I473" s="2">
        <f>_xlfn.STDEV.S(weather.tbl[[#This Row],[Estevan]:[Kipling]])</f>
        <v>1.1587349423689066</v>
      </c>
      <c r="J473" s="2">
        <f t="shared" si="7"/>
        <v>9.5976190476190482</v>
      </c>
      <c r="K473">
        <f>DAY(weather.tbl[[#This Row],[Date]])</f>
        <v>17</v>
      </c>
      <c r="L473">
        <f>MONTH(weather.tbl[[#This Row],[Date]])</f>
        <v>4</v>
      </c>
      <c r="M473">
        <f>YEAR(weather.tbl[[#This Row],[Date]])</f>
        <v>2015</v>
      </c>
    </row>
    <row r="474" spans="1:13" x14ac:dyDescent="0.25">
      <c r="A474" s="1">
        <v>42112</v>
      </c>
      <c r="B474" s="2">
        <v>11.4</v>
      </c>
      <c r="C474" s="2">
        <v>8.6</v>
      </c>
      <c r="D474" s="2">
        <v>12</v>
      </c>
      <c r="E474" s="2">
        <v>10</v>
      </c>
      <c r="F474" s="2">
        <v>10.8</v>
      </c>
      <c r="G474" s="2">
        <v>9.1</v>
      </c>
      <c r="H474" s="2">
        <f>AVERAGE(weather.tbl[[#This Row],[Estevan]:[Kipling]])</f>
        <v>10.316666666666666</v>
      </c>
      <c r="I474" s="2">
        <f>_xlfn.STDEV.S(weather.tbl[[#This Row],[Estevan]:[Kipling]])</f>
        <v>1.3242608000944096</v>
      </c>
      <c r="J474" s="2">
        <f t="shared" si="7"/>
        <v>9.5</v>
      </c>
      <c r="K474">
        <f>DAY(weather.tbl[[#This Row],[Date]])</f>
        <v>18</v>
      </c>
      <c r="L474">
        <f>MONTH(weather.tbl[[#This Row],[Date]])</f>
        <v>4</v>
      </c>
      <c r="M474">
        <f>YEAR(weather.tbl[[#This Row],[Date]])</f>
        <v>2015</v>
      </c>
    </row>
    <row r="475" spans="1:13" x14ac:dyDescent="0.25">
      <c r="A475" s="1">
        <v>42113</v>
      </c>
      <c r="B475" s="2">
        <v>2.5</v>
      </c>
      <c r="C475" s="2">
        <v>1.6</v>
      </c>
      <c r="D475" s="2">
        <v>4.3</v>
      </c>
      <c r="E475" s="2">
        <v>6.8</v>
      </c>
      <c r="F475" s="2">
        <v>4.7</v>
      </c>
      <c r="G475" s="2">
        <v>4.2</v>
      </c>
      <c r="H475" s="2">
        <f>AVERAGE(weather.tbl[[#This Row],[Estevan]:[Kipling]])</f>
        <v>4.0166666666666666</v>
      </c>
      <c r="I475" s="2">
        <f>_xlfn.STDEV.S(weather.tbl[[#This Row],[Estevan]:[Kipling]])</f>
        <v>1.8148461826465259</v>
      </c>
      <c r="J475" s="2">
        <f t="shared" si="7"/>
        <v>8.9023809523809518</v>
      </c>
      <c r="K475">
        <f>DAY(weather.tbl[[#This Row],[Date]])</f>
        <v>19</v>
      </c>
      <c r="L475">
        <f>MONTH(weather.tbl[[#This Row],[Date]])</f>
        <v>4</v>
      </c>
      <c r="M475">
        <f>YEAR(weather.tbl[[#This Row],[Date]])</f>
        <v>2015</v>
      </c>
    </row>
    <row r="476" spans="1:13" x14ac:dyDescent="0.25">
      <c r="A476" s="1">
        <v>42114</v>
      </c>
      <c r="B476" s="2">
        <v>2.6</v>
      </c>
      <c r="C476" s="2">
        <v>1.9</v>
      </c>
      <c r="D476" s="2">
        <v>2.2999999999999998</v>
      </c>
      <c r="E476" s="2">
        <v>3.5</v>
      </c>
      <c r="F476" s="2">
        <v>4.2</v>
      </c>
      <c r="G476" s="2">
        <v>1.8</v>
      </c>
      <c r="H476" s="2">
        <f>AVERAGE(weather.tbl[[#This Row],[Estevan]:[Kipling]])</f>
        <v>2.7166666666666668</v>
      </c>
      <c r="I476" s="2">
        <f>_xlfn.STDEV.S(weather.tbl[[#This Row],[Estevan]:[Kipling]])</f>
        <v>0.94956130221627433</v>
      </c>
      <c r="J476" s="2">
        <f t="shared" si="7"/>
        <v>8.3857142857142861</v>
      </c>
      <c r="K476">
        <f>DAY(weather.tbl[[#This Row],[Date]])</f>
        <v>20</v>
      </c>
      <c r="L476">
        <f>MONTH(weather.tbl[[#This Row],[Date]])</f>
        <v>4</v>
      </c>
      <c r="M476">
        <f>YEAR(weather.tbl[[#This Row],[Date]])</f>
        <v>2015</v>
      </c>
    </row>
    <row r="477" spans="1:13" x14ac:dyDescent="0.25">
      <c r="A477" s="1">
        <v>42115</v>
      </c>
      <c r="B477" s="2">
        <v>1.2</v>
      </c>
      <c r="C477" s="2">
        <v>1.3</v>
      </c>
      <c r="D477" s="2">
        <v>2.8</v>
      </c>
      <c r="E477" s="2">
        <v>2.5</v>
      </c>
      <c r="F477" s="2">
        <v>2.8</v>
      </c>
      <c r="G477" s="2">
        <v>1.6</v>
      </c>
      <c r="H477" s="2">
        <f>AVERAGE(weather.tbl[[#This Row],[Estevan]:[Kipling]])</f>
        <v>2.0333333333333332</v>
      </c>
      <c r="I477" s="2">
        <f>_xlfn.STDEV.S(weather.tbl[[#This Row],[Estevan]:[Kipling]])</f>
        <v>0.75011110288187788</v>
      </c>
      <c r="J477" s="2">
        <f t="shared" si="7"/>
        <v>7.1238095238095243</v>
      </c>
      <c r="K477">
        <f>DAY(weather.tbl[[#This Row],[Date]])</f>
        <v>21</v>
      </c>
      <c r="L477">
        <f>MONTH(weather.tbl[[#This Row],[Date]])</f>
        <v>4</v>
      </c>
      <c r="M477">
        <f>YEAR(weather.tbl[[#This Row],[Date]])</f>
        <v>2015</v>
      </c>
    </row>
    <row r="478" spans="1:13" x14ac:dyDescent="0.25">
      <c r="A478" s="1">
        <v>42116</v>
      </c>
      <c r="B478" s="2">
        <v>3.1</v>
      </c>
      <c r="C478" s="2">
        <v>3.3</v>
      </c>
      <c r="D478" s="2">
        <v>2.5</v>
      </c>
      <c r="E478" s="2">
        <v>3.3</v>
      </c>
      <c r="F478" s="2">
        <v>2</v>
      </c>
      <c r="G478" s="2">
        <v>3.7</v>
      </c>
      <c r="H478" s="2">
        <f>AVERAGE(weather.tbl[[#This Row],[Estevan]:[Kipling]])</f>
        <v>2.9833333333333329</v>
      </c>
      <c r="I478" s="2">
        <f>_xlfn.STDEV.S(weather.tbl[[#This Row],[Estevan]:[Kipling]])</f>
        <v>0.62102066524928701</v>
      </c>
      <c r="J478" s="2">
        <f t="shared" si="7"/>
        <v>5.776190476190477</v>
      </c>
      <c r="K478">
        <f>DAY(weather.tbl[[#This Row],[Date]])</f>
        <v>22</v>
      </c>
      <c r="L478">
        <f>MONTH(weather.tbl[[#This Row],[Date]])</f>
        <v>4</v>
      </c>
      <c r="M478">
        <f>YEAR(weather.tbl[[#This Row],[Date]])</f>
        <v>2015</v>
      </c>
    </row>
    <row r="479" spans="1:13" x14ac:dyDescent="0.25">
      <c r="A479" s="1">
        <v>42117</v>
      </c>
      <c r="B479" s="2">
        <v>2.9</v>
      </c>
      <c r="C479" s="2">
        <v>4.5</v>
      </c>
      <c r="D479" s="2">
        <v>3.5</v>
      </c>
      <c r="E479" s="2">
        <v>3.3</v>
      </c>
      <c r="F479" s="2">
        <v>3.9</v>
      </c>
      <c r="G479" s="2">
        <v>3.4</v>
      </c>
      <c r="H479" s="2">
        <f>AVERAGE(weather.tbl[[#This Row],[Estevan]:[Kipling]])</f>
        <v>3.5833333333333326</v>
      </c>
      <c r="I479" s="2">
        <f>_xlfn.STDEV.S(weather.tbl[[#This Row],[Estevan]:[Kipling]])</f>
        <v>0.55287129303904903</v>
      </c>
      <c r="J479" s="2">
        <f t="shared" si="7"/>
        <v>5.1261904761904757</v>
      </c>
      <c r="K479">
        <f>DAY(weather.tbl[[#This Row],[Date]])</f>
        <v>23</v>
      </c>
      <c r="L479">
        <f>MONTH(weather.tbl[[#This Row],[Date]])</f>
        <v>4</v>
      </c>
      <c r="M479">
        <f>YEAR(weather.tbl[[#This Row],[Date]])</f>
        <v>2015</v>
      </c>
    </row>
    <row r="480" spans="1:13" x14ac:dyDescent="0.25">
      <c r="A480" s="1">
        <v>42118</v>
      </c>
      <c r="B480" s="2">
        <v>7.3</v>
      </c>
      <c r="C480" s="2">
        <v>8.1999999999999993</v>
      </c>
      <c r="D480" s="2">
        <v>8.3000000000000007</v>
      </c>
      <c r="E480" s="2">
        <v>7</v>
      </c>
      <c r="F480" s="2">
        <v>7.8</v>
      </c>
      <c r="G480" s="2">
        <v>6.9</v>
      </c>
      <c r="H480" s="2">
        <f>AVERAGE(weather.tbl[[#This Row],[Estevan]:[Kipling]])</f>
        <v>7.583333333333333</v>
      </c>
      <c r="I480" s="2">
        <f>_xlfn.STDEV.S(weather.tbl[[#This Row],[Estevan]:[Kipling]])</f>
        <v>0.60470378423379045</v>
      </c>
      <c r="J480" s="2">
        <f t="shared" si="7"/>
        <v>4.7476190476190467</v>
      </c>
      <c r="K480">
        <f>DAY(weather.tbl[[#This Row],[Date]])</f>
        <v>24</v>
      </c>
      <c r="L480">
        <f>MONTH(weather.tbl[[#This Row],[Date]])</f>
        <v>4</v>
      </c>
      <c r="M480">
        <f>YEAR(weather.tbl[[#This Row],[Date]])</f>
        <v>2015</v>
      </c>
    </row>
    <row r="481" spans="1:13" x14ac:dyDescent="0.25">
      <c r="A481" s="1">
        <v>42119</v>
      </c>
      <c r="B481" s="2">
        <v>9.8000000000000007</v>
      </c>
      <c r="C481" s="2">
        <v>9.5</v>
      </c>
      <c r="D481" s="2">
        <v>8.8000000000000007</v>
      </c>
      <c r="E481" s="2">
        <v>9</v>
      </c>
      <c r="F481" s="2">
        <v>8.8000000000000007</v>
      </c>
      <c r="G481" s="2">
        <v>9.3000000000000007</v>
      </c>
      <c r="H481" s="2">
        <f>AVERAGE(weather.tbl[[#This Row],[Estevan]:[Kipling]])</f>
        <v>9.2000000000000011</v>
      </c>
      <c r="I481" s="2">
        <f>_xlfn.STDEV.S(weather.tbl[[#This Row],[Estevan]:[Kipling]])</f>
        <v>0.40496913462633172</v>
      </c>
      <c r="J481" s="2">
        <f t="shared" si="7"/>
        <v>4.5880952380952378</v>
      </c>
      <c r="K481">
        <f>DAY(weather.tbl[[#This Row],[Date]])</f>
        <v>25</v>
      </c>
      <c r="L481">
        <f>MONTH(weather.tbl[[#This Row],[Date]])</f>
        <v>4</v>
      </c>
      <c r="M481">
        <f>YEAR(weather.tbl[[#This Row],[Date]])</f>
        <v>2015</v>
      </c>
    </row>
    <row r="482" spans="1:13" x14ac:dyDescent="0.25">
      <c r="A482" s="1">
        <v>42120</v>
      </c>
      <c r="B482" s="2">
        <v>7.2</v>
      </c>
      <c r="C482" s="2">
        <v>5.4</v>
      </c>
      <c r="D482" s="2">
        <v>8</v>
      </c>
      <c r="E482" s="2">
        <v>5.5</v>
      </c>
      <c r="F482" s="2">
        <v>10.6</v>
      </c>
      <c r="G482" s="2">
        <v>4.7</v>
      </c>
      <c r="H482" s="2">
        <f>AVERAGE(weather.tbl[[#This Row],[Estevan]:[Kipling]])</f>
        <v>6.9000000000000012</v>
      </c>
      <c r="I482" s="2">
        <f>_xlfn.STDEV.S(weather.tbl[[#This Row],[Estevan]:[Kipling]])</f>
        <v>2.1927152117865174</v>
      </c>
      <c r="J482" s="2">
        <f t="shared" si="7"/>
        <v>5</v>
      </c>
      <c r="K482">
        <f>DAY(weather.tbl[[#This Row],[Date]])</f>
        <v>26</v>
      </c>
      <c r="L482">
        <f>MONTH(weather.tbl[[#This Row],[Date]])</f>
        <v>4</v>
      </c>
      <c r="M482">
        <f>YEAR(weather.tbl[[#This Row],[Date]])</f>
        <v>2015</v>
      </c>
    </row>
    <row r="483" spans="1:13" x14ac:dyDescent="0.25">
      <c r="A483" s="1">
        <v>42121</v>
      </c>
      <c r="B483" s="2">
        <v>9.5</v>
      </c>
      <c r="C483" s="2">
        <v>9.1999999999999993</v>
      </c>
      <c r="D483" s="2">
        <v>9.5</v>
      </c>
      <c r="E483" s="2">
        <v>10.5</v>
      </c>
      <c r="F483" s="2">
        <v>9</v>
      </c>
      <c r="G483" s="2">
        <v>8.5</v>
      </c>
      <c r="H483" s="2">
        <f>AVERAGE(weather.tbl[[#This Row],[Estevan]:[Kipling]])</f>
        <v>9.3666666666666671</v>
      </c>
      <c r="I483" s="2">
        <f>_xlfn.STDEV.S(weather.tbl[[#This Row],[Estevan]:[Kipling]])</f>
        <v>0.668331255192114</v>
      </c>
      <c r="J483" s="2">
        <f t="shared" si="7"/>
        <v>5.95</v>
      </c>
      <c r="K483">
        <f>DAY(weather.tbl[[#This Row],[Date]])</f>
        <v>27</v>
      </c>
      <c r="L483">
        <f>MONTH(weather.tbl[[#This Row],[Date]])</f>
        <v>4</v>
      </c>
      <c r="M483">
        <f>YEAR(weather.tbl[[#This Row],[Date]])</f>
        <v>2015</v>
      </c>
    </row>
    <row r="484" spans="1:13" x14ac:dyDescent="0.25">
      <c r="A484" s="1">
        <v>42122</v>
      </c>
      <c r="B484" s="2">
        <v>10.1</v>
      </c>
      <c r="C484" s="2">
        <v>10.3</v>
      </c>
      <c r="D484" s="2">
        <v>10.3</v>
      </c>
      <c r="E484" s="2">
        <v>12</v>
      </c>
      <c r="F484" s="2">
        <v>10.1</v>
      </c>
      <c r="G484" s="2">
        <v>10.8</v>
      </c>
      <c r="H484" s="2">
        <f>AVERAGE(weather.tbl[[#This Row],[Estevan]:[Kipling]])</f>
        <v>10.600000000000001</v>
      </c>
      <c r="I484" s="2">
        <f>_xlfn.STDEV.S(weather.tbl[[#This Row],[Estevan]:[Kipling]])</f>
        <v>0.73212020870892514</v>
      </c>
      <c r="J484" s="2">
        <f t="shared" si="7"/>
        <v>7.173809523809525</v>
      </c>
      <c r="K484">
        <f>DAY(weather.tbl[[#This Row],[Date]])</f>
        <v>28</v>
      </c>
      <c r="L484">
        <f>MONTH(weather.tbl[[#This Row],[Date]])</f>
        <v>4</v>
      </c>
      <c r="M484">
        <f>YEAR(weather.tbl[[#This Row],[Date]])</f>
        <v>2015</v>
      </c>
    </row>
    <row r="485" spans="1:13" x14ac:dyDescent="0.25">
      <c r="A485" s="1">
        <v>42123</v>
      </c>
      <c r="B485" s="2">
        <v>13.8</v>
      </c>
      <c r="C485" s="2">
        <v>14.3</v>
      </c>
      <c r="D485" s="2">
        <v>15.8</v>
      </c>
      <c r="E485" s="2">
        <v>13.5</v>
      </c>
      <c r="F485" s="2">
        <v>14.3</v>
      </c>
      <c r="G485" s="2">
        <v>15</v>
      </c>
      <c r="H485" s="2">
        <f>AVERAGE(weather.tbl[[#This Row],[Estevan]:[Kipling]])</f>
        <v>14.450000000000001</v>
      </c>
      <c r="I485" s="2">
        <f>_xlfn.STDEV.S(weather.tbl[[#This Row],[Estevan]:[Kipling]])</f>
        <v>0.83606219864313924</v>
      </c>
      <c r="J485" s="2">
        <f t="shared" si="7"/>
        <v>8.8119047619047635</v>
      </c>
      <c r="K485">
        <f>DAY(weather.tbl[[#This Row],[Date]])</f>
        <v>29</v>
      </c>
      <c r="L485">
        <f>MONTH(weather.tbl[[#This Row],[Date]])</f>
        <v>4</v>
      </c>
      <c r="M485">
        <f>YEAR(weather.tbl[[#This Row],[Date]])</f>
        <v>2015</v>
      </c>
    </row>
    <row r="486" spans="1:13" x14ac:dyDescent="0.25">
      <c r="A486" s="1">
        <v>42124</v>
      </c>
      <c r="B486" s="2">
        <v>12.4</v>
      </c>
      <c r="C486" s="2">
        <v>12</v>
      </c>
      <c r="D486" s="2">
        <v>13.3</v>
      </c>
      <c r="E486" s="2">
        <v>15.3</v>
      </c>
      <c r="F486" s="2">
        <v>13.3</v>
      </c>
      <c r="G486" s="2">
        <v>13.5</v>
      </c>
      <c r="H486" s="2">
        <f>AVERAGE(weather.tbl[[#This Row],[Estevan]:[Kipling]])</f>
        <v>13.299999999999999</v>
      </c>
      <c r="I486" s="2">
        <f>_xlfn.STDEV.S(weather.tbl[[#This Row],[Estevan]:[Kipling]])</f>
        <v>1.1436782764396638</v>
      </c>
      <c r="J486" s="2">
        <f t="shared" si="7"/>
        <v>10.200000000000001</v>
      </c>
      <c r="K486">
        <f>DAY(weather.tbl[[#This Row],[Date]])</f>
        <v>30</v>
      </c>
      <c r="L486">
        <f>MONTH(weather.tbl[[#This Row],[Date]])</f>
        <v>4</v>
      </c>
      <c r="M486">
        <f>YEAR(weather.tbl[[#This Row],[Date]])</f>
        <v>2015</v>
      </c>
    </row>
    <row r="487" spans="1:13" x14ac:dyDescent="0.25">
      <c r="A487" s="1">
        <v>42125</v>
      </c>
      <c r="B487" s="2">
        <v>12.7</v>
      </c>
      <c r="C487" s="2">
        <v>11.6</v>
      </c>
      <c r="D487" s="2">
        <v>12.5</v>
      </c>
      <c r="E487" s="2">
        <v>13.5</v>
      </c>
      <c r="F487" s="2">
        <v>13.9</v>
      </c>
      <c r="G487" s="2">
        <v>13.7</v>
      </c>
      <c r="H487" s="2">
        <f>AVERAGE(weather.tbl[[#This Row],[Estevan]:[Kipling]])</f>
        <v>12.983333333333334</v>
      </c>
      <c r="I487" s="2">
        <f>_xlfn.STDEV.S(weather.tbl[[#This Row],[Estevan]:[Kipling]])</f>
        <v>0.87730648388500299</v>
      </c>
      <c r="J487" s="2">
        <f t="shared" si="7"/>
        <v>10.971428571428573</v>
      </c>
      <c r="K487">
        <f>DAY(weather.tbl[[#This Row],[Date]])</f>
        <v>1</v>
      </c>
      <c r="L487">
        <f>MONTH(weather.tbl[[#This Row],[Date]])</f>
        <v>5</v>
      </c>
      <c r="M487">
        <f>YEAR(weather.tbl[[#This Row],[Date]])</f>
        <v>2015</v>
      </c>
    </row>
    <row r="488" spans="1:13" x14ac:dyDescent="0.25">
      <c r="A488" s="1">
        <v>42126</v>
      </c>
      <c r="B488" s="2">
        <v>13.4</v>
      </c>
      <c r="C488" s="2">
        <v>12.3</v>
      </c>
      <c r="D488" s="2">
        <v>15</v>
      </c>
      <c r="E488" s="2">
        <v>14.8</v>
      </c>
      <c r="F488" s="2">
        <v>16.100000000000001</v>
      </c>
      <c r="G488" s="2">
        <v>13.2</v>
      </c>
      <c r="H488" s="2">
        <f>AVERAGE(weather.tbl[[#This Row],[Estevan]:[Kipling]])</f>
        <v>14.133333333333333</v>
      </c>
      <c r="I488" s="2">
        <f>_xlfn.STDEV.S(weather.tbl[[#This Row],[Estevan]:[Kipling]])</f>
        <v>1.402378931197509</v>
      </c>
      <c r="J488" s="2">
        <f t="shared" si="7"/>
        <v>11.676190476190474</v>
      </c>
      <c r="K488">
        <f>DAY(weather.tbl[[#This Row],[Date]])</f>
        <v>2</v>
      </c>
      <c r="L488">
        <f>MONTH(weather.tbl[[#This Row],[Date]])</f>
        <v>5</v>
      </c>
      <c r="M488">
        <f>YEAR(weather.tbl[[#This Row],[Date]])</f>
        <v>2015</v>
      </c>
    </row>
    <row r="489" spans="1:13" x14ac:dyDescent="0.25">
      <c r="A489" s="1">
        <v>42127</v>
      </c>
      <c r="B489" s="2">
        <v>9</v>
      </c>
      <c r="C489" s="2">
        <v>8.4</v>
      </c>
      <c r="D489" s="2">
        <v>9.3000000000000007</v>
      </c>
      <c r="E489" s="2">
        <v>11</v>
      </c>
      <c r="F489" s="2">
        <v>10.3</v>
      </c>
      <c r="G489" s="2">
        <v>8.5</v>
      </c>
      <c r="H489" s="2">
        <f>AVERAGE(weather.tbl[[#This Row],[Estevan]:[Kipling]])</f>
        <v>9.4166666666666661</v>
      </c>
      <c r="I489" s="2">
        <f>_xlfn.STDEV.S(weather.tbl[[#This Row],[Estevan]:[Kipling]])</f>
        <v>1.0342469079802301</v>
      </c>
      <c r="J489" s="2">
        <f t="shared" si="7"/>
        <v>12.035714285714288</v>
      </c>
      <c r="K489">
        <f>DAY(weather.tbl[[#This Row],[Date]])</f>
        <v>3</v>
      </c>
      <c r="L489">
        <f>MONTH(weather.tbl[[#This Row],[Date]])</f>
        <v>5</v>
      </c>
      <c r="M489">
        <f>YEAR(weather.tbl[[#This Row],[Date]])</f>
        <v>2015</v>
      </c>
    </row>
    <row r="490" spans="1:13" x14ac:dyDescent="0.25">
      <c r="A490" s="1">
        <v>42128</v>
      </c>
      <c r="B490" s="2">
        <v>10.3</v>
      </c>
      <c r="C490" s="2">
        <v>10.199999999999999</v>
      </c>
      <c r="D490" s="2">
        <v>10</v>
      </c>
      <c r="E490" s="2">
        <v>11</v>
      </c>
      <c r="F490" s="2">
        <v>9.8000000000000007</v>
      </c>
      <c r="G490" s="2">
        <v>10.3</v>
      </c>
      <c r="H490" s="2">
        <f>AVERAGE(weather.tbl[[#This Row],[Estevan]:[Kipling]])</f>
        <v>10.266666666666666</v>
      </c>
      <c r="I490" s="2">
        <f>_xlfn.STDEV.S(weather.tbl[[#This Row],[Estevan]:[Kipling]])</f>
        <v>0.40824829046386285</v>
      </c>
      <c r="J490" s="2">
        <f t="shared" si="7"/>
        <v>12.164285714285715</v>
      </c>
      <c r="K490">
        <f>DAY(weather.tbl[[#This Row],[Date]])</f>
        <v>4</v>
      </c>
      <c r="L490">
        <f>MONTH(weather.tbl[[#This Row],[Date]])</f>
        <v>5</v>
      </c>
      <c r="M490">
        <f>YEAR(weather.tbl[[#This Row],[Date]])</f>
        <v>2015</v>
      </c>
    </row>
    <row r="491" spans="1:13" x14ac:dyDescent="0.25">
      <c r="A491" s="1">
        <v>42129</v>
      </c>
      <c r="B491" s="2">
        <v>16.3</v>
      </c>
      <c r="C491" s="2">
        <v>16.7</v>
      </c>
      <c r="D491" s="2">
        <v>15</v>
      </c>
      <c r="E491" s="2">
        <v>16</v>
      </c>
      <c r="F491" s="2">
        <v>15.9</v>
      </c>
      <c r="G491" s="2">
        <v>16.600000000000001</v>
      </c>
      <c r="H491" s="2">
        <f>AVERAGE(weather.tbl[[#This Row],[Estevan]:[Kipling]])</f>
        <v>16.083333333333332</v>
      </c>
      <c r="I491" s="2">
        <f>_xlfn.STDEV.S(weather.tbl[[#This Row],[Estevan]:[Kipling]])</f>
        <v>0.61779176642835476</v>
      </c>
      <c r="J491" s="2">
        <f t="shared" si="7"/>
        <v>12.947619047619046</v>
      </c>
      <c r="K491">
        <f>DAY(weather.tbl[[#This Row],[Date]])</f>
        <v>5</v>
      </c>
      <c r="L491">
        <f>MONTH(weather.tbl[[#This Row],[Date]])</f>
        <v>5</v>
      </c>
      <c r="M491">
        <f>YEAR(weather.tbl[[#This Row],[Date]])</f>
        <v>2015</v>
      </c>
    </row>
    <row r="492" spans="1:13" x14ac:dyDescent="0.25">
      <c r="A492" s="1">
        <v>42130</v>
      </c>
      <c r="B492" s="2">
        <v>13.9</v>
      </c>
      <c r="C492" s="2">
        <v>13.6</v>
      </c>
      <c r="D492" s="2">
        <v>13.5</v>
      </c>
      <c r="E492" s="2">
        <v>13.5</v>
      </c>
      <c r="F492" s="2">
        <v>15.6</v>
      </c>
      <c r="G492" s="2">
        <v>13.6</v>
      </c>
      <c r="H492" s="2">
        <f>AVERAGE(weather.tbl[[#This Row],[Estevan]:[Kipling]])</f>
        <v>13.949999999999998</v>
      </c>
      <c r="I492" s="2">
        <f>_xlfn.STDEV.S(weather.tbl[[#This Row],[Estevan]:[Kipling]])</f>
        <v>0.82158383625774922</v>
      </c>
      <c r="J492" s="2">
        <f t="shared" si="7"/>
        <v>12.876190476190475</v>
      </c>
      <c r="K492">
        <f>DAY(weather.tbl[[#This Row],[Date]])</f>
        <v>6</v>
      </c>
      <c r="L492">
        <f>MONTH(weather.tbl[[#This Row],[Date]])</f>
        <v>5</v>
      </c>
      <c r="M492">
        <f>YEAR(weather.tbl[[#This Row],[Date]])</f>
        <v>2015</v>
      </c>
    </row>
    <row r="493" spans="1:13" x14ac:dyDescent="0.25">
      <c r="A493" s="1">
        <v>42131</v>
      </c>
      <c r="B493" s="2">
        <v>5.9</v>
      </c>
      <c r="C493" s="2">
        <v>6</v>
      </c>
      <c r="D493" s="2">
        <v>8.8000000000000007</v>
      </c>
      <c r="E493" s="2">
        <v>6.8</v>
      </c>
      <c r="F493" s="2">
        <v>9.1999999999999993</v>
      </c>
      <c r="G493" s="2">
        <v>5.8</v>
      </c>
      <c r="H493" s="2">
        <f>AVERAGE(weather.tbl[[#This Row],[Estevan]:[Kipling]])</f>
        <v>7.083333333333333</v>
      </c>
      <c r="I493" s="2">
        <f>_xlfn.STDEV.S(weather.tbl[[#This Row],[Estevan]:[Kipling]])</f>
        <v>1.5315569420255517</v>
      </c>
      <c r="J493" s="2">
        <f t="shared" si="7"/>
        <v>11.988095238095237</v>
      </c>
      <c r="K493">
        <f>DAY(weather.tbl[[#This Row],[Date]])</f>
        <v>7</v>
      </c>
      <c r="L493">
        <f>MONTH(weather.tbl[[#This Row],[Date]])</f>
        <v>5</v>
      </c>
      <c r="M493">
        <f>YEAR(weather.tbl[[#This Row],[Date]])</f>
        <v>2015</v>
      </c>
    </row>
    <row r="494" spans="1:13" x14ac:dyDescent="0.25">
      <c r="A494" s="1">
        <v>42132</v>
      </c>
      <c r="B494" s="2">
        <v>3</v>
      </c>
      <c r="C494" s="2">
        <v>2</v>
      </c>
      <c r="D494" s="2">
        <v>3.3</v>
      </c>
      <c r="E494" s="2">
        <v>3.5</v>
      </c>
      <c r="F494" s="2">
        <v>3.4</v>
      </c>
      <c r="G494" s="2">
        <v>2.2000000000000002</v>
      </c>
      <c r="H494" s="2">
        <f>AVERAGE(weather.tbl[[#This Row],[Estevan]:[Kipling]])</f>
        <v>2.9000000000000004</v>
      </c>
      <c r="I494" s="2">
        <f>_xlfn.STDEV.S(weather.tbl[[#This Row],[Estevan]:[Kipling]])</f>
        <v>0.64498061986388366</v>
      </c>
      <c r="J494" s="2">
        <f t="shared" si="7"/>
        <v>10.547619047619047</v>
      </c>
      <c r="K494">
        <f>DAY(weather.tbl[[#This Row],[Date]])</f>
        <v>8</v>
      </c>
      <c r="L494">
        <f>MONTH(weather.tbl[[#This Row],[Date]])</f>
        <v>5</v>
      </c>
      <c r="M494">
        <f>YEAR(weather.tbl[[#This Row],[Date]])</f>
        <v>2015</v>
      </c>
    </row>
    <row r="495" spans="1:13" x14ac:dyDescent="0.25">
      <c r="A495" s="1">
        <v>42133</v>
      </c>
      <c r="B495" s="2">
        <v>4.5999999999999996</v>
      </c>
      <c r="C495" s="2">
        <v>3.7</v>
      </c>
      <c r="D495" s="2">
        <v>4</v>
      </c>
      <c r="E495" s="2">
        <v>4.3</v>
      </c>
      <c r="F495" s="2">
        <v>3.8</v>
      </c>
      <c r="G495" s="2">
        <v>4.4000000000000004</v>
      </c>
      <c r="H495" s="2">
        <f>AVERAGE(weather.tbl[[#This Row],[Estevan]:[Kipling]])</f>
        <v>4.1333333333333337</v>
      </c>
      <c r="I495" s="2">
        <f>_xlfn.STDEV.S(weather.tbl[[#This Row],[Estevan]:[Kipling]])</f>
        <v>0.35590260840104371</v>
      </c>
      <c r="J495" s="2">
        <f t="shared" si="7"/>
        <v>9.1190476190476186</v>
      </c>
      <c r="K495">
        <f>DAY(weather.tbl[[#This Row],[Date]])</f>
        <v>9</v>
      </c>
      <c r="L495">
        <f>MONTH(weather.tbl[[#This Row],[Date]])</f>
        <v>5</v>
      </c>
      <c r="M495">
        <f>YEAR(weather.tbl[[#This Row],[Date]])</f>
        <v>2015</v>
      </c>
    </row>
    <row r="496" spans="1:13" x14ac:dyDescent="0.25">
      <c r="A496" s="1">
        <v>42134</v>
      </c>
      <c r="B496" s="2">
        <v>5.7</v>
      </c>
      <c r="C496" s="2">
        <v>4.9000000000000004</v>
      </c>
      <c r="D496" s="2">
        <v>5.3</v>
      </c>
      <c r="E496" s="2">
        <v>6.8</v>
      </c>
      <c r="F496" s="2">
        <v>4.9000000000000004</v>
      </c>
      <c r="G496" s="2">
        <v>6.9</v>
      </c>
      <c r="H496" s="2">
        <f>AVERAGE(weather.tbl[[#This Row],[Estevan]:[Kipling]])</f>
        <v>5.75</v>
      </c>
      <c r="I496" s="2">
        <f>_xlfn.STDEV.S(weather.tbl[[#This Row],[Estevan]:[Kipling]])</f>
        <v>0.9027735042633882</v>
      </c>
      <c r="J496" s="2">
        <f t="shared" si="7"/>
        <v>8.5952380952380949</v>
      </c>
      <c r="K496">
        <f>DAY(weather.tbl[[#This Row],[Date]])</f>
        <v>10</v>
      </c>
      <c r="L496">
        <f>MONTH(weather.tbl[[#This Row],[Date]])</f>
        <v>5</v>
      </c>
      <c r="M496">
        <f>YEAR(weather.tbl[[#This Row],[Date]])</f>
        <v>2015</v>
      </c>
    </row>
    <row r="497" spans="1:13" x14ac:dyDescent="0.25">
      <c r="A497" s="1">
        <v>42135</v>
      </c>
      <c r="B497" s="2">
        <v>5.9</v>
      </c>
      <c r="C497" s="2">
        <v>7</v>
      </c>
      <c r="D497" s="2">
        <v>7</v>
      </c>
      <c r="E497" s="2">
        <v>8.8000000000000007</v>
      </c>
      <c r="F497" s="2">
        <v>7.1</v>
      </c>
      <c r="G497" s="2">
        <v>6.1</v>
      </c>
      <c r="H497" s="2">
        <f>AVERAGE(weather.tbl[[#This Row],[Estevan]:[Kipling]])</f>
        <v>6.9833333333333334</v>
      </c>
      <c r="I497" s="2">
        <f>_xlfn.STDEV.S(weather.tbl[[#This Row],[Estevan]:[Kipling]])</f>
        <v>1.0264826674945191</v>
      </c>
      <c r="J497" s="2">
        <f t="shared" si="7"/>
        <v>8.1261904761904766</v>
      </c>
      <c r="K497">
        <f>DAY(weather.tbl[[#This Row],[Date]])</f>
        <v>11</v>
      </c>
      <c r="L497">
        <f>MONTH(weather.tbl[[#This Row],[Date]])</f>
        <v>5</v>
      </c>
      <c r="M497">
        <f>YEAR(weather.tbl[[#This Row],[Date]])</f>
        <v>2015</v>
      </c>
    </row>
    <row r="498" spans="1:13" x14ac:dyDescent="0.25">
      <c r="A498" s="1">
        <v>42136</v>
      </c>
      <c r="B498" s="2">
        <v>8.6</v>
      </c>
      <c r="C498" s="2">
        <v>8.6999999999999993</v>
      </c>
      <c r="D498" s="2">
        <v>6.8</v>
      </c>
      <c r="E498" s="2">
        <v>8.5</v>
      </c>
      <c r="F498" s="2">
        <v>5.9</v>
      </c>
      <c r="G498" s="2">
        <v>6.1</v>
      </c>
      <c r="H498" s="2">
        <f>AVERAGE(weather.tbl[[#This Row],[Estevan]:[Kipling]])</f>
        <v>7.4333333333333327</v>
      </c>
      <c r="I498" s="2">
        <f>_xlfn.STDEV.S(weather.tbl[[#This Row],[Estevan]:[Kipling]])</f>
        <v>1.3140268896284719</v>
      </c>
      <c r="J498" s="2">
        <f t="shared" si="7"/>
        <v>6.89047619047619</v>
      </c>
      <c r="K498">
        <f>DAY(weather.tbl[[#This Row],[Date]])</f>
        <v>12</v>
      </c>
      <c r="L498">
        <f>MONTH(weather.tbl[[#This Row],[Date]])</f>
        <v>5</v>
      </c>
      <c r="M498">
        <f>YEAR(weather.tbl[[#This Row],[Date]])</f>
        <v>2015</v>
      </c>
    </row>
    <row r="499" spans="1:13" x14ac:dyDescent="0.25">
      <c r="A499" s="1">
        <v>42137</v>
      </c>
      <c r="B499" s="2">
        <v>7.2</v>
      </c>
      <c r="C499" s="2">
        <v>6.6</v>
      </c>
      <c r="D499" s="2">
        <v>5.8</v>
      </c>
      <c r="E499" s="2">
        <v>7</v>
      </c>
      <c r="F499" s="2">
        <v>7.2</v>
      </c>
      <c r="G499" s="2">
        <v>6.1</v>
      </c>
      <c r="H499" s="2">
        <f>AVERAGE(weather.tbl[[#This Row],[Estevan]:[Kipling]])</f>
        <v>6.6500000000000012</v>
      </c>
      <c r="I499" s="2">
        <f>_xlfn.STDEV.S(weather.tbl[[#This Row],[Estevan]:[Kipling]])</f>
        <v>0.59245252974394513</v>
      </c>
      <c r="J499" s="2">
        <f t="shared" si="7"/>
        <v>5.8476190476190473</v>
      </c>
      <c r="K499">
        <f>DAY(weather.tbl[[#This Row],[Date]])</f>
        <v>13</v>
      </c>
      <c r="L499">
        <f>MONTH(weather.tbl[[#This Row],[Date]])</f>
        <v>5</v>
      </c>
      <c r="M499">
        <f>YEAR(weather.tbl[[#This Row],[Date]])</f>
        <v>2015</v>
      </c>
    </row>
    <row r="500" spans="1:13" x14ac:dyDescent="0.25">
      <c r="A500" s="1">
        <v>42138</v>
      </c>
      <c r="B500" s="2">
        <v>6.5</v>
      </c>
      <c r="C500" s="2">
        <v>7.5</v>
      </c>
      <c r="D500" s="2">
        <v>7.8</v>
      </c>
      <c r="E500" s="2">
        <v>9.5</v>
      </c>
      <c r="F500" s="2">
        <v>7.2</v>
      </c>
      <c r="G500" s="2">
        <v>8.3000000000000007</v>
      </c>
      <c r="H500" s="2">
        <f>AVERAGE(weather.tbl[[#This Row],[Estevan]:[Kipling]])</f>
        <v>7.8</v>
      </c>
      <c r="I500" s="2">
        <f>_xlfn.STDEV.S(weather.tbl[[#This Row],[Estevan]:[Kipling]])</f>
        <v>1.0276186062932189</v>
      </c>
      <c r="J500" s="2">
        <f t="shared" si="7"/>
        <v>5.95</v>
      </c>
      <c r="K500">
        <f>DAY(weather.tbl[[#This Row],[Date]])</f>
        <v>14</v>
      </c>
      <c r="L500">
        <f>MONTH(weather.tbl[[#This Row],[Date]])</f>
        <v>5</v>
      </c>
      <c r="M500">
        <f>YEAR(weather.tbl[[#This Row],[Date]])</f>
        <v>2015</v>
      </c>
    </row>
    <row r="501" spans="1:13" x14ac:dyDescent="0.25">
      <c r="A501" s="1">
        <v>42139</v>
      </c>
      <c r="B501" s="2">
        <v>8</v>
      </c>
      <c r="C501" s="2">
        <v>8.1999999999999993</v>
      </c>
      <c r="D501" s="2">
        <v>8</v>
      </c>
      <c r="E501" s="2">
        <v>9.8000000000000007</v>
      </c>
      <c r="F501" s="2">
        <v>10.4</v>
      </c>
      <c r="G501" s="2">
        <v>9.6999999999999993</v>
      </c>
      <c r="H501" s="2">
        <f>AVERAGE(weather.tbl[[#This Row],[Estevan]:[Kipling]])</f>
        <v>9.0166666666666657</v>
      </c>
      <c r="I501" s="2">
        <f>_xlfn.STDEV.S(weather.tbl[[#This Row],[Estevan]:[Kipling]])</f>
        <v>1.0703581954965793</v>
      </c>
      <c r="J501" s="2">
        <f t="shared" si="7"/>
        <v>6.8238095238095235</v>
      </c>
      <c r="K501">
        <f>DAY(weather.tbl[[#This Row],[Date]])</f>
        <v>15</v>
      </c>
      <c r="L501">
        <f>MONTH(weather.tbl[[#This Row],[Date]])</f>
        <v>5</v>
      </c>
      <c r="M501">
        <f>YEAR(weather.tbl[[#This Row],[Date]])</f>
        <v>2015</v>
      </c>
    </row>
    <row r="502" spans="1:13" x14ac:dyDescent="0.25">
      <c r="A502" s="1">
        <v>42140</v>
      </c>
      <c r="B502" s="2">
        <v>7.8</v>
      </c>
      <c r="C502" s="2">
        <v>11.1</v>
      </c>
      <c r="D502" s="2">
        <v>8</v>
      </c>
      <c r="E502" s="2">
        <v>10</v>
      </c>
      <c r="F502" s="2">
        <v>8.5</v>
      </c>
      <c r="G502" s="2">
        <v>11.5</v>
      </c>
      <c r="H502" s="2">
        <f>AVERAGE(weather.tbl[[#This Row],[Estevan]:[Kipling]])</f>
        <v>9.4833333333333325</v>
      </c>
      <c r="I502" s="2">
        <f>_xlfn.STDEV.S(weather.tbl[[#This Row],[Estevan]:[Kipling]])</f>
        <v>1.609244128983131</v>
      </c>
      <c r="J502" s="2">
        <f t="shared" si="7"/>
        <v>7.5880952380952378</v>
      </c>
      <c r="K502">
        <f>DAY(weather.tbl[[#This Row],[Date]])</f>
        <v>16</v>
      </c>
      <c r="L502">
        <f>MONTH(weather.tbl[[#This Row],[Date]])</f>
        <v>5</v>
      </c>
      <c r="M502">
        <f>YEAR(weather.tbl[[#This Row],[Date]])</f>
        <v>2015</v>
      </c>
    </row>
    <row r="503" spans="1:13" x14ac:dyDescent="0.25">
      <c r="A503" s="1">
        <v>42141</v>
      </c>
      <c r="B503" s="2">
        <v>5.2</v>
      </c>
      <c r="C503" s="2">
        <v>4.8</v>
      </c>
      <c r="D503" s="2">
        <v>8</v>
      </c>
      <c r="E503" s="2">
        <v>5</v>
      </c>
      <c r="F503" s="2">
        <v>4.4000000000000004</v>
      </c>
      <c r="G503" s="2">
        <v>1.7</v>
      </c>
      <c r="H503" s="2">
        <f>AVERAGE(weather.tbl[[#This Row],[Estevan]:[Kipling]])</f>
        <v>4.8499999999999996</v>
      </c>
      <c r="I503" s="2">
        <f>_xlfn.STDEV.S(weather.tbl[[#This Row],[Estevan]:[Kipling]])</f>
        <v>2.0097263495312001</v>
      </c>
      <c r="J503" s="2">
        <f t="shared" si="7"/>
        <v>7.4595238095238097</v>
      </c>
      <c r="K503">
        <f>DAY(weather.tbl[[#This Row],[Date]])</f>
        <v>17</v>
      </c>
      <c r="L503">
        <f>MONTH(weather.tbl[[#This Row],[Date]])</f>
        <v>5</v>
      </c>
      <c r="M503">
        <f>YEAR(weather.tbl[[#This Row],[Date]])</f>
        <v>2015</v>
      </c>
    </row>
    <row r="504" spans="1:13" x14ac:dyDescent="0.25">
      <c r="A504" s="1">
        <v>42142</v>
      </c>
      <c r="B504" s="2">
        <v>4</v>
      </c>
      <c r="C504" s="2">
        <v>3.5</v>
      </c>
      <c r="D504" s="2">
        <v>8</v>
      </c>
      <c r="E504" s="2">
        <v>5.5</v>
      </c>
      <c r="F504" s="2">
        <v>4.9000000000000004</v>
      </c>
      <c r="G504" s="2">
        <v>4.0999999999999996</v>
      </c>
      <c r="H504" s="2">
        <f>AVERAGE(weather.tbl[[#This Row],[Estevan]:[Kipling]])</f>
        <v>5</v>
      </c>
      <c r="I504" s="2">
        <f>_xlfn.STDEV.S(weather.tbl[[#This Row],[Estevan]:[Kipling]])</f>
        <v>1.6321764610482528</v>
      </c>
      <c r="J504" s="2">
        <f t="shared" si="7"/>
        <v>7.1761904761904765</v>
      </c>
      <c r="K504">
        <f>DAY(weather.tbl[[#This Row],[Date]])</f>
        <v>18</v>
      </c>
      <c r="L504">
        <f>MONTH(weather.tbl[[#This Row],[Date]])</f>
        <v>5</v>
      </c>
      <c r="M504">
        <f>YEAR(weather.tbl[[#This Row],[Date]])</f>
        <v>2015</v>
      </c>
    </row>
    <row r="505" spans="1:13" x14ac:dyDescent="0.25">
      <c r="A505" s="1">
        <v>42143</v>
      </c>
      <c r="B505" s="2">
        <v>7.7</v>
      </c>
      <c r="C505" s="2">
        <v>7.3</v>
      </c>
      <c r="D505" s="2">
        <v>7.8</v>
      </c>
      <c r="E505" s="2">
        <v>8.3000000000000007</v>
      </c>
      <c r="F505" s="2">
        <v>7.9</v>
      </c>
      <c r="G505" s="2">
        <v>8.6999999999999993</v>
      </c>
      <c r="H505" s="2">
        <f>AVERAGE(weather.tbl[[#This Row],[Estevan]:[Kipling]])</f>
        <v>7.95</v>
      </c>
      <c r="I505" s="2">
        <f>_xlfn.STDEV.S(weather.tbl[[#This Row],[Estevan]:[Kipling]])</f>
        <v>0.48887626246321259</v>
      </c>
      <c r="J505" s="2">
        <f t="shared" si="7"/>
        <v>7.2500000000000009</v>
      </c>
      <c r="K505">
        <f>DAY(weather.tbl[[#This Row],[Date]])</f>
        <v>19</v>
      </c>
      <c r="L505">
        <f>MONTH(weather.tbl[[#This Row],[Date]])</f>
        <v>5</v>
      </c>
      <c r="M505">
        <f>YEAR(weather.tbl[[#This Row],[Date]])</f>
        <v>2015</v>
      </c>
    </row>
    <row r="506" spans="1:13" x14ac:dyDescent="0.25">
      <c r="A506" s="1">
        <v>42144</v>
      </c>
      <c r="B506" s="2">
        <v>12</v>
      </c>
      <c r="C506" s="2">
        <v>12.6</v>
      </c>
      <c r="D506" s="2">
        <v>12.5</v>
      </c>
      <c r="E506" s="2">
        <v>13.8</v>
      </c>
      <c r="F506" s="2">
        <v>13.9</v>
      </c>
      <c r="G506" s="2">
        <v>12.8</v>
      </c>
      <c r="H506" s="2">
        <f>AVERAGE(weather.tbl[[#This Row],[Estevan]:[Kipling]])</f>
        <v>12.933333333333335</v>
      </c>
      <c r="I506" s="2">
        <f>_xlfn.STDEV.S(weather.tbl[[#This Row],[Estevan]:[Kipling]])</f>
        <v>0.75806771905065784</v>
      </c>
      <c r="J506" s="2">
        <f t="shared" si="7"/>
        <v>8.1476190476190489</v>
      </c>
      <c r="K506">
        <f>DAY(weather.tbl[[#This Row],[Date]])</f>
        <v>20</v>
      </c>
      <c r="L506">
        <f>MONTH(weather.tbl[[#This Row],[Date]])</f>
        <v>5</v>
      </c>
      <c r="M506">
        <f>YEAR(weather.tbl[[#This Row],[Date]])</f>
        <v>2015</v>
      </c>
    </row>
    <row r="507" spans="1:13" x14ac:dyDescent="0.25">
      <c r="A507" s="1">
        <v>42145</v>
      </c>
      <c r="B507" s="2">
        <v>14.3</v>
      </c>
      <c r="C507" s="2">
        <v>13.5</v>
      </c>
      <c r="D507" s="2">
        <v>14.5</v>
      </c>
      <c r="E507" s="2">
        <v>15</v>
      </c>
      <c r="F507" s="2">
        <v>15</v>
      </c>
      <c r="G507" s="2">
        <v>15.1</v>
      </c>
      <c r="H507" s="2">
        <f>AVERAGE(weather.tbl[[#This Row],[Estevan]:[Kipling]])</f>
        <v>14.566666666666665</v>
      </c>
      <c r="I507" s="2">
        <f>_xlfn.STDEV.S(weather.tbl[[#This Row],[Estevan]:[Kipling]])</f>
        <v>0.61210020966069489</v>
      </c>
      <c r="J507" s="2">
        <f t="shared" si="7"/>
        <v>9.1142857142857157</v>
      </c>
      <c r="K507">
        <f>DAY(weather.tbl[[#This Row],[Date]])</f>
        <v>21</v>
      </c>
      <c r="L507">
        <f>MONTH(weather.tbl[[#This Row],[Date]])</f>
        <v>5</v>
      </c>
      <c r="M507">
        <f>YEAR(weather.tbl[[#This Row],[Date]])</f>
        <v>2015</v>
      </c>
    </row>
    <row r="508" spans="1:13" x14ac:dyDescent="0.25">
      <c r="A508" s="1">
        <v>42146</v>
      </c>
      <c r="B508" s="2">
        <v>15.4</v>
      </c>
      <c r="C508" s="2">
        <v>14.7</v>
      </c>
      <c r="D508" s="2">
        <v>15.8</v>
      </c>
      <c r="E508" s="2">
        <v>15.5</v>
      </c>
      <c r="F508" s="2">
        <v>16.399999999999999</v>
      </c>
      <c r="G508" s="2">
        <v>17.2</v>
      </c>
      <c r="H508" s="2">
        <f>AVERAGE(weather.tbl[[#This Row],[Estevan]:[Kipling]])</f>
        <v>15.833333333333336</v>
      </c>
      <c r="I508" s="2">
        <f>_xlfn.STDEV.S(weather.tbl[[#This Row],[Estevan]:[Kipling]])</f>
        <v>0.86871552689396903</v>
      </c>
      <c r="J508" s="2">
        <f t="shared" si="7"/>
        <v>10.088095238095239</v>
      </c>
      <c r="K508">
        <f>DAY(weather.tbl[[#This Row],[Date]])</f>
        <v>22</v>
      </c>
      <c r="L508">
        <f>MONTH(weather.tbl[[#This Row],[Date]])</f>
        <v>5</v>
      </c>
      <c r="M508">
        <f>YEAR(weather.tbl[[#This Row],[Date]])</f>
        <v>2015</v>
      </c>
    </row>
    <row r="509" spans="1:13" x14ac:dyDescent="0.25">
      <c r="A509" s="1">
        <v>42147</v>
      </c>
      <c r="B509" s="2">
        <v>16.399999999999999</v>
      </c>
      <c r="C509" s="2">
        <v>15.5</v>
      </c>
      <c r="D509" s="2">
        <v>17.3</v>
      </c>
      <c r="E509" s="2">
        <v>17.5</v>
      </c>
      <c r="F509" s="2">
        <v>17.899999999999999</v>
      </c>
      <c r="G509" s="2">
        <v>17.600000000000001</v>
      </c>
      <c r="H509" s="2">
        <f>AVERAGE(weather.tbl[[#This Row],[Estevan]:[Kipling]])</f>
        <v>17.033333333333331</v>
      </c>
      <c r="I509" s="2">
        <f>_xlfn.STDEV.S(weather.tbl[[#This Row],[Estevan]:[Kipling]])</f>
        <v>0.90700973901423287</v>
      </c>
      <c r="J509" s="2">
        <f t="shared" si="7"/>
        <v>11.166666666666666</v>
      </c>
      <c r="K509">
        <f>DAY(weather.tbl[[#This Row],[Date]])</f>
        <v>23</v>
      </c>
      <c r="L509">
        <f>MONTH(weather.tbl[[#This Row],[Date]])</f>
        <v>5</v>
      </c>
      <c r="M509">
        <f>YEAR(weather.tbl[[#This Row],[Date]])</f>
        <v>2015</v>
      </c>
    </row>
    <row r="510" spans="1:13" x14ac:dyDescent="0.25">
      <c r="A510" s="1">
        <v>42148</v>
      </c>
      <c r="B510" s="2">
        <v>16.3</v>
      </c>
      <c r="C510" s="2">
        <v>16.5</v>
      </c>
      <c r="D510" s="2">
        <v>17</v>
      </c>
      <c r="E510" s="2">
        <v>18.5</v>
      </c>
      <c r="F510" s="2">
        <v>18.3</v>
      </c>
      <c r="G510" s="2">
        <v>18.2</v>
      </c>
      <c r="H510" s="2">
        <f>AVERAGE(weather.tbl[[#This Row],[Estevan]:[Kipling]])</f>
        <v>17.466666666666665</v>
      </c>
      <c r="I510" s="2">
        <f>_xlfn.STDEV.S(weather.tbl[[#This Row],[Estevan]:[Kipling]])</f>
        <v>0.98115578103921208</v>
      </c>
      <c r="J510" s="2">
        <f t="shared" si="7"/>
        <v>12.969047619047618</v>
      </c>
      <c r="K510">
        <f>DAY(weather.tbl[[#This Row],[Date]])</f>
        <v>24</v>
      </c>
      <c r="L510">
        <f>MONTH(weather.tbl[[#This Row],[Date]])</f>
        <v>5</v>
      </c>
      <c r="M510">
        <f>YEAR(weather.tbl[[#This Row],[Date]])</f>
        <v>2015</v>
      </c>
    </row>
    <row r="511" spans="1:13" x14ac:dyDescent="0.25">
      <c r="A511" s="1">
        <v>42149</v>
      </c>
      <c r="B511" s="2">
        <v>16.399999999999999</v>
      </c>
      <c r="C511" s="2">
        <v>16.899999999999999</v>
      </c>
      <c r="D511" s="2">
        <v>17.3</v>
      </c>
      <c r="E511" s="2">
        <v>17</v>
      </c>
      <c r="F511" s="2">
        <v>19.100000000000001</v>
      </c>
      <c r="G511" s="2">
        <v>18.399999999999999</v>
      </c>
      <c r="H511" s="2">
        <f>AVERAGE(weather.tbl[[#This Row],[Estevan]:[Kipling]])</f>
        <v>17.516666666666666</v>
      </c>
      <c r="I511" s="2">
        <f>_xlfn.STDEV.S(weather.tbl[[#This Row],[Estevan]:[Kipling]])</f>
        <v>1.0225784403490363</v>
      </c>
      <c r="J511" s="2">
        <f t="shared" si="7"/>
        <v>14.757142857142856</v>
      </c>
      <c r="K511">
        <f>DAY(weather.tbl[[#This Row],[Date]])</f>
        <v>25</v>
      </c>
      <c r="L511">
        <f>MONTH(weather.tbl[[#This Row],[Date]])</f>
        <v>5</v>
      </c>
      <c r="M511">
        <f>YEAR(weather.tbl[[#This Row],[Date]])</f>
        <v>2015</v>
      </c>
    </row>
    <row r="512" spans="1:13" x14ac:dyDescent="0.25">
      <c r="A512" s="1">
        <v>42150</v>
      </c>
      <c r="B512" s="2">
        <v>19.5</v>
      </c>
      <c r="C512" s="2">
        <v>18.100000000000001</v>
      </c>
      <c r="D512" s="2">
        <v>19.3</v>
      </c>
      <c r="E512" s="2">
        <v>18.5</v>
      </c>
      <c r="F512" s="2">
        <v>20.2</v>
      </c>
      <c r="G512" s="2">
        <v>19.3</v>
      </c>
      <c r="H512" s="2">
        <f>AVERAGE(weather.tbl[[#This Row],[Estevan]:[Kipling]])</f>
        <v>19.150000000000002</v>
      </c>
      <c r="I512" s="2">
        <f>_xlfn.STDEV.S(weather.tbl[[#This Row],[Estevan]:[Kipling]])</f>
        <v>0.74766302570074916</v>
      </c>
      <c r="J512" s="2">
        <f t="shared" si="7"/>
        <v>16.357142857142858</v>
      </c>
      <c r="K512">
        <f>DAY(weather.tbl[[#This Row],[Date]])</f>
        <v>26</v>
      </c>
      <c r="L512">
        <f>MONTH(weather.tbl[[#This Row],[Date]])</f>
        <v>5</v>
      </c>
      <c r="M512">
        <f>YEAR(weather.tbl[[#This Row],[Date]])</f>
        <v>2015</v>
      </c>
    </row>
    <row r="513" spans="1:13" x14ac:dyDescent="0.25">
      <c r="A513" s="1">
        <v>42151</v>
      </c>
      <c r="B513" s="2">
        <v>15.4</v>
      </c>
      <c r="C513" s="2">
        <v>14.8</v>
      </c>
      <c r="D513" s="2">
        <v>16</v>
      </c>
      <c r="E513" s="2">
        <v>17.5</v>
      </c>
      <c r="F513" s="2">
        <v>16</v>
      </c>
      <c r="G513" s="2">
        <v>14.3</v>
      </c>
      <c r="H513" s="2">
        <f>AVERAGE(weather.tbl[[#This Row],[Estevan]:[Kipling]])</f>
        <v>15.666666666666666</v>
      </c>
      <c r="I513" s="2">
        <f>_xlfn.STDEV.S(weather.tbl[[#This Row],[Estevan]:[Kipling]])</f>
        <v>1.1201190412927842</v>
      </c>
      <c r="J513" s="2">
        <f t="shared" si="7"/>
        <v>16.747619047619047</v>
      </c>
      <c r="K513">
        <f>DAY(weather.tbl[[#This Row],[Date]])</f>
        <v>27</v>
      </c>
      <c r="L513">
        <f>MONTH(weather.tbl[[#This Row],[Date]])</f>
        <v>5</v>
      </c>
      <c r="M513">
        <f>YEAR(weather.tbl[[#This Row],[Date]])</f>
        <v>2015</v>
      </c>
    </row>
    <row r="514" spans="1:13" x14ac:dyDescent="0.25">
      <c r="A514" s="1">
        <v>42152</v>
      </c>
      <c r="B514" s="2">
        <v>14.4</v>
      </c>
      <c r="C514" s="2">
        <v>14.2</v>
      </c>
      <c r="D514" s="2">
        <v>16.8</v>
      </c>
      <c r="E514" s="2">
        <v>17</v>
      </c>
      <c r="F514" s="2">
        <v>15.4</v>
      </c>
      <c r="G514" s="2">
        <v>14.8</v>
      </c>
      <c r="H514" s="2">
        <f>AVERAGE(weather.tbl[[#This Row],[Estevan]:[Kipling]])</f>
        <v>15.433333333333335</v>
      </c>
      <c r="I514" s="2">
        <f>_xlfn.STDEV.S(weather.tbl[[#This Row],[Estevan]:[Kipling]])</f>
        <v>1.2094075684675811</v>
      </c>
      <c r="J514" s="2">
        <f t="shared" si="7"/>
        <v>16.871428571428574</v>
      </c>
      <c r="K514">
        <f>DAY(weather.tbl[[#This Row],[Date]])</f>
        <v>28</v>
      </c>
      <c r="L514">
        <f>MONTH(weather.tbl[[#This Row],[Date]])</f>
        <v>5</v>
      </c>
      <c r="M514">
        <f>YEAR(weather.tbl[[#This Row],[Date]])</f>
        <v>2015</v>
      </c>
    </row>
    <row r="515" spans="1:13" x14ac:dyDescent="0.25">
      <c r="A515" s="1">
        <v>42153</v>
      </c>
      <c r="B515" s="2">
        <v>9.1999999999999993</v>
      </c>
      <c r="C515" s="2">
        <v>8.6999999999999993</v>
      </c>
      <c r="D515" s="2">
        <v>8.5</v>
      </c>
      <c r="E515" s="2">
        <v>10.5</v>
      </c>
      <c r="F515" s="2">
        <v>8.3000000000000007</v>
      </c>
      <c r="G515" s="2">
        <v>6.8</v>
      </c>
      <c r="H515" s="2">
        <f>AVERAGE(weather.tbl[[#This Row],[Estevan]:[Kipling]])</f>
        <v>8.6666666666666661</v>
      </c>
      <c r="I515" s="2">
        <f>_xlfn.STDEV.S(weather.tbl[[#This Row],[Estevan]:[Kipling]])</f>
        <v>1.2077527340754275</v>
      </c>
      <c r="J515" s="2">
        <f t="shared" si="7"/>
        <v>15.84761904761905</v>
      </c>
      <c r="K515">
        <f>DAY(weather.tbl[[#This Row],[Date]])</f>
        <v>29</v>
      </c>
      <c r="L515">
        <f>MONTH(weather.tbl[[#This Row],[Date]])</f>
        <v>5</v>
      </c>
      <c r="M515">
        <f>YEAR(weather.tbl[[#This Row],[Date]])</f>
        <v>2015</v>
      </c>
    </row>
    <row r="516" spans="1:13" x14ac:dyDescent="0.25">
      <c r="A516" s="1">
        <v>42154</v>
      </c>
      <c r="B516" s="2">
        <v>8.3000000000000007</v>
      </c>
      <c r="C516" s="2">
        <v>9.5</v>
      </c>
      <c r="D516" s="2">
        <v>6.8</v>
      </c>
      <c r="E516" s="2">
        <v>9.8000000000000007</v>
      </c>
      <c r="F516" s="2">
        <v>5.9</v>
      </c>
      <c r="G516" s="2">
        <v>5.9</v>
      </c>
      <c r="H516" s="2">
        <f>AVERAGE(weather.tbl[[#This Row],[Estevan]:[Kipling]])</f>
        <v>7.7</v>
      </c>
      <c r="I516" s="2">
        <f>_xlfn.STDEV.S(weather.tbl[[#This Row],[Estevan]:[Kipling]])</f>
        <v>1.7492855684535908</v>
      </c>
      <c r="J516" s="2">
        <f t="shared" si="7"/>
        <v>14.514285714285718</v>
      </c>
      <c r="K516">
        <f>DAY(weather.tbl[[#This Row],[Date]])</f>
        <v>30</v>
      </c>
      <c r="L516">
        <f>MONTH(weather.tbl[[#This Row],[Date]])</f>
        <v>5</v>
      </c>
      <c r="M516">
        <f>YEAR(weather.tbl[[#This Row],[Date]])</f>
        <v>2015</v>
      </c>
    </row>
    <row r="517" spans="1:13" x14ac:dyDescent="0.25">
      <c r="A517" s="1">
        <v>42155</v>
      </c>
      <c r="B517" s="2">
        <v>13.7</v>
      </c>
      <c r="C517" s="2">
        <v>13.6</v>
      </c>
      <c r="D517" s="2">
        <v>13.3</v>
      </c>
      <c r="E517" s="2">
        <v>14.5</v>
      </c>
      <c r="F517" s="2">
        <v>13.1</v>
      </c>
      <c r="G517" s="2">
        <v>9.9</v>
      </c>
      <c r="H517" s="2">
        <f>AVERAGE(weather.tbl[[#This Row],[Estevan]:[Kipling]])</f>
        <v>13.016666666666666</v>
      </c>
      <c r="I517" s="2">
        <f>_xlfn.STDEV.S(weather.tbl[[#This Row],[Estevan]:[Kipling]])</f>
        <v>1.6005207485898845</v>
      </c>
      <c r="J517" s="2">
        <f t="shared" si="7"/>
        <v>13.87857142857143</v>
      </c>
      <c r="K517">
        <f>DAY(weather.tbl[[#This Row],[Date]])</f>
        <v>31</v>
      </c>
      <c r="L517">
        <f>MONTH(weather.tbl[[#This Row],[Date]])</f>
        <v>5</v>
      </c>
      <c r="M517">
        <f>YEAR(weather.tbl[[#This Row],[Date]])</f>
        <v>2015</v>
      </c>
    </row>
    <row r="518" spans="1:13" x14ac:dyDescent="0.25">
      <c r="A518" s="1">
        <v>42156</v>
      </c>
      <c r="B518" s="2">
        <v>18.899999999999999</v>
      </c>
      <c r="C518" s="2">
        <v>18.7</v>
      </c>
      <c r="D518" s="2">
        <v>18</v>
      </c>
      <c r="E518" s="2">
        <v>20.5</v>
      </c>
      <c r="F518" s="2">
        <v>18.3</v>
      </c>
      <c r="G518" s="2">
        <v>16.2</v>
      </c>
      <c r="H518" s="2">
        <f>AVERAGE(weather.tbl[[#This Row],[Estevan]:[Kipling]])</f>
        <v>18.433333333333334</v>
      </c>
      <c r="I518" s="2">
        <f>_xlfn.STDEV.S(weather.tbl[[#This Row],[Estevan]:[Kipling]])</f>
        <v>1.396662688936261</v>
      </c>
      <c r="J518" s="2">
        <f t="shared" si="7"/>
        <v>14.009523809523811</v>
      </c>
      <c r="K518">
        <f>DAY(weather.tbl[[#This Row],[Date]])</f>
        <v>1</v>
      </c>
      <c r="L518">
        <f>MONTH(weather.tbl[[#This Row],[Date]])</f>
        <v>6</v>
      </c>
      <c r="M518">
        <f>YEAR(weather.tbl[[#This Row],[Date]])</f>
        <v>2015</v>
      </c>
    </row>
    <row r="519" spans="1:13" x14ac:dyDescent="0.25">
      <c r="A519" s="1">
        <v>42157</v>
      </c>
      <c r="B519" s="2">
        <v>13.7</v>
      </c>
      <c r="C519" s="2">
        <v>14.5</v>
      </c>
      <c r="D519" s="2">
        <v>14.3</v>
      </c>
      <c r="E519" s="2">
        <v>13.5</v>
      </c>
      <c r="F519" s="2">
        <v>13.6</v>
      </c>
      <c r="G519" s="2">
        <v>14.1</v>
      </c>
      <c r="H519" s="2">
        <f>AVERAGE(weather.tbl[[#This Row],[Estevan]:[Kipling]])</f>
        <v>13.949999999999998</v>
      </c>
      <c r="I519" s="2">
        <f>_xlfn.STDEV.S(weather.tbl[[#This Row],[Estevan]:[Kipling]])</f>
        <v>0.40865633483405123</v>
      </c>
      <c r="J519" s="2">
        <f t="shared" si="7"/>
        <v>13.266666666666667</v>
      </c>
      <c r="K519">
        <f>DAY(weather.tbl[[#This Row],[Date]])</f>
        <v>2</v>
      </c>
      <c r="L519">
        <f>MONTH(weather.tbl[[#This Row],[Date]])</f>
        <v>6</v>
      </c>
      <c r="M519">
        <f>YEAR(weather.tbl[[#This Row],[Date]])</f>
        <v>2015</v>
      </c>
    </row>
    <row r="520" spans="1:13" x14ac:dyDescent="0.25">
      <c r="A520" s="1">
        <v>42158</v>
      </c>
      <c r="B520" s="2">
        <v>12.2</v>
      </c>
      <c r="C520" s="2">
        <v>12.6</v>
      </c>
      <c r="D520" s="2">
        <v>13.5</v>
      </c>
      <c r="E520" s="2">
        <v>15.5</v>
      </c>
      <c r="F520" s="2">
        <v>13.9</v>
      </c>
      <c r="G520" s="2">
        <v>13.9</v>
      </c>
      <c r="H520" s="2">
        <f>AVERAGE(weather.tbl[[#This Row],[Estevan]:[Kipling]])</f>
        <v>13.600000000000001</v>
      </c>
      <c r="I520" s="2">
        <f>_xlfn.STDEV.S(weather.tbl[[#This Row],[Estevan]:[Kipling]])</f>
        <v>1.1627553482998909</v>
      </c>
      <c r="J520" s="2">
        <f t="shared" si="7"/>
        <v>12.971428571428573</v>
      </c>
      <c r="K520">
        <f>DAY(weather.tbl[[#This Row],[Date]])</f>
        <v>3</v>
      </c>
      <c r="L520">
        <f>MONTH(weather.tbl[[#This Row],[Date]])</f>
        <v>6</v>
      </c>
      <c r="M520">
        <f>YEAR(weather.tbl[[#This Row],[Date]])</f>
        <v>2015</v>
      </c>
    </row>
    <row r="521" spans="1:13" x14ac:dyDescent="0.25">
      <c r="A521" s="1">
        <v>42159</v>
      </c>
      <c r="B521" s="2">
        <v>12.8</v>
      </c>
      <c r="C521" s="2">
        <v>13.8</v>
      </c>
      <c r="D521" s="2">
        <v>11.8</v>
      </c>
      <c r="E521" s="2">
        <v>10</v>
      </c>
      <c r="F521" s="2">
        <v>13.4</v>
      </c>
      <c r="G521" s="2">
        <v>13.5</v>
      </c>
      <c r="H521" s="2">
        <f>AVERAGE(weather.tbl[[#This Row],[Estevan]:[Kipling]])</f>
        <v>12.550000000000002</v>
      </c>
      <c r="I521" s="2">
        <f>_xlfn.STDEV.S(weather.tbl[[#This Row],[Estevan]:[Kipling]])</f>
        <v>1.4363147287415685</v>
      </c>
      <c r="J521" s="2">
        <f t="shared" si="7"/>
        <v>12.559523809523808</v>
      </c>
      <c r="K521">
        <f>DAY(weather.tbl[[#This Row],[Date]])</f>
        <v>4</v>
      </c>
      <c r="L521">
        <f>MONTH(weather.tbl[[#This Row],[Date]])</f>
        <v>6</v>
      </c>
      <c r="M521">
        <f>YEAR(weather.tbl[[#This Row],[Date]])</f>
        <v>2015</v>
      </c>
    </row>
    <row r="522" spans="1:13" x14ac:dyDescent="0.25">
      <c r="A522" s="1">
        <v>42160</v>
      </c>
      <c r="B522" s="2">
        <v>17.899999999999999</v>
      </c>
      <c r="C522" s="2">
        <v>16.399999999999999</v>
      </c>
      <c r="D522" s="2">
        <v>16.8</v>
      </c>
      <c r="E522" s="2">
        <v>15</v>
      </c>
      <c r="F522" s="2">
        <v>16.399999999999999</v>
      </c>
      <c r="G522" s="2">
        <v>15.6</v>
      </c>
      <c r="H522" s="2">
        <f>AVERAGE(weather.tbl[[#This Row],[Estevan]:[Kipling]])</f>
        <v>16.349999999999998</v>
      </c>
      <c r="I522" s="2">
        <f>_xlfn.STDEV.S(weather.tbl[[#This Row],[Estevan]:[Kipling]])</f>
        <v>0.99949987493746062</v>
      </c>
      <c r="J522" s="2">
        <f t="shared" ref="J522:J585" si="8">AVERAGE(H516:H522)</f>
        <v>13.657142857142855</v>
      </c>
      <c r="K522">
        <f>DAY(weather.tbl[[#This Row],[Date]])</f>
        <v>5</v>
      </c>
      <c r="L522">
        <f>MONTH(weather.tbl[[#This Row],[Date]])</f>
        <v>6</v>
      </c>
      <c r="M522">
        <f>YEAR(weather.tbl[[#This Row],[Date]])</f>
        <v>2015</v>
      </c>
    </row>
    <row r="523" spans="1:13" x14ac:dyDescent="0.25">
      <c r="A523" s="1">
        <v>42161</v>
      </c>
      <c r="B523" s="2">
        <v>19.2</v>
      </c>
      <c r="C523" s="2">
        <v>18.899999999999999</v>
      </c>
      <c r="D523" s="2">
        <v>19</v>
      </c>
      <c r="E523" s="2">
        <v>19.3</v>
      </c>
      <c r="F523" s="2">
        <v>19.899999999999999</v>
      </c>
      <c r="G523" s="2">
        <v>18.7</v>
      </c>
      <c r="H523" s="2">
        <f>AVERAGE(weather.tbl[[#This Row],[Estevan]:[Kipling]])</f>
        <v>19.166666666666664</v>
      </c>
      <c r="I523" s="2">
        <f>_xlfn.STDEV.S(weather.tbl[[#This Row],[Estevan]:[Kipling]])</f>
        <v>0.41793141383086602</v>
      </c>
      <c r="J523" s="2">
        <f t="shared" si="8"/>
        <v>15.295238095238094</v>
      </c>
      <c r="K523">
        <f>DAY(weather.tbl[[#This Row],[Date]])</f>
        <v>6</v>
      </c>
      <c r="L523">
        <f>MONTH(weather.tbl[[#This Row],[Date]])</f>
        <v>6</v>
      </c>
      <c r="M523">
        <f>YEAR(weather.tbl[[#This Row],[Date]])</f>
        <v>2015</v>
      </c>
    </row>
    <row r="524" spans="1:13" x14ac:dyDescent="0.25">
      <c r="A524" s="1">
        <v>42162</v>
      </c>
      <c r="B524" s="2">
        <v>19.399999999999999</v>
      </c>
      <c r="C524" s="2">
        <v>19.899999999999999</v>
      </c>
      <c r="D524" s="2">
        <v>19.3</v>
      </c>
      <c r="E524" s="2">
        <v>21</v>
      </c>
      <c r="F524" s="2">
        <v>20.6</v>
      </c>
      <c r="G524" s="2">
        <v>19.5</v>
      </c>
      <c r="H524" s="2">
        <f>AVERAGE(weather.tbl[[#This Row],[Estevan]:[Kipling]])</f>
        <v>19.95</v>
      </c>
      <c r="I524" s="2">
        <f>_xlfn.STDEV.S(weather.tbl[[#This Row],[Estevan]:[Kipling]])</f>
        <v>0.70071392165419433</v>
      </c>
      <c r="J524" s="2">
        <f t="shared" si="8"/>
        <v>16.285714285714288</v>
      </c>
      <c r="K524">
        <f>DAY(weather.tbl[[#This Row],[Date]])</f>
        <v>7</v>
      </c>
      <c r="L524">
        <f>MONTH(weather.tbl[[#This Row],[Date]])</f>
        <v>6</v>
      </c>
      <c r="M524">
        <f>YEAR(weather.tbl[[#This Row],[Date]])</f>
        <v>2015</v>
      </c>
    </row>
    <row r="525" spans="1:13" x14ac:dyDescent="0.25">
      <c r="A525" s="1">
        <v>42163</v>
      </c>
      <c r="B525" s="2">
        <v>20.399999999999999</v>
      </c>
      <c r="C525" s="2">
        <v>21</v>
      </c>
      <c r="D525" s="2">
        <v>20.5</v>
      </c>
      <c r="E525" s="2">
        <v>22.5</v>
      </c>
      <c r="F525" s="2">
        <v>21.3</v>
      </c>
      <c r="G525" s="2">
        <v>20.9</v>
      </c>
      <c r="H525" s="2">
        <f>AVERAGE(weather.tbl[[#This Row],[Estevan]:[Kipling]])</f>
        <v>21.099999999999998</v>
      </c>
      <c r="I525" s="2">
        <f>_xlfn.STDEV.S(weather.tbl[[#This Row],[Estevan]:[Kipling]])</f>
        <v>0.76157731058639122</v>
      </c>
      <c r="J525" s="2">
        <f t="shared" si="8"/>
        <v>16.666666666666668</v>
      </c>
      <c r="K525">
        <f>DAY(weather.tbl[[#This Row],[Date]])</f>
        <v>8</v>
      </c>
      <c r="L525">
        <f>MONTH(weather.tbl[[#This Row],[Date]])</f>
        <v>6</v>
      </c>
      <c r="M525">
        <f>YEAR(weather.tbl[[#This Row],[Date]])</f>
        <v>2015</v>
      </c>
    </row>
    <row r="526" spans="1:13" x14ac:dyDescent="0.25">
      <c r="A526" s="1">
        <v>42164</v>
      </c>
      <c r="B526" s="2">
        <v>18.3</v>
      </c>
      <c r="C526" s="2">
        <v>18.5</v>
      </c>
      <c r="D526" s="2">
        <v>20.8</v>
      </c>
      <c r="E526" s="2">
        <v>20.8</v>
      </c>
      <c r="F526" s="2">
        <v>19.7</v>
      </c>
      <c r="G526" s="2">
        <v>19.5</v>
      </c>
      <c r="H526" s="2">
        <f>AVERAGE(weather.tbl[[#This Row],[Estevan]:[Kipling]])</f>
        <v>19.599999999999998</v>
      </c>
      <c r="I526" s="2">
        <f>_xlfn.STDEV.S(weather.tbl[[#This Row],[Estevan]:[Kipling]])</f>
        <v>1.077032961426901</v>
      </c>
      <c r="J526" s="2">
        <f t="shared" si="8"/>
        <v>17.473809523809521</v>
      </c>
      <c r="K526">
        <f>DAY(weather.tbl[[#This Row],[Date]])</f>
        <v>9</v>
      </c>
      <c r="L526">
        <f>MONTH(weather.tbl[[#This Row],[Date]])</f>
        <v>6</v>
      </c>
      <c r="M526">
        <f>YEAR(weather.tbl[[#This Row],[Date]])</f>
        <v>2015</v>
      </c>
    </row>
    <row r="527" spans="1:13" x14ac:dyDescent="0.25">
      <c r="A527" s="1">
        <v>42165</v>
      </c>
      <c r="B527" s="2">
        <v>15.8</v>
      </c>
      <c r="C527" s="2">
        <v>16.399999999999999</v>
      </c>
      <c r="D527" s="2">
        <v>16</v>
      </c>
      <c r="E527" s="2">
        <v>19.8</v>
      </c>
      <c r="F527" s="2">
        <v>17.3</v>
      </c>
      <c r="G527" s="2">
        <v>17.5</v>
      </c>
      <c r="H527" s="2">
        <f>AVERAGE(weather.tbl[[#This Row],[Estevan]:[Kipling]])</f>
        <v>17.133333333333333</v>
      </c>
      <c r="I527" s="2">
        <f>_xlfn.STDEV.S(weather.tbl[[#This Row],[Estevan]:[Kipling]])</f>
        <v>1.4746751054610869</v>
      </c>
      <c r="J527" s="2">
        <f t="shared" si="8"/>
        <v>17.978571428571428</v>
      </c>
      <c r="K527">
        <f>DAY(weather.tbl[[#This Row],[Date]])</f>
        <v>10</v>
      </c>
      <c r="L527">
        <f>MONTH(weather.tbl[[#This Row],[Date]])</f>
        <v>6</v>
      </c>
      <c r="M527">
        <f>YEAR(weather.tbl[[#This Row],[Date]])</f>
        <v>2015</v>
      </c>
    </row>
    <row r="528" spans="1:13" x14ac:dyDescent="0.25">
      <c r="A528" s="1">
        <v>42166</v>
      </c>
      <c r="B528" s="2">
        <v>16.8</v>
      </c>
      <c r="C528" s="2">
        <v>17.100000000000001</v>
      </c>
      <c r="D528" s="2">
        <v>16.8</v>
      </c>
      <c r="E528" s="2">
        <v>17</v>
      </c>
      <c r="F528" s="2">
        <v>18.5</v>
      </c>
      <c r="G528" s="2">
        <v>17.8</v>
      </c>
      <c r="H528" s="2">
        <f>AVERAGE(weather.tbl[[#This Row],[Estevan]:[Kipling]])</f>
        <v>17.333333333333332</v>
      </c>
      <c r="I528" s="2">
        <f>_xlfn.STDEV.S(weather.tbl[[#This Row],[Estevan]:[Kipling]])</f>
        <v>0.68019605016985096</v>
      </c>
      <c r="J528" s="2">
        <f t="shared" si="8"/>
        <v>18.661904761904761</v>
      </c>
      <c r="K528">
        <f>DAY(weather.tbl[[#This Row],[Date]])</f>
        <v>11</v>
      </c>
      <c r="L528">
        <f>MONTH(weather.tbl[[#This Row],[Date]])</f>
        <v>6</v>
      </c>
      <c r="M528">
        <f>YEAR(weather.tbl[[#This Row],[Date]])</f>
        <v>2015</v>
      </c>
    </row>
    <row r="529" spans="1:13" x14ac:dyDescent="0.25">
      <c r="A529" s="1">
        <v>42167</v>
      </c>
      <c r="B529" s="2">
        <v>21.7</v>
      </c>
      <c r="C529" s="2">
        <v>21.1</v>
      </c>
      <c r="D529" s="2">
        <v>21.3</v>
      </c>
      <c r="E529" s="2">
        <v>22.8</v>
      </c>
      <c r="F529" s="2">
        <v>20.8</v>
      </c>
      <c r="G529" s="2">
        <v>21</v>
      </c>
      <c r="H529" s="2">
        <f>AVERAGE(weather.tbl[[#This Row],[Estevan]:[Kipling]])</f>
        <v>21.45</v>
      </c>
      <c r="I529" s="2">
        <f>_xlfn.STDEV.S(weather.tbl[[#This Row],[Estevan]:[Kipling]])</f>
        <v>0.72869746808946712</v>
      </c>
      <c r="J529" s="2">
        <f t="shared" si="8"/>
        <v>19.390476190476189</v>
      </c>
      <c r="K529">
        <f>DAY(weather.tbl[[#This Row],[Date]])</f>
        <v>12</v>
      </c>
      <c r="L529">
        <f>MONTH(weather.tbl[[#This Row],[Date]])</f>
        <v>6</v>
      </c>
      <c r="M529">
        <f>YEAR(weather.tbl[[#This Row],[Date]])</f>
        <v>2015</v>
      </c>
    </row>
    <row r="530" spans="1:13" x14ac:dyDescent="0.25">
      <c r="A530" s="1">
        <v>42168</v>
      </c>
      <c r="B530" s="2">
        <v>16.3</v>
      </c>
      <c r="C530" s="2">
        <v>16.100000000000001</v>
      </c>
      <c r="D530" s="2">
        <v>21.3</v>
      </c>
      <c r="E530" s="2">
        <v>16</v>
      </c>
      <c r="F530" s="2">
        <v>18.5</v>
      </c>
      <c r="G530" s="2">
        <v>16.600000000000001</v>
      </c>
      <c r="H530" s="2">
        <f>AVERAGE(weather.tbl[[#This Row],[Estevan]:[Kipling]])</f>
        <v>17.466666666666669</v>
      </c>
      <c r="I530" s="2">
        <f>_xlfn.STDEV.S(weather.tbl[[#This Row],[Estevan]:[Kipling]])</f>
        <v>2.0925263837444428</v>
      </c>
      <c r="J530" s="2">
        <f t="shared" si="8"/>
        <v>19.147619047619049</v>
      </c>
      <c r="K530">
        <f>DAY(weather.tbl[[#This Row],[Date]])</f>
        <v>13</v>
      </c>
      <c r="L530">
        <f>MONTH(weather.tbl[[#This Row],[Date]])</f>
        <v>6</v>
      </c>
      <c r="M530">
        <f>YEAR(weather.tbl[[#This Row],[Date]])</f>
        <v>2015</v>
      </c>
    </row>
    <row r="531" spans="1:13" x14ac:dyDescent="0.25">
      <c r="A531" s="1">
        <v>42169</v>
      </c>
      <c r="B531" s="2">
        <v>14</v>
      </c>
      <c r="C531" s="2">
        <v>12.8</v>
      </c>
      <c r="D531" s="2">
        <v>14</v>
      </c>
      <c r="E531" s="2">
        <v>14.5</v>
      </c>
      <c r="F531" s="2">
        <v>17.3</v>
      </c>
      <c r="G531" s="2">
        <v>13.5</v>
      </c>
      <c r="H531" s="2">
        <f>AVERAGE(weather.tbl[[#This Row],[Estevan]:[Kipling]])</f>
        <v>14.35</v>
      </c>
      <c r="I531" s="2">
        <f>_xlfn.STDEV.S(weather.tbl[[#This Row],[Estevan]:[Kipling]])</f>
        <v>1.5553134732265392</v>
      </c>
      <c r="J531" s="2">
        <f t="shared" si="8"/>
        <v>18.347619047619048</v>
      </c>
      <c r="K531">
        <f>DAY(weather.tbl[[#This Row],[Date]])</f>
        <v>14</v>
      </c>
      <c r="L531">
        <f>MONTH(weather.tbl[[#This Row],[Date]])</f>
        <v>6</v>
      </c>
      <c r="M531">
        <f>YEAR(weather.tbl[[#This Row],[Date]])</f>
        <v>2015</v>
      </c>
    </row>
    <row r="532" spans="1:13" x14ac:dyDescent="0.25">
      <c r="A532" s="1">
        <v>42170</v>
      </c>
      <c r="B532" s="2">
        <v>12</v>
      </c>
      <c r="C532" s="2">
        <v>12.5</v>
      </c>
      <c r="D532" s="2">
        <v>12.8</v>
      </c>
      <c r="E532" s="2">
        <v>14</v>
      </c>
      <c r="F532" s="2">
        <v>14.1</v>
      </c>
      <c r="G532" s="2">
        <v>12.2</v>
      </c>
      <c r="H532" s="2">
        <f>AVERAGE(weather.tbl[[#This Row],[Estevan]:[Kipling]])</f>
        <v>12.933333333333332</v>
      </c>
      <c r="I532" s="2">
        <f>_xlfn.STDEV.S(weather.tbl[[#This Row],[Estevan]:[Kipling]])</f>
        <v>0.90700973901423276</v>
      </c>
      <c r="J532" s="2">
        <f t="shared" si="8"/>
        <v>17.18095238095238</v>
      </c>
      <c r="K532">
        <f>DAY(weather.tbl[[#This Row],[Date]])</f>
        <v>15</v>
      </c>
      <c r="L532">
        <f>MONTH(weather.tbl[[#This Row],[Date]])</f>
        <v>6</v>
      </c>
      <c r="M532">
        <f>YEAR(weather.tbl[[#This Row],[Date]])</f>
        <v>2015</v>
      </c>
    </row>
    <row r="533" spans="1:13" x14ac:dyDescent="0.25">
      <c r="A533" s="1">
        <v>42171</v>
      </c>
      <c r="B533" s="2">
        <v>14.2</v>
      </c>
      <c r="C533" s="2">
        <v>14.4</v>
      </c>
      <c r="D533" s="2">
        <v>12.5</v>
      </c>
      <c r="E533" s="2">
        <v>15</v>
      </c>
      <c r="F533" s="2">
        <v>14</v>
      </c>
      <c r="G533" s="2">
        <v>14.5</v>
      </c>
      <c r="H533" s="2">
        <f>AVERAGE(weather.tbl[[#This Row],[Estevan]:[Kipling]])</f>
        <v>14.1</v>
      </c>
      <c r="I533" s="2">
        <f>_xlfn.STDEV.S(weather.tbl[[#This Row],[Estevan]:[Kipling]])</f>
        <v>0.85322916030806162</v>
      </c>
      <c r="J533" s="2">
        <f t="shared" si="8"/>
        <v>16.395238095238096</v>
      </c>
      <c r="K533">
        <f>DAY(weather.tbl[[#This Row],[Date]])</f>
        <v>16</v>
      </c>
      <c r="L533">
        <f>MONTH(weather.tbl[[#This Row],[Date]])</f>
        <v>6</v>
      </c>
      <c r="M533">
        <f>YEAR(weather.tbl[[#This Row],[Date]])</f>
        <v>2015</v>
      </c>
    </row>
    <row r="534" spans="1:13" x14ac:dyDescent="0.25">
      <c r="A534" s="1">
        <v>42172</v>
      </c>
      <c r="B534" s="2">
        <v>18.100000000000001</v>
      </c>
      <c r="C534" s="2">
        <v>17</v>
      </c>
      <c r="D534" s="2">
        <v>17.8</v>
      </c>
      <c r="E534" s="2">
        <v>19.5</v>
      </c>
      <c r="F534" s="2">
        <v>17.7</v>
      </c>
      <c r="G534" s="2">
        <v>17.2</v>
      </c>
      <c r="H534" s="2">
        <f>AVERAGE(weather.tbl[[#This Row],[Estevan]:[Kipling]])</f>
        <v>17.883333333333336</v>
      </c>
      <c r="I534" s="2">
        <f>_xlfn.STDEV.S(weather.tbl[[#This Row],[Estevan]:[Kipling]])</f>
        <v>0.8886319072972042</v>
      </c>
      <c r="J534" s="2">
        <f t="shared" si="8"/>
        <v>16.502380952380953</v>
      </c>
      <c r="K534">
        <f>DAY(weather.tbl[[#This Row],[Date]])</f>
        <v>17</v>
      </c>
      <c r="L534">
        <f>MONTH(weather.tbl[[#This Row],[Date]])</f>
        <v>6</v>
      </c>
      <c r="M534">
        <f>YEAR(weather.tbl[[#This Row],[Date]])</f>
        <v>2015</v>
      </c>
    </row>
    <row r="535" spans="1:13" x14ac:dyDescent="0.25">
      <c r="A535" s="1">
        <v>42173</v>
      </c>
      <c r="B535" s="2">
        <v>14.2</v>
      </c>
      <c r="C535" s="2">
        <v>12.8</v>
      </c>
      <c r="D535" s="2">
        <v>13.5</v>
      </c>
      <c r="E535" s="2">
        <v>13</v>
      </c>
      <c r="F535" s="2">
        <v>13.6</v>
      </c>
      <c r="G535" s="2">
        <v>11.6</v>
      </c>
      <c r="H535" s="2">
        <f>AVERAGE(weather.tbl[[#This Row],[Estevan]:[Kipling]])</f>
        <v>13.116666666666665</v>
      </c>
      <c r="I535" s="2">
        <f>_xlfn.STDEV.S(weather.tbl[[#This Row],[Estevan]:[Kipling]])</f>
        <v>0.89087971503826857</v>
      </c>
      <c r="J535" s="2">
        <f t="shared" si="8"/>
        <v>15.9</v>
      </c>
      <c r="K535">
        <f>DAY(weather.tbl[[#This Row],[Date]])</f>
        <v>18</v>
      </c>
      <c r="L535">
        <f>MONTH(weather.tbl[[#This Row],[Date]])</f>
        <v>6</v>
      </c>
      <c r="M535">
        <f>YEAR(weather.tbl[[#This Row],[Date]])</f>
        <v>2015</v>
      </c>
    </row>
    <row r="536" spans="1:13" x14ac:dyDescent="0.25">
      <c r="A536" s="1">
        <v>42174</v>
      </c>
      <c r="B536" s="2">
        <v>16.600000000000001</v>
      </c>
      <c r="C536" s="2">
        <v>16.7</v>
      </c>
      <c r="D536" s="2">
        <v>16.5</v>
      </c>
      <c r="E536" s="2">
        <v>16.3</v>
      </c>
      <c r="F536" s="2">
        <v>17.3</v>
      </c>
      <c r="G536" s="2">
        <v>16.7</v>
      </c>
      <c r="H536" s="2">
        <f>AVERAGE(weather.tbl[[#This Row],[Estevan]:[Kipling]])</f>
        <v>16.683333333333334</v>
      </c>
      <c r="I536" s="2">
        <f>_xlfn.STDEV.S(weather.tbl[[#This Row],[Estevan]:[Kipling]])</f>
        <v>0.33714487489307421</v>
      </c>
      <c r="J536" s="2">
        <f t="shared" si="8"/>
        <v>15.219047619047618</v>
      </c>
      <c r="K536">
        <f>DAY(weather.tbl[[#This Row],[Date]])</f>
        <v>19</v>
      </c>
      <c r="L536">
        <f>MONTH(weather.tbl[[#This Row],[Date]])</f>
        <v>6</v>
      </c>
      <c r="M536">
        <f>YEAR(weather.tbl[[#This Row],[Date]])</f>
        <v>2015</v>
      </c>
    </row>
    <row r="537" spans="1:13" x14ac:dyDescent="0.25">
      <c r="A537" s="1">
        <v>42175</v>
      </c>
      <c r="B537" s="2">
        <v>18.100000000000001</v>
      </c>
      <c r="C537" s="2">
        <v>17.399999999999999</v>
      </c>
      <c r="D537" s="2">
        <v>17.3</v>
      </c>
      <c r="E537" s="2">
        <v>17</v>
      </c>
      <c r="F537" s="2">
        <v>16.600000000000001</v>
      </c>
      <c r="G537" s="2">
        <v>16</v>
      </c>
      <c r="H537" s="2">
        <f>AVERAGE(weather.tbl[[#This Row],[Estevan]:[Kipling]])</f>
        <v>17.066666666666666</v>
      </c>
      <c r="I537" s="2">
        <f>_xlfn.STDEV.S(weather.tbl[[#This Row],[Estevan]:[Kipling]])</f>
        <v>0.72018516137634148</v>
      </c>
      <c r="J537" s="2">
        <f t="shared" si="8"/>
        <v>15.161904761904761</v>
      </c>
      <c r="K537">
        <f>DAY(weather.tbl[[#This Row],[Date]])</f>
        <v>20</v>
      </c>
      <c r="L537">
        <f>MONTH(weather.tbl[[#This Row],[Date]])</f>
        <v>6</v>
      </c>
      <c r="M537">
        <f>YEAR(weather.tbl[[#This Row],[Date]])</f>
        <v>2015</v>
      </c>
    </row>
    <row r="538" spans="1:13" x14ac:dyDescent="0.25">
      <c r="A538" s="1">
        <v>42176</v>
      </c>
      <c r="B538" s="2">
        <v>17.399999999999999</v>
      </c>
      <c r="C538" s="2">
        <v>16.100000000000001</v>
      </c>
      <c r="D538" s="2">
        <v>16.3</v>
      </c>
      <c r="E538" s="2">
        <v>16.5</v>
      </c>
      <c r="F538" s="2">
        <v>17.5</v>
      </c>
      <c r="G538" s="2">
        <v>15.8</v>
      </c>
      <c r="H538" s="2">
        <f>AVERAGE(weather.tbl[[#This Row],[Estevan]:[Kipling]])</f>
        <v>16.599999999999998</v>
      </c>
      <c r="I538" s="2">
        <f>_xlfn.STDEV.S(weather.tbl[[#This Row],[Estevan]:[Kipling]])</f>
        <v>0.69856996786291847</v>
      </c>
      <c r="J538" s="2">
        <f t="shared" si="8"/>
        <v>15.483333333333333</v>
      </c>
      <c r="K538">
        <f>DAY(weather.tbl[[#This Row],[Date]])</f>
        <v>21</v>
      </c>
      <c r="L538">
        <f>MONTH(weather.tbl[[#This Row],[Date]])</f>
        <v>6</v>
      </c>
      <c r="M538">
        <f>YEAR(weather.tbl[[#This Row],[Date]])</f>
        <v>2015</v>
      </c>
    </row>
    <row r="539" spans="1:13" x14ac:dyDescent="0.25">
      <c r="A539" s="1">
        <v>42177</v>
      </c>
      <c r="B539" s="2">
        <v>15.6</v>
      </c>
      <c r="C539" s="2">
        <v>16.5</v>
      </c>
      <c r="D539" s="2">
        <v>17</v>
      </c>
      <c r="E539" s="2">
        <v>18</v>
      </c>
      <c r="F539" s="2">
        <v>18</v>
      </c>
      <c r="G539" s="2">
        <v>15.9</v>
      </c>
      <c r="H539" s="2">
        <f>AVERAGE(weather.tbl[[#This Row],[Estevan]:[Kipling]])</f>
        <v>16.833333333333332</v>
      </c>
      <c r="I539" s="2">
        <f>_xlfn.STDEV.S(weather.tbl[[#This Row],[Estevan]:[Kipling]])</f>
        <v>1.0250203250017371</v>
      </c>
      <c r="J539" s="2">
        <f t="shared" si="8"/>
        <v>16.040476190476188</v>
      </c>
      <c r="K539">
        <f>DAY(weather.tbl[[#This Row],[Date]])</f>
        <v>22</v>
      </c>
      <c r="L539">
        <f>MONTH(weather.tbl[[#This Row],[Date]])</f>
        <v>6</v>
      </c>
      <c r="M539">
        <f>YEAR(weather.tbl[[#This Row],[Date]])</f>
        <v>2015</v>
      </c>
    </row>
    <row r="540" spans="1:13" x14ac:dyDescent="0.25">
      <c r="A540" s="1">
        <v>42178</v>
      </c>
      <c r="B540" s="2">
        <v>18.399999999999999</v>
      </c>
      <c r="C540" s="2">
        <v>18.7</v>
      </c>
      <c r="D540" s="2">
        <v>17</v>
      </c>
      <c r="E540" s="2">
        <v>23</v>
      </c>
      <c r="F540" s="2">
        <v>18.899999999999999</v>
      </c>
      <c r="G540" s="2">
        <v>17.7</v>
      </c>
      <c r="H540" s="2">
        <f>AVERAGE(weather.tbl[[#This Row],[Estevan]:[Kipling]])</f>
        <v>18.95</v>
      </c>
      <c r="I540" s="2">
        <f>_xlfn.STDEV.S(weather.tbl[[#This Row],[Estevan]:[Kipling]])</f>
        <v>2.1040437257813709</v>
      </c>
      <c r="J540" s="2">
        <f t="shared" si="8"/>
        <v>16.733333333333331</v>
      </c>
      <c r="K540">
        <f>DAY(weather.tbl[[#This Row],[Date]])</f>
        <v>23</v>
      </c>
      <c r="L540">
        <f>MONTH(weather.tbl[[#This Row],[Date]])</f>
        <v>6</v>
      </c>
      <c r="M540">
        <f>YEAR(weather.tbl[[#This Row],[Date]])</f>
        <v>2015</v>
      </c>
    </row>
    <row r="541" spans="1:13" x14ac:dyDescent="0.25">
      <c r="A541" s="1">
        <v>42179</v>
      </c>
      <c r="B541" s="2">
        <v>18.5</v>
      </c>
      <c r="C541" s="2">
        <v>18.2</v>
      </c>
      <c r="D541" s="2">
        <v>18.8</v>
      </c>
      <c r="E541" s="2">
        <v>18.5</v>
      </c>
      <c r="F541" s="2">
        <v>18.899999999999999</v>
      </c>
      <c r="G541" s="2">
        <v>17.7</v>
      </c>
      <c r="H541" s="2">
        <f>AVERAGE(weather.tbl[[#This Row],[Estevan]:[Kipling]])</f>
        <v>18.433333333333334</v>
      </c>
      <c r="I541" s="2">
        <f>_xlfn.STDEV.S(weather.tbl[[#This Row],[Estevan]:[Kipling]])</f>
        <v>0.4366539438350085</v>
      </c>
      <c r="J541" s="2">
        <f t="shared" si="8"/>
        <v>16.81190476190476</v>
      </c>
      <c r="K541">
        <f>DAY(weather.tbl[[#This Row],[Date]])</f>
        <v>24</v>
      </c>
      <c r="L541">
        <f>MONTH(weather.tbl[[#This Row],[Date]])</f>
        <v>6</v>
      </c>
      <c r="M541">
        <f>YEAR(weather.tbl[[#This Row],[Date]])</f>
        <v>2015</v>
      </c>
    </row>
    <row r="542" spans="1:13" x14ac:dyDescent="0.25">
      <c r="A542" s="1">
        <v>42180</v>
      </c>
      <c r="B542" s="2">
        <v>20.100000000000001</v>
      </c>
      <c r="C542" s="2">
        <v>20.2</v>
      </c>
      <c r="D542" s="2">
        <v>18.8</v>
      </c>
      <c r="E542" s="2">
        <v>20</v>
      </c>
      <c r="F542" s="2">
        <v>20.100000000000001</v>
      </c>
      <c r="G542" s="2">
        <v>20</v>
      </c>
      <c r="H542" s="2">
        <f>AVERAGE(weather.tbl[[#This Row],[Estevan]:[Kipling]])</f>
        <v>19.866666666666664</v>
      </c>
      <c r="I542" s="2">
        <f>_xlfn.STDEV.S(weather.tbl[[#This Row],[Estevan]:[Kipling]])</f>
        <v>0.52788887719544397</v>
      </c>
      <c r="J542" s="2">
        <f t="shared" si="8"/>
        <v>17.776190476190475</v>
      </c>
      <c r="K542">
        <f>DAY(weather.tbl[[#This Row],[Date]])</f>
        <v>25</v>
      </c>
      <c r="L542">
        <f>MONTH(weather.tbl[[#This Row],[Date]])</f>
        <v>6</v>
      </c>
      <c r="M542">
        <f>YEAR(weather.tbl[[#This Row],[Date]])</f>
        <v>2015</v>
      </c>
    </row>
    <row r="543" spans="1:13" x14ac:dyDescent="0.25">
      <c r="A543" s="1">
        <v>42181</v>
      </c>
      <c r="B543" s="2">
        <v>20.399999999999999</v>
      </c>
      <c r="C543" s="2">
        <v>21.3</v>
      </c>
      <c r="D543" s="2">
        <v>18.8</v>
      </c>
      <c r="E543" s="2">
        <v>21.5</v>
      </c>
      <c r="F543" s="2">
        <v>20.3</v>
      </c>
      <c r="G543" s="2">
        <v>20.5</v>
      </c>
      <c r="H543" s="2">
        <f>AVERAGE(weather.tbl[[#This Row],[Estevan]:[Kipling]])</f>
        <v>20.466666666666665</v>
      </c>
      <c r="I543" s="2">
        <f>_xlfn.STDEV.S(weather.tbl[[#This Row],[Estevan]:[Kipling]])</f>
        <v>0.95638207148956245</v>
      </c>
      <c r="J543" s="2">
        <f t="shared" si="8"/>
        <v>18.316666666666666</v>
      </c>
      <c r="K543">
        <f>DAY(weather.tbl[[#This Row],[Date]])</f>
        <v>26</v>
      </c>
      <c r="L543">
        <f>MONTH(weather.tbl[[#This Row],[Date]])</f>
        <v>6</v>
      </c>
      <c r="M543">
        <f>YEAR(weather.tbl[[#This Row],[Date]])</f>
        <v>2015</v>
      </c>
    </row>
    <row r="544" spans="1:13" x14ac:dyDescent="0.25">
      <c r="A544" s="1">
        <v>42182</v>
      </c>
      <c r="B544" s="2">
        <v>22.1</v>
      </c>
      <c r="C544" s="2">
        <v>22</v>
      </c>
      <c r="D544" s="2">
        <v>20.8</v>
      </c>
      <c r="E544" s="2">
        <v>22</v>
      </c>
      <c r="F544" s="2">
        <v>22.7</v>
      </c>
      <c r="G544" s="2">
        <v>21.3</v>
      </c>
      <c r="H544" s="2">
        <f>AVERAGE(weather.tbl[[#This Row],[Estevan]:[Kipling]])</f>
        <v>21.816666666666666</v>
      </c>
      <c r="I544" s="2">
        <f>_xlfn.STDEV.S(weather.tbl[[#This Row],[Estevan]:[Kipling]])</f>
        <v>0.6675827039900496</v>
      </c>
      <c r="J544" s="2">
        <f t="shared" si="8"/>
        <v>18.995238095238097</v>
      </c>
      <c r="K544">
        <f>DAY(weather.tbl[[#This Row],[Date]])</f>
        <v>27</v>
      </c>
      <c r="L544">
        <f>MONTH(weather.tbl[[#This Row],[Date]])</f>
        <v>6</v>
      </c>
      <c r="M544">
        <f>YEAR(weather.tbl[[#This Row],[Date]])</f>
        <v>2015</v>
      </c>
    </row>
    <row r="545" spans="1:13" x14ac:dyDescent="0.25">
      <c r="A545" s="1">
        <v>42183</v>
      </c>
      <c r="B545" s="2">
        <v>20.3</v>
      </c>
      <c r="C545" s="2">
        <v>22</v>
      </c>
      <c r="D545" s="2">
        <v>20.8</v>
      </c>
      <c r="E545" s="2">
        <v>22.5</v>
      </c>
      <c r="F545" s="2">
        <v>20.7</v>
      </c>
      <c r="G545" s="2">
        <v>21.2</v>
      </c>
      <c r="H545" s="2">
        <f>AVERAGE(weather.tbl[[#This Row],[Estevan]:[Kipling]])</f>
        <v>21.25</v>
      </c>
      <c r="I545" s="2">
        <f>_xlfn.STDEV.S(weather.tbl[[#This Row],[Estevan]:[Kipling]])</f>
        <v>0.84083292038311608</v>
      </c>
      <c r="J545" s="2">
        <f t="shared" si="8"/>
        <v>19.659523809523812</v>
      </c>
      <c r="K545">
        <f>DAY(weather.tbl[[#This Row],[Date]])</f>
        <v>28</v>
      </c>
      <c r="L545">
        <f>MONTH(weather.tbl[[#This Row],[Date]])</f>
        <v>6</v>
      </c>
      <c r="M545">
        <f>YEAR(weather.tbl[[#This Row],[Date]])</f>
        <v>2015</v>
      </c>
    </row>
    <row r="546" spans="1:13" x14ac:dyDescent="0.25">
      <c r="A546" s="1">
        <v>42184</v>
      </c>
      <c r="B546" s="2">
        <v>22.8</v>
      </c>
      <c r="C546" s="2">
        <v>23.6</v>
      </c>
      <c r="D546" s="2">
        <v>20.8</v>
      </c>
      <c r="E546" s="2">
        <v>23.3</v>
      </c>
      <c r="F546" s="2">
        <v>22</v>
      </c>
      <c r="G546" s="2">
        <v>23.6</v>
      </c>
      <c r="H546" s="2">
        <f>AVERAGE(weather.tbl[[#This Row],[Estevan]:[Kipling]])</f>
        <v>22.683333333333334</v>
      </c>
      <c r="I546" s="2">
        <f>_xlfn.STDEV.S(weather.tbl[[#This Row],[Estevan]:[Kipling]])</f>
        <v>1.1034793458269472</v>
      </c>
      <c r="J546" s="2">
        <f t="shared" si="8"/>
        <v>20.495238095238097</v>
      </c>
      <c r="K546">
        <f>DAY(weather.tbl[[#This Row],[Date]])</f>
        <v>29</v>
      </c>
      <c r="L546">
        <f>MONTH(weather.tbl[[#This Row],[Date]])</f>
        <v>6</v>
      </c>
      <c r="M546">
        <f>YEAR(weather.tbl[[#This Row],[Date]])</f>
        <v>2015</v>
      </c>
    </row>
    <row r="547" spans="1:13" x14ac:dyDescent="0.25">
      <c r="A547" s="1">
        <v>42185</v>
      </c>
      <c r="B547" s="2">
        <v>17.8</v>
      </c>
      <c r="C547" s="2">
        <v>17.5</v>
      </c>
      <c r="D547" s="2">
        <v>18.3</v>
      </c>
      <c r="E547" s="2">
        <v>18</v>
      </c>
      <c r="F547" s="2">
        <v>18.399999999999999</v>
      </c>
      <c r="G547" s="2">
        <v>17.399999999999999</v>
      </c>
      <c r="H547" s="2">
        <f>AVERAGE(weather.tbl[[#This Row],[Estevan]:[Kipling]])</f>
        <v>17.900000000000002</v>
      </c>
      <c r="I547" s="2">
        <f>_xlfn.STDEV.S(weather.tbl[[#This Row],[Estevan]:[Kipling]])</f>
        <v>0.40987803063838407</v>
      </c>
      <c r="J547" s="2">
        <f t="shared" si="8"/>
        <v>20.345238095238095</v>
      </c>
      <c r="K547">
        <f>DAY(weather.tbl[[#This Row],[Date]])</f>
        <v>30</v>
      </c>
      <c r="L547">
        <f>MONTH(weather.tbl[[#This Row],[Date]])</f>
        <v>6</v>
      </c>
      <c r="M547">
        <f>YEAR(weather.tbl[[#This Row],[Date]])</f>
        <v>2015</v>
      </c>
    </row>
    <row r="548" spans="1:13" x14ac:dyDescent="0.25">
      <c r="A548" s="1">
        <v>42186</v>
      </c>
      <c r="B548" s="2">
        <v>19.3</v>
      </c>
      <c r="C548" s="2">
        <v>19.2</v>
      </c>
      <c r="D548" s="2">
        <v>18.5</v>
      </c>
      <c r="E548" s="2">
        <v>18.8</v>
      </c>
      <c r="F548" s="2">
        <v>18</v>
      </c>
      <c r="G548" s="2">
        <v>18.399999999999999</v>
      </c>
      <c r="H548" s="2">
        <f>AVERAGE(weather.tbl[[#This Row],[Estevan]:[Kipling]])</f>
        <v>18.7</v>
      </c>
      <c r="I548" s="2">
        <f>_xlfn.STDEV.S(weather.tbl[[#This Row],[Estevan]:[Kipling]])</f>
        <v>0.49799598391954952</v>
      </c>
      <c r="J548" s="2">
        <f t="shared" si="8"/>
        <v>20.383333333333333</v>
      </c>
      <c r="K548">
        <f>DAY(weather.tbl[[#This Row],[Date]])</f>
        <v>1</v>
      </c>
      <c r="L548">
        <f>MONTH(weather.tbl[[#This Row],[Date]])</f>
        <v>7</v>
      </c>
      <c r="M548">
        <f>YEAR(weather.tbl[[#This Row],[Date]])</f>
        <v>2015</v>
      </c>
    </row>
    <row r="549" spans="1:13" x14ac:dyDescent="0.25">
      <c r="A549" s="1">
        <v>42187</v>
      </c>
      <c r="B549" s="2">
        <v>19.8</v>
      </c>
      <c r="C549" s="2">
        <v>20</v>
      </c>
      <c r="D549" s="2">
        <v>18.8</v>
      </c>
      <c r="E549" s="2">
        <v>20.3</v>
      </c>
      <c r="F549" s="2">
        <v>19.7</v>
      </c>
      <c r="G549" s="2">
        <v>20</v>
      </c>
      <c r="H549" s="2">
        <f>AVERAGE(weather.tbl[[#This Row],[Estevan]:[Kipling]])</f>
        <v>19.766666666666666</v>
      </c>
      <c r="I549" s="2">
        <f>_xlfn.STDEV.S(weather.tbl[[#This Row],[Estevan]:[Kipling]])</f>
        <v>0.5163977794943222</v>
      </c>
      <c r="J549" s="2">
        <f t="shared" si="8"/>
        <v>20.36904761904762</v>
      </c>
      <c r="K549">
        <f>DAY(weather.tbl[[#This Row],[Date]])</f>
        <v>2</v>
      </c>
      <c r="L549">
        <f>MONTH(weather.tbl[[#This Row],[Date]])</f>
        <v>7</v>
      </c>
      <c r="M549">
        <f>YEAR(weather.tbl[[#This Row],[Date]])</f>
        <v>2015</v>
      </c>
    </row>
    <row r="550" spans="1:13" x14ac:dyDescent="0.25">
      <c r="A550" s="1">
        <v>42188</v>
      </c>
      <c r="B550" s="2">
        <v>19.5</v>
      </c>
      <c r="C550" s="2">
        <v>20.7</v>
      </c>
      <c r="D550" s="2">
        <v>19.5</v>
      </c>
      <c r="E550" s="2">
        <v>21.8</v>
      </c>
      <c r="F550" s="2">
        <v>21</v>
      </c>
      <c r="G550" s="2">
        <v>20.100000000000001</v>
      </c>
      <c r="H550" s="2">
        <f>AVERAGE(weather.tbl[[#This Row],[Estevan]:[Kipling]])</f>
        <v>20.433333333333334</v>
      </c>
      <c r="I550" s="2">
        <f>_xlfn.STDEV.S(weather.tbl[[#This Row],[Estevan]:[Kipling]])</f>
        <v>0.90700973901423287</v>
      </c>
      <c r="J550" s="2">
        <f t="shared" si="8"/>
        <v>20.364285714285717</v>
      </c>
      <c r="K550">
        <f>DAY(weather.tbl[[#This Row],[Date]])</f>
        <v>3</v>
      </c>
      <c r="L550">
        <f>MONTH(weather.tbl[[#This Row],[Date]])</f>
        <v>7</v>
      </c>
      <c r="M550">
        <f>YEAR(weather.tbl[[#This Row],[Date]])</f>
        <v>2015</v>
      </c>
    </row>
    <row r="551" spans="1:13" x14ac:dyDescent="0.25">
      <c r="A551" s="1">
        <v>42189</v>
      </c>
      <c r="B551" s="2">
        <v>22.5</v>
      </c>
      <c r="C551" s="2">
        <v>20.8</v>
      </c>
      <c r="D551" s="2">
        <v>22.3</v>
      </c>
      <c r="E551" s="2">
        <v>22.3</v>
      </c>
      <c r="F551" s="2">
        <v>23.5</v>
      </c>
      <c r="G551" s="2">
        <v>23.1</v>
      </c>
      <c r="H551" s="2">
        <f>AVERAGE(weather.tbl[[#This Row],[Estevan]:[Kipling]])</f>
        <v>22.416666666666668</v>
      </c>
      <c r="I551" s="2">
        <f>_xlfn.STDEV.S(weather.tbl[[#This Row],[Estevan]:[Kipling]])</f>
        <v>0.92610294604145738</v>
      </c>
      <c r="J551" s="2">
        <f t="shared" si="8"/>
        <v>20.45</v>
      </c>
      <c r="K551">
        <f>DAY(weather.tbl[[#This Row],[Date]])</f>
        <v>4</v>
      </c>
      <c r="L551">
        <f>MONTH(weather.tbl[[#This Row],[Date]])</f>
        <v>7</v>
      </c>
      <c r="M551">
        <f>YEAR(weather.tbl[[#This Row],[Date]])</f>
        <v>2015</v>
      </c>
    </row>
    <row r="552" spans="1:13" x14ac:dyDescent="0.25">
      <c r="A552" s="1">
        <v>42190</v>
      </c>
      <c r="B552" s="2">
        <v>16.7</v>
      </c>
      <c r="C552" s="2">
        <v>17</v>
      </c>
      <c r="D552" s="2">
        <v>18.8</v>
      </c>
      <c r="E552" s="2">
        <v>19.3</v>
      </c>
      <c r="F552" s="2">
        <v>17.5</v>
      </c>
      <c r="G552" s="2">
        <v>17.8</v>
      </c>
      <c r="H552" s="2">
        <f>AVERAGE(weather.tbl[[#This Row],[Estevan]:[Kipling]])</f>
        <v>17.849999999999998</v>
      </c>
      <c r="I552" s="2">
        <f>_xlfn.STDEV.S(weather.tbl[[#This Row],[Estevan]:[Kipling]])</f>
        <v>1.0173494974687907</v>
      </c>
      <c r="J552" s="2">
        <f t="shared" si="8"/>
        <v>19.964285714285715</v>
      </c>
      <c r="K552">
        <f>DAY(weather.tbl[[#This Row],[Date]])</f>
        <v>5</v>
      </c>
      <c r="L552">
        <f>MONTH(weather.tbl[[#This Row],[Date]])</f>
        <v>7</v>
      </c>
      <c r="M552">
        <f>YEAR(weather.tbl[[#This Row],[Date]])</f>
        <v>2015</v>
      </c>
    </row>
    <row r="553" spans="1:13" x14ac:dyDescent="0.25">
      <c r="A553" s="1">
        <v>42191</v>
      </c>
      <c r="B553" s="2">
        <v>15.2</v>
      </c>
      <c r="C553" s="2">
        <v>15.3</v>
      </c>
      <c r="D553" s="2">
        <v>14.3</v>
      </c>
      <c r="E553" s="2">
        <v>16.5</v>
      </c>
      <c r="F553" s="2">
        <v>14.1</v>
      </c>
      <c r="G553" s="2">
        <v>14.3</v>
      </c>
      <c r="H553" s="2">
        <f>AVERAGE(weather.tbl[[#This Row],[Estevan]:[Kipling]])</f>
        <v>14.949999999999998</v>
      </c>
      <c r="I553" s="2">
        <f>_xlfn.STDEV.S(weather.tbl[[#This Row],[Estevan]:[Kipling]])</f>
        <v>0.91159201400626577</v>
      </c>
      <c r="J553" s="2">
        <f t="shared" si="8"/>
        <v>18.859523809523807</v>
      </c>
      <c r="K553">
        <f>DAY(weather.tbl[[#This Row],[Date]])</f>
        <v>6</v>
      </c>
      <c r="L553">
        <f>MONTH(weather.tbl[[#This Row],[Date]])</f>
        <v>7</v>
      </c>
      <c r="M553">
        <f>YEAR(weather.tbl[[#This Row],[Date]])</f>
        <v>2015</v>
      </c>
    </row>
    <row r="554" spans="1:13" x14ac:dyDescent="0.25">
      <c r="A554" s="1">
        <v>42192</v>
      </c>
      <c r="B554" s="2">
        <v>16.600000000000001</v>
      </c>
      <c r="C554" s="2">
        <v>17.3</v>
      </c>
      <c r="D554" s="2">
        <v>14.5</v>
      </c>
      <c r="E554" s="2">
        <v>17.5</v>
      </c>
      <c r="F554" s="2">
        <v>15.5</v>
      </c>
      <c r="G554" s="2">
        <v>16</v>
      </c>
      <c r="H554" s="2">
        <f>AVERAGE(weather.tbl[[#This Row],[Estevan]:[Kipling]])</f>
        <v>16.233333333333334</v>
      </c>
      <c r="I554" s="2">
        <f>_xlfn.STDEV.S(weather.tbl[[#This Row],[Estevan]:[Kipling]])</f>
        <v>1.1378341999899051</v>
      </c>
      <c r="J554" s="2">
        <f t="shared" si="8"/>
        <v>18.621428571428574</v>
      </c>
      <c r="K554">
        <f>DAY(weather.tbl[[#This Row],[Date]])</f>
        <v>7</v>
      </c>
      <c r="L554">
        <f>MONTH(weather.tbl[[#This Row],[Date]])</f>
        <v>7</v>
      </c>
      <c r="M554">
        <f>YEAR(weather.tbl[[#This Row],[Date]])</f>
        <v>2015</v>
      </c>
    </row>
    <row r="555" spans="1:13" x14ac:dyDescent="0.25">
      <c r="A555" s="1">
        <v>42193</v>
      </c>
      <c r="B555" s="2">
        <v>15.1</v>
      </c>
      <c r="C555" s="2">
        <v>15</v>
      </c>
      <c r="D555" s="2">
        <v>15.8</v>
      </c>
      <c r="E555" s="2">
        <v>15.5</v>
      </c>
      <c r="F555" s="2">
        <v>16.600000000000001</v>
      </c>
      <c r="G555" s="2">
        <v>14.4</v>
      </c>
      <c r="H555" s="2">
        <f>AVERAGE(weather.tbl[[#This Row],[Estevan]:[Kipling]])</f>
        <v>15.4</v>
      </c>
      <c r="I555" s="2">
        <f>_xlfn.STDEV.S(weather.tbl[[#This Row],[Estevan]:[Kipling]])</f>
        <v>0.756306816047562</v>
      </c>
      <c r="J555" s="2">
        <f t="shared" si="8"/>
        <v>18.150000000000002</v>
      </c>
      <c r="K555">
        <f>DAY(weather.tbl[[#This Row],[Date]])</f>
        <v>8</v>
      </c>
      <c r="L555">
        <f>MONTH(weather.tbl[[#This Row],[Date]])</f>
        <v>7</v>
      </c>
      <c r="M555">
        <f>YEAR(weather.tbl[[#This Row],[Date]])</f>
        <v>2015</v>
      </c>
    </row>
    <row r="556" spans="1:13" x14ac:dyDescent="0.25">
      <c r="A556" s="1">
        <v>42194</v>
      </c>
      <c r="B556" s="2">
        <v>21</v>
      </c>
      <c r="C556" s="2">
        <v>21</v>
      </c>
      <c r="D556" s="2">
        <v>18.5</v>
      </c>
      <c r="E556" s="2">
        <v>22.5</v>
      </c>
      <c r="F556" s="2">
        <v>20.100000000000001</v>
      </c>
      <c r="G556" s="2">
        <v>20.6</v>
      </c>
      <c r="H556" s="2">
        <f>AVERAGE(weather.tbl[[#This Row],[Estevan]:[Kipling]])</f>
        <v>20.616666666666664</v>
      </c>
      <c r="I556" s="2">
        <f>_xlfn.STDEV.S(weather.tbl[[#This Row],[Estevan]:[Kipling]])</f>
        <v>1.3105978279650345</v>
      </c>
      <c r="J556" s="2">
        <f t="shared" si="8"/>
        <v>18.271428571428572</v>
      </c>
      <c r="K556">
        <f>DAY(weather.tbl[[#This Row],[Date]])</f>
        <v>9</v>
      </c>
      <c r="L556">
        <f>MONTH(weather.tbl[[#This Row],[Date]])</f>
        <v>7</v>
      </c>
      <c r="M556">
        <f>YEAR(weather.tbl[[#This Row],[Date]])</f>
        <v>2015</v>
      </c>
    </row>
    <row r="557" spans="1:13" x14ac:dyDescent="0.25">
      <c r="A557" s="1">
        <v>42195</v>
      </c>
      <c r="B557" s="2">
        <v>23.8</v>
      </c>
      <c r="C557" s="2">
        <v>23.9</v>
      </c>
      <c r="D557" s="2">
        <v>20.5</v>
      </c>
      <c r="E557" s="2">
        <v>23</v>
      </c>
      <c r="F557" s="2">
        <v>22.5</v>
      </c>
      <c r="G557" s="2">
        <v>24.3</v>
      </c>
      <c r="H557" s="2">
        <f>AVERAGE(weather.tbl[[#This Row],[Estevan]:[Kipling]])</f>
        <v>23</v>
      </c>
      <c r="I557" s="2">
        <f>_xlfn.STDEV.S(weather.tbl[[#This Row],[Estevan]:[Kipling]])</f>
        <v>1.3885243966167826</v>
      </c>
      <c r="J557" s="2">
        <f t="shared" si="8"/>
        <v>18.638095238095236</v>
      </c>
      <c r="K557">
        <f>DAY(weather.tbl[[#This Row],[Date]])</f>
        <v>10</v>
      </c>
      <c r="L557">
        <f>MONTH(weather.tbl[[#This Row],[Date]])</f>
        <v>7</v>
      </c>
      <c r="M557">
        <f>YEAR(weather.tbl[[#This Row],[Date]])</f>
        <v>2015</v>
      </c>
    </row>
    <row r="558" spans="1:13" x14ac:dyDescent="0.25">
      <c r="A558" s="1">
        <v>42196</v>
      </c>
      <c r="B558" s="2">
        <v>25</v>
      </c>
      <c r="C558" s="2">
        <v>24.8</v>
      </c>
      <c r="D558" s="2">
        <v>20.5</v>
      </c>
      <c r="E558" s="2">
        <v>24.5</v>
      </c>
      <c r="F558" s="2">
        <v>24.3</v>
      </c>
      <c r="G558" s="2">
        <v>22.7</v>
      </c>
      <c r="H558" s="2">
        <f>AVERAGE(weather.tbl[[#This Row],[Estevan]:[Kipling]])</f>
        <v>23.633333333333329</v>
      </c>
      <c r="I558" s="2">
        <f>_xlfn.STDEV.S(weather.tbl[[#This Row],[Estevan]:[Kipling]])</f>
        <v>1.7385817975196529</v>
      </c>
      <c r="J558" s="2">
        <f t="shared" si="8"/>
        <v>18.811904761904763</v>
      </c>
      <c r="K558">
        <f>DAY(weather.tbl[[#This Row],[Date]])</f>
        <v>11</v>
      </c>
      <c r="L558">
        <f>MONTH(weather.tbl[[#This Row],[Date]])</f>
        <v>7</v>
      </c>
      <c r="M558">
        <f>YEAR(weather.tbl[[#This Row],[Date]])</f>
        <v>2015</v>
      </c>
    </row>
    <row r="559" spans="1:13" x14ac:dyDescent="0.25">
      <c r="A559" s="1">
        <v>42197</v>
      </c>
      <c r="B559" s="2">
        <v>23.7</v>
      </c>
      <c r="C559" s="2">
        <v>23.5</v>
      </c>
      <c r="D559" s="2">
        <v>22</v>
      </c>
      <c r="E559" s="2">
        <v>24</v>
      </c>
      <c r="F559" s="2">
        <v>25.5</v>
      </c>
      <c r="G559" s="2">
        <v>22.7</v>
      </c>
      <c r="H559" s="2">
        <f>AVERAGE(weather.tbl[[#This Row],[Estevan]:[Kipling]])</f>
        <v>23.566666666666666</v>
      </c>
      <c r="I559" s="2">
        <f>_xlfn.STDEV.S(weather.tbl[[#This Row],[Estevan]:[Kipling]])</f>
        <v>1.196104789166345</v>
      </c>
      <c r="J559" s="2">
        <f t="shared" si="8"/>
        <v>19.628571428571426</v>
      </c>
      <c r="K559">
        <f>DAY(weather.tbl[[#This Row],[Date]])</f>
        <v>12</v>
      </c>
      <c r="L559">
        <f>MONTH(weather.tbl[[#This Row],[Date]])</f>
        <v>7</v>
      </c>
      <c r="M559">
        <f>YEAR(weather.tbl[[#This Row],[Date]])</f>
        <v>2015</v>
      </c>
    </row>
    <row r="560" spans="1:13" x14ac:dyDescent="0.25">
      <c r="A560" s="1">
        <v>42198</v>
      </c>
      <c r="B560" s="2">
        <v>22.3</v>
      </c>
      <c r="C560" s="2">
        <v>23.1</v>
      </c>
      <c r="D560" s="2">
        <v>22</v>
      </c>
      <c r="E560" s="2">
        <v>22.3</v>
      </c>
      <c r="F560" s="2">
        <v>22.5</v>
      </c>
      <c r="G560" s="2">
        <v>21</v>
      </c>
      <c r="H560" s="2">
        <f>AVERAGE(weather.tbl[[#This Row],[Estevan]:[Kipling]])</f>
        <v>22.2</v>
      </c>
      <c r="I560" s="2">
        <f>_xlfn.STDEV.S(weather.tbl[[#This Row],[Estevan]:[Kipling]])</f>
        <v>0.69282032302755137</v>
      </c>
      <c r="J560" s="2">
        <f t="shared" si="8"/>
        <v>20.664285714285711</v>
      </c>
      <c r="K560">
        <f>DAY(weather.tbl[[#This Row],[Date]])</f>
        <v>13</v>
      </c>
      <c r="L560">
        <f>MONTH(weather.tbl[[#This Row],[Date]])</f>
        <v>7</v>
      </c>
      <c r="M560">
        <f>YEAR(weather.tbl[[#This Row],[Date]])</f>
        <v>2015</v>
      </c>
    </row>
    <row r="561" spans="1:13" x14ac:dyDescent="0.25">
      <c r="A561" s="1">
        <v>42199</v>
      </c>
      <c r="B561" s="2">
        <v>21.4</v>
      </c>
      <c r="C561" s="2">
        <v>21.9</v>
      </c>
      <c r="D561" s="2">
        <v>21.5</v>
      </c>
      <c r="E561" s="2">
        <v>22.3</v>
      </c>
      <c r="F561" s="2">
        <v>22.6</v>
      </c>
      <c r="G561" s="2">
        <v>22.2</v>
      </c>
      <c r="H561" s="2">
        <f>AVERAGE(weather.tbl[[#This Row],[Estevan]:[Kipling]])</f>
        <v>21.983333333333331</v>
      </c>
      <c r="I561" s="2">
        <f>_xlfn.STDEV.S(weather.tbl[[#This Row],[Estevan]:[Kipling]])</f>
        <v>0.47081489639418533</v>
      </c>
      <c r="J561" s="2">
        <f t="shared" si="8"/>
        <v>21.485714285714284</v>
      </c>
      <c r="K561">
        <f>DAY(weather.tbl[[#This Row],[Date]])</f>
        <v>14</v>
      </c>
      <c r="L561">
        <f>MONTH(weather.tbl[[#This Row],[Date]])</f>
        <v>7</v>
      </c>
      <c r="M561">
        <f>YEAR(weather.tbl[[#This Row],[Date]])</f>
        <v>2015</v>
      </c>
    </row>
    <row r="562" spans="1:13" x14ac:dyDescent="0.25">
      <c r="A562" s="1">
        <v>42200</v>
      </c>
      <c r="B562" s="2">
        <v>22.4</v>
      </c>
      <c r="C562" s="2">
        <v>22.6</v>
      </c>
      <c r="D562" s="2">
        <v>21.3</v>
      </c>
      <c r="E562" s="2">
        <v>22.5</v>
      </c>
      <c r="F562" s="2">
        <v>23.2</v>
      </c>
      <c r="G562" s="2">
        <v>22.2</v>
      </c>
      <c r="H562" s="2">
        <f>AVERAGE(weather.tbl[[#This Row],[Estevan]:[Kipling]])</f>
        <v>22.366666666666664</v>
      </c>
      <c r="I562" s="2">
        <f>_xlfn.STDEV.S(weather.tbl[[#This Row],[Estevan]:[Kipling]])</f>
        <v>0.62182527020592071</v>
      </c>
      <c r="J562" s="2">
        <f t="shared" si="8"/>
        <v>22.480952380952377</v>
      </c>
      <c r="K562">
        <f>DAY(weather.tbl[[#This Row],[Date]])</f>
        <v>15</v>
      </c>
      <c r="L562">
        <f>MONTH(weather.tbl[[#This Row],[Date]])</f>
        <v>7</v>
      </c>
      <c r="M562">
        <f>YEAR(weather.tbl[[#This Row],[Date]])</f>
        <v>2015</v>
      </c>
    </row>
    <row r="563" spans="1:13" x14ac:dyDescent="0.25">
      <c r="A563" s="1">
        <v>42201</v>
      </c>
      <c r="B563" s="2">
        <v>21.7</v>
      </c>
      <c r="C563" s="2">
        <v>22.9</v>
      </c>
      <c r="D563" s="2">
        <v>21.5</v>
      </c>
      <c r="E563" s="2">
        <v>23</v>
      </c>
      <c r="F563" s="2">
        <v>22.6</v>
      </c>
      <c r="G563" s="2">
        <v>22.1</v>
      </c>
      <c r="H563" s="2">
        <f>AVERAGE(weather.tbl[[#This Row],[Estevan]:[Kipling]])</f>
        <v>22.299999999999997</v>
      </c>
      <c r="I563" s="2">
        <f>_xlfn.STDEV.S(weather.tbl[[#This Row],[Estevan]:[Kipling]])</f>
        <v>0.62928530890209078</v>
      </c>
      <c r="J563" s="2">
        <f t="shared" si="8"/>
        <v>22.721428571428572</v>
      </c>
      <c r="K563">
        <f>DAY(weather.tbl[[#This Row],[Date]])</f>
        <v>16</v>
      </c>
      <c r="L563">
        <f>MONTH(weather.tbl[[#This Row],[Date]])</f>
        <v>7</v>
      </c>
      <c r="M563">
        <f>YEAR(weather.tbl[[#This Row],[Date]])</f>
        <v>2015</v>
      </c>
    </row>
    <row r="564" spans="1:13" x14ac:dyDescent="0.25">
      <c r="A564" s="1">
        <v>42202</v>
      </c>
      <c r="B564" s="2">
        <v>16.899999999999999</v>
      </c>
      <c r="C564" s="2">
        <v>17</v>
      </c>
      <c r="D564" s="2">
        <v>21.5</v>
      </c>
      <c r="E564" s="2">
        <v>17</v>
      </c>
      <c r="F564" s="2">
        <v>17.100000000000001</v>
      </c>
      <c r="G564" s="2">
        <v>15.8</v>
      </c>
      <c r="H564" s="2">
        <f>AVERAGE(weather.tbl[[#This Row],[Estevan]:[Kipling]])</f>
        <v>17.55</v>
      </c>
      <c r="I564" s="2">
        <f>_xlfn.STDEV.S(weather.tbl[[#This Row],[Estevan]:[Kipling]])</f>
        <v>1.9947430912275386</v>
      </c>
      <c r="J564" s="2">
        <f t="shared" si="8"/>
        <v>21.942857142857143</v>
      </c>
      <c r="K564">
        <f>DAY(weather.tbl[[#This Row],[Date]])</f>
        <v>17</v>
      </c>
      <c r="L564">
        <f>MONTH(weather.tbl[[#This Row],[Date]])</f>
        <v>7</v>
      </c>
      <c r="M564">
        <f>YEAR(weather.tbl[[#This Row],[Date]])</f>
        <v>2015</v>
      </c>
    </row>
    <row r="565" spans="1:13" x14ac:dyDescent="0.25">
      <c r="A565" s="1">
        <v>42203</v>
      </c>
      <c r="B565" s="2">
        <v>17.600000000000001</v>
      </c>
      <c r="C565" s="2">
        <v>17.600000000000001</v>
      </c>
      <c r="D565" s="2">
        <v>21.5</v>
      </c>
      <c r="E565" s="2">
        <v>18.3</v>
      </c>
      <c r="F565" s="2">
        <v>17.899999999999999</v>
      </c>
      <c r="G565" s="2">
        <v>15.9</v>
      </c>
      <c r="H565" s="2">
        <f>AVERAGE(weather.tbl[[#This Row],[Estevan]:[Kipling]])</f>
        <v>18.133333333333336</v>
      </c>
      <c r="I565" s="2">
        <f>_xlfn.STDEV.S(weather.tbl[[#This Row],[Estevan]:[Kipling]])</f>
        <v>1.8424621208227501</v>
      </c>
      <c r="J565" s="2">
        <f t="shared" si="8"/>
        <v>21.157142857142855</v>
      </c>
      <c r="K565">
        <f>DAY(weather.tbl[[#This Row],[Date]])</f>
        <v>18</v>
      </c>
      <c r="L565">
        <f>MONTH(weather.tbl[[#This Row],[Date]])</f>
        <v>7</v>
      </c>
      <c r="M565">
        <f>YEAR(weather.tbl[[#This Row],[Date]])</f>
        <v>2015</v>
      </c>
    </row>
    <row r="566" spans="1:13" x14ac:dyDescent="0.25">
      <c r="A566" s="1">
        <v>42204</v>
      </c>
      <c r="B566" s="2">
        <v>19.399999999999999</v>
      </c>
      <c r="C566" s="2">
        <v>19.3</v>
      </c>
      <c r="D566" s="2">
        <v>20</v>
      </c>
      <c r="E566" s="2">
        <v>19.5</v>
      </c>
      <c r="F566" s="2">
        <v>20.100000000000001</v>
      </c>
      <c r="G566" s="2">
        <v>18.3</v>
      </c>
      <c r="H566" s="2">
        <f>AVERAGE(weather.tbl[[#This Row],[Estevan]:[Kipling]])</f>
        <v>19.433333333333334</v>
      </c>
      <c r="I566" s="2">
        <f>_xlfn.STDEV.S(weather.tbl[[#This Row],[Estevan]:[Kipling]])</f>
        <v>0.64394616752230671</v>
      </c>
      <c r="J566" s="2">
        <f t="shared" si="8"/>
        <v>20.566666666666666</v>
      </c>
      <c r="K566">
        <f>DAY(weather.tbl[[#This Row],[Date]])</f>
        <v>19</v>
      </c>
      <c r="L566">
        <f>MONTH(weather.tbl[[#This Row],[Date]])</f>
        <v>7</v>
      </c>
      <c r="M566">
        <f>YEAR(weather.tbl[[#This Row],[Date]])</f>
        <v>2015</v>
      </c>
    </row>
    <row r="567" spans="1:13" x14ac:dyDescent="0.25">
      <c r="A567" s="1">
        <v>42205</v>
      </c>
      <c r="B567" s="2">
        <v>17.399999999999999</v>
      </c>
      <c r="C567" s="2">
        <v>17.8</v>
      </c>
      <c r="D567" s="2">
        <v>17.8</v>
      </c>
      <c r="E567" s="2">
        <v>19.3</v>
      </c>
      <c r="F567" s="2">
        <v>18.3</v>
      </c>
      <c r="G567" s="2">
        <v>17.3</v>
      </c>
      <c r="H567" s="2">
        <f>AVERAGE(weather.tbl[[#This Row],[Estevan]:[Kipling]])</f>
        <v>17.983333333333331</v>
      </c>
      <c r="I567" s="2">
        <f>_xlfn.STDEV.S(weather.tbl[[#This Row],[Estevan]:[Kipling]])</f>
        <v>0.73598007219398764</v>
      </c>
      <c r="J567" s="2">
        <f t="shared" si="8"/>
        <v>19.964285714285715</v>
      </c>
      <c r="K567">
        <f>DAY(weather.tbl[[#This Row],[Date]])</f>
        <v>20</v>
      </c>
      <c r="L567">
        <f>MONTH(weather.tbl[[#This Row],[Date]])</f>
        <v>7</v>
      </c>
      <c r="M567">
        <f>YEAR(weather.tbl[[#This Row],[Date]])</f>
        <v>2015</v>
      </c>
    </row>
    <row r="568" spans="1:13" x14ac:dyDescent="0.25">
      <c r="A568" s="1">
        <v>42206</v>
      </c>
      <c r="B568" s="2">
        <v>19.2</v>
      </c>
      <c r="C568" s="2">
        <v>17.8</v>
      </c>
      <c r="D568" s="2">
        <v>16</v>
      </c>
      <c r="E568" s="2">
        <v>21</v>
      </c>
      <c r="F568" s="2">
        <v>17.5</v>
      </c>
      <c r="G568" s="2">
        <v>17.7</v>
      </c>
      <c r="H568" s="2">
        <f>AVERAGE(weather.tbl[[#This Row],[Estevan]:[Kipling]])</f>
        <v>18.2</v>
      </c>
      <c r="I568" s="2">
        <f>_xlfn.STDEV.S(weather.tbl[[#This Row],[Estevan]:[Kipling]])</f>
        <v>1.7076299364909246</v>
      </c>
      <c r="J568" s="2">
        <f t="shared" si="8"/>
        <v>19.423809523809524</v>
      </c>
      <c r="K568">
        <f>DAY(weather.tbl[[#This Row],[Date]])</f>
        <v>21</v>
      </c>
      <c r="L568">
        <f>MONTH(weather.tbl[[#This Row],[Date]])</f>
        <v>7</v>
      </c>
      <c r="M568">
        <f>YEAR(weather.tbl[[#This Row],[Date]])</f>
        <v>2015</v>
      </c>
    </row>
    <row r="569" spans="1:13" x14ac:dyDescent="0.25">
      <c r="A569" s="1">
        <v>42207</v>
      </c>
      <c r="B569" s="2">
        <v>19.2</v>
      </c>
      <c r="C569" s="2">
        <v>24.2</v>
      </c>
      <c r="D569" s="2">
        <v>21.5</v>
      </c>
      <c r="E569" s="2">
        <v>21</v>
      </c>
      <c r="F569" s="2">
        <v>22.7</v>
      </c>
      <c r="G569" s="2">
        <v>21.8</v>
      </c>
      <c r="H569" s="2">
        <f>AVERAGE(weather.tbl[[#This Row],[Estevan]:[Kipling]])</f>
        <v>21.733333333333334</v>
      </c>
      <c r="I569" s="2">
        <f>_xlfn.STDEV.S(weather.tbl[[#This Row],[Estevan]:[Kipling]])</f>
        <v>1.6753109164172082</v>
      </c>
      <c r="J569" s="2">
        <f t="shared" si="8"/>
        <v>19.333333333333336</v>
      </c>
      <c r="K569">
        <f>DAY(weather.tbl[[#This Row],[Date]])</f>
        <v>22</v>
      </c>
      <c r="L569">
        <f>MONTH(weather.tbl[[#This Row],[Date]])</f>
        <v>7</v>
      </c>
      <c r="M569">
        <f>YEAR(weather.tbl[[#This Row],[Date]])</f>
        <v>2015</v>
      </c>
    </row>
    <row r="570" spans="1:13" x14ac:dyDescent="0.25">
      <c r="A570" s="1">
        <v>42208</v>
      </c>
      <c r="B570" s="2">
        <v>20.3</v>
      </c>
      <c r="C570" s="2">
        <v>19.2</v>
      </c>
      <c r="D570" s="2">
        <v>19.8</v>
      </c>
      <c r="E570" s="2">
        <v>21</v>
      </c>
      <c r="F570" s="2">
        <v>20.9</v>
      </c>
      <c r="G570" s="2">
        <v>20.7</v>
      </c>
      <c r="H570" s="2">
        <f>AVERAGE(weather.tbl[[#This Row],[Estevan]:[Kipling]])</f>
        <v>20.316666666666666</v>
      </c>
      <c r="I570" s="2">
        <f>_xlfn.STDEV.S(weather.tbl[[#This Row],[Estevan]:[Kipling]])</f>
        <v>0.70261416628663731</v>
      </c>
      <c r="J570" s="2">
        <f t="shared" si="8"/>
        <v>19.050000000000004</v>
      </c>
      <c r="K570">
        <f>DAY(weather.tbl[[#This Row],[Date]])</f>
        <v>23</v>
      </c>
      <c r="L570">
        <f>MONTH(weather.tbl[[#This Row],[Date]])</f>
        <v>7</v>
      </c>
      <c r="M570">
        <f>YEAR(weather.tbl[[#This Row],[Date]])</f>
        <v>2015</v>
      </c>
    </row>
    <row r="571" spans="1:13" x14ac:dyDescent="0.25">
      <c r="A571" s="1">
        <v>42209</v>
      </c>
      <c r="B571" s="2">
        <v>20.7</v>
      </c>
      <c r="C571" s="2">
        <v>20.2</v>
      </c>
      <c r="D571" s="2">
        <v>21</v>
      </c>
      <c r="E571" s="2">
        <v>20.8</v>
      </c>
      <c r="F571" s="2">
        <v>20.8</v>
      </c>
      <c r="G571" s="2">
        <v>20.5</v>
      </c>
      <c r="H571" s="2">
        <f>AVERAGE(weather.tbl[[#This Row],[Estevan]:[Kipling]])</f>
        <v>20.666666666666668</v>
      </c>
      <c r="I571" s="2">
        <f>_xlfn.STDEV.S(weather.tbl[[#This Row],[Estevan]:[Kipling]])</f>
        <v>0.28047578623950209</v>
      </c>
      <c r="J571" s="2">
        <f t="shared" si="8"/>
        <v>19.495238095238097</v>
      </c>
      <c r="K571">
        <f>DAY(weather.tbl[[#This Row],[Date]])</f>
        <v>24</v>
      </c>
      <c r="L571">
        <f>MONTH(weather.tbl[[#This Row],[Date]])</f>
        <v>7</v>
      </c>
      <c r="M571">
        <f>YEAR(weather.tbl[[#This Row],[Date]])</f>
        <v>2015</v>
      </c>
    </row>
    <row r="572" spans="1:13" x14ac:dyDescent="0.25">
      <c r="A572" s="1">
        <v>42210</v>
      </c>
      <c r="B572" s="2">
        <v>22.1</v>
      </c>
      <c r="C572" s="2">
        <v>23.2</v>
      </c>
      <c r="D572" s="2">
        <v>21.5</v>
      </c>
      <c r="E572" s="2">
        <v>23</v>
      </c>
      <c r="F572" s="2">
        <v>21.4</v>
      </c>
      <c r="G572" s="2">
        <v>21.8</v>
      </c>
      <c r="H572" s="2">
        <f>AVERAGE(weather.tbl[[#This Row],[Estevan]:[Kipling]])</f>
        <v>22.166666666666668</v>
      </c>
      <c r="I572" s="2">
        <f>_xlfn.STDEV.S(weather.tbl[[#This Row],[Estevan]:[Kipling]])</f>
        <v>0.76594168620507053</v>
      </c>
      <c r="J572" s="2">
        <f t="shared" si="8"/>
        <v>20.071428571428573</v>
      </c>
      <c r="K572">
        <f>DAY(weather.tbl[[#This Row],[Date]])</f>
        <v>25</v>
      </c>
      <c r="L572">
        <f>MONTH(weather.tbl[[#This Row],[Date]])</f>
        <v>7</v>
      </c>
      <c r="M572">
        <f>YEAR(weather.tbl[[#This Row],[Date]])</f>
        <v>2015</v>
      </c>
    </row>
    <row r="573" spans="1:13" x14ac:dyDescent="0.25">
      <c r="A573" s="1">
        <v>42211</v>
      </c>
      <c r="B573" s="2">
        <v>22</v>
      </c>
      <c r="C573" s="2">
        <v>22.2</v>
      </c>
      <c r="D573" s="2">
        <v>20.5</v>
      </c>
      <c r="E573" s="2">
        <v>24</v>
      </c>
      <c r="F573" s="2">
        <v>22.3</v>
      </c>
      <c r="G573" s="2">
        <v>21.2</v>
      </c>
      <c r="H573" s="2">
        <f>AVERAGE(weather.tbl[[#This Row],[Estevan]:[Kipling]])</f>
        <v>22.033333333333331</v>
      </c>
      <c r="I573" s="2">
        <f>_xlfn.STDEV.S(weather.tbl[[#This Row],[Estevan]:[Kipling]])</f>
        <v>1.184342292864131</v>
      </c>
      <c r="J573" s="2">
        <f t="shared" si="8"/>
        <v>20.442857142857147</v>
      </c>
      <c r="K573">
        <f>DAY(weather.tbl[[#This Row],[Date]])</f>
        <v>26</v>
      </c>
      <c r="L573">
        <f>MONTH(weather.tbl[[#This Row],[Date]])</f>
        <v>7</v>
      </c>
      <c r="M573">
        <f>YEAR(weather.tbl[[#This Row],[Date]])</f>
        <v>2015</v>
      </c>
    </row>
    <row r="574" spans="1:13" x14ac:dyDescent="0.25">
      <c r="A574" s="1">
        <v>42212</v>
      </c>
      <c r="B574" s="2">
        <v>22.5</v>
      </c>
      <c r="C574" s="2">
        <v>21</v>
      </c>
      <c r="D574" s="2">
        <v>22.3</v>
      </c>
      <c r="E574" s="2">
        <v>20.3</v>
      </c>
      <c r="F574" s="2">
        <v>22.2</v>
      </c>
      <c r="G574" s="2">
        <v>20</v>
      </c>
      <c r="H574" s="2">
        <f>AVERAGE(weather.tbl[[#This Row],[Estevan]:[Kipling]])</f>
        <v>21.383333333333336</v>
      </c>
      <c r="I574" s="2">
        <f>_xlfn.STDEV.S(weather.tbl[[#This Row],[Estevan]:[Kipling]])</f>
        <v>1.0943795807061947</v>
      </c>
      <c r="J574" s="2">
        <f t="shared" si="8"/>
        <v>20.928571428571427</v>
      </c>
      <c r="K574">
        <f>DAY(weather.tbl[[#This Row],[Date]])</f>
        <v>27</v>
      </c>
      <c r="L574">
        <f>MONTH(weather.tbl[[#This Row],[Date]])</f>
        <v>7</v>
      </c>
      <c r="M574">
        <f>YEAR(weather.tbl[[#This Row],[Date]])</f>
        <v>2015</v>
      </c>
    </row>
    <row r="575" spans="1:13" x14ac:dyDescent="0.25">
      <c r="A575" s="1">
        <v>42213</v>
      </c>
      <c r="B575" s="2">
        <v>16.600000000000001</v>
      </c>
      <c r="C575" s="2">
        <v>16.7</v>
      </c>
      <c r="D575" s="2">
        <v>16.5</v>
      </c>
      <c r="E575" s="2">
        <v>16.8</v>
      </c>
      <c r="F575" s="2">
        <v>20.100000000000001</v>
      </c>
      <c r="G575" s="2">
        <v>16.5</v>
      </c>
      <c r="H575" s="2">
        <f>AVERAGE(weather.tbl[[#This Row],[Estevan]:[Kipling]])</f>
        <v>17.2</v>
      </c>
      <c r="I575" s="2">
        <f>_xlfn.STDEV.S(weather.tbl[[#This Row],[Estevan]:[Kipling]])</f>
        <v>1.4254823744964373</v>
      </c>
      <c r="J575" s="2">
        <f t="shared" si="8"/>
        <v>20.785714285714285</v>
      </c>
      <c r="K575">
        <f>DAY(weather.tbl[[#This Row],[Date]])</f>
        <v>28</v>
      </c>
      <c r="L575">
        <f>MONTH(weather.tbl[[#This Row],[Date]])</f>
        <v>7</v>
      </c>
      <c r="M575">
        <f>YEAR(weather.tbl[[#This Row],[Date]])</f>
        <v>2015</v>
      </c>
    </row>
    <row r="576" spans="1:13" x14ac:dyDescent="0.25">
      <c r="A576" s="1">
        <v>42214</v>
      </c>
      <c r="B576" s="2">
        <v>20.399999999999999</v>
      </c>
      <c r="C576" s="2">
        <v>19.7</v>
      </c>
      <c r="D576" s="2">
        <v>20</v>
      </c>
      <c r="E576" s="2">
        <v>19.5</v>
      </c>
      <c r="F576" s="2">
        <v>20.100000000000001</v>
      </c>
      <c r="G576" s="2">
        <v>17.8</v>
      </c>
      <c r="H576" s="2">
        <f>AVERAGE(weather.tbl[[#This Row],[Estevan]:[Kipling]])</f>
        <v>19.583333333333332</v>
      </c>
      <c r="I576" s="2">
        <f>_xlfn.STDEV.S(weather.tbl[[#This Row],[Estevan]:[Kipling]])</f>
        <v>0.92826002104295435</v>
      </c>
      <c r="J576" s="2">
        <f t="shared" si="8"/>
        <v>20.478571428571431</v>
      </c>
      <c r="K576">
        <f>DAY(weather.tbl[[#This Row],[Date]])</f>
        <v>29</v>
      </c>
      <c r="L576">
        <f>MONTH(weather.tbl[[#This Row],[Date]])</f>
        <v>7</v>
      </c>
      <c r="M576">
        <f>YEAR(weather.tbl[[#This Row],[Date]])</f>
        <v>2015</v>
      </c>
    </row>
    <row r="577" spans="1:13" x14ac:dyDescent="0.25">
      <c r="A577" s="1">
        <v>42215</v>
      </c>
      <c r="B577" s="2">
        <v>18.100000000000001</v>
      </c>
      <c r="C577" s="2">
        <v>18.5</v>
      </c>
      <c r="D577" s="2">
        <v>18.8</v>
      </c>
      <c r="E577" s="2">
        <v>19.5</v>
      </c>
      <c r="F577" s="2">
        <v>19.8</v>
      </c>
      <c r="G577" s="2">
        <v>17.5</v>
      </c>
      <c r="H577" s="2">
        <f>AVERAGE(weather.tbl[[#This Row],[Estevan]:[Kipling]])</f>
        <v>18.7</v>
      </c>
      <c r="I577" s="2">
        <f>_xlfn.STDEV.S(weather.tbl[[#This Row],[Estevan]:[Kipling]])</f>
        <v>0.86023252670426265</v>
      </c>
      <c r="J577" s="2">
        <f t="shared" si="8"/>
        <v>20.24761904761905</v>
      </c>
      <c r="K577">
        <f>DAY(weather.tbl[[#This Row],[Date]])</f>
        <v>30</v>
      </c>
      <c r="L577">
        <f>MONTH(weather.tbl[[#This Row],[Date]])</f>
        <v>7</v>
      </c>
      <c r="M577">
        <f>YEAR(weather.tbl[[#This Row],[Date]])</f>
        <v>2015</v>
      </c>
    </row>
    <row r="578" spans="1:13" x14ac:dyDescent="0.25">
      <c r="A578" s="1">
        <v>42216</v>
      </c>
      <c r="B578" s="2">
        <v>18</v>
      </c>
      <c r="C578" s="2">
        <v>18.3</v>
      </c>
      <c r="D578" s="2">
        <v>19</v>
      </c>
      <c r="E578" s="2">
        <v>19.5</v>
      </c>
      <c r="F578" s="2">
        <v>19.2</v>
      </c>
      <c r="G578" s="2">
        <v>17.399999999999999</v>
      </c>
      <c r="H578" s="2">
        <f>AVERAGE(weather.tbl[[#This Row],[Estevan]:[Kipling]])</f>
        <v>18.566666666666666</v>
      </c>
      <c r="I578" s="2">
        <f>_xlfn.STDEV.S(weather.tbl[[#This Row],[Estevan]:[Kipling]])</f>
        <v>0.80166493416306239</v>
      </c>
      <c r="J578" s="2">
        <f t="shared" si="8"/>
        <v>19.94761904761905</v>
      </c>
      <c r="K578">
        <f>DAY(weather.tbl[[#This Row],[Date]])</f>
        <v>31</v>
      </c>
      <c r="L578">
        <f>MONTH(weather.tbl[[#This Row],[Date]])</f>
        <v>7</v>
      </c>
      <c r="M578">
        <f>YEAR(weather.tbl[[#This Row],[Date]])</f>
        <v>2015</v>
      </c>
    </row>
    <row r="579" spans="1:13" x14ac:dyDescent="0.25">
      <c r="A579" s="1">
        <v>42217</v>
      </c>
      <c r="B579" s="2">
        <v>21.7</v>
      </c>
      <c r="C579" s="2">
        <v>21.5</v>
      </c>
      <c r="D579" s="2">
        <v>20.3</v>
      </c>
      <c r="E579" s="2">
        <v>22</v>
      </c>
      <c r="F579" s="2">
        <v>20.5</v>
      </c>
      <c r="G579" s="2">
        <v>19.100000000000001</v>
      </c>
      <c r="H579" s="2">
        <f>AVERAGE(weather.tbl[[#This Row],[Estevan]:[Kipling]])</f>
        <v>20.849999999999998</v>
      </c>
      <c r="I579" s="2">
        <f>_xlfn.STDEV.S(weather.tbl[[#This Row],[Estevan]:[Kipling]])</f>
        <v>1.0913294644606635</v>
      </c>
      <c r="J579" s="2">
        <f t="shared" si="8"/>
        <v>19.759523809523809</v>
      </c>
      <c r="K579">
        <f>DAY(weather.tbl[[#This Row],[Date]])</f>
        <v>1</v>
      </c>
      <c r="L579">
        <f>MONTH(weather.tbl[[#This Row],[Date]])</f>
        <v>8</v>
      </c>
      <c r="M579">
        <f>YEAR(weather.tbl[[#This Row],[Date]])</f>
        <v>2015</v>
      </c>
    </row>
    <row r="580" spans="1:13" x14ac:dyDescent="0.25">
      <c r="A580" s="1">
        <v>42218</v>
      </c>
      <c r="B580" s="2">
        <v>17.600000000000001</v>
      </c>
      <c r="C580" s="2">
        <v>18</v>
      </c>
      <c r="D580" s="2">
        <v>17.8</v>
      </c>
      <c r="E580" s="2">
        <v>19.5</v>
      </c>
      <c r="F580" s="2">
        <v>18.3</v>
      </c>
      <c r="G580" s="2">
        <v>16.7</v>
      </c>
      <c r="H580" s="2">
        <f>AVERAGE(weather.tbl[[#This Row],[Estevan]:[Kipling]])</f>
        <v>17.983333333333334</v>
      </c>
      <c r="I580" s="2">
        <f>_xlfn.STDEV.S(weather.tbl[[#This Row],[Estevan]:[Kipling]])</f>
        <v>0.91960136291040095</v>
      </c>
      <c r="J580" s="2">
        <f t="shared" si="8"/>
        <v>19.18095238095238</v>
      </c>
      <c r="K580">
        <f>DAY(weather.tbl[[#This Row],[Date]])</f>
        <v>2</v>
      </c>
      <c r="L580">
        <f>MONTH(weather.tbl[[#This Row],[Date]])</f>
        <v>8</v>
      </c>
      <c r="M580">
        <f>YEAR(weather.tbl[[#This Row],[Date]])</f>
        <v>2015</v>
      </c>
    </row>
    <row r="581" spans="1:13" x14ac:dyDescent="0.25">
      <c r="A581" s="1">
        <v>42219</v>
      </c>
      <c r="B581" s="2">
        <v>16.8</v>
      </c>
      <c r="C581" s="2">
        <v>18.2</v>
      </c>
      <c r="D581" s="2">
        <v>17.8</v>
      </c>
      <c r="E581" s="2">
        <v>19.5</v>
      </c>
      <c r="F581" s="2">
        <v>17.899999999999999</v>
      </c>
      <c r="G581" s="2">
        <v>17</v>
      </c>
      <c r="H581" s="2">
        <f>AVERAGE(weather.tbl[[#This Row],[Estevan]:[Kipling]])</f>
        <v>17.866666666666664</v>
      </c>
      <c r="I581" s="2">
        <f>_xlfn.STDEV.S(weather.tbl[[#This Row],[Estevan]:[Kipling]])</f>
        <v>0.96678160236253274</v>
      </c>
      <c r="J581" s="2">
        <f t="shared" si="8"/>
        <v>18.678571428571427</v>
      </c>
      <c r="K581">
        <f>DAY(weather.tbl[[#This Row],[Date]])</f>
        <v>3</v>
      </c>
      <c r="L581">
        <f>MONTH(weather.tbl[[#This Row],[Date]])</f>
        <v>8</v>
      </c>
      <c r="M581">
        <f>YEAR(weather.tbl[[#This Row],[Date]])</f>
        <v>2015</v>
      </c>
    </row>
    <row r="582" spans="1:13" x14ac:dyDescent="0.25">
      <c r="A582" s="1">
        <v>42220</v>
      </c>
      <c r="B582" s="2">
        <v>19.100000000000001</v>
      </c>
      <c r="C582" s="2">
        <v>20</v>
      </c>
      <c r="D582" s="2">
        <v>17.8</v>
      </c>
      <c r="E582" s="2">
        <v>20</v>
      </c>
      <c r="F582" s="2">
        <v>16.8</v>
      </c>
      <c r="G582" s="2">
        <v>18.100000000000001</v>
      </c>
      <c r="H582" s="2">
        <f>AVERAGE(weather.tbl[[#This Row],[Estevan]:[Kipling]])</f>
        <v>18.633333333333336</v>
      </c>
      <c r="I582" s="2">
        <f>_xlfn.STDEV.S(weather.tbl[[#This Row],[Estevan]:[Kipling]])</f>
        <v>1.287892335044613</v>
      </c>
      <c r="J582" s="2">
        <f t="shared" si="8"/>
        <v>18.883333333333329</v>
      </c>
      <c r="K582">
        <f>DAY(weather.tbl[[#This Row],[Date]])</f>
        <v>4</v>
      </c>
      <c r="L582">
        <f>MONTH(weather.tbl[[#This Row],[Date]])</f>
        <v>8</v>
      </c>
      <c r="M582">
        <f>YEAR(weather.tbl[[#This Row],[Date]])</f>
        <v>2015</v>
      </c>
    </row>
    <row r="583" spans="1:13" x14ac:dyDescent="0.25">
      <c r="A583" s="1">
        <v>42221</v>
      </c>
      <c r="B583" s="2">
        <v>20.9</v>
      </c>
      <c r="C583" s="2">
        <v>21.2</v>
      </c>
      <c r="D583" s="2">
        <v>18.8</v>
      </c>
      <c r="E583" s="2">
        <v>22.5</v>
      </c>
      <c r="F583" s="2">
        <v>18.600000000000001</v>
      </c>
      <c r="G583" s="2">
        <v>17.100000000000001</v>
      </c>
      <c r="H583" s="2">
        <f>AVERAGE(weather.tbl[[#This Row],[Estevan]:[Kipling]])</f>
        <v>19.849999999999998</v>
      </c>
      <c r="I583" s="2">
        <f>_xlfn.STDEV.S(weather.tbl[[#This Row],[Estevan]:[Kipling]])</f>
        <v>2.0087309426600659</v>
      </c>
      <c r="J583" s="2">
        <f t="shared" si="8"/>
        <v>18.921428571428571</v>
      </c>
      <c r="K583">
        <f>DAY(weather.tbl[[#This Row],[Date]])</f>
        <v>5</v>
      </c>
      <c r="L583">
        <f>MONTH(weather.tbl[[#This Row],[Date]])</f>
        <v>8</v>
      </c>
      <c r="M583">
        <f>YEAR(weather.tbl[[#This Row],[Date]])</f>
        <v>2015</v>
      </c>
    </row>
    <row r="584" spans="1:13" x14ac:dyDescent="0.25">
      <c r="A584" s="1">
        <v>42222</v>
      </c>
      <c r="B584" s="2">
        <v>16.7</v>
      </c>
      <c r="C584" s="2">
        <v>16.100000000000001</v>
      </c>
      <c r="D584" s="2">
        <v>16.5</v>
      </c>
      <c r="E584" s="2">
        <v>17.5</v>
      </c>
      <c r="F584" s="2">
        <v>17.399999999999999</v>
      </c>
      <c r="G584" s="2">
        <v>15.2</v>
      </c>
      <c r="H584" s="2">
        <f>AVERAGE(weather.tbl[[#This Row],[Estevan]:[Kipling]])</f>
        <v>16.566666666666666</v>
      </c>
      <c r="I584" s="2">
        <f>_xlfn.STDEV.S(weather.tbl[[#This Row],[Estevan]:[Kipling]])</f>
        <v>0.85712698398000875</v>
      </c>
      <c r="J584" s="2">
        <f t="shared" si="8"/>
        <v>18.616666666666667</v>
      </c>
      <c r="K584">
        <f>DAY(weather.tbl[[#This Row],[Date]])</f>
        <v>6</v>
      </c>
      <c r="L584">
        <f>MONTH(weather.tbl[[#This Row],[Date]])</f>
        <v>8</v>
      </c>
      <c r="M584">
        <f>YEAR(weather.tbl[[#This Row],[Date]])</f>
        <v>2015</v>
      </c>
    </row>
    <row r="585" spans="1:13" x14ac:dyDescent="0.25">
      <c r="A585" s="1">
        <v>42223</v>
      </c>
      <c r="B585" s="2">
        <v>17.7</v>
      </c>
      <c r="C585" s="2">
        <v>17.399999999999999</v>
      </c>
      <c r="D585" s="2">
        <v>17.5</v>
      </c>
      <c r="E585" s="2">
        <v>16.8</v>
      </c>
      <c r="F585" s="2">
        <v>19.5</v>
      </c>
      <c r="G585" s="2">
        <v>16</v>
      </c>
      <c r="H585" s="2">
        <f>AVERAGE(weather.tbl[[#This Row],[Estevan]:[Kipling]])</f>
        <v>17.483333333333331</v>
      </c>
      <c r="I585" s="2">
        <f>_xlfn.STDEV.S(weather.tbl[[#This Row],[Estevan]:[Kipling]])</f>
        <v>1.1651895410904898</v>
      </c>
      <c r="J585" s="2">
        <f t="shared" si="8"/>
        <v>18.461904761904758</v>
      </c>
      <c r="K585">
        <f>DAY(weather.tbl[[#This Row],[Date]])</f>
        <v>7</v>
      </c>
      <c r="L585">
        <f>MONTH(weather.tbl[[#This Row],[Date]])</f>
        <v>8</v>
      </c>
      <c r="M585">
        <f>YEAR(weather.tbl[[#This Row],[Date]])</f>
        <v>2015</v>
      </c>
    </row>
    <row r="586" spans="1:13" x14ac:dyDescent="0.25">
      <c r="A586" s="1">
        <v>42224</v>
      </c>
      <c r="B586" s="2">
        <v>17.3</v>
      </c>
      <c r="C586" s="2">
        <v>17.7</v>
      </c>
      <c r="D586" s="2">
        <v>17</v>
      </c>
      <c r="E586" s="2">
        <v>18.5</v>
      </c>
      <c r="F586" s="2">
        <v>17.899999999999999</v>
      </c>
      <c r="G586" s="2">
        <v>15.6</v>
      </c>
      <c r="H586" s="2">
        <f>AVERAGE(weather.tbl[[#This Row],[Estevan]:[Kipling]])</f>
        <v>17.333333333333332</v>
      </c>
      <c r="I586" s="2">
        <f>_xlfn.STDEV.S(weather.tbl[[#This Row],[Estevan]:[Kipling]])</f>
        <v>0.99331096171675592</v>
      </c>
      <c r="J586" s="2">
        <f t="shared" ref="J586:J649" si="9">AVERAGE(H580:H586)</f>
        <v>17.959523809523809</v>
      </c>
      <c r="K586">
        <f>DAY(weather.tbl[[#This Row],[Date]])</f>
        <v>8</v>
      </c>
      <c r="L586">
        <f>MONTH(weather.tbl[[#This Row],[Date]])</f>
        <v>8</v>
      </c>
      <c r="M586">
        <f>YEAR(weather.tbl[[#This Row],[Date]])</f>
        <v>2015</v>
      </c>
    </row>
    <row r="587" spans="1:13" x14ac:dyDescent="0.25">
      <c r="A587" s="1">
        <v>42225</v>
      </c>
      <c r="B587" s="2">
        <v>17.899999999999999</v>
      </c>
      <c r="C587" s="2">
        <v>18.600000000000001</v>
      </c>
      <c r="D587" s="2">
        <v>17.5</v>
      </c>
      <c r="E587" s="2">
        <v>19.5</v>
      </c>
      <c r="F587" s="2">
        <v>17.899999999999999</v>
      </c>
      <c r="G587" s="2">
        <v>17.100000000000001</v>
      </c>
      <c r="H587" s="2">
        <f>AVERAGE(weather.tbl[[#This Row],[Estevan]:[Kipling]])</f>
        <v>18.083333333333332</v>
      </c>
      <c r="I587" s="2">
        <f>_xlfn.STDEV.S(weather.tbl[[#This Row],[Estevan]:[Kipling]])</f>
        <v>0.85420528367990467</v>
      </c>
      <c r="J587" s="2">
        <f t="shared" si="9"/>
        <v>17.973809523809521</v>
      </c>
      <c r="K587">
        <f>DAY(weather.tbl[[#This Row],[Date]])</f>
        <v>9</v>
      </c>
      <c r="L587">
        <f>MONTH(weather.tbl[[#This Row],[Date]])</f>
        <v>8</v>
      </c>
      <c r="M587">
        <f>YEAR(weather.tbl[[#This Row],[Date]])</f>
        <v>2015</v>
      </c>
    </row>
    <row r="588" spans="1:13" x14ac:dyDescent="0.25">
      <c r="A588" s="1">
        <v>42226</v>
      </c>
      <c r="B588" s="2">
        <v>19.899999999999999</v>
      </c>
      <c r="C588" s="2">
        <v>21.7</v>
      </c>
      <c r="D588" s="2">
        <v>19</v>
      </c>
      <c r="E588" s="2">
        <v>21</v>
      </c>
      <c r="F588" s="2">
        <v>20.100000000000001</v>
      </c>
      <c r="G588" s="2">
        <v>20</v>
      </c>
      <c r="H588" s="2">
        <f>AVERAGE(weather.tbl[[#This Row],[Estevan]:[Kipling]])</f>
        <v>20.283333333333331</v>
      </c>
      <c r="I588" s="2">
        <f>_xlfn.STDEV.S(weather.tbl[[#This Row],[Estevan]:[Kipling]])</f>
        <v>0.94109864874340698</v>
      </c>
      <c r="J588" s="2">
        <f t="shared" si="9"/>
        <v>18.319047619047616</v>
      </c>
      <c r="K588">
        <f>DAY(weather.tbl[[#This Row],[Date]])</f>
        <v>10</v>
      </c>
      <c r="L588">
        <f>MONTH(weather.tbl[[#This Row],[Date]])</f>
        <v>8</v>
      </c>
      <c r="M588">
        <f>YEAR(weather.tbl[[#This Row],[Date]])</f>
        <v>2015</v>
      </c>
    </row>
    <row r="589" spans="1:13" x14ac:dyDescent="0.25">
      <c r="A589" s="1">
        <v>42227</v>
      </c>
      <c r="B589" s="2">
        <v>23.9</v>
      </c>
      <c r="C589" s="2">
        <v>23.6</v>
      </c>
      <c r="D589" s="2">
        <v>22.3</v>
      </c>
      <c r="E589" s="2">
        <v>25</v>
      </c>
      <c r="F589" s="2">
        <v>23.5</v>
      </c>
      <c r="G589" s="2">
        <v>23.6</v>
      </c>
      <c r="H589" s="2">
        <f>AVERAGE(weather.tbl[[#This Row],[Estevan]:[Kipling]])</f>
        <v>23.650000000000002</v>
      </c>
      <c r="I589" s="2">
        <f>_xlfn.STDEV.S(weather.tbl[[#This Row],[Estevan]:[Kipling]])</f>
        <v>0.86429161745327565</v>
      </c>
      <c r="J589" s="2">
        <f t="shared" si="9"/>
        <v>19.035714285714281</v>
      </c>
      <c r="K589">
        <f>DAY(weather.tbl[[#This Row],[Date]])</f>
        <v>11</v>
      </c>
      <c r="L589">
        <f>MONTH(weather.tbl[[#This Row],[Date]])</f>
        <v>8</v>
      </c>
      <c r="M589">
        <f>YEAR(weather.tbl[[#This Row],[Date]])</f>
        <v>2015</v>
      </c>
    </row>
    <row r="590" spans="1:13" x14ac:dyDescent="0.25">
      <c r="A590" s="1">
        <v>42228</v>
      </c>
      <c r="B590" s="2">
        <v>27.6</v>
      </c>
      <c r="C590" s="2">
        <v>25.8</v>
      </c>
      <c r="D590" s="2">
        <v>25.8</v>
      </c>
      <c r="E590" s="2">
        <v>25.5</v>
      </c>
      <c r="F590" s="2">
        <v>26.3</v>
      </c>
      <c r="G590" s="2">
        <v>25.3</v>
      </c>
      <c r="H590" s="2">
        <f>AVERAGE(weather.tbl[[#This Row],[Estevan]:[Kipling]])</f>
        <v>26.05</v>
      </c>
      <c r="I590" s="2">
        <f>_xlfn.STDEV.S(weather.tbl[[#This Row],[Estevan]:[Kipling]])</f>
        <v>0.83126409762481657</v>
      </c>
      <c r="J590" s="2">
        <f t="shared" si="9"/>
        <v>19.921428571428571</v>
      </c>
      <c r="K590">
        <f>DAY(weather.tbl[[#This Row],[Date]])</f>
        <v>12</v>
      </c>
      <c r="L590">
        <f>MONTH(weather.tbl[[#This Row],[Date]])</f>
        <v>8</v>
      </c>
      <c r="M590">
        <f>YEAR(weather.tbl[[#This Row],[Date]])</f>
        <v>2015</v>
      </c>
    </row>
    <row r="591" spans="1:13" x14ac:dyDescent="0.25">
      <c r="A591" s="1">
        <v>42229</v>
      </c>
      <c r="B591" s="2">
        <v>26.9</v>
      </c>
      <c r="C591" s="2">
        <v>25.7</v>
      </c>
      <c r="D591" s="2">
        <v>25.5</v>
      </c>
      <c r="E591" s="2">
        <v>26.5</v>
      </c>
      <c r="F591" s="2">
        <v>24.3</v>
      </c>
      <c r="G591" s="2">
        <v>24.1</v>
      </c>
      <c r="H591" s="2">
        <f>AVERAGE(weather.tbl[[#This Row],[Estevan]:[Kipling]])</f>
        <v>25.5</v>
      </c>
      <c r="I591" s="2">
        <f>_xlfn.STDEV.S(weather.tbl[[#This Row],[Estevan]:[Kipling]])</f>
        <v>1.1313708498984751</v>
      </c>
      <c r="J591" s="2">
        <f t="shared" si="9"/>
        <v>21.197619047619046</v>
      </c>
      <c r="K591">
        <f>DAY(weather.tbl[[#This Row],[Date]])</f>
        <v>13</v>
      </c>
      <c r="L591">
        <f>MONTH(weather.tbl[[#This Row],[Date]])</f>
        <v>8</v>
      </c>
      <c r="M591">
        <f>YEAR(weather.tbl[[#This Row],[Date]])</f>
        <v>2015</v>
      </c>
    </row>
    <row r="592" spans="1:13" x14ac:dyDescent="0.25">
      <c r="A592" s="1">
        <v>42230</v>
      </c>
      <c r="B592" s="2">
        <v>27.7</v>
      </c>
      <c r="C592" s="2">
        <v>28.6</v>
      </c>
      <c r="D592" s="2">
        <v>26.5</v>
      </c>
      <c r="E592" s="2">
        <v>27.8</v>
      </c>
      <c r="F592" s="2">
        <v>27.5</v>
      </c>
      <c r="G592" s="2">
        <v>26.1</v>
      </c>
      <c r="H592" s="2">
        <f>AVERAGE(weather.tbl[[#This Row],[Estevan]:[Kipling]])</f>
        <v>27.366666666666664</v>
      </c>
      <c r="I592" s="2">
        <f>_xlfn.STDEV.S(weather.tbl[[#This Row],[Estevan]:[Kipling]])</f>
        <v>0.91578745714639853</v>
      </c>
      <c r="J592" s="2">
        <f t="shared" si="9"/>
        <v>22.609523809523807</v>
      </c>
      <c r="K592">
        <f>DAY(weather.tbl[[#This Row],[Date]])</f>
        <v>14</v>
      </c>
      <c r="L592">
        <f>MONTH(weather.tbl[[#This Row],[Date]])</f>
        <v>8</v>
      </c>
      <c r="M592">
        <f>YEAR(weather.tbl[[#This Row],[Date]])</f>
        <v>2015</v>
      </c>
    </row>
    <row r="593" spans="1:13" x14ac:dyDescent="0.25">
      <c r="A593" s="1">
        <v>42231</v>
      </c>
      <c r="B593" s="2">
        <v>22</v>
      </c>
      <c r="C593" s="2">
        <v>20.9</v>
      </c>
      <c r="D593" s="2">
        <v>26.5</v>
      </c>
      <c r="E593" s="2">
        <v>24.3</v>
      </c>
      <c r="F593" s="2">
        <v>24.9</v>
      </c>
      <c r="G593" s="2">
        <v>23.3</v>
      </c>
      <c r="H593" s="2">
        <f>AVERAGE(weather.tbl[[#This Row],[Estevan]:[Kipling]])</f>
        <v>23.650000000000002</v>
      </c>
      <c r="I593" s="2">
        <f>_xlfn.STDEV.S(weather.tbl[[#This Row],[Estevan]:[Kipling]])</f>
        <v>2.0255863348670187</v>
      </c>
      <c r="J593" s="2">
        <f t="shared" si="9"/>
        <v>23.511904761904763</v>
      </c>
      <c r="K593">
        <f>DAY(weather.tbl[[#This Row],[Date]])</f>
        <v>15</v>
      </c>
      <c r="L593">
        <f>MONTH(weather.tbl[[#This Row],[Date]])</f>
        <v>8</v>
      </c>
      <c r="M593">
        <f>YEAR(weather.tbl[[#This Row],[Date]])</f>
        <v>2015</v>
      </c>
    </row>
    <row r="594" spans="1:13" x14ac:dyDescent="0.25">
      <c r="A594" s="1">
        <v>42232</v>
      </c>
      <c r="B594" s="2">
        <v>14</v>
      </c>
      <c r="C594" s="2">
        <v>14.2</v>
      </c>
      <c r="D594" s="2">
        <v>15</v>
      </c>
      <c r="E594" s="2">
        <v>15</v>
      </c>
      <c r="F594" s="2">
        <v>16</v>
      </c>
      <c r="G594" s="2">
        <v>13.9</v>
      </c>
      <c r="H594" s="2">
        <f>AVERAGE(weather.tbl[[#This Row],[Estevan]:[Kipling]])</f>
        <v>14.683333333333335</v>
      </c>
      <c r="I594" s="2">
        <f>_xlfn.STDEV.S(weather.tbl[[#This Row],[Estevan]:[Kipling]])</f>
        <v>0.80601902376226009</v>
      </c>
      <c r="J594" s="2">
        <f t="shared" si="9"/>
        <v>23.026190476190475</v>
      </c>
      <c r="K594">
        <f>DAY(weather.tbl[[#This Row],[Date]])</f>
        <v>16</v>
      </c>
      <c r="L594">
        <f>MONTH(weather.tbl[[#This Row],[Date]])</f>
        <v>8</v>
      </c>
      <c r="M594">
        <f>YEAR(weather.tbl[[#This Row],[Date]])</f>
        <v>2015</v>
      </c>
    </row>
    <row r="595" spans="1:13" x14ac:dyDescent="0.25">
      <c r="A595" s="1">
        <v>42233</v>
      </c>
      <c r="B595" s="2">
        <v>13.5</v>
      </c>
      <c r="C595" s="2">
        <v>13.6</v>
      </c>
      <c r="D595" s="2">
        <v>14.5</v>
      </c>
      <c r="E595" s="2">
        <v>14.5</v>
      </c>
      <c r="F595" s="2">
        <v>15.4</v>
      </c>
      <c r="G595" s="2">
        <v>15.2</v>
      </c>
      <c r="H595" s="2">
        <f>AVERAGE(weather.tbl[[#This Row],[Estevan]:[Kipling]])</f>
        <v>14.450000000000001</v>
      </c>
      <c r="I595" s="2">
        <f>_xlfn.STDEV.S(weather.tbl[[#This Row],[Estevan]:[Kipling]])</f>
        <v>0.78676553051083775</v>
      </c>
      <c r="J595" s="2">
        <f t="shared" si="9"/>
        <v>22.192857142857143</v>
      </c>
      <c r="K595">
        <f>DAY(weather.tbl[[#This Row],[Date]])</f>
        <v>17</v>
      </c>
      <c r="L595">
        <f>MONTH(weather.tbl[[#This Row],[Date]])</f>
        <v>8</v>
      </c>
      <c r="M595">
        <f>YEAR(weather.tbl[[#This Row],[Date]])</f>
        <v>2015</v>
      </c>
    </row>
    <row r="596" spans="1:13" x14ac:dyDescent="0.25">
      <c r="A596" s="1">
        <v>42234</v>
      </c>
      <c r="B596" s="2">
        <v>15.8</v>
      </c>
      <c r="C596" s="2">
        <v>14.2</v>
      </c>
      <c r="D596" s="2">
        <v>15.5</v>
      </c>
      <c r="E596" s="2">
        <v>15</v>
      </c>
      <c r="F596" s="2">
        <v>15.8</v>
      </c>
      <c r="G596" s="2">
        <v>13.8</v>
      </c>
      <c r="H596" s="2">
        <f>AVERAGE(weather.tbl[[#This Row],[Estevan]:[Kipling]])</f>
        <v>15.016666666666666</v>
      </c>
      <c r="I596" s="2">
        <f>_xlfn.STDEV.S(weather.tbl[[#This Row],[Estevan]:[Kipling]])</f>
        <v>0.84950966249164406</v>
      </c>
      <c r="J596" s="2">
        <f t="shared" si="9"/>
        <v>20.959523809523805</v>
      </c>
      <c r="K596">
        <f>DAY(weather.tbl[[#This Row],[Date]])</f>
        <v>18</v>
      </c>
      <c r="L596">
        <f>MONTH(weather.tbl[[#This Row],[Date]])</f>
        <v>8</v>
      </c>
      <c r="M596">
        <f>YEAR(weather.tbl[[#This Row],[Date]])</f>
        <v>2015</v>
      </c>
    </row>
    <row r="597" spans="1:13" x14ac:dyDescent="0.25">
      <c r="A597" s="1">
        <v>42235</v>
      </c>
      <c r="B597" s="2">
        <v>13.8</v>
      </c>
      <c r="C597" s="2">
        <v>14.7</v>
      </c>
      <c r="D597" s="2">
        <v>13.8</v>
      </c>
      <c r="E597" s="2">
        <v>16</v>
      </c>
      <c r="F597" s="2">
        <v>15.5</v>
      </c>
      <c r="G597" s="2">
        <v>15</v>
      </c>
      <c r="H597" s="2">
        <f>AVERAGE(weather.tbl[[#This Row],[Estevan]:[Kipling]])</f>
        <v>14.799999999999999</v>
      </c>
      <c r="I597" s="2">
        <f>_xlfn.STDEV.S(weather.tbl[[#This Row],[Estevan]:[Kipling]])</f>
        <v>0.89218832092781819</v>
      </c>
      <c r="J597" s="2">
        <f t="shared" si="9"/>
        <v>19.352380952380951</v>
      </c>
      <c r="K597">
        <f>DAY(weather.tbl[[#This Row],[Date]])</f>
        <v>19</v>
      </c>
      <c r="L597">
        <f>MONTH(weather.tbl[[#This Row],[Date]])</f>
        <v>8</v>
      </c>
      <c r="M597">
        <f>YEAR(weather.tbl[[#This Row],[Date]])</f>
        <v>2015</v>
      </c>
    </row>
    <row r="598" spans="1:13" x14ac:dyDescent="0.25">
      <c r="A598" s="1">
        <v>42236</v>
      </c>
      <c r="B598" s="2">
        <v>18.8</v>
      </c>
      <c r="C598" s="2">
        <v>18.8</v>
      </c>
      <c r="D598" s="2">
        <v>17.5</v>
      </c>
      <c r="E598" s="2">
        <v>18.5</v>
      </c>
      <c r="F598" s="2">
        <v>19.100000000000001</v>
      </c>
      <c r="G598" s="2">
        <v>18.3</v>
      </c>
      <c r="H598" s="2">
        <f>AVERAGE(weather.tbl[[#This Row],[Estevan]:[Kipling]])</f>
        <v>18.499999999999996</v>
      </c>
      <c r="I598" s="2">
        <f>_xlfn.STDEV.S(weather.tbl[[#This Row],[Estevan]:[Kipling]])</f>
        <v>0.56213877290220826</v>
      </c>
      <c r="J598" s="2">
        <f t="shared" si="9"/>
        <v>18.352380952380951</v>
      </c>
      <c r="K598">
        <f>DAY(weather.tbl[[#This Row],[Date]])</f>
        <v>20</v>
      </c>
      <c r="L598">
        <f>MONTH(weather.tbl[[#This Row],[Date]])</f>
        <v>8</v>
      </c>
      <c r="M598">
        <f>YEAR(weather.tbl[[#This Row],[Date]])</f>
        <v>2015</v>
      </c>
    </row>
    <row r="599" spans="1:13" x14ac:dyDescent="0.25">
      <c r="A599" s="1">
        <v>42237</v>
      </c>
      <c r="B599" s="2">
        <v>16.5</v>
      </c>
      <c r="C599" s="2">
        <v>18.2</v>
      </c>
      <c r="D599" s="2">
        <v>16.3</v>
      </c>
      <c r="E599" s="2">
        <v>16.8</v>
      </c>
      <c r="F599" s="2">
        <v>16.5</v>
      </c>
      <c r="G599" s="2">
        <v>15.5</v>
      </c>
      <c r="H599" s="2">
        <f>AVERAGE(weather.tbl[[#This Row],[Estevan]:[Kipling]])</f>
        <v>16.633333333333333</v>
      </c>
      <c r="I599" s="2">
        <f>_xlfn.STDEV.S(weather.tbl[[#This Row],[Estevan]:[Kipling]])</f>
        <v>0.88468450120179343</v>
      </c>
      <c r="J599" s="2">
        <f t="shared" si="9"/>
        <v>16.81904761904762</v>
      </c>
      <c r="K599">
        <f>DAY(weather.tbl[[#This Row],[Date]])</f>
        <v>21</v>
      </c>
      <c r="L599">
        <f>MONTH(weather.tbl[[#This Row],[Date]])</f>
        <v>8</v>
      </c>
      <c r="M599">
        <f>YEAR(weather.tbl[[#This Row],[Date]])</f>
        <v>2015</v>
      </c>
    </row>
    <row r="600" spans="1:13" x14ac:dyDescent="0.25">
      <c r="A600" s="1">
        <v>42238</v>
      </c>
      <c r="B600" s="2">
        <v>12.4</v>
      </c>
      <c r="C600" s="2">
        <v>11.3</v>
      </c>
      <c r="D600" s="2">
        <v>12.5</v>
      </c>
      <c r="E600" s="2">
        <v>11.8</v>
      </c>
      <c r="F600" s="2">
        <v>14.1</v>
      </c>
      <c r="G600" s="2">
        <v>12.1</v>
      </c>
      <c r="H600" s="2">
        <f>AVERAGE(weather.tbl[[#This Row],[Estevan]:[Kipling]])</f>
        <v>12.366666666666667</v>
      </c>
      <c r="I600" s="2">
        <f>_xlfn.STDEV.S(weather.tbl[[#This Row],[Estevan]:[Kipling]])</f>
        <v>0.95428856572143106</v>
      </c>
      <c r="J600" s="2">
        <f t="shared" si="9"/>
        <v>15.207142857142859</v>
      </c>
      <c r="K600">
        <f>DAY(weather.tbl[[#This Row],[Date]])</f>
        <v>22</v>
      </c>
      <c r="L600">
        <f>MONTH(weather.tbl[[#This Row],[Date]])</f>
        <v>8</v>
      </c>
      <c r="M600">
        <f>YEAR(weather.tbl[[#This Row],[Date]])</f>
        <v>2015</v>
      </c>
    </row>
    <row r="601" spans="1:13" x14ac:dyDescent="0.25">
      <c r="A601" s="1">
        <v>42239</v>
      </c>
      <c r="B601" s="2">
        <v>12.1</v>
      </c>
      <c r="C601" s="2">
        <v>11.7</v>
      </c>
      <c r="D601" s="2">
        <v>12.5</v>
      </c>
      <c r="E601" s="2">
        <v>13</v>
      </c>
      <c r="F601" s="2">
        <v>13.2</v>
      </c>
      <c r="G601" s="2">
        <v>11.1</v>
      </c>
      <c r="H601" s="2">
        <f>AVERAGE(weather.tbl[[#This Row],[Estevan]:[Kipling]])</f>
        <v>12.266666666666666</v>
      </c>
      <c r="I601" s="2">
        <f>_xlfn.STDEV.S(weather.tbl[[#This Row],[Estevan]:[Kipling]])</f>
        <v>0.79665969313544838</v>
      </c>
      <c r="J601" s="2">
        <f t="shared" si="9"/>
        <v>14.861904761904764</v>
      </c>
      <c r="K601">
        <f>DAY(weather.tbl[[#This Row],[Date]])</f>
        <v>23</v>
      </c>
      <c r="L601">
        <f>MONTH(weather.tbl[[#This Row],[Date]])</f>
        <v>8</v>
      </c>
      <c r="M601">
        <f>YEAR(weather.tbl[[#This Row],[Date]])</f>
        <v>2015</v>
      </c>
    </row>
    <row r="602" spans="1:13" x14ac:dyDescent="0.25">
      <c r="A602" s="1">
        <v>42240</v>
      </c>
      <c r="B602" s="2">
        <v>12.4</v>
      </c>
      <c r="C602" s="2">
        <v>13.2</v>
      </c>
      <c r="D602" s="2">
        <v>12.5</v>
      </c>
      <c r="E602" s="2">
        <v>13.8</v>
      </c>
      <c r="F602" s="2">
        <v>13.1</v>
      </c>
      <c r="G602" s="2">
        <v>12.2</v>
      </c>
      <c r="H602" s="2">
        <f>AVERAGE(weather.tbl[[#This Row],[Estevan]:[Kipling]])</f>
        <v>12.866666666666667</v>
      </c>
      <c r="I602" s="2">
        <f>_xlfn.STDEV.S(weather.tbl[[#This Row],[Estevan]:[Kipling]])</f>
        <v>0.6055300708194985</v>
      </c>
      <c r="J602" s="2">
        <f t="shared" si="9"/>
        <v>14.635714285714284</v>
      </c>
      <c r="K602">
        <f>DAY(weather.tbl[[#This Row],[Date]])</f>
        <v>24</v>
      </c>
      <c r="L602">
        <f>MONTH(weather.tbl[[#This Row],[Date]])</f>
        <v>8</v>
      </c>
      <c r="M602">
        <f>YEAR(weather.tbl[[#This Row],[Date]])</f>
        <v>2015</v>
      </c>
    </row>
    <row r="603" spans="1:13" x14ac:dyDescent="0.25">
      <c r="A603" s="1">
        <v>42241</v>
      </c>
      <c r="B603" s="2">
        <v>17.2</v>
      </c>
      <c r="C603" s="2">
        <v>18.8</v>
      </c>
      <c r="D603" s="2">
        <v>14.8</v>
      </c>
      <c r="E603" s="2">
        <v>19.3</v>
      </c>
      <c r="F603" s="2">
        <v>14.1</v>
      </c>
      <c r="G603" s="2">
        <v>15</v>
      </c>
      <c r="H603" s="2">
        <f>AVERAGE(weather.tbl[[#This Row],[Estevan]:[Kipling]])</f>
        <v>16.533333333333331</v>
      </c>
      <c r="I603" s="2">
        <f>_xlfn.STDEV.S(weather.tbl[[#This Row],[Estevan]:[Kipling]])</f>
        <v>2.2141966187912736</v>
      </c>
      <c r="J603" s="2">
        <f t="shared" si="9"/>
        <v>14.852380952380953</v>
      </c>
      <c r="K603">
        <f>DAY(weather.tbl[[#This Row],[Date]])</f>
        <v>25</v>
      </c>
      <c r="L603">
        <f>MONTH(weather.tbl[[#This Row],[Date]])</f>
        <v>8</v>
      </c>
      <c r="M603">
        <f>YEAR(weather.tbl[[#This Row],[Date]])</f>
        <v>2015</v>
      </c>
    </row>
    <row r="604" spans="1:13" x14ac:dyDescent="0.25">
      <c r="A604" s="1">
        <v>42242</v>
      </c>
      <c r="B604" s="2">
        <v>17.600000000000001</v>
      </c>
      <c r="C604" s="2">
        <v>17.8</v>
      </c>
      <c r="D604" s="2">
        <v>18.5</v>
      </c>
      <c r="E604" s="2">
        <v>18.8</v>
      </c>
      <c r="F604" s="2">
        <v>20</v>
      </c>
      <c r="G604" s="2">
        <v>17.2</v>
      </c>
      <c r="H604" s="2">
        <f>AVERAGE(weather.tbl[[#This Row],[Estevan]:[Kipling]])</f>
        <v>18.316666666666666</v>
      </c>
      <c r="I604" s="2">
        <f>_xlfn.STDEV.S(weather.tbl[[#This Row],[Estevan]:[Kipling]])</f>
        <v>1.0127520262466359</v>
      </c>
      <c r="J604" s="2">
        <f t="shared" si="9"/>
        <v>15.354761904761903</v>
      </c>
      <c r="K604">
        <f>DAY(weather.tbl[[#This Row],[Date]])</f>
        <v>26</v>
      </c>
      <c r="L604">
        <f>MONTH(weather.tbl[[#This Row],[Date]])</f>
        <v>8</v>
      </c>
      <c r="M604">
        <f>YEAR(weather.tbl[[#This Row],[Date]])</f>
        <v>2015</v>
      </c>
    </row>
    <row r="605" spans="1:13" x14ac:dyDescent="0.25">
      <c r="A605" s="1">
        <v>42243</v>
      </c>
      <c r="B605" s="2">
        <v>19.8</v>
      </c>
      <c r="C605" s="2">
        <v>19.899999999999999</v>
      </c>
      <c r="D605" s="2">
        <v>18.8</v>
      </c>
      <c r="E605" s="2">
        <v>19</v>
      </c>
      <c r="F605" s="2">
        <v>19</v>
      </c>
      <c r="G605" s="2">
        <v>18.399999999999999</v>
      </c>
      <c r="H605" s="2">
        <f>AVERAGE(weather.tbl[[#This Row],[Estevan]:[Kipling]])</f>
        <v>19.150000000000002</v>
      </c>
      <c r="I605" s="2">
        <f>_xlfn.STDEV.S(weather.tbl[[#This Row],[Estevan]:[Kipling]])</f>
        <v>0.58566201857385292</v>
      </c>
      <c r="J605" s="2">
        <f t="shared" si="9"/>
        <v>15.447619047619046</v>
      </c>
      <c r="K605">
        <f>DAY(weather.tbl[[#This Row],[Date]])</f>
        <v>27</v>
      </c>
      <c r="L605">
        <f>MONTH(weather.tbl[[#This Row],[Date]])</f>
        <v>8</v>
      </c>
      <c r="M605">
        <f>YEAR(weather.tbl[[#This Row],[Date]])</f>
        <v>2015</v>
      </c>
    </row>
    <row r="606" spans="1:13" x14ac:dyDescent="0.25">
      <c r="A606" s="1">
        <v>42244</v>
      </c>
      <c r="B606" s="2">
        <v>21.4</v>
      </c>
      <c r="C606" s="2">
        <v>20.8</v>
      </c>
      <c r="D606" s="2">
        <v>22.5</v>
      </c>
      <c r="E606" s="2">
        <v>21</v>
      </c>
      <c r="F606" s="2">
        <v>21.9</v>
      </c>
      <c r="G606" s="2">
        <v>19.899999999999999</v>
      </c>
      <c r="H606" s="2">
        <f>AVERAGE(weather.tbl[[#This Row],[Estevan]:[Kipling]])</f>
        <v>21.25</v>
      </c>
      <c r="I606" s="2">
        <f>_xlfn.STDEV.S(weather.tbl[[#This Row],[Estevan]:[Kipling]])</f>
        <v>0.90498618773990147</v>
      </c>
      <c r="J606" s="2">
        <f t="shared" si="9"/>
        <v>16.107142857142858</v>
      </c>
      <c r="K606">
        <f>DAY(weather.tbl[[#This Row],[Date]])</f>
        <v>28</v>
      </c>
      <c r="L606">
        <f>MONTH(weather.tbl[[#This Row],[Date]])</f>
        <v>8</v>
      </c>
      <c r="M606">
        <f>YEAR(weather.tbl[[#This Row],[Date]])</f>
        <v>2015</v>
      </c>
    </row>
    <row r="607" spans="1:13" x14ac:dyDescent="0.25">
      <c r="A607" s="1">
        <v>42245</v>
      </c>
      <c r="B607" s="2">
        <v>21.4</v>
      </c>
      <c r="C607" s="2">
        <v>22.6</v>
      </c>
      <c r="D607" s="2">
        <v>20</v>
      </c>
      <c r="E607" s="2">
        <v>23.5</v>
      </c>
      <c r="F607" s="2">
        <v>21.9</v>
      </c>
      <c r="G607" s="2">
        <v>22.1</v>
      </c>
      <c r="H607" s="2">
        <f>AVERAGE(weather.tbl[[#This Row],[Estevan]:[Kipling]])</f>
        <v>21.916666666666668</v>
      </c>
      <c r="I607" s="2">
        <f>_xlfn.STDEV.S(weather.tbl[[#This Row],[Estevan]:[Kipling]])</f>
        <v>1.178841238957421</v>
      </c>
      <c r="J607" s="2">
        <f t="shared" si="9"/>
        <v>17.471428571428572</v>
      </c>
      <c r="K607">
        <f>DAY(weather.tbl[[#This Row],[Date]])</f>
        <v>29</v>
      </c>
      <c r="L607">
        <f>MONTH(weather.tbl[[#This Row],[Date]])</f>
        <v>8</v>
      </c>
      <c r="M607">
        <f>YEAR(weather.tbl[[#This Row],[Date]])</f>
        <v>2015</v>
      </c>
    </row>
    <row r="608" spans="1:13" x14ac:dyDescent="0.25">
      <c r="A608" s="1">
        <v>42246</v>
      </c>
      <c r="B608" s="2">
        <v>21.5</v>
      </c>
      <c r="C608" s="2">
        <v>22.3</v>
      </c>
      <c r="D608" s="2">
        <v>22.8</v>
      </c>
      <c r="E608" s="2">
        <v>21.3</v>
      </c>
      <c r="F608" s="2">
        <v>24.2</v>
      </c>
      <c r="G608" s="2">
        <v>21.6</v>
      </c>
      <c r="H608" s="2">
        <f>AVERAGE(weather.tbl[[#This Row],[Estevan]:[Kipling]])</f>
        <v>22.283333333333331</v>
      </c>
      <c r="I608" s="2">
        <f>_xlfn.STDEV.S(weather.tbl[[#This Row],[Estevan]:[Kipling]])</f>
        <v>1.0943795807061942</v>
      </c>
      <c r="J608" s="2">
        <f t="shared" si="9"/>
        <v>18.902380952380952</v>
      </c>
      <c r="K608">
        <f>DAY(weather.tbl[[#This Row],[Date]])</f>
        <v>30</v>
      </c>
      <c r="L608">
        <f>MONTH(weather.tbl[[#This Row],[Date]])</f>
        <v>8</v>
      </c>
      <c r="M608">
        <f>YEAR(weather.tbl[[#This Row],[Date]])</f>
        <v>2015</v>
      </c>
    </row>
    <row r="609" spans="1:13" x14ac:dyDescent="0.25">
      <c r="A609" s="1">
        <v>42247</v>
      </c>
      <c r="B609" s="2">
        <v>18.600000000000001</v>
      </c>
      <c r="C609" s="2">
        <v>18.600000000000001</v>
      </c>
      <c r="D609" s="2">
        <v>18.8</v>
      </c>
      <c r="E609" s="2">
        <v>18.8</v>
      </c>
      <c r="F609" s="2">
        <v>19.100000000000001</v>
      </c>
      <c r="G609" s="2">
        <v>17.8</v>
      </c>
      <c r="H609" s="2">
        <f>AVERAGE(weather.tbl[[#This Row],[Estevan]:[Kipling]])</f>
        <v>18.616666666666667</v>
      </c>
      <c r="I609" s="2">
        <f>_xlfn.STDEV.S(weather.tbl[[#This Row],[Estevan]:[Kipling]])</f>
        <v>0.44007575105505053</v>
      </c>
      <c r="J609" s="2">
        <f t="shared" si="9"/>
        <v>19.723809523809525</v>
      </c>
      <c r="K609">
        <f>DAY(weather.tbl[[#This Row],[Date]])</f>
        <v>31</v>
      </c>
      <c r="L609">
        <f>MONTH(weather.tbl[[#This Row],[Date]])</f>
        <v>8</v>
      </c>
      <c r="M609">
        <f>YEAR(weather.tbl[[#This Row],[Date]])</f>
        <v>2015</v>
      </c>
    </row>
    <row r="610" spans="1:13" x14ac:dyDescent="0.25">
      <c r="A610" s="1">
        <v>42248</v>
      </c>
      <c r="B610" s="2">
        <v>19.8</v>
      </c>
      <c r="C610" s="2">
        <v>19.3</v>
      </c>
      <c r="D610" s="2">
        <v>18</v>
      </c>
      <c r="E610" s="2">
        <v>22</v>
      </c>
      <c r="F610" s="2">
        <v>20</v>
      </c>
      <c r="G610" s="2">
        <v>19.8</v>
      </c>
      <c r="H610" s="2">
        <f>AVERAGE(weather.tbl[[#This Row],[Estevan]:[Kipling]])</f>
        <v>19.816666666666666</v>
      </c>
      <c r="I610" s="2">
        <f>_xlfn.STDEV.S(weather.tbl[[#This Row],[Estevan]:[Kipling]])</f>
        <v>1.293702696397695</v>
      </c>
      <c r="J610" s="2">
        <f t="shared" si="9"/>
        <v>20.192857142857143</v>
      </c>
      <c r="K610">
        <f>DAY(weather.tbl[[#This Row],[Date]])</f>
        <v>1</v>
      </c>
      <c r="L610">
        <f>MONTH(weather.tbl[[#This Row],[Date]])</f>
        <v>9</v>
      </c>
      <c r="M610">
        <f>YEAR(weather.tbl[[#This Row],[Date]])</f>
        <v>2015</v>
      </c>
    </row>
    <row r="611" spans="1:13" x14ac:dyDescent="0.25">
      <c r="A611" s="1">
        <v>42249</v>
      </c>
      <c r="B611" s="2">
        <v>22.6</v>
      </c>
      <c r="C611" s="2">
        <v>22.4</v>
      </c>
      <c r="D611" s="2">
        <v>21.5</v>
      </c>
      <c r="E611" s="2">
        <v>21.5</v>
      </c>
      <c r="F611" s="2">
        <v>23.1</v>
      </c>
      <c r="G611" s="2">
        <v>21.2</v>
      </c>
      <c r="H611" s="2">
        <f>AVERAGE(weather.tbl[[#This Row],[Estevan]:[Kipling]])</f>
        <v>22.049999999999997</v>
      </c>
      <c r="I611" s="2">
        <f>_xlfn.STDEV.S(weather.tbl[[#This Row],[Estevan]:[Kipling]])</f>
        <v>0.75564541949250308</v>
      </c>
      <c r="J611" s="2">
        <f t="shared" si="9"/>
        <v>20.726190476190474</v>
      </c>
      <c r="K611">
        <f>DAY(weather.tbl[[#This Row],[Date]])</f>
        <v>2</v>
      </c>
      <c r="L611">
        <f>MONTH(weather.tbl[[#This Row],[Date]])</f>
        <v>9</v>
      </c>
      <c r="M611">
        <f>YEAR(weather.tbl[[#This Row],[Date]])</f>
        <v>2015</v>
      </c>
    </row>
    <row r="612" spans="1:13" x14ac:dyDescent="0.25">
      <c r="A612" s="1">
        <v>42250</v>
      </c>
      <c r="B612" s="2">
        <v>21.5</v>
      </c>
      <c r="C612" s="2">
        <v>21.4</v>
      </c>
      <c r="D612" s="2">
        <v>22</v>
      </c>
      <c r="E612" s="2">
        <v>20.3</v>
      </c>
      <c r="F612" s="2">
        <v>25.9</v>
      </c>
      <c r="G612" s="2">
        <v>21.2</v>
      </c>
      <c r="H612" s="2">
        <f>AVERAGE(weather.tbl[[#This Row],[Estevan]:[Kipling]])</f>
        <v>22.049999999999997</v>
      </c>
      <c r="I612" s="2">
        <f>_xlfn.STDEV.S(weather.tbl[[#This Row],[Estevan]:[Kipling]])</f>
        <v>1.9664689166117013</v>
      </c>
      <c r="J612" s="2">
        <f t="shared" si="9"/>
        <v>21.140476190476189</v>
      </c>
      <c r="K612">
        <f>DAY(weather.tbl[[#This Row],[Date]])</f>
        <v>3</v>
      </c>
      <c r="L612">
        <f>MONTH(weather.tbl[[#This Row],[Date]])</f>
        <v>9</v>
      </c>
      <c r="M612">
        <f>YEAR(weather.tbl[[#This Row],[Date]])</f>
        <v>2015</v>
      </c>
    </row>
    <row r="613" spans="1:13" x14ac:dyDescent="0.25">
      <c r="A613" s="1">
        <v>42251</v>
      </c>
      <c r="B613" s="2">
        <v>17.2</v>
      </c>
      <c r="C613" s="2">
        <v>16.3</v>
      </c>
      <c r="D613" s="2">
        <v>16</v>
      </c>
      <c r="E613" s="2">
        <v>17.3</v>
      </c>
      <c r="F613" s="2">
        <v>18.3</v>
      </c>
      <c r="G613" s="2">
        <v>14.8</v>
      </c>
      <c r="H613" s="2">
        <f>AVERAGE(weather.tbl[[#This Row],[Estevan]:[Kipling]])</f>
        <v>16.649999999999999</v>
      </c>
      <c r="I613" s="2">
        <f>_xlfn.STDEV.S(weather.tbl[[#This Row],[Estevan]:[Kipling]])</f>
        <v>1.2177848742696717</v>
      </c>
      <c r="J613" s="2">
        <f t="shared" si="9"/>
        <v>20.483333333333331</v>
      </c>
      <c r="K613">
        <f>DAY(weather.tbl[[#This Row],[Date]])</f>
        <v>4</v>
      </c>
      <c r="L613">
        <f>MONTH(weather.tbl[[#This Row],[Date]])</f>
        <v>9</v>
      </c>
      <c r="M613">
        <f>YEAR(weather.tbl[[#This Row],[Date]])</f>
        <v>2015</v>
      </c>
    </row>
    <row r="614" spans="1:13" x14ac:dyDescent="0.25">
      <c r="A614" s="1">
        <v>42252</v>
      </c>
      <c r="B614" s="2">
        <v>13.9</v>
      </c>
      <c r="C614" s="2">
        <v>13.8</v>
      </c>
      <c r="D614" s="2">
        <v>13.5</v>
      </c>
      <c r="E614" s="2">
        <v>12</v>
      </c>
      <c r="F614" s="2">
        <v>15</v>
      </c>
      <c r="G614" s="2">
        <v>12.5</v>
      </c>
      <c r="H614" s="2">
        <f>AVERAGE(weather.tbl[[#This Row],[Estevan]:[Kipling]])</f>
        <v>13.450000000000001</v>
      </c>
      <c r="I614" s="2">
        <f>_xlfn.STDEV.S(weather.tbl[[#This Row],[Estevan]:[Kipling]])</f>
        <v>1.0709808588392233</v>
      </c>
      <c r="J614" s="2">
        <f t="shared" si="9"/>
        <v>19.273809523809522</v>
      </c>
      <c r="K614">
        <f>DAY(weather.tbl[[#This Row],[Date]])</f>
        <v>5</v>
      </c>
      <c r="L614">
        <f>MONTH(weather.tbl[[#This Row],[Date]])</f>
        <v>9</v>
      </c>
      <c r="M614">
        <f>YEAR(weather.tbl[[#This Row],[Date]])</f>
        <v>2015</v>
      </c>
    </row>
    <row r="615" spans="1:13" x14ac:dyDescent="0.25">
      <c r="A615" s="1">
        <v>42253</v>
      </c>
      <c r="B615" s="2">
        <v>13.7</v>
      </c>
      <c r="C615" s="2">
        <v>12.9</v>
      </c>
      <c r="D615" s="2">
        <v>16.3</v>
      </c>
      <c r="E615" s="2">
        <v>13.3</v>
      </c>
      <c r="F615" s="2">
        <v>15.7</v>
      </c>
      <c r="G615" s="2">
        <v>14.2</v>
      </c>
      <c r="H615" s="2">
        <f>AVERAGE(weather.tbl[[#This Row],[Estevan]:[Kipling]])</f>
        <v>14.350000000000001</v>
      </c>
      <c r="I615" s="2">
        <f>_xlfn.STDEV.S(weather.tbl[[#This Row],[Estevan]:[Kipling]])</f>
        <v>1.3619838471876236</v>
      </c>
      <c r="J615" s="2">
        <f t="shared" si="9"/>
        <v>18.140476190476193</v>
      </c>
      <c r="K615">
        <f>DAY(weather.tbl[[#This Row],[Date]])</f>
        <v>6</v>
      </c>
      <c r="L615">
        <f>MONTH(weather.tbl[[#This Row],[Date]])</f>
        <v>9</v>
      </c>
      <c r="M615">
        <f>YEAR(weather.tbl[[#This Row],[Date]])</f>
        <v>2015</v>
      </c>
    </row>
    <row r="616" spans="1:13" x14ac:dyDescent="0.25">
      <c r="A616" s="1">
        <v>42254</v>
      </c>
      <c r="B616" s="2">
        <v>12.1</v>
      </c>
      <c r="C616" s="2">
        <v>10.9</v>
      </c>
      <c r="D616" s="2">
        <v>12.5</v>
      </c>
      <c r="E616" s="2">
        <v>11.8</v>
      </c>
      <c r="F616" s="2">
        <v>13.1</v>
      </c>
      <c r="G616" s="2">
        <v>10.199999999999999</v>
      </c>
      <c r="H616" s="2">
        <f>AVERAGE(weather.tbl[[#This Row],[Estevan]:[Kipling]])</f>
        <v>11.766666666666666</v>
      </c>
      <c r="I616" s="2">
        <f>_xlfn.STDEV.S(weather.tbl[[#This Row],[Estevan]:[Kipling]])</f>
        <v>1.0614455552060438</v>
      </c>
      <c r="J616" s="2">
        <f t="shared" si="9"/>
        <v>17.161904761904761</v>
      </c>
      <c r="K616">
        <f>DAY(weather.tbl[[#This Row],[Date]])</f>
        <v>7</v>
      </c>
      <c r="L616">
        <f>MONTH(weather.tbl[[#This Row],[Date]])</f>
        <v>9</v>
      </c>
      <c r="M616">
        <f>YEAR(weather.tbl[[#This Row],[Date]])</f>
        <v>2015</v>
      </c>
    </row>
    <row r="617" spans="1:13" x14ac:dyDescent="0.25">
      <c r="A617" s="1">
        <v>42255</v>
      </c>
      <c r="B617" s="2">
        <v>12.9</v>
      </c>
      <c r="C617" s="2">
        <v>12.9</v>
      </c>
      <c r="D617" s="2">
        <v>12.3</v>
      </c>
      <c r="E617" s="2">
        <v>13</v>
      </c>
      <c r="F617" s="2">
        <v>12.3</v>
      </c>
      <c r="G617" s="2">
        <v>11.4</v>
      </c>
      <c r="H617" s="2">
        <f>AVERAGE(weather.tbl[[#This Row],[Estevan]:[Kipling]])</f>
        <v>12.466666666666669</v>
      </c>
      <c r="I617" s="2">
        <f>_xlfn.STDEV.S(weather.tbl[[#This Row],[Estevan]:[Kipling]])</f>
        <v>0.60882400303097983</v>
      </c>
      <c r="J617" s="2">
        <f t="shared" si="9"/>
        <v>16.111904761904761</v>
      </c>
      <c r="K617">
        <f>DAY(weather.tbl[[#This Row],[Date]])</f>
        <v>8</v>
      </c>
      <c r="L617">
        <f>MONTH(weather.tbl[[#This Row],[Date]])</f>
        <v>9</v>
      </c>
      <c r="M617">
        <f>YEAR(weather.tbl[[#This Row],[Date]])</f>
        <v>2015</v>
      </c>
    </row>
    <row r="618" spans="1:13" x14ac:dyDescent="0.25">
      <c r="A618" s="1">
        <v>42256</v>
      </c>
      <c r="B618" s="2">
        <v>12.1</v>
      </c>
      <c r="C618" s="2">
        <v>11</v>
      </c>
      <c r="D618" s="2">
        <v>11.3</v>
      </c>
      <c r="E618" s="2">
        <v>11.8</v>
      </c>
      <c r="F618" s="2">
        <v>11.1</v>
      </c>
      <c r="G618" s="2">
        <v>9.1999999999999993</v>
      </c>
      <c r="H618" s="2">
        <f>AVERAGE(weather.tbl[[#This Row],[Estevan]:[Kipling]])</f>
        <v>11.083333333333334</v>
      </c>
      <c r="I618" s="2">
        <f>_xlfn.STDEV.S(weather.tbl[[#This Row],[Estevan]:[Kipling]])</f>
        <v>1.0147249216741783</v>
      </c>
      <c r="J618" s="2">
        <f t="shared" si="9"/>
        <v>14.545238095238094</v>
      </c>
      <c r="K618">
        <f>DAY(weather.tbl[[#This Row],[Date]])</f>
        <v>9</v>
      </c>
      <c r="L618">
        <f>MONTH(weather.tbl[[#This Row],[Date]])</f>
        <v>9</v>
      </c>
      <c r="M618">
        <f>YEAR(weather.tbl[[#This Row],[Date]])</f>
        <v>2015</v>
      </c>
    </row>
    <row r="619" spans="1:13" x14ac:dyDescent="0.25">
      <c r="A619" s="1">
        <v>42257</v>
      </c>
      <c r="B619" s="2">
        <v>9.6</v>
      </c>
      <c r="C619" s="2">
        <v>10.199999999999999</v>
      </c>
      <c r="D619" s="2">
        <v>9</v>
      </c>
      <c r="E619" s="2">
        <v>11</v>
      </c>
      <c r="F619" s="2">
        <v>9.1999999999999993</v>
      </c>
      <c r="G619" s="2">
        <v>8.8000000000000007</v>
      </c>
      <c r="H619" s="2">
        <f>AVERAGE(weather.tbl[[#This Row],[Estevan]:[Kipling]])</f>
        <v>9.6333333333333329</v>
      </c>
      <c r="I619" s="2">
        <f>_xlfn.STDEV.S(weather.tbl[[#This Row],[Estevan]:[Kipling]])</f>
        <v>0.83346665600170611</v>
      </c>
      <c r="J619" s="2">
        <f t="shared" si="9"/>
        <v>12.771428571428572</v>
      </c>
      <c r="K619">
        <f>DAY(weather.tbl[[#This Row],[Date]])</f>
        <v>10</v>
      </c>
      <c r="L619">
        <f>MONTH(weather.tbl[[#This Row],[Date]])</f>
        <v>9</v>
      </c>
      <c r="M619">
        <f>YEAR(weather.tbl[[#This Row],[Date]])</f>
        <v>2015</v>
      </c>
    </row>
    <row r="620" spans="1:13" x14ac:dyDescent="0.25">
      <c r="A620" s="1">
        <v>42258</v>
      </c>
      <c r="B620" s="2">
        <v>13.5</v>
      </c>
      <c r="C620" s="2">
        <v>13</v>
      </c>
      <c r="D620" s="2">
        <v>10.8</v>
      </c>
      <c r="E620" s="2">
        <v>14</v>
      </c>
      <c r="F620" s="2">
        <v>11.6</v>
      </c>
      <c r="G620" s="2">
        <v>12.4</v>
      </c>
      <c r="H620" s="2">
        <f>AVERAGE(weather.tbl[[#This Row],[Estevan]:[Kipling]])</f>
        <v>12.549999999999999</v>
      </c>
      <c r="I620" s="2">
        <f>_xlfn.STDEV.S(weather.tbl[[#This Row],[Estevan]:[Kipling]])</f>
        <v>1.1995832609702419</v>
      </c>
      <c r="J620" s="2">
        <f t="shared" si="9"/>
        <v>12.185714285714285</v>
      </c>
      <c r="K620">
        <f>DAY(weather.tbl[[#This Row],[Date]])</f>
        <v>11</v>
      </c>
      <c r="L620">
        <f>MONTH(weather.tbl[[#This Row],[Date]])</f>
        <v>9</v>
      </c>
      <c r="M620">
        <f>YEAR(weather.tbl[[#This Row],[Date]])</f>
        <v>2015</v>
      </c>
    </row>
    <row r="621" spans="1:13" x14ac:dyDescent="0.25">
      <c r="A621" s="1">
        <v>42259</v>
      </c>
      <c r="B621" s="2">
        <v>17.8</v>
      </c>
      <c r="C621" s="2">
        <v>18.2</v>
      </c>
      <c r="D621" s="2">
        <v>16</v>
      </c>
      <c r="E621" s="2">
        <v>20.3</v>
      </c>
      <c r="F621" s="2">
        <v>17.8</v>
      </c>
      <c r="G621" s="2">
        <v>18.2</v>
      </c>
      <c r="H621" s="2">
        <f>AVERAGE(weather.tbl[[#This Row],[Estevan]:[Kipling]])</f>
        <v>18.05</v>
      </c>
      <c r="I621" s="2">
        <f>_xlfn.STDEV.S(weather.tbl[[#This Row],[Estevan]:[Kipling]])</f>
        <v>1.3736811857195979</v>
      </c>
      <c r="J621" s="2">
        <f t="shared" si="9"/>
        <v>12.842857142857143</v>
      </c>
      <c r="K621">
        <f>DAY(weather.tbl[[#This Row],[Date]])</f>
        <v>12</v>
      </c>
      <c r="L621">
        <f>MONTH(weather.tbl[[#This Row],[Date]])</f>
        <v>9</v>
      </c>
      <c r="M621">
        <f>YEAR(weather.tbl[[#This Row],[Date]])</f>
        <v>2015</v>
      </c>
    </row>
    <row r="622" spans="1:13" x14ac:dyDescent="0.25">
      <c r="A622" s="1">
        <v>42260</v>
      </c>
      <c r="B622" s="2">
        <v>17.399999999999999</v>
      </c>
      <c r="C622" s="2">
        <v>15.7</v>
      </c>
      <c r="D622" s="2">
        <v>17.3</v>
      </c>
      <c r="E622" s="2">
        <v>17</v>
      </c>
      <c r="F622" s="2">
        <v>19.8</v>
      </c>
      <c r="G622" s="2">
        <v>16.3</v>
      </c>
      <c r="H622" s="2">
        <f>AVERAGE(weather.tbl[[#This Row],[Estevan]:[Kipling]])</f>
        <v>17.249999999999996</v>
      </c>
      <c r="I622" s="2">
        <f>_xlfn.STDEV.S(weather.tbl[[#This Row],[Estevan]:[Kipling]])</f>
        <v>1.4067693485429658</v>
      </c>
      <c r="J622" s="2">
        <f t="shared" si="9"/>
        <v>13.257142857142856</v>
      </c>
      <c r="K622">
        <f>DAY(weather.tbl[[#This Row],[Date]])</f>
        <v>13</v>
      </c>
      <c r="L622">
        <f>MONTH(weather.tbl[[#This Row],[Date]])</f>
        <v>9</v>
      </c>
      <c r="M622">
        <f>YEAR(weather.tbl[[#This Row],[Date]])</f>
        <v>2015</v>
      </c>
    </row>
    <row r="623" spans="1:13" x14ac:dyDescent="0.25">
      <c r="A623" s="1">
        <v>42261</v>
      </c>
      <c r="B623" s="2">
        <v>14</v>
      </c>
      <c r="C623" s="2">
        <v>13.8</v>
      </c>
      <c r="D623" s="2">
        <v>12.8</v>
      </c>
      <c r="E623" s="2">
        <v>13.5</v>
      </c>
      <c r="F623" s="2">
        <v>12.8</v>
      </c>
      <c r="G623" s="2">
        <v>11.3</v>
      </c>
      <c r="H623" s="2">
        <f>AVERAGE(weather.tbl[[#This Row],[Estevan]:[Kipling]])</f>
        <v>13.033333333333333</v>
      </c>
      <c r="I623" s="2">
        <f>_xlfn.STDEV.S(weather.tbl[[#This Row],[Estevan]:[Kipling]])</f>
        <v>0.98522417076859536</v>
      </c>
      <c r="J623" s="2">
        <f t="shared" si="9"/>
        <v>13.438095238095238</v>
      </c>
      <c r="K623">
        <f>DAY(weather.tbl[[#This Row],[Date]])</f>
        <v>14</v>
      </c>
      <c r="L623">
        <f>MONTH(weather.tbl[[#This Row],[Date]])</f>
        <v>9</v>
      </c>
      <c r="M623">
        <f>YEAR(weather.tbl[[#This Row],[Date]])</f>
        <v>2015</v>
      </c>
    </row>
    <row r="624" spans="1:13" x14ac:dyDescent="0.25">
      <c r="A624" s="1">
        <v>42262</v>
      </c>
      <c r="B624" s="2">
        <v>13.1</v>
      </c>
      <c r="C624" s="2">
        <v>11.7</v>
      </c>
      <c r="D624" s="2">
        <v>11.3</v>
      </c>
      <c r="E624" s="2">
        <v>10.8</v>
      </c>
      <c r="F624" s="2">
        <v>12.6</v>
      </c>
      <c r="G624" s="2">
        <v>10.7</v>
      </c>
      <c r="H624" s="2">
        <f>AVERAGE(weather.tbl[[#This Row],[Estevan]:[Kipling]])</f>
        <v>11.699999999999998</v>
      </c>
      <c r="I624" s="2">
        <f>_xlfn.STDEV.S(weather.tbl[[#This Row],[Estevan]:[Kipling]])</f>
        <v>0.97365291557104661</v>
      </c>
      <c r="J624" s="2">
        <f t="shared" si="9"/>
        <v>13.328571428571427</v>
      </c>
      <c r="K624">
        <f>DAY(weather.tbl[[#This Row],[Date]])</f>
        <v>15</v>
      </c>
      <c r="L624">
        <f>MONTH(weather.tbl[[#This Row],[Date]])</f>
        <v>9</v>
      </c>
      <c r="M624">
        <f>YEAR(weather.tbl[[#This Row],[Date]])</f>
        <v>2015</v>
      </c>
    </row>
    <row r="625" spans="1:13" x14ac:dyDescent="0.25">
      <c r="A625" s="1">
        <v>42263</v>
      </c>
      <c r="B625" s="2">
        <v>11.8</v>
      </c>
      <c r="C625" s="2">
        <v>9.6999999999999993</v>
      </c>
      <c r="D625" s="2">
        <v>14</v>
      </c>
      <c r="E625" s="2">
        <v>11</v>
      </c>
      <c r="F625" s="2">
        <v>14.1</v>
      </c>
      <c r="G625" s="2">
        <v>12</v>
      </c>
      <c r="H625" s="2">
        <f>AVERAGE(weather.tbl[[#This Row],[Estevan]:[Kipling]])</f>
        <v>12.1</v>
      </c>
      <c r="I625" s="2">
        <f>_xlfn.STDEV.S(weather.tbl[[#This Row],[Estevan]:[Kipling]])</f>
        <v>1.7134759992483088</v>
      </c>
      <c r="J625" s="2">
        <f t="shared" si="9"/>
        <v>13.473809523809523</v>
      </c>
      <c r="K625">
        <f>DAY(weather.tbl[[#This Row],[Date]])</f>
        <v>16</v>
      </c>
      <c r="L625">
        <f>MONTH(weather.tbl[[#This Row],[Date]])</f>
        <v>9</v>
      </c>
      <c r="M625">
        <f>YEAR(weather.tbl[[#This Row],[Date]])</f>
        <v>2015</v>
      </c>
    </row>
    <row r="626" spans="1:13" x14ac:dyDescent="0.25">
      <c r="A626" s="1">
        <v>42264</v>
      </c>
      <c r="B626" s="2">
        <v>10.6</v>
      </c>
      <c r="C626" s="2">
        <v>9.9</v>
      </c>
      <c r="D626" s="2">
        <v>12.3</v>
      </c>
      <c r="E626" s="2">
        <v>13</v>
      </c>
      <c r="F626" s="2">
        <v>10.8</v>
      </c>
      <c r="G626" s="2">
        <v>11.3</v>
      </c>
      <c r="H626" s="2">
        <f>AVERAGE(weather.tbl[[#This Row],[Estevan]:[Kipling]])</f>
        <v>11.316666666666665</v>
      </c>
      <c r="I626" s="2">
        <f>_xlfn.STDEV.S(weather.tbl[[#This Row],[Estevan]:[Kipling]])</f>
        <v>1.1478966271693052</v>
      </c>
      <c r="J626" s="2">
        <f t="shared" si="9"/>
        <v>13.714285714285712</v>
      </c>
      <c r="K626">
        <f>DAY(weather.tbl[[#This Row],[Date]])</f>
        <v>17</v>
      </c>
      <c r="L626">
        <f>MONTH(weather.tbl[[#This Row],[Date]])</f>
        <v>9</v>
      </c>
      <c r="M626">
        <f>YEAR(weather.tbl[[#This Row],[Date]])</f>
        <v>2015</v>
      </c>
    </row>
    <row r="627" spans="1:13" x14ac:dyDescent="0.25">
      <c r="A627" s="1">
        <v>42265</v>
      </c>
      <c r="B627" s="2">
        <v>11.8</v>
      </c>
      <c r="C627" s="2">
        <v>10.8</v>
      </c>
      <c r="D627" s="2">
        <v>9.8000000000000007</v>
      </c>
      <c r="E627" s="2">
        <v>11</v>
      </c>
      <c r="F627" s="2">
        <v>11.2</v>
      </c>
      <c r="G627" s="2">
        <v>10.8</v>
      </c>
      <c r="H627" s="2">
        <f>AVERAGE(weather.tbl[[#This Row],[Estevan]:[Kipling]])</f>
        <v>10.9</v>
      </c>
      <c r="I627" s="2">
        <f>_xlfn.STDEV.S(weather.tbl[[#This Row],[Estevan]:[Kipling]])</f>
        <v>0.65421708935184486</v>
      </c>
      <c r="J627" s="2">
        <f t="shared" si="9"/>
        <v>13.478571428571428</v>
      </c>
      <c r="K627">
        <f>DAY(weather.tbl[[#This Row],[Date]])</f>
        <v>18</v>
      </c>
      <c r="L627">
        <f>MONTH(weather.tbl[[#This Row],[Date]])</f>
        <v>9</v>
      </c>
      <c r="M627">
        <f>YEAR(weather.tbl[[#This Row],[Date]])</f>
        <v>2015</v>
      </c>
    </row>
    <row r="628" spans="1:13" x14ac:dyDescent="0.25">
      <c r="A628" s="1">
        <v>42266</v>
      </c>
      <c r="B628" s="2">
        <v>14.5</v>
      </c>
      <c r="C628" s="2">
        <v>13.7</v>
      </c>
      <c r="D628" s="2">
        <v>14</v>
      </c>
      <c r="E628" s="2">
        <v>14.8</v>
      </c>
      <c r="F628" s="2">
        <v>14.4</v>
      </c>
      <c r="G628" s="2">
        <v>12.4</v>
      </c>
      <c r="H628" s="2">
        <f>AVERAGE(weather.tbl[[#This Row],[Estevan]:[Kipling]])</f>
        <v>13.966666666666669</v>
      </c>
      <c r="I628" s="2">
        <f>_xlfn.STDEV.S(weather.tbl[[#This Row],[Estevan]:[Kipling]])</f>
        <v>0.8594571930391105</v>
      </c>
      <c r="J628" s="2">
        <f t="shared" si="9"/>
        <v>12.895238095238096</v>
      </c>
      <c r="K628">
        <f>DAY(weather.tbl[[#This Row],[Date]])</f>
        <v>19</v>
      </c>
      <c r="L628">
        <f>MONTH(weather.tbl[[#This Row],[Date]])</f>
        <v>9</v>
      </c>
      <c r="M628">
        <f>YEAR(weather.tbl[[#This Row],[Date]])</f>
        <v>2015</v>
      </c>
    </row>
    <row r="629" spans="1:13" x14ac:dyDescent="0.25">
      <c r="A629" s="1">
        <v>42267</v>
      </c>
      <c r="B629" s="2">
        <v>16.600000000000001</v>
      </c>
      <c r="C629" s="2">
        <v>15.3</v>
      </c>
      <c r="D629" s="2">
        <v>14.5</v>
      </c>
      <c r="E629" s="2">
        <v>16.8</v>
      </c>
      <c r="F629" s="2">
        <v>15.8</v>
      </c>
      <c r="G629" s="2">
        <v>15.1</v>
      </c>
      <c r="H629" s="2">
        <f>AVERAGE(weather.tbl[[#This Row],[Estevan]:[Kipling]])</f>
        <v>15.683333333333332</v>
      </c>
      <c r="I629" s="2">
        <f>_xlfn.STDEV.S(weather.tbl[[#This Row],[Estevan]:[Kipling]])</f>
        <v>0.89312186551817629</v>
      </c>
      <c r="J629" s="2">
        <f t="shared" si="9"/>
        <v>12.671428571428569</v>
      </c>
      <c r="K629">
        <f>DAY(weather.tbl[[#This Row],[Date]])</f>
        <v>20</v>
      </c>
      <c r="L629">
        <f>MONTH(weather.tbl[[#This Row],[Date]])</f>
        <v>9</v>
      </c>
      <c r="M629">
        <f>YEAR(weather.tbl[[#This Row],[Date]])</f>
        <v>2015</v>
      </c>
    </row>
    <row r="630" spans="1:13" x14ac:dyDescent="0.25">
      <c r="A630" s="1">
        <v>42268</v>
      </c>
      <c r="B630" s="2">
        <v>8</v>
      </c>
      <c r="C630" s="2">
        <v>9.6999999999999993</v>
      </c>
      <c r="D630" s="2">
        <v>14.3</v>
      </c>
      <c r="E630" s="2">
        <v>15</v>
      </c>
      <c r="F630" s="2">
        <v>15</v>
      </c>
      <c r="G630" s="2">
        <v>13.2</v>
      </c>
      <c r="H630" s="2">
        <f>AVERAGE(weather.tbl[[#This Row],[Estevan]:[Kipling]])</f>
        <v>12.533333333333333</v>
      </c>
      <c r="I630" s="2">
        <f>_xlfn.STDEV.S(weather.tbl[[#This Row],[Estevan]:[Kipling]])</f>
        <v>2.9770231216210989</v>
      </c>
      <c r="J630" s="2">
        <f t="shared" si="9"/>
        <v>12.599999999999998</v>
      </c>
      <c r="K630">
        <f>DAY(weather.tbl[[#This Row],[Date]])</f>
        <v>21</v>
      </c>
      <c r="L630">
        <f>MONTH(weather.tbl[[#This Row],[Date]])</f>
        <v>9</v>
      </c>
      <c r="M630">
        <f>YEAR(weather.tbl[[#This Row],[Date]])</f>
        <v>2015</v>
      </c>
    </row>
    <row r="631" spans="1:13" x14ac:dyDescent="0.25">
      <c r="A631" s="1">
        <v>42269</v>
      </c>
      <c r="B631" s="2">
        <v>6.5</v>
      </c>
      <c r="C631" s="2">
        <v>6.3</v>
      </c>
      <c r="D631" s="2">
        <v>7</v>
      </c>
      <c r="E631" s="2">
        <v>15</v>
      </c>
      <c r="F631" s="2">
        <v>9.5</v>
      </c>
      <c r="G631" s="2">
        <v>7.3</v>
      </c>
      <c r="H631" s="2">
        <f>AVERAGE(weather.tbl[[#This Row],[Estevan]:[Kipling]])</f>
        <v>8.6</v>
      </c>
      <c r="I631" s="2">
        <f>_xlfn.STDEV.S(weather.tbl[[#This Row],[Estevan]:[Kipling]])</f>
        <v>3.338263021393014</v>
      </c>
      <c r="J631" s="2">
        <f t="shared" si="9"/>
        <v>12.157142857142857</v>
      </c>
      <c r="K631">
        <f>DAY(weather.tbl[[#This Row],[Date]])</f>
        <v>22</v>
      </c>
      <c r="L631">
        <f>MONTH(weather.tbl[[#This Row],[Date]])</f>
        <v>9</v>
      </c>
      <c r="M631">
        <f>YEAR(weather.tbl[[#This Row],[Date]])</f>
        <v>2015</v>
      </c>
    </row>
    <row r="632" spans="1:13" x14ac:dyDescent="0.25">
      <c r="A632" s="1">
        <v>42270</v>
      </c>
      <c r="B632" s="2">
        <v>11.3</v>
      </c>
      <c r="C632" s="2">
        <v>12.3</v>
      </c>
      <c r="D632" s="2">
        <v>10.8</v>
      </c>
      <c r="E632" s="2">
        <v>13</v>
      </c>
      <c r="F632" s="2">
        <v>11.4</v>
      </c>
      <c r="G632" s="2">
        <v>9.6</v>
      </c>
      <c r="H632" s="2">
        <f>AVERAGE(weather.tbl[[#This Row],[Estevan]:[Kipling]])</f>
        <v>11.4</v>
      </c>
      <c r="I632" s="2">
        <f>_xlfn.STDEV.S(weather.tbl[[#This Row],[Estevan]:[Kipling]])</f>
        <v>1.1815244390193544</v>
      </c>
      <c r="J632" s="2">
        <f t="shared" si="9"/>
        <v>12.057142857142859</v>
      </c>
      <c r="K632">
        <f>DAY(weather.tbl[[#This Row],[Date]])</f>
        <v>23</v>
      </c>
      <c r="L632">
        <f>MONTH(weather.tbl[[#This Row],[Date]])</f>
        <v>9</v>
      </c>
      <c r="M632">
        <f>YEAR(weather.tbl[[#This Row],[Date]])</f>
        <v>2015</v>
      </c>
    </row>
    <row r="633" spans="1:13" x14ac:dyDescent="0.25">
      <c r="A633" s="1">
        <v>42271</v>
      </c>
      <c r="B633" s="2">
        <v>13.6</v>
      </c>
      <c r="C633" s="2">
        <v>14.3</v>
      </c>
      <c r="D633" s="2">
        <v>13</v>
      </c>
      <c r="E633" s="2">
        <v>14.8</v>
      </c>
      <c r="F633" s="2">
        <v>13.5</v>
      </c>
      <c r="G633" s="2">
        <v>13.1</v>
      </c>
      <c r="H633" s="2">
        <f>AVERAGE(weather.tbl[[#This Row],[Estevan]:[Kipling]])</f>
        <v>13.716666666666667</v>
      </c>
      <c r="I633" s="2">
        <f>_xlfn.STDEV.S(weather.tbl[[#This Row],[Estevan]:[Kipling]])</f>
        <v>0.70261416628663786</v>
      </c>
      <c r="J633" s="2">
        <f t="shared" si="9"/>
        <v>12.4</v>
      </c>
      <c r="K633">
        <f>DAY(weather.tbl[[#This Row],[Date]])</f>
        <v>24</v>
      </c>
      <c r="L633">
        <f>MONTH(weather.tbl[[#This Row],[Date]])</f>
        <v>9</v>
      </c>
      <c r="M633">
        <f>YEAR(weather.tbl[[#This Row],[Date]])</f>
        <v>2015</v>
      </c>
    </row>
    <row r="634" spans="1:13" x14ac:dyDescent="0.25">
      <c r="A634" s="1">
        <v>42272</v>
      </c>
      <c r="B634" s="2">
        <v>18.899999999999999</v>
      </c>
      <c r="C634" s="2">
        <v>21.8</v>
      </c>
      <c r="D634" s="2">
        <v>18</v>
      </c>
      <c r="E634" s="2">
        <v>21.3</v>
      </c>
      <c r="F634" s="2">
        <v>16.5</v>
      </c>
      <c r="G634" s="2">
        <v>18.899999999999999</v>
      </c>
      <c r="H634" s="2">
        <f>AVERAGE(weather.tbl[[#This Row],[Estevan]:[Kipling]])</f>
        <v>19.233333333333334</v>
      </c>
      <c r="I634" s="2">
        <f>_xlfn.STDEV.S(weather.tbl[[#This Row],[Estevan]:[Kipling]])</f>
        <v>2.0036633117035079</v>
      </c>
      <c r="J634" s="2">
        <f t="shared" si="9"/>
        <v>13.59047619047619</v>
      </c>
      <c r="K634">
        <f>DAY(weather.tbl[[#This Row],[Date]])</f>
        <v>25</v>
      </c>
      <c r="L634">
        <f>MONTH(weather.tbl[[#This Row],[Date]])</f>
        <v>9</v>
      </c>
      <c r="M634">
        <f>YEAR(weather.tbl[[#This Row],[Date]])</f>
        <v>2015</v>
      </c>
    </row>
    <row r="635" spans="1:13" x14ac:dyDescent="0.25">
      <c r="A635" s="1">
        <v>42273</v>
      </c>
      <c r="B635" s="2">
        <v>20.7</v>
      </c>
      <c r="C635" s="2">
        <v>20.399999999999999</v>
      </c>
      <c r="D635" s="2">
        <v>20</v>
      </c>
      <c r="E635" s="2">
        <v>23</v>
      </c>
      <c r="F635" s="2">
        <v>21.9</v>
      </c>
      <c r="G635" s="2">
        <v>21.5</v>
      </c>
      <c r="H635" s="2">
        <f>AVERAGE(weather.tbl[[#This Row],[Estevan]:[Kipling]])</f>
        <v>21.25</v>
      </c>
      <c r="I635" s="2">
        <f>_xlfn.STDEV.S(weather.tbl[[#This Row],[Estevan]:[Kipling]])</f>
        <v>1.1077003204838394</v>
      </c>
      <c r="J635" s="2">
        <f t="shared" si="9"/>
        <v>14.63095238095238</v>
      </c>
      <c r="K635">
        <f>DAY(weather.tbl[[#This Row],[Date]])</f>
        <v>26</v>
      </c>
      <c r="L635">
        <f>MONTH(weather.tbl[[#This Row],[Date]])</f>
        <v>9</v>
      </c>
      <c r="M635">
        <f>YEAR(weather.tbl[[#This Row],[Date]])</f>
        <v>2015</v>
      </c>
    </row>
    <row r="636" spans="1:13" x14ac:dyDescent="0.25">
      <c r="A636" s="1">
        <v>42274</v>
      </c>
      <c r="B636" s="2">
        <v>12.9</v>
      </c>
      <c r="C636" s="2">
        <v>11.7</v>
      </c>
      <c r="D636" s="2">
        <v>15.3</v>
      </c>
      <c r="E636" s="2">
        <v>12.5</v>
      </c>
      <c r="F636" s="2">
        <v>14.3</v>
      </c>
      <c r="G636" s="2">
        <v>11.8</v>
      </c>
      <c r="H636" s="2">
        <f>AVERAGE(weather.tbl[[#This Row],[Estevan]:[Kipling]])</f>
        <v>13.083333333333334</v>
      </c>
      <c r="I636" s="2">
        <f>_xlfn.STDEV.S(weather.tbl[[#This Row],[Estevan]:[Kipling]])</f>
        <v>1.4372427306014344</v>
      </c>
      <c r="J636" s="2">
        <f t="shared" si="9"/>
        <v>14.259523809523809</v>
      </c>
      <c r="K636">
        <f>DAY(weather.tbl[[#This Row],[Date]])</f>
        <v>27</v>
      </c>
      <c r="L636">
        <f>MONTH(weather.tbl[[#This Row],[Date]])</f>
        <v>9</v>
      </c>
      <c r="M636">
        <f>YEAR(weather.tbl[[#This Row],[Date]])</f>
        <v>2015</v>
      </c>
    </row>
    <row r="637" spans="1:13" x14ac:dyDescent="0.25">
      <c r="A637" s="1">
        <v>42275</v>
      </c>
      <c r="B637" s="2">
        <v>7.7</v>
      </c>
      <c r="C637" s="2">
        <v>6.9</v>
      </c>
      <c r="D637" s="2">
        <v>7.5</v>
      </c>
      <c r="E637" s="2">
        <v>7.5</v>
      </c>
      <c r="F637" s="2">
        <v>7.9</v>
      </c>
      <c r="G637" s="2">
        <v>6.1</v>
      </c>
      <c r="H637" s="2">
        <f>AVERAGE(weather.tbl[[#This Row],[Estevan]:[Kipling]])</f>
        <v>7.2666666666666666</v>
      </c>
      <c r="I637" s="2">
        <f>_xlfn.STDEV.S(weather.tbl[[#This Row],[Estevan]:[Kipling]])</f>
        <v>0.66231915770772243</v>
      </c>
      <c r="J637" s="2">
        <f t="shared" si="9"/>
        <v>13.507142857142856</v>
      </c>
      <c r="K637">
        <f>DAY(weather.tbl[[#This Row],[Date]])</f>
        <v>28</v>
      </c>
      <c r="L637">
        <f>MONTH(weather.tbl[[#This Row],[Date]])</f>
        <v>9</v>
      </c>
      <c r="M637">
        <f>YEAR(weather.tbl[[#This Row],[Date]])</f>
        <v>2015</v>
      </c>
    </row>
    <row r="638" spans="1:13" x14ac:dyDescent="0.25">
      <c r="A638" s="1">
        <v>42276</v>
      </c>
      <c r="B638" s="2">
        <v>10.7</v>
      </c>
      <c r="C638" s="2">
        <v>10.1</v>
      </c>
      <c r="D638" s="2">
        <v>8.8000000000000007</v>
      </c>
      <c r="E638" s="2">
        <v>10.5</v>
      </c>
      <c r="F638" s="2">
        <v>8.4</v>
      </c>
      <c r="G638" s="2">
        <v>8.6</v>
      </c>
      <c r="H638" s="2">
        <f>AVERAGE(weather.tbl[[#This Row],[Estevan]:[Kipling]])</f>
        <v>9.5166666666666657</v>
      </c>
      <c r="I638" s="2">
        <f>_xlfn.STDEV.S(weather.tbl[[#This Row],[Estevan]:[Kipling]])</f>
        <v>1.0303721010715818</v>
      </c>
      <c r="J638" s="2">
        <f t="shared" si="9"/>
        <v>13.638095238095236</v>
      </c>
      <c r="K638">
        <f>DAY(weather.tbl[[#This Row],[Date]])</f>
        <v>29</v>
      </c>
      <c r="L638">
        <f>MONTH(weather.tbl[[#This Row],[Date]])</f>
        <v>9</v>
      </c>
      <c r="M638">
        <f>YEAR(weather.tbl[[#This Row],[Date]])</f>
        <v>2015</v>
      </c>
    </row>
    <row r="639" spans="1:13" x14ac:dyDescent="0.25">
      <c r="A639" s="1">
        <v>42277</v>
      </c>
      <c r="B639" s="2">
        <v>15.3</v>
      </c>
      <c r="C639" s="2">
        <v>14.4</v>
      </c>
      <c r="D639" s="2">
        <v>13</v>
      </c>
      <c r="E639" s="2">
        <v>15.3</v>
      </c>
      <c r="F639" s="2">
        <v>16</v>
      </c>
      <c r="G639" s="2">
        <v>13.9</v>
      </c>
      <c r="H639" s="2">
        <f>AVERAGE(weather.tbl[[#This Row],[Estevan]:[Kipling]])</f>
        <v>14.65</v>
      </c>
      <c r="I639" s="2">
        <f>_xlfn.STDEV.S(weather.tbl[[#This Row],[Estevan]:[Kipling]])</f>
        <v>1.0968135666557011</v>
      </c>
      <c r="J639" s="2">
        <f t="shared" si="9"/>
        <v>14.102380952380953</v>
      </c>
      <c r="K639">
        <f>DAY(weather.tbl[[#This Row],[Date]])</f>
        <v>30</v>
      </c>
      <c r="L639">
        <f>MONTH(weather.tbl[[#This Row],[Date]])</f>
        <v>9</v>
      </c>
      <c r="M639">
        <f>YEAR(weather.tbl[[#This Row],[Date]])</f>
        <v>2015</v>
      </c>
    </row>
    <row r="640" spans="1:13" x14ac:dyDescent="0.25">
      <c r="A640" s="1">
        <v>42278</v>
      </c>
      <c r="B640" s="2">
        <v>15.3</v>
      </c>
      <c r="C640" s="2">
        <v>14.4</v>
      </c>
      <c r="D640" s="2">
        <v>13.3</v>
      </c>
      <c r="E640" s="2">
        <v>12.5</v>
      </c>
      <c r="F640" s="2">
        <v>14.9</v>
      </c>
      <c r="G640" s="2">
        <v>12.7</v>
      </c>
      <c r="H640" s="2">
        <f>AVERAGE(weather.tbl[[#This Row],[Estevan]:[Kipling]])</f>
        <v>13.850000000000001</v>
      </c>
      <c r="I640" s="2">
        <f>_xlfn.STDEV.S(weather.tbl[[#This Row],[Estevan]:[Kipling]])</f>
        <v>1.1794066304714421</v>
      </c>
      <c r="J640" s="2">
        <f t="shared" si="9"/>
        <v>14.12142857142857</v>
      </c>
      <c r="K640">
        <f>DAY(weather.tbl[[#This Row],[Date]])</f>
        <v>1</v>
      </c>
      <c r="L640">
        <f>MONTH(weather.tbl[[#This Row],[Date]])</f>
        <v>10</v>
      </c>
      <c r="M640">
        <f>YEAR(weather.tbl[[#This Row],[Date]])</f>
        <v>2015</v>
      </c>
    </row>
    <row r="641" spans="1:13" x14ac:dyDescent="0.25">
      <c r="A641" s="1">
        <v>42279</v>
      </c>
      <c r="B641" s="2">
        <v>10.9</v>
      </c>
      <c r="C641" s="2">
        <v>11.7</v>
      </c>
      <c r="D641" s="2">
        <v>11</v>
      </c>
      <c r="E641" s="2">
        <v>12.5</v>
      </c>
      <c r="F641" s="2">
        <v>13.5</v>
      </c>
      <c r="G641" s="2">
        <v>10.8</v>
      </c>
      <c r="H641" s="2">
        <f>AVERAGE(weather.tbl[[#This Row],[Estevan]:[Kipling]])</f>
        <v>11.733333333333334</v>
      </c>
      <c r="I641" s="2">
        <f>_xlfn.STDEV.S(weather.tbl[[#This Row],[Estevan]:[Kipling]])</f>
        <v>1.0782702196883054</v>
      </c>
      <c r="J641" s="2">
        <f t="shared" si="9"/>
        <v>13.05</v>
      </c>
      <c r="K641">
        <f>DAY(weather.tbl[[#This Row],[Date]])</f>
        <v>2</v>
      </c>
      <c r="L641">
        <f>MONTH(weather.tbl[[#This Row],[Date]])</f>
        <v>10</v>
      </c>
      <c r="M641">
        <f>YEAR(weather.tbl[[#This Row],[Date]])</f>
        <v>2015</v>
      </c>
    </row>
    <row r="642" spans="1:13" x14ac:dyDescent="0.25">
      <c r="A642" s="1">
        <v>42280</v>
      </c>
      <c r="B642" s="2">
        <v>9</v>
      </c>
      <c r="C642" s="2">
        <v>8.5</v>
      </c>
      <c r="D642" s="2">
        <v>8.8000000000000007</v>
      </c>
      <c r="E642" s="2">
        <v>8</v>
      </c>
      <c r="F642" s="2">
        <v>10.8</v>
      </c>
      <c r="G642" s="2">
        <v>10.199999999999999</v>
      </c>
      <c r="H642" s="2">
        <f>AVERAGE(weather.tbl[[#This Row],[Estevan]:[Kipling]])</f>
        <v>9.2166666666666668</v>
      </c>
      <c r="I642" s="2">
        <f>_xlfn.STDEV.S(weather.tbl[[#This Row],[Estevan]:[Kipling]])</f>
        <v>1.0666145820617108</v>
      </c>
      <c r="J642" s="2">
        <f t="shared" si="9"/>
        <v>11.330952380952381</v>
      </c>
      <c r="K642">
        <f>DAY(weather.tbl[[#This Row],[Date]])</f>
        <v>3</v>
      </c>
      <c r="L642">
        <f>MONTH(weather.tbl[[#This Row],[Date]])</f>
        <v>10</v>
      </c>
      <c r="M642">
        <f>YEAR(weather.tbl[[#This Row],[Date]])</f>
        <v>2015</v>
      </c>
    </row>
    <row r="643" spans="1:13" x14ac:dyDescent="0.25">
      <c r="A643" s="1">
        <v>42281</v>
      </c>
      <c r="B643" s="2">
        <v>9.6</v>
      </c>
      <c r="C643" s="2">
        <v>7.9</v>
      </c>
      <c r="D643" s="2">
        <v>8.8000000000000007</v>
      </c>
      <c r="E643" s="2">
        <v>8.5</v>
      </c>
      <c r="F643" s="2">
        <v>9.1999999999999993</v>
      </c>
      <c r="G643" s="2">
        <v>8.1</v>
      </c>
      <c r="H643" s="2">
        <f>AVERAGE(weather.tbl[[#This Row],[Estevan]:[Kipling]])</f>
        <v>8.6833333333333336</v>
      </c>
      <c r="I643" s="2">
        <f>_xlfn.STDEV.S(weather.tbl[[#This Row],[Estevan]:[Kipling]])</f>
        <v>0.64935865795927172</v>
      </c>
      <c r="J643" s="2">
        <f t="shared" si="9"/>
        <v>10.702380952380953</v>
      </c>
      <c r="K643">
        <f>DAY(weather.tbl[[#This Row],[Date]])</f>
        <v>4</v>
      </c>
      <c r="L643">
        <f>MONTH(weather.tbl[[#This Row],[Date]])</f>
        <v>10</v>
      </c>
      <c r="M643">
        <f>YEAR(weather.tbl[[#This Row],[Date]])</f>
        <v>2015</v>
      </c>
    </row>
    <row r="644" spans="1:13" x14ac:dyDescent="0.25">
      <c r="A644" s="1">
        <v>42282</v>
      </c>
      <c r="B644" s="2">
        <v>6.1</v>
      </c>
      <c r="C644" s="2">
        <v>5</v>
      </c>
      <c r="D644" s="2">
        <v>7.3</v>
      </c>
      <c r="E644" s="2">
        <v>5.8</v>
      </c>
      <c r="F644" s="2">
        <v>8.8000000000000007</v>
      </c>
      <c r="G644" s="2">
        <v>5</v>
      </c>
      <c r="H644" s="2">
        <f>AVERAGE(weather.tbl[[#This Row],[Estevan]:[Kipling]])</f>
        <v>6.333333333333333</v>
      </c>
      <c r="I644" s="2">
        <f>_xlfn.STDEV.S(weather.tbl[[#This Row],[Estevan]:[Kipling]])</f>
        <v>1.4773850773128396</v>
      </c>
      <c r="J644" s="2">
        <f t="shared" si="9"/>
        <v>10.56904761904762</v>
      </c>
      <c r="K644">
        <f>DAY(weather.tbl[[#This Row],[Date]])</f>
        <v>5</v>
      </c>
      <c r="L644">
        <f>MONTH(weather.tbl[[#This Row],[Date]])</f>
        <v>10</v>
      </c>
      <c r="M644">
        <f>YEAR(weather.tbl[[#This Row],[Date]])</f>
        <v>2015</v>
      </c>
    </row>
    <row r="645" spans="1:13" x14ac:dyDescent="0.25">
      <c r="A645" s="1">
        <v>42283</v>
      </c>
      <c r="B645" s="2">
        <v>6.6</v>
      </c>
      <c r="C645" s="2">
        <v>5.5</v>
      </c>
      <c r="D645" s="2">
        <v>6.8</v>
      </c>
      <c r="E645" s="2">
        <v>7</v>
      </c>
      <c r="F645" s="2">
        <v>7.6</v>
      </c>
      <c r="G645" s="2">
        <v>5.8</v>
      </c>
      <c r="H645" s="2">
        <f>AVERAGE(weather.tbl[[#This Row],[Estevan]:[Kipling]])</f>
        <v>6.55</v>
      </c>
      <c r="I645" s="2">
        <f>_xlfn.STDEV.S(weather.tbl[[#This Row],[Estevan]:[Kipling]])</f>
        <v>0.77910204723130139</v>
      </c>
      <c r="J645" s="2">
        <f t="shared" si="9"/>
        <v>10.145238095238096</v>
      </c>
      <c r="K645">
        <f>DAY(weather.tbl[[#This Row],[Date]])</f>
        <v>6</v>
      </c>
      <c r="L645">
        <f>MONTH(weather.tbl[[#This Row],[Date]])</f>
        <v>10</v>
      </c>
      <c r="M645">
        <f>YEAR(weather.tbl[[#This Row],[Date]])</f>
        <v>2015</v>
      </c>
    </row>
    <row r="646" spans="1:13" x14ac:dyDescent="0.25">
      <c r="A646" s="1">
        <v>42284</v>
      </c>
      <c r="B646" s="2">
        <v>11.3</v>
      </c>
      <c r="C646" s="2">
        <v>11</v>
      </c>
      <c r="D646" s="2">
        <v>9</v>
      </c>
      <c r="E646" s="2">
        <v>10</v>
      </c>
      <c r="F646" s="2">
        <v>7.2</v>
      </c>
      <c r="G646" s="2">
        <v>7.2</v>
      </c>
      <c r="H646" s="2">
        <f>AVERAGE(weather.tbl[[#This Row],[Estevan]:[Kipling]])</f>
        <v>9.2833333333333332</v>
      </c>
      <c r="I646" s="2">
        <f>_xlfn.STDEV.S(weather.tbl[[#This Row],[Estevan]:[Kipling]])</f>
        <v>1.8049007359593656</v>
      </c>
      <c r="J646" s="2">
        <f t="shared" si="9"/>
        <v>9.3785714285714299</v>
      </c>
      <c r="K646">
        <f>DAY(weather.tbl[[#This Row],[Date]])</f>
        <v>7</v>
      </c>
      <c r="L646">
        <f>MONTH(weather.tbl[[#This Row],[Date]])</f>
        <v>10</v>
      </c>
      <c r="M646">
        <f>YEAR(weather.tbl[[#This Row],[Date]])</f>
        <v>2015</v>
      </c>
    </row>
    <row r="647" spans="1:13" x14ac:dyDescent="0.25">
      <c r="A647" s="1">
        <v>42285</v>
      </c>
      <c r="B647" s="2">
        <v>9.4</v>
      </c>
      <c r="C647" s="2">
        <v>8.6</v>
      </c>
      <c r="D647" s="2">
        <v>11.5</v>
      </c>
      <c r="E647" s="2">
        <v>9.5</v>
      </c>
      <c r="F647" s="2">
        <v>9</v>
      </c>
      <c r="G647" s="2">
        <v>9.4</v>
      </c>
      <c r="H647" s="2">
        <f>AVERAGE(weather.tbl[[#This Row],[Estevan]:[Kipling]])</f>
        <v>9.5666666666666664</v>
      </c>
      <c r="I647" s="2">
        <f>_xlfn.STDEV.S(weather.tbl[[#This Row],[Estevan]:[Kipling]])</f>
        <v>1.0053191864610298</v>
      </c>
      <c r="J647" s="2">
        <f t="shared" si="9"/>
        <v>8.7666666666666657</v>
      </c>
      <c r="K647">
        <f>DAY(weather.tbl[[#This Row],[Date]])</f>
        <v>8</v>
      </c>
      <c r="L647">
        <f>MONTH(weather.tbl[[#This Row],[Date]])</f>
        <v>10</v>
      </c>
      <c r="M647">
        <f>YEAR(weather.tbl[[#This Row],[Date]])</f>
        <v>2015</v>
      </c>
    </row>
    <row r="648" spans="1:13" x14ac:dyDescent="0.25">
      <c r="A648" s="1">
        <v>42286</v>
      </c>
      <c r="B648" s="2">
        <v>12.2</v>
      </c>
      <c r="C648" s="2">
        <v>12.3</v>
      </c>
      <c r="D648" s="2">
        <v>10.3</v>
      </c>
      <c r="E648" s="2">
        <v>13.5</v>
      </c>
      <c r="F648" s="2">
        <v>9.1</v>
      </c>
      <c r="G648" s="2">
        <v>11</v>
      </c>
      <c r="H648" s="2">
        <f>AVERAGE(weather.tbl[[#This Row],[Estevan]:[Kipling]])</f>
        <v>11.4</v>
      </c>
      <c r="I648" s="2">
        <f>_xlfn.STDEV.S(weather.tbl[[#This Row],[Estevan]:[Kipling]])</f>
        <v>1.5824032355881903</v>
      </c>
      <c r="J648" s="2">
        <f t="shared" si="9"/>
        <v>8.7190476190476183</v>
      </c>
      <c r="K648">
        <f>DAY(weather.tbl[[#This Row],[Date]])</f>
        <v>9</v>
      </c>
      <c r="L648">
        <f>MONTH(weather.tbl[[#This Row],[Date]])</f>
        <v>10</v>
      </c>
      <c r="M648">
        <f>YEAR(weather.tbl[[#This Row],[Date]])</f>
        <v>2015</v>
      </c>
    </row>
    <row r="649" spans="1:13" x14ac:dyDescent="0.25">
      <c r="A649" s="1">
        <v>42287</v>
      </c>
      <c r="B649" s="2">
        <v>19.2</v>
      </c>
      <c r="C649" s="2">
        <v>18.100000000000001</v>
      </c>
      <c r="D649" s="2">
        <v>19</v>
      </c>
      <c r="E649" s="2">
        <v>19.3</v>
      </c>
      <c r="F649" s="2">
        <v>17.8</v>
      </c>
      <c r="G649" s="2">
        <v>16.600000000000001</v>
      </c>
      <c r="H649" s="2">
        <f>AVERAGE(weather.tbl[[#This Row],[Estevan]:[Kipling]])</f>
        <v>18.333333333333332</v>
      </c>
      <c r="I649" s="2">
        <f>_xlfn.STDEV.S(weather.tbl[[#This Row],[Estevan]:[Kipling]])</f>
        <v>1.0462631918722294</v>
      </c>
      <c r="J649" s="2">
        <f t="shared" si="9"/>
        <v>10.021428571428572</v>
      </c>
      <c r="K649">
        <f>DAY(weather.tbl[[#This Row],[Date]])</f>
        <v>10</v>
      </c>
      <c r="L649">
        <f>MONTH(weather.tbl[[#This Row],[Date]])</f>
        <v>10</v>
      </c>
      <c r="M649">
        <f>YEAR(weather.tbl[[#This Row],[Date]])</f>
        <v>2015</v>
      </c>
    </row>
    <row r="650" spans="1:13" x14ac:dyDescent="0.25">
      <c r="A650" s="1">
        <v>42288</v>
      </c>
      <c r="B650" s="2">
        <v>13.1</v>
      </c>
      <c r="C650" s="2">
        <v>12.6</v>
      </c>
      <c r="D650" s="2">
        <v>12.3</v>
      </c>
      <c r="E650" s="2">
        <v>14.3</v>
      </c>
      <c r="F650" s="2">
        <v>15.7</v>
      </c>
      <c r="G650" s="2">
        <v>12.5</v>
      </c>
      <c r="H650" s="2">
        <f>AVERAGE(weather.tbl[[#This Row],[Estevan]:[Kipling]])</f>
        <v>13.416666666666666</v>
      </c>
      <c r="I650" s="2">
        <f>_xlfn.STDEV.S(weather.tbl[[#This Row],[Estevan]:[Kipling]])</f>
        <v>1.3302881893284124</v>
      </c>
      <c r="J650" s="2">
        <f t="shared" ref="J650:J713" si="10">AVERAGE(H644:H650)</f>
        <v>10.697619047619048</v>
      </c>
      <c r="K650">
        <f>DAY(weather.tbl[[#This Row],[Date]])</f>
        <v>11</v>
      </c>
      <c r="L650">
        <f>MONTH(weather.tbl[[#This Row],[Date]])</f>
        <v>10</v>
      </c>
      <c r="M650">
        <f>YEAR(weather.tbl[[#This Row],[Date]])</f>
        <v>2015</v>
      </c>
    </row>
    <row r="651" spans="1:13" x14ac:dyDescent="0.25">
      <c r="A651" s="1">
        <v>42289</v>
      </c>
      <c r="B651" s="2">
        <v>8.1999999999999993</v>
      </c>
      <c r="C651" s="2">
        <v>7.6</v>
      </c>
      <c r="D651" s="2">
        <v>12.3</v>
      </c>
      <c r="E651" s="2">
        <v>8</v>
      </c>
      <c r="F651" s="2">
        <v>7.7</v>
      </c>
      <c r="G651" s="2">
        <v>6.2</v>
      </c>
      <c r="H651" s="2">
        <f>AVERAGE(weather.tbl[[#This Row],[Estevan]:[Kipling]])</f>
        <v>8.3333333333333339</v>
      </c>
      <c r="I651" s="2">
        <f>_xlfn.STDEV.S(weather.tbl[[#This Row],[Estevan]:[Kipling]])</f>
        <v>2.0665591369875305</v>
      </c>
      <c r="J651" s="2">
        <f t="shared" si="10"/>
        <v>10.983333333333333</v>
      </c>
      <c r="K651">
        <f>DAY(weather.tbl[[#This Row],[Date]])</f>
        <v>12</v>
      </c>
      <c r="L651">
        <f>MONTH(weather.tbl[[#This Row],[Date]])</f>
        <v>10</v>
      </c>
      <c r="M651">
        <f>YEAR(weather.tbl[[#This Row],[Date]])</f>
        <v>2015</v>
      </c>
    </row>
    <row r="652" spans="1:13" x14ac:dyDescent="0.25">
      <c r="A652" s="1">
        <v>42290</v>
      </c>
      <c r="B652" s="2">
        <v>9.1</v>
      </c>
      <c r="C652" s="2">
        <v>7.8</v>
      </c>
      <c r="D652" s="2">
        <v>8</v>
      </c>
      <c r="E652" s="2">
        <v>9.8000000000000007</v>
      </c>
      <c r="F652" s="2">
        <v>8.1999999999999993</v>
      </c>
      <c r="G652" s="2">
        <v>8.9</v>
      </c>
      <c r="H652" s="2">
        <f>AVERAGE(weather.tbl[[#This Row],[Estevan]:[Kipling]])</f>
        <v>8.6333333333333346</v>
      </c>
      <c r="I652" s="2">
        <f>_xlfn.STDEV.S(weather.tbl[[#This Row],[Estevan]:[Kipling]])</f>
        <v>0.76594168620507086</v>
      </c>
      <c r="J652" s="2">
        <f t="shared" si="10"/>
        <v>11.280952380952382</v>
      </c>
      <c r="K652">
        <f>DAY(weather.tbl[[#This Row],[Date]])</f>
        <v>13</v>
      </c>
      <c r="L652">
        <f>MONTH(weather.tbl[[#This Row],[Date]])</f>
        <v>10</v>
      </c>
      <c r="M652">
        <f>YEAR(weather.tbl[[#This Row],[Date]])</f>
        <v>2015</v>
      </c>
    </row>
    <row r="653" spans="1:13" x14ac:dyDescent="0.25">
      <c r="A653" s="1">
        <v>42291</v>
      </c>
      <c r="B653" s="2">
        <v>9.1</v>
      </c>
      <c r="C653" s="2">
        <v>7.7</v>
      </c>
      <c r="D653" s="2">
        <v>8.8000000000000007</v>
      </c>
      <c r="E653" s="2">
        <v>9</v>
      </c>
      <c r="F653" s="2">
        <v>10.1</v>
      </c>
      <c r="G653" s="2">
        <v>7.8</v>
      </c>
      <c r="H653" s="2">
        <f>AVERAGE(weather.tbl[[#This Row],[Estevan]:[Kipling]])</f>
        <v>8.75</v>
      </c>
      <c r="I653" s="2">
        <f>_xlfn.STDEV.S(weather.tbl[[#This Row],[Estevan]:[Kipling]])</f>
        <v>0.89610267268879396</v>
      </c>
      <c r="J653" s="2">
        <f t="shared" si="10"/>
        <v>11.204761904761906</v>
      </c>
      <c r="K653">
        <f>DAY(weather.tbl[[#This Row],[Date]])</f>
        <v>14</v>
      </c>
      <c r="L653">
        <f>MONTH(weather.tbl[[#This Row],[Date]])</f>
        <v>10</v>
      </c>
      <c r="M653">
        <f>YEAR(weather.tbl[[#This Row],[Date]])</f>
        <v>2015</v>
      </c>
    </row>
    <row r="654" spans="1:13" x14ac:dyDescent="0.25">
      <c r="A654" s="1">
        <v>42292</v>
      </c>
      <c r="B654" s="2">
        <v>4.5</v>
      </c>
      <c r="C654" s="2">
        <v>4.8</v>
      </c>
      <c r="D654" s="2">
        <v>8.8000000000000007</v>
      </c>
      <c r="E654" s="2">
        <v>6.5</v>
      </c>
      <c r="F654" s="2">
        <v>4.7</v>
      </c>
      <c r="G654" s="2">
        <v>4.9000000000000004</v>
      </c>
      <c r="H654" s="2">
        <f>AVERAGE(weather.tbl[[#This Row],[Estevan]:[Kipling]])</f>
        <v>5.7</v>
      </c>
      <c r="I654" s="2">
        <f>_xlfn.STDEV.S(weather.tbl[[#This Row],[Estevan]:[Kipling]])</f>
        <v>1.6816658407662335</v>
      </c>
      <c r="J654" s="2">
        <f t="shared" si="10"/>
        <v>10.652380952380954</v>
      </c>
      <c r="K654">
        <f>DAY(weather.tbl[[#This Row],[Date]])</f>
        <v>15</v>
      </c>
      <c r="L654">
        <f>MONTH(weather.tbl[[#This Row],[Date]])</f>
        <v>10</v>
      </c>
      <c r="M654">
        <f>YEAR(weather.tbl[[#This Row],[Date]])</f>
        <v>2015</v>
      </c>
    </row>
    <row r="655" spans="1:13" x14ac:dyDescent="0.25">
      <c r="A655" s="1">
        <v>42293</v>
      </c>
      <c r="B655" s="2">
        <v>5.2</v>
      </c>
      <c r="C655" s="2">
        <v>5.5</v>
      </c>
      <c r="D655" s="2">
        <v>8.8000000000000007</v>
      </c>
      <c r="E655" s="2">
        <v>7.5</v>
      </c>
      <c r="F655" s="2">
        <v>4.5</v>
      </c>
      <c r="G655" s="2">
        <v>4.5999999999999996</v>
      </c>
      <c r="H655" s="2">
        <f>AVERAGE(weather.tbl[[#This Row],[Estevan]:[Kipling]])</f>
        <v>6.0166666666666666</v>
      </c>
      <c r="I655" s="2">
        <f>_xlfn.STDEV.S(weather.tbl[[#This Row],[Estevan]:[Kipling]])</f>
        <v>1.742890319746675</v>
      </c>
      <c r="J655" s="2">
        <f t="shared" si="10"/>
        <v>9.8833333333333346</v>
      </c>
      <c r="K655">
        <f>DAY(weather.tbl[[#This Row],[Date]])</f>
        <v>16</v>
      </c>
      <c r="L655">
        <f>MONTH(weather.tbl[[#This Row],[Date]])</f>
        <v>10</v>
      </c>
      <c r="M655">
        <f>YEAR(weather.tbl[[#This Row],[Date]])</f>
        <v>2015</v>
      </c>
    </row>
    <row r="656" spans="1:13" x14ac:dyDescent="0.25">
      <c r="A656" s="1">
        <v>42294</v>
      </c>
      <c r="B656" s="2">
        <v>6</v>
      </c>
      <c r="C656" s="2">
        <v>6.4</v>
      </c>
      <c r="D656" s="2">
        <v>4.5</v>
      </c>
      <c r="E656" s="2">
        <v>5.8</v>
      </c>
      <c r="F656" s="2">
        <v>3.6</v>
      </c>
      <c r="G656" s="2">
        <v>5.6</v>
      </c>
      <c r="H656" s="2">
        <f>AVERAGE(weather.tbl[[#This Row],[Estevan]:[Kipling]])</f>
        <v>5.3166666666666664</v>
      </c>
      <c r="I656" s="2">
        <f>_xlfn.STDEV.S(weather.tbl[[#This Row],[Estevan]:[Kipling]])</f>
        <v>1.0553040636075799</v>
      </c>
      <c r="J656" s="2">
        <f t="shared" si="10"/>
        <v>8.0238095238095237</v>
      </c>
      <c r="K656">
        <f>DAY(weather.tbl[[#This Row],[Date]])</f>
        <v>17</v>
      </c>
      <c r="L656">
        <f>MONTH(weather.tbl[[#This Row],[Date]])</f>
        <v>10</v>
      </c>
      <c r="M656">
        <f>YEAR(weather.tbl[[#This Row],[Date]])</f>
        <v>2015</v>
      </c>
    </row>
    <row r="657" spans="1:13" x14ac:dyDescent="0.25">
      <c r="A657" s="1">
        <v>42295</v>
      </c>
      <c r="B657" s="2">
        <v>9.9</v>
      </c>
      <c r="C657" s="2">
        <v>11.7</v>
      </c>
      <c r="D657" s="2">
        <v>9.5</v>
      </c>
      <c r="E657" s="2">
        <v>11.5</v>
      </c>
      <c r="F657" s="2">
        <v>11.1</v>
      </c>
      <c r="G657" s="2">
        <v>10.4</v>
      </c>
      <c r="H657" s="2">
        <f>AVERAGE(weather.tbl[[#This Row],[Estevan]:[Kipling]])</f>
        <v>10.683333333333335</v>
      </c>
      <c r="I657" s="2">
        <f>_xlfn.STDEV.S(weather.tbl[[#This Row],[Estevan]:[Kipling]])</f>
        <v>0.89087971503826824</v>
      </c>
      <c r="J657" s="2">
        <f t="shared" si="10"/>
        <v>7.6333333333333337</v>
      </c>
      <c r="K657">
        <f>DAY(weather.tbl[[#This Row],[Date]])</f>
        <v>18</v>
      </c>
      <c r="L657">
        <f>MONTH(weather.tbl[[#This Row],[Date]])</f>
        <v>10</v>
      </c>
      <c r="M657">
        <f>YEAR(weather.tbl[[#This Row],[Date]])</f>
        <v>2015</v>
      </c>
    </row>
    <row r="658" spans="1:13" x14ac:dyDescent="0.25">
      <c r="A658" s="1">
        <v>42296</v>
      </c>
      <c r="B658" s="2">
        <v>8.6999999999999993</v>
      </c>
      <c r="C658" s="2">
        <v>8.1</v>
      </c>
      <c r="D658" s="2">
        <v>10</v>
      </c>
      <c r="E658" s="2">
        <v>9.8000000000000007</v>
      </c>
      <c r="F658" s="2">
        <v>9.8000000000000007</v>
      </c>
      <c r="G658" s="2">
        <v>9.5</v>
      </c>
      <c r="H658" s="2">
        <f>AVERAGE(weather.tbl[[#This Row],[Estevan]:[Kipling]])</f>
        <v>9.3166666666666647</v>
      </c>
      <c r="I658" s="2">
        <f>_xlfn.STDEV.S(weather.tbl[[#This Row],[Estevan]:[Kipling]])</f>
        <v>0.75210814825174399</v>
      </c>
      <c r="J658" s="2">
        <f t="shared" si="10"/>
        <v>7.7738095238095237</v>
      </c>
      <c r="K658">
        <f>DAY(weather.tbl[[#This Row],[Date]])</f>
        <v>19</v>
      </c>
      <c r="L658">
        <f>MONTH(weather.tbl[[#This Row],[Date]])</f>
        <v>10</v>
      </c>
      <c r="M658">
        <f>YEAR(weather.tbl[[#This Row],[Date]])</f>
        <v>2015</v>
      </c>
    </row>
    <row r="659" spans="1:13" x14ac:dyDescent="0.25">
      <c r="A659" s="1">
        <v>42297</v>
      </c>
      <c r="B659" s="2">
        <v>7.5</v>
      </c>
      <c r="C659" s="2">
        <v>7</v>
      </c>
      <c r="D659" s="2">
        <v>8.3000000000000007</v>
      </c>
      <c r="E659" s="2">
        <v>7.3</v>
      </c>
      <c r="F659" s="2">
        <v>10.6</v>
      </c>
      <c r="G659" s="2">
        <v>6.1</v>
      </c>
      <c r="H659" s="2">
        <f>AVERAGE(weather.tbl[[#This Row],[Estevan]:[Kipling]])</f>
        <v>7.8000000000000007</v>
      </c>
      <c r="I659" s="2">
        <f>_xlfn.STDEV.S(weather.tbl[[#This Row],[Estevan]:[Kipling]])</f>
        <v>1.5466091943344951</v>
      </c>
      <c r="J659" s="2">
        <f t="shared" si="10"/>
        <v>7.6547619047619042</v>
      </c>
      <c r="K659">
        <f>DAY(weather.tbl[[#This Row],[Date]])</f>
        <v>20</v>
      </c>
      <c r="L659">
        <f>MONTH(weather.tbl[[#This Row],[Date]])</f>
        <v>10</v>
      </c>
      <c r="M659">
        <f>YEAR(weather.tbl[[#This Row],[Date]])</f>
        <v>2015</v>
      </c>
    </row>
    <row r="660" spans="1:13" x14ac:dyDescent="0.25">
      <c r="A660" s="1">
        <v>42298</v>
      </c>
      <c r="B660" s="2">
        <v>7.7</v>
      </c>
      <c r="C660" s="2">
        <v>7.6</v>
      </c>
      <c r="D660" s="2">
        <v>7</v>
      </c>
      <c r="E660" s="2">
        <v>8.8000000000000007</v>
      </c>
      <c r="F660" s="2">
        <v>7.2</v>
      </c>
      <c r="G660" s="2">
        <v>6.5</v>
      </c>
      <c r="H660" s="2">
        <f>AVERAGE(weather.tbl[[#This Row],[Estevan]:[Kipling]])</f>
        <v>7.4666666666666677</v>
      </c>
      <c r="I660" s="2">
        <f>_xlfn.STDEV.S(weather.tbl[[#This Row],[Estevan]:[Kipling]])</f>
        <v>0.78400680269157552</v>
      </c>
      <c r="J660" s="2">
        <f t="shared" si="10"/>
        <v>7.4714285714285706</v>
      </c>
      <c r="K660">
        <f>DAY(weather.tbl[[#This Row],[Date]])</f>
        <v>21</v>
      </c>
      <c r="L660">
        <f>MONTH(weather.tbl[[#This Row],[Date]])</f>
        <v>10</v>
      </c>
      <c r="M660">
        <f>YEAR(weather.tbl[[#This Row],[Date]])</f>
        <v>2015</v>
      </c>
    </row>
    <row r="661" spans="1:13" x14ac:dyDescent="0.25">
      <c r="A661" s="1">
        <v>42299</v>
      </c>
      <c r="B661" s="2">
        <v>10.1</v>
      </c>
      <c r="C661" s="2">
        <v>10.8</v>
      </c>
      <c r="D661" s="2">
        <v>7.5</v>
      </c>
      <c r="E661" s="2">
        <v>10</v>
      </c>
      <c r="F661" s="2">
        <v>7.4</v>
      </c>
      <c r="G661" s="2">
        <v>10.199999999999999</v>
      </c>
      <c r="H661" s="2">
        <f>AVERAGE(weather.tbl[[#This Row],[Estevan]:[Kipling]])</f>
        <v>9.3333333333333339</v>
      </c>
      <c r="I661" s="2">
        <f>_xlfn.STDEV.S(weather.tbl[[#This Row],[Estevan]:[Kipling]])</f>
        <v>1.4854853303438109</v>
      </c>
      <c r="J661" s="2">
        <f t="shared" si="10"/>
        <v>7.9904761904761896</v>
      </c>
      <c r="K661">
        <f>DAY(weather.tbl[[#This Row],[Date]])</f>
        <v>22</v>
      </c>
      <c r="L661">
        <f>MONTH(weather.tbl[[#This Row],[Date]])</f>
        <v>10</v>
      </c>
      <c r="M661">
        <f>YEAR(weather.tbl[[#This Row],[Date]])</f>
        <v>2015</v>
      </c>
    </row>
    <row r="662" spans="1:13" x14ac:dyDescent="0.25">
      <c r="A662" s="1">
        <v>42300</v>
      </c>
      <c r="B662" s="2">
        <v>6.6</v>
      </c>
      <c r="C662" s="2">
        <v>6.5</v>
      </c>
      <c r="D662" s="2">
        <v>10</v>
      </c>
      <c r="E662" s="2">
        <v>9</v>
      </c>
      <c r="F662" s="2">
        <v>7.2</v>
      </c>
      <c r="G662" s="2">
        <v>7.1</v>
      </c>
      <c r="H662" s="2">
        <f>AVERAGE(weather.tbl[[#This Row],[Estevan]:[Kipling]])</f>
        <v>7.7333333333333343</v>
      </c>
      <c r="I662" s="2">
        <f>_xlfn.STDEV.S(weather.tbl[[#This Row],[Estevan]:[Kipling]])</f>
        <v>1.4306175822583183</v>
      </c>
      <c r="J662" s="2">
        <f t="shared" si="10"/>
        <v>8.2357142857142858</v>
      </c>
      <c r="K662">
        <f>DAY(weather.tbl[[#This Row],[Date]])</f>
        <v>23</v>
      </c>
      <c r="L662">
        <f>MONTH(weather.tbl[[#This Row],[Date]])</f>
        <v>10</v>
      </c>
      <c r="M662">
        <f>YEAR(weather.tbl[[#This Row],[Date]])</f>
        <v>2015</v>
      </c>
    </row>
    <row r="663" spans="1:13" x14ac:dyDescent="0.25">
      <c r="A663" s="1">
        <v>42301</v>
      </c>
      <c r="B663" s="2">
        <v>6.2</v>
      </c>
      <c r="C663" s="2">
        <v>4.3</v>
      </c>
      <c r="D663" s="2">
        <v>3.8</v>
      </c>
      <c r="E663" s="2">
        <v>6.5</v>
      </c>
      <c r="F663" s="2">
        <v>5.6</v>
      </c>
      <c r="G663" s="2">
        <v>4.5999999999999996</v>
      </c>
      <c r="H663" s="2">
        <f>AVERAGE(weather.tbl[[#This Row],[Estevan]:[Kipling]])</f>
        <v>5.166666666666667</v>
      </c>
      <c r="I663" s="2">
        <f>_xlfn.STDEV.S(weather.tbl[[#This Row],[Estevan]:[Kipling]])</f>
        <v>1.0930080817023569</v>
      </c>
      <c r="J663" s="2">
        <f t="shared" si="10"/>
        <v>8.2142857142857135</v>
      </c>
      <c r="K663">
        <f>DAY(weather.tbl[[#This Row],[Date]])</f>
        <v>24</v>
      </c>
      <c r="L663">
        <f>MONTH(weather.tbl[[#This Row],[Date]])</f>
        <v>10</v>
      </c>
      <c r="M663">
        <f>YEAR(weather.tbl[[#This Row],[Date]])</f>
        <v>2015</v>
      </c>
    </row>
    <row r="664" spans="1:13" x14ac:dyDescent="0.25">
      <c r="A664" s="1">
        <v>42302</v>
      </c>
      <c r="B664" s="2">
        <v>3.4</v>
      </c>
      <c r="C664" s="2">
        <v>3.9</v>
      </c>
      <c r="D664" s="2">
        <v>2.8</v>
      </c>
      <c r="E664" s="2">
        <v>5.3</v>
      </c>
      <c r="F664" s="2">
        <v>1.5</v>
      </c>
      <c r="G664" s="2">
        <v>4</v>
      </c>
      <c r="H664" s="2">
        <f>AVERAGE(weather.tbl[[#This Row],[Estevan]:[Kipling]])</f>
        <v>3.4833333333333329</v>
      </c>
      <c r="I664" s="2">
        <f>_xlfn.STDEV.S(weather.tbl[[#This Row],[Estevan]:[Kipling]])</f>
        <v>1.2765839833973578</v>
      </c>
      <c r="J664" s="2">
        <f t="shared" si="10"/>
        <v>7.1857142857142859</v>
      </c>
      <c r="K664">
        <f>DAY(weather.tbl[[#This Row],[Date]])</f>
        <v>25</v>
      </c>
      <c r="L664">
        <f>MONTH(weather.tbl[[#This Row],[Date]])</f>
        <v>10</v>
      </c>
      <c r="M664">
        <f>YEAR(weather.tbl[[#This Row],[Date]])</f>
        <v>2015</v>
      </c>
    </row>
    <row r="665" spans="1:13" x14ac:dyDescent="0.25">
      <c r="A665" s="1">
        <v>42303</v>
      </c>
      <c r="B665" s="2">
        <v>2.8</v>
      </c>
      <c r="C665" s="2">
        <v>1.9</v>
      </c>
      <c r="D665" s="2">
        <v>3</v>
      </c>
      <c r="E665" s="2">
        <v>3</v>
      </c>
      <c r="F665" s="2">
        <v>3.1</v>
      </c>
      <c r="G665" s="2">
        <v>3.9</v>
      </c>
      <c r="H665" s="2">
        <f>AVERAGE(weather.tbl[[#This Row],[Estevan]:[Kipling]])</f>
        <v>2.9499999999999997</v>
      </c>
      <c r="I665" s="2">
        <f>_xlfn.STDEV.S(weather.tbl[[#This Row],[Estevan]:[Kipling]])</f>
        <v>0.64109281699298537</v>
      </c>
      <c r="J665" s="2">
        <f t="shared" si="10"/>
        <v>6.276190476190477</v>
      </c>
      <c r="K665">
        <f>DAY(weather.tbl[[#This Row],[Date]])</f>
        <v>26</v>
      </c>
      <c r="L665">
        <f>MONTH(weather.tbl[[#This Row],[Date]])</f>
        <v>10</v>
      </c>
      <c r="M665">
        <f>YEAR(weather.tbl[[#This Row],[Date]])</f>
        <v>2015</v>
      </c>
    </row>
    <row r="666" spans="1:13" x14ac:dyDescent="0.25">
      <c r="A666" s="1">
        <v>42304</v>
      </c>
      <c r="B666" s="2">
        <v>3.4</v>
      </c>
      <c r="C666" s="2">
        <v>1.9</v>
      </c>
      <c r="D666" s="2">
        <v>3</v>
      </c>
      <c r="E666" s="2">
        <v>3.8</v>
      </c>
      <c r="F666" s="2">
        <v>4</v>
      </c>
      <c r="G666" s="2">
        <v>2.8</v>
      </c>
      <c r="H666" s="2">
        <f>AVERAGE(weather.tbl[[#This Row],[Estevan]:[Kipling]])</f>
        <v>3.1500000000000004</v>
      </c>
      <c r="I666" s="2">
        <f>_xlfn.STDEV.S(weather.tbl[[#This Row],[Estevan]:[Kipling]])</f>
        <v>0.7635443667528401</v>
      </c>
      <c r="J666" s="2">
        <f t="shared" si="10"/>
        <v>5.6119047619047624</v>
      </c>
      <c r="K666">
        <f>DAY(weather.tbl[[#This Row],[Date]])</f>
        <v>27</v>
      </c>
      <c r="L666">
        <f>MONTH(weather.tbl[[#This Row],[Date]])</f>
        <v>10</v>
      </c>
      <c r="M666">
        <f>YEAR(weather.tbl[[#This Row],[Date]])</f>
        <v>2015</v>
      </c>
    </row>
    <row r="667" spans="1:13" x14ac:dyDescent="0.25">
      <c r="A667" s="1">
        <v>42305</v>
      </c>
      <c r="B667" s="2">
        <v>0.8</v>
      </c>
      <c r="C667" s="2">
        <v>0.8</v>
      </c>
      <c r="D667" s="2">
        <v>3</v>
      </c>
      <c r="E667" s="2">
        <v>0.5</v>
      </c>
      <c r="F667" s="2">
        <v>1</v>
      </c>
      <c r="G667" s="2">
        <v>-1.1000000000000001</v>
      </c>
      <c r="H667" s="2">
        <f>AVERAGE(weather.tbl[[#This Row],[Estevan]:[Kipling]])</f>
        <v>0.83333333333333337</v>
      </c>
      <c r="I667" s="2">
        <f>_xlfn.STDEV.S(weather.tbl[[#This Row],[Estevan]:[Kipling]])</f>
        <v>1.3094528119281987</v>
      </c>
      <c r="J667" s="2">
        <f t="shared" si="10"/>
        <v>4.6642857142857155</v>
      </c>
      <c r="K667">
        <f>DAY(weather.tbl[[#This Row],[Date]])</f>
        <v>28</v>
      </c>
      <c r="L667">
        <f>MONTH(weather.tbl[[#This Row],[Date]])</f>
        <v>10</v>
      </c>
      <c r="M667">
        <f>YEAR(weather.tbl[[#This Row],[Date]])</f>
        <v>2015</v>
      </c>
    </row>
    <row r="668" spans="1:13" x14ac:dyDescent="0.25">
      <c r="A668" s="1">
        <v>42306</v>
      </c>
      <c r="B668" s="2">
        <v>-1.2</v>
      </c>
      <c r="C668" s="2">
        <v>-0.1</v>
      </c>
      <c r="D668" s="2">
        <v>3</v>
      </c>
      <c r="E668" s="2">
        <v>1.5</v>
      </c>
      <c r="F668" s="2">
        <v>-0.5</v>
      </c>
      <c r="G668" s="2">
        <v>-0.7</v>
      </c>
      <c r="H668" s="2">
        <f>AVERAGE(weather.tbl[[#This Row],[Estevan]:[Kipling]])</f>
        <v>0.33333333333333331</v>
      </c>
      <c r="I668" s="2">
        <f>_xlfn.STDEV.S(weather.tbl[[#This Row],[Estevan]:[Kipling]])</f>
        <v>1.5983324643723742</v>
      </c>
      <c r="J668" s="2">
        <f t="shared" si="10"/>
        <v>3.3785714285714286</v>
      </c>
      <c r="K668">
        <f>DAY(weather.tbl[[#This Row],[Date]])</f>
        <v>29</v>
      </c>
      <c r="L668">
        <f>MONTH(weather.tbl[[#This Row],[Date]])</f>
        <v>10</v>
      </c>
      <c r="M668">
        <f>YEAR(weather.tbl[[#This Row],[Date]])</f>
        <v>2015</v>
      </c>
    </row>
    <row r="669" spans="1:13" x14ac:dyDescent="0.25">
      <c r="A669" s="1">
        <v>42307</v>
      </c>
      <c r="B669" s="2">
        <v>5.8</v>
      </c>
      <c r="C669" s="2">
        <v>6.7</v>
      </c>
      <c r="D669" s="2">
        <v>3</v>
      </c>
      <c r="E669" s="2">
        <v>7</v>
      </c>
      <c r="F669" s="2">
        <v>5.8</v>
      </c>
      <c r="G669" s="2">
        <v>5.5</v>
      </c>
      <c r="H669" s="2">
        <f>AVERAGE(weather.tbl[[#This Row],[Estevan]:[Kipling]])</f>
        <v>5.6333333333333329</v>
      </c>
      <c r="I669" s="2">
        <f>_xlfn.STDEV.S(weather.tbl[[#This Row],[Estevan]:[Kipling]])</f>
        <v>1.4151560573543385</v>
      </c>
      <c r="J669" s="2">
        <f t="shared" si="10"/>
        <v>3.0785714285714287</v>
      </c>
      <c r="K669">
        <f>DAY(weather.tbl[[#This Row],[Date]])</f>
        <v>30</v>
      </c>
      <c r="L669">
        <f>MONTH(weather.tbl[[#This Row],[Date]])</f>
        <v>10</v>
      </c>
      <c r="M669">
        <f>YEAR(weather.tbl[[#This Row],[Date]])</f>
        <v>2015</v>
      </c>
    </row>
    <row r="670" spans="1:13" x14ac:dyDescent="0.25">
      <c r="A670" s="1">
        <v>42308</v>
      </c>
      <c r="B670" s="2">
        <v>4.9000000000000004</v>
      </c>
      <c r="C670" s="2">
        <v>5.2</v>
      </c>
      <c r="D670" s="2">
        <v>3</v>
      </c>
      <c r="E670" s="2">
        <v>8</v>
      </c>
      <c r="F670" s="2">
        <v>4.8</v>
      </c>
      <c r="G670" s="2">
        <v>4.4000000000000004</v>
      </c>
      <c r="H670" s="2">
        <f>AVERAGE(weather.tbl[[#This Row],[Estevan]:[Kipling]])</f>
        <v>5.0500000000000007</v>
      </c>
      <c r="I670" s="2">
        <f>_xlfn.STDEV.S(weather.tbl[[#This Row],[Estevan]:[Kipling]])</f>
        <v>1.6392071254115494</v>
      </c>
      <c r="J670" s="2">
        <f t="shared" si="10"/>
        <v>3.0619047619047621</v>
      </c>
      <c r="K670">
        <f>DAY(weather.tbl[[#This Row],[Date]])</f>
        <v>31</v>
      </c>
      <c r="L670">
        <f>MONTH(weather.tbl[[#This Row],[Date]])</f>
        <v>10</v>
      </c>
      <c r="M670">
        <f>YEAR(weather.tbl[[#This Row],[Date]])</f>
        <v>2015</v>
      </c>
    </row>
    <row r="671" spans="1:13" x14ac:dyDescent="0.25">
      <c r="A671" s="1">
        <v>42309</v>
      </c>
      <c r="B671" s="2">
        <v>6</v>
      </c>
      <c r="C671" s="2">
        <v>4.5</v>
      </c>
      <c r="D671" s="2">
        <v>3</v>
      </c>
      <c r="E671" s="2">
        <v>5.3</v>
      </c>
      <c r="F671" s="2">
        <v>7</v>
      </c>
      <c r="G671" s="2">
        <v>4.4000000000000004</v>
      </c>
      <c r="H671" s="2">
        <f>AVERAGE(weather.tbl[[#This Row],[Estevan]:[Kipling]])</f>
        <v>5.0333333333333341</v>
      </c>
      <c r="I671" s="2">
        <f>_xlfn.STDEV.S(weather.tbl[[#This Row],[Estevan]:[Kipling]])</f>
        <v>1.3923601066773874</v>
      </c>
      <c r="J671" s="2">
        <f t="shared" si="10"/>
        <v>3.2833333333333337</v>
      </c>
      <c r="K671">
        <f>DAY(weather.tbl[[#This Row],[Date]])</f>
        <v>1</v>
      </c>
      <c r="L671">
        <f>MONTH(weather.tbl[[#This Row],[Date]])</f>
        <v>11</v>
      </c>
      <c r="M671">
        <f>YEAR(weather.tbl[[#This Row],[Date]])</f>
        <v>2015</v>
      </c>
    </row>
    <row r="672" spans="1:13" x14ac:dyDescent="0.25">
      <c r="A672" s="1">
        <v>42310</v>
      </c>
      <c r="B672" s="2">
        <v>1.7</v>
      </c>
      <c r="C672" s="2">
        <v>0.8</v>
      </c>
      <c r="D672" s="2">
        <v>3</v>
      </c>
      <c r="E672" s="2">
        <v>1.5</v>
      </c>
      <c r="F672" s="2">
        <v>4.4000000000000004</v>
      </c>
      <c r="G672" s="2">
        <v>2.9</v>
      </c>
      <c r="H672" s="2">
        <f>AVERAGE(weather.tbl[[#This Row],[Estevan]:[Kipling]])</f>
        <v>2.3833333333333333</v>
      </c>
      <c r="I672" s="2">
        <f>_xlfn.STDEV.S(weather.tbl[[#This Row],[Estevan]:[Kipling]])</f>
        <v>1.3014094923069623</v>
      </c>
      <c r="J672" s="2">
        <f t="shared" si="10"/>
        <v>3.2023809523809526</v>
      </c>
      <c r="K672">
        <f>DAY(weather.tbl[[#This Row],[Date]])</f>
        <v>2</v>
      </c>
      <c r="L672">
        <f>MONTH(weather.tbl[[#This Row],[Date]])</f>
        <v>11</v>
      </c>
      <c r="M672">
        <f>YEAR(weather.tbl[[#This Row],[Date]])</f>
        <v>2015</v>
      </c>
    </row>
    <row r="673" spans="1:13" x14ac:dyDescent="0.25">
      <c r="A673" s="1">
        <v>42311</v>
      </c>
      <c r="B673" s="2">
        <v>3.1</v>
      </c>
      <c r="C673" s="2">
        <v>2.8</v>
      </c>
      <c r="D673" s="2">
        <v>3</v>
      </c>
      <c r="E673" s="2">
        <v>3.5</v>
      </c>
      <c r="F673" s="2">
        <v>3</v>
      </c>
      <c r="G673" s="2">
        <v>2</v>
      </c>
      <c r="H673" s="2">
        <f>AVERAGE(weather.tbl[[#This Row],[Estevan]:[Kipling]])</f>
        <v>2.9</v>
      </c>
      <c r="I673" s="2">
        <f>_xlfn.STDEV.S(weather.tbl[[#This Row],[Estevan]:[Kipling]])</f>
        <v>0.49799598391955258</v>
      </c>
      <c r="J673" s="2">
        <f t="shared" si="10"/>
        <v>3.166666666666667</v>
      </c>
      <c r="K673">
        <f>DAY(weather.tbl[[#This Row],[Date]])</f>
        <v>3</v>
      </c>
      <c r="L673">
        <f>MONTH(weather.tbl[[#This Row],[Date]])</f>
        <v>11</v>
      </c>
      <c r="M673">
        <f>YEAR(weather.tbl[[#This Row],[Date]])</f>
        <v>2015</v>
      </c>
    </row>
    <row r="674" spans="1:13" x14ac:dyDescent="0.25">
      <c r="A674" s="1">
        <v>42312</v>
      </c>
      <c r="B674" s="2">
        <v>1.5</v>
      </c>
      <c r="C674" s="2">
        <v>1.4</v>
      </c>
      <c r="D674" s="2">
        <v>3</v>
      </c>
      <c r="E674" s="2">
        <v>2.5</v>
      </c>
      <c r="F674" s="2">
        <v>2.6</v>
      </c>
      <c r="G674" s="2">
        <v>0.3</v>
      </c>
      <c r="H674" s="2">
        <f>AVERAGE(weather.tbl[[#This Row],[Estevan]:[Kipling]])</f>
        <v>1.8833333333333335</v>
      </c>
      <c r="I674" s="2">
        <f>_xlfn.STDEV.S(weather.tbl[[#This Row],[Estevan]:[Kipling]])</f>
        <v>1.0028293307770104</v>
      </c>
      <c r="J674" s="2">
        <f t="shared" si="10"/>
        <v>3.3166666666666664</v>
      </c>
      <c r="K674">
        <f>DAY(weather.tbl[[#This Row],[Date]])</f>
        <v>4</v>
      </c>
      <c r="L674">
        <f>MONTH(weather.tbl[[#This Row],[Date]])</f>
        <v>11</v>
      </c>
      <c r="M674">
        <f>YEAR(weather.tbl[[#This Row],[Date]])</f>
        <v>2015</v>
      </c>
    </row>
    <row r="675" spans="1:13" x14ac:dyDescent="0.25">
      <c r="A675" s="1">
        <v>42313</v>
      </c>
      <c r="B675" s="2">
        <v>1.4</v>
      </c>
      <c r="C675" s="2">
        <v>1.5</v>
      </c>
      <c r="D675" s="2">
        <v>3</v>
      </c>
      <c r="E675" s="2">
        <v>2.5</v>
      </c>
      <c r="F675" s="2">
        <v>1.8</v>
      </c>
      <c r="G675" s="2">
        <v>0.4</v>
      </c>
      <c r="H675" s="2">
        <f>AVERAGE(weather.tbl[[#This Row],[Estevan]:[Kipling]])</f>
        <v>1.7666666666666668</v>
      </c>
      <c r="I675" s="2">
        <f>_xlfn.STDEV.S(weather.tbl[[#This Row],[Estevan]:[Kipling]])</f>
        <v>0.90921211313239036</v>
      </c>
      <c r="J675" s="2">
        <f t="shared" si="10"/>
        <v>3.5214285714285714</v>
      </c>
      <c r="K675">
        <f>DAY(weather.tbl[[#This Row],[Date]])</f>
        <v>5</v>
      </c>
      <c r="L675">
        <f>MONTH(weather.tbl[[#This Row],[Date]])</f>
        <v>11</v>
      </c>
      <c r="M675">
        <f>YEAR(weather.tbl[[#This Row],[Date]])</f>
        <v>2015</v>
      </c>
    </row>
    <row r="676" spans="1:13" x14ac:dyDescent="0.25">
      <c r="A676" s="1">
        <v>42314</v>
      </c>
      <c r="B676" s="2">
        <v>-0.3</v>
      </c>
      <c r="C676" s="2">
        <v>-1.1000000000000001</v>
      </c>
      <c r="D676" s="2">
        <v>3</v>
      </c>
      <c r="E676" s="2">
        <v>2</v>
      </c>
      <c r="F676" s="2">
        <v>-1.1000000000000001</v>
      </c>
      <c r="G676" s="2">
        <v>-0.5</v>
      </c>
      <c r="H676" s="2">
        <f>AVERAGE(weather.tbl[[#This Row],[Estevan]:[Kipling]])</f>
        <v>0.33333333333333326</v>
      </c>
      <c r="I676" s="2">
        <f>_xlfn.STDEV.S(weather.tbl[[#This Row],[Estevan]:[Kipling]])</f>
        <v>1.7374310537879387</v>
      </c>
      <c r="J676" s="2">
        <f t="shared" si="10"/>
        <v>2.7642857142857147</v>
      </c>
      <c r="K676">
        <f>DAY(weather.tbl[[#This Row],[Date]])</f>
        <v>6</v>
      </c>
      <c r="L676">
        <f>MONTH(weather.tbl[[#This Row],[Date]])</f>
        <v>11</v>
      </c>
      <c r="M676">
        <f>YEAR(weather.tbl[[#This Row],[Date]])</f>
        <v>2015</v>
      </c>
    </row>
    <row r="677" spans="1:13" x14ac:dyDescent="0.25">
      <c r="A677" s="1">
        <v>42315</v>
      </c>
      <c r="B677" s="2">
        <v>2.2999999999999998</v>
      </c>
      <c r="C677" s="2">
        <v>2</v>
      </c>
      <c r="D677" s="2">
        <v>3</v>
      </c>
      <c r="E677" s="2">
        <v>3</v>
      </c>
      <c r="F677" s="2">
        <v>2.2000000000000002</v>
      </c>
      <c r="G677" s="2">
        <v>0.7</v>
      </c>
      <c r="H677" s="2">
        <f>AVERAGE(weather.tbl[[#This Row],[Estevan]:[Kipling]])</f>
        <v>2.1999999999999997</v>
      </c>
      <c r="I677" s="2">
        <f>_xlfn.STDEV.S(weather.tbl[[#This Row],[Estevan]:[Kipling]])</f>
        <v>0.84616783205224821</v>
      </c>
      <c r="J677" s="2">
        <f t="shared" si="10"/>
        <v>2.3571428571428577</v>
      </c>
      <c r="K677">
        <f>DAY(weather.tbl[[#This Row],[Date]])</f>
        <v>7</v>
      </c>
      <c r="L677">
        <f>MONTH(weather.tbl[[#This Row],[Date]])</f>
        <v>11</v>
      </c>
      <c r="M677">
        <f>YEAR(weather.tbl[[#This Row],[Date]])</f>
        <v>2015</v>
      </c>
    </row>
    <row r="678" spans="1:13" x14ac:dyDescent="0.25">
      <c r="A678" s="1">
        <v>42316</v>
      </c>
      <c r="B678" s="2">
        <v>6.7</v>
      </c>
      <c r="C678" s="2">
        <v>6.5</v>
      </c>
      <c r="D678" s="2">
        <v>3</v>
      </c>
      <c r="E678" s="2">
        <v>8.3000000000000007</v>
      </c>
      <c r="F678" s="2">
        <v>6.2</v>
      </c>
      <c r="G678" s="2">
        <v>7.1</v>
      </c>
      <c r="H678" s="2">
        <f>AVERAGE(weather.tbl[[#This Row],[Estevan]:[Kipling]])</f>
        <v>6.3</v>
      </c>
      <c r="I678" s="2">
        <f>_xlfn.STDEV.S(weather.tbl[[#This Row],[Estevan]:[Kipling]])</f>
        <v>1.7742604092973537</v>
      </c>
      <c r="J678" s="2">
        <f t="shared" si="10"/>
        <v>2.538095238095238</v>
      </c>
      <c r="K678">
        <f>DAY(weather.tbl[[#This Row],[Date]])</f>
        <v>8</v>
      </c>
      <c r="L678">
        <f>MONTH(weather.tbl[[#This Row],[Date]])</f>
        <v>11</v>
      </c>
      <c r="M678">
        <f>YEAR(weather.tbl[[#This Row],[Date]])</f>
        <v>2015</v>
      </c>
    </row>
    <row r="679" spans="1:13" x14ac:dyDescent="0.25">
      <c r="A679" s="1">
        <v>42317</v>
      </c>
      <c r="B679" s="2">
        <v>3.3</v>
      </c>
      <c r="C679" s="2">
        <v>1.9</v>
      </c>
      <c r="D679" s="2">
        <v>3</v>
      </c>
      <c r="E679" s="2">
        <v>1</v>
      </c>
      <c r="F679" s="2">
        <v>5.0999999999999996</v>
      </c>
      <c r="G679" s="2">
        <v>4.8</v>
      </c>
      <c r="H679" s="2">
        <f>AVERAGE(weather.tbl[[#This Row],[Estevan]:[Kipling]])</f>
        <v>3.1833333333333331</v>
      </c>
      <c r="I679" s="2">
        <f>_xlfn.STDEV.S(weather.tbl[[#This Row],[Estevan]:[Kipling]])</f>
        <v>1.5967675681409201</v>
      </c>
      <c r="J679" s="2">
        <f t="shared" si="10"/>
        <v>2.6523809523809523</v>
      </c>
      <c r="K679">
        <f>DAY(weather.tbl[[#This Row],[Date]])</f>
        <v>9</v>
      </c>
      <c r="L679">
        <f>MONTH(weather.tbl[[#This Row],[Date]])</f>
        <v>11</v>
      </c>
      <c r="M679">
        <f>YEAR(weather.tbl[[#This Row],[Date]])</f>
        <v>2015</v>
      </c>
    </row>
    <row r="680" spans="1:13" x14ac:dyDescent="0.25">
      <c r="A680" s="1">
        <v>42318</v>
      </c>
      <c r="B680" s="2">
        <v>0.9</v>
      </c>
      <c r="C680" s="2">
        <v>0.6</v>
      </c>
      <c r="D680" s="2">
        <v>3</v>
      </c>
      <c r="E680" s="2">
        <v>0.8</v>
      </c>
      <c r="F680" s="2">
        <v>1.6</v>
      </c>
      <c r="G680" s="2">
        <v>0</v>
      </c>
      <c r="H680" s="2">
        <f>AVERAGE(weather.tbl[[#This Row],[Estevan]:[Kipling]])</f>
        <v>1.1500000000000001</v>
      </c>
      <c r="I680" s="2">
        <f>_xlfn.STDEV.S(weather.tbl[[#This Row],[Estevan]:[Kipling]])</f>
        <v>1.0425929215182692</v>
      </c>
      <c r="J680" s="2">
        <f t="shared" si="10"/>
        <v>2.4023809523809523</v>
      </c>
      <c r="K680">
        <f>DAY(weather.tbl[[#This Row],[Date]])</f>
        <v>10</v>
      </c>
      <c r="L680">
        <f>MONTH(weather.tbl[[#This Row],[Date]])</f>
        <v>11</v>
      </c>
      <c r="M680">
        <f>YEAR(weather.tbl[[#This Row],[Date]])</f>
        <v>2015</v>
      </c>
    </row>
    <row r="681" spans="1:13" x14ac:dyDescent="0.25">
      <c r="A681" s="1">
        <v>42319</v>
      </c>
      <c r="B681" s="2">
        <v>-0.3</v>
      </c>
      <c r="C681" s="2">
        <v>0.8</v>
      </c>
      <c r="D681" s="2">
        <v>3</v>
      </c>
      <c r="E681" s="2">
        <v>2</v>
      </c>
      <c r="F681" s="2">
        <v>0.8</v>
      </c>
      <c r="G681" s="2">
        <v>-0.8</v>
      </c>
      <c r="H681" s="2">
        <f>AVERAGE(weather.tbl[[#This Row],[Estevan]:[Kipling]])</f>
        <v>0.91666666666666663</v>
      </c>
      <c r="I681" s="2">
        <f>_xlfn.STDEV.S(weather.tbl[[#This Row],[Estevan]:[Kipling]])</f>
        <v>1.4119726154096144</v>
      </c>
      <c r="J681" s="2">
        <f t="shared" si="10"/>
        <v>2.2642857142857142</v>
      </c>
      <c r="K681">
        <f>DAY(weather.tbl[[#This Row],[Date]])</f>
        <v>11</v>
      </c>
      <c r="L681">
        <f>MONTH(weather.tbl[[#This Row],[Date]])</f>
        <v>11</v>
      </c>
      <c r="M681">
        <f>YEAR(weather.tbl[[#This Row],[Date]])</f>
        <v>2015</v>
      </c>
    </row>
    <row r="682" spans="1:13" x14ac:dyDescent="0.25">
      <c r="A682" s="1">
        <v>42320</v>
      </c>
      <c r="B682" s="2">
        <v>-0.3</v>
      </c>
      <c r="C682" s="2">
        <v>-1.6</v>
      </c>
      <c r="D682" s="2">
        <v>3</v>
      </c>
      <c r="E682" s="2">
        <v>-0.3</v>
      </c>
      <c r="F682" s="2">
        <v>0.3</v>
      </c>
      <c r="G682" s="2">
        <v>-0.6</v>
      </c>
      <c r="H682" s="2">
        <f>AVERAGE(weather.tbl[[#This Row],[Estevan]:[Kipling]])</f>
        <v>8.3333333333333315E-2</v>
      </c>
      <c r="I682" s="2">
        <f>_xlfn.STDEV.S(weather.tbl[[#This Row],[Estevan]:[Kipling]])</f>
        <v>1.5587388064286674</v>
      </c>
      <c r="J682" s="2">
        <f t="shared" si="10"/>
        <v>2.0238095238095237</v>
      </c>
      <c r="K682">
        <f>DAY(weather.tbl[[#This Row],[Date]])</f>
        <v>12</v>
      </c>
      <c r="L682">
        <f>MONTH(weather.tbl[[#This Row],[Date]])</f>
        <v>11</v>
      </c>
      <c r="M682">
        <f>YEAR(weather.tbl[[#This Row],[Date]])</f>
        <v>2015</v>
      </c>
    </row>
    <row r="683" spans="1:13" x14ac:dyDescent="0.25">
      <c r="A683" s="1">
        <v>42321</v>
      </c>
      <c r="B683" s="2">
        <v>1.8</v>
      </c>
      <c r="C683" s="2">
        <v>1.5</v>
      </c>
      <c r="D683" s="2">
        <v>3</v>
      </c>
      <c r="E683" s="2">
        <v>1.3</v>
      </c>
      <c r="F683" s="2">
        <v>0.4</v>
      </c>
      <c r="G683" s="2">
        <v>0.2</v>
      </c>
      <c r="H683" s="2">
        <f>AVERAGE(weather.tbl[[#This Row],[Estevan]:[Kipling]])</f>
        <v>1.3666666666666665</v>
      </c>
      <c r="I683" s="2">
        <f>_xlfn.STDEV.S(weather.tbl[[#This Row],[Estevan]:[Kipling]])</f>
        <v>1.0171856598805682</v>
      </c>
      <c r="J683" s="2">
        <f t="shared" si="10"/>
        <v>2.1714285714285717</v>
      </c>
      <c r="K683">
        <f>DAY(weather.tbl[[#This Row],[Date]])</f>
        <v>13</v>
      </c>
      <c r="L683">
        <f>MONTH(weather.tbl[[#This Row],[Date]])</f>
        <v>11</v>
      </c>
      <c r="M683">
        <f>YEAR(weather.tbl[[#This Row],[Date]])</f>
        <v>2015</v>
      </c>
    </row>
    <row r="684" spans="1:13" x14ac:dyDescent="0.25">
      <c r="A684" s="1">
        <v>42322</v>
      </c>
      <c r="B684" s="2">
        <v>5.8</v>
      </c>
      <c r="C684" s="2">
        <v>4.5999999999999996</v>
      </c>
      <c r="D684" s="2">
        <v>6</v>
      </c>
      <c r="E684" s="2">
        <v>5.5</v>
      </c>
      <c r="F684" s="2">
        <v>5.5</v>
      </c>
      <c r="G684" s="2">
        <v>4.3</v>
      </c>
      <c r="H684" s="2">
        <f>AVERAGE(weather.tbl[[#This Row],[Estevan]:[Kipling]])</f>
        <v>5.2833333333333332</v>
      </c>
      <c r="I684" s="2">
        <f>_xlfn.STDEV.S(weather.tbl[[#This Row],[Estevan]:[Kipling]])</f>
        <v>0.67946057035465501</v>
      </c>
      <c r="J684" s="2">
        <f t="shared" si="10"/>
        <v>2.6119047619047615</v>
      </c>
      <c r="K684">
        <f>DAY(weather.tbl[[#This Row],[Date]])</f>
        <v>14</v>
      </c>
      <c r="L684">
        <f>MONTH(weather.tbl[[#This Row],[Date]])</f>
        <v>11</v>
      </c>
      <c r="M684">
        <f>YEAR(weather.tbl[[#This Row],[Date]])</f>
        <v>2015</v>
      </c>
    </row>
    <row r="685" spans="1:13" x14ac:dyDescent="0.25">
      <c r="A685" s="1">
        <v>42323</v>
      </c>
      <c r="B685" s="2">
        <v>5</v>
      </c>
      <c r="C685" s="2">
        <v>5.6</v>
      </c>
      <c r="D685" s="2">
        <v>5</v>
      </c>
      <c r="E685" s="2">
        <v>5</v>
      </c>
      <c r="F685" s="2">
        <v>6</v>
      </c>
      <c r="G685" s="2">
        <v>4.5</v>
      </c>
      <c r="H685" s="2">
        <f>AVERAGE(weather.tbl[[#This Row],[Estevan]:[Kipling]])</f>
        <v>5.1833333333333336</v>
      </c>
      <c r="I685" s="2">
        <f>_xlfn.STDEV.S(weather.tbl[[#This Row],[Estevan]:[Kipling]])</f>
        <v>0.53072277760302189</v>
      </c>
      <c r="J685" s="2">
        <f t="shared" si="10"/>
        <v>2.4523809523809521</v>
      </c>
      <c r="K685">
        <f>DAY(weather.tbl[[#This Row],[Date]])</f>
        <v>15</v>
      </c>
      <c r="L685">
        <f>MONTH(weather.tbl[[#This Row],[Date]])</f>
        <v>11</v>
      </c>
      <c r="M685">
        <f>YEAR(weather.tbl[[#This Row],[Date]])</f>
        <v>2015</v>
      </c>
    </row>
    <row r="686" spans="1:13" x14ac:dyDescent="0.25">
      <c r="A686" s="1">
        <v>42324</v>
      </c>
      <c r="B686" s="2">
        <v>2.2999999999999998</v>
      </c>
      <c r="C686" s="2">
        <v>0.8</v>
      </c>
      <c r="D686" s="2">
        <v>2.8</v>
      </c>
      <c r="E686" s="2">
        <v>0</v>
      </c>
      <c r="F686" s="2">
        <v>4.5999999999999996</v>
      </c>
      <c r="G686" s="2">
        <v>2.6</v>
      </c>
      <c r="H686" s="2">
        <f>AVERAGE(weather.tbl[[#This Row],[Estevan]:[Kipling]])</f>
        <v>2.1833333333333331</v>
      </c>
      <c r="I686" s="2">
        <f>_xlfn.STDEV.S(weather.tbl[[#This Row],[Estevan]:[Kipling]])</f>
        <v>1.6179204760020394</v>
      </c>
      <c r="J686" s="2">
        <f t="shared" si="10"/>
        <v>2.3095238095238098</v>
      </c>
      <c r="K686">
        <f>DAY(weather.tbl[[#This Row],[Date]])</f>
        <v>16</v>
      </c>
      <c r="L686">
        <f>MONTH(weather.tbl[[#This Row],[Date]])</f>
        <v>11</v>
      </c>
      <c r="M686">
        <f>YEAR(weather.tbl[[#This Row],[Date]])</f>
        <v>2015</v>
      </c>
    </row>
    <row r="687" spans="1:13" x14ac:dyDescent="0.25">
      <c r="A687" s="1">
        <v>42325</v>
      </c>
      <c r="B687" s="2">
        <v>-1.5</v>
      </c>
      <c r="C687" s="2">
        <v>-1.2</v>
      </c>
      <c r="D687" s="2">
        <v>-1</v>
      </c>
      <c r="E687" s="2">
        <v>2.5</v>
      </c>
      <c r="F687" s="2">
        <v>0.4</v>
      </c>
      <c r="G687" s="2">
        <v>-1.5</v>
      </c>
      <c r="H687" s="2">
        <f>AVERAGE(weather.tbl[[#This Row],[Estevan]:[Kipling]])</f>
        <v>-0.38333333333333336</v>
      </c>
      <c r="I687" s="2">
        <f>_xlfn.STDEV.S(weather.tbl[[#This Row],[Estevan]:[Kipling]])</f>
        <v>1.5791347841988241</v>
      </c>
      <c r="J687" s="2">
        <f t="shared" si="10"/>
        <v>2.0904761904761906</v>
      </c>
      <c r="K687">
        <f>DAY(weather.tbl[[#This Row],[Date]])</f>
        <v>17</v>
      </c>
      <c r="L687">
        <f>MONTH(weather.tbl[[#This Row],[Date]])</f>
        <v>11</v>
      </c>
      <c r="M687">
        <f>YEAR(weather.tbl[[#This Row],[Date]])</f>
        <v>2015</v>
      </c>
    </row>
    <row r="688" spans="1:13" x14ac:dyDescent="0.25">
      <c r="A688" s="1">
        <v>42326</v>
      </c>
      <c r="B688" s="2">
        <v>-1.6</v>
      </c>
      <c r="C688" s="2">
        <v>-1.5</v>
      </c>
      <c r="D688" s="2">
        <v>-3.3</v>
      </c>
      <c r="E688" s="2">
        <v>-2</v>
      </c>
      <c r="F688" s="2">
        <v>0.4</v>
      </c>
      <c r="G688" s="2">
        <v>-2.5</v>
      </c>
      <c r="H688" s="2">
        <f>AVERAGE(weather.tbl[[#This Row],[Estevan]:[Kipling]])</f>
        <v>-1.75</v>
      </c>
      <c r="I688" s="2">
        <f>_xlfn.STDEV.S(weather.tbl[[#This Row],[Estevan]:[Kipling]])</f>
        <v>1.2437845472588891</v>
      </c>
      <c r="J688" s="2">
        <f t="shared" si="10"/>
        <v>1.7095238095238094</v>
      </c>
      <c r="K688">
        <f>DAY(weather.tbl[[#This Row],[Date]])</f>
        <v>18</v>
      </c>
      <c r="L688">
        <f>MONTH(weather.tbl[[#This Row],[Date]])</f>
        <v>11</v>
      </c>
      <c r="M688">
        <f>YEAR(weather.tbl[[#This Row],[Date]])</f>
        <v>2015</v>
      </c>
    </row>
    <row r="689" spans="1:13" x14ac:dyDescent="0.25">
      <c r="A689" s="1">
        <v>42327</v>
      </c>
      <c r="B689" s="2">
        <v>-7</v>
      </c>
      <c r="C689" s="2">
        <v>-7.6</v>
      </c>
      <c r="D689" s="2">
        <v>-6.8</v>
      </c>
      <c r="E689" s="2">
        <v>-7</v>
      </c>
      <c r="F689" s="2">
        <v>-8.1999999999999993</v>
      </c>
      <c r="G689" s="2">
        <v>-10.4</v>
      </c>
      <c r="H689" s="2">
        <f>AVERAGE(weather.tbl[[#This Row],[Estevan]:[Kipling]])</f>
        <v>-7.8333333333333321</v>
      </c>
      <c r="I689" s="2">
        <f>_xlfn.STDEV.S(weather.tbl[[#This Row],[Estevan]:[Kipling]])</f>
        <v>1.35892114070931</v>
      </c>
      <c r="J689" s="2">
        <f t="shared" si="10"/>
        <v>0.57857142857142863</v>
      </c>
      <c r="K689">
        <f>DAY(weather.tbl[[#This Row],[Date]])</f>
        <v>19</v>
      </c>
      <c r="L689">
        <f>MONTH(weather.tbl[[#This Row],[Date]])</f>
        <v>11</v>
      </c>
      <c r="M689">
        <f>YEAR(weather.tbl[[#This Row],[Date]])</f>
        <v>2015</v>
      </c>
    </row>
    <row r="690" spans="1:13" x14ac:dyDescent="0.25">
      <c r="A690" s="1">
        <v>42328</v>
      </c>
      <c r="B690" s="2">
        <v>-9</v>
      </c>
      <c r="C690" s="2">
        <v>-9.6999999999999993</v>
      </c>
      <c r="D690" s="2">
        <v>-9.3000000000000007</v>
      </c>
      <c r="E690" s="2">
        <v>-8.5</v>
      </c>
      <c r="F690" s="2">
        <v>-9</v>
      </c>
      <c r="G690" s="2">
        <v>-11.3</v>
      </c>
      <c r="H690" s="2">
        <f>AVERAGE(weather.tbl[[#This Row],[Estevan]:[Kipling]])</f>
        <v>-9.4666666666666668</v>
      </c>
      <c r="I690" s="2">
        <f>_xlfn.STDEV.S(weather.tbl[[#This Row],[Estevan]:[Kipling]])</f>
        <v>0.98115578103921242</v>
      </c>
      <c r="J690" s="2">
        <f t="shared" si="10"/>
        <v>-0.96904761904761882</v>
      </c>
      <c r="K690">
        <f>DAY(weather.tbl[[#This Row],[Date]])</f>
        <v>20</v>
      </c>
      <c r="L690">
        <f>MONTH(weather.tbl[[#This Row],[Date]])</f>
        <v>11</v>
      </c>
      <c r="M690">
        <f>YEAR(weather.tbl[[#This Row],[Date]])</f>
        <v>2015</v>
      </c>
    </row>
    <row r="691" spans="1:13" x14ac:dyDescent="0.25">
      <c r="A691" s="1">
        <v>42329</v>
      </c>
      <c r="B691" s="2">
        <v>-7.7</v>
      </c>
      <c r="C691" s="2">
        <v>-6.3</v>
      </c>
      <c r="D691" s="2">
        <v>-7.5</v>
      </c>
      <c r="E691" s="2">
        <v>-5</v>
      </c>
      <c r="F691" s="2">
        <v>-6.9</v>
      </c>
      <c r="G691" s="2">
        <v>-8.4</v>
      </c>
      <c r="H691" s="2">
        <f>AVERAGE(weather.tbl[[#This Row],[Estevan]:[Kipling]])</f>
        <v>-6.9666666666666659</v>
      </c>
      <c r="I691" s="2">
        <f>_xlfn.STDEV.S(weather.tbl[[#This Row],[Estevan]:[Kipling]])</f>
        <v>1.1994443157840537</v>
      </c>
      <c r="J691" s="2">
        <f t="shared" si="10"/>
        <v>-2.7190476190476187</v>
      </c>
      <c r="K691">
        <f>DAY(weather.tbl[[#This Row],[Date]])</f>
        <v>21</v>
      </c>
      <c r="L691">
        <f>MONTH(weather.tbl[[#This Row],[Date]])</f>
        <v>11</v>
      </c>
      <c r="M691">
        <f>YEAR(weather.tbl[[#This Row],[Date]])</f>
        <v>2015</v>
      </c>
    </row>
    <row r="692" spans="1:13" x14ac:dyDescent="0.25">
      <c r="A692" s="1">
        <v>42330</v>
      </c>
      <c r="B692" s="2">
        <v>2</v>
      </c>
      <c r="C692" s="2">
        <v>2.7</v>
      </c>
      <c r="D692" s="2">
        <v>-1.5</v>
      </c>
      <c r="E692" s="2">
        <v>0.8</v>
      </c>
      <c r="F692" s="2">
        <v>-0.6</v>
      </c>
      <c r="G692" s="2">
        <v>-1.3</v>
      </c>
      <c r="H692" s="2">
        <f>AVERAGE(weather.tbl[[#This Row],[Estevan]:[Kipling]])</f>
        <v>0.34999999999999992</v>
      </c>
      <c r="I692" s="2">
        <f>_xlfn.STDEV.S(weather.tbl[[#This Row],[Estevan]:[Kipling]])</f>
        <v>1.760397682343396</v>
      </c>
      <c r="J692" s="2">
        <f t="shared" si="10"/>
        <v>-3.409523809523809</v>
      </c>
      <c r="K692">
        <f>DAY(weather.tbl[[#This Row],[Date]])</f>
        <v>22</v>
      </c>
      <c r="L692">
        <f>MONTH(weather.tbl[[#This Row],[Date]])</f>
        <v>11</v>
      </c>
      <c r="M692">
        <f>YEAR(weather.tbl[[#This Row],[Date]])</f>
        <v>2015</v>
      </c>
    </row>
    <row r="693" spans="1:13" x14ac:dyDescent="0.25">
      <c r="A693" s="1">
        <v>42331</v>
      </c>
      <c r="B693" s="2">
        <v>-2.6</v>
      </c>
      <c r="C693" s="2">
        <v>-3.3</v>
      </c>
      <c r="D693" s="2">
        <v>-2</v>
      </c>
      <c r="E693" s="2">
        <v>-2</v>
      </c>
      <c r="F693" s="2">
        <v>-0.1</v>
      </c>
      <c r="G693" s="2">
        <v>-1.9</v>
      </c>
      <c r="H693" s="2">
        <f>AVERAGE(weather.tbl[[#This Row],[Estevan]:[Kipling]])</f>
        <v>-1.9833333333333334</v>
      </c>
      <c r="I693" s="2">
        <f>_xlfn.STDEV.S(weather.tbl[[#This Row],[Estevan]:[Kipling]])</f>
        <v>1.0647378394077416</v>
      </c>
      <c r="J693" s="2">
        <f t="shared" si="10"/>
        <v>-4.0047619047619039</v>
      </c>
      <c r="K693">
        <f>DAY(weather.tbl[[#This Row],[Date]])</f>
        <v>23</v>
      </c>
      <c r="L693">
        <f>MONTH(weather.tbl[[#This Row],[Date]])</f>
        <v>11</v>
      </c>
      <c r="M693">
        <f>YEAR(weather.tbl[[#This Row],[Date]])</f>
        <v>2015</v>
      </c>
    </row>
    <row r="694" spans="1:13" x14ac:dyDescent="0.25">
      <c r="A694" s="1">
        <v>42332</v>
      </c>
      <c r="B694" s="2">
        <v>-1.5</v>
      </c>
      <c r="C694" s="2">
        <v>-0.7</v>
      </c>
      <c r="D694" s="2">
        <v>-2.5</v>
      </c>
      <c r="E694" s="2">
        <v>-1.5</v>
      </c>
      <c r="F694" s="2">
        <v>0</v>
      </c>
      <c r="G694" s="2">
        <v>-1.6</v>
      </c>
      <c r="H694" s="2">
        <f>AVERAGE(weather.tbl[[#This Row],[Estevan]:[Kipling]])</f>
        <v>-1.3</v>
      </c>
      <c r="I694" s="2">
        <f>_xlfn.STDEV.S(weather.tbl[[#This Row],[Estevan]:[Kipling]])</f>
        <v>0.85556998544829732</v>
      </c>
      <c r="J694" s="2">
        <f t="shared" si="10"/>
        <v>-4.1357142857142852</v>
      </c>
      <c r="K694">
        <f>DAY(weather.tbl[[#This Row],[Date]])</f>
        <v>24</v>
      </c>
      <c r="L694">
        <f>MONTH(weather.tbl[[#This Row],[Date]])</f>
        <v>11</v>
      </c>
      <c r="M694">
        <f>YEAR(weather.tbl[[#This Row],[Date]])</f>
        <v>2015</v>
      </c>
    </row>
    <row r="695" spans="1:13" x14ac:dyDescent="0.25">
      <c r="A695" s="1">
        <v>42333</v>
      </c>
      <c r="B695" s="2">
        <v>-8</v>
      </c>
      <c r="C695" s="2">
        <v>-7.8</v>
      </c>
      <c r="D695" s="2">
        <v>-7.8</v>
      </c>
      <c r="E695" s="2">
        <v>-9</v>
      </c>
      <c r="F695" s="2">
        <v>-9.6</v>
      </c>
      <c r="G695" s="2">
        <v>-9.3000000000000007</v>
      </c>
      <c r="H695" s="2">
        <f>AVERAGE(weather.tbl[[#This Row],[Estevan]:[Kipling]])</f>
        <v>-8.5833333333333339</v>
      </c>
      <c r="I695" s="2">
        <f>_xlfn.STDEV.S(weather.tbl[[#This Row],[Estevan]:[Kipling]])</f>
        <v>0.81096650156875583</v>
      </c>
      <c r="J695" s="2">
        <f t="shared" si="10"/>
        <v>-5.1119047619047615</v>
      </c>
      <c r="K695">
        <f>DAY(weather.tbl[[#This Row],[Date]])</f>
        <v>25</v>
      </c>
      <c r="L695">
        <f>MONTH(weather.tbl[[#This Row],[Date]])</f>
        <v>11</v>
      </c>
      <c r="M695">
        <f>YEAR(weather.tbl[[#This Row],[Date]])</f>
        <v>2015</v>
      </c>
    </row>
    <row r="696" spans="1:13" x14ac:dyDescent="0.25">
      <c r="A696" s="1">
        <v>42334</v>
      </c>
      <c r="B696" s="2">
        <v>-14.3</v>
      </c>
      <c r="C696" s="2">
        <v>-15.3</v>
      </c>
      <c r="D696" s="2">
        <v>-14</v>
      </c>
      <c r="E696" s="2">
        <v>-5.5</v>
      </c>
      <c r="F696" s="2">
        <v>-9.6</v>
      </c>
      <c r="G696" s="2">
        <v>-13.3</v>
      </c>
      <c r="H696" s="2">
        <f>AVERAGE(weather.tbl[[#This Row],[Estevan]:[Kipling]])</f>
        <v>-12</v>
      </c>
      <c r="I696" s="2">
        <f>_xlfn.STDEV.S(weather.tbl[[#This Row],[Estevan]:[Kipling]])</f>
        <v>3.7384488762052102</v>
      </c>
      <c r="J696" s="2">
        <f t="shared" si="10"/>
        <v>-5.7071428571428573</v>
      </c>
      <c r="K696">
        <f>DAY(weather.tbl[[#This Row],[Date]])</f>
        <v>26</v>
      </c>
      <c r="L696">
        <f>MONTH(weather.tbl[[#This Row],[Date]])</f>
        <v>11</v>
      </c>
      <c r="M696">
        <f>YEAR(weather.tbl[[#This Row],[Date]])</f>
        <v>2015</v>
      </c>
    </row>
    <row r="697" spans="1:13" x14ac:dyDescent="0.25">
      <c r="A697" s="1">
        <v>42335</v>
      </c>
      <c r="B697" s="2">
        <v>-10.7</v>
      </c>
      <c r="C697" s="2">
        <v>-10</v>
      </c>
      <c r="D697" s="2">
        <v>-10.3</v>
      </c>
      <c r="E697" s="2">
        <v>-9.8000000000000007</v>
      </c>
      <c r="F697" s="2">
        <v>-9.6999999999999993</v>
      </c>
      <c r="G697" s="2">
        <v>-9.1999999999999993</v>
      </c>
      <c r="H697" s="2">
        <f>AVERAGE(weather.tbl[[#This Row],[Estevan]:[Kipling]])</f>
        <v>-9.9500000000000011</v>
      </c>
      <c r="I697" s="2">
        <f>_xlfn.STDEV.S(weather.tbl[[#This Row],[Estevan]:[Kipling]])</f>
        <v>0.51672042731055268</v>
      </c>
      <c r="J697" s="2">
        <f t="shared" si="10"/>
        <v>-5.776190476190477</v>
      </c>
      <c r="K697">
        <f>DAY(weather.tbl[[#This Row],[Date]])</f>
        <v>27</v>
      </c>
      <c r="L697">
        <f>MONTH(weather.tbl[[#This Row],[Date]])</f>
        <v>11</v>
      </c>
      <c r="M697">
        <f>YEAR(weather.tbl[[#This Row],[Date]])</f>
        <v>2015</v>
      </c>
    </row>
    <row r="698" spans="1:13" x14ac:dyDescent="0.25">
      <c r="A698" s="1">
        <v>42336</v>
      </c>
      <c r="B698" s="2">
        <v>-7.1</v>
      </c>
      <c r="C698" s="2">
        <v>-7.1</v>
      </c>
      <c r="D698" s="2">
        <v>-6</v>
      </c>
      <c r="E698" s="2">
        <v>-7</v>
      </c>
      <c r="F698" s="2">
        <v>-6.4</v>
      </c>
      <c r="G698" s="2">
        <v>-6.5</v>
      </c>
      <c r="H698" s="2">
        <f>AVERAGE(weather.tbl[[#This Row],[Estevan]:[Kipling]])</f>
        <v>-6.6833333333333336</v>
      </c>
      <c r="I698" s="2">
        <f>_xlfn.STDEV.S(weather.tbl[[#This Row],[Estevan]:[Kipling]])</f>
        <v>0.45350486950711622</v>
      </c>
      <c r="J698" s="2">
        <f t="shared" si="10"/>
        <v>-5.7357142857142867</v>
      </c>
      <c r="K698">
        <f>DAY(weather.tbl[[#This Row],[Date]])</f>
        <v>28</v>
      </c>
      <c r="L698">
        <f>MONTH(weather.tbl[[#This Row],[Date]])</f>
        <v>11</v>
      </c>
      <c r="M698">
        <f>YEAR(weather.tbl[[#This Row],[Date]])</f>
        <v>2015</v>
      </c>
    </row>
    <row r="699" spans="1:13" x14ac:dyDescent="0.25">
      <c r="A699" s="1">
        <v>42337</v>
      </c>
      <c r="B699" s="2">
        <v>-8.5</v>
      </c>
      <c r="C699" s="2">
        <v>-6.7</v>
      </c>
      <c r="D699" s="2">
        <v>-8</v>
      </c>
      <c r="E699" s="2">
        <v>-5.5</v>
      </c>
      <c r="F699" s="2">
        <v>-7.9</v>
      </c>
      <c r="G699" s="2">
        <v>-4.4000000000000004</v>
      </c>
      <c r="H699" s="2">
        <f>AVERAGE(weather.tbl[[#This Row],[Estevan]:[Kipling]])</f>
        <v>-6.833333333333333</v>
      </c>
      <c r="I699" s="2">
        <f>_xlfn.STDEV.S(weather.tbl[[#This Row],[Estevan]:[Kipling]])</f>
        <v>1.6120380475245204</v>
      </c>
      <c r="J699" s="2">
        <f t="shared" si="10"/>
        <v>-6.7619047619047619</v>
      </c>
      <c r="K699">
        <f>DAY(weather.tbl[[#This Row],[Date]])</f>
        <v>29</v>
      </c>
      <c r="L699">
        <f>MONTH(weather.tbl[[#This Row],[Date]])</f>
        <v>11</v>
      </c>
      <c r="M699">
        <f>YEAR(weather.tbl[[#This Row],[Date]])</f>
        <v>2015</v>
      </c>
    </row>
    <row r="700" spans="1:13" x14ac:dyDescent="0.25">
      <c r="A700" s="1">
        <v>42338</v>
      </c>
      <c r="B700" s="2">
        <v>-8.3000000000000007</v>
      </c>
      <c r="C700" s="2">
        <v>-6.8</v>
      </c>
      <c r="D700" s="2">
        <v>-7.8</v>
      </c>
      <c r="E700" s="2">
        <v>-6.3</v>
      </c>
      <c r="F700" s="2">
        <v>-8.1999999999999993</v>
      </c>
      <c r="G700" s="2">
        <v>-5.0999999999999996</v>
      </c>
      <c r="H700" s="2">
        <f>AVERAGE(weather.tbl[[#This Row],[Estevan]:[Kipling]])</f>
        <v>-7.0833333333333348</v>
      </c>
      <c r="I700" s="2">
        <f>_xlfn.STDEV.S(weather.tbl[[#This Row],[Estevan]:[Kipling]])</f>
        <v>1.2544587146122561</v>
      </c>
      <c r="J700" s="2">
        <f t="shared" si="10"/>
        <v>-7.4904761904761914</v>
      </c>
      <c r="K700">
        <f>DAY(weather.tbl[[#This Row],[Date]])</f>
        <v>30</v>
      </c>
      <c r="L700">
        <f>MONTH(weather.tbl[[#This Row],[Date]])</f>
        <v>11</v>
      </c>
      <c r="M700">
        <f>YEAR(weather.tbl[[#This Row],[Date]])</f>
        <v>2015</v>
      </c>
    </row>
    <row r="701" spans="1:13" x14ac:dyDescent="0.25">
      <c r="A701" s="1">
        <v>42339</v>
      </c>
      <c r="B701" s="2">
        <v>-6.2</v>
      </c>
      <c r="C701" s="2">
        <v>-6.7</v>
      </c>
      <c r="D701" s="2">
        <v>-5.5</v>
      </c>
      <c r="E701" s="2">
        <v>-5.5</v>
      </c>
      <c r="F701" s="2">
        <v>-5.3</v>
      </c>
      <c r="G701" s="2">
        <v>-3.6</v>
      </c>
      <c r="H701" s="2">
        <f>AVERAGE(weather.tbl[[#This Row],[Estevan]:[Kipling]])</f>
        <v>-5.4666666666666659</v>
      </c>
      <c r="I701" s="2">
        <f>_xlfn.STDEV.S(weather.tbl[[#This Row],[Estevan]:[Kipling]])</f>
        <v>1.0557777543908926</v>
      </c>
      <c r="J701" s="2">
        <f t="shared" si="10"/>
        <v>-8.0857142857142872</v>
      </c>
      <c r="K701">
        <f>DAY(weather.tbl[[#This Row],[Date]])</f>
        <v>1</v>
      </c>
      <c r="L701">
        <f>MONTH(weather.tbl[[#This Row],[Date]])</f>
        <v>12</v>
      </c>
      <c r="M701">
        <f>YEAR(weather.tbl[[#This Row],[Date]])</f>
        <v>2015</v>
      </c>
    </row>
    <row r="702" spans="1:13" x14ac:dyDescent="0.25">
      <c r="A702" s="1">
        <v>42340</v>
      </c>
      <c r="B702" s="2">
        <v>-5.0999999999999996</v>
      </c>
      <c r="C702" s="2">
        <v>-4.7</v>
      </c>
      <c r="D702" s="2">
        <v>-4.3</v>
      </c>
      <c r="E702" s="2">
        <v>-2</v>
      </c>
      <c r="F702" s="2">
        <v>-4.8</v>
      </c>
      <c r="G702" s="2">
        <v>-3.2</v>
      </c>
      <c r="H702" s="2">
        <f>AVERAGE(weather.tbl[[#This Row],[Estevan]:[Kipling]])</f>
        <v>-4.0166666666666666</v>
      </c>
      <c r="I702" s="2">
        <f>_xlfn.STDEV.S(weather.tbl[[#This Row],[Estevan]:[Kipling]])</f>
        <v>1.1889771514485321</v>
      </c>
      <c r="J702" s="2">
        <f t="shared" si="10"/>
        <v>-7.4333333333333345</v>
      </c>
      <c r="K702">
        <f>DAY(weather.tbl[[#This Row],[Date]])</f>
        <v>2</v>
      </c>
      <c r="L702">
        <f>MONTH(weather.tbl[[#This Row],[Date]])</f>
        <v>12</v>
      </c>
      <c r="M702">
        <f>YEAR(weather.tbl[[#This Row],[Date]])</f>
        <v>2015</v>
      </c>
    </row>
    <row r="703" spans="1:13" x14ac:dyDescent="0.25">
      <c r="A703" s="1">
        <v>42341</v>
      </c>
      <c r="B703" s="2">
        <v>-1.1000000000000001</v>
      </c>
      <c r="C703" s="2">
        <v>0.4</v>
      </c>
      <c r="D703" s="2">
        <v>0.8</v>
      </c>
      <c r="E703" s="2">
        <v>2.2999999999999998</v>
      </c>
      <c r="F703" s="2">
        <v>1.4</v>
      </c>
      <c r="G703" s="2">
        <v>0.4</v>
      </c>
      <c r="H703" s="2">
        <f>AVERAGE(weather.tbl[[#This Row],[Estevan]:[Kipling]])</f>
        <v>0.70000000000000007</v>
      </c>
      <c r="I703" s="2">
        <f>_xlfn.STDEV.S(weather.tbl[[#This Row],[Estevan]:[Kipling]])</f>
        <v>1.1384199576606164</v>
      </c>
      <c r="J703" s="2">
        <f t="shared" si="10"/>
        <v>-5.6190476190476186</v>
      </c>
      <c r="K703">
        <f>DAY(weather.tbl[[#This Row],[Date]])</f>
        <v>3</v>
      </c>
      <c r="L703">
        <f>MONTH(weather.tbl[[#This Row],[Date]])</f>
        <v>12</v>
      </c>
      <c r="M703">
        <f>YEAR(weather.tbl[[#This Row],[Date]])</f>
        <v>2015</v>
      </c>
    </row>
    <row r="704" spans="1:13" x14ac:dyDescent="0.25">
      <c r="A704" s="1">
        <v>42342</v>
      </c>
      <c r="B704" s="2">
        <v>2.1</v>
      </c>
      <c r="C704" s="2">
        <v>2.2000000000000002</v>
      </c>
      <c r="D704" s="2">
        <v>0.5</v>
      </c>
      <c r="E704" s="2">
        <v>1.3</v>
      </c>
      <c r="F704" s="2">
        <v>3.9</v>
      </c>
      <c r="G704" s="2">
        <v>4.2</v>
      </c>
      <c r="H704" s="2">
        <f>AVERAGE(weather.tbl[[#This Row],[Estevan]:[Kipling]])</f>
        <v>2.3666666666666667</v>
      </c>
      <c r="I704" s="2">
        <f>_xlfn.STDEV.S(weather.tbl[[#This Row],[Estevan]:[Kipling]])</f>
        <v>1.4445299120013637</v>
      </c>
      <c r="J704" s="2">
        <f t="shared" si="10"/>
        <v>-3.8595238095238096</v>
      </c>
      <c r="K704">
        <f>DAY(weather.tbl[[#This Row],[Date]])</f>
        <v>4</v>
      </c>
      <c r="L704">
        <f>MONTH(weather.tbl[[#This Row],[Date]])</f>
        <v>12</v>
      </c>
      <c r="M704">
        <f>YEAR(weather.tbl[[#This Row],[Date]])</f>
        <v>2015</v>
      </c>
    </row>
    <row r="705" spans="1:13" x14ac:dyDescent="0.25">
      <c r="A705" s="1">
        <v>42343</v>
      </c>
      <c r="B705" s="2">
        <v>0.7</v>
      </c>
      <c r="C705" s="2">
        <v>-0.1</v>
      </c>
      <c r="D705" s="2">
        <v>1.8</v>
      </c>
      <c r="E705" s="2">
        <v>1</v>
      </c>
      <c r="F705" s="2">
        <v>1.5</v>
      </c>
      <c r="G705" s="2">
        <v>0.5</v>
      </c>
      <c r="H705" s="2">
        <f>AVERAGE(weather.tbl[[#This Row],[Estevan]:[Kipling]])</f>
        <v>0.9</v>
      </c>
      <c r="I705" s="2">
        <f>_xlfn.STDEV.S(weather.tbl[[#This Row],[Estevan]:[Kipling]])</f>
        <v>0.68992753242641358</v>
      </c>
      <c r="J705" s="2">
        <f t="shared" si="10"/>
        <v>-2.7761904761904761</v>
      </c>
      <c r="K705">
        <f>DAY(weather.tbl[[#This Row],[Date]])</f>
        <v>5</v>
      </c>
      <c r="L705">
        <f>MONTH(weather.tbl[[#This Row],[Date]])</f>
        <v>12</v>
      </c>
      <c r="M705">
        <f>YEAR(weather.tbl[[#This Row],[Date]])</f>
        <v>2015</v>
      </c>
    </row>
    <row r="706" spans="1:13" x14ac:dyDescent="0.25">
      <c r="A706" s="1">
        <v>42344</v>
      </c>
      <c r="B706" s="2">
        <v>0.9</v>
      </c>
      <c r="C706" s="2">
        <v>0.4</v>
      </c>
      <c r="D706" s="2">
        <v>-1</v>
      </c>
      <c r="E706" s="2">
        <v>1</v>
      </c>
      <c r="F706" s="2">
        <v>1.8</v>
      </c>
      <c r="G706" s="2">
        <v>0</v>
      </c>
      <c r="H706" s="2">
        <f>AVERAGE(weather.tbl[[#This Row],[Estevan]:[Kipling]])</f>
        <v>0.51666666666666672</v>
      </c>
      <c r="I706" s="2">
        <f>_xlfn.STDEV.S(weather.tbl[[#This Row],[Estevan]:[Kipling]])</f>
        <v>0.96003472159431136</v>
      </c>
      <c r="J706" s="2">
        <f t="shared" si="10"/>
        <v>-1.7261904761904761</v>
      </c>
      <c r="K706">
        <f>DAY(weather.tbl[[#This Row],[Date]])</f>
        <v>6</v>
      </c>
      <c r="L706">
        <f>MONTH(weather.tbl[[#This Row],[Date]])</f>
        <v>12</v>
      </c>
      <c r="M706">
        <f>YEAR(weather.tbl[[#This Row],[Date]])</f>
        <v>2015</v>
      </c>
    </row>
    <row r="707" spans="1:13" x14ac:dyDescent="0.25">
      <c r="A707" s="1">
        <v>42345</v>
      </c>
      <c r="B707" s="2">
        <v>3.9</v>
      </c>
      <c r="C707" s="2">
        <v>5.5</v>
      </c>
      <c r="D707" s="2">
        <v>3.3</v>
      </c>
      <c r="E707" s="2">
        <v>6.5</v>
      </c>
      <c r="F707" s="2">
        <v>3.2</v>
      </c>
      <c r="G707" s="2">
        <v>2.8</v>
      </c>
      <c r="H707" s="2">
        <f>AVERAGE(weather.tbl[[#This Row],[Estevan]:[Kipling]])</f>
        <v>4.2</v>
      </c>
      <c r="I707" s="2">
        <f>_xlfn.STDEV.S(weather.tbl[[#This Row],[Estevan]:[Kipling]])</f>
        <v>1.4724129855444781</v>
      </c>
      <c r="J707" s="2">
        <f t="shared" si="10"/>
        <v>-0.11428571428571413</v>
      </c>
      <c r="K707">
        <f>DAY(weather.tbl[[#This Row],[Date]])</f>
        <v>7</v>
      </c>
      <c r="L707">
        <f>MONTH(weather.tbl[[#This Row],[Date]])</f>
        <v>12</v>
      </c>
      <c r="M707">
        <f>YEAR(weather.tbl[[#This Row],[Date]])</f>
        <v>2015</v>
      </c>
    </row>
    <row r="708" spans="1:13" x14ac:dyDescent="0.25">
      <c r="A708" s="1">
        <v>42346</v>
      </c>
      <c r="B708" s="2">
        <v>2.6</v>
      </c>
      <c r="C708" s="2">
        <v>2.8</v>
      </c>
      <c r="D708" s="2">
        <v>1</v>
      </c>
      <c r="E708" s="2">
        <v>2.8</v>
      </c>
      <c r="F708" s="2">
        <v>1.7</v>
      </c>
      <c r="G708" s="2">
        <v>1.1000000000000001</v>
      </c>
      <c r="H708" s="2">
        <f>AVERAGE(weather.tbl[[#This Row],[Estevan]:[Kipling]])</f>
        <v>1.9999999999999998</v>
      </c>
      <c r="I708" s="2">
        <f>_xlfn.STDEV.S(weather.tbl[[#This Row],[Estevan]:[Kipling]])</f>
        <v>0.84142735871850638</v>
      </c>
      <c r="J708" s="2">
        <f t="shared" si="10"/>
        <v>0.95238095238095244</v>
      </c>
      <c r="K708">
        <f>DAY(weather.tbl[[#This Row],[Date]])</f>
        <v>8</v>
      </c>
      <c r="L708">
        <f>MONTH(weather.tbl[[#This Row],[Date]])</f>
        <v>12</v>
      </c>
      <c r="M708">
        <f>YEAR(weather.tbl[[#This Row],[Date]])</f>
        <v>2015</v>
      </c>
    </row>
    <row r="709" spans="1:13" x14ac:dyDescent="0.25">
      <c r="A709" s="1">
        <v>42347</v>
      </c>
      <c r="B709" s="2">
        <v>6.5</v>
      </c>
      <c r="C709" s="2">
        <v>4.4000000000000004</v>
      </c>
      <c r="D709" s="2">
        <v>3.8</v>
      </c>
      <c r="E709" s="2">
        <v>3.5</v>
      </c>
      <c r="F709" s="2">
        <v>4.7</v>
      </c>
      <c r="G709" s="2">
        <v>4</v>
      </c>
      <c r="H709" s="2">
        <f>AVERAGE(weather.tbl[[#This Row],[Estevan]:[Kipling]])</f>
        <v>4.4833333333333334</v>
      </c>
      <c r="I709" s="2">
        <f>_xlfn.STDEV.S(weather.tbl[[#This Row],[Estevan]:[Kipling]])</f>
        <v>1.0759491933482135</v>
      </c>
      <c r="J709" s="2">
        <f t="shared" si="10"/>
        <v>2.166666666666667</v>
      </c>
      <c r="K709">
        <f>DAY(weather.tbl[[#This Row],[Date]])</f>
        <v>9</v>
      </c>
      <c r="L709">
        <f>MONTH(weather.tbl[[#This Row],[Date]])</f>
        <v>12</v>
      </c>
      <c r="M709">
        <f>YEAR(weather.tbl[[#This Row],[Date]])</f>
        <v>2015</v>
      </c>
    </row>
    <row r="710" spans="1:13" x14ac:dyDescent="0.25">
      <c r="A710" s="1">
        <v>42348</v>
      </c>
      <c r="B710" s="2">
        <v>-0.2</v>
      </c>
      <c r="C710" s="2">
        <v>-0.6</v>
      </c>
      <c r="D710" s="2">
        <v>3.8</v>
      </c>
      <c r="E710" s="2">
        <v>-1.5</v>
      </c>
      <c r="F710" s="2">
        <v>-1.9</v>
      </c>
      <c r="G710" s="2">
        <v>-4.0999999999999996</v>
      </c>
      <c r="H710" s="2">
        <f>AVERAGE(weather.tbl[[#This Row],[Estevan]:[Kipling]])</f>
        <v>-0.75</v>
      </c>
      <c r="I710" s="2">
        <f>_xlfn.STDEV.S(weather.tbl[[#This Row],[Estevan]:[Kipling]])</f>
        <v>2.6128528469854553</v>
      </c>
      <c r="J710" s="2">
        <f t="shared" si="10"/>
        <v>1.9595238095238092</v>
      </c>
      <c r="K710">
        <f>DAY(weather.tbl[[#This Row],[Date]])</f>
        <v>10</v>
      </c>
      <c r="L710">
        <f>MONTH(weather.tbl[[#This Row],[Date]])</f>
        <v>12</v>
      </c>
      <c r="M710">
        <f>YEAR(weather.tbl[[#This Row],[Date]])</f>
        <v>2015</v>
      </c>
    </row>
    <row r="711" spans="1:13" x14ac:dyDescent="0.25">
      <c r="A711" s="1">
        <v>42349</v>
      </c>
      <c r="B711" s="2">
        <v>-5.7</v>
      </c>
      <c r="C711" s="2">
        <v>-5.2</v>
      </c>
      <c r="D711" s="2">
        <v>3.8</v>
      </c>
      <c r="E711" s="2">
        <v>-4</v>
      </c>
      <c r="F711" s="2">
        <v>-5.3</v>
      </c>
      <c r="G711" s="2">
        <v>-6.7</v>
      </c>
      <c r="H711" s="2">
        <f>AVERAGE(weather.tbl[[#This Row],[Estevan]:[Kipling]])</f>
        <v>-3.85</v>
      </c>
      <c r="I711" s="2">
        <f>_xlfn.STDEV.S(weather.tbl[[#This Row],[Estevan]:[Kipling]])</f>
        <v>3.8474666990111817</v>
      </c>
      <c r="J711" s="2">
        <f t="shared" si="10"/>
        <v>1.0714285714285716</v>
      </c>
      <c r="K711">
        <f>DAY(weather.tbl[[#This Row],[Date]])</f>
        <v>11</v>
      </c>
      <c r="L711">
        <f>MONTH(weather.tbl[[#This Row],[Date]])</f>
        <v>12</v>
      </c>
      <c r="M711">
        <f>YEAR(weather.tbl[[#This Row],[Date]])</f>
        <v>2015</v>
      </c>
    </row>
    <row r="712" spans="1:13" x14ac:dyDescent="0.25">
      <c r="A712" s="1">
        <v>42350</v>
      </c>
      <c r="B712" s="2">
        <v>-5.3</v>
      </c>
      <c r="C712" s="2">
        <v>-5.4</v>
      </c>
      <c r="D712" s="2">
        <v>-5</v>
      </c>
      <c r="E712" s="2">
        <v>-5</v>
      </c>
      <c r="F712" s="2">
        <v>-8.6999999999999993</v>
      </c>
      <c r="G712" s="2">
        <v>-6.3</v>
      </c>
      <c r="H712" s="2">
        <f>AVERAGE(weather.tbl[[#This Row],[Estevan]:[Kipling]])</f>
        <v>-5.9499999999999993</v>
      </c>
      <c r="I712" s="2">
        <f>_xlfn.STDEV.S(weather.tbl[[#This Row],[Estevan]:[Kipling]])</f>
        <v>1.4293355099485936</v>
      </c>
      <c r="J712" s="2">
        <f t="shared" si="10"/>
        <v>9.2857142857142902E-2</v>
      </c>
      <c r="K712">
        <f>DAY(weather.tbl[[#This Row],[Date]])</f>
        <v>12</v>
      </c>
      <c r="L712">
        <f>MONTH(weather.tbl[[#This Row],[Date]])</f>
        <v>12</v>
      </c>
      <c r="M712">
        <f>YEAR(weather.tbl[[#This Row],[Date]])</f>
        <v>2015</v>
      </c>
    </row>
    <row r="713" spans="1:13" x14ac:dyDescent="0.25">
      <c r="A713" s="1">
        <v>42351</v>
      </c>
      <c r="B713" s="2">
        <v>-1.4</v>
      </c>
      <c r="C713" s="2">
        <v>-2</v>
      </c>
      <c r="D713" s="2">
        <v>-3</v>
      </c>
      <c r="E713" s="2">
        <v>-2</v>
      </c>
      <c r="F713" s="2">
        <v>-4.5999999999999996</v>
      </c>
      <c r="G713" s="2">
        <v>-2.1</v>
      </c>
      <c r="H713" s="2">
        <f>AVERAGE(weather.tbl[[#This Row],[Estevan]:[Kipling]])</f>
        <v>-2.5166666666666666</v>
      </c>
      <c r="I713" s="2">
        <f>_xlfn.STDEV.S(weather.tbl[[#This Row],[Estevan]:[Kipling]])</f>
        <v>1.1426577206962141</v>
      </c>
      <c r="J713" s="2">
        <f t="shared" si="10"/>
        <v>-0.34047619047619027</v>
      </c>
      <c r="K713">
        <f>DAY(weather.tbl[[#This Row],[Date]])</f>
        <v>13</v>
      </c>
      <c r="L713">
        <f>MONTH(weather.tbl[[#This Row],[Date]])</f>
        <v>12</v>
      </c>
      <c r="M713">
        <f>YEAR(weather.tbl[[#This Row],[Date]])</f>
        <v>2015</v>
      </c>
    </row>
    <row r="714" spans="1:13" x14ac:dyDescent="0.25">
      <c r="A714" s="1">
        <v>42352</v>
      </c>
      <c r="B714" s="2">
        <v>-5.3</v>
      </c>
      <c r="C714" s="2">
        <v>-4.4000000000000004</v>
      </c>
      <c r="D714" s="2">
        <v>-7.8</v>
      </c>
      <c r="E714" s="2">
        <v>-3.8</v>
      </c>
      <c r="F714" s="2">
        <v>-6.8</v>
      </c>
      <c r="G714" s="2">
        <v>-7.7</v>
      </c>
      <c r="H714" s="2">
        <f>AVERAGE(weather.tbl[[#This Row],[Estevan]:[Kipling]])</f>
        <v>-5.9666666666666677</v>
      </c>
      <c r="I714" s="2">
        <f>_xlfn.STDEV.S(weather.tbl[[#This Row],[Estevan]:[Kipling]])</f>
        <v>1.7119190011991383</v>
      </c>
      <c r="J714" s="2">
        <f t="shared" ref="J714:J777" si="11">AVERAGE(H708:H714)</f>
        <v>-1.7928571428571429</v>
      </c>
      <c r="K714">
        <f>DAY(weather.tbl[[#This Row],[Date]])</f>
        <v>14</v>
      </c>
      <c r="L714">
        <f>MONTH(weather.tbl[[#This Row],[Date]])</f>
        <v>12</v>
      </c>
      <c r="M714">
        <f>YEAR(weather.tbl[[#This Row],[Date]])</f>
        <v>2015</v>
      </c>
    </row>
    <row r="715" spans="1:13" x14ac:dyDescent="0.25">
      <c r="A715" s="1">
        <v>42353</v>
      </c>
      <c r="B715" s="2">
        <v>-4.3</v>
      </c>
      <c r="C715" s="2">
        <v>-4</v>
      </c>
      <c r="D715" s="2">
        <v>-6</v>
      </c>
      <c r="E715" s="2">
        <v>-4.5</v>
      </c>
      <c r="F715" s="2">
        <v>-6.2</v>
      </c>
      <c r="G715" s="2">
        <v>-5.6</v>
      </c>
      <c r="H715" s="2">
        <f>AVERAGE(weather.tbl[[#This Row],[Estevan]:[Kipling]])</f>
        <v>-5.1000000000000005</v>
      </c>
      <c r="I715" s="2">
        <f>_xlfn.STDEV.S(weather.tbl[[#This Row],[Estevan]:[Kipling]])</f>
        <v>0.94657276529593448</v>
      </c>
      <c r="J715" s="2">
        <f t="shared" si="11"/>
        <v>-2.8071428571428574</v>
      </c>
      <c r="K715">
        <f>DAY(weather.tbl[[#This Row],[Date]])</f>
        <v>15</v>
      </c>
      <c r="L715">
        <f>MONTH(weather.tbl[[#This Row],[Date]])</f>
        <v>12</v>
      </c>
      <c r="M715">
        <f>YEAR(weather.tbl[[#This Row],[Date]])</f>
        <v>2015</v>
      </c>
    </row>
    <row r="716" spans="1:13" x14ac:dyDescent="0.25">
      <c r="A716" s="1">
        <v>42354</v>
      </c>
      <c r="B716" s="2">
        <v>-6.6</v>
      </c>
      <c r="C716" s="2">
        <v>-7</v>
      </c>
      <c r="D716" s="2">
        <v>-5.5</v>
      </c>
      <c r="E716" s="2">
        <v>-5.9</v>
      </c>
      <c r="F716" s="2">
        <v>-5.0999999999999996</v>
      </c>
      <c r="G716" s="2">
        <v>-6.1</v>
      </c>
      <c r="H716" s="2">
        <f>AVERAGE(weather.tbl[[#This Row],[Estevan]:[Kipling]])</f>
        <v>-6.0333333333333341</v>
      </c>
      <c r="I716" s="2">
        <f>_xlfn.STDEV.S(weather.tbl[[#This Row],[Estevan]:[Kipling]])</f>
        <v>0.69761498454853332</v>
      </c>
      <c r="J716" s="2">
        <f t="shared" si="11"/>
        <v>-4.3095238095238102</v>
      </c>
      <c r="K716">
        <f>DAY(weather.tbl[[#This Row],[Date]])</f>
        <v>16</v>
      </c>
      <c r="L716">
        <f>MONTH(weather.tbl[[#This Row],[Date]])</f>
        <v>12</v>
      </c>
      <c r="M716">
        <f>YEAR(weather.tbl[[#This Row],[Date]])</f>
        <v>2015</v>
      </c>
    </row>
    <row r="717" spans="1:13" x14ac:dyDescent="0.25">
      <c r="A717" s="1">
        <v>42355</v>
      </c>
      <c r="B717" s="2">
        <v>-11.3</v>
      </c>
      <c r="C717" s="2">
        <v>-12.1</v>
      </c>
      <c r="D717" s="2">
        <v>-11.5</v>
      </c>
      <c r="E717" s="2">
        <v>-12</v>
      </c>
      <c r="F717" s="2">
        <v>-9.1999999999999993</v>
      </c>
      <c r="G717" s="2">
        <v>-13.1</v>
      </c>
      <c r="H717" s="2">
        <f>AVERAGE(weather.tbl[[#This Row],[Estevan]:[Kipling]])</f>
        <v>-11.533333333333331</v>
      </c>
      <c r="I717" s="2">
        <f>_xlfn.STDEV.S(weather.tbl[[#This Row],[Estevan]:[Kipling]])</f>
        <v>1.3033290707517857</v>
      </c>
      <c r="J717" s="2">
        <f t="shared" si="11"/>
        <v>-5.8500000000000005</v>
      </c>
      <c r="K717">
        <f>DAY(weather.tbl[[#This Row],[Date]])</f>
        <v>17</v>
      </c>
      <c r="L717">
        <f>MONTH(weather.tbl[[#This Row],[Date]])</f>
        <v>12</v>
      </c>
      <c r="M717">
        <f>YEAR(weather.tbl[[#This Row],[Date]])</f>
        <v>2015</v>
      </c>
    </row>
    <row r="718" spans="1:13" x14ac:dyDescent="0.25">
      <c r="A718" s="1">
        <v>42356</v>
      </c>
      <c r="B718" s="2">
        <v>-15.5</v>
      </c>
      <c r="C718" s="2">
        <v>-15.4</v>
      </c>
      <c r="D718" s="2">
        <v>-14</v>
      </c>
      <c r="E718" s="2">
        <v>-13.3</v>
      </c>
      <c r="F718" s="2">
        <v>-15.2</v>
      </c>
      <c r="G718" s="2">
        <v>-15.4</v>
      </c>
      <c r="H718" s="2">
        <f>AVERAGE(weather.tbl[[#This Row],[Estevan]:[Kipling]])</f>
        <v>-14.800000000000002</v>
      </c>
      <c r="I718" s="2">
        <f>_xlfn.STDEV.S(weather.tbl[[#This Row],[Estevan]:[Kipling]])</f>
        <v>0.9230384607371459</v>
      </c>
      <c r="J718" s="2">
        <f t="shared" si="11"/>
        <v>-7.4142857142857155</v>
      </c>
      <c r="K718">
        <f>DAY(weather.tbl[[#This Row],[Date]])</f>
        <v>18</v>
      </c>
      <c r="L718">
        <f>MONTH(weather.tbl[[#This Row],[Date]])</f>
        <v>12</v>
      </c>
      <c r="M718">
        <f>YEAR(weather.tbl[[#This Row],[Date]])</f>
        <v>2015</v>
      </c>
    </row>
    <row r="719" spans="1:13" x14ac:dyDescent="0.25">
      <c r="A719" s="1">
        <v>42357</v>
      </c>
      <c r="B719" s="2">
        <v>-10.3</v>
      </c>
      <c r="C719" s="2">
        <v>-10.1</v>
      </c>
      <c r="D719" s="2">
        <v>-14.5</v>
      </c>
      <c r="E719" s="2">
        <v>-11</v>
      </c>
      <c r="F719" s="2">
        <v>-13.4</v>
      </c>
      <c r="G719" s="2">
        <v>-13.9</v>
      </c>
      <c r="H719" s="2">
        <f>AVERAGE(weather.tbl[[#This Row],[Estevan]:[Kipling]])</f>
        <v>-12.200000000000001</v>
      </c>
      <c r="I719" s="2">
        <f>_xlfn.STDEV.S(weather.tbl[[#This Row],[Estevan]:[Kipling]])</f>
        <v>1.9534584715319669</v>
      </c>
      <c r="J719" s="2">
        <f t="shared" si="11"/>
        <v>-8.3071428571428587</v>
      </c>
      <c r="K719">
        <f>DAY(weather.tbl[[#This Row],[Date]])</f>
        <v>19</v>
      </c>
      <c r="L719">
        <f>MONTH(weather.tbl[[#This Row],[Date]])</f>
        <v>12</v>
      </c>
      <c r="M719">
        <f>YEAR(weather.tbl[[#This Row],[Date]])</f>
        <v>2015</v>
      </c>
    </row>
    <row r="720" spans="1:13" x14ac:dyDescent="0.25">
      <c r="A720" s="1">
        <v>42358</v>
      </c>
      <c r="B720" s="2">
        <v>-8.8000000000000007</v>
      </c>
      <c r="C720" s="2">
        <v>-9.6</v>
      </c>
      <c r="D720" s="2">
        <v>-8.5</v>
      </c>
      <c r="E720" s="2">
        <v>-8.8000000000000007</v>
      </c>
      <c r="F720" s="2">
        <v>-9.8000000000000007</v>
      </c>
      <c r="G720" s="2">
        <v>-7.2</v>
      </c>
      <c r="H720" s="2">
        <f>AVERAGE(weather.tbl[[#This Row],[Estevan]:[Kipling]])</f>
        <v>-8.7833333333333332</v>
      </c>
      <c r="I720" s="2">
        <f>_xlfn.STDEV.S(weather.tbl[[#This Row],[Estevan]:[Kipling]])</f>
        <v>0.92610294604145749</v>
      </c>
      <c r="J720" s="2">
        <f t="shared" si="11"/>
        <v>-9.2023809523809526</v>
      </c>
      <c r="K720">
        <f>DAY(weather.tbl[[#This Row],[Date]])</f>
        <v>20</v>
      </c>
      <c r="L720">
        <f>MONTH(weather.tbl[[#This Row],[Date]])</f>
        <v>12</v>
      </c>
      <c r="M720">
        <f>YEAR(weather.tbl[[#This Row],[Date]])</f>
        <v>2015</v>
      </c>
    </row>
    <row r="721" spans="1:13" x14ac:dyDescent="0.25">
      <c r="A721" s="1">
        <v>42359</v>
      </c>
      <c r="B721" s="2">
        <v>-4.4000000000000004</v>
      </c>
      <c r="C721" s="2">
        <v>-8.9</v>
      </c>
      <c r="D721" s="2">
        <v>-5.8</v>
      </c>
      <c r="E721" s="2">
        <v>-5.3</v>
      </c>
      <c r="F721" s="2">
        <v>-8.6999999999999993</v>
      </c>
      <c r="G721" s="2">
        <v>-6.9</v>
      </c>
      <c r="H721" s="2">
        <f>AVERAGE(weather.tbl[[#This Row],[Estevan]:[Kipling]])</f>
        <v>-6.666666666666667</v>
      </c>
      <c r="I721" s="2">
        <f>_xlfn.STDEV.S(weather.tbl[[#This Row],[Estevan]:[Kipling]])</f>
        <v>1.8402898322456351</v>
      </c>
      <c r="J721" s="2">
        <f t="shared" si="11"/>
        <v>-9.302380952380954</v>
      </c>
      <c r="K721">
        <f>DAY(weather.tbl[[#This Row],[Date]])</f>
        <v>21</v>
      </c>
      <c r="L721">
        <f>MONTH(weather.tbl[[#This Row],[Date]])</f>
        <v>12</v>
      </c>
      <c r="M721">
        <f>YEAR(weather.tbl[[#This Row],[Date]])</f>
        <v>2015</v>
      </c>
    </row>
    <row r="722" spans="1:13" x14ac:dyDescent="0.25">
      <c r="A722" s="1">
        <v>42360</v>
      </c>
      <c r="B722" s="2">
        <v>-7</v>
      </c>
      <c r="C722" s="2">
        <v>-9.9</v>
      </c>
      <c r="D722" s="2">
        <v>-5.8</v>
      </c>
      <c r="E722" s="2">
        <v>-8</v>
      </c>
      <c r="F722" s="2">
        <v>-9.4</v>
      </c>
      <c r="G722" s="2">
        <v>-9.5</v>
      </c>
      <c r="H722" s="2">
        <f>AVERAGE(weather.tbl[[#This Row],[Estevan]:[Kipling]])</f>
        <v>-8.2666666666666675</v>
      </c>
      <c r="I722" s="2">
        <f>_xlfn.STDEV.S(weather.tbl[[#This Row],[Estevan]:[Kipling]])</f>
        <v>1.626857912254988</v>
      </c>
      <c r="J722" s="2">
        <f t="shared" si="11"/>
        <v>-9.7547619047619047</v>
      </c>
      <c r="K722">
        <f>DAY(weather.tbl[[#This Row],[Date]])</f>
        <v>22</v>
      </c>
      <c r="L722">
        <f>MONTH(weather.tbl[[#This Row],[Date]])</f>
        <v>12</v>
      </c>
      <c r="M722">
        <f>YEAR(weather.tbl[[#This Row],[Date]])</f>
        <v>2015</v>
      </c>
    </row>
    <row r="723" spans="1:13" x14ac:dyDescent="0.25">
      <c r="A723" s="1">
        <v>42361</v>
      </c>
      <c r="B723" s="2">
        <v>-9.9</v>
      </c>
      <c r="C723" s="2">
        <v>-9.6999999999999993</v>
      </c>
      <c r="D723" s="2">
        <v>-5.8</v>
      </c>
      <c r="E723" s="2">
        <v>-9.5</v>
      </c>
      <c r="F723" s="2">
        <v>-9.1999999999999993</v>
      </c>
      <c r="G723" s="2">
        <v>-10.9</v>
      </c>
      <c r="H723" s="2">
        <f>AVERAGE(weather.tbl[[#This Row],[Estevan]:[Kipling]])</f>
        <v>-9.1666666666666679</v>
      </c>
      <c r="I723" s="2">
        <f>_xlfn.STDEV.S(weather.tbl[[#This Row],[Estevan]:[Kipling]])</f>
        <v>1.7477604717656967</v>
      </c>
      <c r="J723" s="2">
        <f t="shared" si="11"/>
        <v>-10.202380952380953</v>
      </c>
      <c r="K723">
        <f>DAY(weather.tbl[[#This Row],[Date]])</f>
        <v>23</v>
      </c>
      <c r="L723">
        <f>MONTH(weather.tbl[[#This Row],[Date]])</f>
        <v>12</v>
      </c>
      <c r="M723">
        <f>YEAR(weather.tbl[[#This Row],[Date]])</f>
        <v>2015</v>
      </c>
    </row>
    <row r="724" spans="1:13" x14ac:dyDescent="0.25">
      <c r="A724" s="1">
        <v>42362</v>
      </c>
      <c r="B724" s="2">
        <v>-8.5</v>
      </c>
      <c r="C724" s="2">
        <v>-8.6</v>
      </c>
      <c r="D724" s="2">
        <v>-5.8</v>
      </c>
      <c r="E724" s="2">
        <v>-8.5</v>
      </c>
      <c r="F724" s="2">
        <v>-10.8</v>
      </c>
      <c r="G724" s="2">
        <v>-11.5</v>
      </c>
      <c r="H724" s="2">
        <f>AVERAGE(weather.tbl[[#This Row],[Estevan]:[Kipling]])</f>
        <v>-8.9500000000000011</v>
      </c>
      <c r="I724" s="2">
        <f>_xlfn.STDEV.S(weather.tbl[[#This Row],[Estevan]:[Kipling]])</f>
        <v>2.0186629238186322</v>
      </c>
      <c r="J724" s="2">
        <f t="shared" si="11"/>
        <v>-9.8333333333333339</v>
      </c>
      <c r="K724">
        <f>DAY(weather.tbl[[#This Row],[Date]])</f>
        <v>24</v>
      </c>
      <c r="L724">
        <f>MONTH(weather.tbl[[#This Row],[Date]])</f>
        <v>12</v>
      </c>
      <c r="M724">
        <f>YEAR(weather.tbl[[#This Row],[Date]])</f>
        <v>2015</v>
      </c>
    </row>
    <row r="725" spans="1:13" x14ac:dyDescent="0.25">
      <c r="A725" s="1">
        <v>42363</v>
      </c>
      <c r="B725" s="2">
        <v>-18.399999999999999</v>
      </c>
      <c r="C725" s="2">
        <v>-20.3</v>
      </c>
      <c r="D725" s="2">
        <v>-5.8</v>
      </c>
      <c r="E725" s="2">
        <v>-23</v>
      </c>
      <c r="F725" s="2">
        <v>-17</v>
      </c>
      <c r="G725" s="2">
        <v>-21.5</v>
      </c>
      <c r="H725" s="2">
        <f>AVERAGE(weather.tbl[[#This Row],[Estevan]:[Kipling]])</f>
        <v>-17.666666666666668</v>
      </c>
      <c r="I725" s="2">
        <f>_xlfn.STDEV.S(weather.tbl[[#This Row],[Estevan]:[Kipling]])</f>
        <v>6.1947289421464315</v>
      </c>
      <c r="J725" s="2">
        <f t="shared" si="11"/>
        <v>-10.242857142857146</v>
      </c>
      <c r="K725">
        <f>DAY(weather.tbl[[#This Row],[Date]])</f>
        <v>25</v>
      </c>
      <c r="L725">
        <f>MONTH(weather.tbl[[#This Row],[Date]])</f>
        <v>12</v>
      </c>
      <c r="M725">
        <f>YEAR(weather.tbl[[#This Row],[Date]])</f>
        <v>2015</v>
      </c>
    </row>
    <row r="726" spans="1:13" x14ac:dyDescent="0.25">
      <c r="A726" s="1">
        <v>42364</v>
      </c>
      <c r="B726" s="2">
        <v>-22.2</v>
      </c>
      <c r="C726" s="2">
        <v>-24</v>
      </c>
      <c r="D726" s="2">
        <v>-5.8</v>
      </c>
      <c r="E726" s="2">
        <v>-22.8</v>
      </c>
      <c r="F726" s="2">
        <v>-23.5</v>
      </c>
      <c r="G726" s="2">
        <v>-21.7</v>
      </c>
      <c r="H726" s="2">
        <f>AVERAGE(weather.tbl[[#This Row],[Estevan]:[Kipling]])</f>
        <v>-20</v>
      </c>
      <c r="I726" s="2">
        <f>_xlfn.STDEV.S(weather.tbl[[#This Row],[Estevan]:[Kipling]])</f>
        <v>7.0065683469156284</v>
      </c>
      <c r="J726" s="2">
        <f t="shared" si="11"/>
        <v>-11.357142857142859</v>
      </c>
      <c r="K726">
        <f>DAY(weather.tbl[[#This Row],[Date]])</f>
        <v>26</v>
      </c>
      <c r="L726">
        <f>MONTH(weather.tbl[[#This Row],[Date]])</f>
        <v>12</v>
      </c>
      <c r="M726">
        <f>YEAR(weather.tbl[[#This Row],[Date]])</f>
        <v>2015</v>
      </c>
    </row>
    <row r="727" spans="1:13" x14ac:dyDescent="0.25">
      <c r="A727" s="1">
        <v>42365</v>
      </c>
      <c r="B727" s="2">
        <v>-19</v>
      </c>
      <c r="C727" s="2">
        <v>-21.1</v>
      </c>
      <c r="D727" s="2">
        <v>-22.3</v>
      </c>
      <c r="E727" s="2">
        <v>-18.5</v>
      </c>
      <c r="F727" s="2">
        <v>-20.100000000000001</v>
      </c>
      <c r="G727" s="2">
        <v>-17.8</v>
      </c>
      <c r="H727" s="2">
        <f>AVERAGE(weather.tbl[[#This Row],[Estevan]:[Kipling]])</f>
        <v>-19.8</v>
      </c>
      <c r="I727" s="2">
        <f>_xlfn.STDEV.S(weather.tbl[[#This Row],[Estevan]:[Kipling]])</f>
        <v>1.694697613145189</v>
      </c>
      <c r="J727" s="2">
        <f t="shared" si="11"/>
        <v>-12.93095238095238</v>
      </c>
      <c r="K727">
        <f>DAY(weather.tbl[[#This Row],[Date]])</f>
        <v>27</v>
      </c>
      <c r="L727">
        <f>MONTH(weather.tbl[[#This Row],[Date]])</f>
        <v>12</v>
      </c>
      <c r="M727">
        <f>YEAR(weather.tbl[[#This Row],[Date]])</f>
        <v>2015</v>
      </c>
    </row>
    <row r="728" spans="1:13" x14ac:dyDescent="0.25">
      <c r="A728" s="1">
        <v>42366</v>
      </c>
      <c r="B728" s="2">
        <v>-15.1</v>
      </c>
      <c r="C728" s="2">
        <v>-15.8</v>
      </c>
      <c r="D728" s="2">
        <v>-15.3</v>
      </c>
      <c r="E728" s="2">
        <v>-11.5</v>
      </c>
      <c r="F728" s="2">
        <v>-16.399999999999999</v>
      </c>
      <c r="G728" s="2">
        <v>-12</v>
      </c>
      <c r="H728" s="2">
        <f>AVERAGE(weather.tbl[[#This Row],[Estevan]:[Kipling]])</f>
        <v>-14.35</v>
      </c>
      <c r="I728" s="2">
        <f>_xlfn.STDEV.S(weather.tbl[[#This Row],[Estevan]:[Kipling]])</f>
        <v>2.0695410119154531</v>
      </c>
      <c r="J728" s="2">
        <f t="shared" si="11"/>
        <v>-14.028571428571428</v>
      </c>
      <c r="K728">
        <f>DAY(weather.tbl[[#This Row],[Date]])</f>
        <v>28</v>
      </c>
      <c r="L728">
        <f>MONTH(weather.tbl[[#This Row],[Date]])</f>
        <v>12</v>
      </c>
      <c r="M728">
        <f>YEAR(weather.tbl[[#This Row],[Date]])</f>
        <v>2015</v>
      </c>
    </row>
    <row r="729" spans="1:13" x14ac:dyDescent="0.25">
      <c r="A729" s="1">
        <v>42367</v>
      </c>
      <c r="B729" s="2">
        <v>-16.899999999999999</v>
      </c>
      <c r="C729" s="2">
        <v>-17.100000000000001</v>
      </c>
      <c r="D729" s="2">
        <v>-17.5</v>
      </c>
      <c r="E729" s="2">
        <v>-15.8</v>
      </c>
      <c r="F729" s="2">
        <v>-18</v>
      </c>
      <c r="G729" s="2">
        <v>-16.5</v>
      </c>
      <c r="H729" s="2">
        <f>AVERAGE(weather.tbl[[#This Row],[Estevan]:[Kipling]])</f>
        <v>-16.966666666666665</v>
      </c>
      <c r="I729" s="2">
        <f>_xlfn.STDEV.S(weather.tbl[[#This Row],[Estevan]:[Kipling]])</f>
        <v>0.76854841530424511</v>
      </c>
      <c r="J729" s="2">
        <f t="shared" si="11"/>
        <v>-15.27142857142857</v>
      </c>
      <c r="K729">
        <f>DAY(weather.tbl[[#This Row],[Date]])</f>
        <v>29</v>
      </c>
      <c r="L729">
        <f>MONTH(weather.tbl[[#This Row],[Date]])</f>
        <v>12</v>
      </c>
      <c r="M729">
        <f>YEAR(weather.tbl[[#This Row],[Date]])</f>
        <v>2015</v>
      </c>
    </row>
    <row r="730" spans="1:13" x14ac:dyDescent="0.25">
      <c r="A730" s="1">
        <v>42368</v>
      </c>
      <c r="B730" s="2">
        <v>-15</v>
      </c>
      <c r="C730" s="2">
        <v>-14.7</v>
      </c>
      <c r="D730" s="2">
        <v>-13</v>
      </c>
      <c r="E730" s="2">
        <v>-12.8</v>
      </c>
      <c r="F730" s="2">
        <v>-13</v>
      </c>
      <c r="G730" s="2">
        <v>-13.9</v>
      </c>
      <c r="H730" s="2">
        <f>AVERAGE(weather.tbl[[#This Row],[Estevan]:[Kipling]])</f>
        <v>-13.733333333333334</v>
      </c>
      <c r="I730" s="2">
        <f>_xlfn.STDEV.S(weather.tbl[[#This Row],[Estevan]:[Kipling]])</f>
        <v>0.95008771524879021</v>
      </c>
      <c r="J730" s="2">
        <f t="shared" si="11"/>
        <v>-15.923809523809524</v>
      </c>
      <c r="K730">
        <f>DAY(weather.tbl[[#This Row],[Date]])</f>
        <v>30</v>
      </c>
      <c r="L730">
        <f>MONTH(weather.tbl[[#This Row],[Date]])</f>
        <v>12</v>
      </c>
      <c r="M730">
        <f>YEAR(weather.tbl[[#This Row],[Date]])</f>
        <v>2015</v>
      </c>
    </row>
    <row r="731" spans="1:13" x14ac:dyDescent="0.25">
      <c r="A731" s="1">
        <v>42369</v>
      </c>
      <c r="B731" s="2">
        <v>-10.4</v>
      </c>
      <c r="C731" s="2">
        <v>-10.1</v>
      </c>
      <c r="D731" s="2">
        <v>-10.8</v>
      </c>
      <c r="E731" s="2">
        <v>-9.5</v>
      </c>
      <c r="F731" s="2">
        <v>-10.3</v>
      </c>
      <c r="G731" s="2">
        <v>-10.6</v>
      </c>
      <c r="H731" s="2">
        <f>AVERAGE(weather.tbl[[#This Row],[Estevan]:[Kipling]])</f>
        <v>-10.283333333333333</v>
      </c>
      <c r="I731" s="2">
        <f>_xlfn.STDEV.S(weather.tbl[[#This Row],[Estevan]:[Kipling]])</f>
        <v>0.45350486950711655</v>
      </c>
      <c r="J731" s="2">
        <f t="shared" si="11"/>
        <v>-16.114285714285714</v>
      </c>
      <c r="K731">
        <f>DAY(weather.tbl[[#This Row],[Date]])</f>
        <v>31</v>
      </c>
      <c r="L731">
        <f>MONTH(weather.tbl[[#This Row],[Date]])</f>
        <v>12</v>
      </c>
      <c r="M731">
        <f>YEAR(weather.tbl[[#This Row],[Date]])</f>
        <v>2015</v>
      </c>
    </row>
    <row r="732" spans="1:13" x14ac:dyDescent="0.25">
      <c r="A732" s="1">
        <v>42370</v>
      </c>
      <c r="B732" s="2">
        <v>-5.9</v>
      </c>
      <c r="C732" s="2">
        <v>-5.6</v>
      </c>
      <c r="D732" s="2">
        <v>-6.3</v>
      </c>
      <c r="E732" s="2">
        <v>-4</v>
      </c>
      <c r="F732" s="2">
        <v>-6.5</v>
      </c>
      <c r="G732" s="2">
        <v>-5.7</v>
      </c>
      <c r="H732" s="2">
        <f>AVERAGE(weather.tbl[[#This Row],[Estevan]:[Kipling]])</f>
        <v>-5.666666666666667</v>
      </c>
      <c r="I732" s="2">
        <f>_xlfn.STDEV.S(weather.tbl[[#This Row],[Estevan]:[Kipling]])</f>
        <v>0.8869423130433417</v>
      </c>
      <c r="J732" s="2">
        <f t="shared" si="11"/>
        <v>-14.4</v>
      </c>
      <c r="K732">
        <f>DAY(weather.tbl[[#This Row],[Date]])</f>
        <v>1</v>
      </c>
      <c r="L732">
        <f>MONTH(weather.tbl[[#This Row],[Date]])</f>
        <v>1</v>
      </c>
      <c r="M732">
        <f>YEAR(weather.tbl[[#This Row],[Date]])</f>
        <v>2016</v>
      </c>
    </row>
    <row r="733" spans="1:13" x14ac:dyDescent="0.25">
      <c r="A733" s="1">
        <v>42371</v>
      </c>
      <c r="B733" s="2">
        <v>-9.4</v>
      </c>
      <c r="C733" s="2">
        <v>-10</v>
      </c>
      <c r="D733" s="2">
        <v>-6.5</v>
      </c>
      <c r="E733" s="2">
        <v>-5.5</v>
      </c>
      <c r="F733" s="2">
        <v>-7.7</v>
      </c>
      <c r="G733" s="2">
        <v>-6.1</v>
      </c>
      <c r="H733" s="2">
        <f>AVERAGE(weather.tbl[[#This Row],[Estevan]:[Kipling]])</f>
        <v>-7.5333333333333341</v>
      </c>
      <c r="I733" s="2">
        <f>_xlfn.STDEV.S(weather.tbl[[#This Row],[Estevan]:[Kipling]])</f>
        <v>1.8359375443262385</v>
      </c>
      <c r="J733" s="2">
        <f t="shared" si="11"/>
        <v>-12.619047619047619</v>
      </c>
      <c r="K733">
        <f>DAY(weather.tbl[[#This Row],[Date]])</f>
        <v>2</v>
      </c>
      <c r="L733">
        <f>MONTH(weather.tbl[[#This Row],[Date]])</f>
        <v>1</v>
      </c>
      <c r="M733">
        <f>YEAR(weather.tbl[[#This Row],[Date]])</f>
        <v>2016</v>
      </c>
    </row>
    <row r="734" spans="1:13" x14ac:dyDescent="0.25">
      <c r="A734" s="1">
        <v>42372</v>
      </c>
      <c r="B734" s="2">
        <v>-11.2</v>
      </c>
      <c r="C734" s="2">
        <v>-12.8</v>
      </c>
      <c r="D734" s="2">
        <v>-10</v>
      </c>
      <c r="E734" s="2">
        <v>-10.8</v>
      </c>
      <c r="F734" s="2">
        <v>-11.8</v>
      </c>
      <c r="G734" s="2">
        <v>-9</v>
      </c>
      <c r="H734" s="2">
        <f>AVERAGE(weather.tbl[[#This Row],[Estevan]:[Kipling]])</f>
        <v>-10.933333333333332</v>
      </c>
      <c r="I734" s="2">
        <f>_xlfn.STDEV.S(weather.tbl[[#This Row],[Estevan]:[Kipling]])</f>
        <v>1.3366625103842411</v>
      </c>
      <c r="J734" s="2">
        <f t="shared" si="11"/>
        <v>-11.352380952380953</v>
      </c>
      <c r="K734">
        <f>DAY(weather.tbl[[#This Row],[Date]])</f>
        <v>3</v>
      </c>
      <c r="L734">
        <f>MONTH(weather.tbl[[#This Row],[Date]])</f>
        <v>1</v>
      </c>
      <c r="M734">
        <f>YEAR(weather.tbl[[#This Row],[Date]])</f>
        <v>2016</v>
      </c>
    </row>
    <row r="735" spans="1:13" x14ac:dyDescent="0.25">
      <c r="A735" s="1">
        <v>42373</v>
      </c>
      <c r="B735" s="2">
        <v>-7.8</v>
      </c>
      <c r="C735" s="2">
        <v>-8.6</v>
      </c>
      <c r="D735" s="2">
        <v>-10</v>
      </c>
      <c r="E735" s="2">
        <v>-8.8000000000000007</v>
      </c>
      <c r="F735" s="2">
        <v>-8.1999999999999993</v>
      </c>
      <c r="G735" s="2">
        <v>-5.9</v>
      </c>
      <c r="H735" s="2">
        <f>AVERAGE(weather.tbl[[#This Row],[Estevan]:[Kipling]])</f>
        <v>-8.2166666666666668</v>
      </c>
      <c r="I735" s="2">
        <f>_xlfn.STDEV.S(weather.tbl[[#This Row],[Estevan]:[Kipling]])</f>
        <v>1.3570801990548174</v>
      </c>
      <c r="J735" s="2">
        <f t="shared" si="11"/>
        <v>-10.476190476190476</v>
      </c>
      <c r="K735">
        <f>DAY(weather.tbl[[#This Row],[Date]])</f>
        <v>4</v>
      </c>
      <c r="L735">
        <f>MONTH(weather.tbl[[#This Row],[Date]])</f>
        <v>1</v>
      </c>
      <c r="M735">
        <f>YEAR(weather.tbl[[#This Row],[Date]])</f>
        <v>2016</v>
      </c>
    </row>
    <row r="736" spans="1:13" x14ac:dyDescent="0.25">
      <c r="A736" s="1">
        <v>42374</v>
      </c>
      <c r="B736" s="2">
        <v>-12.1</v>
      </c>
      <c r="C736" s="2">
        <v>-12.5</v>
      </c>
      <c r="D736" s="2">
        <v>-10</v>
      </c>
      <c r="E736" s="2">
        <v>-10.8</v>
      </c>
      <c r="F736" s="2">
        <v>-11.7</v>
      </c>
      <c r="G736" s="2">
        <v>-10.9</v>
      </c>
      <c r="H736" s="2">
        <f>AVERAGE(weather.tbl[[#This Row],[Estevan]:[Kipling]])</f>
        <v>-11.333333333333336</v>
      </c>
      <c r="I736" s="2">
        <f>_xlfn.STDEV.S(weather.tbl[[#This Row],[Estevan]:[Kipling]])</f>
        <v>0.93094933625126253</v>
      </c>
      <c r="J736" s="2">
        <f t="shared" si="11"/>
        <v>-9.6714285714285726</v>
      </c>
      <c r="K736">
        <f>DAY(weather.tbl[[#This Row],[Date]])</f>
        <v>5</v>
      </c>
      <c r="L736">
        <f>MONTH(weather.tbl[[#This Row],[Date]])</f>
        <v>1</v>
      </c>
      <c r="M736">
        <f>YEAR(weather.tbl[[#This Row],[Date]])</f>
        <v>2016</v>
      </c>
    </row>
    <row r="737" spans="1:13" x14ac:dyDescent="0.25">
      <c r="A737" s="1">
        <v>42375</v>
      </c>
      <c r="B737" s="2">
        <v>-6.6</v>
      </c>
      <c r="C737" s="2">
        <v>-6.6</v>
      </c>
      <c r="D737" s="2">
        <v>-8</v>
      </c>
      <c r="E737" s="2">
        <v>-7</v>
      </c>
      <c r="F737" s="2">
        <v>-7.5</v>
      </c>
      <c r="G737" s="2">
        <v>-6.6</v>
      </c>
      <c r="H737" s="2">
        <f>AVERAGE(weather.tbl[[#This Row],[Estevan]:[Kipling]])</f>
        <v>-7.0500000000000007</v>
      </c>
      <c r="I737" s="2">
        <f>_xlfn.STDEV.S(weather.tbl[[#This Row],[Estevan]:[Kipling]])</f>
        <v>0.58566201857385314</v>
      </c>
      <c r="J737" s="2">
        <f t="shared" si="11"/>
        <v>-8.7166666666666668</v>
      </c>
      <c r="K737">
        <f>DAY(weather.tbl[[#This Row],[Date]])</f>
        <v>6</v>
      </c>
      <c r="L737">
        <f>MONTH(weather.tbl[[#This Row],[Date]])</f>
        <v>1</v>
      </c>
      <c r="M737">
        <f>YEAR(weather.tbl[[#This Row],[Date]])</f>
        <v>2016</v>
      </c>
    </row>
    <row r="738" spans="1:13" x14ac:dyDescent="0.25">
      <c r="A738" s="1">
        <v>42376</v>
      </c>
      <c r="B738" s="2">
        <v>-7.8</v>
      </c>
      <c r="C738" s="2">
        <v>-9.3000000000000007</v>
      </c>
      <c r="D738" s="2">
        <v>-8.5</v>
      </c>
      <c r="E738" s="2">
        <v>-5.8</v>
      </c>
      <c r="F738" s="2">
        <v>-7.5</v>
      </c>
      <c r="G738" s="2">
        <v>-7.9</v>
      </c>
      <c r="H738" s="2">
        <f>AVERAGE(weather.tbl[[#This Row],[Estevan]:[Kipling]])</f>
        <v>-7.8000000000000007</v>
      </c>
      <c r="I738" s="2">
        <f>_xlfn.STDEV.S(weather.tbl[[#This Row],[Estevan]:[Kipling]])</f>
        <v>1.1696153213770784</v>
      </c>
      <c r="J738" s="2">
        <f t="shared" si="11"/>
        <v>-8.3619047619047624</v>
      </c>
      <c r="K738">
        <f>DAY(weather.tbl[[#This Row],[Date]])</f>
        <v>7</v>
      </c>
      <c r="L738">
        <f>MONTH(weather.tbl[[#This Row],[Date]])</f>
        <v>1</v>
      </c>
      <c r="M738">
        <f>YEAR(weather.tbl[[#This Row],[Date]])</f>
        <v>2016</v>
      </c>
    </row>
    <row r="739" spans="1:13" x14ac:dyDescent="0.25">
      <c r="A739" s="1">
        <v>42377</v>
      </c>
      <c r="B739" s="2">
        <v>-16</v>
      </c>
      <c r="C739" s="2">
        <v>-16.899999999999999</v>
      </c>
      <c r="D739" s="2">
        <v>-15.8</v>
      </c>
      <c r="E739" s="2">
        <v>-17</v>
      </c>
      <c r="F739" s="2">
        <v>-13.5</v>
      </c>
      <c r="G739" s="2">
        <v>-17.8</v>
      </c>
      <c r="H739" s="2">
        <f>AVERAGE(weather.tbl[[#This Row],[Estevan]:[Kipling]])</f>
        <v>-16.166666666666668</v>
      </c>
      <c r="I739" s="2">
        <f>_xlfn.STDEV.S(weather.tbl[[#This Row],[Estevan]:[Kipling]])</f>
        <v>1.4948801512718892</v>
      </c>
      <c r="J739" s="2">
        <f t="shared" si="11"/>
        <v>-9.8619047619047624</v>
      </c>
      <c r="K739">
        <f>DAY(weather.tbl[[#This Row],[Date]])</f>
        <v>8</v>
      </c>
      <c r="L739">
        <f>MONTH(weather.tbl[[#This Row],[Date]])</f>
        <v>1</v>
      </c>
      <c r="M739">
        <f>YEAR(weather.tbl[[#This Row],[Date]])</f>
        <v>2016</v>
      </c>
    </row>
    <row r="740" spans="1:13" x14ac:dyDescent="0.25">
      <c r="A740" s="1">
        <v>42378</v>
      </c>
      <c r="B740" s="2">
        <v>-22.7</v>
      </c>
      <c r="C740" s="2">
        <v>-23.4</v>
      </c>
      <c r="D740" s="2">
        <v>-20.8</v>
      </c>
      <c r="E740" s="2">
        <v>-20</v>
      </c>
      <c r="F740" s="2">
        <v>-22</v>
      </c>
      <c r="G740" s="2">
        <v>-22</v>
      </c>
      <c r="H740" s="2">
        <f>AVERAGE(weather.tbl[[#This Row],[Estevan]:[Kipling]])</f>
        <v>-21.816666666666663</v>
      </c>
      <c r="I740" s="2">
        <f>_xlfn.STDEV.S(weather.tbl[[#This Row],[Estevan]:[Kipling]])</f>
        <v>1.240026881429054</v>
      </c>
      <c r="J740" s="2">
        <f t="shared" si="11"/>
        <v>-11.902380952380952</v>
      </c>
      <c r="K740">
        <f>DAY(weather.tbl[[#This Row],[Date]])</f>
        <v>9</v>
      </c>
      <c r="L740">
        <f>MONTH(weather.tbl[[#This Row],[Date]])</f>
        <v>1</v>
      </c>
      <c r="M740">
        <f>YEAR(weather.tbl[[#This Row],[Date]])</f>
        <v>2016</v>
      </c>
    </row>
    <row r="741" spans="1:13" x14ac:dyDescent="0.25">
      <c r="A741" s="1">
        <v>42379</v>
      </c>
      <c r="B741" s="2">
        <v>-20.8</v>
      </c>
      <c r="C741" s="2">
        <v>-22.3</v>
      </c>
      <c r="D741" s="2">
        <v>-22.5</v>
      </c>
      <c r="E741" s="2">
        <v>-19.8</v>
      </c>
      <c r="F741" s="2">
        <v>-22.6</v>
      </c>
      <c r="G741" s="2">
        <v>-22.6</v>
      </c>
      <c r="H741" s="2">
        <f>AVERAGE(weather.tbl[[#This Row],[Estevan]:[Kipling]])</f>
        <v>-21.766666666666666</v>
      </c>
      <c r="I741" s="2">
        <f>_xlfn.STDEV.S(weather.tbl[[#This Row],[Estevan]:[Kipling]])</f>
        <v>1.184342292864131</v>
      </c>
      <c r="J741" s="2">
        <f t="shared" si="11"/>
        <v>-13.450000000000001</v>
      </c>
      <c r="K741">
        <f>DAY(weather.tbl[[#This Row],[Date]])</f>
        <v>10</v>
      </c>
      <c r="L741">
        <f>MONTH(weather.tbl[[#This Row],[Date]])</f>
        <v>1</v>
      </c>
      <c r="M741">
        <f>YEAR(weather.tbl[[#This Row],[Date]])</f>
        <v>2016</v>
      </c>
    </row>
    <row r="742" spans="1:13" x14ac:dyDescent="0.25">
      <c r="A742" s="1">
        <v>42380</v>
      </c>
      <c r="B742" s="2">
        <v>-17.2</v>
      </c>
      <c r="C742" s="2">
        <v>-18.3</v>
      </c>
      <c r="D742" s="2">
        <v>-17</v>
      </c>
      <c r="E742" s="2">
        <v>-14.3</v>
      </c>
      <c r="F742" s="2">
        <v>-19.2</v>
      </c>
      <c r="G742" s="2">
        <v>-18.7</v>
      </c>
      <c r="H742" s="2">
        <f>AVERAGE(weather.tbl[[#This Row],[Estevan]:[Kipling]])</f>
        <v>-17.45</v>
      </c>
      <c r="I742" s="2">
        <f>_xlfn.STDEV.S(weather.tbl[[#This Row],[Estevan]:[Kipling]])</f>
        <v>1.7626684316683039</v>
      </c>
      <c r="J742" s="2">
        <f t="shared" si="11"/>
        <v>-14.769047619047621</v>
      </c>
      <c r="K742">
        <f>DAY(weather.tbl[[#This Row],[Date]])</f>
        <v>11</v>
      </c>
      <c r="L742">
        <f>MONTH(weather.tbl[[#This Row],[Date]])</f>
        <v>1</v>
      </c>
      <c r="M742">
        <f>YEAR(weather.tbl[[#This Row],[Date]])</f>
        <v>2016</v>
      </c>
    </row>
    <row r="743" spans="1:13" x14ac:dyDescent="0.25">
      <c r="A743" s="1">
        <v>42381</v>
      </c>
      <c r="B743" s="2">
        <v>-16.399999999999999</v>
      </c>
      <c r="C743" s="2">
        <v>-15.8</v>
      </c>
      <c r="D743" s="2">
        <v>-16.5</v>
      </c>
      <c r="E743" s="2">
        <v>-14.3</v>
      </c>
      <c r="F743" s="2">
        <v>-19.399999999999999</v>
      </c>
      <c r="G743" s="2">
        <v>-16.2</v>
      </c>
      <c r="H743" s="2">
        <f>AVERAGE(weather.tbl[[#This Row],[Estevan]:[Kipling]])</f>
        <v>-16.433333333333334</v>
      </c>
      <c r="I743" s="2">
        <f>_xlfn.STDEV.S(weather.tbl[[#This Row],[Estevan]:[Kipling]])</f>
        <v>1.6621271511730575</v>
      </c>
      <c r="J743" s="2">
        <f t="shared" si="11"/>
        <v>-15.497619047619049</v>
      </c>
      <c r="K743">
        <f>DAY(weather.tbl[[#This Row],[Date]])</f>
        <v>12</v>
      </c>
      <c r="L743">
        <f>MONTH(weather.tbl[[#This Row],[Date]])</f>
        <v>1</v>
      </c>
      <c r="M743">
        <f>YEAR(weather.tbl[[#This Row],[Date]])</f>
        <v>2016</v>
      </c>
    </row>
    <row r="744" spans="1:13" x14ac:dyDescent="0.25">
      <c r="A744" s="1">
        <v>42382</v>
      </c>
      <c r="B744" s="2">
        <v>-8.4</v>
      </c>
      <c r="C744" s="2">
        <v>-10.9</v>
      </c>
      <c r="D744" s="2">
        <v>-12.5</v>
      </c>
      <c r="E744" s="2">
        <v>-9.8000000000000007</v>
      </c>
      <c r="F744" s="2">
        <v>-11.1</v>
      </c>
      <c r="G744" s="2">
        <v>-11.2</v>
      </c>
      <c r="H744" s="2">
        <f>AVERAGE(weather.tbl[[#This Row],[Estevan]:[Kipling]])</f>
        <v>-10.65</v>
      </c>
      <c r="I744" s="2">
        <f>_xlfn.STDEV.S(weather.tbl[[#This Row],[Estevan]:[Kipling]])</f>
        <v>1.3982131454109383</v>
      </c>
      <c r="J744" s="2">
        <f t="shared" si="11"/>
        <v>-16.011904761904763</v>
      </c>
      <c r="K744">
        <f>DAY(weather.tbl[[#This Row],[Date]])</f>
        <v>13</v>
      </c>
      <c r="L744">
        <f>MONTH(weather.tbl[[#This Row],[Date]])</f>
        <v>1</v>
      </c>
      <c r="M744">
        <f>YEAR(weather.tbl[[#This Row],[Date]])</f>
        <v>2016</v>
      </c>
    </row>
    <row r="745" spans="1:13" x14ac:dyDescent="0.25">
      <c r="A745" s="1">
        <v>42383</v>
      </c>
      <c r="B745" s="2">
        <v>-9.9</v>
      </c>
      <c r="C745" s="2">
        <v>-9.4</v>
      </c>
      <c r="D745" s="2">
        <v>-11</v>
      </c>
      <c r="E745" s="2">
        <v>-8.5</v>
      </c>
      <c r="F745" s="2">
        <v>-13.3</v>
      </c>
      <c r="G745" s="2">
        <v>-12.7</v>
      </c>
      <c r="H745" s="2">
        <f>AVERAGE(weather.tbl[[#This Row],[Estevan]:[Kipling]])</f>
        <v>-10.799999999999999</v>
      </c>
      <c r="I745" s="2">
        <f>_xlfn.STDEV.S(weather.tbl[[#This Row],[Estevan]:[Kipling]])</f>
        <v>1.8952572384771373</v>
      </c>
      <c r="J745" s="2">
        <f t="shared" si="11"/>
        <v>-16.440476190476193</v>
      </c>
      <c r="K745">
        <f>DAY(weather.tbl[[#This Row],[Date]])</f>
        <v>14</v>
      </c>
      <c r="L745">
        <f>MONTH(weather.tbl[[#This Row],[Date]])</f>
        <v>1</v>
      </c>
      <c r="M745">
        <f>YEAR(weather.tbl[[#This Row],[Date]])</f>
        <v>2016</v>
      </c>
    </row>
    <row r="746" spans="1:13" x14ac:dyDescent="0.25">
      <c r="A746" s="1">
        <v>42384</v>
      </c>
      <c r="B746" s="2">
        <v>-16.3</v>
      </c>
      <c r="C746" s="2">
        <v>-18.8</v>
      </c>
      <c r="D746" s="2">
        <v>-17.3</v>
      </c>
      <c r="E746" s="2">
        <v>-21</v>
      </c>
      <c r="F746" s="2">
        <v>-20.6</v>
      </c>
      <c r="G746" s="2">
        <v>-20.7</v>
      </c>
      <c r="H746" s="2">
        <f>AVERAGE(weather.tbl[[#This Row],[Estevan]:[Kipling]])</f>
        <v>-19.116666666666667</v>
      </c>
      <c r="I746" s="2">
        <f>_xlfn.STDEV.S(weather.tbl[[#This Row],[Estevan]:[Kipling]])</f>
        <v>1.9793096439583842</v>
      </c>
      <c r="J746" s="2">
        <f t="shared" si="11"/>
        <v>-16.861904761904761</v>
      </c>
      <c r="K746">
        <f>DAY(weather.tbl[[#This Row],[Date]])</f>
        <v>15</v>
      </c>
      <c r="L746">
        <f>MONTH(weather.tbl[[#This Row],[Date]])</f>
        <v>1</v>
      </c>
      <c r="M746">
        <f>YEAR(weather.tbl[[#This Row],[Date]])</f>
        <v>2016</v>
      </c>
    </row>
    <row r="747" spans="1:13" x14ac:dyDescent="0.25">
      <c r="A747" s="1">
        <v>42385</v>
      </c>
      <c r="B747" s="2">
        <v>-28.1</v>
      </c>
      <c r="C747" s="2">
        <v>-29.5</v>
      </c>
      <c r="D747" s="2">
        <v>-27</v>
      </c>
      <c r="E747" s="2">
        <v>-28</v>
      </c>
      <c r="F747" s="2">
        <v>-27.3</v>
      </c>
      <c r="G747" s="2">
        <v>-26.8</v>
      </c>
      <c r="H747" s="2">
        <f>AVERAGE(weather.tbl[[#This Row],[Estevan]:[Kipling]])</f>
        <v>-27.783333333333335</v>
      </c>
      <c r="I747" s="2">
        <f>_xlfn.STDEV.S(weather.tbl[[#This Row],[Estevan]:[Kipling]])</f>
        <v>0.99079092984678985</v>
      </c>
      <c r="J747" s="2">
        <f t="shared" si="11"/>
        <v>-17.714285714285715</v>
      </c>
      <c r="K747">
        <f>DAY(weather.tbl[[#This Row],[Date]])</f>
        <v>16</v>
      </c>
      <c r="L747">
        <f>MONTH(weather.tbl[[#This Row],[Date]])</f>
        <v>1</v>
      </c>
      <c r="M747">
        <f>YEAR(weather.tbl[[#This Row],[Date]])</f>
        <v>2016</v>
      </c>
    </row>
    <row r="748" spans="1:13" x14ac:dyDescent="0.25">
      <c r="A748" s="1">
        <v>42386</v>
      </c>
      <c r="B748" s="2">
        <v>-23.1</v>
      </c>
      <c r="C748" s="2">
        <v>-25</v>
      </c>
      <c r="D748" s="2">
        <v>-23.5</v>
      </c>
      <c r="E748" s="2">
        <v>-23.5</v>
      </c>
      <c r="F748" s="2">
        <v>-20.5</v>
      </c>
      <c r="G748" s="2">
        <v>-20.9</v>
      </c>
      <c r="H748" s="2">
        <f>AVERAGE(weather.tbl[[#This Row],[Estevan]:[Kipling]])</f>
        <v>-22.75</v>
      </c>
      <c r="I748" s="2">
        <f>_xlfn.STDEV.S(weather.tbl[[#This Row],[Estevan]:[Kipling]])</f>
        <v>1.7201744097619873</v>
      </c>
      <c r="J748" s="2">
        <f t="shared" si="11"/>
        <v>-17.854761904761904</v>
      </c>
      <c r="K748">
        <f>DAY(weather.tbl[[#This Row],[Date]])</f>
        <v>17</v>
      </c>
      <c r="L748">
        <f>MONTH(weather.tbl[[#This Row],[Date]])</f>
        <v>1</v>
      </c>
      <c r="M748">
        <f>YEAR(weather.tbl[[#This Row],[Date]])</f>
        <v>2016</v>
      </c>
    </row>
    <row r="749" spans="1:13" x14ac:dyDescent="0.25">
      <c r="A749" s="1">
        <v>42387</v>
      </c>
      <c r="B749" s="2">
        <v>-21.2</v>
      </c>
      <c r="C749" s="2">
        <v>-21.1</v>
      </c>
      <c r="D749" s="2">
        <v>-20.3</v>
      </c>
      <c r="E749" s="2">
        <v>-18</v>
      </c>
      <c r="F749" s="2">
        <v>-19.100000000000001</v>
      </c>
      <c r="G749" s="2">
        <v>-16.7</v>
      </c>
      <c r="H749" s="2">
        <f>AVERAGE(weather.tbl[[#This Row],[Estevan]:[Kipling]])</f>
        <v>-19.399999999999999</v>
      </c>
      <c r="I749" s="2">
        <f>_xlfn.STDEV.S(weather.tbl[[#This Row],[Estevan]:[Kipling]])</f>
        <v>1.804438970982394</v>
      </c>
      <c r="J749" s="2">
        <f t="shared" si="11"/>
        <v>-18.133333333333333</v>
      </c>
      <c r="K749">
        <f>DAY(weather.tbl[[#This Row],[Date]])</f>
        <v>18</v>
      </c>
      <c r="L749">
        <f>MONTH(weather.tbl[[#This Row],[Date]])</f>
        <v>1</v>
      </c>
      <c r="M749">
        <f>YEAR(weather.tbl[[#This Row],[Date]])</f>
        <v>2016</v>
      </c>
    </row>
    <row r="750" spans="1:13" x14ac:dyDescent="0.25">
      <c r="A750" s="1">
        <v>42388</v>
      </c>
      <c r="B750" s="2">
        <v>-9.8000000000000007</v>
      </c>
      <c r="C750" s="2">
        <v>-9.3000000000000007</v>
      </c>
      <c r="D750" s="2">
        <v>-11.5</v>
      </c>
      <c r="E750" s="2">
        <v>-9.3000000000000007</v>
      </c>
      <c r="F750" s="2">
        <v>-11.5</v>
      </c>
      <c r="G750" s="2">
        <v>-11.2</v>
      </c>
      <c r="H750" s="2">
        <f>AVERAGE(weather.tbl[[#This Row],[Estevan]:[Kipling]])</f>
        <v>-10.433333333333335</v>
      </c>
      <c r="I750" s="2">
        <f>_xlfn.STDEV.S(weather.tbl[[#This Row],[Estevan]:[Kipling]])</f>
        <v>1.0801234497346428</v>
      </c>
      <c r="J750" s="2">
        <f t="shared" si="11"/>
        <v>-17.276190476190475</v>
      </c>
      <c r="K750">
        <f>DAY(weather.tbl[[#This Row],[Date]])</f>
        <v>19</v>
      </c>
      <c r="L750">
        <f>MONTH(weather.tbl[[#This Row],[Date]])</f>
        <v>1</v>
      </c>
      <c r="M750">
        <f>YEAR(weather.tbl[[#This Row],[Date]])</f>
        <v>2016</v>
      </c>
    </row>
    <row r="751" spans="1:13" x14ac:dyDescent="0.25">
      <c r="A751" s="1">
        <v>42389</v>
      </c>
      <c r="B751" s="2">
        <v>-9.5</v>
      </c>
      <c r="C751" s="2">
        <v>-10.1</v>
      </c>
      <c r="D751" s="2">
        <v>-7.3</v>
      </c>
      <c r="E751" s="2">
        <v>-9.3000000000000007</v>
      </c>
      <c r="F751" s="2">
        <v>-8.6999999999999993</v>
      </c>
      <c r="G751" s="2">
        <v>-10.1</v>
      </c>
      <c r="H751" s="2">
        <f>AVERAGE(weather.tbl[[#This Row],[Estevan]:[Kipling]])</f>
        <v>-9.1666666666666679</v>
      </c>
      <c r="I751" s="2">
        <f>_xlfn.STDEV.S(weather.tbl[[#This Row],[Estevan]:[Kipling]])</f>
        <v>1.0557777543908711</v>
      </c>
      <c r="J751" s="2">
        <f t="shared" si="11"/>
        <v>-17.064285714285713</v>
      </c>
      <c r="K751">
        <f>DAY(weather.tbl[[#This Row],[Date]])</f>
        <v>20</v>
      </c>
      <c r="L751">
        <f>MONTH(weather.tbl[[#This Row],[Date]])</f>
        <v>1</v>
      </c>
      <c r="M751">
        <f>YEAR(weather.tbl[[#This Row],[Date]])</f>
        <v>2016</v>
      </c>
    </row>
    <row r="752" spans="1:13" x14ac:dyDescent="0.25">
      <c r="A752" s="1">
        <v>42390</v>
      </c>
      <c r="B752" s="2">
        <v>-15.2</v>
      </c>
      <c r="C752" s="2">
        <v>-15.4</v>
      </c>
      <c r="D752" s="2">
        <v>-12.3</v>
      </c>
      <c r="E752" s="2">
        <v>-11.5</v>
      </c>
      <c r="F752" s="2">
        <v>-16.5</v>
      </c>
      <c r="G752" s="2">
        <v>-13.7</v>
      </c>
      <c r="H752" s="2">
        <f>AVERAGE(weather.tbl[[#This Row],[Estevan]:[Kipling]])</f>
        <v>-14.100000000000001</v>
      </c>
      <c r="I752" s="2">
        <f>_xlfn.STDEV.S(weather.tbl[[#This Row],[Estevan]:[Kipling]])</f>
        <v>1.9401030900444289</v>
      </c>
      <c r="J752" s="2">
        <f t="shared" si="11"/>
        <v>-17.535714285714288</v>
      </c>
      <c r="K752">
        <f>DAY(weather.tbl[[#This Row],[Date]])</f>
        <v>21</v>
      </c>
      <c r="L752">
        <f>MONTH(weather.tbl[[#This Row],[Date]])</f>
        <v>1</v>
      </c>
      <c r="M752">
        <f>YEAR(weather.tbl[[#This Row],[Date]])</f>
        <v>2016</v>
      </c>
    </row>
    <row r="753" spans="1:13" x14ac:dyDescent="0.25">
      <c r="A753" s="1">
        <v>42391</v>
      </c>
      <c r="B753" s="2">
        <v>-7.9</v>
      </c>
      <c r="C753" s="2">
        <v>-7.3</v>
      </c>
      <c r="D753" s="2">
        <v>-11</v>
      </c>
      <c r="E753" s="2">
        <v>-6.8</v>
      </c>
      <c r="F753" s="2">
        <v>-11.7</v>
      </c>
      <c r="G753" s="2">
        <v>-8.6999999999999993</v>
      </c>
      <c r="H753" s="2">
        <f>AVERAGE(weather.tbl[[#This Row],[Estevan]:[Kipling]])</f>
        <v>-8.9</v>
      </c>
      <c r="I753" s="2">
        <f>_xlfn.STDEV.S(weather.tbl[[#This Row],[Estevan]:[Kipling]])</f>
        <v>2.0129580224137777</v>
      </c>
      <c r="J753" s="2">
        <f t="shared" si="11"/>
        <v>-16.076190476190479</v>
      </c>
      <c r="K753">
        <f>DAY(weather.tbl[[#This Row],[Date]])</f>
        <v>22</v>
      </c>
      <c r="L753">
        <f>MONTH(weather.tbl[[#This Row],[Date]])</f>
        <v>1</v>
      </c>
      <c r="M753">
        <f>YEAR(weather.tbl[[#This Row],[Date]])</f>
        <v>2016</v>
      </c>
    </row>
    <row r="754" spans="1:13" x14ac:dyDescent="0.25">
      <c r="A754" s="1">
        <v>42392</v>
      </c>
      <c r="B754" s="2">
        <v>-1.6</v>
      </c>
      <c r="C754" s="2">
        <v>-1.8</v>
      </c>
      <c r="D754" s="2">
        <v>-2.8</v>
      </c>
      <c r="E754" s="2">
        <v>-2</v>
      </c>
      <c r="F754" s="2">
        <v>-0.5</v>
      </c>
      <c r="G754" s="2">
        <v>-2.1</v>
      </c>
      <c r="H754" s="2">
        <f>AVERAGE(weather.tbl[[#This Row],[Estevan]:[Kipling]])</f>
        <v>-1.7999999999999998</v>
      </c>
      <c r="I754" s="2">
        <f>_xlfn.STDEV.S(weather.tbl[[#This Row],[Estevan]:[Kipling]])</f>
        <v>0.75630681604756234</v>
      </c>
      <c r="J754" s="2">
        <f t="shared" si="11"/>
        <v>-12.364285714285714</v>
      </c>
      <c r="K754">
        <f>DAY(weather.tbl[[#This Row],[Date]])</f>
        <v>23</v>
      </c>
      <c r="L754">
        <f>MONTH(weather.tbl[[#This Row],[Date]])</f>
        <v>1</v>
      </c>
      <c r="M754">
        <f>YEAR(weather.tbl[[#This Row],[Date]])</f>
        <v>2016</v>
      </c>
    </row>
    <row r="755" spans="1:13" x14ac:dyDescent="0.25">
      <c r="A755" s="1">
        <v>42393</v>
      </c>
      <c r="B755" s="2">
        <v>-5.5</v>
      </c>
      <c r="C755" s="2">
        <v>-6</v>
      </c>
      <c r="D755" s="2">
        <v>-5.5</v>
      </c>
      <c r="E755" s="2">
        <v>-5.5</v>
      </c>
      <c r="F755" s="2">
        <v>-5.3</v>
      </c>
      <c r="G755" s="2">
        <v>-6.2</v>
      </c>
      <c r="H755" s="2">
        <f>AVERAGE(weather.tbl[[#This Row],[Estevan]:[Kipling]])</f>
        <v>-5.666666666666667</v>
      </c>
      <c r="I755" s="2">
        <f>_xlfn.STDEV.S(weather.tbl[[#This Row],[Estevan]:[Kipling]])</f>
        <v>0.35023801430836538</v>
      </c>
      <c r="J755" s="2">
        <f t="shared" si="11"/>
        <v>-9.9238095238095241</v>
      </c>
      <c r="K755">
        <f>DAY(weather.tbl[[#This Row],[Date]])</f>
        <v>24</v>
      </c>
      <c r="L755">
        <f>MONTH(weather.tbl[[#This Row],[Date]])</f>
        <v>1</v>
      </c>
      <c r="M755">
        <f>YEAR(weather.tbl[[#This Row],[Date]])</f>
        <v>2016</v>
      </c>
    </row>
    <row r="756" spans="1:13" x14ac:dyDescent="0.25">
      <c r="A756" s="1">
        <v>42394</v>
      </c>
      <c r="B756" s="2">
        <v>-5.7</v>
      </c>
      <c r="C756" s="2">
        <v>-6.1</v>
      </c>
      <c r="D756" s="2">
        <v>-4.8</v>
      </c>
      <c r="E756" s="2">
        <v>-5.5</v>
      </c>
      <c r="F756" s="2">
        <v>-4</v>
      </c>
      <c r="G756" s="2">
        <v>-5.7</v>
      </c>
      <c r="H756" s="2">
        <f>AVERAGE(weather.tbl[[#This Row],[Estevan]:[Kipling]])</f>
        <v>-5.3</v>
      </c>
      <c r="I756" s="2">
        <f>_xlfn.STDEV.S(weather.tbl[[#This Row],[Estevan]:[Kipling]])</f>
        <v>0.76681158050723219</v>
      </c>
      <c r="J756" s="2">
        <f t="shared" si="11"/>
        <v>-7.909523809523809</v>
      </c>
      <c r="K756">
        <f>DAY(weather.tbl[[#This Row],[Date]])</f>
        <v>25</v>
      </c>
      <c r="L756">
        <f>MONTH(weather.tbl[[#This Row],[Date]])</f>
        <v>1</v>
      </c>
      <c r="M756">
        <f>YEAR(weather.tbl[[#This Row],[Date]])</f>
        <v>2016</v>
      </c>
    </row>
    <row r="757" spans="1:13" x14ac:dyDescent="0.25">
      <c r="A757" s="1">
        <v>42395</v>
      </c>
      <c r="B757" s="2">
        <v>-6.3</v>
      </c>
      <c r="C757" s="2">
        <v>-7.4</v>
      </c>
      <c r="D757" s="2">
        <v>-2.2999999999999998</v>
      </c>
      <c r="E757" s="2">
        <v>-5.5</v>
      </c>
      <c r="F757" s="2">
        <v>-6.5</v>
      </c>
      <c r="G757" s="2">
        <v>-3.7</v>
      </c>
      <c r="H757" s="2">
        <f>AVERAGE(weather.tbl[[#This Row],[Estevan]:[Kipling]])</f>
        <v>-5.2833333333333332</v>
      </c>
      <c r="I757" s="2">
        <f>_xlfn.STDEV.S(weather.tbl[[#This Row],[Estevan]:[Kipling]])</f>
        <v>1.920850506069296</v>
      </c>
      <c r="J757" s="2">
        <f t="shared" si="11"/>
        <v>-7.1738095238095232</v>
      </c>
      <c r="K757">
        <f>DAY(weather.tbl[[#This Row],[Date]])</f>
        <v>26</v>
      </c>
      <c r="L757">
        <f>MONTH(weather.tbl[[#This Row],[Date]])</f>
        <v>1</v>
      </c>
      <c r="M757">
        <f>YEAR(weather.tbl[[#This Row],[Date]])</f>
        <v>2016</v>
      </c>
    </row>
    <row r="758" spans="1:13" x14ac:dyDescent="0.25">
      <c r="A758" s="1">
        <v>42396</v>
      </c>
      <c r="B758" s="2">
        <v>-0.1</v>
      </c>
      <c r="C758" s="2">
        <v>-0.1</v>
      </c>
      <c r="D758" s="2">
        <v>-3</v>
      </c>
      <c r="E758" s="2">
        <v>-5.5</v>
      </c>
      <c r="F758" s="2">
        <v>-1.7</v>
      </c>
      <c r="G758" s="2">
        <v>-2.8</v>
      </c>
      <c r="H758" s="2">
        <f>AVERAGE(weather.tbl[[#This Row],[Estevan]:[Kipling]])</f>
        <v>-2.1999999999999997</v>
      </c>
      <c r="I758" s="2">
        <f>_xlfn.STDEV.S(weather.tbl[[#This Row],[Estevan]:[Kipling]])</f>
        <v>2.0474374227311563</v>
      </c>
      <c r="J758" s="2">
        <f t="shared" si="11"/>
        <v>-6.1785714285714288</v>
      </c>
      <c r="K758">
        <f>DAY(weather.tbl[[#This Row],[Date]])</f>
        <v>27</v>
      </c>
      <c r="L758">
        <f>MONTH(weather.tbl[[#This Row],[Date]])</f>
        <v>1</v>
      </c>
      <c r="M758">
        <f>YEAR(weather.tbl[[#This Row],[Date]])</f>
        <v>2016</v>
      </c>
    </row>
    <row r="759" spans="1:13" x14ac:dyDescent="0.25">
      <c r="A759" s="1">
        <v>42397</v>
      </c>
      <c r="B759" s="2">
        <v>-3.5</v>
      </c>
      <c r="C759" s="2">
        <v>-4.2</v>
      </c>
      <c r="D759" s="2">
        <v>-3.8</v>
      </c>
      <c r="E759" s="2">
        <v>-5.5</v>
      </c>
      <c r="F759" s="2">
        <v>-1.7</v>
      </c>
      <c r="G759" s="2">
        <v>-3.7</v>
      </c>
      <c r="H759" s="2">
        <f>AVERAGE(weather.tbl[[#This Row],[Estevan]:[Kipling]])</f>
        <v>-3.7333333333333329</v>
      </c>
      <c r="I759" s="2">
        <f>_xlfn.STDEV.S(weather.tbl[[#This Row],[Estevan]:[Kipling]])</f>
        <v>1.2274635093014656</v>
      </c>
      <c r="J759" s="2">
        <f t="shared" si="11"/>
        <v>-4.6976190476190478</v>
      </c>
      <c r="K759">
        <f>DAY(weather.tbl[[#This Row],[Date]])</f>
        <v>28</v>
      </c>
      <c r="L759">
        <f>MONTH(weather.tbl[[#This Row],[Date]])</f>
        <v>1</v>
      </c>
      <c r="M759">
        <f>YEAR(weather.tbl[[#This Row],[Date]])</f>
        <v>2016</v>
      </c>
    </row>
    <row r="760" spans="1:13" x14ac:dyDescent="0.25">
      <c r="A760" s="1">
        <v>42398</v>
      </c>
      <c r="B760" s="2">
        <v>1.8</v>
      </c>
      <c r="C760" s="2">
        <v>2.2000000000000002</v>
      </c>
      <c r="D760" s="2">
        <v>0.3</v>
      </c>
      <c r="E760" s="2">
        <v>-5.5</v>
      </c>
      <c r="F760" s="2">
        <v>1.9</v>
      </c>
      <c r="G760" s="2">
        <v>2.1</v>
      </c>
      <c r="H760" s="2">
        <f>AVERAGE(weather.tbl[[#This Row],[Estevan]:[Kipling]])</f>
        <v>0.46666666666666662</v>
      </c>
      <c r="I760" s="2">
        <f>_xlfn.STDEV.S(weather.tbl[[#This Row],[Estevan]:[Kipling]])</f>
        <v>3.0044411571316667</v>
      </c>
      <c r="J760" s="2">
        <f t="shared" si="11"/>
        <v>-3.3595238095238096</v>
      </c>
      <c r="K760">
        <f>DAY(weather.tbl[[#This Row],[Date]])</f>
        <v>29</v>
      </c>
      <c r="L760">
        <f>MONTH(weather.tbl[[#This Row],[Date]])</f>
        <v>1</v>
      </c>
      <c r="M760">
        <f>YEAR(weather.tbl[[#This Row],[Date]])</f>
        <v>2016</v>
      </c>
    </row>
    <row r="761" spans="1:13" x14ac:dyDescent="0.25">
      <c r="A761" s="1">
        <v>42399</v>
      </c>
      <c r="B761" s="2">
        <v>-1.9</v>
      </c>
      <c r="C761" s="2">
        <v>-2.1</v>
      </c>
      <c r="D761" s="2">
        <v>-1.8</v>
      </c>
      <c r="E761" s="2">
        <v>0</v>
      </c>
      <c r="F761" s="2">
        <v>-0.1</v>
      </c>
      <c r="G761" s="2">
        <v>-3.3</v>
      </c>
      <c r="H761" s="2">
        <f>AVERAGE(weather.tbl[[#This Row],[Estevan]:[Kipling]])</f>
        <v>-1.5333333333333332</v>
      </c>
      <c r="I761" s="2">
        <f>_xlfn.STDEV.S(weather.tbl[[#This Row],[Estevan]:[Kipling]])</f>
        <v>1.2691204303243513</v>
      </c>
      <c r="J761" s="2">
        <f t="shared" si="11"/>
        <v>-3.3214285714285716</v>
      </c>
      <c r="K761">
        <f>DAY(weather.tbl[[#This Row],[Date]])</f>
        <v>30</v>
      </c>
      <c r="L761">
        <f>MONTH(weather.tbl[[#This Row],[Date]])</f>
        <v>1</v>
      </c>
      <c r="M761">
        <f>YEAR(weather.tbl[[#This Row],[Date]])</f>
        <v>2016</v>
      </c>
    </row>
    <row r="762" spans="1:13" x14ac:dyDescent="0.25">
      <c r="A762" s="1">
        <v>42400</v>
      </c>
      <c r="B762" s="2">
        <v>-5.4</v>
      </c>
      <c r="C762" s="2">
        <v>-5.7</v>
      </c>
      <c r="D762" s="2">
        <v>-5.8</v>
      </c>
      <c r="E762" s="2">
        <v>-3</v>
      </c>
      <c r="F762" s="2">
        <v>-3.2</v>
      </c>
      <c r="G762" s="2">
        <v>-7.5</v>
      </c>
      <c r="H762" s="2">
        <f>AVERAGE(weather.tbl[[#This Row],[Estevan]:[Kipling]])</f>
        <v>-5.1000000000000005</v>
      </c>
      <c r="I762" s="2">
        <f>_xlfn.STDEV.S(weather.tbl[[#This Row],[Estevan]:[Kipling]])</f>
        <v>1.7158088471621755</v>
      </c>
      <c r="J762" s="2">
        <f t="shared" si="11"/>
        <v>-3.240476190476191</v>
      </c>
      <c r="K762">
        <f>DAY(weather.tbl[[#This Row],[Date]])</f>
        <v>31</v>
      </c>
      <c r="L762">
        <f>MONTH(weather.tbl[[#This Row],[Date]])</f>
        <v>1</v>
      </c>
      <c r="M762">
        <f>YEAR(weather.tbl[[#This Row],[Date]])</f>
        <v>2016</v>
      </c>
    </row>
    <row r="763" spans="1:13" x14ac:dyDescent="0.25">
      <c r="A763" s="1">
        <v>42401</v>
      </c>
      <c r="B763" s="2">
        <v>-7.1</v>
      </c>
      <c r="C763" s="2">
        <v>-7.4</v>
      </c>
      <c r="D763" s="2">
        <v>-7.3</v>
      </c>
      <c r="E763" s="2">
        <v>-5.5</v>
      </c>
      <c r="F763" s="2">
        <v>-5.2</v>
      </c>
      <c r="G763" s="2">
        <v>-6.5</v>
      </c>
      <c r="H763" s="2">
        <f>AVERAGE(weather.tbl[[#This Row],[Estevan]:[Kipling]])</f>
        <v>-6.5</v>
      </c>
      <c r="I763" s="2">
        <f>_xlfn.STDEV.S(weather.tbl[[#This Row],[Estevan]:[Kipling]])</f>
        <v>0.94868329805051377</v>
      </c>
      <c r="J763" s="2">
        <f t="shared" si="11"/>
        <v>-3.4119047619047618</v>
      </c>
      <c r="K763">
        <f>DAY(weather.tbl[[#This Row],[Date]])</f>
        <v>1</v>
      </c>
      <c r="L763">
        <f>MONTH(weather.tbl[[#This Row],[Date]])</f>
        <v>2</v>
      </c>
      <c r="M763">
        <f>YEAR(weather.tbl[[#This Row],[Date]])</f>
        <v>2016</v>
      </c>
    </row>
    <row r="764" spans="1:13" x14ac:dyDescent="0.25">
      <c r="A764" s="1">
        <v>42402</v>
      </c>
      <c r="B764" s="2">
        <v>-8.1999999999999993</v>
      </c>
      <c r="C764" s="2">
        <v>-8.9</v>
      </c>
      <c r="D764" s="2">
        <v>-8</v>
      </c>
      <c r="E764" s="2">
        <v>-7.8</v>
      </c>
      <c r="F764" s="2">
        <v>-9.8000000000000007</v>
      </c>
      <c r="G764" s="2">
        <v>-11</v>
      </c>
      <c r="H764" s="2">
        <f>AVERAGE(weather.tbl[[#This Row],[Estevan]:[Kipling]])</f>
        <v>-8.9500000000000011</v>
      </c>
      <c r="I764" s="2">
        <f>_xlfn.STDEV.S(weather.tbl[[#This Row],[Estevan]:[Kipling]])</f>
        <v>1.2421755109484263</v>
      </c>
      <c r="J764" s="2">
        <f t="shared" si="11"/>
        <v>-3.9357142857142864</v>
      </c>
      <c r="K764">
        <f>DAY(weather.tbl[[#This Row],[Date]])</f>
        <v>2</v>
      </c>
      <c r="L764">
        <f>MONTH(weather.tbl[[#This Row],[Date]])</f>
        <v>2</v>
      </c>
      <c r="M764">
        <f>YEAR(weather.tbl[[#This Row],[Date]])</f>
        <v>2016</v>
      </c>
    </row>
    <row r="765" spans="1:13" x14ac:dyDescent="0.25">
      <c r="A765" s="1">
        <v>42403</v>
      </c>
      <c r="B765" s="2">
        <v>-7.1</v>
      </c>
      <c r="C765" s="2">
        <v>-7.5</v>
      </c>
      <c r="D765" s="2">
        <v>-9.5</v>
      </c>
      <c r="E765" s="2">
        <v>-4.8</v>
      </c>
      <c r="F765" s="2">
        <v>-8.3000000000000007</v>
      </c>
      <c r="G765" s="2">
        <v>-9.3000000000000007</v>
      </c>
      <c r="H765" s="2">
        <f>AVERAGE(weather.tbl[[#This Row],[Estevan]:[Kipling]])</f>
        <v>-7.75</v>
      </c>
      <c r="I765" s="2">
        <f>_xlfn.STDEV.S(weather.tbl[[#This Row],[Estevan]:[Kipling]])</f>
        <v>1.7294507798720402</v>
      </c>
      <c r="J765" s="2">
        <f t="shared" si="11"/>
        <v>-4.7285714285714286</v>
      </c>
      <c r="K765">
        <f>DAY(weather.tbl[[#This Row],[Date]])</f>
        <v>3</v>
      </c>
      <c r="L765">
        <f>MONTH(weather.tbl[[#This Row],[Date]])</f>
        <v>2</v>
      </c>
      <c r="M765">
        <f>YEAR(weather.tbl[[#This Row],[Date]])</f>
        <v>2016</v>
      </c>
    </row>
    <row r="766" spans="1:13" x14ac:dyDescent="0.25">
      <c r="A766" s="1">
        <v>42404</v>
      </c>
      <c r="B766" s="2">
        <v>-5.7</v>
      </c>
      <c r="C766" s="2">
        <v>-8.4</v>
      </c>
      <c r="D766" s="2">
        <v>-6</v>
      </c>
      <c r="E766" s="2">
        <v>-8.3000000000000007</v>
      </c>
      <c r="F766" s="2">
        <v>-7.4</v>
      </c>
      <c r="G766" s="2">
        <v>-7.9</v>
      </c>
      <c r="H766" s="2">
        <f>AVERAGE(weather.tbl[[#This Row],[Estevan]:[Kipling]])</f>
        <v>-7.2833333333333341</v>
      </c>
      <c r="I766" s="2">
        <f>_xlfn.STDEV.S(weather.tbl[[#This Row],[Estevan]:[Kipling]])</f>
        <v>1.1686174167222887</v>
      </c>
      <c r="J766" s="2">
        <f t="shared" si="11"/>
        <v>-5.2357142857142858</v>
      </c>
      <c r="K766">
        <f>DAY(weather.tbl[[#This Row],[Date]])</f>
        <v>4</v>
      </c>
      <c r="L766">
        <f>MONTH(weather.tbl[[#This Row],[Date]])</f>
        <v>2</v>
      </c>
      <c r="M766">
        <f>YEAR(weather.tbl[[#This Row],[Date]])</f>
        <v>2016</v>
      </c>
    </row>
    <row r="767" spans="1:13" x14ac:dyDescent="0.25">
      <c r="A767" s="1">
        <v>42405</v>
      </c>
      <c r="B767" s="2">
        <v>-5</v>
      </c>
      <c r="C767" s="2">
        <v>-5.8</v>
      </c>
      <c r="D767" s="2">
        <v>-4.8</v>
      </c>
      <c r="E767" s="2">
        <v>-4.5</v>
      </c>
      <c r="F767" s="2">
        <v>-6.5</v>
      </c>
      <c r="G767" s="2">
        <v>-6.9</v>
      </c>
      <c r="H767" s="2">
        <f>AVERAGE(weather.tbl[[#This Row],[Estevan]:[Kipling]])</f>
        <v>-5.583333333333333</v>
      </c>
      <c r="I767" s="2">
        <f>_xlfn.STDEV.S(weather.tbl[[#This Row],[Estevan]:[Kipling]])</f>
        <v>0.97450842308656971</v>
      </c>
      <c r="J767" s="2">
        <f t="shared" si="11"/>
        <v>-6.1000000000000005</v>
      </c>
      <c r="K767">
        <f>DAY(weather.tbl[[#This Row],[Date]])</f>
        <v>5</v>
      </c>
      <c r="L767">
        <f>MONTH(weather.tbl[[#This Row],[Date]])</f>
        <v>2</v>
      </c>
      <c r="M767">
        <f>YEAR(weather.tbl[[#This Row],[Date]])</f>
        <v>2016</v>
      </c>
    </row>
    <row r="768" spans="1:13" x14ac:dyDescent="0.25">
      <c r="A768" s="1">
        <v>42406</v>
      </c>
      <c r="B768" s="2">
        <v>1.4</v>
      </c>
      <c r="C768" s="2">
        <v>0.5</v>
      </c>
      <c r="D768" s="2">
        <v>-0.8</v>
      </c>
      <c r="E768" s="2">
        <v>0.5</v>
      </c>
      <c r="F768" s="2">
        <v>1.9</v>
      </c>
      <c r="G768" s="2">
        <v>-0.6</v>
      </c>
      <c r="H768" s="2">
        <f>AVERAGE(weather.tbl[[#This Row],[Estevan]:[Kipling]])</f>
        <v>0.48333333333333334</v>
      </c>
      <c r="I768" s="2">
        <f>_xlfn.STDEV.S(weather.tbl[[#This Row],[Estevan]:[Kipling]])</f>
        <v>1.064737839407742</v>
      </c>
      <c r="J768" s="2">
        <f t="shared" si="11"/>
        <v>-5.8119047619047626</v>
      </c>
      <c r="K768">
        <f>DAY(weather.tbl[[#This Row],[Date]])</f>
        <v>6</v>
      </c>
      <c r="L768">
        <f>MONTH(weather.tbl[[#This Row],[Date]])</f>
        <v>2</v>
      </c>
      <c r="M768">
        <f>YEAR(weather.tbl[[#This Row],[Date]])</f>
        <v>2016</v>
      </c>
    </row>
    <row r="769" spans="1:13" x14ac:dyDescent="0.25">
      <c r="A769" s="1">
        <v>42407</v>
      </c>
      <c r="B769" s="2">
        <v>-2.2000000000000002</v>
      </c>
      <c r="C769" s="2">
        <v>-2.4</v>
      </c>
      <c r="D769" s="2">
        <v>-4.5</v>
      </c>
      <c r="E769" s="2">
        <v>-1</v>
      </c>
      <c r="F769" s="2">
        <v>-1.6</v>
      </c>
      <c r="G769" s="2">
        <v>-6.5</v>
      </c>
      <c r="H769" s="2">
        <f>AVERAGE(weather.tbl[[#This Row],[Estevan]:[Kipling]])</f>
        <v>-3.0333333333333332</v>
      </c>
      <c r="I769" s="2">
        <f>_xlfn.STDEV.S(weather.tbl[[#This Row],[Estevan]:[Kipling]])</f>
        <v>2.0713924463188205</v>
      </c>
      <c r="J769" s="2">
        <f t="shared" si="11"/>
        <v>-5.5166666666666666</v>
      </c>
      <c r="K769">
        <f>DAY(weather.tbl[[#This Row],[Date]])</f>
        <v>7</v>
      </c>
      <c r="L769">
        <f>MONTH(weather.tbl[[#This Row],[Date]])</f>
        <v>2</v>
      </c>
      <c r="M769">
        <f>YEAR(weather.tbl[[#This Row],[Date]])</f>
        <v>2016</v>
      </c>
    </row>
    <row r="770" spans="1:13" x14ac:dyDescent="0.25">
      <c r="A770" s="1">
        <v>42408</v>
      </c>
      <c r="B770" s="2">
        <v>-5.0999999999999996</v>
      </c>
      <c r="C770" s="2">
        <v>-5.2</v>
      </c>
      <c r="D770" s="2">
        <v>-6.5</v>
      </c>
      <c r="E770" s="2">
        <v>-3.5</v>
      </c>
      <c r="F770" s="2">
        <v>-7.1</v>
      </c>
      <c r="G770" s="2">
        <v>-7.5</v>
      </c>
      <c r="H770" s="2">
        <f>AVERAGE(weather.tbl[[#This Row],[Estevan]:[Kipling]])</f>
        <v>-5.8166666666666664</v>
      </c>
      <c r="I770" s="2">
        <f>_xlfn.STDEV.S(weather.tbl[[#This Row],[Estevan]:[Kipling]])</f>
        <v>1.4972196454317124</v>
      </c>
      <c r="J770" s="2">
        <f t="shared" si="11"/>
        <v>-5.4190476190476193</v>
      </c>
      <c r="K770">
        <f>DAY(weather.tbl[[#This Row],[Date]])</f>
        <v>8</v>
      </c>
      <c r="L770">
        <f>MONTH(weather.tbl[[#This Row],[Date]])</f>
        <v>2</v>
      </c>
      <c r="M770">
        <f>YEAR(weather.tbl[[#This Row],[Date]])</f>
        <v>2016</v>
      </c>
    </row>
    <row r="771" spans="1:13" x14ac:dyDescent="0.25">
      <c r="A771" s="1">
        <v>42409</v>
      </c>
      <c r="B771" s="2">
        <v>-3.3</v>
      </c>
      <c r="C771" s="2">
        <v>-3.9</v>
      </c>
      <c r="D771" s="2">
        <v>-4.5</v>
      </c>
      <c r="E771" s="2">
        <v>-3</v>
      </c>
      <c r="F771" s="2">
        <v>-6.1</v>
      </c>
      <c r="G771" s="2">
        <v>-4.5</v>
      </c>
      <c r="H771" s="2">
        <f>AVERAGE(weather.tbl[[#This Row],[Estevan]:[Kipling]])</f>
        <v>-4.2166666666666659</v>
      </c>
      <c r="I771" s="2">
        <f>_xlfn.STDEV.S(weather.tbl[[#This Row],[Estevan]:[Kipling]])</f>
        <v>1.1070983093956344</v>
      </c>
      <c r="J771" s="2">
        <f t="shared" si="11"/>
        <v>-4.742857142857142</v>
      </c>
      <c r="K771">
        <f>DAY(weather.tbl[[#This Row],[Date]])</f>
        <v>9</v>
      </c>
      <c r="L771">
        <f>MONTH(weather.tbl[[#This Row],[Date]])</f>
        <v>2</v>
      </c>
      <c r="M771">
        <f>YEAR(weather.tbl[[#This Row],[Date]])</f>
        <v>2016</v>
      </c>
    </row>
    <row r="772" spans="1:13" x14ac:dyDescent="0.25">
      <c r="A772" s="1">
        <v>42410</v>
      </c>
      <c r="B772" s="2">
        <v>-8</v>
      </c>
      <c r="C772" s="2">
        <v>-6.7</v>
      </c>
      <c r="D772" s="2">
        <v>-11.8</v>
      </c>
      <c r="E772" s="2">
        <v>-5</v>
      </c>
      <c r="F772" s="2">
        <v>-12.5</v>
      </c>
      <c r="G772" s="2">
        <v>-11.3</v>
      </c>
      <c r="H772" s="2">
        <f>AVERAGE(weather.tbl[[#This Row],[Estevan]:[Kipling]])</f>
        <v>-9.2166666666666668</v>
      </c>
      <c r="I772" s="2">
        <f>_xlfn.STDEV.S(weather.tbl[[#This Row],[Estevan]:[Kipling]])</f>
        <v>3.0785819246313206</v>
      </c>
      <c r="J772" s="2">
        <f t="shared" si="11"/>
        <v>-4.9523809523809517</v>
      </c>
      <c r="K772">
        <f>DAY(weather.tbl[[#This Row],[Date]])</f>
        <v>10</v>
      </c>
      <c r="L772">
        <f>MONTH(weather.tbl[[#This Row],[Date]])</f>
        <v>2</v>
      </c>
      <c r="M772">
        <f>YEAR(weather.tbl[[#This Row],[Date]])</f>
        <v>2016</v>
      </c>
    </row>
    <row r="773" spans="1:13" x14ac:dyDescent="0.25">
      <c r="A773" s="1">
        <v>42411</v>
      </c>
      <c r="B773" s="2">
        <v>-9.1</v>
      </c>
      <c r="C773" s="2">
        <v>-9.6999999999999993</v>
      </c>
      <c r="D773" s="2">
        <v>-10.8</v>
      </c>
      <c r="E773" s="2">
        <v>-8</v>
      </c>
      <c r="F773" s="2">
        <v>-15.5</v>
      </c>
      <c r="G773" s="2">
        <v>-11.7</v>
      </c>
      <c r="H773" s="2">
        <f>AVERAGE(weather.tbl[[#This Row],[Estevan]:[Kipling]])</f>
        <v>-10.799999999999999</v>
      </c>
      <c r="I773" s="2">
        <f>_xlfn.STDEV.S(weather.tbl[[#This Row],[Estevan]:[Kipling]])</f>
        <v>2.6396969523034239</v>
      </c>
      <c r="J773" s="2">
        <f t="shared" si="11"/>
        <v>-5.454761904761904</v>
      </c>
      <c r="K773">
        <f>DAY(weather.tbl[[#This Row],[Date]])</f>
        <v>11</v>
      </c>
      <c r="L773">
        <f>MONTH(weather.tbl[[#This Row],[Date]])</f>
        <v>2</v>
      </c>
      <c r="M773">
        <f>YEAR(weather.tbl[[#This Row],[Date]])</f>
        <v>2016</v>
      </c>
    </row>
    <row r="774" spans="1:13" x14ac:dyDescent="0.25">
      <c r="A774" s="1">
        <v>42412</v>
      </c>
      <c r="B774" s="2">
        <v>-15.4</v>
      </c>
      <c r="C774" s="2">
        <v>-16</v>
      </c>
      <c r="D774" s="2">
        <v>-19.8</v>
      </c>
      <c r="E774" s="2">
        <v>-15</v>
      </c>
      <c r="F774" s="2">
        <v>-22.2</v>
      </c>
      <c r="G774" s="2">
        <v>-20</v>
      </c>
      <c r="H774" s="2">
        <f>AVERAGE(weather.tbl[[#This Row],[Estevan]:[Kipling]])</f>
        <v>-18.066666666666666</v>
      </c>
      <c r="I774" s="2">
        <f>_xlfn.STDEV.S(weather.tbl[[#This Row],[Estevan]:[Kipling]])</f>
        <v>2.9870833042730163</v>
      </c>
      <c r="J774" s="2">
        <f t="shared" si="11"/>
        <v>-7.2380952380952364</v>
      </c>
      <c r="K774">
        <f>DAY(weather.tbl[[#This Row],[Date]])</f>
        <v>12</v>
      </c>
      <c r="L774">
        <f>MONTH(weather.tbl[[#This Row],[Date]])</f>
        <v>2</v>
      </c>
      <c r="M774">
        <f>YEAR(weather.tbl[[#This Row],[Date]])</f>
        <v>2016</v>
      </c>
    </row>
    <row r="775" spans="1:13" x14ac:dyDescent="0.25">
      <c r="A775" s="1">
        <v>42413</v>
      </c>
      <c r="B775" s="2">
        <v>-11.2</v>
      </c>
      <c r="C775" s="2">
        <v>-9.5</v>
      </c>
      <c r="D775" s="2">
        <v>-12.5</v>
      </c>
      <c r="E775" s="2">
        <v>-7.8</v>
      </c>
      <c r="F775" s="2">
        <v>-16</v>
      </c>
      <c r="G775" s="2">
        <v>-13.1</v>
      </c>
      <c r="H775" s="2">
        <f>AVERAGE(weather.tbl[[#This Row],[Estevan]:[Kipling]])</f>
        <v>-11.683333333333332</v>
      </c>
      <c r="I775" s="2">
        <f>_xlfn.STDEV.S(weather.tbl[[#This Row],[Estevan]:[Kipling]])</f>
        <v>2.8770934407256719</v>
      </c>
      <c r="J775" s="2">
        <f t="shared" si="11"/>
        <v>-8.9761904761904745</v>
      </c>
      <c r="K775">
        <f>DAY(weather.tbl[[#This Row],[Date]])</f>
        <v>13</v>
      </c>
      <c r="L775">
        <f>MONTH(weather.tbl[[#This Row],[Date]])</f>
        <v>2</v>
      </c>
      <c r="M775">
        <f>YEAR(weather.tbl[[#This Row],[Date]])</f>
        <v>2016</v>
      </c>
    </row>
    <row r="776" spans="1:13" x14ac:dyDescent="0.25">
      <c r="A776" s="1">
        <v>42414</v>
      </c>
      <c r="B776" s="2">
        <v>-3.2</v>
      </c>
      <c r="C776" s="2">
        <v>-1.5</v>
      </c>
      <c r="D776" s="2">
        <v>-5</v>
      </c>
      <c r="E776" s="2">
        <v>-7.8</v>
      </c>
      <c r="F776" s="2">
        <v>-5.4</v>
      </c>
      <c r="G776" s="2">
        <v>-4.7</v>
      </c>
      <c r="H776" s="2">
        <f>AVERAGE(weather.tbl[[#This Row],[Estevan]:[Kipling]])</f>
        <v>-4.5999999999999996</v>
      </c>
      <c r="I776" s="2">
        <f>_xlfn.STDEV.S(weather.tbl[[#This Row],[Estevan]:[Kipling]])</f>
        <v>2.1269696753832683</v>
      </c>
      <c r="J776" s="2">
        <f t="shared" si="11"/>
        <v>-9.1999999999999993</v>
      </c>
      <c r="K776">
        <f>DAY(weather.tbl[[#This Row],[Date]])</f>
        <v>14</v>
      </c>
      <c r="L776">
        <f>MONTH(weather.tbl[[#This Row],[Date]])</f>
        <v>2</v>
      </c>
      <c r="M776">
        <f>YEAR(weather.tbl[[#This Row],[Date]])</f>
        <v>2016</v>
      </c>
    </row>
    <row r="777" spans="1:13" x14ac:dyDescent="0.25">
      <c r="A777" s="1">
        <v>42415</v>
      </c>
      <c r="B777" s="2">
        <v>-4.2</v>
      </c>
      <c r="C777" s="2">
        <v>-3.9</v>
      </c>
      <c r="D777" s="2">
        <v>-4.3</v>
      </c>
      <c r="E777" s="2">
        <v>-2.8</v>
      </c>
      <c r="F777" s="2">
        <v>-6.5</v>
      </c>
      <c r="G777" s="2">
        <v>-4.3</v>
      </c>
      <c r="H777" s="2">
        <f>AVERAGE(weather.tbl[[#This Row],[Estevan]:[Kipling]])</f>
        <v>-4.333333333333333</v>
      </c>
      <c r="I777" s="2">
        <f>_xlfn.STDEV.S(weather.tbl[[#This Row],[Estevan]:[Kipling]])</f>
        <v>1.2044362443345293</v>
      </c>
      <c r="J777" s="2">
        <f t="shared" si="11"/>
        <v>-8.9880952380952372</v>
      </c>
      <c r="K777">
        <f>DAY(weather.tbl[[#This Row],[Date]])</f>
        <v>15</v>
      </c>
      <c r="L777">
        <f>MONTH(weather.tbl[[#This Row],[Date]])</f>
        <v>2</v>
      </c>
      <c r="M777">
        <f>YEAR(weather.tbl[[#This Row],[Date]])</f>
        <v>2016</v>
      </c>
    </row>
    <row r="778" spans="1:13" x14ac:dyDescent="0.25">
      <c r="A778" s="1">
        <v>42416</v>
      </c>
      <c r="B778" s="2">
        <v>-4.4000000000000004</v>
      </c>
      <c r="C778" s="2">
        <v>-3.9</v>
      </c>
      <c r="D778" s="2">
        <v>-7</v>
      </c>
      <c r="E778" s="2">
        <v>-1.3</v>
      </c>
      <c r="F778" s="2">
        <v>-10</v>
      </c>
      <c r="G778" s="2">
        <v>-6.1</v>
      </c>
      <c r="H778" s="2">
        <f>AVERAGE(weather.tbl[[#This Row],[Estevan]:[Kipling]])</f>
        <v>-5.45</v>
      </c>
      <c r="I778" s="2">
        <f>_xlfn.STDEV.S(weather.tbl[[#This Row],[Estevan]:[Kipling]])</f>
        <v>2.9750630245425036</v>
      </c>
      <c r="J778" s="2">
        <f t="shared" ref="J778:J841" si="12">AVERAGE(H772:H778)</f>
        <v>-9.1642857142857128</v>
      </c>
      <c r="K778">
        <f>DAY(weather.tbl[[#This Row],[Date]])</f>
        <v>16</v>
      </c>
      <c r="L778">
        <f>MONTH(weather.tbl[[#This Row],[Date]])</f>
        <v>2</v>
      </c>
      <c r="M778">
        <f>YEAR(weather.tbl[[#This Row],[Date]])</f>
        <v>2016</v>
      </c>
    </row>
    <row r="779" spans="1:13" x14ac:dyDescent="0.25">
      <c r="A779" s="1">
        <v>42417</v>
      </c>
      <c r="B779" s="2">
        <v>-2</v>
      </c>
      <c r="C779" s="2">
        <v>-3.3</v>
      </c>
      <c r="D779" s="2">
        <v>-4.5</v>
      </c>
      <c r="E779" s="2">
        <v>-1.8</v>
      </c>
      <c r="F779" s="2">
        <v>-4.0999999999999996</v>
      </c>
      <c r="G779" s="2">
        <v>-6.1</v>
      </c>
      <c r="H779" s="2">
        <f>AVERAGE(weather.tbl[[#This Row],[Estevan]:[Kipling]])</f>
        <v>-3.6333333333333333</v>
      </c>
      <c r="I779" s="2">
        <f>_xlfn.STDEV.S(weather.tbl[[#This Row],[Estevan]:[Kipling]])</f>
        <v>1.624397324137991</v>
      </c>
      <c r="J779" s="2">
        <f t="shared" si="12"/>
        <v>-8.3666666666666671</v>
      </c>
      <c r="K779">
        <f>DAY(weather.tbl[[#This Row],[Date]])</f>
        <v>17</v>
      </c>
      <c r="L779">
        <f>MONTH(weather.tbl[[#This Row],[Date]])</f>
        <v>2</v>
      </c>
      <c r="M779">
        <f>YEAR(weather.tbl[[#This Row],[Date]])</f>
        <v>2016</v>
      </c>
    </row>
    <row r="780" spans="1:13" x14ac:dyDescent="0.25">
      <c r="A780" s="1">
        <v>42418</v>
      </c>
      <c r="B780" s="2">
        <v>-0.7</v>
      </c>
      <c r="C780" s="2">
        <v>-0.6</v>
      </c>
      <c r="D780" s="2">
        <v>0.3</v>
      </c>
      <c r="E780" s="2">
        <v>3</v>
      </c>
      <c r="F780" s="2">
        <v>-0.4</v>
      </c>
      <c r="G780" s="2">
        <v>-0.5</v>
      </c>
      <c r="H780" s="2">
        <f>AVERAGE(weather.tbl[[#This Row],[Estevan]:[Kipling]])</f>
        <v>0.18333333333333335</v>
      </c>
      <c r="I780" s="2">
        <f>_xlfn.STDEV.S(weather.tbl[[#This Row],[Estevan]:[Kipling]])</f>
        <v>1.4246637030073681</v>
      </c>
      <c r="J780" s="2">
        <f t="shared" si="12"/>
        <v>-6.7976190476190492</v>
      </c>
      <c r="K780">
        <f>DAY(weather.tbl[[#This Row],[Date]])</f>
        <v>18</v>
      </c>
      <c r="L780">
        <f>MONTH(weather.tbl[[#This Row],[Date]])</f>
        <v>2</v>
      </c>
      <c r="M780">
        <f>YEAR(weather.tbl[[#This Row],[Date]])</f>
        <v>2016</v>
      </c>
    </row>
    <row r="781" spans="1:13" x14ac:dyDescent="0.25">
      <c r="A781" s="1">
        <v>42419</v>
      </c>
      <c r="B781" s="2">
        <v>3</v>
      </c>
      <c r="C781" s="2">
        <v>1.6</v>
      </c>
      <c r="D781" s="2">
        <v>2.8</v>
      </c>
      <c r="E781" s="2">
        <v>3</v>
      </c>
      <c r="F781" s="2">
        <v>2.6</v>
      </c>
      <c r="G781" s="2">
        <v>1</v>
      </c>
      <c r="H781" s="2">
        <f>AVERAGE(weather.tbl[[#This Row],[Estevan]:[Kipling]])</f>
        <v>2.333333333333333</v>
      </c>
      <c r="I781" s="2">
        <f>_xlfn.STDEV.S(weather.tbl[[#This Row],[Estevan]:[Kipling]])</f>
        <v>0.83586282766173292</v>
      </c>
      <c r="J781" s="2">
        <f t="shared" si="12"/>
        <v>-3.8833333333333329</v>
      </c>
      <c r="K781">
        <f>DAY(weather.tbl[[#This Row],[Date]])</f>
        <v>19</v>
      </c>
      <c r="L781">
        <f>MONTH(weather.tbl[[#This Row],[Date]])</f>
        <v>2</v>
      </c>
      <c r="M781">
        <f>YEAR(weather.tbl[[#This Row],[Date]])</f>
        <v>2016</v>
      </c>
    </row>
    <row r="782" spans="1:13" x14ac:dyDescent="0.25">
      <c r="A782" s="1">
        <v>42420</v>
      </c>
      <c r="B782" s="2">
        <v>-3</v>
      </c>
      <c r="C782" s="2">
        <v>-5.0999999999999996</v>
      </c>
      <c r="D782" s="2">
        <v>-4</v>
      </c>
      <c r="E782" s="2">
        <v>3</v>
      </c>
      <c r="F782" s="2">
        <v>-5.0999999999999996</v>
      </c>
      <c r="G782" s="2">
        <v>-8.9</v>
      </c>
      <c r="H782" s="2">
        <f>AVERAGE(weather.tbl[[#This Row],[Estevan]:[Kipling]])</f>
        <v>-3.85</v>
      </c>
      <c r="I782" s="2">
        <f>_xlfn.STDEV.S(weather.tbl[[#This Row],[Estevan]:[Kipling]])</f>
        <v>3.9062769999066891</v>
      </c>
      <c r="J782" s="2">
        <f t="shared" si="12"/>
        <v>-2.7642857142857147</v>
      </c>
      <c r="K782">
        <f>DAY(weather.tbl[[#This Row],[Date]])</f>
        <v>20</v>
      </c>
      <c r="L782">
        <f>MONTH(weather.tbl[[#This Row],[Date]])</f>
        <v>2</v>
      </c>
      <c r="M782">
        <f>YEAR(weather.tbl[[#This Row],[Date]])</f>
        <v>2016</v>
      </c>
    </row>
    <row r="783" spans="1:13" x14ac:dyDescent="0.25">
      <c r="A783" s="1">
        <v>42421</v>
      </c>
      <c r="B783" s="2">
        <v>-4.4000000000000004</v>
      </c>
      <c r="C783" s="2">
        <v>-4.0999999999999996</v>
      </c>
      <c r="D783" s="2">
        <v>-5.3</v>
      </c>
      <c r="E783" s="2">
        <v>3</v>
      </c>
      <c r="F783" s="2">
        <v>-6.2</v>
      </c>
      <c r="G783" s="2">
        <v>-6.2</v>
      </c>
      <c r="H783" s="2">
        <f>AVERAGE(weather.tbl[[#This Row],[Estevan]:[Kipling]])</f>
        <v>-3.8666666666666667</v>
      </c>
      <c r="I783" s="2">
        <f>_xlfn.STDEV.S(weather.tbl[[#This Row],[Estevan]:[Kipling]])</f>
        <v>3.4765883660086465</v>
      </c>
      <c r="J783" s="2">
        <f t="shared" si="12"/>
        <v>-2.659523809523809</v>
      </c>
      <c r="K783">
        <f>DAY(weather.tbl[[#This Row],[Date]])</f>
        <v>21</v>
      </c>
      <c r="L783">
        <f>MONTH(weather.tbl[[#This Row],[Date]])</f>
        <v>2</v>
      </c>
      <c r="M783">
        <f>YEAR(weather.tbl[[#This Row],[Date]])</f>
        <v>2016</v>
      </c>
    </row>
    <row r="784" spans="1:13" x14ac:dyDescent="0.25">
      <c r="A784" s="1">
        <v>42422</v>
      </c>
      <c r="B784" s="2">
        <v>0.1</v>
      </c>
      <c r="C784" s="2">
        <v>-1.4</v>
      </c>
      <c r="D784" s="2">
        <v>-5.3</v>
      </c>
      <c r="E784" s="2">
        <v>0</v>
      </c>
      <c r="F784" s="2">
        <v>1.8</v>
      </c>
      <c r="G784" s="2">
        <v>0.3</v>
      </c>
      <c r="H784" s="2">
        <f>AVERAGE(weather.tbl[[#This Row],[Estevan]:[Kipling]])</f>
        <v>-0.75</v>
      </c>
      <c r="I784" s="2">
        <f>_xlfn.STDEV.S(weather.tbl[[#This Row],[Estevan]:[Kipling]])</f>
        <v>2.4501020386914503</v>
      </c>
      <c r="J784" s="2">
        <f t="shared" si="12"/>
        <v>-2.147619047619048</v>
      </c>
      <c r="K784">
        <f>DAY(weather.tbl[[#This Row],[Date]])</f>
        <v>22</v>
      </c>
      <c r="L784">
        <f>MONTH(weather.tbl[[#This Row],[Date]])</f>
        <v>2</v>
      </c>
      <c r="M784">
        <f>YEAR(weather.tbl[[#This Row],[Date]])</f>
        <v>2016</v>
      </c>
    </row>
    <row r="785" spans="1:13" x14ac:dyDescent="0.25">
      <c r="A785" s="1">
        <v>42423</v>
      </c>
      <c r="B785" s="2">
        <v>-0.7</v>
      </c>
      <c r="C785" s="2">
        <v>-1</v>
      </c>
      <c r="D785" s="2">
        <v>-1.3</v>
      </c>
      <c r="E785" s="2">
        <v>0.3</v>
      </c>
      <c r="F785" s="2">
        <v>-0.4</v>
      </c>
      <c r="G785" s="2">
        <v>-4.4000000000000004</v>
      </c>
      <c r="H785" s="2">
        <f>AVERAGE(weather.tbl[[#This Row],[Estevan]:[Kipling]])</f>
        <v>-1.25</v>
      </c>
      <c r="I785" s="2">
        <f>_xlfn.STDEV.S(weather.tbl[[#This Row],[Estevan]:[Kipling]])</f>
        <v>1.6379865689315041</v>
      </c>
      <c r="J785" s="2">
        <f t="shared" si="12"/>
        <v>-1.5476190476190477</v>
      </c>
      <c r="K785">
        <f>DAY(weather.tbl[[#This Row],[Date]])</f>
        <v>23</v>
      </c>
      <c r="L785">
        <f>MONTH(weather.tbl[[#This Row],[Date]])</f>
        <v>2</v>
      </c>
      <c r="M785">
        <f>YEAR(weather.tbl[[#This Row],[Date]])</f>
        <v>2016</v>
      </c>
    </row>
    <row r="786" spans="1:13" x14ac:dyDescent="0.25">
      <c r="A786" s="1">
        <v>42424</v>
      </c>
      <c r="B786" s="2">
        <v>-3.5</v>
      </c>
      <c r="C786" s="2">
        <v>-3.4</v>
      </c>
      <c r="D786" s="2">
        <v>-2.8</v>
      </c>
      <c r="E786" s="2">
        <v>-0.8</v>
      </c>
      <c r="F786" s="2">
        <v>-4</v>
      </c>
      <c r="G786" s="2">
        <v>-4.2</v>
      </c>
      <c r="H786" s="2">
        <f>AVERAGE(weather.tbl[[#This Row],[Estevan]:[Kipling]])</f>
        <v>-3.1166666666666667</v>
      </c>
      <c r="I786" s="2">
        <f>_xlfn.STDEV.S(weather.tbl[[#This Row],[Estevan]:[Kipling]])</f>
        <v>1.2367969383317003</v>
      </c>
      <c r="J786" s="2">
        <f t="shared" si="12"/>
        <v>-1.4738095238095237</v>
      </c>
      <c r="K786">
        <f>DAY(weather.tbl[[#This Row],[Date]])</f>
        <v>24</v>
      </c>
      <c r="L786">
        <f>MONTH(weather.tbl[[#This Row],[Date]])</f>
        <v>2</v>
      </c>
      <c r="M786">
        <f>YEAR(weather.tbl[[#This Row],[Date]])</f>
        <v>2016</v>
      </c>
    </row>
    <row r="787" spans="1:13" x14ac:dyDescent="0.25">
      <c r="A787" s="1">
        <v>42425</v>
      </c>
      <c r="B787" s="2">
        <v>-4.4000000000000004</v>
      </c>
      <c r="C787" s="2">
        <v>-4</v>
      </c>
      <c r="D787" s="2">
        <v>-3.3</v>
      </c>
      <c r="E787" s="2">
        <v>-3.3</v>
      </c>
      <c r="F787" s="2">
        <v>-4.2</v>
      </c>
      <c r="G787" s="2">
        <v>-6.9</v>
      </c>
      <c r="H787" s="2">
        <f>AVERAGE(weather.tbl[[#This Row],[Estevan]:[Kipling]])</f>
        <v>-4.3500000000000005</v>
      </c>
      <c r="I787" s="2">
        <f>_xlfn.STDEV.S(weather.tbl[[#This Row],[Estevan]:[Kipling]])</f>
        <v>1.3307892395116518</v>
      </c>
      <c r="J787" s="2">
        <f t="shared" si="12"/>
        <v>-2.1214285714285714</v>
      </c>
      <c r="K787">
        <f>DAY(weather.tbl[[#This Row],[Date]])</f>
        <v>25</v>
      </c>
      <c r="L787">
        <f>MONTH(weather.tbl[[#This Row],[Date]])</f>
        <v>2</v>
      </c>
      <c r="M787">
        <f>YEAR(weather.tbl[[#This Row],[Date]])</f>
        <v>2016</v>
      </c>
    </row>
    <row r="788" spans="1:13" x14ac:dyDescent="0.25">
      <c r="A788" s="1">
        <v>42426</v>
      </c>
      <c r="B788" s="2">
        <v>3.4</v>
      </c>
      <c r="C788" s="2">
        <v>4.5999999999999996</v>
      </c>
      <c r="D788" s="2">
        <v>2.8</v>
      </c>
      <c r="E788" s="2">
        <v>5.3</v>
      </c>
      <c r="F788" s="2">
        <v>1.5</v>
      </c>
      <c r="G788" s="2">
        <v>0</v>
      </c>
      <c r="H788" s="2">
        <f>AVERAGE(weather.tbl[[#This Row],[Estevan]:[Kipling]])</f>
        <v>2.9333333333333336</v>
      </c>
      <c r="I788" s="2">
        <f>_xlfn.STDEV.S(weather.tbl[[#This Row],[Estevan]:[Kipling]])</f>
        <v>1.9633305036765114</v>
      </c>
      <c r="J788" s="2">
        <f t="shared" si="12"/>
        <v>-2.0357142857142856</v>
      </c>
      <c r="K788">
        <f>DAY(weather.tbl[[#This Row],[Date]])</f>
        <v>26</v>
      </c>
      <c r="L788">
        <f>MONTH(weather.tbl[[#This Row],[Date]])</f>
        <v>2</v>
      </c>
      <c r="M788">
        <f>YEAR(weather.tbl[[#This Row],[Date]])</f>
        <v>2016</v>
      </c>
    </row>
    <row r="789" spans="1:13" x14ac:dyDescent="0.25">
      <c r="A789" s="1">
        <v>42427</v>
      </c>
      <c r="B789" s="2">
        <v>1.8</v>
      </c>
      <c r="C789" s="2">
        <v>2.7</v>
      </c>
      <c r="D789" s="2">
        <v>1.3</v>
      </c>
      <c r="E789" s="2">
        <v>3.8</v>
      </c>
      <c r="F789" s="2">
        <v>-2.8</v>
      </c>
      <c r="G789" s="2">
        <v>-0.1</v>
      </c>
      <c r="H789" s="2">
        <f>AVERAGE(weather.tbl[[#This Row],[Estevan]:[Kipling]])</f>
        <v>1.1166666666666667</v>
      </c>
      <c r="I789" s="2">
        <f>_xlfn.STDEV.S(weather.tbl[[#This Row],[Estevan]:[Kipling]])</f>
        <v>2.3250089605562096</v>
      </c>
      <c r="J789" s="2">
        <f t="shared" si="12"/>
        <v>-1.3261904761904764</v>
      </c>
      <c r="K789">
        <f>DAY(weather.tbl[[#This Row],[Date]])</f>
        <v>27</v>
      </c>
      <c r="L789">
        <f>MONTH(weather.tbl[[#This Row],[Date]])</f>
        <v>2</v>
      </c>
      <c r="M789">
        <f>YEAR(weather.tbl[[#This Row],[Date]])</f>
        <v>2016</v>
      </c>
    </row>
    <row r="790" spans="1:13" x14ac:dyDescent="0.25">
      <c r="A790" s="1">
        <v>42428</v>
      </c>
      <c r="B790" s="2">
        <v>-1.1000000000000001</v>
      </c>
      <c r="C790" s="2">
        <v>-1.9</v>
      </c>
      <c r="D790" s="2">
        <v>-1</v>
      </c>
      <c r="E790" s="2">
        <v>3.8</v>
      </c>
      <c r="F790" s="2">
        <v>-4.3</v>
      </c>
      <c r="G790" s="2">
        <v>-3.5</v>
      </c>
      <c r="H790" s="2">
        <f>AVERAGE(weather.tbl[[#This Row],[Estevan]:[Kipling]])</f>
        <v>-1.3333333333333333</v>
      </c>
      <c r="I790" s="2">
        <f>_xlfn.STDEV.S(weather.tbl[[#This Row],[Estevan]:[Kipling]])</f>
        <v>2.8401877872187722</v>
      </c>
      <c r="J790" s="2">
        <f t="shared" si="12"/>
        <v>-0.96428571428571441</v>
      </c>
      <c r="K790">
        <f>DAY(weather.tbl[[#This Row],[Date]])</f>
        <v>28</v>
      </c>
      <c r="L790">
        <f>MONTH(weather.tbl[[#This Row],[Date]])</f>
        <v>2</v>
      </c>
      <c r="M790">
        <f>YEAR(weather.tbl[[#This Row],[Date]])</f>
        <v>2016</v>
      </c>
    </row>
    <row r="791" spans="1:13" x14ac:dyDescent="0.25">
      <c r="A791" s="1">
        <v>42429</v>
      </c>
      <c r="B791" s="2">
        <v>-13.4</v>
      </c>
      <c r="C791" s="2">
        <v>-13.3</v>
      </c>
      <c r="D791" s="2">
        <v>-12.8</v>
      </c>
      <c r="E791" s="2">
        <v>-11.8</v>
      </c>
      <c r="F791" s="2">
        <v>-15.6</v>
      </c>
      <c r="G791" s="2">
        <v>-16.7</v>
      </c>
      <c r="H791" s="2">
        <f>AVERAGE(weather.tbl[[#This Row],[Estevan]:[Kipling]])</f>
        <v>-13.933333333333332</v>
      </c>
      <c r="I791" s="2">
        <f>_xlfn.STDEV.S(weather.tbl[[#This Row],[Estevan]:[Kipling]])</f>
        <v>1.8413762968678402</v>
      </c>
      <c r="J791" s="2">
        <f t="shared" si="12"/>
        <v>-2.8476190476190477</v>
      </c>
      <c r="K791">
        <f>DAY(weather.tbl[[#This Row],[Date]])</f>
        <v>29</v>
      </c>
      <c r="L791">
        <f>MONTH(weather.tbl[[#This Row],[Date]])</f>
        <v>2</v>
      </c>
      <c r="M791">
        <f>YEAR(weather.tbl[[#This Row],[Date]])</f>
        <v>2016</v>
      </c>
    </row>
    <row r="792" spans="1:13" x14ac:dyDescent="0.25">
      <c r="A792" s="1">
        <v>42430</v>
      </c>
      <c r="B792" s="2">
        <v>-8.5</v>
      </c>
      <c r="C792" s="2">
        <v>-8.1999999999999993</v>
      </c>
      <c r="D792" s="2">
        <v>-11</v>
      </c>
      <c r="E792" s="2">
        <v>-7</v>
      </c>
      <c r="F792" s="2">
        <v>-10.6</v>
      </c>
      <c r="G792" s="2">
        <v>-11.3</v>
      </c>
      <c r="H792" s="2">
        <f>AVERAGE(weather.tbl[[#This Row],[Estevan]:[Kipling]])</f>
        <v>-9.4333333333333353</v>
      </c>
      <c r="I792" s="2">
        <f>_xlfn.STDEV.S(weather.tbl[[#This Row],[Estevan]:[Kipling]])</f>
        <v>1.7671068633975269</v>
      </c>
      <c r="J792" s="2">
        <f t="shared" si="12"/>
        <v>-4.0166666666666666</v>
      </c>
      <c r="K792">
        <f>DAY(weather.tbl[[#This Row],[Date]])</f>
        <v>1</v>
      </c>
      <c r="L792">
        <f>MONTH(weather.tbl[[#This Row],[Date]])</f>
        <v>3</v>
      </c>
      <c r="M792">
        <f>YEAR(weather.tbl[[#This Row],[Date]])</f>
        <v>2016</v>
      </c>
    </row>
    <row r="793" spans="1:13" x14ac:dyDescent="0.25">
      <c r="A793" s="1">
        <v>42431</v>
      </c>
      <c r="B793" s="2">
        <v>-3.8</v>
      </c>
      <c r="C793" s="2">
        <v>-4.0999999999999996</v>
      </c>
      <c r="D793" s="2">
        <v>-5.3</v>
      </c>
      <c r="E793" s="2">
        <v>-3.3</v>
      </c>
      <c r="F793" s="2">
        <v>-3.6</v>
      </c>
      <c r="G793" s="2">
        <v>-4.9000000000000004</v>
      </c>
      <c r="H793" s="2">
        <f>AVERAGE(weather.tbl[[#This Row],[Estevan]:[Kipling]])</f>
        <v>-4.166666666666667</v>
      </c>
      <c r="I793" s="2">
        <f>_xlfn.STDEV.S(weather.tbl[[#This Row],[Estevan]:[Kipling]])</f>
        <v>0.77888809636986123</v>
      </c>
      <c r="J793" s="2">
        <f t="shared" si="12"/>
        <v>-4.166666666666667</v>
      </c>
      <c r="K793">
        <f>DAY(weather.tbl[[#This Row],[Date]])</f>
        <v>2</v>
      </c>
      <c r="L793">
        <f>MONTH(weather.tbl[[#This Row],[Date]])</f>
        <v>3</v>
      </c>
      <c r="M793">
        <f>YEAR(weather.tbl[[#This Row],[Date]])</f>
        <v>2016</v>
      </c>
    </row>
    <row r="794" spans="1:13" x14ac:dyDescent="0.25">
      <c r="A794" s="1">
        <v>42432</v>
      </c>
      <c r="B794" s="2">
        <v>-1</v>
      </c>
      <c r="C794" s="2">
        <v>-1.2</v>
      </c>
      <c r="D794" s="2">
        <v>-2.2999999999999998</v>
      </c>
      <c r="E794" s="2">
        <v>-0.5</v>
      </c>
      <c r="F794" s="2">
        <v>-3</v>
      </c>
      <c r="G794" s="2">
        <v>-3.8</v>
      </c>
      <c r="H794" s="2">
        <f>AVERAGE(weather.tbl[[#This Row],[Estevan]:[Kipling]])</f>
        <v>-1.9666666666666668</v>
      </c>
      <c r="I794" s="2">
        <f>_xlfn.STDEV.S(weather.tbl[[#This Row],[Estevan]:[Kipling]])</f>
        <v>1.2816655830077772</v>
      </c>
      <c r="J794" s="2">
        <f t="shared" si="12"/>
        <v>-3.8261904761904759</v>
      </c>
      <c r="K794">
        <f>DAY(weather.tbl[[#This Row],[Date]])</f>
        <v>3</v>
      </c>
      <c r="L794">
        <f>MONTH(weather.tbl[[#This Row],[Date]])</f>
        <v>3</v>
      </c>
      <c r="M794">
        <f>YEAR(weather.tbl[[#This Row],[Date]])</f>
        <v>2016</v>
      </c>
    </row>
    <row r="795" spans="1:13" x14ac:dyDescent="0.25">
      <c r="A795" s="1">
        <v>42433</v>
      </c>
      <c r="B795" s="2">
        <v>-2.8</v>
      </c>
      <c r="C795" s="2">
        <v>-2.7</v>
      </c>
      <c r="D795" s="2">
        <v>0.3</v>
      </c>
      <c r="E795" s="2">
        <v>-0.5</v>
      </c>
      <c r="F795" s="2">
        <v>-1.9</v>
      </c>
      <c r="G795" s="2">
        <v>-1.6</v>
      </c>
      <c r="H795" s="2">
        <f>AVERAGE(weather.tbl[[#This Row],[Estevan]:[Kipling]])</f>
        <v>-1.5333333333333332</v>
      </c>
      <c r="I795" s="2">
        <f>_xlfn.STDEV.S(weather.tbl[[#This Row],[Estevan]:[Kipling]])</f>
        <v>1.2274635093014648</v>
      </c>
      <c r="J795" s="2">
        <f t="shared" si="12"/>
        <v>-4.4642857142857144</v>
      </c>
      <c r="K795">
        <f>DAY(weather.tbl[[#This Row],[Date]])</f>
        <v>4</v>
      </c>
      <c r="L795">
        <f>MONTH(weather.tbl[[#This Row],[Date]])</f>
        <v>3</v>
      </c>
      <c r="M795">
        <f>YEAR(weather.tbl[[#This Row],[Date]])</f>
        <v>2016</v>
      </c>
    </row>
    <row r="796" spans="1:13" x14ac:dyDescent="0.25">
      <c r="A796" s="1">
        <v>42434</v>
      </c>
      <c r="B796" s="2">
        <v>4.5</v>
      </c>
      <c r="C796" s="2">
        <v>5.3</v>
      </c>
      <c r="D796" s="2">
        <v>3.3</v>
      </c>
      <c r="E796" s="2">
        <v>-0.5</v>
      </c>
      <c r="F796" s="2">
        <v>2.9</v>
      </c>
      <c r="G796" s="2">
        <v>0.5</v>
      </c>
      <c r="H796" s="2">
        <f>AVERAGE(weather.tbl[[#This Row],[Estevan]:[Kipling]])</f>
        <v>2.6666666666666665</v>
      </c>
      <c r="I796" s="2">
        <f>_xlfn.STDEV.S(weather.tbl[[#This Row],[Estevan]:[Kipling]])</f>
        <v>2.257136829407262</v>
      </c>
      <c r="J796" s="2">
        <f t="shared" si="12"/>
        <v>-4.2428571428571429</v>
      </c>
      <c r="K796">
        <f>DAY(weather.tbl[[#This Row],[Date]])</f>
        <v>5</v>
      </c>
      <c r="L796">
        <f>MONTH(weather.tbl[[#This Row],[Date]])</f>
        <v>3</v>
      </c>
      <c r="M796">
        <f>YEAR(weather.tbl[[#This Row],[Date]])</f>
        <v>2016</v>
      </c>
    </row>
    <row r="797" spans="1:13" x14ac:dyDescent="0.25">
      <c r="A797" s="1">
        <v>42435</v>
      </c>
      <c r="B797" s="2">
        <v>7.6</v>
      </c>
      <c r="C797" s="2">
        <v>7.2</v>
      </c>
      <c r="D797" s="2">
        <v>3.3</v>
      </c>
      <c r="E797" s="2">
        <v>8.3000000000000007</v>
      </c>
      <c r="F797" s="2">
        <v>6.8</v>
      </c>
      <c r="G797" s="2">
        <v>5.0999999999999996</v>
      </c>
      <c r="H797" s="2">
        <f>AVERAGE(weather.tbl[[#This Row],[Estevan]:[Kipling]])</f>
        <v>6.3833333333333337</v>
      </c>
      <c r="I797" s="2">
        <f>_xlfn.STDEV.S(weather.tbl[[#This Row],[Estevan]:[Kipling]])</f>
        <v>1.8519359240175284</v>
      </c>
      <c r="J797" s="2">
        <f t="shared" si="12"/>
        <v>-3.14047619047619</v>
      </c>
      <c r="K797">
        <f>DAY(weather.tbl[[#This Row],[Date]])</f>
        <v>6</v>
      </c>
      <c r="L797">
        <f>MONTH(weather.tbl[[#This Row],[Date]])</f>
        <v>3</v>
      </c>
      <c r="M797">
        <f>YEAR(weather.tbl[[#This Row],[Date]])</f>
        <v>2016</v>
      </c>
    </row>
    <row r="798" spans="1:13" x14ac:dyDescent="0.25">
      <c r="A798" s="1">
        <v>42436</v>
      </c>
      <c r="B798" s="2">
        <v>4</v>
      </c>
      <c r="C798" s="2">
        <v>3.8</v>
      </c>
      <c r="D798" s="2">
        <v>3.3</v>
      </c>
      <c r="E798" s="2">
        <v>3.8</v>
      </c>
      <c r="F798" s="2">
        <v>3.5</v>
      </c>
      <c r="G798" s="2">
        <v>2.2000000000000002</v>
      </c>
      <c r="H798" s="2">
        <f>AVERAGE(weather.tbl[[#This Row],[Estevan]:[Kipling]])</f>
        <v>3.4333333333333331</v>
      </c>
      <c r="I798" s="2">
        <f>_xlfn.STDEV.S(weather.tbl[[#This Row],[Estevan]:[Kipling]])</f>
        <v>0.65319726474218398</v>
      </c>
      <c r="J798" s="2">
        <f t="shared" si="12"/>
        <v>-0.65952380952380962</v>
      </c>
      <c r="K798">
        <f>DAY(weather.tbl[[#This Row],[Date]])</f>
        <v>7</v>
      </c>
      <c r="L798">
        <f>MONTH(weather.tbl[[#This Row],[Date]])</f>
        <v>3</v>
      </c>
      <c r="M798">
        <f>YEAR(weather.tbl[[#This Row],[Date]])</f>
        <v>2016</v>
      </c>
    </row>
    <row r="799" spans="1:13" x14ac:dyDescent="0.25">
      <c r="A799" s="1">
        <v>42437</v>
      </c>
      <c r="B799" s="2">
        <v>-1.9</v>
      </c>
      <c r="C799" s="2">
        <v>-1.5</v>
      </c>
      <c r="D799" s="2">
        <v>3.3</v>
      </c>
      <c r="E799" s="2">
        <v>-0.3</v>
      </c>
      <c r="F799" s="2">
        <v>-0.4</v>
      </c>
      <c r="G799" s="2">
        <v>-4.2</v>
      </c>
      <c r="H799" s="2">
        <f>AVERAGE(weather.tbl[[#This Row],[Estevan]:[Kipling]])</f>
        <v>-0.83333333333333337</v>
      </c>
      <c r="I799" s="2">
        <f>_xlfn.STDEV.S(weather.tbl[[#This Row],[Estevan]:[Kipling]])</f>
        <v>2.4687378691685082</v>
      </c>
      <c r="J799" s="2">
        <f t="shared" si="12"/>
        <v>0.56904761904761902</v>
      </c>
      <c r="K799">
        <f>DAY(weather.tbl[[#This Row],[Date]])</f>
        <v>8</v>
      </c>
      <c r="L799">
        <f>MONTH(weather.tbl[[#This Row],[Date]])</f>
        <v>3</v>
      </c>
      <c r="M799">
        <f>YEAR(weather.tbl[[#This Row],[Date]])</f>
        <v>2016</v>
      </c>
    </row>
    <row r="800" spans="1:13" x14ac:dyDescent="0.25">
      <c r="A800" s="1">
        <v>42438</v>
      </c>
      <c r="B800" s="2">
        <v>0.3</v>
      </c>
      <c r="C800" s="2">
        <v>-0.8</v>
      </c>
      <c r="D800" s="2">
        <v>0.3</v>
      </c>
      <c r="E800" s="2">
        <v>0</v>
      </c>
      <c r="F800" s="2">
        <v>1.9</v>
      </c>
      <c r="G800" s="2">
        <v>-1.6</v>
      </c>
      <c r="H800" s="2">
        <f>AVERAGE(weather.tbl[[#This Row],[Estevan]:[Kipling]])</f>
        <v>1.6666666666666646E-2</v>
      </c>
      <c r="I800" s="2">
        <f>_xlfn.STDEV.S(weather.tbl[[#This Row],[Estevan]:[Kipling]])</f>
        <v>1.1822295321411433</v>
      </c>
      <c r="J800" s="2">
        <f t="shared" si="12"/>
        <v>1.1666666666666667</v>
      </c>
      <c r="K800">
        <f>DAY(weather.tbl[[#This Row],[Date]])</f>
        <v>9</v>
      </c>
      <c r="L800">
        <f>MONTH(weather.tbl[[#This Row],[Date]])</f>
        <v>3</v>
      </c>
      <c r="M800">
        <f>YEAR(weather.tbl[[#This Row],[Date]])</f>
        <v>2016</v>
      </c>
    </row>
    <row r="801" spans="1:13" x14ac:dyDescent="0.25">
      <c r="A801" s="1">
        <v>42439</v>
      </c>
      <c r="B801" s="2">
        <v>5.0999999999999996</v>
      </c>
      <c r="C801" s="2">
        <v>5.4</v>
      </c>
      <c r="D801" s="2">
        <v>5.8</v>
      </c>
      <c r="E801" s="2">
        <v>5.3</v>
      </c>
      <c r="F801" s="2">
        <v>4.8</v>
      </c>
      <c r="G801" s="2">
        <v>3.6</v>
      </c>
      <c r="H801" s="2">
        <f>AVERAGE(weather.tbl[[#This Row],[Estevan]:[Kipling]])</f>
        <v>5.0000000000000009</v>
      </c>
      <c r="I801" s="2">
        <f>_xlfn.STDEV.S(weather.tbl[[#This Row],[Estevan]:[Kipling]])</f>
        <v>0.76157731058638778</v>
      </c>
      <c r="J801" s="2">
        <f t="shared" si="12"/>
        <v>2.1619047619047622</v>
      </c>
      <c r="K801">
        <f>DAY(weather.tbl[[#This Row],[Date]])</f>
        <v>10</v>
      </c>
      <c r="L801">
        <f>MONTH(weather.tbl[[#This Row],[Date]])</f>
        <v>3</v>
      </c>
      <c r="M801">
        <f>YEAR(weather.tbl[[#This Row],[Date]])</f>
        <v>2016</v>
      </c>
    </row>
    <row r="802" spans="1:13" x14ac:dyDescent="0.25">
      <c r="A802" s="1">
        <v>42440</v>
      </c>
      <c r="B802" s="2">
        <v>9.1999999999999993</v>
      </c>
      <c r="C802" s="2">
        <v>7.6</v>
      </c>
      <c r="D802" s="2">
        <v>8.8000000000000007</v>
      </c>
      <c r="E802" s="2">
        <v>8</v>
      </c>
      <c r="F802" s="2">
        <v>7.5</v>
      </c>
      <c r="G802" s="2">
        <v>8.3000000000000007</v>
      </c>
      <c r="H802" s="2">
        <f>AVERAGE(weather.tbl[[#This Row],[Estevan]:[Kipling]])</f>
        <v>8.2333333333333325</v>
      </c>
      <c r="I802" s="2">
        <f>_xlfn.STDEV.S(weather.tbl[[#This Row],[Estevan]:[Kipling]])</f>
        <v>0.6713171133426189</v>
      </c>
      <c r="J802" s="2">
        <f t="shared" si="12"/>
        <v>3.5571428571428569</v>
      </c>
      <c r="K802">
        <f>DAY(weather.tbl[[#This Row],[Date]])</f>
        <v>11</v>
      </c>
      <c r="L802">
        <f>MONTH(weather.tbl[[#This Row],[Date]])</f>
        <v>3</v>
      </c>
      <c r="M802">
        <f>YEAR(weather.tbl[[#This Row],[Date]])</f>
        <v>2016</v>
      </c>
    </row>
    <row r="803" spans="1:13" x14ac:dyDescent="0.25">
      <c r="A803" s="1">
        <v>42441</v>
      </c>
      <c r="B803" s="2">
        <v>8</v>
      </c>
      <c r="C803" s="2">
        <v>7.9</v>
      </c>
      <c r="D803" s="2">
        <v>7</v>
      </c>
      <c r="E803" s="2">
        <v>8</v>
      </c>
      <c r="F803" s="2">
        <v>6.2</v>
      </c>
      <c r="G803" s="2">
        <v>6.9</v>
      </c>
      <c r="H803" s="2">
        <f>AVERAGE(weather.tbl[[#This Row],[Estevan]:[Kipling]])</f>
        <v>7.333333333333333</v>
      </c>
      <c r="I803" s="2">
        <f>_xlfn.STDEV.S(weather.tbl[[#This Row],[Estevan]:[Kipling]])</f>
        <v>0.74744007563594461</v>
      </c>
      <c r="J803" s="2">
        <f t="shared" si="12"/>
        <v>4.2238095238095239</v>
      </c>
      <c r="K803">
        <f>DAY(weather.tbl[[#This Row],[Date]])</f>
        <v>12</v>
      </c>
      <c r="L803">
        <f>MONTH(weather.tbl[[#This Row],[Date]])</f>
        <v>3</v>
      </c>
      <c r="M803">
        <f>YEAR(weather.tbl[[#This Row],[Date]])</f>
        <v>2016</v>
      </c>
    </row>
    <row r="804" spans="1:13" x14ac:dyDescent="0.25">
      <c r="A804" s="1">
        <v>42442</v>
      </c>
      <c r="B804" s="2">
        <v>7.7</v>
      </c>
      <c r="C804" s="2">
        <v>6</v>
      </c>
      <c r="D804" s="2">
        <v>7</v>
      </c>
      <c r="E804" s="2">
        <v>7.5</v>
      </c>
      <c r="F804" s="2">
        <v>9.3000000000000007</v>
      </c>
      <c r="G804" s="2">
        <v>7.8</v>
      </c>
      <c r="H804" s="2">
        <f>AVERAGE(weather.tbl[[#This Row],[Estevan]:[Kipling]])</f>
        <v>7.55</v>
      </c>
      <c r="I804" s="2">
        <f>_xlfn.STDEV.S(weather.tbl[[#This Row],[Estevan]:[Kipling]])</f>
        <v>1.0821275340735097</v>
      </c>
      <c r="J804" s="2">
        <f t="shared" si="12"/>
        <v>4.3904761904761909</v>
      </c>
      <c r="K804">
        <f>DAY(weather.tbl[[#This Row],[Date]])</f>
        <v>13</v>
      </c>
      <c r="L804">
        <f>MONTH(weather.tbl[[#This Row],[Date]])</f>
        <v>3</v>
      </c>
      <c r="M804">
        <f>YEAR(weather.tbl[[#This Row],[Date]])</f>
        <v>2016</v>
      </c>
    </row>
    <row r="805" spans="1:13" x14ac:dyDescent="0.25">
      <c r="A805" s="1">
        <v>42443</v>
      </c>
      <c r="B805" s="2">
        <v>6.3</v>
      </c>
      <c r="C805" s="2">
        <v>4.7</v>
      </c>
      <c r="D805" s="2">
        <v>7.8</v>
      </c>
      <c r="E805" s="2">
        <v>6.3</v>
      </c>
      <c r="F805" s="2">
        <v>9</v>
      </c>
      <c r="G805" s="2">
        <v>6.4</v>
      </c>
      <c r="H805" s="2">
        <f>AVERAGE(weather.tbl[[#This Row],[Estevan]:[Kipling]])</f>
        <v>6.75</v>
      </c>
      <c r="I805" s="2">
        <f>_xlfn.STDEV.S(weather.tbl[[#This Row],[Estevan]:[Kipling]])</f>
        <v>1.4761436244485142</v>
      </c>
      <c r="J805" s="2">
        <f t="shared" si="12"/>
        <v>4.8642857142857139</v>
      </c>
      <c r="K805">
        <f>DAY(weather.tbl[[#This Row],[Date]])</f>
        <v>14</v>
      </c>
      <c r="L805">
        <f>MONTH(weather.tbl[[#This Row],[Date]])</f>
        <v>3</v>
      </c>
      <c r="M805">
        <f>YEAR(weather.tbl[[#This Row],[Date]])</f>
        <v>2016</v>
      </c>
    </row>
    <row r="806" spans="1:13" x14ac:dyDescent="0.25">
      <c r="A806" s="1">
        <v>42444</v>
      </c>
      <c r="B806" s="2">
        <v>-0.2</v>
      </c>
      <c r="C806" s="2">
        <v>0.5</v>
      </c>
      <c r="D806" s="2">
        <v>0.3</v>
      </c>
      <c r="E806" s="2">
        <v>0</v>
      </c>
      <c r="F806" s="2">
        <v>2.9</v>
      </c>
      <c r="G806" s="2">
        <v>0.5</v>
      </c>
      <c r="H806" s="2">
        <f>AVERAGE(weather.tbl[[#This Row],[Estevan]:[Kipling]])</f>
        <v>0.66666666666666663</v>
      </c>
      <c r="I806" s="2">
        <f>_xlfn.STDEV.S(weather.tbl[[#This Row],[Estevan]:[Kipling]])</f>
        <v>1.1290113669342161</v>
      </c>
      <c r="J806" s="2">
        <f t="shared" si="12"/>
        <v>5.0785714285714283</v>
      </c>
      <c r="K806">
        <f>DAY(weather.tbl[[#This Row],[Date]])</f>
        <v>15</v>
      </c>
      <c r="L806">
        <f>MONTH(weather.tbl[[#This Row],[Date]])</f>
        <v>3</v>
      </c>
      <c r="M806">
        <f>YEAR(weather.tbl[[#This Row],[Date]])</f>
        <v>2016</v>
      </c>
    </row>
    <row r="807" spans="1:13" x14ac:dyDescent="0.25">
      <c r="A807" s="1">
        <v>42445</v>
      </c>
      <c r="B807" s="2">
        <v>-1.7</v>
      </c>
      <c r="C807" s="2">
        <v>-2.2999999999999998</v>
      </c>
      <c r="D807" s="2">
        <v>0.8</v>
      </c>
      <c r="E807" s="2">
        <v>0.5</v>
      </c>
      <c r="F807" s="2">
        <v>1</v>
      </c>
      <c r="G807" s="2">
        <v>-1</v>
      </c>
      <c r="H807" s="2">
        <f>AVERAGE(weather.tbl[[#This Row],[Estevan]:[Kipling]])</f>
        <v>-0.45</v>
      </c>
      <c r="I807" s="2">
        <f>_xlfn.STDEV.S(weather.tbl[[#This Row],[Estevan]:[Kipling]])</f>
        <v>1.4039230748157108</v>
      </c>
      <c r="J807" s="2">
        <f t="shared" si="12"/>
        <v>5.011904761904761</v>
      </c>
      <c r="K807">
        <f>DAY(weather.tbl[[#This Row],[Date]])</f>
        <v>16</v>
      </c>
      <c r="L807">
        <f>MONTH(weather.tbl[[#This Row],[Date]])</f>
        <v>3</v>
      </c>
      <c r="M807">
        <f>YEAR(weather.tbl[[#This Row],[Date]])</f>
        <v>2016</v>
      </c>
    </row>
    <row r="808" spans="1:13" x14ac:dyDescent="0.25">
      <c r="A808" s="1">
        <v>42446</v>
      </c>
      <c r="B808" s="2">
        <v>-4.2</v>
      </c>
      <c r="C808" s="2">
        <v>-5</v>
      </c>
      <c r="D808" s="2">
        <v>-4.5</v>
      </c>
      <c r="E808" s="2">
        <v>-4.5</v>
      </c>
      <c r="F808" s="2">
        <v>-2.4</v>
      </c>
      <c r="G808" s="2">
        <v>-5.3</v>
      </c>
      <c r="H808" s="2">
        <f>AVERAGE(weather.tbl[[#This Row],[Estevan]:[Kipling]])</f>
        <v>-4.3166666666666664</v>
      </c>
      <c r="I808" s="2">
        <f>_xlfn.STDEV.S(weather.tbl[[#This Row],[Estevan]:[Kipling]])</f>
        <v>1.0186592495366984</v>
      </c>
      <c r="J808" s="2">
        <f t="shared" si="12"/>
        <v>3.6809523809523812</v>
      </c>
      <c r="K808">
        <f>DAY(weather.tbl[[#This Row],[Date]])</f>
        <v>17</v>
      </c>
      <c r="L808">
        <f>MONTH(weather.tbl[[#This Row],[Date]])</f>
        <v>3</v>
      </c>
      <c r="M808">
        <f>YEAR(weather.tbl[[#This Row],[Date]])</f>
        <v>2016</v>
      </c>
    </row>
    <row r="809" spans="1:13" x14ac:dyDescent="0.25">
      <c r="A809" s="1">
        <v>42447</v>
      </c>
      <c r="B809" s="2">
        <v>-4.0999999999999996</v>
      </c>
      <c r="C809" s="2">
        <v>-4.2</v>
      </c>
      <c r="D809" s="2">
        <v>-3.3</v>
      </c>
      <c r="E809" s="2">
        <v>-3.5</v>
      </c>
      <c r="F809" s="2">
        <v>-0.8</v>
      </c>
      <c r="G809" s="2">
        <v>-5.3</v>
      </c>
      <c r="H809" s="2">
        <f>AVERAGE(weather.tbl[[#This Row],[Estevan]:[Kipling]])</f>
        <v>-3.5333333333333337</v>
      </c>
      <c r="I809" s="2">
        <f>_xlfn.STDEV.S(weather.tbl[[#This Row],[Estevan]:[Kipling]])</f>
        <v>1.5108496505829643</v>
      </c>
      <c r="J809" s="2">
        <f t="shared" si="12"/>
        <v>2.0000000000000004</v>
      </c>
      <c r="K809">
        <f>DAY(weather.tbl[[#This Row],[Date]])</f>
        <v>18</v>
      </c>
      <c r="L809">
        <f>MONTH(weather.tbl[[#This Row],[Date]])</f>
        <v>3</v>
      </c>
      <c r="M809">
        <f>YEAR(weather.tbl[[#This Row],[Date]])</f>
        <v>2016</v>
      </c>
    </row>
    <row r="810" spans="1:13" x14ac:dyDescent="0.25">
      <c r="A810" s="1">
        <v>42448</v>
      </c>
      <c r="B810" s="2">
        <v>-4.5</v>
      </c>
      <c r="C810" s="2">
        <v>-3.8</v>
      </c>
      <c r="D810" s="2">
        <v>-4</v>
      </c>
      <c r="E810" s="2">
        <v>-3</v>
      </c>
      <c r="F810" s="2">
        <v>-3.1</v>
      </c>
      <c r="G810" s="2">
        <v>-4.4000000000000004</v>
      </c>
      <c r="H810" s="2">
        <f>AVERAGE(weather.tbl[[#This Row],[Estevan]:[Kipling]])</f>
        <v>-3.8000000000000007</v>
      </c>
      <c r="I810" s="2">
        <f>_xlfn.STDEV.S(weather.tbl[[#This Row],[Estevan]:[Kipling]])</f>
        <v>0.63560994328282305</v>
      </c>
      <c r="J810" s="2">
        <f t="shared" si="12"/>
        <v>0.40952380952380957</v>
      </c>
      <c r="K810">
        <f>DAY(weather.tbl[[#This Row],[Date]])</f>
        <v>19</v>
      </c>
      <c r="L810">
        <f>MONTH(weather.tbl[[#This Row],[Date]])</f>
        <v>3</v>
      </c>
      <c r="M810">
        <f>YEAR(weather.tbl[[#This Row],[Date]])</f>
        <v>2016</v>
      </c>
    </row>
    <row r="811" spans="1:13" x14ac:dyDescent="0.25">
      <c r="A811" s="1">
        <v>42449</v>
      </c>
      <c r="B811" s="2">
        <v>-0.1</v>
      </c>
      <c r="C811" s="2">
        <v>0.6</v>
      </c>
      <c r="D811" s="2">
        <v>-2</v>
      </c>
      <c r="E811" s="2">
        <v>0.8</v>
      </c>
      <c r="F811" s="2">
        <v>-1.7</v>
      </c>
      <c r="G811" s="2">
        <v>-1.4</v>
      </c>
      <c r="H811" s="2">
        <f>AVERAGE(weather.tbl[[#This Row],[Estevan]:[Kipling]])</f>
        <v>-0.6333333333333333</v>
      </c>
      <c r="I811" s="2">
        <f>_xlfn.STDEV.S(weather.tbl[[#This Row],[Estevan]:[Kipling]])</f>
        <v>1.2209286083414814</v>
      </c>
      <c r="J811" s="2">
        <f t="shared" si="12"/>
        <v>-0.75952380952380949</v>
      </c>
      <c r="K811">
        <f>DAY(weather.tbl[[#This Row],[Date]])</f>
        <v>20</v>
      </c>
      <c r="L811">
        <f>MONTH(weather.tbl[[#This Row],[Date]])</f>
        <v>3</v>
      </c>
      <c r="M811">
        <f>YEAR(weather.tbl[[#This Row],[Date]])</f>
        <v>2016</v>
      </c>
    </row>
    <row r="812" spans="1:13" x14ac:dyDescent="0.25">
      <c r="A812" s="1">
        <v>42450</v>
      </c>
      <c r="B812" s="2">
        <v>0.5</v>
      </c>
      <c r="C812" s="2">
        <v>2.1</v>
      </c>
      <c r="D812" s="2">
        <v>0.8</v>
      </c>
      <c r="E812" s="2">
        <v>1.5</v>
      </c>
      <c r="F812" s="2">
        <v>1.5</v>
      </c>
      <c r="G812" s="2">
        <v>-0.1</v>
      </c>
      <c r="H812" s="2">
        <f>AVERAGE(weather.tbl[[#This Row],[Estevan]:[Kipling]])</f>
        <v>1.05</v>
      </c>
      <c r="I812" s="2">
        <f>_xlfn.STDEV.S(weather.tbl[[#This Row],[Estevan]:[Kipling]])</f>
        <v>0.79937475566845351</v>
      </c>
      <c r="J812" s="2">
        <f t="shared" si="12"/>
        <v>-1.5738095238095238</v>
      </c>
      <c r="K812">
        <f>DAY(weather.tbl[[#This Row],[Date]])</f>
        <v>21</v>
      </c>
      <c r="L812">
        <f>MONTH(weather.tbl[[#This Row],[Date]])</f>
        <v>3</v>
      </c>
      <c r="M812">
        <f>YEAR(weather.tbl[[#This Row],[Date]])</f>
        <v>2016</v>
      </c>
    </row>
    <row r="813" spans="1:13" x14ac:dyDescent="0.25">
      <c r="A813" s="1">
        <v>42451</v>
      </c>
      <c r="B813" s="2">
        <v>-3.1</v>
      </c>
      <c r="C813" s="2">
        <v>-3.7</v>
      </c>
      <c r="D813" s="2">
        <v>-6</v>
      </c>
      <c r="E813" s="2">
        <v>-3.3</v>
      </c>
      <c r="F813" s="2">
        <v>-6.5</v>
      </c>
      <c r="G813" s="2">
        <v>-5.8</v>
      </c>
      <c r="H813" s="2">
        <f>AVERAGE(weather.tbl[[#This Row],[Estevan]:[Kipling]])</f>
        <v>-4.7333333333333334</v>
      </c>
      <c r="I813" s="2">
        <f>_xlfn.STDEV.S(weather.tbl[[#This Row],[Estevan]:[Kipling]])</f>
        <v>1.5266521105565132</v>
      </c>
      <c r="J813" s="2">
        <f t="shared" si="12"/>
        <v>-2.3452380952380953</v>
      </c>
      <c r="K813">
        <f>DAY(weather.tbl[[#This Row],[Date]])</f>
        <v>22</v>
      </c>
      <c r="L813">
        <f>MONTH(weather.tbl[[#This Row],[Date]])</f>
        <v>3</v>
      </c>
      <c r="M813">
        <f>YEAR(weather.tbl[[#This Row],[Date]])</f>
        <v>2016</v>
      </c>
    </row>
    <row r="814" spans="1:13" x14ac:dyDescent="0.25">
      <c r="A814" s="1">
        <v>42452</v>
      </c>
      <c r="B814" s="2">
        <v>-2.2999999999999998</v>
      </c>
      <c r="C814" s="2">
        <v>-5.4</v>
      </c>
      <c r="D814" s="2">
        <v>-5.3</v>
      </c>
      <c r="E814" s="2">
        <v>-3.3</v>
      </c>
      <c r="F814" s="2">
        <v>-9.3000000000000007</v>
      </c>
      <c r="G814" s="2">
        <v>-9.8000000000000007</v>
      </c>
      <c r="H814" s="2">
        <f>AVERAGE(weather.tbl[[#This Row],[Estevan]:[Kipling]])</f>
        <v>-5.9000000000000012</v>
      </c>
      <c r="I814" s="2">
        <f>_xlfn.STDEV.S(weather.tbl[[#This Row],[Estevan]:[Kipling]])</f>
        <v>3.0692018506445611</v>
      </c>
      <c r="J814" s="2">
        <f t="shared" si="12"/>
        <v>-3.1238095238095238</v>
      </c>
      <c r="K814">
        <f>DAY(weather.tbl[[#This Row],[Date]])</f>
        <v>23</v>
      </c>
      <c r="L814">
        <f>MONTH(weather.tbl[[#This Row],[Date]])</f>
        <v>3</v>
      </c>
      <c r="M814">
        <f>YEAR(weather.tbl[[#This Row],[Date]])</f>
        <v>2016</v>
      </c>
    </row>
    <row r="815" spans="1:13" x14ac:dyDescent="0.25">
      <c r="A815" s="1">
        <v>42453</v>
      </c>
      <c r="B815" s="2">
        <v>3.1</v>
      </c>
      <c r="C815" s="2">
        <v>2.6</v>
      </c>
      <c r="D815" s="2">
        <v>1</v>
      </c>
      <c r="E815" s="2">
        <v>2.2999999999999998</v>
      </c>
      <c r="F815" s="2">
        <v>3</v>
      </c>
      <c r="G815" s="2">
        <v>0</v>
      </c>
      <c r="H815" s="2">
        <f>AVERAGE(weather.tbl[[#This Row],[Estevan]:[Kipling]])</f>
        <v>2</v>
      </c>
      <c r="I815" s="2">
        <f>_xlfn.STDEV.S(weather.tbl[[#This Row],[Estevan]:[Kipling]])</f>
        <v>1.2377398757412641</v>
      </c>
      <c r="J815" s="2">
        <f t="shared" si="12"/>
        <v>-2.2214285714285715</v>
      </c>
      <c r="K815">
        <f>DAY(weather.tbl[[#This Row],[Date]])</f>
        <v>24</v>
      </c>
      <c r="L815">
        <f>MONTH(weather.tbl[[#This Row],[Date]])</f>
        <v>3</v>
      </c>
      <c r="M815">
        <f>YEAR(weather.tbl[[#This Row],[Date]])</f>
        <v>2016</v>
      </c>
    </row>
    <row r="816" spans="1:13" x14ac:dyDescent="0.25">
      <c r="A816" s="1">
        <v>42454</v>
      </c>
      <c r="B816" s="2">
        <v>-3.8</v>
      </c>
      <c r="C816" s="2">
        <v>-3.8</v>
      </c>
      <c r="D816" s="2">
        <v>-4.5</v>
      </c>
      <c r="E816" s="2">
        <v>4</v>
      </c>
      <c r="F816" s="2">
        <v>-2.9</v>
      </c>
      <c r="G816" s="2">
        <v>-5</v>
      </c>
      <c r="H816" s="2">
        <f>AVERAGE(weather.tbl[[#This Row],[Estevan]:[Kipling]])</f>
        <v>-2.6666666666666665</v>
      </c>
      <c r="I816" s="2">
        <f>_xlfn.STDEV.S(weather.tbl[[#This Row],[Estevan]:[Kipling]])</f>
        <v>3.3428530728505952</v>
      </c>
      <c r="J816" s="2">
        <f t="shared" si="12"/>
        <v>-2.0976190476190477</v>
      </c>
      <c r="K816">
        <f>DAY(weather.tbl[[#This Row],[Date]])</f>
        <v>25</v>
      </c>
      <c r="L816">
        <f>MONTH(weather.tbl[[#This Row],[Date]])</f>
        <v>3</v>
      </c>
      <c r="M816">
        <f>YEAR(weather.tbl[[#This Row],[Date]])</f>
        <v>2016</v>
      </c>
    </row>
    <row r="817" spans="1:13" x14ac:dyDescent="0.25">
      <c r="A817" s="1">
        <v>42455</v>
      </c>
      <c r="B817" s="2">
        <v>0.6</v>
      </c>
      <c r="C817" s="2">
        <v>1.1000000000000001</v>
      </c>
      <c r="D817" s="2">
        <v>-0.8</v>
      </c>
      <c r="E817" s="2">
        <v>2</v>
      </c>
      <c r="F817" s="2">
        <v>-0.5</v>
      </c>
      <c r="G817" s="2">
        <v>-0.5</v>
      </c>
      <c r="H817" s="2">
        <f>AVERAGE(weather.tbl[[#This Row],[Estevan]:[Kipling]])</f>
        <v>0.31666666666666671</v>
      </c>
      <c r="I817" s="2">
        <f>_xlfn.STDEV.S(weather.tbl[[#This Row],[Estevan]:[Kipling]])</f>
        <v>1.1052903087726169</v>
      </c>
      <c r="J817" s="2">
        <f t="shared" si="12"/>
        <v>-1.5095238095238097</v>
      </c>
      <c r="K817">
        <f>DAY(weather.tbl[[#This Row],[Date]])</f>
        <v>26</v>
      </c>
      <c r="L817">
        <f>MONTH(weather.tbl[[#This Row],[Date]])</f>
        <v>3</v>
      </c>
      <c r="M817">
        <f>YEAR(weather.tbl[[#This Row],[Date]])</f>
        <v>2016</v>
      </c>
    </row>
    <row r="818" spans="1:13" x14ac:dyDescent="0.25">
      <c r="A818" s="1">
        <v>42456</v>
      </c>
      <c r="B818" s="2">
        <v>2.6</v>
      </c>
      <c r="C818" s="2">
        <v>1.6</v>
      </c>
      <c r="D818" s="2">
        <v>2.8</v>
      </c>
      <c r="E818" s="2">
        <v>3.5</v>
      </c>
      <c r="F818" s="2">
        <v>2.1</v>
      </c>
      <c r="G818" s="2">
        <v>1</v>
      </c>
      <c r="H818" s="2">
        <f>AVERAGE(weather.tbl[[#This Row],[Estevan]:[Kipling]])</f>
        <v>2.2666666666666666</v>
      </c>
      <c r="I818" s="2">
        <f>_xlfn.STDEV.S(weather.tbl[[#This Row],[Estevan]:[Kipling]])</f>
        <v>0.89368152418334534</v>
      </c>
      <c r="J818" s="2">
        <f t="shared" si="12"/>
        <v>-1.0952380952380956</v>
      </c>
      <c r="K818">
        <f>DAY(weather.tbl[[#This Row],[Date]])</f>
        <v>27</v>
      </c>
      <c r="L818">
        <f>MONTH(weather.tbl[[#This Row],[Date]])</f>
        <v>3</v>
      </c>
      <c r="M818">
        <f>YEAR(weather.tbl[[#This Row],[Date]])</f>
        <v>2016</v>
      </c>
    </row>
    <row r="819" spans="1:13" x14ac:dyDescent="0.25">
      <c r="A819" s="1">
        <v>42457</v>
      </c>
      <c r="B819" s="2">
        <v>2.9</v>
      </c>
      <c r="C819" s="2">
        <v>3.6</v>
      </c>
      <c r="D819" s="2">
        <v>1.8</v>
      </c>
      <c r="E819" s="2">
        <v>4</v>
      </c>
      <c r="F819" s="2">
        <v>2.2000000000000002</v>
      </c>
      <c r="G819" s="2">
        <v>1.3</v>
      </c>
      <c r="H819" s="2">
        <f>AVERAGE(weather.tbl[[#This Row],[Estevan]:[Kipling]])</f>
        <v>2.6333333333333333</v>
      </c>
      <c r="I819" s="2">
        <f>_xlfn.STDEV.S(weather.tbl[[#This Row],[Estevan]:[Kipling]])</f>
        <v>1.0519822558706331</v>
      </c>
      <c r="J819" s="2">
        <f t="shared" si="12"/>
        <v>-0.8690476190476194</v>
      </c>
      <c r="K819">
        <f>DAY(weather.tbl[[#This Row],[Date]])</f>
        <v>28</v>
      </c>
      <c r="L819">
        <f>MONTH(weather.tbl[[#This Row],[Date]])</f>
        <v>3</v>
      </c>
      <c r="M819">
        <f>YEAR(weather.tbl[[#This Row],[Date]])</f>
        <v>2016</v>
      </c>
    </row>
    <row r="820" spans="1:13" x14ac:dyDescent="0.25">
      <c r="A820" s="1">
        <v>42458</v>
      </c>
      <c r="B820" s="2">
        <v>4.5999999999999996</v>
      </c>
      <c r="C820" s="2">
        <v>5.9</v>
      </c>
      <c r="D820" s="2">
        <v>4</v>
      </c>
      <c r="E820" s="2">
        <v>6.5</v>
      </c>
      <c r="F820" s="2">
        <v>4.3</v>
      </c>
      <c r="G820" s="2">
        <v>5</v>
      </c>
      <c r="H820" s="2">
        <f>AVERAGE(weather.tbl[[#This Row],[Estevan]:[Kipling]])</f>
        <v>5.05</v>
      </c>
      <c r="I820" s="2">
        <f>_xlfn.STDEV.S(weather.tbl[[#This Row],[Estevan]:[Kipling]])</f>
        <v>0.96902012363005063</v>
      </c>
      <c r="J820" s="2">
        <f t="shared" si="12"/>
        <v>0.52857142857142825</v>
      </c>
      <c r="K820">
        <f>DAY(weather.tbl[[#This Row],[Date]])</f>
        <v>29</v>
      </c>
      <c r="L820">
        <f>MONTH(weather.tbl[[#This Row],[Date]])</f>
        <v>3</v>
      </c>
      <c r="M820">
        <f>YEAR(weather.tbl[[#This Row],[Date]])</f>
        <v>2016</v>
      </c>
    </row>
    <row r="821" spans="1:13" x14ac:dyDescent="0.25">
      <c r="A821" s="1">
        <v>42459</v>
      </c>
      <c r="B821" s="2">
        <v>2.7</v>
      </c>
      <c r="C821" s="2">
        <v>2</v>
      </c>
      <c r="D821" s="2">
        <v>4</v>
      </c>
      <c r="E821" s="2">
        <v>3.5</v>
      </c>
      <c r="F821" s="2">
        <v>4.7</v>
      </c>
      <c r="G821" s="2">
        <v>3.8</v>
      </c>
      <c r="H821" s="2">
        <f>AVERAGE(weather.tbl[[#This Row],[Estevan]:[Kipling]])</f>
        <v>3.4499999999999997</v>
      </c>
      <c r="I821" s="2">
        <f>_xlfn.STDEV.S(weather.tbl[[#This Row],[Estevan]:[Kipling]])</f>
        <v>0.96488341264631705</v>
      </c>
      <c r="J821" s="2">
        <f t="shared" si="12"/>
        <v>1.8642857142857141</v>
      </c>
      <c r="K821">
        <f>DAY(weather.tbl[[#This Row],[Date]])</f>
        <v>30</v>
      </c>
      <c r="L821">
        <f>MONTH(weather.tbl[[#This Row],[Date]])</f>
        <v>3</v>
      </c>
      <c r="M821">
        <f>YEAR(weather.tbl[[#This Row],[Date]])</f>
        <v>2016</v>
      </c>
    </row>
    <row r="822" spans="1:13" x14ac:dyDescent="0.25">
      <c r="A822" s="1">
        <v>42460</v>
      </c>
      <c r="B822" s="2">
        <v>0</v>
      </c>
      <c r="C822" s="2">
        <v>-1.1000000000000001</v>
      </c>
      <c r="D822" s="2">
        <v>4</v>
      </c>
      <c r="E822" s="2">
        <v>0.5</v>
      </c>
      <c r="F822" s="2">
        <v>1</v>
      </c>
      <c r="G822" s="2">
        <v>-0.5</v>
      </c>
      <c r="H822" s="2">
        <f>AVERAGE(weather.tbl[[#This Row],[Estevan]:[Kipling]])</f>
        <v>0.65</v>
      </c>
      <c r="I822" s="2">
        <f>_xlfn.STDEV.S(weather.tbl[[#This Row],[Estevan]:[Kipling]])</f>
        <v>1.798610574860495</v>
      </c>
      <c r="J822" s="2">
        <f t="shared" si="12"/>
        <v>1.6714285714285713</v>
      </c>
      <c r="K822">
        <f>DAY(weather.tbl[[#This Row],[Date]])</f>
        <v>31</v>
      </c>
      <c r="L822">
        <f>MONTH(weather.tbl[[#This Row],[Date]])</f>
        <v>3</v>
      </c>
      <c r="M822">
        <f>YEAR(weather.tbl[[#This Row],[Date]])</f>
        <v>2016</v>
      </c>
    </row>
    <row r="823" spans="1:13" x14ac:dyDescent="0.25">
      <c r="A823" s="1">
        <v>42461</v>
      </c>
      <c r="B823" s="2">
        <v>0.7</v>
      </c>
      <c r="C823" s="2">
        <v>0.8</v>
      </c>
      <c r="D823" s="2">
        <v>0.3</v>
      </c>
      <c r="E823" s="2">
        <v>2</v>
      </c>
      <c r="F823" s="2">
        <v>-0.2</v>
      </c>
      <c r="G823" s="2">
        <v>-0.8</v>
      </c>
      <c r="H823" s="2">
        <f>AVERAGE(weather.tbl[[#This Row],[Estevan]:[Kipling]])</f>
        <v>0.46666666666666662</v>
      </c>
      <c r="I823" s="2">
        <f>_xlfn.STDEV.S(weather.tbl[[#This Row],[Estevan]:[Kipling]])</f>
        <v>0.95847100460403434</v>
      </c>
      <c r="J823" s="2">
        <f t="shared" si="12"/>
        <v>2.1190476190476191</v>
      </c>
      <c r="K823">
        <f>DAY(weather.tbl[[#This Row],[Date]])</f>
        <v>1</v>
      </c>
      <c r="L823">
        <f>MONTH(weather.tbl[[#This Row],[Date]])</f>
        <v>4</v>
      </c>
      <c r="M823">
        <f>YEAR(weather.tbl[[#This Row],[Date]])</f>
        <v>2016</v>
      </c>
    </row>
    <row r="824" spans="1:13" x14ac:dyDescent="0.25">
      <c r="A824" s="1">
        <v>42462</v>
      </c>
      <c r="B824" s="2">
        <v>7.9</v>
      </c>
      <c r="C824" s="2">
        <v>7.7</v>
      </c>
      <c r="D824" s="2">
        <v>5.8</v>
      </c>
      <c r="E824" s="2">
        <v>9.3000000000000007</v>
      </c>
      <c r="F824" s="2">
        <v>1.2</v>
      </c>
      <c r="G824" s="2">
        <v>7</v>
      </c>
      <c r="H824" s="2">
        <f>AVERAGE(weather.tbl[[#This Row],[Estevan]:[Kipling]])</f>
        <v>6.4833333333333343</v>
      </c>
      <c r="I824" s="2">
        <f>_xlfn.STDEV.S(weather.tbl[[#This Row],[Estevan]:[Kipling]])</f>
        <v>2.8308420419844444</v>
      </c>
      <c r="J824" s="2">
        <f t="shared" si="12"/>
        <v>3</v>
      </c>
      <c r="K824">
        <f>DAY(weather.tbl[[#This Row],[Date]])</f>
        <v>2</v>
      </c>
      <c r="L824">
        <f>MONTH(weather.tbl[[#This Row],[Date]])</f>
        <v>4</v>
      </c>
      <c r="M824">
        <f>YEAR(weather.tbl[[#This Row],[Date]])</f>
        <v>2016</v>
      </c>
    </row>
    <row r="825" spans="1:13" x14ac:dyDescent="0.25">
      <c r="A825" s="1">
        <v>42463</v>
      </c>
      <c r="B825" s="2">
        <v>2.5</v>
      </c>
      <c r="C825" s="2">
        <v>3.7</v>
      </c>
      <c r="D825" s="2">
        <v>1</v>
      </c>
      <c r="E825" s="2">
        <v>3</v>
      </c>
      <c r="F825" s="2">
        <v>-3.4</v>
      </c>
      <c r="G825" s="2">
        <v>-3.5</v>
      </c>
      <c r="H825" s="2">
        <f>AVERAGE(weather.tbl[[#This Row],[Estevan]:[Kipling]])</f>
        <v>0.54999999999999982</v>
      </c>
      <c r="I825" s="2">
        <f>_xlfn.STDEV.S(weather.tbl[[#This Row],[Estevan]:[Kipling]])</f>
        <v>3.2228869046244859</v>
      </c>
      <c r="J825" s="2">
        <f t="shared" si="12"/>
        <v>2.7547619047619052</v>
      </c>
      <c r="K825">
        <f>DAY(weather.tbl[[#This Row],[Date]])</f>
        <v>3</v>
      </c>
      <c r="L825">
        <f>MONTH(weather.tbl[[#This Row],[Date]])</f>
        <v>4</v>
      </c>
      <c r="M825">
        <f>YEAR(weather.tbl[[#This Row],[Date]])</f>
        <v>2016</v>
      </c>
    </row>
    <row r="826" spans="1:13" x14ac:dyDescent="0.25">
      <c r="A826" s="1">
        <v>42464</v>
      </c>
      <c r="B826" s="2">
        <v>2.4</v>
      </c>
      <c r="C826" s="2">
        <v>2.1</v>
      </c>
      <c r="D826" s="2">
        <v>1.3</v>
      </c>
      <c r="E826" s="2">
        <v>3.5</v>
      </c>
      <c r="F826" s="2">
        <v>0.3</v>
      </c>
      <c r="G826" s="2">
        <v>0.5</v>
      </c>
      <c r="H826" s="2">
        <f>AVERAGE(weather.tbl[[#This Row],[Estevan]:[Kipling]])</f>
        <v>1.6833333333333336</v>
      </c>
      <c r="I826" s="2">
        <f>_xlfn.STDEV.S(weather.tbl[[#This Row],[Estevan]:[Kipling]])</f>
        <v>1.2205190152827057</v>
      </c>
      <c r="J826" s="2">
        <f t="shared" si="12"/>
        <v>2.6190476190476195</v>
      </c>
      <c r="K826">
        <f>DAY(weather.tbl[[#This Row],[Date]])</f>
        <v>4</v>
      </c>
      <c r="L826">
        <f>MONTH(weather.tbl[[#This Row],[Date]])</f>
        <v>4</v>
      </c>
      <c r="M826">
        <f>YEAR(weather.tbl[[#This Row],[Date]])</f>
        <v>2016</v>
      </c>
    </row>
    <row r="827" spans="1:13" x14ac:dyDescent="0.25">
      <c r="A827" s="1">
        <v>42465</v>
      </c>
      <c r="B827" s="2">
        <v>2.4</v>
      </c>
      <c r="C827" s="2">
        <v>3.3</v>
      </c>
      <c r="D827" s="2">
        <v>6.5</v>
      </c>
      <c r="E827" s="2">
        <v>5</v>
      </c>
      <c r="F827" s="2">
        <v>6.1</v>
      </c>
      <c r="G827" s="2">
        <v>2.8</v>
      </c>
      <c r="H827" s="2">
        <f>AVERAGE(weather.tbl[[#This Row],[Estevan]:[Kipling]])</f>
        <v>4.3499999999999996</v>
      </c>
      <c r="I827" s="2">
        <f>_xlfn.STDEV.S(weather.tbl[[#This Row],[Estevan]:[Kipling]])</f>
        <v>1.7558473737771176</v>
      </c>
      <c r="J827" s="2">
        <f t="shared" si="12"/>
        <v>2.519047619047619</v>
      </c>
      <c r="K827">
        <f>DAY(weather.tbl[[#This Row],[Date]])</f>
        <v>5</v>
      </c>
      <c r="L827">
        <f>MONTH(weather.tbl[[#This Row],[Date]])</f>
        <v>4</v>
      </c>
      <c r="M827">
        <f>YEAR(weather.tbl[[#This Row],[Date]])</f>
        <v>2016</v>
      </c>
    </row>
    <row r="828" spans="1:13" x14ac:dyDescent="0.25">
      <c r="A828" s="1">
        <v>42466</v>
      </c>
      <c r="B828" s="2">
        <v>2.4</v>
      </c>
      <c r="C828" s="2">
        <v>3.5</v>
      </c>
      <c r="D828" s="2">
        <v>4</v>
      </c>
      <c r="E828" s="2">
        <v>5</v>
      </c>
      <c r="F828" s="2">
        <v>2.8</v>
      </c>
      <c r="G828" s="2">
        <v>2</v>
      </c>
      <c r="H828" s="2">
        <f>AVERAGE(weather.tbl[[#This Row],[Estevan]:[Kipling]])</f>
        <v>3.2833333333333332</v>
      </c>
      <c r="I828" s="2">
        <f>_xlfn.STDEV.S(weather.tbl[[#This Row],[Estevan]:[Kipling]])</f>
        <v>1.1107054815146395</v>
      </c>
      <c r="J828" s="2">
        <f t="shared" si="12"/>
        <v>2.4952380952380957</v>
      </c>
      <c r="K828">
        <f>DAY(weather.tbl[[#This Row],[Date]])</f>
        <v>6</v>
      </c>
      <c r="L828">
        <f>MONTH(weather.tbl[[#This Row],[Date]])</f>
        <v>4</v>
      </c>
      <c r="M828">
        <f>YEAR(weather.tbl[[#This Row],[Date]])</f>
        <v>2016</v>
      </c>
    </row>
    <row r="829" spans="1:13" x14ac:dyDescent="0.25">
      <c r="A829" s="1">
        <v>42467</v>
      </c>
      <c r="B829" s="2">
        <v>1.2</v>
      </c>
      <c r="C829" s="2">
        <v>0.8</v>
      </c>
      <c r="D829" s="2">
        <v>2.8</v>
      </c>
      <c r="E829" s="2">
        <v>3.8</v>
      </c>
      <c r="F829" s="2">
        <v>0.2</v>
      </c>
      <c r="G829" s="2">
        <v>0.5</v>
      </c>
      <c r="H829" s="2">
        <f>AVERAGE(weather.tbl[[#This Row],[Estevan]:[Kipling]])</f>
        <v>1.5499999999999998</v>
      </c>
      <c r="I829" s="2">
        <f>_xlfn.STDEV.S(weather.tbl[[#This Row],[Estevan]:[Kipling]])</f>
        <v>1.4307340773183534</v>
      </c>
      <c r="J829" s="2">
        <f t="shared" si="12"/>
        <v>2.6238095238095238</v>
      </c>
      <c r="K829">
        <f>DAY(weather.tbl[[#This Row],[Date]])</f>
        <v>7</v>
      </c>
      <c r="L829">
        <f>MONTH(weather.tbl[[#This Row],[Date]])</f>
        <v>4</v>
      </c>
      <c r="M829">
        <f>YEAR(weather.tbl[[#This Row],[Date]])</f>
        <v>2016</v>
      </c>
    </row>
    <row r="830" spans="1:13" x14ac:dyDescent="0.25">
      <c r="A830" s="1">
        <v>42468</v>
      </c>
      <c r="B830" s="2">
        <v>-1.2</v>
      </c>
      <c r="C830" s="2">
        <v>-0.2</v>
      </c>
      <c r="D830" s="2">
        <v>-1.3</v>
      </c>
      <c r="E830" s="2">
        <v>0</v>
      </c>
      <c r="F830" s="2">
        <v>-3.5</v>
      </c>
      <c r="G830" s="2">
        <v>-2.5</v>
      </c>
      <c r="H830" s="2">
        <f>AVERAGE(weather.tbl[[#This Row],[Estevan]:[Kipling]])</f>
        <v>-1.45</v>
      </c>
      <c r="I830" s="2">
        <f>_xlfn.STDEV.S(weather.tbl[[#This Row],[Estevan]:[Kipling]])</f>
        <v>1.3457340004622016</v>
      </c>
      <c r="J830" s="2">
        <f t="shared" si="12"/>
        <v>2.3500000000000005</v>
      </c>
      <c r="K830">
        <f>DAY(weather.tbl[[#This Row],[Date]])</f>
        <v>8</v>
      </c>
      <c r="L830">
        <f>MONTH(weather.tbl[[#This Row],[Date]])</f>
        <v>4</v>
      </c>
      <c r="M830">
        <f>YEAR(weather.tbl[[#This Row],[Date]])</f>
        <v>2016</v>
      </c>
    </row>
    <row r="831" spans="1:13" x14ac:dyDescent="0.25">
      <c r="A831" s="1">
        <v>42469</v>
      </c>
      <c r="B831" s="2">
        <v>8.6999999999999993</v>
      </c>
      <c r="C831" s="2">
        <v>7.6</v>
      </c>
      <c r="D831" s="2">
        <v>-1.3</v>
      </c>
      <c r="E831" s="2">
        <v>8.8000000000000007</v>
      </c>
      <c r="F831" s="2">
        <v>5.8</v>
      </c>
      <c r="G831" s="2">
        <v>5</v>
      </c>
      <c r="H831" s="2">
        <f>AVERAGE(weather.tbl[[#This Row],[Estevan]:[Kipling]])</f>
        <v>5.7666666666666657</v>
      </c>
      <c r="I831" s="2">
        <f>_xlfn.STDEV.S(weather.tbl[[#This Row],[Estevan]:[Kipling]])</f>
        <v>3.7866431924155028</v>
      </c>
      <c r="J831" s="2">
        <f t="shared" si="12"/>
        <v>2.2476190476190476</v>
      </c>
      <c r="K831">
        <f>DAY(weather.tbl[[#This Row],[Date]])</f>
        <v>9</v>
      </c>
      <c r="L831">
        <f>MONTH(weather.tbl[[#This Row],[Date]])</f>
        <v>4</v>
      </c>
      <c r="M831">
        <f>YEAR(weather.tbl[[#This Row],[Date]])</f>
        <v>2016</v>
      </c>
    </row>
    <row r="832" spans="1:13" x14ac:dyDescent="0.25">
      <c r="A832" s="1">
        <v>42470</v>
      </c>
      <c r="B832" s="2">
        <v>-3.4</v>
      </c>
      <c r="C832" s="2">
        <v>-3.7</v>
      </c>
      <c r="D832" s="2">
        <v>-2.2999999999999998</v>
      </c>
      <c r="E832" s="2">
        <v>-1</v>
      </c>
      <c r="F832" s="2">
        <v>-2.1</v>
      </c>
      <c r="G832" s="2">
        <v>-4</v>
      </c>
      <c r="H832" s="2">
        <f>AVERAGE(weather.tbl[[#This Row],[Estevan]:[Kipling]])</f>
        <v>-2.75</v>
      </c>
      <c r="I832" s="2">
        <f>_xlfn.STDEV.S(weather.tbl[[#This Row],[Estevan]:[Kipling]])</f>
        <v>1.1467344941179718</v>
      </c>
      <c r="J832" s="2">
        <f t="shared" si="12"/>
        <v>1.7761904761904763</v>
      </c>
      <c r="K832">
        <f>DAY(weather.tbl[[#This Row],[Date]])</f>
        <v>10</v>
      </c>
      <c r="L832">
        <f>MONTH(weather.tbl[[#This Row],[Date]])</f>
        <v>4</v>
      </c>
      <c r="M832">
        <f>YEAR(weather.tbl[[#This Row],[Date]])</f>
        <v>2016</v>
      </c>
    </row>
    <row r="833" spans="1:13" x14ac:dyDescent="0.25">
      <c r="A833" s="1">
        <v>42471</v>
      </c>
      <c r="B833" s="2">
        <v>-3.5</v>
      </c>
      <c r="C833" s="2">
        <v>-3.8</v>
      </c>
      <c r="D833" s="2">
        <v>-3</v>
      </c>
      <c r="E833" s="2">
        <v>-3</v>
      </c>
      <c r="F833" s="2">
        <v>-2.5</v>
      </c>
      <c r="G833" s="2">
        <v>-3.3</v>
      </c>
      <c r="H833" s="2">
        <f>AVERAGE(weather.tbl[[#This Row],[Estevan]:[Kipling]])</f>
        <v>-3.1833333333333336</v>
      </c>
      <c r="I833" s="2">
        <f>_xlfn.STDEV.S(weather.tbl[[#This Row],[Estevan]:[Kipling]])</f>
        <v>0.45350486950711383</v>
      </c>
      <c r="J833" s="2">
        <f t="shared" si="12"/>
        <v>1.0809523809523809</v>
      </c>
      <c r="K833">
        <f>DAY(weather.tbl[[#This Row],[Date]])</f>
        <v>11</v>
      </c>
      <c r="L833">
        <f>MONTH(weather.tbl[[#This Row],[Date]])</f>
        <v>4</v>
      </c>
      <c r="M833">
        <f>YEAR(weather.tbl[[#This Row],[Date]])</f>
        <v>2016</v>
      </c>
    </row>
    <row r="834" spans="1:13" x14ac:dyDescent="0.25">
      <c r="A834" s="1">
        <v>42472</v>
      </c>
      <c r="B834" s="2">
        <v>7.9</v>
      </c>
      <c r="C834" s="2">
        <v>9.1</v>
      </c>
      <c r="D834" s="2">
        <v>5.5</v>
      </c>
      <c r="E834" s="2">
        <v>10</v>
      </c>
      <c r="F834" s="2">
        <v>4.0999999999999996</v>
      </c>
      <c r="G834" s="2">
        <v>7.3</v>
      </c>
      <c r="H834" s="2">
        <f>AVERAGE(weather.tbl[[#This Row],[Estevan]:[Kipling]])</f>
        <v>7.3166666666666664</v>
      </c>
      <c r="I834" s="2">
        <f>_xlfn.STDEV.S(weather.tbl[[#This Row],[Estevan]:[Kipling]])</f>
        <v>2.2076382553911951</v>
      </c>
      <c r="J834" s="2">
        <f t="shared" si="12"/>
        <v>1.5047619047619045</v>
      </c>
      <c r="K834">
        <f>DAY(weather.tbl[[#This Row],[Date]])</f>
        <v>12</v>
      </c>
      <c r="L834">
        <f>MONTH(weather.tbl[[#This Row],[Date]])</f>
        <v>4</v>
      </c>
      <c r="M834">
        <f>YEAR(weather.tbl[[#This Row],[Date]])</f>
        <v>2016</v>
      </c>
    </row>
    <row r="835" spans="1:13" x14ac:dyDescent="0.25">
      <c r="A835" s="1">
        <v>42473</v>
      </c>
      <c r="B835" s="2">
        <v>10.199999999999999</v>
      </c>
      <c r="C835" s="2">
        <v>11.5</v>
      </c>
      <c r="D835" s="2">
        <v>9</v>
      </c>
      <c r="E835" s="2">
        <v>10.8</v>
      </c>
      <c r="F835" s="2">
        <v>9.9</v>
      </c>
      <c r="G835" s="2">
        <v>11.5</v>
      </c>
      <c r="H835" s="2">
        <f>AVERAGE(weather.tbl[[#This Row],[Estevan]:[Kipling]])</f>
        <v>10.483333333333333</v>
      </c>
      <c r="I835" s="2">
        <f>_xlfn.STDEV.S(weather.tbl[[#This Row],[Estevan]:[Kipling]])</f>
        <v>0.97860444852180539</v>
      </c>
      <c r="J835" s="2">
        <f t="shared" si="12"/>
        <v>2.5333333333333328</v>
      </c>
      <c r="K835">
        <f>DAY(weather.tbl[[#This Row],[Date]])</f>
        <v>13</v>
      </c>
      <c r="L835">
        <f>MONTH(weather.tbl[[#This Row],[Date]])</f>
        <v>4</v>
      </c>
      <c r="M835">
        <f>YEAR(weather.tbl[[#This Row],[Date]])</f>
        <v>2016</v>
      </c>
    </row>
    <row r="836" spans="1:13" x14ac:dyDescent="0.25">
      <c r="A836" s="1">
        <v>42474</v>
      </c>
      <c r="B836" s="2">
        <v>10.199999999999999</v>
      </c>
      <c r="C836" s="2">
        <v>9</v>
      </c>
      <c r="D836" s="2">
        <v>10.5</v>
      </c>
      <c r="E836" s="2">
        <v>11</v>
      </c>
      <c r="F836" s="2">
        <v>11.8</v>
      </c>
      <c r="G836" s="2">
        <v>9.3000000000000007</v>
      </c>
      <c r="H836" s="2">
        <f>AVERAGE(weather.tbl[[#This Row],[Estevan]:[Kipling]])</f>
        <v>10.299999999999999</v>
      </c>
      <c r="I836" s="2">
        <f>_xlfn.STDEV.S(weather.tbl[[#This Row],[Estevan]:[Kipling]])</f>
        <v>1.046900186264192</v>
      </c>
      <c r="J836" s="2">
        <f t="shared" si="12"/>
        <v>3.7833333333333323</v>
      </c>
      <c r="K836">
        <f>DAY(weather.tbl[[#This Row],[Date]])</f>
        <v>14</v>
      </c>
      <c r="L836">
        <f>MONTH(weather.tbl[[#This Row],[Date]])</f>
        <v>4</v>
      </c>
      <c r="M836">
        <f>YEAR(weather.tbl[[#This Row],[Date]])</f>
        <v>2016</v>
      </c>
    </row>
    <row r="837" spans="1:13" x14ac:dyDescent="0.25">
      <c r="A837" s="1">
        <v>42475</v>
      </c>
      <c r="B837" s="2">
        <v>4.8</v>
      </c>
      <c r="C837" s="2">
        <v>4.7</v>
      </c>
      <c r="D837" s="2">
        <v>3</v>
      </c>
      <c r="E837" s="2">
        <v>4</v>
      </c>
      <c r="F837" s="2">
        <v>5</v>
      </c>
      <c r="G837" s="2">
        <v>2.2999999999999998</v>
      </c>
      <c r="H837" s="2">
        <f>AVERAGE(weather.tbl[[#This Row],[Estevan]:[Kipling]])</f>
        <v>3.9666666666666668</v>
      </c>
      <c r="I837" s="2">
        <f>_xlfn.STDEV.S(weather.tbl[[#This Row],[Estevan]:[Kipling]])</f>
        <v>1.0966616007988341</v>
      </c>
      <c r="J837" s="2">
        <f t="shared" si="12"/>
        <v>4.5571428571428569</v>
      </c>
      <c r="K837">
        <f>DAY(weather.tbl[[#This Row],[Date]])</f>
        <v>15</v>
      </c>
      <c r="L837">
        <f>MONTH(weather.tbl[[#This Row],[Date]])</f>
        <v>4</v>
      </c>
      <c r="M837">
        <f>YEAR(weather.tbl[[#This Row],[Date]])</f>
        <v>2016</v>
      </c>
    </row>
    <row r="838" spans="1:13" x14ac:dyDescent="0.25">
      <c r="A838" s="1">
        <v>42476</v>
      </c>
      <c r="B838" s="2">
        <v>2.5</v>
      </c>
      <c r="C838" s="2">
        <v>3.7</v>
      </c>
      <c r="D838" s="2">
        <v>1.8</v>
      </c>
      <c r="E838" s="2">
        <v>5.5</v>
      </c>
      <c r="F838" s="2">
        <v>0.6</v>
      </c>
      <c r="G838" s="2">
        <v>1.3</v>
      </c>
      <c r="H838" s="2">
        <f>AVERAGE(weather.tbl[[#This Row],[Estevan]:[Kipling]])</f>
        <v>2.5666666666666669</v>
      </c>
      <c r="I838" s="2">
        <f>_xlfn.STDEV.S(weather.tbl[[#This Row],[Estevan]:[Kipling]])</f>
        <v>1.7862437310363515</v>
      </c>
      <c r="J838" s="2">
        <f t="shared" si="12"/>
        <v>4.0999999999999996</v>
      </c>
      <c r="K838">
        <f>DAY(weather.tbl[[#This Row],[Date]])</f>
        <v>16</v>
      </c>
      <c r="L838">
        <f>MONTH(weather.tbl[[#This Row],[Date]])</f>
        <v>4</v>
      </c>
      <c r="M838">
        <f>YEAR(weather.tbl[[#This Row],[Date]])</f>
        <v>2016</v>
      </c>
    </row>
    <row r="839" spans="1:13" x14ac:dyDescent="0.25">
      <c r="A839" s="1">
        <v>42477</v>
      </c>
      <c r="B839" s="2">
        <v>6.8</v>
      </c>
      <c r="C839" s="2">
        <v>5.3</v>
      </c>
      <c r="D839" s="2">
        <v>5.5</v>
      </c>
      <c r="E839" s="2">
        <v>6</v>
      </c>
      <c r="F839" s="2">
        <v>2.2999999999999998</v>
      </c>
      <c r="G839" s="2">
        <v>4.8</v>
      </c>
      <c r="H839" s="2">
        <f>AVERAGE(weather.tbl[[#This Row],[Estevan]:[Kipling]])</f>
        <v>5.1166666666666671</v>
      </c>
      <c r="I839" s="2">
        <f>_xlfn.STDEV.S(weather.tbl[[#This Row],[Estevan]:[Kipling]])</f>
        <v>1.5380723866797226</v>
      </c>
      <c r="J839" s="2">
        <f t="shared" si="12"/>
        <v>5.223809523809523</v>
      </c>
      <c r="K839">
        <f>DAY(weather.tbl[[#This Row],[Date]])</f>
        <v>17</v>
      </c>
      <c r="L839">
        <f>MONTH(weather.tbl[[#This Row],[Date]])</f>
        <v>4</v>
      </c>
      <c r="M839">
        <f>YEAR(weather.tbl[[#This Row],[Date]])</f>
        <v>2016</v>
      </c>
    </row>
    <row r="840" spans="1:13" x14ac:dyDescent="0.25">
      <c r="A840" s="1">
        <v>42478</v>
      </c>
      <c r="B840" s="2">
        <v>7.7</v>
      </c>
      <c r="C840" s="2">
        <v>7.7</v>
      </c>
      <c r="D840" s="2">
        <v>7.8</v>
      </c>
      <c r="E840" s="2">
        <v>8.5</v>
      </c>
      <c r="F840" s="2">
        <v>8.8000000000000007</v>
      </c>
      <c r="G840" s="2">
        <v>7.8</v>
      </c>
      <c r="H840" s="2">
        <f>AVERAGE(weather.tbl[[#This Row],[Estevan]:[Kipling]])</f>
        <v>8.0499999999999989</v>
      </c>
      <c r="I840" s="2">
        <f>_xlfn.STDEV.S(weather.tbl[[#This Row],[Estevan]:[Kipling]])</f>
        <v>0.47644516998286401</v>
      </c>
      <c r="J840" s="2">
        <f t="shared" si="12"/>
        <v>6.8285714285714283</v>
      </c>
      <c r="K840">
        <f>DAY(weather.tbl[[#This Row],[Date]])</f>
        <v>18</v>
      </c>
      <c r="L840">
        <f>MONTH(weather.tbl[[#This Row],[Date]])</f>
        <v>4</v>
      </c>
      <c r="M840">
        <f>YEAR(weather.tbl[[#This Row],[Date]])</f>
        <v>2016</v>
      </c>
    </row>
    <row r="841" spans="1:13" x14ac:dyDescent="0.25">
      <c r="A841" s="1">
        <v>42479</v>
      </c>
      <c r="B841" s="2">
        <v>9</v>
      </c>
      <c r="C841" s="2">
        <v>9</v>
      </c>
      <c r="D841" s="2">
        <v>7.8</v>
      </c>
      <c r="E841" s="2">
        <v>11.5</v>
      </c>
      <c r="F841" s="2">
        <v>9</v>
      </c>
      <c r="G841" s="2">
        <v>10.5</v>
      </c>
      <c r="H841" s="2">
        <f>AVERAGE(weather.tbl[[#This Row],[Estevan]:[Kipling]])</f>
        <v>9.4666666666666668</v>
      </c>
      <c r="I841" s="2">
        <f>_xlfn.STDEV.S(weather.tbl[[#This Row],[Estevan]:[Kipling]])</f>
        <v>1.3140268896284764</v>
      </c>
      <c r="J841" s="2">
        <f t="shared" si="12"/>
        <v>7.1357142857142861</v>
      </c>
      <c r="K841">
        <f>DAY(weather.tbl[[#This Row],[Date]])</f>
        <v>19</v>
      </c>
      <c r="L841">
        <f>MONTH(weather.tbl[[#This Row],[Date]])</f>
        <v>4</v>
      </c>
      <c r="M841">
        <f>YEAR(weather.tbl[[#This Row],[Date]])</f>
        <v>2016</v>
      </c>
    </row>
    <row r="842" spans="1:13" x14ac:dyDescent="0.25">
      <c r="A842" s="1">
        <v>42480</v>
      </c>
      <c r="B842" s="2">
        <v>12.5</v>
      </c>
      <c r="C842" s="2">
        <v>12.4</v>
      </c>
      <c r="D842" s="2">
        <v>12.5</v>
      </c>
      <c r="E842" s="2">
        <v>13.5</v>
      </c>
      <c r="F842" s="2">
        <v>14.5</v>
      </c>
      <c r="G842" s="2">
        <v>13.8</v>
      </c>
      <c r="H842" s="2">
        <f>AVERAGE(weather.tbl[[#This Row],[Estevan]:[Kipling]])</f>
        <v>13.200000000000001</v>
      </c>
      <c r="I842" s="2">
        <f>_xlfn.STDEV.S(weather.tbl[[#This Row],[Estevan]:[Kipling]])</f>
        <v>0.86717933554715199</v>
      </c>
      <c r="J842" s="2">
        <f t="shared" ref="J842:J905" si="13">AVERAGE(H836:H842)</f>
        <v>7.5238095238095246</v>
      </c>
      <c r="K842">
        <f>DAY(weather.tbl[[#This Row],[Date]])</f>
        <v>20</v>
      </c>
      <c r="L842">
        <f>MONTH(weather.tbl[[#This Row],[Date]])</f>
        <v>4</v>
      </c>
      <c r="M842">
        <f>YEAR(weather.tbl[[#This Row],[Date]])</f>
        <v>2016</v>
      </c>
    </row>
    <row r="843" spans="1:13" x14ac:dyDescent="0.25">
      <c r="A843" s="1">
        <v>42481</v>
      </c>
      <c r="B843" s="2">
        <v>4.7</v>
      </c>
      <c r="C843" s="2">
        <v>4.3</v>
      </c>
      <c r="D843" s="2">
        <v>4.8</v>
      </c>
      <c r="E843" s="2">
        <v>6.5</v>
      </c>
      <c r="F843" s="2">
        <v>4.5</v>
      </c>
      <c r="G843" s="2">
        <v>4.8</v>
      </c>
      <c r="H843" s="2">
        <f>AVERAGE(weather.tbl[[#This Row],[Estevan]:[Kipling]])</f>
        <v>4.9333333333333336</v>
      </c>
      <c r="I843" s="2">
        <f>_xlfn.STDEV.S(weather.tbl[[#This Row],[Estevan]:[Kipling]])</f>
        <v>0.79162280580252686</v>
      </c>
      <c r="J843" s="2">
        <f t="shared" si="13"/>
        <v>6.7571428571428571</v>
      </c>
      <c r="K843">
        <f>DAY(weather.tbl[[#This Row],[Date]])</f>
        <v>21</v>
      </c>
      <c r="L843">
        <f>MONTH(weather.tbl[[#This Row],[Date]])</f>
        <v>4</v>
      </c>
      <c r="M843">
        <f>YEAR(weather.tbl[[#This Row],[Date]])</f>
        <v>2016</v>
      </c>
    </row>
    <row r="844" spans="1:13" x14ac:dyDescent="0.25">
      <c r="A844" s="1">
        <v>42482</v>
      </c>
      <c r="B844" s="2">
        <v>7.5</v>
      </c>
      <c r="C844" s="2">
        <v>8.6999999999999993</v>
      </c>
      <c r="D844" s="2">
        <v>6.5</v>
      </c>
      <c r="E844" s="2">
        <v>9.5</v>
      </c>
      <c r="F844" s="2">
        <v>5.0999999999999996</v>
      </c>
      <c r="G844" s="2">
        <v>6.5</v>
      </c>
      <c r="H844" s="2">
        <f>AVERAGE(weather.tbl[[#This Row],[Estevan]:[Kipling]])</f>
        <v>7.3000000000000007</v>
      </c>
      <c r="I844" s="2">
        <f>_xlfn.STDEV.S(weather.tbl[[#This Row],[Estevan]:[Kipling]])</f>
        <v>1.6099689437998437</v>
      </c>
      <c r="J844" s="2">
        <f t="shared" si="13"/>
        <v>7.2333333333333325</v>
      </c>
      <c r="K844">
        <f>DAY(weather.tbl[[#This Row],[Date]])</f>
        <v>22</v>
      </c>
      <c r="L844">
        <f>MONTH(weather.tbl[[#This Row],[Date]])</f>
        <v>4</v>
      </c>
      <c r="M844">
        <f>YEAR(weather.tbl[[#This Row],[Date]])</f>
        <v>2016</v>
      </c>
    </row>
    <row r="845" spans="1:13" x14ac:dyDescent="0.25">
      <c r="A845" s="1">
        <v>42483</v>
      </c>
      <c r="B845" s="2">
        <v>6.7</v>
      </c>
      <c r="C845" s="2">
        <v>8.1999999999999993</v>
      </c>
      <c r="D845" s="2">
        <v>6.3</v>
      </c>
      <c r="E845" s="2">
        <v>9.3000000000000007</v>
      </c>
      <c r="F845" s="2">
        <v>7</v>
      </c>
      <c r="G845" s="2">
        <v>5.5</v>
      </c>
      <c r="H845" s="2">
        <f>AVERAGE(weather.tbl[[#This Row],[Estevan]:[Kipling]])</f>
        <v>7.166666666666667</v>
      </c>
      <c r="I845" s="2">
        <f>_xlfn.STDEV.S(weather.tbl[[#This Row],[Estevan]:[Kipling]])</f>
        <v>1.3706446172026736</v>
      </c>
      <c r="J845" s="2">
        <f t="shared" si="13"/>
        <v>7.89047619047619</v>
      </c>
      <c r="K845">
        <f>DAY(weather.tbl[[#This Row],[Date]])</f>
        <v>23</v>
      </c>
      <c r="L845">
        <f>MONTH(weather.tbl[[#This Row],[Date]])</f>
        <v>4</v>
      </c>
      <c r="M845">
        <f>YEAR(weather.tbl[[#This Row],[Date]])</f>
        <v>2016</v>
      </c>
    </row>
    <row r="846" spans="1:13" x14ac:dyDescent="0.25">
      <c r="A846" s="1">
        <v>42484</v>
      </c>
      <c r="B846" s="2">
        <v>4.5</v>
      </c>
      <c r="C846" s="2">
        <v>5.4</v>
      </c>
      <c r="D846" s="2">
        <v>6.3</v>
      </c>
      <c r="E846" s="2">
        <v>5.5</v>
      </c>
      <c r="F846" s="2">
        <v>6.4</v>
      </c>
      <c r="G846" s="2">
        <v>4.8</v>
      </c>
      <c r="H846" s="2">
        <f>AVERAGE(weather.tbl[[#This Row],[Estevan]:[Kipling]])</f>
        <v>5.4833333333333334</v>
      </c>
      <c r="I846" s="2">
        <f>_xlfn.STDEV.S(weather.tbl[[#This Row],[Estevan]:[Kipling]])</f>
        <v>0.76789756261279429</v>
      </c>
      <c r="J846" s="2">
        <f t="shared" si="13"/>
        <v>7.9428571428571431</v>
      </c>
      <c r="K846">
        <f>DAY(weather.tbl[[#This Row],[Date]])</f>
        <v>24</v>
      </c>
      <c r="L846">
        <f>MONTH(weather.tbl[[#This Row],[Date]])</f>
        <v>4</v>
      </c>
      <c r="M846">
        <f>YEAR(weather.tbl[[#This Row],[Date]])</f>
        <v>2016</v>
      </c>
    </row>
    <row r="847" spans="1:13" x14ac:dyDescent="0.25">
      <c r="A847" s="1">
        <v>42485</v>
      </c>
      <c r="B847" s="2">
        <v>7.3</v>
      </c>
      <c r="C847" s="2">
        <v>6.9</v>
      </c>
      <c r="D847" s="2">
        <v>6.3</v>
      </c>
      <c r="E847" s="2">
        <v>8</v>
      </c>
      <c r="F847" s="2">
        <v>6.5</v>
      </c>
      <c r="G847" s="2">
        <v>4.8</v>
      </c>
      <c r="H847" s="2">
        <f>AVERAGE(weather.tbl[[#This Row],[Estevan]:[Kipling]])</f>
        <v>6.6333333333333329</v>
      </c>
      <c r="I847" s="2">
        <f>_xlfn.STDEV.S(weather.tbl[[#This Row],[Estevan]:[Kipling]])</f>
        <v>1.083820403326436</v>
      </c>
      <c r="J847" s="2">
        <f t="shared" si="13"/>
        <v>7.7404761904761914</v>
      </c>
      <c r="K847">
        <f>DAY(weather.tbl[[#This Row],[Date]])</f>
        <v>25</v>
      </c>
      <c r="L847">
        <f>MONTH(weather.tbl[[#This Row],[Date]])</f>
        <v>4</v>
      </c>
      <c r="M847">
        <f>YEAR(weather.tbl[[#This Row],[Date]])</f>
        <v>2016</v>
      </c>
    </row>
    <row r="848" spans="1:13" x14ac:dyDescent="0.25">
      <c r="A848" s="1">
        <v>42486</v>
      </c>
      <c r="B848" s="2">
        <v>4.4000000000000004</v>
      </c>
      <c r="C848" s="2">
        <v>6</v>
      </c>
      <c r="D848" s="2">
        <v>6.3</v>
      </c>
      <c r="E848" s="2">
        <v>7</v>
      </c>
      <c r="F848" s="2">
        <v>5.8</v>
      </c>
      <c r="G848" s="2">
        <v>5.3</v>
      </c>
      <c r="H848" s="2">
        <f>AVERAGE(weather.tbl[[#This Row],[Estevan]:[Kipling]])</f>
        <v>5.8</v>
      </c>
      <c r="I848" s="2">
        <f>_xlfn.STDEV.S(weather.tbl[[#This Row],[Estevan]:[Kipling]])</f>
        <v>0.88769364084689206</v>
      </c>
      <c r="J848" s="2">
        <f t="shared" si="13"/>
        <v>7.2166666666666668</v>
      </c>
      <c r="K848">
        <f>DAY(weather.tbl[[#This Row],[Date]])</f>
        <v>26</v>
      </c>
      <c r="L848">
        <f>MONTH(weather.tbl[[#This Row],[Date]])</f>
        <v>4</v>
      </c>
      <c r="M848">
        <f>YEAR(weather.tbl[[#This Row],[Date]])</f>
        <v>2016</v>
      </c>
    </row>
    <row r="849" spans="1:13" x14ac:dyDescent="0.25">
      <c r="A849" s="1">
        <v>42487</v>
      </c>
      <c r="B849" s="2">
        <v>9.1999999999999993</v>
      </c>
      <c r="C849" s="2">
        <v>9.5</v>
      </c>
      <c r="D849" s="2">
        <v>6.3</v>
      </c>
      <c r="E849" s="2">
        <v>10.5</v>
      </c>
      <c r="F849" s="2">
        <v>8.5</v>
      </c>
      <c r="G849" s="2">
        <v>9.3000000000000007</v>
      </c>
      <c r="H849" s="2">
        <f>AVERAGE(weather.tbl[[#This Row],[Estevan]:[Kipling]])</f>
        <v>8.8833333333333329</v>
      </c>
      <c r="I849" s="2">
        <f>_xlfn.STDEV.S(weather.tbl[[#This Row],[Estevan]:[Kipling]])</f>
        <v>1.420445939367871</v>
      </c>
      <c r="J849" s="2">
        <f t="shared" si="13"/>
        <v>6.6000000000000005</v>
      </c>
      <c r="K849">
        <f>DAY(weather.tbl[[#This Row],[Date]])</f>
        <v>27</v>
      </c>
      <c r="L849">
        <f>MONTH(weather.tbl[[#This Row],[Date]])</f>
        <v>4</v>
      </c>
      <c r="M849">
        <f>YEAR(weather.tbl[[#This Row],[Date]])</f>
        <v>2016</v>
      </c>
    </row>
    <row r="850" spans="1:13" x14ac:dyDescent="0.25">
      <c r="A850" s="1">
        <v>42488</v>
      </c>
      <c r="B850" s="2">
        <v>7.3</v>
      </c>
      <c r="C850" s="2">
        <v>7.6</v>
      </c>
      <c r="D850" s="2">
        <v>7.3</v>
      </c>
      <c r="E850" s="2">
        <v>8.5</v>
      </c>
      <c r="F850" s="2">
        <v>6</v>
      </c>
      <c r="G850" s="2">
        <v>7.5</v>
      </c>
      <c r="H850" s="2">
        <f>AVERAGE(weather.tbl[[#This Row],[Estevan]:[Kipling]])</f>
        <v>7.3666666666666671</v>
      </c>
      <c r="I850" s="2">
        <f>_xlfn.STDEV.S(weather.tbl[[#This Row],[Estevan]:[Kipling]])</f>
        <v>0.80415587212098782</v>
      </c>
      <c r="J850" s="2">
        <f t="shared" si="13"/>
        <v>6.9476190476190478</v>
      </c>
      <c r="K850">
        <f>DAY(weather.tbl[[#This Row],[Date]])</f>
        <v>28</v>
      </c>
      <c r="L850">
        <f>MONTH(weather.tbl[[#This Row],[Date]])</f>
        <v>4</v>
      </c>
      <c r="M850">
        <f>YEAR(weather.tbl[[#This Row],[Date]])</f>
        <v>2016</v>
      </c>
    </row>
    <row r="851" spans="1:13" x14ac:dyDescent="0.25">
      <c r="A851" s="1">
        <v>42489</v>
      </c>
      <c r="B851" s="2">
        <v>7.7</v>
      </c>
      <c r="C851" s="2">
        <v>8.4</v>
      </c>
      <c r="D851" s="2">
        <v>6.5</v>
      </c>
      <c r="E851" s="2">
        <v>7.5</v>
      </c>
      <c r="F851" s="2">
        <v>5.9</v>
      </c>
      <c r="G851" s="2">
        <v>7.5</v>
      </c>
      <c r="H851" s="2">
        <f>AVERAGE(weather.tbl[[#This Row],[Estevan]:[Kipling]])</f>
        <v>7.25</v>
      </c>
      <c r="I851" s="2">
        <f>_xlfn.STDEV.S(weather.tbl[[#This Row],[Estevan]:[Kipling]])</f>
        <v>0.89833178725903107</v>
      </c>
      <c r="J851" s="2">
        <f t="shared" si="13"/>
        <v>6.9404761904761907</v>
      </c>
      <c r="K851">
        <f>DAY(weather.tbl[[#This Row],[Date]])</f>
        <v>29</v>
      </c>
      <c r="L851">
        <f>MONTH(weather.tbl[[#This Row],[Date]])</f>
        <v>4</v>
      </c>
      <c r="M851">
        <f>YEAR(weather.tbl[[#This Row],[Date]])</f>
        <v>2016</v>
      </c>
    </row>
    <row r="852" spans="1:13" x14ac:dyDescent="0.25">
      <c r="A852" s="1">
        <v>42490</v>
      </c>
      <c r="B852" s="2">
        <v>7.7</v>
      </c>
      <c r="C852" s="2">
        <v>9.9</v>
      </c>
      <c r="D852" s="2">
        <v>6.5</v>
      </c>
      <c r="E852" s="2">
        <v>9.5</v>
      </c>
      <c r="F852" s="2">
        <v>7.7</v>
      </c>
      <c r="G852" s="2">
        <v>8.5</v>
      </c>
      <c r="H852" s="2">
        <f>AVERAGE(weather.tbl[[#This Row],[Estevan]:[Kipling]])</f>
        <v>8.3000000000000007</v>
      </c>
      <c r="I852" s="2">
        <f>_xlfn.STDEV.S(weather.tbl[[#This Row],[Estevan]:[Kipling]])</f>
        <v>1.2649110640673471</v>
      </c>
      <c r="J852" s="2">
        <f t="shared" si="13"/>
        <v>7.1023809523809529</v>
      </c>
      <c r="K852">
        <f>DAY(weather.tbl[[#This Row],[Date]])</f>
        <v>30</v>
      </c>
      <c r="L852">
        <f>MONTH(weather.tbl[[#This Row],[Date]])</f>
        <v>4</v>
      </c>
      <c r="M852">
        <f>YEAR(weather.tbl[[#This Row],[Date]])</f>
        <v>2016</v>
      </c>
    </row>
    <row r="853" spans="1:13" x14ac:dyDescent="0.25">
      <c r="A853" s="1">
        <v>42491</v>
      </c>
      <c r="B853" s="2">
        <v>9</v>
      </c>
      <c r="C853" s="2">
        <v>10.1</v>
      </c>
      <c r="D853" s="2">
        <v>8.5</v>
      </c>
      <c r="E853" s="2">
        <v>11</v>
      </c>
      <c r="F853" s="2">
        <v>8.5</v>
      </c>
      <c r="G853" s="2">
        <v>11</v>
      </c>
      <c r="H853" s="2">
        <f>AVERAGE(weather.tbl[[#This Row],[Estevan]:[Kipling]])</f>
        <v>9.6833333333333336</v>
      </c>
      <c r="I853" s="2">
        <f>_xlfn.STDEV.S(weather.tbl[[#This Row],[Estevan]:[Kipling]])</f>
        <v>1.1754431788336945</v>
      </c>
      <c r="J853" s="2">
        <f t="shared" si="13"/>
        <v>7.7023809523809534</v>
      </c>
      <c r="K853">
        <f>DAY(weather.tbl[[#This Row],[Date]])</f>
        <v>1</v>
      </c>
      <c r="L853">
        <f>MONTH(weather.tbl[[#This Row],[Date]])</f>
        <v>5</v>
      </c>
      <c r="M853">
        <f>YEAR(weather.tbl[[#This Row],[Date]])</f>
        <v>2016</v>
      </c>
    </row>
    <row r="854" spans="1:13" x14ac:dyDescent="0.25">
      <c r="A854" s="1">
        <v>42492</v>
      </c>
      <c r="B854" s="2">
        <v>13.6</v>
      </c>
      <c r="C854" s="2">
        <v>12.3</v>
      </c>
      <c r="D854" s="2">
        <v>13.5</v>
      </c>
      <c r="E854" s="2">
        <v>16</v>
      </c>
      <c r="F854" s="2">
        <v>13.4</v>
      </c>
      <c r="G854" s="2">
        <v>14</v>
      </c>
      <c r="H854" s="2">
        <f>AVERAGE(weather.tbl[[#This Row],[Estevan]:[Kipling]])</f>
        <v>13.799999999999999</v>
      </c>
      <c r="I854" s="2">
        <f>_xlfn.STDEV.S(weather.tbl[[#This Row],[Estevan]:[Kipling]])</f>
        <v>1.2181953866272845</v>
      </c>
      <c r="J854" s="2">
        <f t="shared" si="13"/>
        <v>8.7261904761904763</v>
      </c>
      <c r="K854">
        <f>DAY(weather.tbl[[#This Row],[Date]])</f>
        <v>2</v>
      </c>
      <c r="L854">
        <f>MONTH(weather.tbl[[#This Row],[Date]])</f>
        <v>5</v>
      </c>
      <c r="M854">
        <f>YEAR(weather.tbl[[#This Row],[Date]])</f>
        <v>2016</v>
      </c>
    </row>
    <row r="855" spans="1:13" x14ac:dyDescent="0.25">
      <c r="A855" s="1">
        <v>42493</v>
      </c>
      <c r="B855" s="2">
        <v>14.2</v>
      </c>
      <c r="C855" s="2">
        <v>14.3</v>
      </c>
      <c r="D855" s="2">
        <v>14.8</v>
      </c>
      <c r="E855" s="2">
        <v>16</v>
      </c>
      <c r="F855" s="2">
        <v>13.1</v>
      </c>
      <c r="G855" s="2">
        <v>14</v>
      </c>
      <c r="H855" s="2">
        <f>AVERAGE(weather.tbl[[#This Row],[Estevan]:[Kipling]])</f>
        <v>14.399999999999999</v>
      </c>
      <c r="I855" s="2">
        <f>_xlfn.STDEV.S(weather.tbl[[#This Row],[Estevan]:[Kipling]])</f>
        <v>0.96124918725583341</v>
      </c>
      <c r="J855" s="2">
        <f t="shared" si="13"/>
        <v>9.9547619047619058</v>
      </c>
      <c r="K855">
        <f>DAY(weather.tbl[[#This Row],[Date]])</f>
        <v>3</v>
      </c>
      <c r="L855">
        <f>MONTH(weather.tbl[[#This Row],[Date]])</f>
        <v>5</v>
      </c>
      <c r="M855">
        <f>YEAR(weather.tbl[[#This Row],[Date]])</f>
        <v>2016</v>
      </c>
    </row>
    <row r="856" spans="1:13" x14ac:dyDescent="0.25">
      <c r="A856" s="1">
        <v>42494</v>
      </c>
      <c r="B856" s="2">
        <v>17.2</v>
      </c>
      <c r="C856" s="2">
        <v>18.2</v>
      </c>
      <c r="D856" s="2">
        <v>17.3</v>
      </c>
      <c r="E856" s="2">
        <v>19</v>
      </c>
      <c r="F856" s="2">
        <v>16</v>
      </c>
      <c r="G856" s="2">
        <v>18.3</v>
      </c>
      <c r="H856" s="2">
        <f>AVERAGE(weather.tbl[[#This Row],[Estevan]:[Kipling]])</f>
        <v>17.666666666666668</v>
      </c>
      <c r="I856" s="2">
        <f>_xlfn.STDEV.S(weather.tbl[[#This Row],[Estevan]:[Kipling]])</f>
        <v>1.0576703960434304</v>
      </c>
      <c r="J856" s="2">
        <f t="shared" si="13"/>
        <v>11.209523809523811</v>
      </c>
      <c r="K856">
        <f>DAY(weather.tbl[[#This Row],[Date]])</f>
        <v>4</v>
      </c>
      <c r="L856">
        <f>MONTH(weather.tbl[[#This Row],[Date]])</f>
        <v>5</v>
      </c>
      <c r="M856">
        <f>YEAR(weather.tbl[[#This Row],[Date]])</f>
        <v>2016</v>
      </c>
    </row>
    <row r="857" spans="1:13" x14ac:dyDescent="0.25">
      <c r="A857" s="1">
        <v>42495</v>
      </c>
      <c r="B857" s="2">
        <v>22.4</v>
      </c>
      <c r="C857" s="2">
        <v>20.5</v>
      </c>
      <c r="D857" s="2">
        <v>22.8</v>
      </c>
      <c r="E857" s="2">
        <v>21</v>
      </c>
      <c r="F857" s="2">
        <v>20.5</v>
      </c>
      <c r="G857" s="2">
        <v>22</v>
      </c>
      <c r="H857" s="2">
        <f>AVERAGE(weather.tbl[[#This Row],[Estevan]:[Kipling]])</f>
        <v>21.533333333333331</v>
      </c>
      <c r="I857" s="2">
        <f>_xlfn.STDEV.S(weather.tbl[[#This Row],[Estevan]:[Kipling]])</f>
        <v>0.99933311096283939</v>
      </c>
      <c r="J857" s="2">
        <f t="shared" si="13"/>
        <v>13.233333333333333</v>
      </c>
      <c r="K857">
        <f>DAY(weather.tbl[[#This Row],[Date]])</f>
        <v>5</v>
      </c>
      <c r="L857">
        <f>MONTH(weather.tbl[[#This Row],[Date]])</f>
        <v>5</v>
      </c>
      <c r="M857">
        <f>YEAR(weather.tbl[[#This Row],[Date]])</f>
        <v>2016</v>
      </c>
    </row>
    <row r="858" spans="1:13" x14ac:dyDescent="0.25">
      <c r="A858" s="1">
        <v>42496</v>
      </c>
      <c r="B858" s="2">
        <v>12.3</v>
      </c>
      <c r="C858" s="2">
        <v>13</v>
      </c>
      <c r="D858" s="2">
        <v>16.3</v>
      </c>
      <c r="E858" s="2">
        <v>16.5</v>
      </c>
      <c r="F858" s="2">
        <v>12.8</v>
      </c>
      <c r="G858" s="2">
        <v>14.8</v>
      </c>
      <c r="H858" s="2">
        <f>AVERAGE(weather.tbl[[#This Row],[Estevan]:[Kipling]])</f>
        <v>14.283333333333333</v>
      </c>
      <c r="I858" s="2">
        <f>_xlfn.STDEV.S(weather.tbl[[#This Row],[Estevan]:[Kipling]])</f>
        <v>1.8454448424883048</v>
      </c>
      <c r="J858" s="2">
        <f t="shared" si="13"/>
        <v>14.238095238095237</v>
      </c>
      <c r="K858">
        <f>DAY(weather.tbl[[#This Row],[Date]])</f>
        <v>6</v>
      </c>
      <c r="L858">
        <f>MONTH(weather.tbl[[#This Row],[Date]])</f>
        <v>5</v>
      </c>
      <c r="M858">
        <f>YEAR(weather.tbl[[#This Row],[Date]])</f>
        <v>2016</v>
      </c>
    </row>
    <row r="859" spans="1:13" x14ac:dyDescent="0.25">
      <c r="A859" s="1">
        <v>42497</v>
      </c>
      <c r="B859" s="2">
        <v>11.8</v>
      </c>
      <c r="C859" s="2">
        <v>12.3</v>
      </c>
      <c r="D859" s="2">
        <v>12.3</v>
      </c>
      <c r="E859" s="2">
        <v>13.8</v>
      </c>
      <c r="F859" s="2">
        <v>11</v>
      </c>
      <c r="G859" s="2">
        <v>13</v>
      </c>
      <c r="H859" s="2">
        <f>AVERAGE(weather.tbl[[#This Row],[Estevan]:[Kipling]])</f>
        <v>12.366666666666667</v>
      </c>
      <c r="I859" s="2">
        <f>_xlfn.STDEV.S(weather.tbl[[#This Row],[Estevan]:[Kipling]])</f>
        <v>0.96471066474185252</v>
      </c>
      <c r="J859" s="2">
        <f t="shared" si="13"/>
        <v>14.819047619047618</v>
      </c>
      <c r="K859">
        <f>DAY(weather.tbl[[#This Row],[Date]])</f>
        <v>7</v>
      </c>
      <c r="L859">
        <f>MONTH(weather.tbl[[#This Row],[Date]])</f>
        <v>5</v>
      </c>
      <c r="M859">
        <f>YEAR(weather.tbl[[#This Row],[Date]])</f>
        <v>2016</v>
      </c>
    </row>
    <row r="860" spans="1:13" x14ac:dyDescent="0.25">
      <c r="A860" s="1">
        <v>42498</v>
      </c>
      <c r="B860" s="2">
        <v>15.4</v>
      </c>
      <c r="C860" s="2">
        <v>15.5</v>
      </c>
      <c r="D860" s="2">
        <v>14</v>
      </c>
      <c r="E860" s="2">
        <v>16</v>
      </c>
      <c r="F860" s="2">
        <v>15.9</v>
      </c>
      <c r="G860" s="2">
        <v>16.3</v>
      </c>
      <c r="H860" s="2">
        <f>AVERAGE(weather.tbl[[#This Row],[Estevan]:[Kipling]])</f>
        <v>15.516666666666666</v>
      </c>
      <c r="I860" s="2">
        <f>_xlfn.STDEV.S(weather.tbl[[#This Row],[Estevan]:[Kipling]])</f>
        <v>0.81342895612749544</v>
      </c>
      <c r="J860" s="2">
        <f t="shared" si="13"/>
        <v>15.65238095238095</v>
      </c>
      <c r="K860">
        <f>DAY(weather.tbl[[#This Row],[Date]])</f>
        <v>8</v>
      </c>
      <c r="L860">
        <f>MONTH(weather.tbl[[#This Row],[Date]])</f>
        <v>5</v>
      </c>
      <c r="M860">
        <f>YEAR(weather.tbl[[#This Row],[Date]])</f>
        <v>2016</v>
      </c>
    </row>
    <row r="861" spans="1:13" x14ac:dyDescent="0.25">
      <c r="A861" s="1">
        <v>42499</v>
      </c>
      <c r="B861" s="2">
        <v>16.3</v>
      </c>
      <c r="C861" s="2">
        <v>17.3</v>
      </c>
      <c r="D861" s="2">
        <v>16</v>
      </c>
      <c r="E861" s="2">
        <v>17.3</v>
      </c>
      <c r="F861" s="2">
        <v>17.5</v>
      </c>
      <c r="G861" s="2">
        <v>17</v>
      </c>
      <c r="H861" s="2">
        <f>AVERAGE(weather.tbl[[#This Row],[Estevan]:[Kipling]])</f>
        <v>16.900000000000002</v>
      </c>
      <c r="I861" s="2">
        <f>_xlfn.STDEV.S(weather.tbl[[#This Row],[Estevan]:[Kipling]])</f>
        <v>0.60991802727907629</v>
      </c>
      <c r="J861" s="2">
        <f t="shared" si="13"/>
        <v>16.095238095238095</v>
      </c>
      <c r="K861">
        <f>DAY(weather.tbl[[#This Row],[Date]])</f>
        <v>9</v>
      </c>
      <c r="L861">
        <f>MONTH(weather.tbl[[#This Row],[Date]])</f>
        <v>5</v>
      </c>
      <c r="M861">
        <f>YEAR(weather.tbl[[#This Row],[Date]])</f>
        <v>2016</v>
      </c>
    </row>
    <row r="862" spans="1:13" x14ac:dyDescent="0.25">
      <c r="A862" s="1">
        <v>42500</v>
      </c>
      <c r="B862" s="2">
        <v>8.9</v>
      </c>
      <c r="C862" s="2">
        <v>11.3</v>
      </c>
      <c r="D862" s="2">
        <v>10</v>
      </c>
      <c r="E862" s="2">
        <v>11</v>
      </c>
      <c r="F862" s="2">
        <v>9.8000000000000007</v>
      </c>
      <c r="G862" s="2">
        <v>10.8</v>
      </c>
      <c r="H862" s="2">
        <f>AVERAGE(weather.tbl[[#This Row],[Estevan]:[Kipling]])</f>
        <v>10.299999999999999</v>
      </c>
      <c r="I862" s="2">
        <f>_xlfn.STDEV.S(weather.tbl[[#This Row],[Estevan]:[Kipling]])</f>
        <v>0.89888820216976939</v>
      </c>
      <c r="J862" s="2">
        <f t="shared" si="13"/>
        <v>15.509523809523809</v>
      </c>
      <c r="K862">
        <f>DAY(weather.tbl[[#This Row],[Date]])</f>
        <v>10</v>
      </c>
      <c r="L862">
        <f>MONTH(weather.tbl[[#This Row],[Date]])</f>
        <v>5</v>
      </c>
      <c r="M862">
        <f>YEAR(weather.tbl[[#This Row],[Date]])</f>
        <v>2016</v>
      </c>
    </row>
    <row r="863" spans="1:13" x14ac:dyDescent="0.25">
      <c r="A863" s="1">
        <v>42501</v>
      </c>
      <c r="B863" s="2">
        <v>5.7</v>
      </c>
      <c r="C863" s="2">
        <v>6.8</v>
      </c>
      <c r="D863" s="2">
        <v>5.5</v>
      </c>
      <c r="E863" s="2">
        <v>6.5</v>
      </c>
      <c r="F863" s="2">
        <v>6.1</v>
      </c>
      <c r="G863" s="2">
        <v>5.5</v>
      </c>
      <c r="H863" s="2">
        <f>AVERAGE(weather.tbl[[#This Row],[Estevan]:[Kipling]])</f>
        <v>6.0166666666666666</v>
      </c>
      <c r="I863" s="2">
        <f>_xlfn.STDEV.S(weather.tbl[[#This Row],[Estevan]:[Kipling]])</f>
        <v>0.54558836742242467</v>
      </c>
      <c r="J863" s="2">
        <f t="shared" si="13"/>
        <v>13.845238095238093</v>
      </c>
      <c r="K863">
        <f>DAY(weather.tbl[[#This Row],[Date]])</f>
        <v>11</v>
      </c>
      <c r="L863">
        <f>MONTH(weather.tbl[[#This Row],[Date]])</f>
        <v>5</v>
      </c>
      <c r="M863">
        <f>YEAR(weather.tbl[[#This Row],[Date]])</f>
        <v>2016</v>
      </c>
    </row>
    <row r="864" spans="1:13" x14ac:dyDescent="0.25">
      <c r="A864" s="1">
        <v>42502</v>
      </c>
      <c r="B864" s="2">
        <v>3.4</v>
      </c>
      <c r="C864" s="2">
        <v>2.9</v>
      </c>
      <c r="D864" s="2">
        <v>3</v>
      </c>
      <c r="E864" s="2">
        <v>3.5</v>
      </c>
      <c r="F864" s="2">
        <v>4.8</v>
      </c>
      <c r="G864" s="2">
        <v>1.5</v>
      </c>
      <c r="H864" s="2">
        <f>AVERAGE(weather.tbl[[#This Row],[Estevan]:[Kipling]])</f>
        <v>3.1833333333333336</v>
      </c>
      <c r="I864" s="2">
        <f>_xlfn.STDEV.S(weather.tbl[[#This Row],[Estevan]:[Kipling]])</f>
        <v>1.0684880283216387</v>
      </c>
      <c r="J864" s="2">
        <f t="shared" si="13"/>
        <v>11.223809523809523</v>
      </c>
      <c r="K864">
        <f>DAY(weather.tbl[[#This Row],[Date]])</f>
        <v>12</v>
      </c>
      <c r="L864">
        <f>MONTH(weather.tbl[[#This Row],[Date]])</f>
        <v>5</v>
      </c>
      <c r="M864">
        <f>YEAR(weather.tbl[[#This Row],[Date]])</f>
        <v>2016</v>
      </c>
    </row>
    <row r="865" spans="1:13" x14ac:dyDescent="0.25">
      <c r="A865" s="1">
        <v>42503</v>
      </c>
      <c r="B865" s="2">
        <v>4.5</v>
      </c>
      <c r="C865" s="2">
        <v>4.7</v>
      </c>
      <c r="D865" s="2">
        <v>4.8</v>
      </c>
      <c r="E865" s="2">
        <v>5.8</v>
      </c>
      <c r="F865" s="2">
        <v>4.9000000000000004</v>
      </c>
      <c r="G865" s="2">
        <v>4</v>
      </c>
      <c r="H865" s="2">
        <f>AVERAGE(weather.tbl[[#This Row],[Estevan]:[Kipling]])</f>
        <v>4.7833333333333341</v>
      </c>
      <c r="I865" s="2">
        <f>_xlfn.STDEV.S(weather.tbl[[#This Row],[Estevan]:[Kipling]])</f>
        <v>0.59132619311735324</v>
      </c>
      <c r="J865" s="2">
        <f t="shared" si="13"/>
        <v>9.8666666666666654</v>
      </c>
      <c r="K865">
        <f>DAY(weather.tbl[[#This Row],[Date]])</f>
        <v>13</v>
      </c>
      <c r="L865">
        <f>MONTH(weather.tbl[[#This Row],[Date]])</f>
        <v>5</v>
      </c>
      <c r="M865">
        <f>YEAR(weather.tbl[[#This Row],[Date]])</f>
        <v>2016</v>
      </c>
    </row>
    <row r="866" spans="1:13" x14ac:dyDescent="0.25">
      <c r="A866" s="1">
        <v>42504</v>
      </c>
      <c r="B866" s="2">
        <v>8.6999999999999993</v>
      </c>
      <c r="C866" s="2">
        <v>8.8000000000000007</v>
      </c>
      <c r="D866" s="2">
        <v>8.8000000000000007</v>
      </c>
      <c r="E866" s="2">
        <v>10</v>
      </c>
      <c r="F866" s="2">
        <v>8.1</v>
      </c>
      <c r="G866" s="2">
        <v>9</v>
      </c>
      <c r="H866" s="2">
        <f>AVERAGE(weather.tbl[[#This Row],[Estevan]:[Kipling]])</f>
        <v>8.9</v>
      </c>
      <c r="I866" s="2">
        <f>_xlfn.STDEV.S(weather.tbl[[#This Row],[Estevan]:[Kipling]])</f>
        <v>0.61967733539318681</v>
      </c>
      <c r="J866" s="2">
        <f t="shared" si="13"/>
        <v>9.3714285714285719</v>
      </c>
      <c r="K866">
        <f>DAY(weather.tbl[[#This Row],[Date]])</f>
        <v>14</v>
      </c>
      <c r="L866">
        <f>MONTH(weather.tbl[[#This Row],[Date]])</f>
        <v>5</v>
      </c>
      <c r="M866">
        <f>YEAR(weather.tbl[[#This Row],[Date]])</f>
        <v>2016</v>
      </c>
    </row>
    <row r="867" spans="1:13" x14ac:dyDescent="0.25">
      <c r="A867" s="1">
        <v>42505</v>
      </c>
      <c r="B867" s="2">
        <v>9.6</v>
      </c>
      <c r="C867" s="2">
        <v>10.4</v>
      </c>
      <c r="D867" s="2">
        <v>10.3</v>
      </c>
      <c r="E867" s="2">
        <v>13</v>
      </c>
      <c r="F867" s="2">
        <v>10.7</v>
      </c>
      <c r="G867" s="2">
        <v>10.5</v>
      </c>
      <c r="H867" s="2">
        <f>AVERAGE(weather.tbl[[#This Row],[Estevan]:[Kipling]])</f>
        <v>10.75</v>
      </c>
      <c r="I867" s="2">
        <f>_xlfn.STDEV.S(weather.tbl[[#This Row],[Estevan]:[Kipling]])</f>
        <v>1.1640446726822815</v>
      </c>
      <c r="J867" s="2">
        <f t="shared" si="13"/>
        <v>8.6904761904761916</v>
      </c>
      <c r="K867">
        <f>DAY(weather.tbl[[#This Row],[Date]])</f>
        <v>15</v>
      </c>
      <c r="L867">
        <f>MONTH(weather.tbl[[#This Row],[Date]])</f>
        <v>5</v>
      </c>
      <c r="M867">
        <f>YEAR(weather.tbl[[#This Row],[Date]])</f>
        <v>2016</v>
      </c>
    </row>
    <row r="868" spans="1:13" x14ac:dyDescent="0.25">
      <c r="A868" s="1">
        <v>42506</v>
      </c>
      <c r="B868" s="2">
        <v>11</v>
      </c>
      <c r="C868" s="2">
        <v>11.4</v>
      </c>
      <c r="D868" s="2">
        <v>9.8000000000000007</v>
      </c>
      <c r="E868" s="2">
        <v>13.5</v>
      </c>
      <c r="F868" s="2">
        <v>10.9</v>
      </c>
      <c r="G868" s="2">
        <v>12.3</v>
      </c>
      <c r="H868" s="2">
        <f>AVERAGE(weather.tbl[[#This Row],[Estevan]:[Kipling]])</f>
        <v>11.483333333333334</v>
      </c>
      <c r="I868" s="2">
        <f>_xlfn.STDEV.S(weather.tbl[[#This Row],[Estevan]:[Kipling]])</f>
        <v>1.2765839833973387</v>
      </c>
      <c r="J868" s="2">
        <f t="shared" si="13"/>
        <v>7.916666666666667</v>
      </c>
      <c r="K868">
        <f>DAY(weather.tbl[[#This Row],[Date]])</f>
        <v>16</v>
      </c>
      <c r="L868">
        <f>MONTH(weather.tbl[[#This Row],[Date]])</f>
        <v>5</v>
      </c>
      <c r="M868">
        <f>YEAR(weather.tbl[[#This Row],[Date]])</f>
        <v>2016</v>
      </c>
    </row>
    <row r="869" spans="1:13" x14ac:dyDescent="0.25">
      <c r="A869" s="1">
        <v>42507</v>
      </c>
      <c r="B869" s="2">
        <v>13.8</v>
      </c>
      <c r="C869" s="2">
        <v>13.7</v>
      </c>
      <c r="D869" s="2">
        <v>9.8000000000000007</v>
      </c>
      <c r="E869" s="2">
        <v>14</v>
      </c>
      <c r="F869" s="2">
        <v>12.3</v>
      </c>
      <c r="G869" s="2">
        <v>14.5</v>
      </c>
      <c r="H869" s="2">
        <f>AVERAGE(weather.tbl[[#This Row],[Estevan]:[Kipling]])</f>
        <v>13.016666666666666</v>
      </c>
      <c r="I869" s="2">
        <f>_xlfn.STDEV.S(weather.tbl[[#This Row],[Estevan]:[Kipling]])</f>
        <v>1.738294183004337</v>
      </c>
      <c r="J869" s="2">
        <f t="shared" si="13"/>
        <v>8.3047619047619055</v>
      </c>
      <c r="K869">
        <f>DAY(weather.tbl[[#This Row],[Date]])</f>
        <v>17</v>
      </c>
      <c r="L869">
        <f>MONTH(weather.tbl[[#This Row],[Date]])</f>
        <v>5</v>
      </c>
      <c r="M869">
        <f>YEAR(weather.tbl[[#This Row],[Date]])</f>
        <v>2016</v>
      </c>
    </row>
    <row r="870" spans="1:13" x14ac:dyDescent="0.25">
      <c r="A870" s="1">
        <v>42508</v>
      </c>
      <c r="B870" s="2">
        <v>17.7</v>
      </c>
      <c r="C870" s="2">
        <v>17.5</v>
      </c>
      <c r="D870" s="2">
        <v>15.5</v>
      </c>
      <c r="E870" s="2">
        <v>17.5</v>
      </c>
      <c r="F870" s="2">
        <v>16.3</v>
      </c>
      <c r="G870" s="2">
        <v>17</v>
      </c>
      <c r="H870" s="2">
        <f>AVERAGE(weather.tbl[[#This Row],[Estevan]:[Kipling]])</f>
        <v>16.916666666666668</v>
      </c>
      <c r="I870" s="2">
        <f>_xlfn.STDEV.S(weather.tbl[[#This Row],[Estevan]:[Kipling]])</f>
        <v>0.85887523346913797</v>
      </c>
      <c r="J870" s="2">
        <f t="shared" si="13"/>
        <v>9.8619047619047624</v>
      </c>
      <c r="K870">
        <f>DAY(weather.tbl[[#This Row],[Date]])</f>
        <v>18</v>
      </c>
      <c r="L870">
        <f>MONTH(weather.tbl[[#This Row],[Date]])</f>
        <v>5</v>
      </c>
      <c r="M870">
        <f>YEAR(weather.tbl[[#This Row],[Date]])</f>
        <v>2016</v>
      </c>
    </row>
    <row r="871" spans="1:13" x14ac:dyDescent="0.25">
      <c r="A871" s="1">
        <v>42509</v>
      </c>
      <c r="B871" s="2">
        <v>17.2</v>
      </c>
      <c r="C871" s="2">
        <v>18.399999999999999</v>
      </c>
      <c r="D871" s="2">
        <v>16.5</v>
      </c>
      <c r="E871" s="2">
        <v>19.5</v>
      </c>
      <c r="F871" s="2">
        <v>19.5</v>
      </c>
      <c r="G871" s="2">
        <v>17.8</v>
      </c>
      <c r="H871" s="2">
        <f>AVERAGE(weather.tbl[[#This Row],[Estevan]:[Kipling]])</f>
        <v>18.149999999999999</v>
      </c>
      <c r="I871" s="2">
        <f>_xlfn.STDEV.S(weather.tbl[[#This Row],[Estevan]:[Kipling]])</f>
        <v>1.2210651088291731</v>
      </c>
      <c r="J871" s="2">
        <f t="shared" si="13"/>
        <v>12</v>
      </c>
      <c r="K871">
        <f>DAY(weather.tbl[[#This Row],[Date]])</f>
        <v>19</v>
      </c>
      <c r="L871">
        <f>MONTH(weather.tbl[[#This Row],[Date]])</f>
        <v>5</v>
      </c>
      <c r="M871">
        <f>YEAR(weather.tbl[[#This Row],[Date]])</f>
        <v>2016</v>
      </c>
    </row>
    <row r="872" spans="1:13" x14ac:dyDescent="0.25">
      <c r="A872" s="1">
        <v>42510</v>
      </c>
      <c r="B872" s="2">
        <v>18.2</v>
      </c>
      <c r="C872" s="2">
        <v>18.899999999999999</v>
      </c>
      <c r="D872" s="2">
        <v>18.3</v>
      </c>
      <c r="E872" s="2">
        <v>18.5</v>
      </c>
      <c r="F872" s="2">
        <v>19.100000000000001</v>
      </c>
      <c r="G872" s="2">
        <v>17.5</v>
      </c>
      <c r="H872" s="2">
        <f>AVERAGE(weather.tbl[[#This Row],[Estevan]:[Kipling]])</f>
        <v>18.416666666666668</v>
      </c>
      <c r="I872" s="2">
        <f>_xlfn.STDEV.S(weather.tbl[[#This Row],[Estevan]:[Kipling]])</f>
        <v>0.56715665090578526</v>
      </c>
      <c r="J872" s="2">
        <f t="shared" si="13"/>
        <v>13.947619047619048</v>
      </c>
      <c r="K872">
        <f>DAY(weather.tbl[[#This Row],[Date]])</f>
        <v>20</v>
      </c>
      <c r="L872">
        <f>MONTH(weather.tbl[[#This Row],[Date]])</f>
        <v>5</v>
      </c>
      <c r="M872">
        <f>YEAR(weather.tbl[[#This Row],[Date]])</f>
        <v>2016</v>
      </c>
    </row>
    <row r="873" spans="1:13" x14ac:dyDescent="0.25">
      <c r="A873" s="1">
        <v>42511</v>
      </c>
      <c r="B873" s="2">
        <v>17</v>
      </c>
      <c r="C873" s="2">
        <v>18.600000000000001</v>
      </c>
      <c r="D873" s="2">
        <v>17.8</v>
      </c>
      <c r="E873" s="2">
        <v>19.5</v>
      </c>
      <c r="F873" s="2">
        <v>18.5</v>
      </c>
      <c r="G873" s="2">
        <v>16.3</v>
      </c>
      <c r="H873" s="2">
        <f>AVERAGE(weather.tbl[[#This Row],[Estevan]:[Kipling]])</f>
        <v>17.95</v>
      </c>
      <c r="I873" s="2">
        <f>_xlfn.STDEV.S(weather.tbl[[#This Row],[Estevan]:[Kipling]])</f>
        <v>1.1640446726822815</v>
      </c>
      <c r="J873" s="2">
        <f t="shared" si="13"/>
        <v>15.240476190476191</v>
      </c>
      <c r="K873">
        <f>DAY(weather.tbl[[#This Row],[Date]])</f>
        <v>21</v>
      </c>
      <c r="L873">
        <f>MONTH(weather.tbl[[#This Row],[Date]])</f>
        <v>5</v>
      </c>
      <c r="M873">
        <f>YEAR(weather.tbl[[#This Row],[Date]])</f>
        <v>2016</v>
      </c>
    </row>
    <row r="874" spans="1:13" x14ac:dyDescent="0.25">
      <c r="A874" s="1">
        <v>42512</v>
      </c>
      <c r="B874" s="2">
        <v>19.7</v>
      </c>
      <c r="C874" s="2">
        <v>17.8</v>
      </c>
      <c r="D874" s="2">
        <v>20.5</v>
      </c>
      <c r="E874" s="2">
        <v>19</v>
      </c>
      <c r="F874" s="2">
        <v>19.399999999999999</v>
      </c>
      <c r="G874" s="2">
        <v>20</v>
      </c>
      <c r="H874" s="2">
        <f>AVERAGE(weather.tbl[[#This Row],[Estevan]:[Kipling]])</f>
        <v>19.400000000000002</v>
      </c>
      <c r="I874" s="2">
        <f>_xlfn.STDEV.S(weather.tbl[[#This Row],[Estevan]:[Kipling]])</f>
        <v>0.93594871654380696</v>
      </c>
      <c r="J874" s="2">
        <f t="shared" si="13"/>
        <v>16.476190476190478</v>
      </c>
      <c r="K874">
        <f>DAY(weather.tbl[[#This Row],[Date]])</f>
        <v>22</v>
      </c>
      <c r="L874">
        <f>MONTH(weather.tbl[[#This Row],[Date]])</f>
        <v>5</v>
      </c>
      <c r="M874">
        <f>YEAR(weather.tbl[[#This Row],[Date]])</f>
        <v>2016</v>
      </c>
    </row>
    <row r="875" spans="1:13" x14ac:dyDescent="0.25">
      <c r="A875" s="1">
        <v>42513</v>
      </c>
      <c r="B875" s="2">
        <v>13.5</v>
      </c>
      <c r="C875" s="2">
        <v>10.8</v>
      </c>
      <c r="D875" s="2">
        <v>14.5</v>
      </c>
      <c r="E875" s="2">
        <v>11.3</v>
      </c>
      <c r="F875" s="2">
        <v>16.899999999999999</v>
      </c>
      <c r="G875" s="2">
        <v>11.5</v>
      </c>
      <c r="H875" s="2">
        <f>AVERAGE(weather.tbl[[#This Row],[Estevan]:[Kipling]])</f>
        <v>13.083333333333334</v>
      </c>
      <c r="I875" s="2">
        <f>_xlfn.STDEV.S(weather.tbl[[#This Row],[Estevan]:[Kipling]])</f>
        <v>2.3515243283169882</v>
      </c>
      <c r="J875" s="2">
        <f t="shared" si="13"/>
        <v>16.704761904761906</v>
      </c>
      <c r="K875">
        <f>DAY(weather.tbl[[#This Row],[Date]])</f>
        <v>23</v>
      </c>
      <c r="L875">
        <f>MONTH(weather.tbl[[#This Row],[Date]])</f>
        <v>5</v>
      </c>
      <c r="M875">
        <f>YEAR(weather.tbl[[#This Row],[Date]])</f>
        <v>2016</v>
      </c>
    </row>
    <row r="876" spans="1:13" x14ac:dyDescent="0.25">
      <c r="A876" s="1">
        <v>42514</v>
      </c>
      <c r="B876" s="2">
        <v>13.3</v>
      </c>
      <c r="C876" s="2">
        <v>11.6</v>
      </c>
      <c r="D876" s="2">
        <v>11.5</v>
      </c>
      <c r="E876" s="2">
        <v>12.3</v>
      </c>
      <c r="F876" s="2">
        <v>14.3</v>
      </c>
      <c r="G876" s="2">
        <v>12</v>
      </c>
      <c r="H876" s="2">
        <f>AVERAGE(weather.tbl[[#This Row],[Estevan]:[Kipling]])</f>
        <v>12.5</v>
      </c>
      <c r="I876" s="2">
        <f>_xlfn.STDEV.S(weather.tbl[[#This Row],[Estevan]:[Kipling]])</f>
        <v>1.0936178491593858</v>
      </c>
      <c r="J876" s="2">
        <f t="shared" si="13"/>
        <v>16.630952380952383</v>
      </c>
      <c r="K876">
        <f>DAY(weather.tbl[[#This Row],[Date]])</f>
        <v>24</v>
      </c>
      <c r="L876">
        <f>MONTH(weather.tbl[[#This Row],[Date]])</f>
        <v>5</v>
      </c>
      <c r="M876">
        <f>YEAR(weather.tbl[[#This Row],[Date]])</f>
        <v>2016</v>
      </c>
    </row>
    <row r="877" spans="1:13" x14ac:dyDescent="0.25">
      <c r="A877" s="1">
        <v>42515</v>
      </c>
      <c r="B877" s="2">
        <v>9.8000000000000007</v>
      </c>
      <c r="C877" s="2">
        <v>9</v>
      </c>
      <c r="D877" s="2">
        <v>9.5</v>
      </c>
      <c r="E877" s="2">
        <v>8</v>
      </c>
      <c r="F877" s="2">
        <v>10.9</v>
      </c>
      <c r="G877" s="2">
        <v>13</v>
      </c>
      <c r="H877" s="2">
        <f>AVERAGE(weather.tbl[[#This Row],[Estevan]:[Kipling]])</f>
        <v>10.033333333333333</v>
      </c>
      <c r="I877" s="2">
        <f>_xlfn.STDEV.S(weather.tbl[[#This Row],[Estevan]:[Kipling]])</f>
        <v>1.7374310537879467</v>
      </c>
      <c r="J877" s="2">
        <f t="shared" si="13"/>
        <v>15.647619047619047</v>
      </c>
      <c r="K877">
        <f>DAY(weather.tbl[[#This Row],[Date]])</f>
        <v>25</v>
      </c>
      <c r="L877">
        <f>MONTH(weather.tbl[[#This Row],[Date]])</f>
        <v>5</v>
      </c>
      <c r="M877">
        <f>YEAR(weather.tbl[[#This Row],[Date]])</f>
        <v>2016</v>
      </c>
    </row>
    <row r="878" spans="1:13" x14ac:dyDescent="0.25">
      <c r="A878" s="1">
        <v>42516</v>
      </c>
      <c r="B878" s="2">
        <v>11.5</v>
      </c>
      <c r="C878" s="2">
        <v>12</v>
      </c>
      <c r="D878" s="2">
        <v>12.8</v>
      </c>
      <c r="E878" s="2">
        <v>13.3</v>
      </c>
      <c r="F878" s="2">
        <v>14</v>
      </c>
      <c r="G878" s="2">
        <v>13.5</v>
      </c>
      <c r="H878" s="2">
        <f>AVERAGE(weather.tbl[[#This Row],[Estevan]:[Kipling]])</f>
        <v>12.85</v>
      </c>
      <c r="I878" s="2">
        <f>_xlfn.STDEV.S(weather.tbl[[#This Row],[Estevan]:[Kipling]])</f>
        <v>0.94815610529068484</v>
      </c>
      <c r="J878" s="2">
        <f t="shared" si="13"/>
        <v>14.890476190476189</v>
      </c>
      <c r="K878">
        <f>DAY(weather.tbl[[#This Row],[Date]])</f>
        <v>26</v>
      </c>
      <c r="L878">
        <f>MONTH(weather.tbl[[#This Row],[Date]])</f>
        <v>5</v>
      </c>
      <c r="M878">
        <f>YEAR(weather.tbl[[#This Row],[Date]])</f>
        <v>2016</v>
      </c>
    </row>
    <row r="879" spans="1:13" x14ac:dyDescent="0.25">
      <c r="A879" s="1">
        <v>42517</v>
      </c>
      <c r="B879" s="2">
        <v>13.7</v>
      </c>
      <c r="C879" s="2">
        <v>13.8</v>
      </c>
      <c r="D879" s="2">
        <v>14.3</v>
      </c>
      <c r="E879" s="2">
        <v>15.5</v>
      </c>
      <c r="F879" s="2">
        <v>15.2</v>
      </c>
      <c r="G879" s="2">
        <v>15.5</v>
      </c>
      <c r="H879" s="2">
        <f>AVERAGE(weather.tbl[[#This Row],[Estevan]:[Kipling]])</f>
        <v>14.666666666666666</v>
      </c>
      <c r="I879" s="2">
        <f>_xlfn.STDEV.S(weather.tbl[[#This Row],[Estevan]:[Kipling]])</f>
        <v>0.83586282766173203</v>
      </c>
      <c r="J879" s="2">
        <f t="shared" si="13"/>
        <v>14.354761904761904</v>
      </c>
      <c r="K879">
        <f>DAY(weather.tbl[[#This Row],[Date]])</f>
        <v>27</v>
      </c>
      <c r="L879">
        <f>MONTH(weather.tbl[[#This Row],[Date]])</f>
        <v>5</v>
      </c>
      <c r="M879">
        <f>YEAR(weather.tbl[[#This Row],[Date]])</f>
        <v>2016</v>
      </c>
    </row>
    <row r="880" spans="1:13" x14ac:dyDescent="0.25">
      <c r="A880" s="1">
        <v>42518</v>
      </c>
      <c r="B880" s="2">
        <v>13.3</v>
      </c>
      <c r="C880" s="2">
        <v>13.2</v>
      </c>
      <c r="D880" s="2">
        <v>13</v>
      </c>
      <c r="E880" s="2">
        <v>14</v>
      </c>
      <c r="F880" s="2">
        <v>14.2</v>
      </c>
      <c r="G880" s="2">
        <v>11.8</v>
      </c>
      <c r="H880" s="2">
        <f>AVERAGE(weather.tbl[[#This Row],[Estevan]:[Kipling]])</f>
        <v>13.25</v>
      </c>
      <c r="I880" s="2">
        <f>_xlfn.STDEV.S(weather.tbl[[#This Row],[Estevan]:[Kipling]])</f>
        <v>0.85264294989168787</v>
      </c>
      <c r="J880" s="2">
        <f t="shared" si="13"/>
        <v>13.683333333333334</v>
      </c>
      <c r="K880">
        <f>DAY(weather.tbl[[#This Row],[Date]])</f>
        <v>28</v>
      </c>
      <c r="L880">
        <f>MONTH(weather.tbl[[#This Row],[Date]])</f>
        <v>5</v>
      </c>
      <c r="M880">
        <f>YEAR(weather.tbl[[#This Row],[Date]])</f>
        <v>2016</v>
      </c>
    </row>
    <row r="881" spans="1:13" x14ac:dyDescent="0.25">
      <c r="A881" s="1">
        <v>42519</v>
      </c>
      <c r="B881" s="2">
        <v>14.2</v>
      </c>
      <c r="C881" s="2">
        <v>14.4</v>
      </c>
      <c r="D881" s="2">
        <v>13</v>
      </c>
      <c r="E881" s="2">
        <v>14.5</v>
      </c>
      <c r="F881" s="2">
        <v>17.100000000000001</v>
      </c>
      <c r="G881" s="2">
        <v>15</v>
      </c>
      <c r="H881" s="2">
        <f>AVERAGE(weather.tbl[[#This Row],[Estevan]:[Kipling]])</f>
        <v>14.700000000000001</v>
      </c>
      <c r="I881" s="2">
        <f>_xlfn.STDEV.S(weather.tbl[[#This Row],[Estevan]:[Kipling]])</f>
        <v>1.3505554412907312</v>
      </c>
      <c r="J881" s="2">
        <f t="shared" si="13"/>
        <v>13.011904761904761</v>
      </c>
      <c r="K881">
        <f>DAY(weather.tbl[[#This Row],[Date]])</f>
        <v>29</v>
      </c>
      <c r="L881">
        <f>MONTH(weather.tbl[[#This Row],[Date]])</f>
        <v>5</v>
      </c>
      <c r="M881">
        <f>YEAR(weather.tbl[[#This Row],[Date]])</f>
        <v>2016</v>
      </c>
    </row>
    <row r="882" spans="1:13" x14ac:dyDescent="0.25">
      <c r="A882" s="1">
        <v>42520</v>
      </c>
      <c r="B882" s="2">
        <v>14.2</v>
      </c>
      <c r="C882" s="2">
        <v>13.9</v>
      </c>
      <c r="D882" s="2">
        <v>14.3</v>
      </c>
      <c r="E882" s="2">
        <v>14.5</v>
      </c>
      <c r="F882" s="2">
        <v>16.7</v>
      </c>
      <c r="G882" s="2">
        <v>15.3</v>
      </c>
      <c r="H882" s="2">
        <f>AVERAGE(weather.tbl[[#This Row],[Estevan]:[Kipling]])</f>
        <v>14.816666666666668</v>
      </c>
      <c r="I882" s="2">
        <f>_xlfn.STDEV.S(weather.tbl[[#This Row],[Estevan]:[Kipling]])</f>
        <v>1.0361788777362073</v>
      </c>
      <c r="J882" s="2">
        <f t="shared" si="13"/>
        <v>13.259523809523809</v>
      </c>
      <c r="K882">
        <f>DAY(weather.tbl[[#This Row],[Date]])</f>
        <v>30</v>
      </c>
      <c r="L882">
        <f>MONTH(weather.tbl[[#This Row],[Date]])</f>
        <v>5</v>
      </c>
      <c r="M882">
        <f>YEAR(weather.tbl[[#This Row],[Date]])</f>
        <v>2016</v>
      </c>
    </row>
    <row r="883" spans="1:13" x14ac:dyDescent="0.25">
      <c r="A883" s="1">
        <v>42521</v>
      </c>
      <c r="B883" s="2">
        <v>9.8000000000000007</v>
      </c>
      <c r="C883" s="2">
        <v>9.1</v>
      </c>
      <c r="D883" s="2">
        <v>10.5</v>
      </c>
      <c r="E883" s="2">
        <v>12.3</v>
      </c>
      <c r="F883" s="2">
        <v>11.2</v>
      </c>
      <c r="G883" s="2">
        <v>9.8000000000000007</v>
      </c>
      <c r="H883" s="2">
        <f>AVERAGE(weather.tbl[[#This Row],[Estevan]:[Kipling]])</f>
        <v>10.450000000000001</v>
      </c>
      <c r="I883" s="2">
        <f>_xlfn.STDEV.S(weather.tbl[[#This Row],[Estevan]:[Kipling]])</f>
        <v>1.1536897329871743</v>
      </c>
      <c r="J883" s="2">
        <f t="shared" si="13"/>
        <v>12.966666666666667</v>
      </c>
      <c r="K883">
        <f>DAY(weather.tbl[[#This Row],[Date]])</f>
        <v>31</v>
      </c>
      <c r="L883">
        <f>MONTH(weather.tbl[[#This Row],[Date]])</f>
        <v>5</v>
      </c>
      <c r="M883">
        <f>YEAR(weather.tbl[[#This Row],[Date]])</f>
        <v>2016</v>
      </c>
    </row>
    <row r="884" spans="1:13" x14ac:dyDescent="0.25">
      <c r="A884" s="1">
        <v>42522</v>
      </c>
      <c r="B884" s="2">
        <v>11.8</v>
      </c>
      <c r="C884" s="2">
        <v>11.3</v>
      </c>
      <c r="D884" s="2">
        <v>12.8</v>
      </c>
      <c r="E884" s="2">
        <v>12.3</v>
      </c>
      <c r="F884" s="2">
        <v>13.1</v>
      </c>
      <c r="G884" s="2">
        <v>12</v>
      </c>
      <c r="H884" s="2">
        <f>AVERAGE(weather.tbl[[#This Row],[Estevan]:[Kipling]])</f>
        <v>12.216666666666669</v>
      </c>
      <c r="I884" s="2">
        <f>_xlfn.STDEV.S(weather.tbl[[#This Row],[Estevan]:[Kipling]])</f>
        <v>0.66156380392722991</v>
      </c>
      <c r="J884" s="2">
        <f t="shared" si="13"/>
        <v>13.278571428571428</v>
      </c>
      <c r="K884">
        <f>DAY(weather.tbl[[#This Row],[Date]])</f>
        <v>1</v>
      </c>
      <c r="L884">
        <f>MONTH(weather.tbl[[#This Row],[Date]])</f>
        <v>6</v>
      </c>
      <c r="M884">
        <f>YEAR(weather.tbl[[#This Row],[Date]])</f>
        <v>2016</v>
      </c>
    </row>
    <row r="885" spans="1:13" x14ac:dyDescent="0.25">
      <c r="A885" s="1">
        <v>42523</v>
      </c>
      <c r="B885" s="2">
        <v>15.9</v>
      </c>
      <c r="C885" s="2">
        <v>16.399999999999999</v>
      </c>
      <c r="D885" s="2">
        <v>15.5</v>
      </c>
      <c r="E885" s="2">
        <v>17.5</v>
      </c>
      <c r="F885" s="2">
        <v>15.3</v>
      </c>
      <c r="G885" s="2">
        <v>15.8</v>
      </c>
      <c r="H885" s="2">
        <f>AVERAGE(weather.tbl[[#This Row],[Estevan]:[Kipling]])</f>
        <v>16.066666666666666</v>
      </c>
      <c r="I885" s="2">
        <f>_xlfn.STDEV.S(weather.tbl[[#This Row],[Estevan]:[Kipling]])</f>
        <v>0.79665969313544804</v>
      </c>
      <c r="J885" s="2">
        <f t="shared" si="13"/>
        <v>13.738095238095239</v>
      </c>
      <c r="K885">
        <f>DAY(weather.tbl[[#This Row],[Date]])</f>
        <v>2</v>
      </c>
      <c r="L885">
        <f>MONTH(weather.tbl[[#This Row],[Date]])</f>
        <v>6</v>
      </c>
      <c r="M885">
        <f>YEAR(weather.tbl[[#This Row],[Date]])</f>
        <v>2016</v>
      </c>
    </row>
    <row r="886" spans="1:13" x14ac:dyDescent="0.25">
      <c r="A886" s="1">
        <v>42524</v>
      </c>
      <c r="B886" s="2">
        <v>17.100000000000001</v>
      </c>
      <c r="C886" s="2">
        <v>16.8</v>
      </c>
      <c r="D886" s="2">
        <v>15.5</v>
      </c>
      <c r="E886" s="2">
        <v>17.5</v>
      </c>
      <c r="F886" s="2">
        <v>18.399999999999999</v>
      </c>
      <c r="G886" s="2">
        <v>16.3</v>
      </c>
      <c r="H886" s="2">
        <f>AVERAGE(weather.tbl[[#This Row],[Estevan]:[Kipling]])</f>
        <v>16.933333333333334</v>
      </c>
      <c r="I886" s="2">
        <f>_xlfn.STDEV.S(weather.tbl[[#This Row],[Estevan]:[Kipling]])</f>
        <v>0.99732976826457242</v>
      </c>
      <c r="J886" s="2">
        <f t="shared" si="13"/>
        <v>14.061904761904762</v>
      </c>
      <c r="K886">
        <f>DAY(weather.tbl[[#This Row],[Date]])</f>
        <v>3</v>
      </c>
      <c r="L886">
        <f>MONTH(weather.tbl[[#This Row],[Date]])</f>
        <v>6</v>
      </c>
      <c r="M886">
        <f>YEAR(weather.tbl[[#This Row],[Date]])</f>
        <v>2016</v>
      </c>
    </row>
    <row r="887" spans="1:13" x14ac:dyDescent="0.25">
      <c r="A887" s="1">
        <v>42525</v>
      </c>
      <c r="B887" s="2">
        <v>18.100000000000001</v>
      </c>
      <c r="C887" s="2">
        <v>17.5</v>
      </c>
      <c r="D887" s="2">
        <v>18</v>
      </c>
      <c r="E887" s="2">
        <v>18.5</v>
      </c>
      <c r="F887" s="2">
        <v>19</v>
      </c>
      <c r="G887" s="2">
        <v>18</v>
      </c>
      <c r="H887" s="2">
        <f>AVERAGE(weather.tbl[[#This Row],[Estevan]:[Kipling]])</f>
        <v>18.183333333333334</v>
      </c>
      <c r="I887" s="2">
        <f>_xlfn.STDEV.S(weather.tbl[[#This Row],[Estevan]:[Kipling]])</f>
        <v>0.51153364177409344</v>
      </c>
      <c r="J887" s="2">
        <f t="shared" si="13"/>
        <v>14.766666666666667</v>
      </c>
      <c r="K887">
        <f>DAY(weather.tbl[[#This Row],[Date]])</f>
        <v>4</v>
      </c>
      <c r="L887">
        <f>MONTH(weather.tbl[[#This Row],[Date]])</f>
        <v>6</v>
      </c>
      <c r="M887">
        <f>YEAR(weather.tbl[[#This Row],[Date]])</f>
        <v>2016</v>
      </c>
    </row>
    <row r="888" spans="1:13" x14ac:dyDescent="0.25">
      <c r="A888" s="1">
        <v>42526</v>
      </c>
      <c r="B888" s="2">
        <v>17.5</v>
      </c>
      <c r="C888" s="2">
        <v>17.3</v>
      </c>
      <c r="D888" s="2">
        <v>17</v>
      </c>
      <c r="E888" s="2">
        <v>18.5</v>
      </c>
      <c r="F888" s="2">
        <v>18.7</v>
      </c>
      <c r="G888" s="2">
        <v>17</v>
      </c>
      <c r="H888" s="2">
        <f>AVERAGE(weather.tbl[[#This Row],[Estevan]:[Kipling]])</f>
        <v>17.666666666666668</v>
      </c>
      <c r="I888" s="2">
        <f>_xlfn.STDEV.S(weather.tbl[[#This Row],[Estevan]:[Kipling]])</f>
        <v>0.75011110288187721</v>
      </c>
      <c r="J888" s="2">
        <f t="shared" si="13"/>
        <v>15.190476190476192</v>
      </c>
      <c r="K888">
        <f>DAY(weather.tbl[[#This Row],[Date]])</f>
        <v>5</v>
      </c>
      <c r="L888">
        <f>MONTH(weather.tbl[[#This Row],[Date]])</f>
        <v>6</v>
      </c>
      <c r="M888">
        <f>YEAR(weather.tbl[[#This Row],[Date]])</f>
        <v>2016</v>
      </c>
    </row>
    <row r="889" spans="1:13" x14ac:dyDescent="0.25">
      <c r="A889" s="1">
        <v>42527</v>
      </c>
      <c r="B889" s="2">
        <v>13.5</v>
      </c>
      <c r="C889" s="2">
        <v>13.7</v>
      </c>
      <c r="D889" s="2">
        <v>14.3</v>
      </c>
      <c r="E889" s="2">
        <v>15.5</v>
      </c>
      <c r="F889" s="2">
        <v>14.9</v>
      </c>
      <c r="G889" s="2">
        <v>13.8</v>
      </c>
      <c r="H889" s="2">
        <f>AVERAGE(weather.tbl[[#This Row],[Estevan]:[Kipling]])</f>
        <v>14.283333333333333</v>
      </c>
      <c r="I889" s="2">
        <f>_xlfn.STDEV.S(weather.tbl[[#This Row],[Estevan]:[Kipling]])</f>
        <v>0.78081154363051442</v>
      </c>
      <c r="J889" s="2">
        <f t="shared" si="13"/>
        <v>15.114285714285716</v>
      </c>
      <c r="K889">
        <f>DAY(weather.tbl[[#This Row],[Date]])</f>
        <v>6</v>
      </c>
      <c r="L889">
        <f>MONTH(weather.tbl[[#This Row],[Date]])</f>
        <v>6</v>
      </c>
      <c r="M889">
        <f>YEAR(weather.tbl[[#This Row],[Date]])</f>
        <v>2016</v>
      </c>
    </row>
    <row r="890" spans="1:13" x14ac:dyDescent="0.25">
      <c r="A890" s="1">
        <v>42528</v>
      </c>
      <c r="B890" s="2">
        <v>16.3</v>
      </c>
      <c r="C890" s="2">
        <v>17.7</v>
      </c>
      <c r="D890" s="2">
        <v>14.5</v>
      </c>
      <c r="E890" s="2">
        <v>18.5</v>
      </c>
      <c r="F890" s="2">
        <v>15.6</v>
      </c>
      <c r="G890" s="2">
        <v>15.3</v>
      </c>
      <c r="H890" s="2">
        <f>AVERAGE(weather.tbl[[#This Row],[Estevan]:[Kipling]])</f>
        <v>16.316666666666666</v>
      </c>
      <c r="I890" s="2">
        <f>_xlfn.STDEV.S(weather.tbl[[#This Row],[Estevan]:[Kipling]])</f>
        <v>1.5184421841699032</v>
      </c>
      <c r="J890" s="2">
        <f t="shared" si="13"/>
        <v>15.952380952380953</v>
      </c>
      <c r="K890">
        <f>DAY(weather.tbl[[#This Row],[Date]])</f>
        <v>7</v>
      </c>
      <c r="L890">
        <f>MONTH(weather.tbl[[#This Row],[Date]])</f>
        <v>6</v>
      </c>
      <c r="M890">
        <f>YEAR(weather.tbl[[#This Row],[Date]])</f>
        <v>2016</v>
      </c>
    </row>
    <row r="891" spans="1:13" x14ac:dyDescent="0.25">
      <c r="A891" s="1">
        <v>42529</v>
      </c>
      <c r="B891" s="2">
        <v>21.7</v>
      </c>
      <c r="C891" s="2">
        <v>23.4</v>
      </c>
      <c r="D891" s="2">
        <v>20</v>
      </c>
      <c r="E891" s="2">
        <v>23.5</v>
      </c>
      <c r="F891" s="2">
        <v>20.6</v>
      </c>
      <c r="G891" s="2">
        <v>22</v>
      </c>
      <c r="H891" s="2">
        <f>AVERAGE(weather.tbl[[#This Row],[Estevan]:[Kipling]])</f>
        <v>21.866666666666664</v>
      </c>
      <c r="I891" s="2">
        <f>_xlfn.STDEV.S(weather.tbl[[#This Row],[Estevan]:[Kipling]])</f>
        <v>1.4250146198080442</v>
      </c>
      <c r="J891" s="2">
        <f t="shared" si="13"/>
        <v>17.330952380952379</v>
      </c>
      <c r="K891">
        <f>DAY(weather.tbl[[#This Row],[Date]])</f>
        <v>8</v>
      </c>
      <c r="L891">
        <f>MONTH(weather.tbl[[#This Row],[Date]])</f>
        <v>6</v>
      </c>
      <c r="M891">
        <f>YEAR(weather.tbl[[#This Row],[Date]])</f>
        <v>2016</v>
      </c>
    </row>
    <row r="892" spans="1:13" x14ac:dyDescent="0.25">
      <c r="A892" s="1">
        <v>42530</v>
      </c>
      <c r="B892" s="2">
        <v>21.7</v>
      </c>
      <c r="C892" s="2">
        <v>23</v>
      </c>
      <c r="D892" s="2">
        <v>23</v>
      </c>
      <c r="E892" s="2">
        <v>23.8</v>
      </c>
      <c r="F892" s="2">
        <v>24.1</v>
      </c>
      <c r="G892" s="2">
        <v>23.8</v>
      </c>
      <c r="H892" s="2">
        <f>AVERAGE(weather.tbl[[#This Row],[Estevan]:[Kipling]])</f>
        <v>23.233333333333334</v>
      </c>
      <c r="I892" s="2">
        <f>_xlfn.STDEV.S(weather.tbl[[#This Row],[Estevan]:[Kipling]])</f>
        <v>0.87787622514034858</v>
      </c>
      <c r="J892" s="2">
        <f t="shared" si="13"/>
        <v>18.354761904761904</v>
      </c>
      <c r="K892">
        <f>DAY(weather.tbl[[#This Row],[Date]])</f>
        <v>9</v>
      </c>
      <c r="L892">
        <f>MONTH(weather.tbl[[#This Row],[Date]])</f>
        <v>6</v>
      </c>
      <c r="M892">
        <f>YEAR(weather.tbl[[#This Row],[Date]])</f>
        <v>2016</v>
      </c>
    </row>
    <row r="893" spans="1:13" x14ac:dyDescent="0.25">
      <c r="A893" s="1">
        <v>42531</v>
      </c>
      <c r="B893" s="2">
        <v>21.4</v>
      </c>
      <c r="C893" s="2">
        <v>20.5</v>
      </c>
      <c r="D893" s="2">
        <v>21.8</v>
      </c>
      <c r="E893" s="2">
        <v>20.5</v>
      </c>
      <c r="F893" s="2">
        <v>21.5</v>
      </c>
      <c r="G893" s="2">
        <v>20</v>
      </c>
      <c r="H893" s="2">
        <f>AVERAGE(weather.tbl[[#This Row],[Estevan]:[Kipling]])</f>
        <v>20.95</v>
      </c>
      <c r="I893" s="2">
        <f>_xlfn.STDEV.S(weather.tbl[[#This Row],[Estevan]:[Kipling]])</f>
        <v>0.71203932475671583</v>
      </c>
      <c r="J893" s="2">
        <f t="shared" si="13"/>
        <v>18.928571428571427</v>
      </c>
      <c r="K893">
        <f>DAY(weather.tbl[[#This Row],[Date]])</f>
        <v>10</v>
      </c>
      <c r="L893">
        <f>MONTH(weather.tbl[[#This Row],[Date]])</f>
        <v>6</v>
      </c>
      <c r="M893">
        <f>YEAR(weather.tbl[[#This Row],[Date]])</f>
        <v>2016</v>
      </c>
    </row>
    <row r="894" spans="1:13" x14ac:dyDescent="0.25">
      <c r="A894" s="1">
        <v>42532</v>
      </c>
      <c r="B894" s="2">
        <v>16.399999999999999</v>
      </c>
      <c r="C894" s="2">
        <v>16.100000000000001</v>
      </c>
      <c r="D894" s="2">
        <v>15.3</v>
      </c>
      <c r="E894" s="2">
        <v>16.8</v>
      </c>
      <c r="F894" s="2">
        <v>15.7</v>
      </c>
      <c r="G894" s="2">
        <v>14.3</v>
      </c>
      <c r="H894" s="2">
        <f>AVERAGE(weather.tbl[[#This Row],[Estevan]:[Kipling]])</f>
        <v>15.766666666666666</v>
      </c>
      <c r="I894" s="2">
        <f>_xlfn.STDEV.S(weather.tbl[[#This Row],[Estevan]:[Kipling]])</f>
        <v>0.88919439194512817</v>
      </c>
      <c r="J894" s="2">
        <f t="shared" si="13"/>
        <v>18.583333333333332</v>
      </c>
      <c r="K894">
        <f>DAY(weather.tbl[[#This Row],[Date]])</f>
        <v>11</v>
      </c>
      <c r="L894">
        <f>MONTH(weather.tbl[[#This Row],[Date]])</f>
        <v>6</v>
      </c>
      <c r="M894">
        <f>YEAR(weather.tbl[[#This Row],[Date]])</f>
        <v>2016</v>
      </c>
    </row>
    <row r="895" spans="1:13" x14ac:dyDescent="0.25">
      <c r="A895" s="1">
        <v>42533</v>
      </c>
      <c r="B895" s="2">
        <v>17.7</v>
      </c>
      <c r="C895" s="2">
        <v>17</v>
      </c>
      <c r="D895" s="2">
        <v>17.3</v>
      </c>
      <c r="E895" s="2">
        <v>17.8</v>
      </c>
      <c r="F895" s="2">
        <v>17.7</v>
      </c>
      <c r="G895" s="2">
        <v>16.3</v>
      </c>
      <c r="H895" s="2">
        <f>AVERAGE(weather.tbl[[#This Row],[Estevan]:[Kipling]])</f>
        <v>17.3</v>
      </c>
      <c r="I895" s="2">
        <f>_xlfn.STDEV.S(weather.tbl[[#This Row],[Estevan]:[Kipling]])</f>
        <v>0.57619441163551699</v>
      </c>
      <c r="J895" s="2">
        <f t="shared" si="13"/>
        <v>18.530952380952382</v>
      </c>
      <c r="K895">
        <f>DAY(weather.tbl[[#This Row],[Date]])</f>
        <v>12</v>
      </c>
      <c r="L895">
        <f>MONTH(weather.tbl[[#This Row],[Date]])</f>
        <v>6</v>
      </c>
      <c r="M895">
        <f>YEAR(weather.tbl[[#This Row],[Date]])</f>
        <v>2016</v>
      </c>
    </row>
    <row r="896" spans="1:13" x14ac:dyDescent="0.25">
      <c r="A896" s="1">
        <v>42534</v>
      </c>
      <c r="B896" s="2">
        <v>18</v>
      </c>
      <c r="C896" s="2">
        <v>17.899999999999999</v>
      </c>
      <c r="D896" s="2">
        <v>17.3</v>
      </c>
      <c r="E896" s="2">
        <v>17.5</v>
      </c>
      <c r="F896" s="2">
        <v>17.8</v>
      </c>
      <c r="G896" s="2">
        <v>17.8</v>
      </c>
      <c r="H896" s="2">
        <f>AVERAGE(weather.tbl[[#This Row],[Estevan]:[Kipling]])</f>
        <v>17.716666666666665</v>
      </c>
      <c r="I896" s="2">
        <f>_xlfn.STDEV.S(weather.tbl[[#This Row],[Estevan]:[Kipling]])</f>
        <v>0.26394443859772176</v>
      </c>
      <c r="J896" s="2">
        <f t="shared" si="13"/>
        <v>19.021428571428569</v>
      </c>
      <c r="K896">
        <f>DAY(weather.tbl[[#This Row],[Date]])</f>
        <v>13</v>
      </c>
      <c r="L896">
        <f>MONTH(weather.tbl[[#This Row],[Date]])</f>
        <v>6</v>
      </c>
      <c r="M896">
        <f>YEAR(weather.tbl[[#This Row],[Date]])</f>
        <v>2016</v>
      </c>
    </row>
    <row r="897" spans="1:13" x14ac:dyDescent="0.25">
      <c r="A897" s="1">
        <v>42535</v>
      </c>
      <c r="B897" s="2">
        <v>18.899999999999999</v>
      </c>
      <c r="C897" s="2">
        <v>18.8</v>
      </c>
      <c r="D897" s="2">
        <v>18</v>
      </c>
      <c r="E897" s="2">
        <v>19.8</v>
      </c>
      <c r="F897" s="2">
        <v>16.7</v>
      </c>
      <c r="G897" s="2">
        <v>18.5</v>
      </c>
      <c r="H897" s="2">
        <f>AVERAGE(weather.tbl[[#This Row],[Estevan]:[Kipling]])</f>
        <v>18.45</v>
      </c>
      <c r="I897" s="2">
        <f>_xlfn.STDEV.S(weather.tbl[[#This Row],[Estevan]:[Kipling]])</f>
        <v>1.040672859259816</v>
      </c>
      <c r="J897" s="2">
        <f t="shared" si="13"/>
        <v>19.326190476190476</v>
      </c>
      <c r="K897">
        <f>DAY(weather.tbl[[#This Row],[Date]])</f>
        <v>14</v>
      </c>
      <c r="L897">
        <f>MONTH(weather.tbl[[#This Row],[Date]])</f>
        <v>6</v>
      </c>
      <c r="M897">
        <f>YEAR(weather.tbl[[#This Row],[Date]])</f>
        <v>2016</v>
      </c>
    </row>
    <row r="898" spans="1:13" x14ac:dyDescent="0.25">
      <c r="A898" s="1">
        <v>42536</v>
      </c>
      <c r="B898" s="2">
        <v>17.5</v>
      </c>
      <c r="C898" s="2">
        <v>15.9</v>
      </c>
      <c r="D898" s="2">
        <v>18</v>
      </c>
      <c r="E898" s="2">
        <v>15.5</v>
      </c>
      <c r="F898" s="2">
        <v>18.600000000000001</v>
      </c>
      <c r="G898" s="2">
        <v>17</v>
      </c>
      <c r="H898" s="2">
        <f>AVERAGE(weather.tbl[[#This Row],[Estevan]:[Kipling]])</f>
        <v>17.083333333333332</v>
      </c>
      <c r="I898" s="2">
        <f>_xlfn.STDEV.S(weather.tbl[[#This Row],[Estevan]:[Kipling]])</f>
        <v>1.2023587928179622</v>
      </c>
      <c r="J898" s="2">
        <f t="shared" si="13"/>
        <v>18.642857142857142</v>
      </c>
      <c r="K898">
        <f>DAY(weather.tbl[[#This Row],[Date]])</f>
        <v>15</v>
      </c>
      <c r="L898">
        <f>MONTH(weather.tbl[[#This Row],[Date]])</f>
        <v>6</v>
      </c>
      <c r="M898">
        <f>YEAR(weather.tbl[[#This Row],[Date]])</f>
        <v>2016</v>
      </c>
    </row>
    <row r="899" spans="1:13" x14ac:dyDescent="0.25">
      <c r="A899" s="1">
        <v>42537</v>
      </c>
      <c r="B899" s="2">
        <v>20.8</v>
      </c>
      <c r="C899" s="2">
        <v>20.399999999999999</v>
      </c>
      <c r="D899" s="2">
        <v>20.5</v>
      </c>
      <c r="E899" s="2">
        <v>19.3</v>
      </c>
      <c r="F899" s="2">
        <v>22</v>
      </c>
      <c r="G899" s="2">
        <v>18</v>
      </c>
      <c r="H899" s="2">
        <f>AVERAGE(weather.tbl[[#This Row],[Estevan]:[Kipling]])</f>
        <v>20.166666666666668</v>
      </c>
      <c r="I899" s="2">
        <f>_xlfn.STDEV.S(weather.tbl[[#This Row],[Estevan]:[Kipling]])</f>
        <v>1.3691846722289389</v>
      </c>
      <c r="J899" s="2">
        <f t="shared" si="13"/>
        <v>18.204761904761906</v>
      </c>
      <c r="K899">
        <f>DAY(weather.tbl[[#This Row],[Date]])</f>
        <v>16</v>
      </c>
      <c r="L899">
        <f>MONTH(weather.tbl[[#This Row],[Date]])</f>
        <v>6</v>
      </c>
      <c r="M899">
        <f>YEAR(weather.tbl[[#This Row],[Date]])</f>
        <v>2016</v>
      </c>
    </row>
    <row r="900" spans="1:13" x14ac:dyDescent="0.25">
      <c r="A900" s="1">
        <v>42538</v>
      </c>
      <c r="B900" s="2">
        <v>18.100000000000001</v>
      </c>
      <c r="C900" s="2">
        <v>16.600000000000001</v>
      </c>
      <c r="D900" s="2">
        <v>18.5</v>
      </c>
      <c r="E900" s="2">
        <v>17</v>
      </c>
      <c r="F900" s="2">
        <v>19.2</v>
      </c>
      <c r="G900" s="2">
        <v>16.5</v>
      </c>
      <c r="H900" s="2">
        <f>AVERAGE(weather.tbl[[#This Row],[Estevan]:[Kipling]])</f>
        <v>17.650000000000002</v>
      </c>
      <c r="I900" s="2">
        <f>_xlfn.STDEV.S(weather.tbl[[#This Row],[Estevan]:[Kipling]])</f>
        <v>1.1113055385446431</v>
      </c>
      <c r="J900" s="2">
        <f t="shared" si="13"/>
        <v>17.733333333333334</v>
      </c>
      <c r="K900">
        <f>DAY(weather.tbl[[#This Row],[Date]])</f>
        <v>17</v>
      </c>
      <c r="L900">
        <f>MONTH(weather.tbl[[#This Row],[Date]])</f>
        <v>6</v>
      </c>
      <c r="M900">
        <f>YEAR(weather.tbl[[#This Row],[Date]])</f>
        <v>2016</v>
      </c>
    </row>
    <row r="901" spans="1:13" x14ac:dyDescent="0.25">
      <c r="A901" s="1">
        <v>42539</v>
      </c>
      <c r="B901" s="2">
        <v>18.600000000000001</v>
      </c>
      <c r="C901" s="2">
        <v>17.899999999999999</v>
      </c>
      <c r="D901" s="2">
        <v>18.3</v>
      </c>
      <c r="E901" s="2">
        <v>18.3</v>
      </c>
      <c r="F901" s="2">
        <v>19.899999999999999</v>
      </c>
      <c r="G901" s="2">
        <v>17</v>
      </c>
      <c r="H901" s="2">
        <f>AVERAGE(weather.tbl[[#This Row],[Estevan]:[Kipling]])</f>
        <v>18.333333333333332</v>
      </c>
      <c r="I901" s="2">
        <f>_xlfn.STDEV.S(weather.tbl[[#This Row],[Estevan]:[Kipling]])</f>
        <v>0.94798030921884979</v>
      </c>
      <c r="J901" s="2">
        <f t="shared" si="13"/>
        <v>18.100000000000001</v>
      </c>
      <c r="K901">
        <f>DAY(weather.tbl[[#This Row],[Date]])</f>
        <v>18</v>
      </c>
      <c r="L901">
        <f>MONTH(weather.tbl[[#This Row],[Date]])</f>
        <v>6</v>
      </c>
      <c r="M901">
        <f>YEAR(weather.tbl[[#This Row],[Date]])</f>
        <v>2016</v>
      </c>
    </row>
    <row r="902" spans="1:13" x14ac:dyDescent="0.25">
      <c r="A902" s="1">
        <v>42540</v>
      </c>
      <c r="B902" s="2">
        <v>16.8</v>
      </c>
      <c r="C902" s="2">
        <v>16</v>
      </c>
      <c r="D902" s="2">
        <v>19</v>
      </c>
      <c r="E902" s="2">
        <v>15</v>
      </c>
      <c r="F902" s="2">
        <v>18.8</v>
      </c>
      <c r="G902" s="2">
        <v>15.3</v>
      </c>
      <c r="H902" s="2">
        <f>AVERAGE(weather.tbl[[#This Row],[Estevan]:[Kipling]])</f>
        <v>16.816666666666666</v>
      </c>
      <c r="I902" s="2">
        <f>_xlfn.STDEV.S(weather.tbl[[#This Row],[Estevan]:[Kipling]])</f>
        <v>1.730221565773201</v>
      </c>
      <c r="J902" s="2">
        <f t="shared" si="13"/>
        <v>18.030952380952382</v>
      </c>
      <c r="K902">
        <f>DAY(weather.tbl[[#This Row],[Date]])</f>
        <v>19</v>
      </c>
      <c r="L902">
        <f>MONTH(weather.tbl[[#This Row],[Date]])</f>
        <v>6</v>
      </c>
      <c r="M902">
        <f>YEAR(weather.tbl[[#This Row],[Date]])</f>
        <v>2016</v>
      </c>
    </row>
    <row r="903" spans="1:13" x14ac:dyDescent="0.25">
      <c r="A903" s="1">
        <v>42541</v>
      </c>
      <c r="B903" s="2">
        <v>16.600000000000001</v>
      </c>
      <c r="C903" s="2">
        <v>16.2</v>
      </c>
      <c r="D903" s="2">
        <v>16</v>
      </c>
      <c r="E903" s="2">
        <v>18.5</v>
      </c>
      <c r="F903" s="2">
        <v>16.899999999999999</v>
      </c>
      <c r="G903" s="2">
        <v>15.3</v>
      </c>
      <c r="H903" s="2">
        <f>AVERAGE(weather.tbl[[#This Row],[Estevan]:[Kipling]])</f>
        <v>16.583333333333332</v>
      </c>
      <c r="I903" s="2">
        <f>_xlfn.STDEV.S(weather.tbl[[#This Row],[Estevan]:[Kipling]])</f>
        <v>1.0870449239413549</v>
      </c>
      <c r="J903" s="2">
        <f t="shared" si="13"/>
        <v>17.869047619047617</v>
      </c>
      <c r="K903">
        <f>DAY(weather.tbl[[#This Row],[Date]])</f>
        <v>20</v>
      </c>
      <c r="L903">
        <f>MONTH(weather.tbl[[#This Row],[Date]])</f>
        <v>6</v>
      </c>
      <c r="M903">
        <f>YEAR(weather.tbl[[#This Row],[Date]])</f>
        <v>2016</v>
      </c>
    </row>
    <row r="904" spans="1:13" x14ac:dyDescent="0.25">
      <c r="A904" s="1">
        <v>42542</v>
      </c>
      <c r="B904" s="2">
        <v>17.5</v>
      </c>
      <c r="C904" s="2">
        <v>17.3</v>
      </c>
      <c r="D904" s="2">
        <v>16.8</v>
      </c>
      <c r="E904" s="2">
        <v>16.5</v>
      </c>
      <c r="F904" s="2">
        <v>16.3</v>
      </c>
      <c r="G904" s="2">
        <v>17</v>
      </c>
      <c r="H904" s="2">
        <f>AVERAGE(weather.tbl[[#This Row],[Estevan]:[Kipling]])</f>
        <v>16.899999999999999</v>
      </c>
      <c r="I904" s="2">
        <f>_xlfn.STDEV.S(weather.tbl[[#This Row],[Estevan]:[Kipling]])</f>
        <v>0.4604345773288534</v>
      </c>
      <c r="J904" s="2">
        <f t="shared" si="13"/>
        <v>17.647619047619049</v>
      </c>
      <c r="K904">
        <f>DAY(weather.tbl[[#This Row],[Date]])</f>
        <v>21</v>
      </c>
      <c r="L904">
        <f>MONTH(weather.tbl[[#This Row],[Date]])</f>
        <v>6</v>
      </c>
      <c r="M904">
        <f>YEAR(weather.tbl[[#This Row],[Date]])</f>
        <v>2016</v>
      </c>
    </row>
    <row r="905" spans="1:13" x14ac:dyDescent="0.25">
      <c r="A905" s="1">
        <v>42543</v>
      </c>
      <c r="B905" s="2">
        <v>15.8</v>
      </c>
      <c r="C905" s="2">
        <v>16.600000000000001</v>
      </c>
      <c r="D905" s="2">
        <v>15.5</v>
      </c>
      <c r="E905" s="2">
        <v>17.5</v>
      </c>
      <c r="F905" s="2">
        <v>15.5</v>
      </c>
      <c r="G905" s="2">
        <v>16.8</v>
      </c>
      <c r="H905" s="2">
        <f>AVERAGE(weather.tbl[[#This Row],[Estevan]:[Kipling]])</f>
        <v>16.283333333333335</v>
      </c>
      <c r="I905" s="2">
        <f>_xlfn.STDEV.S(weather.tbl[[#This Row],[Estevan]:[Kipling]])</f>
        <v>0.81342895612749544</v>
      </c>
      <c r="J905" s="2">
        <f t="shared" si="13"/>
        <v>17.533333333333331</v>
      </c>
      <c r="K905">
        <f>DAY(weather.tbl[[#This Row],[Date]])</f>
        <v>22</v>
      </c>
      <c r="L905">
        <f>MONTH(weather.tbl[[#This Row],[Date]])</f>
        <v>6</v>
      </c>
      <c r="M905">
        <f>YEAR(weather.tbl[[#This Row],[Date]])</f>
        <v>2016</v>
      </c>
    </row>
    <row r="906" spans="1:13" x14ac:dyDescent="0.25">
      <c r="A906" s="1">
        <v>42544</v>
      </c>
      <c r="B906" s="2">
        <v>16.7</v>
      </c>
      <c r="C906" s="2">
        <v>17.3</v>
      </c>
      <c r="D906" s="2">
        <v>15.3</v>
      </c>
      <c r="E906" s="2">
        <v>21</v>
      </c>
      <c r="F906" s="2">
        <v>16.600000000000001</v>
      </c>
      <c r="G906" s="2">
        <v>16.5</v>
      </c>
      <c r="H906" s="2">
        <f>AVERAGE(weather.tbl[[#This Row],[Estevan]:[Kipling]])</f>
        <v>17.233333333333334</v>
      </c>
      <c r="I906" s="2">
        <f>_xlfn.STDEV.S(weather.tbl[[#This Row],[Estevan]:[Kipling]])</f>
        <v>1.9572088970435919</v>
      </c>
      <c r="J906" s="2">
        <f t="shared" ref="J906:J969" si="14">AVERAGE(H900:H906)</f>
        <v>17.114285714285714</v>
      </c>
      <c r="K906">
        <f>DAY(weather.tbl[[#This Row],[Date]])</f>
        <v>23</v>
      </c>
      <c r="L906">
        <f>MONTH(weather.tbl[[#This Row],[Date]])</f>
        <v>6</v>
      </c>
      <c r="M906">
        <f>YEAR(weather.tbl[[#This Row],[Date]])</f>
        <v>2016</v>
      </c>
    </row>
    <row r="907" spans="1:13" x14ac:dyDescent="0.25">
      <c r="A907" s="1">
        <v>42545</v>
      </c>
      <c r="B907" s="2">
        <v>19.3</v>
      </c>
      <c r="C907" s="2">
        <v>20.2</v>
      </c>
      <c r="D907" s="2">
        <v>17.8</v>
      </c>
      <c r="E907" s="2">
        <v>21.5</v>
      </c>
      <c r="F907" s="2">
        <v>20.399999999999999</v>
      </c>
      <c r="G907" s="2">
        <v>19</v>
      </c>
      <c r="H907" s="2">
        <f>AVERAGE(weather.tbl[[#This Row],[Estevan]:[Kipling]])</f>
        <v>19.7</v>
      </c>
      <c r="I907" s="2">
        <f>_xlfn.STDEV.S(weather.tbl[[#This Row],[Estevan]:[Kipling]])</f>
        <v>1.2837445228704967</v>
      </c>
      <c r="J907" s="2">
        <f t="shared" si="14"/>
        <v>17.407142857142855</v>
      </c>
      <c r="K907">
        <f>DAY(weather.tbl[[#This Row],[Date]])</f>
        <v>24</v>
      </c>
      <c r="L907">
        <f>MONTH(weather.tbl[[#This Row],[Date]])</f>
        <v>6</v>
      </c>
      <c r="M907">
        <f>YEAR(weather.tbl[[#This Row],[Date]])</f>
        <v>2016</v>
      </c>
    </row>
    <row r="908" spans="1:13" x14ac:dyDescent="0.25">
      <c r="A908" s="1">
        <v>42546</v>
      </c>
      <c r="B908" s="2">
        <v>14.9</v>
      </c>
      <c r="C908" s="2">
        <v>15.1</v>
      </c>
      <c r="D908" s="2">
        <v>15.8</v>
      </c>
      <c r="E908" s="2">
        <v>16.5</v>
      </c>
      <c r="F908" s="2">
        <v>17.899999999999999</v>
      </c>
      <c r="G908" s="2">
        <v>15.8</v>
      </c>
      <c r="H908" s="2">
        <f>AVERAGE(weather.tbl[[#This Row],[Estevan]:[Kipling]])</f>
        <v>15.999999999999998</v>
      </c>
      <c r="I908" s="2">
        <f>_xlfn.STDEV.S(weather.tbl[[#This Row],[Estevan]:[Kipling]])</f>
        <v>1.0917875251164939</v>
      </c>
      <c r="J908" s="2">
        <f t="shared" si="14"/>
        <v>17.073809523809523</v>
      </c>
      <c r="K908">
        <f>DAY(weather.tbl[[#This Row],[Date]])</f>
        <v>25</v>
      </c>
      <c r="L908">
        <f>MONTH(weather.tbl[[#This Row],[Date]])</f>
        <v>6</v>
      </c>
      <c r="M908">
        <f>YEAR(weather.tbl[[#This Row],[Date]])</f>
        <v>2016</v>
      </c>
    </row>
    <row r="909" spans="1:13" x14ac:dyDescent="0.25">
      <c r="A909" s="1">
        <v>42547</v>
      </c>
      <c r="B909" s="2">
        <v>16.899999999999999</v>
      </c>
      <c r="C909" s="2">
        <v>16.8</v>
      </c>
      <c r="D909" s="2">
        <v>15.8</v>
      </c>
      <c r="E909" s="2">
        <v>17</v>
      </c>
      <c r="F909" s="2">
        <v>16.600000000000001</v>
      </c>
      <c r="G909" s="2">
        <v>15</v>
      </c>
      <c r="H909" s="2">
        <f>AVERAGE(weather.tbl[[#This Row],[Estevan]:[Kipling]])</f>
        <v>16.349999999999998</v>
      </c>
      <c r="I909" s="2">
        <f>_xlfn.STDEV.S(weather.tbl[[#This Row],[Estevan]:[Kipling]])</f>
        <v>0.78930349042684456</v>
      </c>
      <c r="J909" s="2">
        <f t="shared" si="14"/>
        <v>17.007142857142856</v>
      </c>
      <c r="K909">
        <f>DAY(weather.tbl[[#This Row],[Date]])</f>
        <v>26</v>
      </c>
      <c r="L909">
        <f>MONTH(weather.tbl[[#This Row],[Date]])</f>
        <v>6</v>
      </c>
      <c r="M909">
        <f>YEAR(weather.tbl[[#This Row],[Date]])</f>
        <v>2016</v>
      </c>
    </row>
    <row r="910" spans="1:13" x14ac:dyDescent="0.25">
      <c r="A910" s="1">
        <v>42548</v>
      </c>
      <c r="B910" s="2">
        <v>16.100000000000001</v>
      </c>
      <c r="C910" s="2">
        <v>16.8</v>
      </c>
      <c r="D910" s="2">
        <v>15.5</v>
      </c>
      <c r="E910" s="2">
        <v>19</v>
      </c>
      <c r="F910" s="2">
        <v>16.100000000000001</v>
      </c>
      <c r="G910" s="2">
        <v>14.5</v>
      </c>
      <c r="H910" s="2">
        <f>AVERAGE(weather.tbl[[#This Row],[Estevan]:[Kipling]])</f>
        <v>16.333333333333332</v>
      </c>
      <c r="I910" s="2">
        <f>_xlfn.STDEV.S(weather.tbl[[#This Row],[Estevan]:[Kipling]])</f>
        <v>1.516135438101315</v>
      </c>
      <c r="J910" s="2">
        <f t="shared" si="14"/>
        <v>16.971428571428572</v>
      </c>
      <c r="K910">
        <f>DAY(weather.tbl[[#This Row],[Date]])</f>
        <v>27</v>
      </c>
      <c r="L910">
        <f>MONTH(weather.tbl[[#This Row],[Date]])</f>
        <v>6</v>
      </c>
      <c r="M910">
        <f>YEAR(weather.tbl[[#This Row],[Date]])</f>
        <v>2016</v>
      </c>
    </row>
    <row r="911" spans="1:13" x14ac:dyDescent="0.25">
      <c r="A911" s="1">
        <v>42549</v>
      </c>
      <c r="B911" s="2">
        <v>17.899999999999999</v>
      </c>
      <c r="C911" s="2">
        <v>16.8</v>
      </c>
      <c r="D911" s="2">
        <v>16.5</v>
      </c>
      <c r="E911" s="2">
        <v>18.5</v>
      </c>
      <c r="F911" s="2">
        <v>17.399999999999999</v>
      </c>
      <c r="G911" s="2">
        <v>17.8</v>
      </c>
      <c r="H911" s="2">
        <f>AVERAGE(weather.tbl[[#This Row],[Estevan]:[Kipling]])</f>
        <v>17.483333333333331</v>
      </c>
      <c r="I911" s="2">
        <f>_xlfn.STDEV.S(weather.tbl[[#This Row],[Estevan]:[Kipling]])</f>
        <v>0.74139508136125798</v>
      </c>
      <c r="J911" s="2">
        <f t="shared" si="14"/>
        <v>17.054761904761904</v>
      </c>
      <c r="K911">
        <f>DAY(weather.tbl[[#This Row],[Date]])</f>
        <v>28</v>
      </c>
      <c r="L911">
        <f>MONTH(weather.tbl[[#This Row],[Date]])</f>
        <v>6</v>
      </c>
      <c r="M911">
        <f>YEAR(weather.tbl[[#This Row],[Date]])</f>
        <v>2016</v>
      </c>
    </row>
    <row r="912" spans="1:13" x14ac:dyDescent="0.25">
      <c r="A912" s="1">
        <v>42550</v>
      </c>
      <c r="B912" s="2">
        <v>20.2</v>
      </c>
      <c r="C912" s="2">
        <v>19.399999999999999</v>
      </c>
      <c r="D912" s="2">
        <v>19</v>
      </c>
      <c r="E912" s="2">
        <v>21.5</v>
      </c>
      <c r="F912" s="2">
        <v>19.5</v>
      </c>
      <c r="G912" s="2">
        <v>19.3</v>
      </c>
      <c r="H912" s="2">
        <f>AVERAGE(weather.tbl[[#This Row],[Estevan]:[Kipling]])</f>
        <v>19.816666666666666</v>
      </c>
      <c r="I912" s="2">
        <f>_xlfn.STDEV.S(weather.tbl[[#This Row],[Estevan]:[Kipling]])</f>
        <v>0.91524131608372361</v>
      </c>
      <c r="J912" s="2">
        <f t="shared" si="14"/>
        <v>17.559523809523807</v>
      </c>
      <c r="K912">
        <f>DAY(weather.tbl[[#This Row],[Date]])</f>
        <v>29</v>
      </c>
      <c r="L912">
        <f>MONTH(weather.tbl[[#This Row],[Date]])</f>
        <v>6</v>
      </c>
      <c r="M912">
        <f>YEAR(weather.tbl[[#This Row],[Date]])</f>
        <v>2016</v>
      </c>
    </row>
    <row r="913" spans="1:13" x14ac:dyDescent="0.25">
      <c r="A913" s="1">
        <v>42551</v>
      </c>
      <c r="B913" s="2">
        <v>15.6</v>
      </c>
      <c r="C913" s="2">
        <v>16.399999999999999</v>
      </c>
      <c r="D913" s="2">
        <v>15.3</v>
      </c>
      <c r="E913" s="2">
        <v>19.5</v>
      </c>
      <c r="F913" s="2">
        <v>13.9</v>
      </c>
      <c r="G913" s="2">
        <v>14.8</v>
      </c>
      <c r="H913" s="2">
        <f>AVERAGE(weather.tbl[[#This Row],[Estevan]:[Kipling]])</f>
        <v>15.916666666666666</v>
      </c>
      <c r="I913" s="2">
        <f>_xlfn.STDEV.S(weather.tbl[[#This Row],[Estevan]:[Kipling]])</f>
        <v>1.9425927691275446</v>
      </c>
      <c r="J913" s="2">
        <f t="shared" si="14"/>
        <v>17.37142857142857</v>
      </c>
      <c r="K913">
        <f>DAY(weather.tbl[[#This Row],[Date]])</f>
        <v>30</v>
      </c>
      <c r="L913">
        <f>MONTH(weather.tbl[[#This Row],[Date]])</f>
        <v>6</v>
      </c>
      <c r="M913">
        <f>YEAR(weather.tbl[[#This Row],[Date]])</f>
        <v>2016</v>
      </c>
    </row>
    <row r="914" spans="1:13" x14ac:dyDescent="0.25">
      <c r="A914" s="1">
        <v>42552</v>
      </c>
      <c r="B914" s="2">
        <v>15.2</v>
      </c>
      <c r="C914" s="2">
        <v>16.3</v>
      </c>
      <c r="D914" s="2">
        <v>14</v>
      </c>
      <c r="E914" s="2">
        <v>17</v>
      </c>
      <c r="F914" s="2">
        <v>14.9</v>
      </c>
      <c r="G914" s="2">
        <v>14</v>
      </c>
      <c r="H914" s="2">
        <f>AVERAGE(weather.tbl[[#This Row],[Estevan]:[Kipling]])</f>
        <v>15.233333333333334</v>
      </c>
      <c r="I914" s="2">
        <f>_xlfn.STDEV.S(weather.tbl[[#This Row],[Estevan]:[Kipling]])</f>
        <v>1.2176480060619601</v>
      </c>
      <c r="J914" s="2">
        <f t="shared" si="14"/>
        <v>16.733333333333331</v>
      </c>
      <c r="K914">
        <f>DAY(weather.tbl[[#This Row],[Date]])</f>
        <v>1</v>
      </c>
      <c r="L914">
        <f>MONTH(weather.tbl[[#This Row],[Date]])</f>
        <v>7</v>
      </c>
      <c r="M914">
        <f>YEAR(weather.tbl[[#This Row],[Date]])</f>
        <v>2016</v>
      </c>
    </row>
    <row r="915" spans="1:13" x14ac:dyDescent="0.25">
      <c r="A915" s="1">
        <v>42553</v>
      </c>
      <c r="B915" s="2">
        <v>19.2</v>
      </c>
      <c r="C915" s="2">
        <v>18.899999999999999</v>
      </c>
      <c r="D915" s="2">
        <v>17.8</v>
      </c>
      <c r="E915" s="2">
        <v>21.3</v>
      </c>
      <c r="F915" s="2">
        <v>19.3</v>
      </c>
      <c r="G915" s="2">
        <v>16.8</v>
      </c>
      <c r="H915" s="2">
        <f>AVERAGE(weather.tbl[[#This Row],[Estevan]:[Kipling]])</f>
        <v>18.883333333333329</v>
      </c>
      <c r="I915" s="2">
        <f>_xlfn.STDEV.S(weather.tbl[[#This Row],[Estevan]:[Kipling]])</f>
        <v>1.5250136611409968</v>
      </c>
      <c r="J915" s="2">
        <f t="shared" si="14"/>
        <v>17.145238095238092</v>
      </c>
      <c r="K915">
        <f>DAY(weather.tbl[[#This Row],[Date]])</f>
        <v>2</v>
      </c>
      <c r="L915">
        <f>MONTH(weather.tbl[[#This Row],[Date]])</f>
        <v>7</v>
      </c>
      <c r="M915">
        <f>YEAR(weather.tbl[[#This Row],[Date]])</f>
        <v>2016</v>
      </c>
    </row>
    <row r="916" spans="1:13" x14ac:dyDescent="0.25">
      <c r="A916" s="1">
        <v>42554</v>
      </c>
      <c r="B916" s="2">
        <v>21.3</v>
      </c>
      <c r="C916" s="2">
        <v>21.9</v>
      </c>
      <c r="D916" s="2">
        <v>20</v>
      </c>
      <c r="E916" s="2">
        <v>21.5</v>
      </c>
      <c r="F916" s="2">
        <v>20.2</v>
      </c>
      <c r="G916" s="2">
        <v>19.8</v>
      </c>
      <c r="H916" s="2">
        <f>AVERAGE(weather.tbl[[#This Row],[Estevan]:[Kipling]])</f>
        <v>20.783333333333335</v>
      </c>
      <c r="I916" s="2">
        <f>_xlfn.STDEV.S(weather.tbl[[#This Row],[Estevan]:[Kipling]])</f>
        <v>0.88863190729720376</v>
      </c>
      <c r="J916" s="2">
        <f t="shared" si="14"/>
        <v>17.778571428571428</v>
      </c>
      <c r="K916">
        <f>DAY(weather.tbl[[#This Row],[Date]])</f>
        <v>3</v>
      </c>
      <c r="L916">
        <f>MONTH(weather.tbl[[#This Row],[Date]])</f>
        <v>7</v>
      </c>
      <c r="M916">
        <f>YEAR(weather.tbl[[#This Row],[Date]])</f>
        <v>2016</v>
      </c>
    </row>
    <row r="917" spans="1:13" x14ac:dyDescent="0.25">
      <c r="A917" s="1">
        <v>42555</v>
      </c>
      <c r="B917" s="2">
        <v>18.3</v>
      </c>
      <c r="C917" s="2">
        <v>17.100000000000001</v>
      </c>
      <c r="D917" s="2">
        <v>19.8</v>
      </c>
      <c r="E917" s="2">
        <v>19.5</v>
      </c>
      <c r="F917" s="2">
        <v>20.7</v>
      </c>
      <c r="G917" s="2">
        <v>18.3</v>
      </c>
      <c r="H917" s="2">
        <f>AVERAGE(weather.tbl[[#This Row],[Estevan]:[Kipling]])</f>
        <v>18.95</v>
      </c>
      <c r="I917" s="2">
        <f>_xlfn.STDEV.S(weather.tbl[[#This Row],[Estevan]:[Kipling]])</f>
        <v>1.2926716520447095</v>
      </c>
      <c r="J917" s="2">
        <f t="shared" si="14"/>
        <v>18.152380952380948</v>
      </c>
      <c r="K917">
        <f>DAY(weather.tbl[[#This Row],[Date]])</f>
        <v>4</v>
      </c>
      <c r="L917">
        <f>MONTH(weather.tbl[[#This Row],[Date]])</f>
        <v>7</v>
      </c>
      <c r="M917">
        <f>YEAR(weather.tbl[[#This Row],[Date]])</f>
        <v>2016</v>
      </c>
    </row>
    <row r="918" spans="1:13" x14ac:dyDescent="0.25">
      <c r="A918" s="1">
        <v>42556</v>
      </c>
      <c r="B918" s="2">
        <v>17.5</v>
      </c>
      <c r="C918" s="2">
        <v>16.899999999999999</v>
      </c>
      <c r="D918" s="2">
        <v>17.5</v>
      </c>
      <c r="E918" s="2">
        <v>18.5</v>
      </c>
      <c r="F918" s="2">
        <v>18.600000000000001</v>
      </c>
      <c r="G918" s="2">
        <v>17.3</v>
      </c>
      <c r="H918" s="2">
        <f>AVERAGE(weather.tbl[[#This Row],[Estevan]:[Kipling]])</f>
        <v>17.716666666666665</v>
      </c>
      <c r="I918" s="2">
        <f>_xlfn.STDEV.S(weather.tbl[[#This Row],[Estevan]:[Kipling]])</f>
        <v>0.68239773348588095</v>
      </c>
      <c r="J918" s="2">
        <f t="shared" si="14"/>
        <v>18.185714285714287</v>
      </c>
      <c r="K918">
        <f>DAY(weather.tbl[[#This Row],[Date]])</f>
        <v>5</v>
      </c>
      <c r="L918">
        <f>MONTH(weather.tbl[[#This Row],[Date]])</f>
        <v>7</v>
      </c>
      <c r="M918">
        <f>YEAR(weather.tbl[[#This Row],[Date]])</f>
        <v>2016</v>
      </c>
    </row>
    <row r="919" spans="1:13" x14ac:dyDescent="0.25">
      <c r="A919" s="1">
        <v>42557</v>
      </c>
      <c r="B919" s="2">
        <v>17.100000000000001</v>
      </c>
      <c r="C919" s="2">
        <v>16</v>
      </c>
      <c r="D919" s="2">
        <v>17.3</v>
      </c>
      <c r="E919" s="2">
        <v>16.5</v>
      </c>
      <c r="F919" s="2">
        <v>17.2</v>
      </c>
      <c r="G919" s="2">
        <v>16.5</v>
      </c>
      <c r="H919" s="2">
        <f>AVERAGE(weather.tbl[[#This Row],[Estevan]:[Kipling]])</f>
        <v>16.766666666666669</v>
      </c>
      <c r="I919" s="2">
        <f>_xlfn.STDEV.S(weather.tbl[[#This Row],[Estevan]:[Kipling]])</f>
        <v>0.51251016250086878</v>
      </c>
      <c r="J919" s="2">
        <f t="shared" si="14"/>
        <v>17.75</v>
      </c>
      <c r="K919">
        <f>DAY(weather.tbl[[#This Row],[Date]])</f>
        <v>6</v>
      </c>
      <c r="L919">
        <f>MONTH(weather.tbl[[#This Row],[Date]])</f>
        <v>7</v>
      </c>
      <c r="M919">
        <f>YEAR(weather.tbl[[#This Row],[Date]])</f>
        <v>2016</v>
      </c>
    </row>
    <row r="920" spans="1:13" x14ac:dyDescent="0.25">
      <c r="A920" s="1">
        <v>42558</v>
      </c>
      <c r="B920" s="2">
        <v>16</v>
      </c>
      <c r="C920" s="2">
        <v>16.899999999999999</v>
      </c>
      <c r="D920" s="2">
        <v>15</v>
      </c>
      <c r="E920" s="2">
        <v>20.5</v>
      </c>
      <c r="F920" s="2">
        <v>16</v>
      </c>
      <c r="G920" s="2">
        <v>16.3</v>
      </c>
      <c r="H920" s="2">
        <f>AVERAGE(weather.tbl[[#This Row],[Estevan]:[Kipling]])</f>
        <v>16.783333333333335</v>
      </c>
      <c r="I920" s="2">
        <f>_xlfn.STDEV.S(weather.tbl[[#This Row],[Estevan]:[Kipling]])</f>
        <v>1.9218914294690659</v>
      </c>
      <c r="J920" s="2">
        <f t="shared" si="14"/>
        <v>17.873809523809523</v>
      </c>
      <c r="K920">
        <f>DAY(weather.tbl[[#This Row],[Date]])</f>
        <v>7</v>
      </c>
      <c r="L920">
        <f>MONTH(weather.tbl[[#This Row],[Date]])</f>
        <v>7</v>
      </c>
      <c r="M920">
        <f>YEAR(weather.tbl[[#This Row],[Date]])</f>
        <v>2016</v>
      </c>
    </row>
    <row r="921" spans="1:13" x14ac:dyDescent="0.25">
      <c r="A921" s="1">
        <v>42559</v>
      </c>
      <c r="B921" s="2">
        <v>18.2</v>
      </c>
      <c r="C921" s="2">
        <v>18</v>
      </c>
      <c r="D921" s="2">
        <v>15.3</v>
      </c>
      <c r="E921" s="2">
        <v>18</v>
      </c>
      <c r="F921" s="2">
        <v>16</v>
      </c>
      <c r="G921" s="2">
        <v>17</v>
      </c>
      <c r="H921" s="2">
        <f>AVERAGE(weather.tbl[[#This Row],[Estevan]:[Kipling]])</f>
        <v>17.083333333333332</v>
      </c>
      <c r="I921" s="2">
        <f>_xlfn.STDEV.S(weather.tbl[[#This Row],[Estevan]:[Kipling]])</f>
        <v>1.207338671072316</v>
      </c>
      <c r="J921" s="2">
        <f t="shared" si="14"/>
        <v>18.138095238095236</v>
      </c>
      <c r="K921">
        <f>DAY(weather.tbl[[#This Row],[Date]])</f>
        <v>8</v>
      </c>
      <c r="L921">
        <f>MONTH(weather.tbl[[#This Row],[Date]])</f>
        <v>7</v>
      </c>
      <c r="M921">
        <f>YEAR(weather.tbl[[#This Row],[Date]])</f>
        <v>2016</v>
      </c>
    </row>
    <row r="922" spans="1:13" x14ac:dyDescent="0.25">
      <c r="A922" s="1">
        <v>42560</v>
      </c>
      <c r="B922" s="2">
        <v>20.6</v>
      </c>
      <c r="C922" s="2">
        <v>20.9</v>
      </c>
      <c r="D922" s="2">
        <v>19.8</v>
      </c>
      <c r="E922" s="2">
        <v>22.5</v>
      </c>
      <c r="F922" s="2">
        <v>19.899999999999999</v>
      </c>
      <c r="G922" s="2">
        <v>19.3</v>
      </c>
      <c r="H922" s="2">
        <f>AVERAGE(weather.tbl[[#This Row],[Estevan]:[Kipling]])</f>
        <v>20.499999999999996</v>
      </c>
      <c r="I922" s="2">
        <f>_xlfn.STDEV.S(weather.tbl[[#This Row],[Estevan]:[Kipling]])</f>
        <v>1.1366617790706255</v>
      </c>
      <c r="J922" s="2">
        <f t="shared" si="14"/>
        <v>18.369047619047617</v>
      </c>
      <c r="K922">
        <f>DAY(weather.tbl[[#This Row],[Date]])</f>
        <v>9</v>
      </c>
      <c r="L922">
        <f>MONTH(weather.tbl[[#This Row],[Date]])</f>
        <v>7</v>
      </c>
      <c r="M922">
        <f>YEAR(weather.tbl[[#This Row],[Date]])</f>
        <v>2016</v>
      </c>
    </row>
    <row r="923" spans="1:13" x14ac:dyDescent="0.25">
      <c r="A923" s="1">
        <v>42561</v>
      </c>
      <c r="B923" s="2">
        <v>20.8</v>
      </c>
      <c r="C923" s="2">
        <v>20</v>
      </c>
      <c r="D923" s="2">
        <v>21</v>
      </c>
      <c r="E923" s="2">
        <v>19.8</v>
      </c>
      <c r="F923" s="2">
        <v>22</v>
      </c>
      <c r="G923" s="2">
        <v>21.3</v>
      </c>
      <c r="H923" s="2">
        <f>AVERAGE(weather.tbl[[#This Row],[Estevan]:[Kipling]])</f>
        <v>20.816666666666666</v>
      </c>
      <c r="I923" s="2">
        <f>_xlfn.STDEV.S(weather.tbl[[#This Row],[Estevan]:[Kipling]])</f>
        <v>0.82077199432404269</v>
      </c>
      <c r="J923" s="2">
        <f t="shared" si="14"/>
        <v>18.373809523809523</v>
      </c>
      <c r="K923">
        <f>DAY(weather.tbl[[#This Row],[Date]])</f>
        <v>10</v>
      </c>
      <c r="L923">
        <f>MONTH(weather.tbl[[#This Row],[Date]])</f>
        <v>7</v>
      </c>
      <c r="M923">
        <f>YEAR(weather.tbl[[#This Row],[Date]])</f>
        <v>2016</v>
      </c>
    </row>
    <row r="924" spans="1:13" x14ac:dyDescent="0.25">
      <c r="A924" s="1">
        <v>42562</v>
      </c>
      <c r="B924" s="2">
        <v>18.5</v>
      </c>
      <c r="C924" s="2">
        <v>18.899999999999999</v>
      </c>
      <c r="D924" s="2">
        <v>20</v>
      </c>
      <c r="E924" s="2">
        <v>20</v>
      </c>
      <c r="F924" s="2">
        <v>20.6</v>
      </c>
      <c r="G924" s="2">
        <v>19.8</v>
      </c>
      <c r="H924" s="2">
        <f>AVERAGE(weather.tbl[[#This Row],[Estevan]:[Kipling]])</f>
        <v>19.633333333333333</v>
      </c>
      <c r="I924" s="2">
        <f>_xlfn.STDEV.S(weather.tbl[[#This Row],[Estevan]:[Kipling]])</f>
        <v>0.78145164064493944</v>
      </c>
      <c r="J924" s="2">
        <f t="shared" si="14"/>
        <v>18.471428571428568</v>
      </c>
      <c r="K924">
        <f>DAY(weather.tbl[[#This Row],[Date]])</f>
        <v>11</v>
      </c>
      <c r="L924">
        <f>MONTH(weather.tbl[[#This Row],[Date]])</f>
        <v>7</v>
      </c>
      <c r="M924">
        <f>YEAR(weather.tbl[[#This Row],[Date]])</f>
        <v>2016</v>
      </c>
    </row>
    <row r="925" spans="1:13" x14ac:dyDescent="0.25">
      <c r="A925" s="1">
        <v>42563</v>
      </c>
      <c r="B925" s="2">
        <v>16.8</v>
      </c>
      <c r="C925" s="2">
        <v>16.5</v>
      </c>
      <c r="D925" s="2">
        <v>16.8</v>
      </c>
      <c r="E925" s="2">
        <v>20</v>
      </c>
      <c r="F925" s="2">
        <v>18.600000000000001</v>
      </c>
      <c r="G925" s="2">
        <v>15.5</v>
      </c>
      <c r="H925" s="2">
        <f>AVERAGE(weather.tbl[[#This Row],[Estevan]:[Kipling]])</f>
        <v>17.366666666666664</v>
      </c>
      <c r="I925" s="2">
        <f>_xlfn.STDEV.S(weather.tbl[[#This Row],[Estevan]:[Kipling]])</f>
        <v>1.6329931618554521</v>
      </c>
      <c r="J925" s="2">
        <f t="shared" si="14"/>
        <v>18.421428571428574</v>
      </c>
      <c r="K925">
        <f>DAY(weather.tbl[[#This Row],[Date]])</f>
        <v>12</v>
      </c>
      <c r="L925">
        <f>MONTH(weather.tbl[[#This Row],[Date]])</f>
        <v>7</v>
      </c>
      <c r="M925">
        <f>YEAR(weather.tbl[[#This Row],[Date]])</f>
        <v>2016</v>
      </c>
    </row>
    <row r="926" spans="1:13" x14ac:dyDescent="0.25">
      <c r="A926" s="1">
        <v>42564</v>
      </c>
      <c r="B926" s="2">
        <v>16.899999999999999</v>
      </c>
      <c r="C926" s="2">
        <v>17.3</v>
      </c>
      <c r="D926" s="2">
        <v>18.3</v>
      </c>
      <c r="E926" s="2">
        <v>19</v>
      </c>
      <c r="F926" s="2">
        <v>16.899999999999999</v>
      </c>
      <c r="G926" s="2">
        <v>16.5</v>
      </c>
      <c r="H926" s="2">
        <f>AVERAGE(weather.tbl[[#This Row],[Estevan]:[Kipling]])</f>
        <v>17.483333333333334</v>
      </c>
      <c r="I926" s="2">
        <f>_xlfn.STDEV.S(weather.tbl[[#This Row],[Estevan]:[Kipling]])</f>
        <v>0.96419223532792853</v>
      </c>
      <c r="J926" s="2">
        <f t="shared" si="14"/>
        <v>18.523809523809522</v>
      </c>
      <c r="K926">
        <f>DAY(weather.tbl[[#This Row],[Date]])</f>
        <v>13</v>
      </c>
      <c r="L926">
        <f>MONTH(weather.tbl[[#This Row],[Date]])</f>
        <v>7</v>
      </c>
      <c r="M926">
        <f>YEAR(weather.tbl[[#This Row],[Date]])</f>
        <v>2016</v>
      </c>
    </row>
    <row r="927" spans="1:13" x14ac:dyDescent="0.25">
      <c r="A927" s="1">
        <v>42565</v>
      </c>
      <c r="B927" s="2">
        <v>16</v>
      </c>
      <c r="C927" s="2">
        <v>16</v>
      </c>
      <c r="D927" s="2">
        <v>16.8</v>
      </c>
      <c r="E927" s="2">
        <v>17.3</v>
      </c>
      <c r="F927" s="2">
        <v>18.2</v>
      </c>
      <c r="G927" s="2">
        <v>15.5</v>
      </c>
      <c r="H927" s="2">
        <f>AVERAGE(weather.tbl[[#This Row],[Estevan]:[Kipling]])</f>
        <v>16.633333333333333</v>
      </c>
      <c r="I927" s="2">
        <f>_xlfn.STDEV.S(weather.tbl[[#This Row],[Estevan]:[Kipling]])</f>
        <v>1.0013324456276578</v>
      </c>
      <c r="J927" s="2">
        <f t="shared" si="14"/>
        <v>18.50238095238095</v>
      </c>
      <c r="K927">
        <f>DAY(weather.tbl[[#This Row],[Date]])</f>
        <v>14</v>
      </c>
      <c r="L927">
        <f>MONTH(weather.tbl[[#This Row],[Date]])</f>
        <v>7</v>
      </c>
      <c r="M927">
        <f>YEAR(weather.tbl[[#This Row],[Date]])</f>
        <v>2016</v>
      </c>
    </row>
    <row r="928" spans="1:13" x14ac:dyDescent="0.25">
      <c r="A928" s="1">
        <v>42566</v>
      </c>
      <c r="B928" s="2">
        <v>16.899999999999999</v>
      </c>
      <c r="C928" s="2">
        <v>15.9</v>
      </c>
      <c r="D928" s="2">
        <v>16</v>
      </c>
      <c r="E928" s="2">
        <v>17</v>
      </c>
      <c r="F928" s="2">
        <v>17.7</v>
      </c>
      <c r="G928" s="2">
        <v>16.8</v>
      </c>
      <c r="H928" s="2">
        <f>AVERAGE(weather.tbl[[#This Row],[Estevan]:[Kipling]])</f>
        <v>16.716666666666665</v>
      </c>
      <c r="I928" s="2">
        <f>_xlfn.STDEV.S(weather.tbl[[#This Row],[Estevan]:[Kipling]])</f>
        <v>0.67354782062349972</v>
      </c>
      <c r="J928" s="2">
        <f t="shared" si="14"/>
        <v>18.45</v>
      </c>
      <c r="K928">
        <f>DAY(weather.tbl[[#This Row],[Date]])</f>
        <v>15</v>
      </c>
      <c r="L928">
        <f>MONTH(weather.tbl[[#This Row],[Date]])</f>
        <v>7</v>
      </c>
      <c r="M928">
        <f>YEAR(weather.tbl[[#This Row],[Date]])</f>
        <v>2016</v>
      </c>
    </row>
    <row r="929" spans="1:13" x14ac:dyDescent="0.25">
      <c r="A929" s="1">
        <v>42567</v>
      </c>
      <c r="B929" s="2">
        <v>17.8</v>
      </c>
      <c r="C929" s="2">
        <v>17.899999999999999</v>
      </c>
      <c r="D929" s="2">
        <v>16</v>
      </c>
      <c r="E929" s="2">
        <v>18</v>
      </c>
      <c r="F929" s="2">
        <v>16.2</v>
      </c>
      <c r="G929" s="2">
        <v>17.5</v>
      </c>
      <c r="H929" s="2">
        <f>AVERAGE(weather.tbl[[#This Row],[Estevan]:[Kipling]])</f>
        <v>17.233333333333334</v>
      </c>
      <c r="I929" s="2">
        <f>_xlfn.STDEV.S(weather.tbl[[#This Row],[Estevan]:[Kipling]])</f>
        <v>0.89591666279105819</v>
      </c>
      <c r="J929" s="2">
        <f t="shared" si="14"/>
        <v>17.983333333333334</v>
      </c>
      <c r="K929">
        <f>DAY(weather.tbl[[#This Row],[Date]])</f>
        <v>16</v>
      </c>
      <c r="L929">
        <f>MONTH(weather.tbl[[#This Row],[Date]])</f>
        <v>7</v>
      </c>
      <c r="M929">
        <f>YEAR(weather.tbl[[#This Row],[Date]])</f>
        <v>2016</v>
      </c>
    </row>
    <row r="930" spans="1:13" x14ac:dyDescent="0.25">
      <c r="A930" s="1">
        <v>42568</v>
      </c>
      <c r="B930" s="2">
        <v>19.3</v>
      </c>
      <c r="C930" s="2">
        <v>18.399999999999999</v>
      </c>
      <c r="D930" s="2">
        <v>19.3</v>
      </c>
      <c r="E930" s="2">
        <v>20</v>
      </c>
      <c r="F930" s="2">
        <v>18.8</v>
      </c>
      <c r="G930" s="2">
        <v>18.5</v>
      </c>
      <c r="H930" s="2">
        <f>AVERAGE(weather.tbl[[#This Row],[Estevan]:[Kipling]])</f>
        <v>19.05</v>
      </c>
      <c r="I930" s="2">
        <f>_xlfn.STDEV.S(weather.tbl[[#This Row],[Estevan]:[Kipling]])</f>
        <v>0.6024948132556831</v>
      </c>
      <c r="J930" s="2">
        <f t="shared" si="14"/>
        <v>17.730952380952381</v>
      </c>
      <c r="K930">
        <f>DAY(weather.tbl[[#This Row],[Date]])</f>
        <v>17</v>
      </c>
      <c r="L930">
        <f>MONTH(weather.tbl[[#This Row],[Date]])</f>
        <v>7</v>
      </c>
      <c r="M930">
        <f>YEAR(weather.tbl[[#This Row],[Date]])</f>
        <v>2016</v>
      </c>
    </row>
    <row r="931" spans="1:13" x14ac:dyDescent="0.25">
      <c r="A931" s="1">
        <v>42569</v>
      </c>
      <c r="B931" s="2">
        <v>20.6</v>
      </c>
      <c r="C931" s="2">
        <v>19.600000000000001</v>
      </c>
      <c r="D931" s="2">
        <v>18.3</v>
      </c>
      <c r="E931" s="2">
        <v>20.8</v>
      </c>
      <c r="F931" s="2">
        <v>19</v>
      </c>
      <c r="G931" s="2">
        <v>19.5</v>
      </c>
      <c r="H931" s="2">
        <f>AVERAGE(weather.tbl[[#This Row],[Estevan]:[Kipling]])</f>
        <v>19.633333333333333</v>
      </c>
      <c r="I931" s="2">
        <f>_xlfn.STDEV.S(weather.tbl[[#This Row],[Estevan]:[Kipling]])</f>
        <v>0.94798030921885035</v>
      </c>
      <c r="J931" s="2">
        <f t="shared" si="14"/>
        <v>17.730952380952377</v>
      </c>
      <c r="K931">
        <f>DAY(weather.tbl[[#This Row],[Date]])</f>
        <v>18</v>
      </c>
      <c r="L931">
        <f>MONTH(weather.tbl[[#This Row],[Date]])</f>
        <v>7</v>
      </c>
      <c r="M931">
        <f>YEAR(weather.tbl[[#This Row],[Date]])</f>
        <v>2016</v>
      </c>
    </row>
    <row r="932" spans="1:13" x14ac:dyDescent="0.25">
      <c r="A932" s="1">
        <v>42570</v>
      </c>
      <c r="B932" s="2">
        <v>24.3</v>
      </c>
      <c r="C932" s="2">
        <v>24.7</v>
      </c>
      <c r="D932" s="2">
        <v>23.3</v>
      </c>
      <c r="E932" s="2">
        <v>25</v>
      </c>
      <c r="F932" s="2">
        <v>23.8</v>
      </c>
      <c r="G932" s="2">
        <v>22.5</v>
      </c>
      <c r="H932" s="2">
        <f>AVERAGE(weather.tbl[[#This Row],[Estevan]:[Kipling]])</f>
        <v>23.933333333333334</v>
      </c>
      <c r="I932" s="2">
        <f>_xlfn.STDEV.S(weather.tbl[[#This Row],[Estevan]:[Kipling]])</f>
        <v>0.93094933625126264</v>
      </c>
      <c r="J932" s="2">
        <f t="shared" si="14"/>
        <v>18.669047619047621</v>
      </c>
      <c r="K932">
        <f>DAY(weather.tbl[[#This Row],[Date]])</f>
        <v>19</v>
      </c>
      <c r="L932">
        <f>MONTH(weather.tbl[[#This Row],[Date]])</f>
        <v>7</v>
      </c>
      <c r="M932">
        <f>YEAR(weather.tbl[[#This Row],[Date]])</f>
        <v>2016</v>
      </c>
    </row>
    <row r="933" spans="1:13" x14ac:dyDescent="0.25">
      <c r="A933" s="1">
        <v>42571</v>
      </c>
      <c r="B933" s="2">
        <v>24.3</v>
      </c>
      <c r="C933" s="2">
        <v>23</v>
      </c>
      <c r="D933" s="2">
        <v>26</v>
      </c>
      <c r="E933" s="2">
        <v>23.3</v>
      </c>
      <c r="F933" s="2">
        <v>25.1</v>
      </c>
      <c r="G933" s="2">
        <v>23.3</v>
      </c>
      <c r="H933" s="2">
        <f>AVERAGE(weather.tbl[[#This Row],[Estevan]:[Kipling]])</f>
        <v>24.166666666666668</v>
      </c>
      <c r="I933" s="2">
        <f>_xlfn.STDEV.S(weather.tbl[[#This Row],[Estevan]:[Kipling]])</f>
        <v>1.1927559124425529</v>
      </c>
      <c r="J933" s="2">
        <f t="shared" si="14"/>
        <v>19.62380952380952</v>
      </c>
      <c r="K933">
        <f>DAY(weather.tbl[[#This Row],[Date]])</f>
        <v>20</v>
      </c>
      <c r="L933">
        <f>MONTH(weather.tbl[[#This Row],[Date]])</f>
        <v>7</v>
      </c>
      <c r="M933">
        <f>YEAR(weather.tbl[[#This Row],[Date]])</f>
        <v>2016</v>
      </c>
    </row>
    <row r="934" spans="1:13" x14ac:dyDescent="0.25">
      <c r="A934" s="1">
        <v>42572</v>
      </c>
      <c r="B934" s="2">
        <v>22.3</v>
      </c>
      <c r="C934" s="2">
        <v>20.8</v>
      </c>
      <c r="D934" s="2">
        <v>22</v>
      </c>
      <c r="E934" s="2">
        <v>21.5</v>
      </c>
      <c r="F934" s="2">
        <v>23.2</v>
      </c>
      <c r="G934" s="2">
        <v>20.8</v>
      </c>
      <c r="H934" s="2">
        <f>AVERAGE(weather.tbl[[#This Row],[Estevan]:[Kipling]])</f>
        <v>21.766666666666666</v>
      </c>
      <c r="I934" s="2">
        <f>_xlfn.STDEV.S(weather.tbl[[#This Row],[Estevan]:[Kipling]])</f>
        <v>0.9309493362512623</v>
      </c>
      <c r="J934" s="2">
        <f t="shared" si="14"/>
        <v>20.357142857142858</v>
      </c>
      <c r="K934">
        <f>DAY(weather.tbl[[#This Row],[Date]])</f>
        <v>21</v>
      </c>
      <c r="L934">
        <f>MONTH(weather.tbl[[#This Row],[Date]])</f>
        <v>7</v>
      </c>
      <c r="M934">
        <f>YEAR(weather.tbl[[#This Row],[Date]])</f>
        <v>2016</v>
      </c>
    </row>
    <row r="935" spans="1:13" x14ac:dyDescent="0.25">
      <c r="A935" s="1">
        <v>42573</v>
      </c>
      <c r="B935" s="2">
        <v>21.2</v>
      </c>
      <c r="C935" s="2">
        <v>20.399999999999999</v>
      </c>
      <c r="D935" s="2">
        <v>19.8</v>
      </c>
      <c r="E935" s="2">
        <v>21.5</v>
      </c>
      <c r="F935" s="2">
        <v>20.7</v>
      </c>
      <c r="G935" s="2">
        <v>20</v>
      </c>
      <c r="H935" s="2">
        <f>AVERAGE(weather.tbl[[#This Row],[Estevan]:[Kipling]])</f>
        <v>20.599999999999998</v>
      </c>
      <c r="I935" s="2">
        <f>_xlfn.STDEV.S(weather.tbl[[#This Row],[Estevan]:[Kipling]])</f>
        <v>0.66633324995830701</v>
      </c>
      <c r="J935" s="2">
        <f t="shared" si="14"/>
        <v>20.911904761904761</v>
      </c>
      <c r="K935">
        <f>DAY(weather.tbl[[#This Row],[Date]])</f>
        <v>22</v>
      </c>
      <c r="L935">
        <f>MONTH(weather.tbl[[#This Row],[Date]])</f>
        <v>7</v>
      </c>
      <c r="M935">
        <f>YEAR(weather.tbl[[#This Row],[Date]])</f>
        <v>2016</v>
      </c>
    </row>
    <row r="936" spans="1:13" x14ac:dyDescent="0.25">
      <c r="A936" s="1">
        <v>42574</v>
      </c>
      <c r="B936" s="2">
        <v>20.7</v>
      </c>
      <c r="C936" s="2">
        <v>19.899999999999999</v>
      </c>
      <c r="D936" s="2">
        <v>19.8</v>
      </c>
      <c r="E936" s="2">
        <v>21.3</v>
      </c>
      <c r="F936" s="2">
        <v>21.8</v>
      </c>
      <c r="G936" s="2">
        <v>20.5</v>
      </c>
      <c r="H936" s="2">
        <f>AVERAGE(weather.tbl[[#This Row],[Estevan]:[Kipling]])</f>
        <v>20.666666666666664</v>
      </c>
      <c r="I936" s="2">
        <f>_xlfn.STDEV.S(weather.tbl[[#This Row],[Estevan]:[Kipling]])</f>
        <v>0.78145164064493922</v>
      </c>
      <c r="J936" s="2">
        <f t="shared" si="14"/>
        <v>21.402380952380952</v>
      </c>
      <c r="K936">
        <f>DAY(weather.tbl[[#This Row],[Date]])</f>
        <v>23</v>
      </c>
      <c r="L936">
        <f>MONTH(weather.tbl[[#This Row],[Date]])</f>
        <v>7</v>
      </c>
      <c r="M936">
        <f>YEAR(weather.tbl[[#This Row],[Date]])</f>
        <v>2016</v>
      </c>
    </row>
    <row r="937" spans="1:13" x14ac:dyDescent="0.25">
      <c r="A937" s="1">
        <v>42575</v>
      </c>
      <c r="B937" s="2">
        <v>20</v>
      </c>
      <c r="C937" s="2">
        <v>19.2</v>
      </c>
      <c r="D937" s="2">
        <v>18.8</v>
      </c>
      <c r="E937" s="2">
        <v>20.8</v>
      </c>
      <c r="F937" s="2">
        <v>19.8</v>
      </c>
      <c r="G937" s="2">
        <v>18.3</v>
      </c>
      <c r="H937" s="2">
        <f>AVERAGE(weather.tbl[[#This Row],[Estevan]:[Kipling]])</f>
        <v>19.483333333333331</v>
      </c>
      <c r="I937" s="2">
        <f>_xlfn.STDEV.S(weather.tbl[[#This Row],[Estevan]:[Kipling]])</f>
        <v>0.89981479575891976</v>
      </c>
      <c r="J937" s="2">
        <f t="shared" si="14"/>
        <v>21.464285714285712</v>
      </c>
      <c r="K937">
        <f>DAY(weather.tbl[[#This Row],[Date]])</f>
        <v>24</v>
      </c>
      <c r="L937">
        <f>MONTH(weather.tbl[[#This Row],[Date]])</f>
        <v>7</v>
      </c>
      <c r="M937">
        <f>YEAR(weather.tbl[[#This Row],[Date]])</f>
        <v>2016</v>
      </c>
    </row>
    <row r="938" spans="1:13" x14ac:dyDescent="0.25">
      <c r="A938" s="1">
        <v>42576</v>
      </c>
      <c r="B938" s="2">
        <v>21.9</v>
      </c>
      <c r="C938" s="2">
        <v>21.6</v>
      </c>
      <c r="D938" s="2">
        <v>20</v>
      </c>
      <c r="E938" s="2">
        <v>21.8</v>
      </c>
      <c r="F938" s="2">
        <v>20.399999999999999</v>
      </c>
      <c r="G938" s="2">
        <v>19.8</v>
      </c>
      <c r="H938" s="2">
        <f>AVERAGE(weather.tbl[[#This Row],[Estevan]:[Kipling]])</f>
        <v>20.916666666666664</v>
      </c>
      <c r="I938" s="2">
        <f>_xlfn.STDEV.S(weather.tbl[[#This Row],[Estevan]:[Kipling]])</f>
        <v>0.95585912490631531</v>
      </c>
      <c r="J938" s="2">
        <f t="shared" si="14"/>
        <v>21.647619047619042</v>
      </c>
      <c r="K938">
        <f>DAY(weather.tbl[[#This Row],[Date]])</f>
        <v>25</v>
      </c>
      <c r="L938">
        <f>MONTH(weather.tbl[[#This Row],[Date]])</f>
        <v>7</v>
      </c>
      <c r="M938">
        <f>YEAR(weather.tbl[[#This Row],[Date]])</f>
        <v>2016</v>
      </c>
    </row>
    <row r="939" spans="1:13" x14ac:dyDescent="0.25">
      <c r="A939" s="1">
        <v>42577</v>
      </c>
      <c r="B939" s="2">
        <v>20.399999999999999</v>
      </c>
      <c r="C939" s="2">
        <v>19.3</v>
      </c>
      <c r="D939" s="2">
        <v>20</v>
      </c>
      <c r="E939" s="2">
        <v>19</v>
      </c>
      <c r="F939" s="2">
        <v>20.8</v>
      </c>
      <c r="G939" s="2">
        <v>18.5</v>
      </c>
      <c r="H939" s="2">
        <f>AVERAGE(weather.tbl[[#This Row],[Estevan]:[Kipling]])</f>
        <v>19.666666666666668</v>
      </c>
      <c r="I939" s="2">
        <f>_xlfn.STDEV.S(weather.tbl[[#This Row],[Estevan]:[Kipling]])</f>
        <v>0.88015150211010063</v>
      </c>
      <c r="J939" s="2">
        <f t="shared" si="14"/>
        <v>21.038095238095234</v>
      </c>
      <c r="K939">
        <f>DAY(weather.tbl[[#This Row],[Date]])</f>
        <v>26</v>
      </c>
      <c r="L939">
        <f>MONTH(weather.tbl[[#This Row],[Date]])</f>
        <v>7</v>
      </c>
      <c r="M939">
        <f>YEAR(weather.tbl[[#This Row],[Date]])</f>
        <v>2016</v>
      </c>
    </row>
    <row r="940" spans="1:13" x14ac:dyDescent="0.25">
      <c r="A940" s="1">
        <v>42578</v>
      </c>
      <c r="B940" s="2">
        <v>18.399999999999999</v>
      </c>
      <c r="C940" s="2">
        <v>18.399999999999999</v>
      </c>
      <c r="D940" s="2">
        <v>17.5</v>
      </c>
      <c r="E940" s="2">
        <v>18.3</v>
      </c>
      <c r="F940" s="2">
        <v>18.600000000000001</v>
      </c>
      <c r="G940" s="2">
        <v>17.3</v>
      </c>
      <c r="H940" s="2">
        <f>AVERAGE(weather.tbl[[#This Row],[Estevan]:[Kipling]])</f>
        <v>18.083333333333332</v>
      </c>
      <c r="I940" s="2">
        <f>_xlfn.STDEV.S(weather.tbl[[#This Row],[Estevan]:[Kipling]])</f>
        <v>0.54191020166321513</v>
      </c>
      <c r="J940" s="2">
        <f t="shared" si="14"/>
        <v>20.169047619047614</v>
      </c>
      <c r="K940">
        <f>DAY(weather.tbl[[#This Row],[Date]])</f>
        <v>27</v>
      </c>
      <c r="L940">
        <f>MONTH(weather.tbl[[#This Row],[Date]])</f>
        <v>7</v>
      </c>
      <c r="M940">
        <f>YEAR(weather.tbl[[#This Row],[Date]])</f>
        <v>2016</v>
      </c>
    </row>
    <row r="941" spans="1:13" x14ac:dyDescent="0.25">
      <c r="A941" s="1">
        <v>42579</v>
      </c>
      <c r="B941" s="2">
        <v>17.8</v>
      </c>
      <c r="C941" s="2">
        <v>18.3</v>
      </c>
      <c r="D941" s="2">
        <v>16.5</v>
      </c>
      <c r="E941" s="2">
        <v>19</v>
      </c>
      <c r="F941" s="2">
        <v>15.8</v>
      </c>
      <c r="G941" s="2">
        <v>17</v>
      </c>
      <c r="H941" s="2">
        <f>AVERAGE(weather.tbl[[#This Row],[Estevan]:[Kipling]])</f>
        <v>17.399999999999999</v>
      </c>
      <c r="I941" s="2">
        <f>_xlfn.STDEV.S(weather.tbl[[#This Row],[Estevan]:[Kipling]])</f>
        <v>1.1882760622010358</v>
      </c>
      <c r="J941" s="2">
        <f t="shared" si="14"/>
        <v>19.545238095238094</v>
      </c>
      <c r="K941">
        <f>DAY(weather.tbl[[#This Row],[Date]])</f>
        <v>28</v>
      </c>
      <c r="L941">
        <f>MONTH(weather.tbl[[#This Row],[Date]])</f>
        <v>7</v>
      </c>
      <c r="M941">
        <f>YEAR(weather.tbl[[#This Row],[Date]])</f>
        <v>2016</v>
      </c>
    </row>
    <row r="942" spans="1:13" x14ac:dyDescent="0.25">
      <c r="A942" s="1">
        <v>42580</v>
      </c>
      <c r="B942" s="2">
        <v>18.100000000000001</v>
      </c>
      <c r="C942" s="2">
        <v>18.600000000000001</v>
      </c>
      <c r="D942" s="2">
        <v>16.5</v>
      </c>
      <c r="E942" s="2">
        <v>18.5</v>
      </c>
      <c r="F942" s="2">
        <v>17.899999999999999</v>
      </c>
      <c r="G942" s="2">
        <v>17.8</v>
      </c>
      <c r="H942" s="2">
        <f>AVERAGE(weather.tbl[[#This Row],[Estevan]:[Kipling]])</f>
        <v>17.899999999999999</v>
      </c>
      <c r="I942" s="2">
        <f>_xlfn.STDEV.S(weather.tbl[[#This Row],[Estevan]:[Kipling]])</f>
        <v>0.75630681604756178</v>
      </c>
      <c r="J942" s="2">
        <f t="shared" si="14"/>
        <v>19.159523809523808</v>
      </c>
      <c r="K942">
        <f>DAY(weather.tbl[[#This Row],[Date]])</f>
        <v>29</v>
      </c>
      <c r="L942">
        <f>MONTH(weather.tbl[[#This Row],[Date]])</f>
        <v>7</v>
      </c>
      <c r="M942">
        <f>YEAR(weather.tbl[[#This Row],[Date]])</f>
        <v>2016</v>
      </c>
    </row>
    <row r="943" spans="1:13" x14ac:dyDescent="0.25">
      <c r="A943" s="1">
        <v>42581</v>
      </c>
      <c r="B943" s="2">
        <v>20.8</v>
      </c>
      <c r="C943" s="2">
        <v>21.1</v>
      </c>
      <c r="D943" s="2">
        <v>16.5</v>
      </c>
      <c r="E943" s="2">
        <v>22</v>
      </c>
      <c r="F943" s="2">
        <v>21.7</v>
      </c>
      <c r="G943" s="2">
        <v>20.3</v>
      </c>
      <c r="H943" s="2">
        <f>AVERAGE(weather.tbl[[#This Row],[Estevan]:[Kipling]])</f>
        <v>20.400000000000002</v>
      </c>
      <c r="I943" s="2">
        <f>_xlfn.STDEV.S(weather.tbl[[#This Row],[Estevan]:[Kipling]])</f>
        <v>2.0059910268991734</v>
      </c>
      <c r="J943" s="2">
        <f t="shared" si="14"/>
        <v>19.12142857142857</v>
      </c>
      <c r="K943">
        <f>DAY(weather.tbl[[#This Row],[Date]])</f>
        <v>30</v>
      </c>
      <c r="L943">
        <f>MONTH(weather.tbl[[#This Row],[Date]])</f>
        <v>7</v>
      </c>
      <c r="M943">
        <f>YEAR(weather.tbl[[#This Row],[Date]])</f>
        <v>2016</v>
      </c>
    </row>
    <row r="944" spans="1:13" x14ac:dyDescent="0.25">
      <c r="A944" s="1">
        <v>42582</v>
      </c>
      <c r="B944" s="2">
        <v>24.2</v>
      </c>
      <c r="C944" s="2">
        <v>24.7</v>
      </c>
      <c r="D944" s="2">
        <v>16.5</v>
      </c>
      <c r="E944" s="2">
        <v>24.5</v>
      </c>
      <c r="F944" s="2">
        <v>23.9</v>
      </c>
      <c r="G944" s="2">
        <v>22.5</v>
      </c>
      <c r="H944" s="2">
        <f>AVERAGE(weather.tbl[[#This Row],[Estevan]:[Kipling]])</f>
        <v>22.716666666666669</v>
      </c>
      <c r="I944" s="2">
        <f>_xlfn.STDEV.S(weather.tbl[[#This Row],[Estevan]:[Kipling]])</f>
        <v>3.1435118365717298</v>
      </c>
      <c r="J944" s="2">
        <f t="shared" si="14"/>
        <v>19.583333333333336</v>
      </c>
      <c r="K944">
        <f>DAY(weather.tbl[[#This Row],[Date]])</f>
        <v>31</v>
      </c>
      <c r="L944">
        <f>MONTH(weather.tbl[[#This Row],[Date]])</f>
        <v>7</v>
      </c>
      <c r="M944">
        <f>YEAR(weather.tbl[[#This Row],[Date]])</f>
        <v>2016</v>
      </c>
    </row>
    <row r="945" spans="1:13" x14ac:dyDescent="0.25">
      <c r="A945" s="1">
        <v>42583</v>
      </c>
      <c r="B945" s="2">
        <v>21.1</v>
      </c>
      <c r="C945" s="2">
        <v>18.8</v>
      </c>
      <c r="D945" s="2">
        <v>21.8</v>
      </c>
      <c r="E945" s="2">
        <v>19.5</v>
      </c>
      <c r="F945" s="2">
        <v>21.5</v>
      </c>
      <c r="G945" s="2">
        <v>18.8</v>
      </c>
      <c r="H945" s="2">
        <f>AVERAGE(weather.tbl[[#This Row],[Estevan]:[Kipling]])</f>
        <v>20.25</v>
      </c>
      <c r="I945" s="2">
        <f>_xlfn.STDEV.S(weather.tbl[[#This Row],[Estevan]:[Kipling]])</f>
        <v>1.3751363568752009</v>
      </c>
      <c r="J945" s="2">
        <f t="shared" si="14"/>
        <v>19.488095238095241</v>
      </c>
      <c r="K945">
        <f>DAY(weather.tbl[[#This Row],[Date]])</f>
        <v>1</v>
      </c>
      <c r="L945">
        <f>MONTH(weather.tbl[[#This Row],[Date]])</f>
        <v>8</v>
      </c>
      <c r="M945">
        <f>YEAR(weather.tbl[[#This Row],[Date]])</f>
        <v>2016</v>
      </c>
    </row>
    <row r="946" spans="1:13" x14ac:dyDescent="0.25">
      <c r="A946" s="1">
        <v>42584</v>
      </c>
      <c r="B946" s="2">
        <v>20.5</v>
      </c>
      <c r="C946" s="2">
        <v>19.899999999999999</v>
      </c>
      <c r="D946" s="2">
        <v>19.8</v>
      </c>
      <c r="E946" s="2">
        <v>22</v>
      </c>
      <c r="F946" s="2">
        <v>20.7</v>
      </c>
      <c r="G946" s="2">
        <v>18.3</v>
      </c>
      <c r="H946" s="2">
        <f>AVERAGE(weather.tbl[[#This Row],[Estevan]:[Kipling]])</f>
        <v>20.2</v>
      </c>
      <c r="I946" s="2">
        <f>_xlfn.STDEV.S(weather.tbl[[#This Row],[Estevan]:[Kipling]])</f>
        <v>1.2198360545581521</v>
      </c>
      <c r="J946" s="2">
        <f t="shared" si="14"/>
        <v>19.564285714285713</v>
      </c>
      <c r="K946">
        <f>DAY(weather.tbl[[#This Row],[Date]])</f>
        <v>2</v>
      </c>
      <c r="L946">
        <f>MONTH(weather.tbl[[#This Row],[Date]])</f>
        <v>8</v>
      </c>
      <c r="M946">
        <f>YEAR(weather.tbl[[#This Row],[Date]])</f>
        <v>2016</v>
      </c>
    </row>
    <row r="947" spans="1:13" x14ac:dyDescent="0.25">
      <c r="A947" s="1">
        <v>42585</v>
      </c>
      <c r="B947" s="2">
        <v>22.9</v>
      </c>
      <c r="C947" s="2">
        <v>22.1</v>
      </c>
      <c r="D947" s="2">
        <v>23.3</v>
      </c>
      <c r="E947" s="2">
        <v>22</v>
      </c>
      <c r="F947" s="2">
        <v>22.5</v>
      </c>
      <c r="G947" s="2">
        <v>21.5</v>
      </c>
      <c r="H947" s="2">
        <f>AVERAGE(weather.tbl[[#This Row],[Estevan]:[Kipling]])</f>
        <v>22.383333333333336</v>
      </c>
      <c r="I947" s="2">
        <f>_xlfn.STDEV.S(weather.tbl[[#This Row],[Estevan]:[Kipling]])</f>
        <v>0.65243135015621867</v>
      </c>
      <c r="J947" s="2">
        <f t="shared" si="14"/>
        <v>20.178571428571427</v>
      </c>
      <c r="K947">
        <f>DAY(weather.tbl[[#This Row],[Date]])</f>
        <v>3</v>
      </c>
      <c r="L947">
        <f>MONTH(weather.tbl[[#This Row],[Date]])</f>
        <v>8</v>
      </c>
      <c r="M947">
        <f>YEAR(weather.tbl[[#This Row],[Date]])</f>
        <v>2016</v>
      </c>
    </row>
    <row r="948" spans="1:13" x14ac:dyDescent="0.25">
      <c r="A948" s="1">
        <v>42586</v>
      </c>
      <c r="B948" s="2">
        <v>17.899999999999999</v>
      </c>
      <c r="C948" s="2">
        <v>17.899999999999999</v>
      </c>
      <c r="D948" s="2">
        <v>17.8</v>
      </c>
      <c r="E948" s="2">
        <v>19</v>
      </c>
      <c r="F948" s="2">
        <v>17.899999999999999</v>
      </c>
      <c r="G948" s="2">
        <v>16.3</v>
      </c>
      <c r="H948" s="2">
        <f>AVERAGE(weather.tbl[[#This Row],[Estevan]:[Kipling]])</f>
        <v>17.8</v>
      </c>
      <c r="I948" s="2">
        <f>_xlfn.STDEV.S(weather.tbl[[#This Row],[Estevan]:[Kipling]])</f>
        <v>0.86255434611391268</v>
      </c>
      <c r="J948" s="2">
        <f t="shared" si="14"/>
        <v>20.235714285714288</v>
      </c>
      <c r="K948">
        <f>DAY(weather.tbl[[#This Row],[Date]])</f>
        <v>4</v>
      </c>
      <c r="L948">
        <f>MONTH(weather.tbl[[#This Row],[Date]])</f>
        <v>8</v>
      </c>
      <c r="M948">
        <f>YEAR(weather.tbl[[#This Row],[Date]])</f>
        <v>2016</v>
      </c>
    </row>
    <row r="949" spans="1:13" x14ac:dyDescent="0.25">
      <c r="A949" s="1">
        <v>42587</v>
      </c>
      <c r="B949" s="2">
        <v>18.600000000000001</v>
      </c>
      <c r="C949" s="2">
        <v>18.7</v>
      </c>
      <c r="D949" s="2">
        <v>18</v>
      </c>
      <c r="E949" s="2">
        <v>19.8</v>
      </c>
      <c r="F949" s="2">
        <v>17.7</v>
      </c>
      <c r="G949" s="2">
        <v>17.3</v>
      </c>
      <c r="H949" s="2">
        <f>AVERAGE(weather.tbl[[#This Row],[Estevan]:[Kipling]])</f>
        <v>18.349999999999998</v>
      </c>
      <c r="I949" s="2">
        <f>_xlfn.STDEV.S(weather.tbl[[#This Row],[Estevan]:[Kipling]])</f>
        <v>0.8871302046486752</v>
      </c>
      <c r="J949" s="2">
        <f t="shared" si="14"/>
        <v>20.300000000000004</v>
      </c>
      <c r="K949">
        <f>DAY(weather.tbl[[#This Row],[Date]])</f>
        <v>5</v>
      </c>
      <c r="L949">
        <f>MONTH(weather.tbl[[#This Row],[Date]])</f>
        <v>8</v>
      </c>
      <c r="M949">
        <f>YEAR(weather.tbl[[#This Row],[Date]])</f>
        <v>2016</v>
      </c>
    </row>
    <row r="950" spans="1:13" x14ac:dyDescent="0.25">
      <c r="A950" s="1">
        <v>42588</v>
      </c>
      <c r="B950" s="2">
        <v>19.899999999999999</v>
      </c>
      <c r="C950" s="2">
        <v>19.899999999999999</v>
      </c>
      <c r="D950" s="2">
        <v>18</v>
      </c>
      <c r="E950" s="2">
        <v>20.3</v>
      </c>
      <c r="F950" s="2">
        <v>17.3</v>
      </c>
      <c r="G950" s="2">
        <v>17.8</v>
      </c>
      <c r="H950" s="2">
        <f>AVERAGE(weather.tbl[[#This Row],[Estevan]:[Kipling]])</f>
        <v>18.866666666666664</v>
      </c>
      <c r="I950" s="2">
        <f>_xlfn.STDEV.S(weather.tbl[[#This Row],[Estevan]:[Kipling]])</f>
        <v>1.3063945294843609</v>
      </c>
      <c r="J950" s="2">
        <f t="shared" si="14"/>
        <v>20.080952380952379</v>
      </c>
      <c r="K950">
        <f>DAY(weather.tbl[[#This Row],[Date]])</f>
        <v>6</v>
      </c>
      <c r="L950">
        <f>MONTH(weather.tbl[[#This Row],[Date]])</f>
        <v>8</v>
      </c>
      <c r="M950">
        <f>YEAR(weather.tbl[[#This Row],[Date]])</f>
        <v>2016</v>
      </c>
    </row>
    <row r="951" spans="1:13" x14ac:dyDescent="0.25">
      <c r="A951" s="1">
        <v>42589</v>
      </c>
      <c r="B951" s="2">
        <v>23.4</v>
      </c>
      <c r="C951" s="2">
        <v>24</v>
      </c>
      <c r="D951" s="2">
        <v>21.8</v>
      </c>
      <c r="E951" s="2">
        <v>24</v>
      </c>
      <c r="F951" s="2">
        <v>21.6</v>
      </c>
      <c r="G951" s="2">
        <v>19.8</v>
      </c>
      <c r="H951" s="2">
        <f>AVERAGE(weather.tbl[[#This Row],[Estevan]:[Kipling]])</f>
        <v>22.433333333333337</v>
      </c>
      <c r="I951" s="2">
        <f>_xlfn.STDEV.S(weather.tbl[[#This Row],[Estevan]:[Kipling]])</f>
        <v>1.6657330718535504</v>
      </c>
      <c r="J951" s="2">
        <f t="shared" si="14"/>
        <v>20.040476190476191</v>
      </c>
      <c r="K951">
        <f>DAY(weather.tbl[[#This Row],[Date]])</f>
        <v>7</v>
      </c>
      <c r="L951">
        <f>MONTH(weather.tbl[[#This Row],[Date]])</f>
        <v>8</v>
      </c>
      <c r="M951">
        <f>YEAR(weather.tbl[[#This Row],[Date]])</f>
        <v>2016</v>
      </c>
    </row>
    <row r="952" spans="1:13" x14ac:dyDescent="0.25">
      <c r="A952" s="1">
        <v>42590</v>
      </c>
      <c r="B952" s="2">
        <v>22</v>
      </c>
      <c r="C952" s="2">
        <v>20.5</v>
      </c>
      <c r="D952" s="2">
        <v>23</v>
      </c>
      <c r="E952" s="2">
        <v>22</v>
      </c>
      <c r="F952" s="2">
        <v>23.4</v>
      </c>
      <c r="G952" s="2">
        <v>22.3</v>
      </c>
      <c r="H952" s="2">
        <f>AVERAGE(weather.tbl[[#This Row],[Estevan]:[Kipling]])</f>
        <v>22.200000000000003</v>
      </c>
      <c r="I952" s="2">
        <f>_xlfn.STDEV.S(weather.tbl[[#This Row],[Estevan]:[Kipling]])</f>
        <v>1.005982107196743</v>
      </c>
      <c r="J952" s="2">
        <f t="shared" si="14"/>
        <v>20.31904761904762</v>
      </c>
      <c r="K952">
        <f>DAY(weather.tbl[[#This Row],[Date]])</f>
        <v>8</v>
      </c>
      <c r="L952">
        <f>MONTH(weather.tbl[[#This Row],[Date]])</f>
        <v>8</v>
      </c>
      <c r="M952">
        <f>YEAR(weather.tbl[[#This Row],[Date]])</f>
        <v>2016</v>
      </c>
    </row>
    <row r="953" spans="1:13" x14ac:dyDescent="0.25">
      <c r="A953" s="1">
        <v>42591</v>
      </c>
      <c r="B953" s="2">
        <v>19.100000000000001</v>
      </c>
      <c r="C953" s="2">
        <v>19.399999999999999</v>
      </c>
      <c r="D953" s="2">
        <v>18.5</v>
      </c>
      <c r="E953" s="2">
        <v>20</v>
      </c>
      <c r="F953" s="2">
        <v>18.7</v>
      </c>
      <c r="G953" s="2">
        <v>18.3</v>
      </c>
      <c r="H953" s="2">
        <f>AVERAGE(weather.tbl[[#This Row],[Estevan]:[Kipling]])</f>
        <v>19</v>
      </c>
      <c r="I953" s="2">
        <f>_xlfn.STDEV.S(weather.tbl[[#This Row],[Estevan]:[Kipling]])</f>
        <v>0.63245553203367566</v>
      </c>
      <c r="J953" s="2">
        <f t="shared" si="14"/>
        <v>20.147619047619049</v>
      </c>
      <c r="K953">
        <f>DAY(weather.tbl[[#This Row],[Date]])</f>
        <v>9</v>
      </c>
      <c r="L953">
        <f>MONTH(weather.tbl[[#This Row],[Date]])</f>
        <v>8</v>
      </c>
      <c r="M953">
        <f>YEAR(weather.tbl[[#This Row],[Date]])</f>
        <v>2016</v>
      </c>
    </row>
    <row r="954" spans="1:13" x14ac:dyDescent="0.25">
      <c r="A954" s="1">
        <v>42592</v>
      </c>
      <c r="B954" s="2">
        <v>19</v>
      </c>
      <c r="C954" s="2">
        <v>18</v>
      </c>
      <c r="D954" s="2">
        <v>18.3</v>
      </c>
      <c r="E954" s="2">
        <v>16.5</v>
      </c>
      <c r="F954" s="2">
        <v>19.600000000000001</v>
      </c>
      <c r="G954" s="2">
        <v>15</v>
      </c>
      <c r="H954" s="2">
        <f>AVERAGE(weather.tbl[[#This Row],[Estevan]:[Kipling]])</f>
        <v>17.733333333333334</v>
      </c>
      <c r="I954" s="2">
        <f>_xlfn.STDEV.S(weather.tbl[[#This Row],[Estevan]:[Kipling]])</f>
        <v>1.7013719953809832</v>
      </c>
      <c r="J954" s="2">
        <f t="shared" si="14"/>
        <v>19.483333333333331</v>
      </c>
      <c r="K954">
        <f>DAY(weather.tbl[[#This Row],[Date]])</f>
        <v>10</v>
      </c>
      <c r="L954">
        <f>MONTH(weather.tbl[[#This Row],[Date]])</f>
        <v>8</v>
      </c>
      <c r="M954">
        <f>YEAR(weather.tbl[[#This Row],[Date]])</f>
        <v>2016</v>
      </c>
    </row>
    <row r="955" spans="1:13" x14ac:dyDescent="0.25">
      <c r="A955" s="1">
        <v>42593</v>
      </c>
      <c r="B955" s="2">
        <v>18.7</v>
      </c>
      <c r="C955" s="2">
        <v>18.100000000000001</v>
      </c>
      <c r="D955" s="2">
        <v>19.8</v>
      </c>
      <c r="E955" s="2">
        <v>18</v>
      </c>
      <c r="F955" s="2">
        <v>20</v>
      </c>
      <c r="G955" s="2">
        <v>17.5</v>
      </c>
      <c r="H955" s="2">
        <f>AVERAGE(weather.tbl[[#This Row],[Estevan]:[Kipling]])</f>
        <v>18.683333333333334</v>
      </c>
      <c r="I955" s="2">
        <f>_xlfn.STDEV.S(weather.tbl[[#This Row],[Estevan]:[Kipling]])</f>
        <v>1.0186592495366971</v>
      </c>
      <c r="J955" s="2">
        <f t="shared" si="14"/>
        <v>19.609523809523807</v>
      </c>
      <c r="K955">
        <f>DAY(weather.tbl[[#This Row],[Date]])</f>
        <v>11</v>
      </c>
      <c r="L955">
        <f>MONTH(weather.tbl[[#This Row],[Date]])</f>
        <v>8</v>
      </c>
      <c r="M955">
        <f>YEAR(weather.tbl[[#This Row],[Date]])</f>
        <v>2016</v>
      </c>
    </row>
    <row r="956" spans="1:13" x14ac:dyDescent="0.25">
      <c r="A956" s="1">
        <v>42594</v>
      </c>
      <c r="B956" s="2">
        <v>18.2</v>
      </c>
      <c r="C956" s="2">
        <v>18.3</v>
      </c>
      <c r="D956" s="2">
        <v>17.3</v>
      </c>
      <c r="E956" s="2">
        <v>18.3</v>
      </c>
      <c r="F956" s="2">
        <v>18.3</v>
      </c>
      <c r="G956" s="2">
        <v>17</v>
      </c>
      <c r="H956" s="2">
        <f>AVERAGE(weather.tbl[[#This Row],[Estevan]:[Kipling]])</f>
        <v>17.899999999999999</v>
      </c>
      <c r="I956" s="2">
        <f>_xlfn.STDEV.S(weather.tbl[[#This Row],[Estevan]:[Kipling]])</f>
        <v>0.5899152481501051</v>
      </c>
      <c r="J956" s="2">
        <f t="shared" si="14"/>
        <v>19.545238095238094</v>
      </c>
      <c r="K956">
        <f>DAY(weather.tbl[[#This Row],[Date]])</f>
        <v>12</v>
      </c>
      <c r="L956">
        <f>MONTH(weather.tbl[[#This Row],[Date]])</f>
        <v>8</v>
      </c>
      <c r="M956">
        <f>YEAR(weather.tbl[[#This Row],[Date]])</f>
        <v>2016</v>
      </c>
    </row>
    <row r="957" spans="1:13" x14ac:dyDescent="0.25">
      <c r="A957" s="1">
        <v>42595</v>
      </c>
      <c r="B957" s="2">
        <v>18</v>
      </c>
      <c r="C957" s="2">
        <v>18.7</v>
      </c>
      <c r="D957" s="2">
        <v>18</v>
      </c>
      <c r="E957" s="2">
        <v>20</v>
      </c>
      <c r="F957" s="2">
        <v>18.8</v>
      </c>
      <c r="G957" s="2">
        <v>17.3</v>
      </c>
      <c r="H957" s="2">
        <f>AVERAGE(weather.tbl[[#This Row],[Estevan]:[Kipling]])</f>
        <v>18.466666666666665</v>
      </c>
      <c r="I957" s="2">
        <f>_xlfn.STDEV.S(weather.tbl[[#This Row],[Estevan]:[Kipling]])</f>
        <v>0.92879850703296585</v>
      </c>
      <c r="J957" s="2">
        <f t="shared" si="14"/>
        <v>19.488095238095241</v>
      </c>
      <c r="K957">
        <f>DAY(weather.tbl[[#This Row],[Date]])</f>
        <v>13</v>
      </c>
      <c r="L957">
        <f>MONTH(weather.tbl[[#This Row],[Date]])</f>
        <v>8</v>
      </c>
      <c r="M957">
        <f>YEAR(weather.tbl[[#This Row],[Date]])</f>
        <v>2016</v>
      </c>
    </row>
    <row r="958" spans="1:13" x14ac:dyDescent="0.25">
      <c r="A958" s="1">
        <v>42596</v>
      </c>
      <c r="B958" s="2">
        <v>19.7</v>
      </c>
      <c r="C958" s="2">
        <v>20.399999999999999</v>
      </c>
      <c r="D958" s="2">
        <v>20</v>
      </c>
      <c r="E958" s="2">
        <v>20.5</v>
      </c>
      <c r="F958" s="2">
        <v>19.600000000000001</v>
      </c>
      <c r="G958" s="2">
        <v>19</v>
      </c>
      <c r="H958" s="2">
        <f>AVERAGE(weather.tbl[[#This Row],[Estevan]:[Kipling]])</f>
        <v>19.866666666666664</v>
      </c>
      <c r="I958" s="2">
        <f>_xlfn.STDEV.S(weather.tbl[[#This Row],[Estevan]:[Kipling]])</f>
        <v>0.55737479909542575</v>
      </c>
      <c r="J958" s="2">
        <f t="shared" si="14"/>
        <v>19.121428571428574</v>
      </c>
      <c r="K958">
        <f>DAY(weather.tbl[[#This Row],[Date]])</f>
        <v>14</v>
      </c>
      <c r="L958">
        <f>MONTH(weather.tbl[[#This Row],[Date]])</f>
        <v>8</v>
      </c>
      <c r="M958">
        <f>YEAR(weather.tbl[[#This Row],[Date]])</f>
        <v>2016</v>
      </c>
    </row>
    <row r="959" spans="1:13" x14ac:dyDescent="0.25">
      <c r="A959" s="1">
        <v>42597</v>
      </c>
      <c r="B959" s="2">
        <v>21.1</v>
      </c>
      <c r="C959" s="2">
        <v>20.2</v>
      </c>
      <c r="D959" s="2">
        <v>20.3</v>
      </c>
      <c r="E959" s="2">
        <v>21</v>
      </c>
      <c r="F959" s="2">
        <v>22.3</v>
      </c>
      <c r="G959" s="2">
        <v>19.5</v>
      </c>
      <c r="H959" s="2">
        <f>AVERAGE(weather.tbl[[#This Row],[Estevan]:[Kipling]])</f>
        <v>20.733333333333331</v>
      </c>
      <c r="I959" s="2">
        <f>_xlfn.STDEV.S(weather.tbl[[#This Row],[Estevan]:[Kipling]])</f>
        <v>0.96471066474185263</v>
      </c>
      <c r="J959" s="2">
        <f t="shared" si="14"/>
        <v>18.911904761904761</v>
      </c>
      <c r="K959">
        <f>DAY(weather.tbl[[#This Row],[Date]])</f>
        <v>15</v>
      </c>
      <c r="L959">
        <f>MONTH(weather.tbl[[#This Row],[Date]])</f>
        <v>8</v>
      </c>
      <c r="M959">
        <f>YEAR(weather.tbl[[#This Row],[Date]])</f>
        <v>2016</v>
      </c>
    </row>
    <row r="960" spans="1:13" x14ac:dyDescent="0.25">
      <c r="A960" s="1">
        <v>42598</v>
      </c>
      <c r="B960" s="2">
        <v>20.8</v>
      </c>
      <c r="C960" s="2">
        <v>21</v>
      </c>
      <c r="D960" s="2">
        <v>20</v>
      </c>
      <c r="E960" s="2">
        <v>22.3</v>
      </c>
      <c r="F960" s="2">
        <v>20.5</v>
      </c>
      <c r="G960" s="2">
        <v>20</v>
      </c>
      <c r="H960" s="2">
        <f>AVERAGE(weather.tbl[[#This Row],[Estevan]:[Kipling]])</f>
        <v>20.766666666666666</v>
      </c>
      <c r="I960" s="2">
        <f>_xlfn.STDEV.S(weather.tbl[[#This Row],[Estevan]:[Kipling]])</f>
        <v>0.85479042265731264</v>
      </c>
      <c r="J960" s="2">
        <f t="shared" si="14"/>
        <v>19.164285714285711</v>
      </c>
      <c r="K960">
        <f>DAY(weather.tbl[[#This Row],[Date]])</f>
        <v>16</v>
      </c>
      <c r="L960">
        <f>MONTH(weather.tbl[[#This Row],[Date]])</f>
        <v>8</v>
      </c>
      <c r="M960">
        <f>YEAR(weather.tbl[[#This Row],[Date]])</f>
        <v>2016</v>
      </c>
    </row>
    <row r="961" spans="1:13" x14ac:dyDescent="0.25">
      <c r="A961" s="1">
        <v>42599</v>
      </c>
      <c r="B961" s="2">
        <v>23.3</v>
      </c>
      <c r="C961" s="2">
        <v>23.5</v>
      </c>
      <c r="D961" s="2">
        <v>22.5</v>
      </c>
      <c r="E961" s="2">
        <v>22</v>
      </c>
      <c r="F961" s="2">
        <v>22.7</v>
      </c>
      <c r="G961" s="2">
        <v>20.8</v>
      </c>
      <c r="H961" s="2">
        <f>AVERAGE(weather.tbl[[#This Row],[Estevan]:[Kipling]])</f>
        <v>22.466666666666669</v>
      </c>
      <c r="I961" s="2">
        <f>_xlfn.STDEV.S(weather.tbl[[#This Row],[Estevan]:[Kipling]])</f>
        <v>0.98115578103921219</v>
      </c>
      <c r="J961" s="2">
        <f t="shared" si="14"/>
        <v>19.840476190476188</v>
      </c>
      <c r="K961">
        <f>DAY(weather.tbl[[#This Row],[Date]])</f>
        <v>17</v>
      </c>
      <c r="L961">
        <f>MONTH(weather.tbl[[#This Row],[Date]])</f>
        <v>8</v>
      </c>
      <c r="M961">
        <f>YEAR(weather.tbl[[#This Row],[Date]])</f>
        <v>2016</v>
      </c>
    </row>
    <row r="962" spans="1:13" x14ac:dyDescent="0.25">
      <c r="A962" s="1">
        <v>42600</v>
      </c>
      <c r="B962" s="2">
        <v>18</v>
      </c>
      <c r="C962" s="2">
        <v>17.7</v>
      </c>
      <c r="D962" s="2">
        <v>19</v>
      </c>
      <c r="E962" s="2">
        <v>18</v>
      </c>
      <c r="F962" s="2">
        <v>19</v>
      </c>
      <c r="G962" s="2">
        <v>17.3</v>
      </c>
      <c r="H962" s="2">
        <f>AVERAGE(weather.tbl[[#This Row],[Estevan]:[Kipling]])</f>
        <v>18.166666666666668</v>
      </c>
      <c r="I962" s="2">
        <f>_xlfn.STDEV.S(weather.tbl[[#This Row],[Estevan]:[Kipling]])</f>
        <v>0.69474215840602804</v>
      </c>
      <c r="J962" s="2">
        <f t="shared" si="14"/>
        <v>19.766666666666662</v>
      </c>
      <c r="K962">
        <f>DAY(weather.tbl[[#This Row],[Date]])</f>
        <v>18</v>
      </c>
      <c r="L962">
        <f>MONTH(weather.tbl[[#This Row],[Date]])</f>
        <v>8</v>
      </c>
      <c r="M962">
        <f>YEAR(weather.tbl[[#This Row],[Date]])</f>
        <v>2016</v>
      </c>
    </row>
    <row r="963" spans="1:13" x14ac:dyDescent="0.25">
      <c r="A963" s="1">
        <v>42601</v>
      </c>
      <c r="B963" s="2">
        <v>14.8</v>
      </c>
      <c r="C963" s="2">
        <v>13.6</v>
      </c>
      <c r="D963" s="2">
        <v>14.3</v>
      </c>
      <c r="E963" s="2">
        <v>14.8</v>
      </c>
      <c r="F963" s="2">
        <v>16.5</v>
      </c>
      <c r="G963" s="2">
        <v>12.8</v>
      </c>
      <c r="H963" s="2">
        <f>AVERAGE(weather.tbl[[#This Row],[Estevan]:[Kipling]])</f>
        <v>14.466666666666667</v>
      </c>
      <c r="I963" s="2">
        <f>_xlfn.STDEV.S(weather.tbl[[#This Row],[Estevan]:[Kipling]])</f>
        <v>1.2580408048496148</v>
      </c>
      <c r="J963" s="2">
        <f t="shared" si="14"/>
        <v>19.276190476190475</v>
      </c>
      <c r="K963">
        <f>DAY(weather.tbl[[#This Row],[Date]])</f>
        <v>19</v>
      </c>
      <c r="L963">
        <f>MONTH(weather.tbl[[#This Row],[Date]])</f>
        <v>8</v>
      </c>
      <c r="M963">
        <f>YEAR(weather.tbl[[#This Row],[Date]])</f>
        <v>2016</v>
      </c>
    </row>
    <row r="964" spans="1:13" x14ac:dyDescent="0.25">
      <c r="A964" s="1">
        <v>42602</v>
      </c>
      <c r="B964" s="2">
        <v>14.4</v>
      </c>
      <c r="C964" s="2">
        <v>14.7</v>
      </c>
      <c r="D964" s="2">
        <v>13.8</v>
      </c>
      <c r="E964" s="2">
        <v>16.3</v>
      </c>
      <c r="F964" s="2">
        <v>14.3</v>
      </c>
      <c r="G964" s="2">
        <v>13.8</v>
      </c>
      <c r="H964" s="2">
        <f>AVERAGE(weather.tbl[[#This Row],[Estevan]:[Kipling]])</f>
        <v>14.549999999999999</v>
      </c>
      <c r="I964" s="2">
        <f>_xlfn.STDEV.S(weather.tbl[[#This Row],[Estevan]:[Kipling]])</f>
        <v>0.92682252885868066</v>
      </c>
      <c r="J964" s="2">
        <f t="shared" si="14"/>
        <v>18.716666666666669</v>
      </c>
      <c r="K964">
        <f>DAY(weather.tbl[[#This Row],[Date]])</f>
        <v>20</v>
      </c>
      <c r="L964">
        <f>MONTH(weather.tbl[[#This Row],[Date]])</f>
        <v>8</v>
      </c>
      <c r="M964">
        <f>YEAR(weather.tbl[[#This Row],[Date]])</f>
        <v>2016</v>
      </c>
    </row>
    <row r="965" spans="1:13" x14ac:dyDescent="0.25">
      <c r="A965" s="1">
        <v>42603</v>
      </c>
      <c r="B965" s="2">
        <v>19</v>
      </c>
      <c r="C965" s="2">
        <v>20.3</v>
      </c>
      <c r="D965" s="2">
        <v>18.5</v>
      </c>
      <c r="E965" s="2">
        <v>20.3</v>
      </c>
      <c r="F965" s="2">
        <v>18.8</v>
      </c>
      <c r="G965" s="2">
        <v>18.3</v>
      </c>
      <c r="H965" s="2">
        <f>AVERAGE(weather.tbl[[#This Row],[Estevan]:[Kipling]])</f>
        <v>19.2</v>
      </c>
      <c r="I965" s="2">
        <f>_xlfn.STDEV.S(weather.tbl[[#This Row],[Estevan]:[Kipling]])</f>
        <v>0.88543774484714632</v>
      </c>
      <c r="J965" s="2">
        <f t="shared" si="14"/>
        <v>18.62142857142857</v>
      </c>
      <c r="K965">
        <f>DAY(weather.tbl[[#This Row],[Date]])</f>
        <v>21</v>
      </c>
      <c r="L965">
        <f>MONTH(weather.tbl[[#This Row],[Date]])</f>
        <v>8</v>
      </c>
      <c r="M965">
        <f>YEAR(weather.tbl[[#This Row],[Date]])</f>
        <v>2016</v>
      </c>
    </row>
    <row r="966" spans="1:13" x14ac:dyDescent="0.25">
      <c r="A966" s="1">
        <v>42604</v>
      </c>
      <c r="B966" s="2">
        <v>24.3</v>
      </c>
      <c r="C966" s="2">
        <v>23.8</v>
      </c>
      <c r="D966" s="2">
        <v>22</v>
      </c>
      <c r="E966" s="2">
        <v>22.8</v>
      </c>
      <c r="F966" s="2">
        <v>24</v>
      </c>
      <c r="G966" s="2">
        <v>22.3</v>
      </c>
      <c r="H966" s="2">
        <f>AVERAGE(weather.tbl[[#This Row],[Estevan]:[Kipling]])</f>
        <v>23.2</v>
      </c>
      <c r="I966" s="2">
        <f>_xlfn.STDEV.S(weather.tbl[[#This Row],[Estevan]:[Kipling]])</f>
        <v>0.9612491872558333</v>
      </c>
      <c r="J966" s="2">
        <f t="shared" si="14"/>
        <v>18.973809523809525</v>
      </c>
      <c r="K966">
        <f>DAY(weather.tbl[[#This Row],[Date]])</f>
        <v>22</v>
      </c>
      <c r="L966">
        <f>MONTH(weather.tbl[[#This Row],[Date]])</f>
        <v>8</v>
      </c>
      <c r="M966">
        <f>YEAR(weather.tbl[[#This Row],[Date]])</f>
        <v>2016</v>
      </c>
    </row>
    <row r="967" spans="1:13" x14ac:dyDescent="0.25">
      <c r="A967" s="1">
        <v>42605</v>
      </c>
      <c r="B967" s="2">
        <v>17.899999999999999</v>
      </c>
      <c r="C967" s="2">
        <v>18.3</v>
      </c>
      <c r="D967" s="2">
        <v>19</v>
      </c>
      <c r="E967" s="2">
        <v>18.5</v>
      </c>
      <c r="F967" s="2">
        <v>20.2</v>
      </c>
      <c r="G967" s="2">
        <v>17.8</v>
      </c>
      <c r="H967" s="2">
        <f>AVERAGE(weather.tbl[[#This Row],[Estevan]:[Kipling]])</f>
        <v>18.616666666666667</v>
      </c>
      <c r="I967" s="2">
        <f>_xlfn.STDEV.S(weather.tbl[[#This Row],[Estevan]:[Kipling]])</f>
        <v>0.88863190729720387</v>
      </c>
      <c r="J967" s="2">
        <f t="shared" si="14"/>
        <v>18.666666666666668</v>
      </c>
      <c r="K967">
        <f>DAY(weather.tbl[[#This Row],[Date]])</f>
        <v>23</v>
      </c>
      <c r="L967">
        <f>MONTH(weather.tbl[[#This Row],[Date]])</f>
        <v>8</v>
      </c>
      <c r="M967">
        <f>YEAR(weather.tbl[[#This Row],[Date]])</f>
        <v>2016</v>
      </c>
    </row>
    <row r="968" spans="1:13" x14ac:dyDescent="0.25">
      <c r="A968" s="1">
        <v>42606</v>
      </c>
      <c r="B968" s="2">
        <v>14.9</v>
      </c>
      <c r="C968" s="2">
        <v>14.3</v>
      </c>
      <c r="D968" s="2">
        <v>15.3</v>
      </c>
      <c r="E968" s="2">
        <v>13.8</v>
      </c>
      <c r="F968" s="2">
        <v>16.100000000000001</v>
      </c>
      <c r="G968" s="2">
        <v>13.3</v>
      </c>
      <c r="H968" s="2">
        <f>AVERAGE(weather.tbl[[#This Row],[Estevan]:[Kipling]])</f>
        <v>14.616666666666667</v>
      </c>
      <c r="I968" s="2">
        <f>_xlfn.STDEV.S(weather.tbl[[#This Row],[Estevan]:[Kipling]])</f>
        <v>1.0245324136730214</v>
      </c>
      <c r="J968" s="2">
        <f t="shared" si="14"/>
        <v>17.545238095238094</v>
      </c>
      <c r="K968">
        <f>DAY(weather.tbl[[#This Row],[Date]])</f>
        <v>24</v>
      </c>
      <c r="L968">
        <f>MONTH(weather.tbl[[#This Row],[Date]])</f>
        <v>8</v>
      </c>
      <c r="M968">
        <f>YEAR(weather.tbl[[#This Row],[Date]])</f>
        <v>2016</v>
      </c>
    </row>
    <row r="969" spans="1:13" x14ac:dyDescent="0.25">
      <c r="A969" s="1">
        <v>42607</v>
      </c>
      <c r="B969" s="2">
        <v>16.5</v>
      </c>
      <c r="C969" s="2">
        <v>15.4</v>
      </c>
      <c r="D969" s="2">
        <v>16.3</v>
      </c>
      <c r="E969" s="2">
        <v>16.3</v>
      </c>
      <c r="F969" s="2">
        <v>16.100000000000001</v>
      </c>
      <c r="G969" s="2">
        <v>14.5</v>
      </c>
      <c r="H969" s="2">
        <f>AVERAGE(weather.tbl[[#This Row],[Estevan]:[Kipling]])</f>
        <v>15.85</v>
      </c>
      <c r="I969" s="2">
        <f>_xlfn.STDEV.S(weather.tbl[[#This Row],[Estevan]:[Kipling]])</f>
        <v>0.76354436675284321</v>
      </c>
      <c r="J969" s="2">
        <f t="shared" si="14"/>
        <v>17.214285714285715</v>
      </c>
      <c r="K969">
        <f>DAY(weather.tbl[[#This Row],[Date]])</f>
        <v>25</v>
      </c>
      <c r="L969">
        <f>MONTH(weather.tbl[[#This Row],[Date]])</f>
        <v>8</v>
      </c>
      <c r="M969">
        <f>YEAR(weather.tbl[[#This Row],[Date]])</f>
        <v>2016</v>
      </c>
    </row>
    <row r="970" spans="1:13" x14ac:dyDescent="0.25">
      <c r="A970" s="1">
        <v>42608</v>
      </c>
      <c r="B970" s="2">
        <v>16.3</v>
      </c>
      <c r="C970" s="2">
        <v>16.100000000000001</v>
      </c>
      <c r="D970" s="2">
        <v>17</v>
      </c>
      <c r="E970" s="2">
        <v>17</v>
      </c>
      <c r="F970" s="2">
        <v>16.600000000000001</v>
      </c>
      <c r="G970" s="2">
        <v>15.3</v>
      </c>
      <c r="H970" s="2">
        <f>AVERAGE(weather.tbl[[#This Row],[Estevan]:[Kipling]])</f>
        <v>16.383333333333333</v>
      </c>
      <c r="I970" s="2">
        <f>_xlfn.STDEV.S(weather.tbl[[#This Row],[Estevan]:[Kipling]])</f>
        <v>0.64316923641189983</v>
      </c>
      <c r="J970" s="2">
        <f t="shared" ref="J970:J1033" si="15">AVERAGE(H964:H970)</f>
        <v>17.488095238095237</v>
      </c>
      <c r="K970">
        <f>DAY(weather.tbl[[#This Row],[Date]])</f>
        <v>26</v>
      </c>
      <c r="L970">
        <f>MONTH(weather.tbl[[#This Row],[Date]])</f>
        <v>8</v>
      </c>
      <c r="M970">
        <f>YEAR(weather.tbl[[#This Row],[Date]])</f>
        <v>2016</v>
      </c>
    </row>
    <row r="971" spans="1:13" x14ac:dyDescent="0.25">
      <c r="A971" s="1">
        <v>42609</v>
      </c>
      <c r="B971" s="2">
        <v>15.5</v>
      </c>
      <c r="C971" s="2">
        <v>15.6</v>
      </c>
      <c r="D971" s="2">
        <v>15.5</v>
      </c>
      <c r="E971" s="2">
        <v>17.5</v>
      </c>
      <c r="F971" s="2">
        <v>16.8</v>
      </c>
      <c r="G971" s="2">
        <v>14.8</v>
      </c>
      <c r="H971" s="2">
        <f>AVERAGE(weather.tbl[[#This Row],[Estevan]:[Kipling]])</f>
        <v>15.949999999999998</v>
      </c>
      <c r="I971" s="2">
        <f>_xlfn.STDEV.S(weather.tbl[[#This Row],[Estevan]:[Kipling]])</f>
        <v>0.99749686716300012</v>
      </c>
      <c r="J971" s="2">
        <f t="shared" si="15"/>
        <v>17.688095238095237</v>
      </c>
      <c r="K971">
        <f>DAY(weather.tbl[[#This Row],[Date]])</f>
        <v>27</v>
      </c>
      <c r="L971">
        <f>MONTH(weather.tbl[[#This Row],[Date]])</f>
        <v>8</v>
      </c>
      <c r="M971">
        <f>YEAR(weather.tbl[[#This Row],[Date]])</f>
        <v>2016</v>
      </c>
    </row>
    <row r="972" spans="1:13" x14ac:dyDescent="0.25">
      <c r="A972" s="1">
        <v>42610</v>
      </c>
      <c r="B972" s="2">
        <v>19.7</v>
      </c>
      <c r="C972" s="2">
        <v>18.7</v>
      </c>
      <c r="D972" s="2">
        <v>15.5</v>
      </c>
      <c r="E972" s="2">
        <v>22</v>
      </c>
      <c r="F972" s="2">
        <v>22.2</v>
      </c>
      <c r="G972" s="2">
        <v>17.3</v>
      </c>
      <c r="H972" s="2">
        <f>AVERAGE(weather.tbl[[#This Row],[Estevan]:[Kipling]])</f>
        <v>19.233333333333334</v>
      </c>
      <c r="I972" s="2">
        <f>_xlfn.STDEV.S(weather.tbl[[#This Row],[Estevan]:[Kipling]])</f>
        <v>2.6318561257535622</v>
      </c>
      <c r="J972" s="2">
        <f t="shared" si="15"/>
        <v>17.692857142857143</v>
      </c>
      <c r="K972">
        <f>DAY(weather.tbl[[#This Row],[Date]])</f>
        <v>28</v>
      </c>
      <c r="L972">
        <f>MONTH(weather.tbl[[#This Row],[Date]])</f>
        <v>8</v>
      </c>
      <c r="M972">
        <f>YEAR(weather.tbl[[#This Row],[Date]])</f>
        <v>2016</v>
      </c>
    </row>
    <row r="973" spans="1:13" x14ac:dyDescent="0.25">
      <c r="A973" s="1">
        <v>42611</v>
      </c>
      <c r="B973" s="2">
        <v>15.1</v>
      </c>
      <c r="C973" s="2">
        <v>14.5</v>
      </c>
      <c r="D973" s="2">
        <v>14.8</v>
      </c>
      <c r="E973" s="2">
        <v>15</v>
      </c>
      <c r="F973" s="2">
        <v>16.2</v>
      </c>
      <c r="G973" s="2">
        <v>14.3</v>
      </c>
      <c r="H973" s="2">
        <f>AVERAGE(weather.tbl[[#This Row],[Estevan]:[Kipling]])</f>
        <v>14.983333333333334</v>
      </c>
      <c r="I973" s="2">
        <f>_xlfn.STDEV.S(weather.tbl[[#This Row],[Estevan]:[Kipling]])</f>
        <v>0.66758270399004949</v>
      </c>
      <c r="J973" s="2">
        <f t="shared" si="15"/>
        <v>16.519047619047619</v>
      </c>
      <c r="K973">
        <f>DAY(weather.tbl[[#This Row],[Date]])</f>
        <v>29</v>
      </c>
      <c r="L973">
        <f>MONTH(weather.tbl[[#This Row],[Date]])</f>
        <v>8</v>
      </c>
      <c r="M973">
        <f>YEAR(weather.tbl[[#This Row],[Date]])</f>
        <v>2016</v>
      </c>
    </row>
    <row r="974" spans="1:13" x14ac:dyDescent="0.25">
      <c r="A974" s="1">
        <v>42612</v>
      </c>
      <c r="B974" s="2">
        <v>19.3</v>
      </c>
      <c r="C974" s="2">
        <v>19.8</v>
      </c>
      <c r="D974" s="2">
        <v>17.5</v>
      </c>
      <c r="E974" s="2">
        <v>19.8</v>
      </c>
      <c r="F974" s="2">
        <v>16.8</v>
      </c>
      <c r="G974" s="2">
        <v>16.8</v>
      </c>
      <c r="H974" s="2">
        <f>AVERAGE(weather.tbl[[#This Row],[Estevan]:[Kipling]])</f>
        <v>18.333333333333332</v>
      </c>
      <c r="I974" s="2">
        <f>_xlfn.STDEV.S(weather.tbl[[#This Row],[Estevan]:[Kipling]])</f>
        <v>1.4583095236151573</v>
      </c>
      <c r="J974" s="2">
        <f t="shared" si="15"/>
        <v>16.478571428571428</v>
      </c>
      <c r="K974">
        <f>DAY(weather.tbl[[#This Row],[Date]])</f>
        <v>30</v>
      </c>
      <c r="L974">
        <f>MONTH(weather.tbl[[#This Row],[Date]])</f>
        <v>8</v>
      </c>
      <c r="M974">
        <f>YEAR(weather.tbl[[#This Row],[Date]])</f>
        <v>2016</v>
      </c>
    </row>
    <row r="975" spans="1:13" x14ac:dyDescent="0.25">
      <c r="A975" s="1">
        <v>42613</v>
      </c>
      <c r="B975" s="2">
        <v>19.600000000000001</v>
      </c>
      <c r="C975" s="2">
        <v>20.3</v>
      </c>
      <c r="D975" s="2">
        <v>16.8</v>
      </c>
      <c r="E975" s="2">
        <v>20.5</v>
      </c>
      <c r="F975" s="2">
        <v>17.5</v>
      </c>
      <c r="G975" s="2">
        <v>16.8</v>
      </c>
      <c r="H975" s="2">
        <f>AVERAGE(weather.tbl[[#This Row],[Estevan]:[Kipling]])</f>
        <v>18.583333333333332</v>
      </c>
      <c r="I975" s="2">
        <f>_xlfn.STDEV.S(weather.tbl[[#This Row],[Estevan]:[Kipling]])</f>
        <v>1.742890319746675</v>
      </c>
      <c r="J975" s="2">
        <f t="shared" si="15"/>
        <v>17.045238095238094</v>
      </c>
      <c r="K975">
        <f>DAY(weather.tbl[[#This Row],[Date]])</f>
        <v>31</v>
      </c>
      <c r="L975">
        <f>MONTH(weather.tbl[[#This Row],[Date]])</f>
        <v>8</v>
      </c>
      <c r="M975">
        <f>YEAR(weather.tbl[[#This Row],[Date]])</f>
        <v>2016</v>
      </c>
    </row>
    <row r="976" spans="1:13" x14ac:dyDescent="0.25">
      <c r="A976" s="1">
        <v>42614</v>
      </c>
      <c r="B976" s="2">
        <v>22.8</v>
      </c>
      <c r="C976" s="2">
        <v>24.3</v>
      </c>
      <c r="D976" s="2">
        <v>22.8</v>
      </c>
      <c r="E976" s="2">
        <v>24.5</v>
      </c>
      <c r="F976" s="2">
        <v>21.8</v>
      </c>
      <c r="G976" s="2">
        <v>22</v>
      </c>
      <c r="H976" s="2">
        <f>AVERAGE(weather.tbl[[#This Row],[Estevan]:[Kipling]])</f>
        <v>23.033333333333331</v>
      </c>
      <c r="I976" s="2">
        <f>_xlfn.STDEV.S(weather.tbl[[#This Row],[Estevan]:[Kipling]])</f>
        <v>1.136075114887509</v>
      </c>
      <c r="J976" s="2">
        <f t="shared" si="15"/>
        <v>18.071428571428569</v>
      </c>
      <c r="K976">
        <f>DAY(weather.tbl[[#This Row],[Date]])</f>
        <v>1</v>
      </c>
      <c r="L976">
        <f>MONTH(weather.tbl[[#This Row],[Date]])</f>
        <v>9</v>
      </c>
      <c r="M976">
        <f>YEAR(weather.tbl[[#This Row],[Date]])</f>
        <v>2016</v>
      </c>
    </row>
    <row r="977" spans="1:13" x14ac:dyDescent="0.25">
      <c r="A977" s="1">
        <v>42615</v>
      </c>
      <c r="B977" s="2">
        <v>23.2</v>
      </c>
      <c r="C977" s="2">
        <v>25.3</v>
      </c>
      <c r="D977" s="2">
        <v>22.8</v>
      </c>
      <c r="E977" s="2">
        <v>26.5</v>
      </c>
      <c r="F977" s="2">
        <v>22.5</v>
      </c>
      <c r="G977" s="2">
        <v>21.8</v>
      </c>
      <c r="H977" s="2">
        <f>AVERAGE(weather.tbl[[#This Row],[Estevan]:[Kipling]])</f>
        <v>23.683333333333334</v>
      </c>
      <c r="I977" s="2">
        <f>_xlfn.STDEV.S(weather.tbl[[#This Row],[Estevan]:[Kipling]])</f>
        <v>1.8170488894541794</v>
      </c>
      <c r="J977" s="2">
        <f t="shared" si="15"/>
        <v>19.11428571428571</v>
      </c>
      <c r="K977">
        <f>DAY(weather.tbl[[#This Row],[Date]])</f>
        <v>2</v>
      </c>
      <c r="L977">
        <f>MONTH(weather.tbl[[#This Row],[Date]])</f>
        <v>9</v>
      </c>
      <c r="M977">
        <f>YEAR(weather.tbl[[#This Row],[Date]])</f>
        <v>2016</v>
      </c>
    </row>
    <row r="978" spans="1:13" x14ac:dyDescent="0.25">
      <c r="A978" s="1">
        <v>42616</v>
      </c>
      <c r="B978" s="2">
        <v>16</v>
      </c>
      <c r="C978" s="2">
        <v>15.7</v>
      </c>
      <c r="D978" s="2">
        <v>18.5</v>
      </c>
      <c r="E978" s="2">
        <v>18</v>
      </c>
      <c r="F978" s="2">
        <v>16.600000000000001</v>
      </c>
      <c r="G978" s="2">
        <v>16.3</v>
      </c>
      <c r="H978" s="2">
        <f>AVERAGE(weather.tbl[[#This Row],[Estevan]:[Kipling]])</f>
        <v>16.850000000000001</v>
      </c>
      <c r="I978" s="2">
        <f>_xlfn.STDEV.S(weather.tbl[[#This Row],[Estevan]:[Kipling]])</f>
        <v>1.136221809331259</v>
      </c>
      <c r="J978" s="2">
        <f t="shared" si="15"/>
        <v>19.24285714285714</v>
      </c>
      <c r="K978">
        <f>DAY(weather.tbl[[#This Row],[Date]])</f>
        <v>3</v>
      </c>
      <c r="L978">
        <f>MONTH(weather.tbl[[#This Row],[Date]])</f>
        <v>9</v>
      </c>
      <c r="M978">
        <f>YEAR(weather.tbl[[#This Row],[Date]])</f>
        <v>2016</v>
      </c>
    </row>
    <row r="979" spans="1:13" x14ac:dyDescent="0.25">
      <c r="A979" s="1">
        <v>42617</v>
      </c>
      <c r="B979" s="2">
        <v>14.3</v>
      </c>
      <c r="C979" s="2">
        <v>11.7</v>
      </c>
      <c r="D979" s="2">
        <v>13.3</v>
      </c>
      <c r="E979" s="2">
        <v>12.5</v>
      </c>
      <c r="F979" s="2">
        <v>14</v>
      </c>
      <c r="G979" s="2">
        <v>12.3</v>
      </c>
      <c r="H979" s="2">
        <f>AVERAGE(weather.tbl[[#This Row],[Estevan]:[Kipling]])</f>
        <v>13.016666666666666</v>
      </c>
      <c r="I979" s="2">
        <f>_xlfn.STDEV.S(weather.tbl[[#This Row],[Estevan]:[Kipling]])</f>
        <v>1.0206207261596578</v>
      </c>
      <c r="J979" s="2">
        <f t="shared" si="15"/>
        <v>18.354761904761908</v>
      </c>
      <c r="K979">
        <f>DAY(weather.tbl[[#This Row],[Date]])</f>
        <v>4</v>
      </c>
      <c r="L979">
        <f>MONTH(weather.tbl[[#This Row],[Date]])</f>
        <v>9</v>
      </c>
      <c r="M979">
        <f>YEAR(weather.tbl[[#This Row],[Date]])</f>
        <v>2016</v>
      </c>
    </row>
    <row r="980" spans="1:13" x14ac:dyDescent="0.25">
      <c r="A980" s="1">
        <v>42618</v>
      </c>
      <c r="B980" s="2">
        <v>11</v>
      </c>
      <c r="C980" s="2">
        <v>10.8</v>
      </c>
      <c r="D980" s="2">
        <v>10.5</v>
      </c>
      <c r="E980" s="2">
        <v>11.5</v>
      </c>
      <c r="F980" s="2">
        <v>12.4</v>
      </c>
      <c r="G980" s="2">
        <v>10.5</v>
      </c>
      <c r="H980" s="2">
        <f>AVERAGE(weather.tbl[[#This Row],[Estevan]:[Kipling]])</f>
        <v>11.116666666666665</v>
      </c>
      <c r="I980" s="2">
        <f>_xlfn.STDEV.S(weather.tbl[[#This Row],[Estevan]:[Kipling]])</f>
        <v>0.73052492542463376</v>
      </c>
      <c r="J980" s="2">
        <f t="shared" si="15"/>
        <v>17.80238095238095</v>
      </c>
      <c r="K980">
        <f>DAY(weather.tbl[[#This Row],[Date]])</f>
        <v>5</v>
      </c>
      <c r="L980">
        <f>MONTH(weather.tbl[[#This Row],[Date]])</f>
        <v>9</v>
      </c>
      <c r="M980">
        <f>YEAR(weather.tbl[[#This Row],[Date]])</f>
        <v>2016</v>
      </c>
    </row>
    <row r="981" spans="1:13" x14ac:dyDescent="0.25">
      <c r="A981" s="1">
        <v>42619</v>
      </c>
      <c r="B981" s="2">
        <v>13.2</v>
      </c>
      <c r="C981" s="2">
        <v>11.6</v>
      </c>
      <c r="D981" s="2">
        <v>10.5</v>
      </c>
      <c r="E981" s="2">
        <v>11.3</v>
      </c>
      <c r="F981" s="2">
        <v>12.9</v>
      </c>
      <c r="G981" s="2">
        <v>12</v>
      </c>
      <c r="H981" s="2">
        <f>AVERAGE(weather.tbl[[#This Row],[Estevan]:[Kipling]])</f>
        <v>11.916666666666666</v>
      </c>
      <c r="I981" s="2">
        <f>_xlfn.STDEV.S(weather.tbl[[#This Row],[Estevan]:[Kipling]])</f>
        <v>1.0107752800037535</v>
      </c>
      <c r="J981" s="2">
        <f t="shared" si="15"/>
        <v>16.885714285714286</v>
      </c>
      <c r="K981">
        <f>DAY(weather.tbl[[#This Row],[Date]])</f>
        <v>6</v>
      </c>
      <c r="L981">
        <f>MONTH(weather.tbl[[#This Row],[Date]])</f>
        <v>9</v>
      </c>
      <c r="M981">
        <f>YEAR(weather.tbl[[#This Row],[Date]])</f>
        <v>2016</v>
      </c>
    </row>
    <row r="982" spans="1:13" x14ac:dyDescent="0.25">
      <c r="A982" s="1">
        <v>42620</v>
      </c>
      <c r="B982" s="2">
        <v>12.5</v>
      </c>
      <c r="C982" s="2">
        <v>13.7</v>
      </c>
      <c r="D982" s="2">
        <v>10.5</v>
      </c>
      <c r="E982" s="2">
        <v>14.5</v>
      </c>
      <c r="F982" s="2">
        <v>12.6</v>
      </c>
      <c r="G982" s="2">
        <v>11.5</v>
      </c>
      <c r="H982" s="2">
        <f>AVERAGE(weather.tbl[[#This Row],[Estevan]:[Kipling]])</f>
        <v>12.550000000000002</v>
      </c>
      <c r="I982" s="2">
        <f>_xlfn.STDEV.S(weather.tbl[[#This Row],[Estevan]:[Kipling]])</f>
        <v>1.4446452851824634</v>
      </c>
      <c r="J982" s="2">
        <f t="shared" si="15"/>
        <v>16.023809523809526</v>
      </c>
      <c r="K982">
        <f>DAY(weather.tbl[[#This Row],[Date]])</f>
        <v>7</v>
      </c>
      <c r="L982">
        <f>MONTH(weather.tbl[[#This Row],[Date]])</f>
        <v>9</v>
      </c>
      <c r="M982">
        <f>YEAR(weather.tbl[[#This Row],[Date]])</f>
        <v>2016</v>
      </c>
    </row>
    <row r="983" spans="1:13" x14ac:dyDescent="0.25">
      <c r="A983" s="1">
        <v>42621</v>
      </c>
      <c r="B983" s="2">
        <v>13</v>
      </c>
      <c r="C983" s="2">
        <v>12.5</v>
      </c>
      <c r="D983" s="2">
        <v>12.5</v>
      </c>
      <c r="E983" s="2">
        <v>11.8</v>
      </c>
      <c r="F983" s="2">
        <v>12.4</v>
      </c>
      <c r="G983" s="2">
        <v>12</v>
      </c>
      <c r="H983" s="2">
        <f>AVERAGE(weather.tbl[[#This Row],[Estevan]:[Kipling]])</f>
        <v>12.366666666666665</v>
      </c>
      <c r="I983" s="2">
        <f>_xlfn.STDEV.S(weather.tbl[[#This Row],[Estevan]:[Kipling]])</f>
        <v>0.42268979957726271</v>
      </c>
      <c r="J983" s="2">
        <f t="shared" si="15"/>
        <v>14.499999999999998</v>
      </c>
      <c r="K983">
        <f>DAY(weather.tbl[[#This Row],[Date]])</f>
        <v>8</v>
      </c>
      <c r="L983">
        <f>MONTH(weather.tbl[[#This Row],[Date]])</f>
        <v>9</v>
      </c>
      <c r="M983">
        <f>YEAR(weather.tbl[[#This Row],[Date]])</f>
        <v>2016</v>
      </c>
    </row>
    <row r="984" spans="1:13" x14ac:dyDescent="0.25">
      <c r="A984" s="1">
        <v>42622</v>
      </c>
      <c r="B984" s="2">
        <v>13.7</v>
      </c>
      <c r="C984" s="2">
        <v>14</v>
      </c>
      <c r="D984" s="2">
        <v>14.3</v>
      </c>
      <c r="E984" s="2">
        <v>14.5</v>
      </c>
      <c r="F984" s="2">
        <v>15</v>
      </c>
      <c r="G984" s="2">
        <v>13.3</v>
      </c>
      <c r="H984" s="2">
        <f>AVERAGE(weather.tbl[[#This Row],[Estevan]:[Kipling]])</f>
        <v>14.133333333333333</v>
      </c>
      <c r="I984" s="2">
        <f>_xlfn.STDEV.S(weather.tbl[[#This Row],[Estevan]:[Kipling]])</f>
        <v>0.60221812216726478</v>
      </c>
      <c r="J984" s="2">
        <f t="shared" si="15"/>
        <v>13.135714285714284</v>
      </c>
      <c r="K984">
        <f>DAY(weather.tbl[[#This Row],[Date]])</f>
        <v>9</v>
      </c>
      <c r="L984">
        <f>MONTH(weather.tbl[[#This Row],[Date]])</f>
        <v>9</v>
      </c>
      <c r="M984">
        <f>YEAR(weather.tbl[[#This Row],[Date]])</f>
        <v>2016</v>
      </c>
    </row>
    <row r="985" spans="1:13" x14ac:dyDescent="0.25">
      <c r="A985" s="1">
        <v>42623</v>
      </c>
      <c r="B985" s="2">
        <v>13.2</v>
      </c>
      <c r="C985" s="2">
        <v>13.6</v>
      </c>
      <c r="D985" s="2">
        <v>13</v>
      </c>
      <c r="E985" s="2">
        <v>14.5</v>
      </c>
      <c r="F985" s="2">
        <v>13.1</v>
      </c>
      <c r="G985" s="2">
        <v>11.8</v>
      </c>
      <c r="H985" s="2">
        <f>AVERAGE(weather.tbl[[#This Row],[Estevan]:[Kipling]])</f>
        <v>13.199999999999998</v>
      </c>
      <c r="I985" s="2">
        <f>_xlfn.STDEV.S(weather.tbl[[#This Row],[Estevan]:[Kipling]])</f>
        <v>0.8786353054595516</v>
      </c>
      <c r="J985" s="2">
        <f t="shared" si="15"/>
        <v>12.614285714285714</v>
      </c>
      <c r="K985">
        <f>DAY(weather.tbl[[#This Row],[Date]])</f>
        <v>10</v>
      </c>
      <c r="L985">
        <f>MONTH(weather.tbl[[#This Row],[Date]])</f>
        <v>9</v>
      </c>
      <c r="M985">
        <f>YEAR(weather.tbl[[#This Row],[Date]])</f>
        <v>2016</v>
      </c>
    </row>
    <row r="986" spans="1:13" x14ac:dyDescent="0.25">
      <c r="A986" s="1">
        <v>42624</v>
      </c>
      <c r="B986" s="2">
        <v>13.9</v>
      </c>
      <c r="C986" s="2">
        <v>12.4</v>
      </c>
      <c r="D986" s="2">
        <v>13.8</v>
      </c>
      <c r="E986" s="2">
        <v>13</v>
      </c>
      <c r="F986" s="2">
        <v>16.5</v>
      </c>
      <c r="G986" s="2">
        <v>12.8</v>
      </c>
      <c r="H986" s="2">
        <f>AVERAGE(weather.tbl[[#This Row],[Estevan]:[Kipling]])</f>
        <v>13.733333333333333</v>
      </c>
      <c r="I986" s="2">
        <f>_xlfn.STDEV.S(weather.tbl[[#This Row],[Estevan]:[Kipling]])</f>
        <v>1.4746751054610863</v>
      </c>
      <c r="J986" s="2">
        <f t="shared" si="15"/>
        <v>12.716666666666667</v>
      </c>
      <c r="K986">
        <f>DAY(weather.tbl[[#This Row],[Date]])</f>
        <v>11</v>
      </c>
      <c r="L986">
        <f>MONTH(weather.tbl[[#This Row],[Date]])</f>
        <v>9</v>
      </c>
      <c r="M986">
        <f>YEAR(weather.tbl[[#This Row],[Date]])</f>
        <v>2016</v>
      </c>
    </row>
    <row r="987" spans="1:13" x14ac:dyDescent="0.25">
      <c r="A987" s="1">
        <v>42625</v>
      </c>
      <c r="B987" s="2">
        <v>8</v>
      </c>
      <c r="C987" s="2">
        <v>5.6</v>
      </c>
      <c r="D987" s="2">
        <v>8.3000000000000007</v>
      </c>
      <c r="E987" s="2">
        <v>7.5</v>
      </c>
      <c r="F987" s="2">
        <v>9.8000000000000007</v>
      </c>
      <c r="G987" s="2">
        <v>6.3</v>
      </c>
      <c r="H987" s="2">
        <f>AVERAGE(weather.tbl[[#This Row],[Estevan]:[Kipling]])</f>
        <v>7.583333333333333</v>
      </c>
      <c r="I987" s="2">
        <f>_xlfn.STDEV.S(weather.tbl[[#This Row],[Estevan]:[Kipling]])</f>
        <v>1.4958832396502966</v>
      </c>
      <c r="J987" s="2">
        <f t="shared" si="15"/>
        <v>12.211904761904762</v>
      </c>
      <c r="K987">
        <f>DAY(weather.tbl[[#This Row],[Date]])</f>
        <v>12</v>
      </c>
      <c r="L987">
        <f>MONTH(weather.tbl[[#This Row],[Date]])</f>
        <v>9</v>
      </c>
      <c r="M987">
        <f>YEAR(weather.tbl[[#This Row],[Date]])</f>
        <v>2016</v>
      </c>
    </row>
    <row r="988" spans="1:13" x14ac:dyDescent="0.25">
      <c r="A988" s="1">
        <v>42626</v>
      </c>
      <c r="B988" s="2">
        <v>5.9</v>
      </c>
      <c r="C988" s="2">
        <v>6.7</v>
      </c>
      <c r="D988" s="2">
        <v>7.5</v>
      </c>
      <c r="E988" s="2">
        <v>8</v>
      </c>
      <c r="F988" s="2">
        <v>8.1999999999999993</v>
      </c>
      <c r="G988" s="2">
        <v>8</v>
      </c>
      <c r="H988" s="2">
        <f>AVERAGE(weather.tbl[[#This Row],[Estevan]:[Kipling]])</f>
        <v>7.3833333333333329</v>
      </c>
      <c r="I988" s="2">
        <f>_xlfn.STDEV.S(weather.tbl[[#This Row],[Estevan]:[Kipling]])</f>
        <v>0.90645830939247818</v>
      </c>
      <c r="J988" s="2">
        <f t="shared" si="15"/>
        <v>11.564285714285713</v>
      </c>
      <c r="K988">
        <f>DAY(weather.tbl[[#This Row],[Date]])</f>
        <v>13</v>
      </c>
      <c r="L988">
        <f>MONTH(weather.tbl[[#This Row],[Date]])</f>
        <v>9</v>
      </c>
      <c r="M988">
        <f>YEAR(weather.tbl[[#This Row],[Date]])</f>
        <v>2016</v>
      </c>
    </row>
    <row r="989" spans="1:13" x14ac:dyDescent="0.25">
      <c r="A989" s="1">
        <v>42627</v>
      </c>
      <c r="B989" s="2">
        <v>11.9</v>
      </c>
      <c r="C989" s="2">
        <v>11.2</v>
      </c>
      <c r="D989" s="2">
        <v>10.3</v>
      </c>
      <c r="E989" s="2">
        <v>11.8</v>
      </c>
      <c r="F989" s="2">
        <v>10.7</v>
      </c>
      <c r="G989" s="2">
        <v>11.5</v>
      </c>
      <c r="H989" s="2">
        <f>AVERAGE(weather.tbl[[#This Row],[Estevan]:[Kipling]])</f>
        <v>11.233333333333334</v>
      </c>
      <c r="I989" s="2">
        <f>_xlfn.STDEV.S(weather.tbl[[#This Row],[Estevan]:[Kipling]])</f>
        <v>0.63140055960275077</v>
      </c>
      <c r="J989" s="2">
        <f t="shared" si="15"/>
        <v>11.376190476190477</v>
      </c>
      <c r="K989">
        <f>DAY(weather.tbl[[#This Row],[Date]])</f>
        <v>14</v>
      </c>
      <c r="L989">
        <f>MONTH(weather.tbl[[#This Row],[Date]])</f>
        <v>9</v>
      </c>
      <c r="M989">
        <f>YEAR(weather.tbl[[#This Row],[Date]])</f>
        <v>2016</v>
      </c>
    </row>
    <row r="990" spans="1:13" x14ac:dyDescent="0.25">
      <c r="A990" s="1">
        <v>42628</v>
      </c>
      <c r="B990" s="2">
        <v>14.5</v>
      </c>
      <c r="C990" s="2">
        <v>15.8</v>
      </c>
      <c r="D990" s="2">
        <v>10.3</v>
      </c>
      <c r="E990" s="2">
        <v>15.5</v>
      </c>
      <c r="F990" s="2">
        <v>14.5</v>
      </c>
      <c r="G990" s="2">
        <v>15.3</v>
      </c>
      <c r="H990" s="2">
        <f>AVERAGE(weather.tbl[[#This Row],[Estevan]:[Kipling]])</f>
        <v>14.316666666666665</v>
      </c>
      <c r="I990" s="2">
        <f>_xlfn.STDEV.S(weather.tbl[[#This Row],[Estevan]:[Kipling]])</f>
        <v>2.0380546279888407</v>
      </c>
      <c r="J990" s="2">
        <f t="shared" si="15"/>
        <v>11.654761904761903</v>
      </c>
      <c r="K990">
        <f>DAY(weather.tbl[[#This Row],[Date]])</f>
        <v>15</v>
      </c>
      <c r="L990">
        <f>MONTH(weather.tbl[[#This Row],[Date]])</f>
        <v>9</v>
      </c>
      <c r="M990">
        <f>YEAR(weather.tbl[[#This Row],[Date]])</f>
        <v>2016</v>
      </c>
    </row>
    <row r="991" spans="1:13" x14ac:dyDescent="0.25">
      <c r="A991" s="1">
        <v>42629</v>
      </c>
      <c r="B991" s="2">
        <v>14.1</v>
      </c>
      <c r="C991" s="2">
        <v>14.2</v>
      </c>
      <c r="D991" s="2">
        <v>10.3</v>
      </c>
      <c r="E991" s="2">
        <v>14.5</v>
      </c>
      <c r="F991" s="2">
        <v>11.5</v>
      </c>
      <c r="G991" s="2">
        <v>13.3</v>
      </c>
      <c r="H991" s="2">
        <f>AVERAGE(weather.tbl[[#This Row],[Estevan]:[Kipling]])</f>
        <v>12.983333333333333</v>
      </c>
      <c r="I991" s="2">
        <f>_xlfn.STDEV.S(weather.tbl[[#This Row],[Estevan]:[Kipling]])</f>
        <v>1.7046016152364478</v>
      </c>
      <c r="J991" s="2">
        <f t="shared" si="15"/>
        <v>11.490476190476191</v>
      </c>
      <c r="K991">
        <f>DAY(weather.tbl[[#This Row],[Date]])</f>
        <v>16</v>
      </c>
      <c r="L991">
        <f>MONTH(weather.tbl[[#This Row],[Date]])</f>
        <v>9</v>
      </c>
      <c r="M991">
        <f>YEAR(weather.tbl[[#This Row],[Date]])</f>
        <v>2016</v>
      </c>
    </row>
    <row r="992" spans="1:13" x14ac:dyDescent="0.25">
      <c r="A992" s="1">
        <v>42630</v>
      </c>
      <c r="B992" s="2">
        <v>16.399999999999999</v>
      </c>
      <c r="C992" s="2">
        <v>17.5</v>
      </c>
      <c r="D992" s="2">
        <v>10.3</v>
      </c>
      <c r="E992" s="2">
        <v>16.5</v>
      </c>
      <c r="F992" s="2">
        <v>13.3</v>
      </c>
      <c r="G992" s="2">
        <v>15.3</v>
      </c>
      <c r="H992" s="2">
        <f>AVERAGE(weather.tbl[[#This Row],[Estevan]:[Kipling]])</f>
        <v>14.883333333333333</v>
      </c>
      <c r="I992" s="2">
        <f>_xlfn.STDEV.S(weather.tbl[[#This Row],[Estevan]:[Kipling]])</f>
        <v>2.662642797422647</v>
      </c>
      <c r="J992" s="2">
        <f t="shared" si="15"/>
        <v>11.730952380952383</v>
      </c>
      <c r="K992">
        <f>DAY(weather.tbl[[#This Row],[Date]])</f>
        <v>17</v>
      </c>
      <c r="L992">
        <f>MONTH(weather.tbl[[#This Row],[Date]])</f>
        <v>9</v>
      </c>
      <c r="M992">
        <f>YEAR(weather.tbl[[#This Row],[Date]])</f>
        <v>2016</v>
      </c>
    </row>
    <row r="993" spans="1:13" x14ac:dyDescent="0.25">
      <c r="A993" s="1">
        <v>42631</v>
      </c>
      <c r="B993" s="2">
        <v>16.5</v>
      </c>
      <c r="C993" s="2">
        <v>16.2</v>
      </c>
      <c r="D993" s="2">
        <v>19</v>
      </c>
      <c r="E993" s="2">
        <v>16.5</v>
      </c>
      <c r="F993" s="2">
        <v>18.399999999999999</v>
      </c>
      <c r="G993" s="2">
        <v>17.5</v>
      </c>
      <c r="H993" s="2">
        <f>AVERAGE(weather.tbl[[#This Row],[Estevan]:[Kipling]])</f>
        <v>17.349999999999998</v>
      </c>
      <c r="I993" s="2">
        <f>_xlfn.STDEV.S(weather.tbl[[#This Row],[Estevan]:[Kipling]])</f>
        <v>1.1502173707608487</v>
      </c>
      <c r="J993" s="2">
        <f t="shared" si="15"/>
        <v>12.247619047619045</v>
      </c>
      <c r="K993">
        <f>DAY(weather.tbl[[#This Row],[Date]])</f>
        <v>18</v>
      </c>
      <c r="L993">
        <f>MONTH(weather.tbl[[#This Row],[Date]])</f>
        <v>9</v>
      </c>
      <c r="M993">
        <f>YEAR(weather.tbl[[#This Row],[Date]])</f>
        <v>2016</v>
      </c>
    </row>
    <row r="994" spans="1:13" x14ac:dyDescent="0.25">
      <c r="A994" s="1">
        <v>42632</v>
      </c>
      <c r="B994" s="2">
        <v>13.7</v>
      </c>
      <c r="C994" s="2">
        <v>13.6</v>
      </c>
      <c r="D994" s="2">
        <v>14.3</v>
      </c>
      <c r="E994" s="2">
        <v>14.5</v>
      </c>
      <c r="F994" s="2">
        <v>14.5</v>
      </c>
      <c r="G994" s="2">
        <v>12.8</v>
      </c>
      <c r="H994" s="2">
        <f>AVERAGE(weather.tbl[[#This Row],[Estevan]:[Kipling]])</f>
        <v>13.899999999999999</v>
      </c>
      <c r="I994" s="2">
        <f>_xlfn.STDEV.S(weather.tbl[[#This Row],[Estevan]:[Kipling]])</f>
        <v>0.66633324995830723</v>
      </c>
      <c r="J994" s="2">
        <f t="shared" si="15"/>
        <v>13.149999999999997</v>
      </c>
      <c r="K994">
        <f>DAY(weather.tbl[[#This Row],[Date]])</f>
        <v>19</v>
      </c>
      <c r="L994">
        <f>MONTH(weather.tbl[[#This Row],[Date]])</f>
        <v>9</v>
      </c>
      <c r="M994">
        <f>YEAR(weather.tbl[[#This Row],[Date]])</f>
        <v>2016</v>
      </c>
    </row>
    <row r="995" spans="1:13" x14ac:dyDescent="0.25">
      <c r="A995" s="1">
        <v>42633</v>
      </c>
      <c r="B995" s="2">
        <v>11.7</v>
      </c>
      <c r="C995" s="2">
        <v>11.6</v>
      </c>
      <c r="D995" s="2">
        <v>10.5</v>
      </c>
      <c r="E995" s="2">
        <v>12.3</v>
      </c>
      <c r="F995" s="2">
        <v>11.8</v>
      </c>
      <c r="G995" s="2">
        <v>10.8</v>
      </c>
      <c r="H995" s="2">
        <f>AVERAGE(weather.tbl[[#This Row],[Estevan]:[Kipling]])</f>
        <v>11.449999999999998</v>
      </c>
      <c r="I995" s="2">
        <f>_xlfn.STDEV.S(weather.tbl[[#This Row],[Estevan]:[Kipling]])</f>
        <v>0.67156533561523268</v>
      </c>
      <c r="J995" s="2">
        <f t="shared" si="15"/>
        <v>13.730952380952379</v>
      </c>
      <c r="K995">
        <f>DAY(weather.tbl[[#This Row],[Date]])</f>
        <v>20</v>
      </c>
      <c r="L995">
        <f>MONTH(weather.tbl[[#This Row],[Date]])</f>
        <v>9</v>
      </c>
      <c r="M995">
        <f>YEAR(weather.tbl[[#This Row],[Date]])</f>
        <v>2016</v>
      </c>
    </row>
    <row r="996" spans="1:13" x14ac:dyDescent="0.25">
      <c r="A996" s="1">
        <v>42634</v>
      </c>
      <c r="B996" s="2">
        <v>10.8</v>
      </c>
      <c r="C996" s="2">
        <v>10.4</v>
      </c>
      <c r="D996" s="2">
        <v>10.5</v>
      </c>
      <c r="E996" s="2">
        <v>10</v>
      </c>
      <c r="F996" s="2">
        <v>11.9</v>
      </c>
      <c r="G996" s="2">
        <v>11.3</v>
      </c>
      <c r="H996" s="2">
        <f>AVERAGE(weather.tbl[[#This Row],[Estevan]:[Kipling]])</f>
        <v>10.816666666666668</v>
      </c>
      <c r="I996" s="2">
        <f>_xlfn.STDEV.S(weather.tbl[[#This Row],[Estevan]:[Kipling]])</f>
        <v>0.68532230860133747</v>
      </c>
      <c r="J996" s="2">
        <f t="shared" si="15"/>
        <v>13.671428571428573</v>
      </c>
      <c r="K996">
        <f>DAY(weather.tbl[[#This Row],[Date]])</f>
        <v>21</v>
      </c>
      <c r="L996">
        <f>MONTH(weather.tbl[[#This Row],[Date]])</f>
        <v>9</v>
      </c>
      <c r="M996">
        <f>YEAR(weather.tbl[[#This Row],[Date]])</f>
        <v>2016</v>
      </c>
    </row>
    <row r="997" spans="1:13" x14ac:dyDescent="0.25">
      <c r="A997" s="1">
        <v>42635</v>
      </c>
      <c r="B997" s="2">
        <v>12.5</v>
      </c>
      <c r="C997" s="2">
        <v>11.7</v>
      </c>
      <c r="D997" s="2">
        <v>10.5</v>
      </c>
      <c r="E997" s="2">
        <v>11</v>
      </c>
      <c r="F997" s="2">
        <v>11</v>
      </c>
      <c r="G997" s="2">
        <v>10.3</v>
      </c>
      <c r="H997" s="2">
        <f>AVERAGE(weather.tbl[[#This Row],[Estevan]:[Kipling]])</f>
        <v>11.166666666666666</v>
      </c>
      <c r="I997" s="2">
        <f>_xlfn.STDEV.S(weather.tbl[[#This Row],[Estevan]:[Kipling]])</f>
        <v>0.81404340588611512</v>
      </c>
      <c r="J997" s="2">
        <f t="shared" si="15"/>
        <v>13.221428571428572</v>
      </c>
      <c r="K997">
        <f>DAY(weather.tbl[[#This Row],[Date]])</f>
        <v>22</v>
      </c>
      <c r="L997">
        <f>MONTH(weather.tbl[[#This Row],[Date]])</f>
        <v>9</v>
      </c>
      <c r="M997">
        <f>YEAR(weather.tbl[[#This Row],[Date]])</f>
        <v>2016</v>
      </c>
    </row>
    <row r="998" spans="1:13" x14ac:dyDescent="0.25">
      <c r="A998" s="1">
        <v>42636</v>
      </c>
      <c r="B998" s="2">
        <v>10.3</v>
      </c>
      <c r="C998" s="2">
        <v>9.9</v>
      </c>
      <c r="D998" s="2">
        <v>10.3</v>
      </c>
      <c r="E998" s="2">
        <v>9.8000000000000007</v>
      </c>
      <c r="F998" s="2">
        <v>11.5</v>
      </c>
      <c r="G998" s="2">
        <v>9.5</v>
      </c>
      <c r="H998" s="2">
        <f>AVERAGE(weather.tbl[[#This Row],[Estevan]:[Kipling]])</f>
        <v>10.216666666666667</v>
      </c>
      <c r="I998" s="2">
        <f>_xlfn.STDEV.S(weather.tbl[[#This Row],[Estevan]:[Kipling]])</f>
        <v>0.69976186425573839</v>
      </c>
      <c r="J998" s="2">
        <f t="shared" si="15"/>
        <v>12.826190476190476</v>
      </c>
      <c r="K998">
        <f>DAY(weather.tbl[[#This Row],[Date]])</f>
        <v>23</v>
      </c>
      <c r="L998">
        <f>MONTH(weather.tbl[[#This Row],[Date]])</f>
        <v>9</v>
      </c>
      <c r="M998">
        <f>YEAR(weather.tbl[[#This Row],[Date]])</f>
        <v>2016</v>
      </c>
    </row>
    <row r="999" spans="1:13" x14ac:dyDescent="0.25">
      <c r="A999" s="1">
        <v>42637</v>
      </c>
      <c r="B999" s="2">
        <v>12.2</v>
      </c>
      <c r="C999" s="2">
        <v>11.1</v>
      </c>
      <c r="D999" s="2">
        <v>13.5</v>
      </c>
      <c r="E999" s="2">
        <v>11.5</v>
      </c>
      <c r="F999" s="2">
        <v>18.100000000000001</v>
      </c>
      <c r="G999" s="2">
        <v>11.5</v>
      </c>
      <c r="H999" s="2">
        <f>AVERAGE(weather.tbl[[#This Row],[Estevan]:[Kipling]])</f>
        <v>12.983333333333334</v>
      </c>
      <c r="I999" s="2">
        <f>_xlfn.STDEV.S(weather.tbl[[#This Row],[Estevan]:[Kipling]])</f>
        <v>2.6460662627127585</v>
      </c>
      <c r="J999" s="2">
        <f t="shared" si="15"/>
        <v>12.554761904761905</v>
      </c>
      <c r="K999">
        <f>DAY(weather.tbl[[#This Row],[Date]])</f>
        <v>24</v>
      </c>
      <c r="L999">
        <f>MONTH(weather.tbl[[#This Row],[Date]])</f>
        <v>9</v>
      </c>
      <c r="M999">
        <f>YEAR(weather.tbl[[#This Row],[Date]])</f>
        <v>2016</v>
      </c>
    </row>
    <row r="1000" spans="1:13" x14ac:dyDescent="0.25">
      <c r="A1000" s="1">
        <v>42638</v>
      </c>
      <c r="B1000" s="2">
        <v>10.5</v>
      </c>
      <c r="C1000" s="2">
        <v>11.1</v>
      </c>
      <c r="D1000" s="2">
        <v>11.3</v>
      </c>
      <c r="E1000" s="2">
        <v>11.5</v>
      </c>
      <c r="F1000" s="2">
        <v>11.7</v>
      </c>
      <c r="G1000" s="2">
        <v>10.8</v>
      </c>
      <c r="H1000" s="2">
        <f>AVERAGE(weather.tbl[[#This Row],[Estevan]:[Kipling]])</f>
        <v>11.15</v>
      </c>
      <c r="I1000" s="2">
        <f>_xlfn.STDEV.S(weather.tbl[[#This Row],[Estevan]:[Kipling]])</f>
        <v>0.44609416046390898</v>
      </c>
      <c r="J1000" s="2">
        <f t="shared" si="15"/>
        <v>11.669047619047619</v>
      </c>
      <c r="K1000">
        <f>DAY(weather.tbl[[#This Row],[Date]])</f>
        <v>25</v>
      </c>
      <c r="L1000">
        <f>MONTH(weather.tbl[[#This Row],[Date]])</f>
        <v>9</v>
      </c>
      <c r="M1000">
        <f>YEAR(weather.tbl[[#This Row],[Date]])</f>
        <v>2016</v>
      </c>
    </row>
    <row r="1001" spans="1:13" x14ac:dyDescent="0.25">
      <c r="A1001" s="1">
        <v>42639</v>
      </c>
      <c r="B1001" s="2">
        <v>10.199999999999999</v>
      </c>
      <c r="C1001" s="2">
        <v>9.9</v>
      </c>
      <c r="D1001" s="2">
        <v>9.8000000000000007</v>
      </c>
      <c r="E1001" s="2">
        <v>12.5</v>
      </c>
      <c r="F1001" s="2">
        <v>10.8</v>
      </c>
      <c r="G1001" s="2">
        <v>9.5</v>
      </c>
      <c r="H1001" s="2">
        <f>AVERAGE(weather.tbl[[#This Row],[Estevan]:[Kipling]])</f>
        <v>10.450000000000001</v>
      </c>
      <c r="I1001" s="2">
        <f>_xlfn.STDEV.S(weather.tbl[[#This Row],[Estevan]:[Kipling]])</f>
        <v>1.0968135666557011</v>
      </c>
      <c r="J1001" s="2">
        <f t="shared" si="15"/>
        <v>11.176190476190476</v>
      </c>
      <c r="K1001">
        <f>DAY(weather.tbl[[#This Row],[Date]])</f>
        <v>26</v>
      </c>
      <c r="L1001">
        <f>MONTH(weather.tbl[[#This Row],[Date]])</f>
        <v>9</v>
      </c>
      <c r="M1001">
        <f>YEAR(weather.tbl[[#This Row],[Date]])</f>
        <v>2016</v>
      </c>
    </row>
    <row r="1002" spans="1:13" x14ac:dyDescent="0.25">
      <c r="A1002" s="1">
        <v>42640</v>
      </c>
      <c r="B1002" s="2">
        <v>12.8</v>
      </c>
      <c r="C1002" s="2">
        <v>13.7</v>
      </c>
      <c r="D1002" s="2">
        <v>11</v>
      </c>
      <c r="E1002" s="2">
        <v>15</v>
      </c>
      <c r="F1002" s="2">
        <v>11</v>
      </c>
      <c r="G1002" s="2">
        <v>11.8</v>
      </c>
      <c r="H1002" s="2">
        <f>AVERAGE(weather.tbl[[#This Row],[Estevan]:[Kipling]])</f>
        <v>12.549999999999999</v>
      </c>
      <c r="I1002" s="2">
        <f>_xlfn.STDEV.S(weather.tbl[[#This Row],[Estevan]:[Kipling]])</f>
        <v>1.5971850237214291</v>
      </c>
      <c r="J1002" s="2">
        <f t="shared" si="15"/>
        <v>11.333333333333332</v>
      </c>
      <c r="K1002">
        <f>DAY(weather.tbl[[#This Row],[Date]])</f>
        <v>27</v>
      </c>
      <c r="L1002">
        <f>MONTH(weather.tbl[[#This Row],[Date]])</f>
        <v>9</v>
      </c>
      <c r="M1002">
        <f>YEAR(weather.tbl[[#This Row],[Date]])</f>
        <v>2016</v>
      </c>
    </row>
    <row r="1003" spans="1:13" x14ac:dyDescent="0.25">
      <c r="A1003" s="1">
        <v>42641</v>
      </c>
      <c r="B1003" s="2">
        <v>13.1</v>
      </c>
      <c r="C1003" s="2">
        <v>14</v>
      </c>
      <c r="D1003" s="2">
        <v>11.8</v>
      </c>
      <c r="E1003" s="2">
        <v>15.8</v>
      </c>
      <c r="F1003" s="2">
        <v>10.8</v>
      </c>
      <c r="G1003" s="2">
        <v>13</v>
      </c>
      <c r="H1003" s="2">
        <f>AVERAGE(weather.tbl[[#This Row],[Estevan]:[Kipling]])</f>
        <v>13.083333333333334</v>
      </c>
      <c r="I1003" s="2">
        <f>_xlfn.STDEV.S(weather.tbl[[#This Row],[Estevan]:[Kipling]])</f>
        <v>1.7371432487468248</v>
      </c>
      <c r="J1003" s="2">
        <f t="shared" si="15"/>
        <v>11.657142857142857</v>
      </c>
      <c r="K1003">
        <f>DAY(weather.tbl[[#This Row],[Date]])</f>
        <v>28</v>
      </c>
      <c r="L1003">
        <f>MONTH(weather.tbl[[#This Row],[Date]])</f>
        <v>9</v>
      </c>
      <c r="M1003">
        <f>YEAR(weather.tbl[[#This Row],[Date]])</f>
        <v>2016</v>
      </c>
    </row>
    <row r="1004" spans="1:13" x14ac:dyDescent="0.25">
      <c r="A1004" s="1">
        <v>42642</v>
      </c>
      <c r="B1004" s="2">
        <v>14.7</v>
      </c>
      <c r="C1004" s="2">
        <v>16.8</v>
      </c>
      <c r="D1004" s="2">
        <v>13.3</v>
      </c>
      <c r="E1004" s="2">
        <v>18</v>
      </c>
      <c r="F1004" s="2">
        <v>13.7</v>
      </c>
      <c r="G1004" s="2">
        <v>14.8</v>
      </c>
      <c r="H1004" s="2">
        <f>AVERAGE(weather.tbl[[#This Row],[Estevan]:[Kipling]])</f>
        <v>15.216666666666667</v>
      </c>
      <c r="I1004" s="2">
        <f>_xlfn.STDEV.S(weather.tbl[[#This Row],[Estevan]:[Kipling]])</f>
        <v>1.8258331431614183</v>
      </c>
      <c r="J1004" s="2">
        <f t="shared" si="15"/>
        <v>12.235714285714286</v>
      </c>
      <c r="K1004">
        <f>DAY(weather.tbl[[#This Row],[Date]])</f>
        <v>29</v>
      </c>
      <c r="L1004">
        <f>MONTH(weather.tbl[[#This Row],[Date]])</f>
        <v>9</v>
      </c>
      <c r="M1004">
        <f>YEAR(weather.tbl[[#This Row],[Date]])</f>
        <v>2016</v>
      </c>
    </row>
    <row r="1005" spans="1:13" x14ac:dyDescent="0.25">
      <c r="A1005" s="1">
        <v>42643</v>
      </c>
      <c r="B1005" s="2">
        <v>11.7</v>
      </c>
      <c r="C1005" s="2">
        <v>12</v>
      </c>
      <c r="D1005" s="2">
        <v>12</v>
      </c>
      <c r="E1005" s="2">
        <v>13.8</v>
      </c>
      <c r="F1005" s="2">
        <v>14</v>
      </c>
      <c r="G1005" s="2">
        <v>14.3</v>
      </c>
      <c r="H1005" s="2">
        <f>AVERAGE(weather.tbl[[#This Row],[Estevan]:[Kipling]])</f>
        <v>12.966666666666667</v>
      </c>
      <c r="I1005" s="2">
        <f>_xlfn.STDEV.S(weather.tbl[[#This Row],[Estevan]:[Kipling]])</f>
        <v>1.1843422928641314</v>
      </c>
      <c r="J1005" s="2">
        <f t="shared" si="15"/>
        <v>12.62857142857143</v>
      </c>
      <c r="K1005">
        <f>DAY(weather.tbl[[#This Row],[Date]])</f>
        <v>30</v>
      </c>
      <c r="L1005">
        <f>MONTH(weather.tbl[[#This Row],[Date]])</f>
        <v>9</v>
      </c>
      <c r="M1005">
        <f>YEAR(weather.tbl[[#This Row],[Date]])</f>
        <v>2016</v>
      </c>
    </row>
    <row r="1006" spans="1:13" x14ac:dyDescent="0.25">
      <c r="A1006" s="1">
        <v>42644</v>
      </c>
      <c r="B1006" s="2">
        <v>14.1</v>
      </c>
      <c r="C1006" s="2">
        <v>14.9</v>
      </c>
      <c r="D1006" s="2">
        <v>14.3</v>
      </c>
      <c r="E1006" s="2">
        <v>14.5</v>
      </c>
      <c r="F1006" s="2">
        <v>17.600000000000001</v>
      </c>
      <c r="G1006" s="2">
        <v>13.5</v>
      </c>
      <c r="H1006" s="2">
        <f>AVERAGE(weather.tbl[[#This Row],[Estevan]:[Kipling]])</f>
        <v>14.816666666666668</v>
      </c>
      <c r="I1006" s="2">
        <f>_xlfn.STDEV.S(weather.tbl[[#This Row],[Estevan]:[Kipling]])</f>
        <v>1.4400231479620973</v>
      </c>
      <c r="J1006" s="2">
        <f t="shared" si="15"/>
        <v>12.890476190476191</v>
      </c>
      <c r="K1006">
        <f>DAY(weather.tbl[[#This Row],[Date]])</f>
        <v>1</v>
      </c>
      <c r="L1006">
        <f>MONTH(weather.tbl[[#This Row],[Date]])</f>
        <v>10</v>
      </c>
      <c r="M1006">
        <f>YEAR(weather.tbl[[#This Row],[Date]])</f>
        <v>2016</v>
      </c>
    </row>
    <row r="1007" spans="1:13" x14ac:dyDescent="0.25">
      <c r="A1007" s="1">
        <v>42645</v>
      </c>
      <c r="B1007" s="2">
        <v>13.7</v>
      </c>
      <c r="C1007" s="2">
        <v>14.5</v>
      </c>
      <c r="D1007" s="2">
        <v>14.3</v>
      </c>
      <c r="E1007" s="2">
        <v>14.5</v>
      </c>
      <c r="F1007" s="2">
        <v>14.7</v>
      </c>
      <c r="G1007" s="2">
        <v>13.3</v>
      </c>
      <c r="H1007" s="2">
        <f>AVERAGE(weather.tbl[[#This Row],[Estevan]:[Kipling]])</f>
        <v>14.166666666666666</v>
      </c>
      <c r="I1007" s="2">
        <f>_xlfn.STDEV.S(weather.tbl[[#This Row],[Estevan]:[Kipling]])</f>
        <v>0.54650404085117843</v>
      </c>
      <c r="J1007" s="2">
        <f t="shared" si="15"/>
        <v>13.321428571428571</v>
      </c>
      <c r="K1007">
        <f>DAY(weather.tbl[[#This Row],[Date]])</f>
        <v>2</v>
      </c>
      <c r="L1007">
        <f>MONTH(weather.tbl[[#This Row],[Date]])</f>
        <v>10</v>
      </c>
      <c r="M1007">
        <f>YEAR(weather.tbl[[#This Row],[Date]])</f>
        <v>2016</v>
      </c>
    </row>
    <row r="1008" spans="1:13" x14ac:dyDescent="0.25">
      <c r="A1008" s="1">
        <v>42646</v>
      </c>
      <c r="B1008" s="2">
        <v>10</v>
      </c>
      <c r="C1008" s="2">
        <v>9.6999999999999993</v>
      </c>
      <c r="D1008" s="2">
        <v>10.3</v>
      </c>
      <c r="E1008" s="2">
        <v>7.8</v>
      </c>
      <c r="F1008" s="2">
        <v>12.8</v>
      </c>
      <c r="G1008" s="2">
        <v>9</v>
      </c>
      <c r="H1008" s="2">
        <f>AVERAGE(weather.tbl[[#This Row],[Estevan]:[Kipling]])</f>
        <v>9.9333333333333318</v>
      </c>
      <c r="I1008" s="2">
        <f>_xlfn.STDEV.S(weather.tbl[[#This Row],[Estevan]:[Kipling]])</f>
        <v>1.663329993316629</v>
      </c>
      <c r="J1008" s="2">
        <f t="shared" si="15"/>
        <v>13.24761904761905</v>
      </c>
      <c r="K1008">
        <f>DAY(weather.tbl[[#This Row],[Date]])</f>
        <v>3</v>
      </c>
      <c r="L1008">
        <f>MONTH(weather.tbl[[#This Row],[Date]])</f>
        <v>10</v>
      </c>
      <c r="M1008">
        <f>YEAR(weather.tbl[[#This Row],[Date]])</f>
        <v>2016</v>
      </c>
    </row>
    <row r="1009" spans="1:13" x14ac:dyDescent="0.25">
      <c r="A1009" s="1">
        <v>42647</v>
      </c>
      <c r="B1009" s="2">
        <v>12.7</v>
      </c>
      <c r="C1009" s="2">
        <v>10.7</v>
      </c>
      <c r="D1009" s="2">
        <v>13.8</v>
      </c>
      <c r="E1009" s="2">
        <v>8.5</v>
      </c>
      <c r="F1009" s="2">
        <v>13.4</v>
      </c>
      <c r="G1009" s="2">
        <v>10.5</v>
      </c>
      <c r="H1009" s="2">
        <f>AVERAGE(weather.tbl[[#This Row],[Estevan]:[Kipling]])</f>
        <v>11.6</v>
      </c>
      <c r="I1009" s="2">
        <f>_xlfn.STDEV.S(weather.tbl[[#This Row],[Estevan]:[Kipling]])</f>
        <v>2.0454828280873047</v>
      </c>
      <c r="J1009" s="2">
        <f t="shared" si="15"/>
        <v>13.111904761904762</v>
      </c>
      <c r="K1009">
        <f>DAY(weather.tbl[[#This Row],[Date]])</f>
        <v>4</v>
      </c>
      <c r="L1009">
        <f>MONTH(weather.tbl[[#This Row],[Date]])</f>
        <v>10</v>
      </c>
      <c r="M1009">
        <f>YEAR(weather.tbl[[#This Row],[Date]])</f>
        <v>2016</v>
      </c>
    </row>
    <row r="1010" spans="1:13" x14ac:dyDescent="0.25">
      <c r="A1010" s="1">
        <v>42648</v>
      </c>
      <c r="B1010" s="2">
        <v>3.9</v>
      </c>
      <c r="C1010" s="2">
        <v>4.0999999999999996</v>
      </c>
      <c r="D1010" s="2">
        <v>2</v>
      </c>
      <c r="E1010" s="2">
        <v>0.8</v>
      </c>
      <c r="F1010" s="2">
        <v>4.9000000000000004</v>
      </c>
      <c r="G1010" s="2">
        <v>2</v>
      </c>
      <c r="H1010" s="2">
        <f>AVERAGE(weather.tbl[[#This Row],[Estevan]:[Kipling]])</f>
        <v>2.9500000000000006</v>
      </c>
      <c r="I1010" s="2">
        <f>_xlfn.STDEV.S(weather.tbl[[#This Row],[Estevan]:[Kipling]])</f>
        <v>1.578290214124132</v>
      </c>
      <c r="J1010" s="2">
        <f t="shared" si="15"/>
        <v>11.664285714285713</v>
      </c>
      <c r="K1010">
        <f>DAY(weather.tbl[[#This Row],[Date]])</f>
        <v>5</v>
      </c>
      <c r="L1010">
        <f>MONTH(weather.tbl[[#This Row],[Date]])</f>
        <v>10</v>
      </c>
      <c r="M1010">
        <f>YEAR(weather.tbl[[#This Row],[Date]])</f>
        <v>2016</v>
      </c>
    </row>
    <row r="1011" spans="1:13" x14ac:dyDescent="0.25">
      <c r="A1011" s="1">
        <v>42649</v>
      </c>
      <c r="B1011" s="2">
        <v>0.6</v>
      </c>
      <c r="C1011" s="2">
        <v>-0.2</v>
      </c>
      <c r="D1011" s="2">
        <v>0.3</v>
      </c>
      <c r="E1011" s="2">
        <v>0.3</v>
      </c>
      <c r="F1011" s="2">
        <v>2.2999999999999998</v>
      </c>
      <c r="G1011" s="2">
        <v>-0.5</v>
      </c>
      <c r="H1011" s="2">
        <f>AVERAGE(weather.tbl[[#This Row],[Estevan]:[Kipling]])</f>
        <v>0.46666666666666662</v>
      </c>
      <c r="I1011" s="2">
        <f>_xlfn.STDEV.S(weather.tbl[[#This Row],[Estevan]:[Kipling]])</f>
        <v>0.98115578103921219</v>
      </c>
      <c r="J1011" s="2">
        <f t="shared" si="15"/>
        <v>9.5571428571428587</v>
      </c>
      <c r="K1011">
        <f>DAY(weather.tbl[[#This Row],[Date]])</f>
        <v>6</v>
      </c>
      <c r="L1011">
        <f>MONTH(weather.tbl[[#This Row],[Date]])</f>
        <v>10</v>
      </c>
      <c r="M1011">
        <f>YEAR(weather.tbl[[#This Row],[Date]])</f>
        <v>2016</v>
      </c>
    </row>
    <row r="1012" spans="1:13" x14ac:dyDescent="0.25">
      <c r="A1012" s="1">
        <v>42650</v>
      </c>
      <c r="B1012" s="2">
        <v>1.3</v>
      </c>
      <c r="C1012" s="2">
        <v>0.8</v>
      </c>
      <c r="D1012" s="2">
        <v>1.3</v>
      </c>
      <c r="E1012" s="2">
        <v>1.8</v>
      </c>
      <c r="F1012" s="2">
        <v>1.6</v>
      </c>
      <c r="G1012" s="2">
        <v>0</v>
      </c>
      <c r="H1012" s="2">
        <f>AVERAGE(weather.tbl[[#This Row],[Estevan]:[Kipling]])</f>
        <v>1.1333333333333335</v>
      </c>
      <c r="I1012" s="2">
        <f>_xlfn.STDEV.S(weather.tbl[[#This Row],[Estevan]:[Kipling]])</f>
        <v>0.65012819248719433</v>
      </c>
      <c r="J1012" s="2">
        <f t="shared" si="15"/>
        <v>7.8666666666666671</v>
      </c>
      <c r="K1012">
        <f>DAY(weather.tbl[[#This Row],[Date]])</f>
        <v>7</v>
      </c>
      <c r="L1012">
        <f>MONTH(weather.tbl[[#This Row],[Date]])</f>
        <v>10</v>
      </c>
      <c r="M1012">
        <f>YEAR(weather.tbl[[#This Row],[Date]])</f>
        <v>2016</v>
      </c>
    </row>
    <row r="1013" spans="1:13" x14ac:dyDescent="0.25">
      <c r="A1013" s="1">
        <v>42651</v>
      </c>
      <c r="B1013" s="2">
        <v>2.2000000000000002</v>
      </c>
      <c r="C1013" s="2">
        <v>2.2000000000000002</v>
      </c>
      <c r="D1013" s="2">
        <v>8</v>
      </c>
      <c r="E1013" s="2">
        <v>1.8</v>
      </c>
      <c r="F1013" s="2">
        <v>2</v>
      </c>
      <c r="G1013" s="2">
        <v>0.8</v>
      </c>
      <c r="H1013" s="2">
        <f>AVERAGE(weather.tbl[[#This Row],[Estevan]:[Kipling]])</f>
        <v>2.8333333333333339</v>
      </c>
      <c r="I1013" s="2">
        <f>_xlfn.STDEV.S(weather.tbl[[#This Row],[Estevan]:[Kipling]])</f>
        <v>2.5843116427139092</v>
      </c>
      <c r="J1013" s="2">
        <f t="shared" si="15"/>
        <v>6.1547619047619051</v>
      </c>
      <c r="K1013">
        <f>DAY(weather.tbl[[#This Row],[Date]])</f>
        <v>8</v>
      </c>
      <c r="L1013">
        <f>MONTH(weather.tbl[[#This Row],[Date]])</f>
        <v>10</v>
      </c>
      <c r="M1013">
        <f>YEAR(weather.tbl[[#This Row],[Date]])</f>
        <v>2016</v>
      </c>
    </row>
    <row r="1014" spans="1:13" x14ac:dyDescent="0.25">
      <c r="A1014" s="1">
        <v>42652</v>
      </c>
      <c r="B1014" s="2">
        <v>11.8</v>
      </c>
      <c r="C1014" s="2">
        <v>9.9</v>
      </c>
      <c r="D1014" s="2">
        <v>8</v>
      </c>
      <c r="E1014" s="2">
        <v>1.8</v>
      </c>
      <c r="F1014" s="2">
        <v>8.1999999999999993</v>
      </c>
      <c r="G1014" s="2">
        <v>8</v>
      </c>
      <c r="H1014" s="2">
        <f>AVERAGE(weather.tbl[[#This Row],[Estevan]:[Kipling]])</f>
        <v>7.95</v>
      </c>
      <c r="I1014" s="2">
        <f>_xlfn.STDEV.S(weather.tbl[[#This Row],[Estevan]:[Kipling]])</f>
        <v>3.3619934562696558</v>
      </c>
      <c r="J1014" s="2">
        <f t="shared" si="15"/>
        <v>5.2666666666666666</v>
      </c>
      <c r="K1014">
        <f>DAY(weather.tbl[[#This Row],[Date]])</f>
        <v>9</v>
      </c>
      <c r="L1014">
        <f>MONTH(weather.tbl[[#This Row],[Date]])</f>
        <v>10</v>
      </c>
      <c r="M1014">
        <f>YEAR(weather.tbl[[#This Row],[Date]])</f>
        <v>2016</v>
      </c>
    </row>
    <row r="1015" spans="1:13" x14ac:dyDescent="0.25">
      <c r="A1015" s="1">
        <v>42653</v>
      </c>
      <c r="B1015" s="2">
        <v>2.6</v>
      </c>
      <c r="C1015" s="2">
        <v>0.6</v>
      </c>
      <c r="D1015" s="2">
        <v>2.2999999999999998</v>
      </c>
      <c r="E1015" s="2">
        <v>0.5</v>
      </c>
      <c r="F1015" s="2">
        <v>4.2</v>
      </c>
      <c r="G1015" s="2">
        <v>0.5</v>
      </c>
      <c r="H1015" s="2">
        <f>AVERAGE(weather.tbl[[#This Row],[Estevan]:[Kipling]])</f>
        <v>1.7833333333333332</v>
      </c>
      <c r="I1015" s="2">
        <f>_xlfn.STDEV.S(weather.tbl[[#This Row],[Estevan]:[Kipling]])</f>
        <v>1.5144856112445135</v>
      </c>
      <c r="J1015" s="2">
        <f t="shared" si="15"/>
        <v>4.1023809523809529</v>
      </c>
      <c r="K1015">
        <f>DAY(weather.tbl[[#This Row],[Date]])</f>
        <v>10</v>
      </c>
      <c r="L1015">
        <f>MONTH(weather.tbl[[#This Row],[Date]])</f>
        <v>10</v>
      </c>
      <c r="M1015">
        <f>YEAR(weather.tbl[[#This Row],[Date]])</f>
        <v>2016</v>
      </c>
    </row>
    <row r="1016" spans="1:13" x14ac:dyDescent="0.25">
      <c r="A1016" s="1">
        <v>42654</v>
      </c>
      <c r="B1016" s="2">
        <v>1.2</v>
      </c>
      <c r="C1016" s="2">
        <v>-0.2</v>
      </c>
      <c r="D1016" s="2">
        <v>1.3</v>
      </c>
      <c r="E1016" s="2">
        <v>0.8</v>
      </c>
      <c r="F1016" s="2">
        <v>1</v>
      </c>
      <c r="G1016" s="2">
        <v>-0.3</v>
      </c>
      <c r="H1016" s="2">
        <f>AVERAGE(weather.tbl[[#This Row],[Estevan]:[Kipling]])</f>
        <v>0.6333333333333333</v>
      </c>
      <c r="I1016" s="2">
        <f>_xlfn.STDEV.S(weather.tbl[[#This Row],[Estevan]:[Kipling]])</f>
        <v>0.70616334276615256</v>
      </c>
      <c r="J1016" s="2">
        <f t="shared" si="15"/>
        <v>2.5357142857142856</v>
      </c>
      <c r="K1016">
        <f>DAY(weather.tbl[[#This Row],[Date]])</f>
        <v>11</v>
      </c>
      <c r="L1016">
        <f>MONTH(weather.tbl[[#This Row],[Date]])</f>
        <v>10</v>
      </c>
      <c r="M1016">
        <f>YEAR(weather.tbl[[#This Row],[Date]])</f>
        <v>2016</v>
      </c>
    </row>
    <row r="1017" spans="1:13" x14ac:dyDescent="0.25">
      <c r="A1017" s="1">
        <v>42655</v>
      </c>
      <c r="B1017" s="2">
        <v>1.2</v>
      </c>
      <c r="C1017" s="2">
        <v>1.3</v>
      </c>
      <c r="D1017" s="2">
        <v>0.3</v>
      </c>
      <c r="E1017" s="2">
        <v>2.5</v>
      </c>
      <c r="F1017" s="2">
        <v>0.9</v>
      </c>
      <c r="G1017" s="2">
        <v>0.8</v>
      </c>
      <c r="H1017" s="2">
        <f>AVERAGE(weather.tbl[[#This Row],[Estevan]:[Kipling]])</f>
        <v>1.1666666666666667</v>
      </c>
      <c r="I1017" s="2">
        <f>_xlfn.STDEV.S(weather.tbl[[#This Row],[Estevan]:[Kipling]])</f>
        <v>0.74206917916503357</v>
      </c>
      <c r="J1017" s="2">
        <f t="shared" si="15"/>
        <v>2.2809523809523808</v>
      </c>
      <c r="K1017">
        <f>DAY(weather.tbl[[#This Row],[Date]])</f>
        <v>12</v>
      </c>
      <c r="L1017">
        <f>MONTH(weather.tbl[[#This Row],[Date]])</f>
        <v>10</v>
      </c>
      <c r="M1017">
        <f>YEAR(weather.tbl[[#This Row],[Date]])</f>
        <v>2016</v>
      </c>
    </row>
    <row r="1018" spans="1:13" x14ac:dyDescent="0.25">
      <c r="A1018" s="1">
        <v>42656</v>
      </c>
      <c r="B1018" s="2">
        <v>1.3</v>
      </c>
      <c r="C1018" s="2">
        <v>0.7</v>
      </c>
      <c r="D1018" s="2">
        <v>0.8</v>
      </c>
      <c r="E1018" s="2">
        <v>1.8</v>
      </c>
      <c r="F1018" s="2">
        <v>0.4</v>
      </c>
      <c r="G1018" s="2">
        <v>0.3</v>
      </c>
      <c r="H1018" s="2">
        <f>AVERAGE(weather.tbl[[#This Row],[Estevan]:[Kipling]])</f>
        <v>0.8833333333333333</v>
      </c>
      <c r="I1018" s="2">
        <f>_xlfn.STDEV.S(weather.tbl[[#This Row],[Estevan]:[Kipling]])</f>
        <v>0.57067211835402187</v>
      </c>
      <c r="J1018" s="2">
        <f t="shared" si="15"/>
        <v>2.3404761904761906</v>
      </c>
      <c r="K1018">
        <f>DAY(weather.tbl[[#This Row],[Date]])</f>
        <v>13</v>
      </c>
      <c r="L1018">
        <f>MONTH(weather.tbl[[#This Row],[Date]])</f>
        <v>10</v>
      </c>
      <c r="M1018">
        <f>YEAR(weather.tbl[[#This Row],[Date]])</f>
        <v>2016</v>
      </c>
    </row>
    <row r="1019" spans="1:13" x14ac:dyDescent="0.25">
      <c r="A1019" s="1">
        <v>42657</v>
      </c>
      <c r="B1019" s="2">
        <v>9.6999999999999993</v>
      </c>
      <c r="C1019" s="2">
        <v>9.6</v>
      </c>
      <c r="D1019" s="2">
        <v>8.3000000000000007</v>
      </c>
      <c r="E1019" s="2">
        <v>10.8</v>
      </c>
      <c r="F1019" s="2">
        <v>9.5</v>
      </c>
      <c r="G1019" s="2">
        <v>8.3000000000000007</v>
      </c>
      <c r="H1019" s="2">
        <f>AVERAGE(weather.tbl[[#This Row],[Estevan]:[Kipling]])</f>
        <v>9.3666666666666671</v>
      </c>
      <c r="I1019" s="2">
        <f>_xlfn.STDEV.S(weather.tbl[[#This Row],[Estevan]:[Kipling]])</f>
        <v>0.95008771524879032</v>
      </c>
      <c r="J1019" s="2">
        <f t="shared" si="15"/>
        <v>3.5166666666666666</v>
      </c>
      <c r="K1019">
        <f>DAY(weather.tbl[[#This Row],[Date]])</f>
        <v>14</v>
      </c>
      <c r="L1019">
        <f>MONTH(weather.tbl[[#This Row],[Date]])</f>
        <v>10</v>
      </c>
      <c r="M1019">
        <f>YEAR(weather.tbl[[#This Row],[Date]])</f>
        <v>2016</v>
      </c>
    </row>
    <row r="1020" spans="1:13" x14ac:dyDescent="0.25">
      <c r="A1020" s="1">
        <v>42658</v>
      </c>
      <c r="B1020" s="2">
        <v>10.8</v>
      </c>
      <c r="C1020" s="2">
        <v>7</v>
      </c>
      <c r="D1020" s="2">
        <v>9.8000000000000007</v>
      </c>
      <c r="E1020" s="2">
        <v>8</v>
      </c>
      <c r="F1020" s="2">
        <v>9.3000000000000007</v>
      </c>
      <c r="G1020" s="2">
        <v>5.5</v>
      </c>
      <c r="H1020" s="2">
        <f>AVERAGE(weather.tbl[[#This Row],[Estevan]:[Kipling]])</f>
        <v>8.4</v>
      </c>
      <c r="I1020" s="2">
        <f>_xlfn.STDEV.S(weather.tbl[[#This Row],[Estevan]:[Kipling]])</f>
        <v>1.952434377898522</v>
      </c>
      <c r="J1020" s="2">
        <f t="shared" si="15"/>
        <v>4.3119047619047617</v>
      </c>
      <c r="K1020">
        <f>DAY(weather.tbl[[#This Row],[Date]])</f>
        <v>15</v>
      </c>
      <c r="L1020">
        <f>MONTH(weather.tbl[[#This Row],[Date]])</f>
        <v>10</v>
      </c>
      <c r="M1020">
        <f>YEAR(weather.tbl[[#This Row],[Date]])</f>
        <v>2016</v>
      </c>
    </row>
    <row r="1021" spans="1:13" x14ac:dyDescent="0.25">
      <c r="A1021" s="1">
        <v>42659</v>
      </c>
      <c r="B1021" s="2">
        <v>7.7</v>
      </c>
      <c r="C1021" s="2">
        <v>7</v>
      </c>
      <c r="D1021" s="2">
        <v>9.8000000000000007</v>
      </c>
      <c r="E1021" s="2">
        <v>6</v>
      </c>
      <c r="F1021" s="2">
        <v>7</v>
      </c>
      <c r="G1021" s="2">
        <v>4</v>
      </c>
      <c r="H1021" s="2">
        <f>AVERAGE(weather.tbl[[#This Row],[Estevan]:[Kipling]])</f>
        <v>6.916666666666667</v>
      </c>
      <c r="I1021" s="2">
        <f>_xlfn.STDEV.S(weather.tbl[[#This Row],[Estevan]:[Kipling]])</f>
        <v>1.912502723309609</v>
      </c>
      <c r="J1021" s="2">
        <f t="shared" si="15"/>
        <v>4.1642857142857146</v>
      </c>
      <c r="K1021">
        <f>DAY(weather.tbl[[#This Row],[Date]])</f>
        <v>16</v>
      </c>
      <c r="L1021">
        <f>MONTH(weather.tbl[[#This Row],[Date]])</f>
        <v>10</v>
      </c>
      <c r="M1021">
        <f>YEAR(weather.tbl[[#This Row],[Date]])</f>
        <v>2016</v>
      </c>
    </row>
    <row r="1022" spans="1:13" x14ac:dyDescent="0.25">
      <c r="A1022" s="1">
        <v>42660</v>
      </c>
      <c r="B1022" s="2">
        <v>5</v>
      </c>
      <c r="C1022" s="2">
        <v>3.7</v>
      </c>
      <c r="D1022" s="2">
        <v>4.8</v>
      </c>
      <c r="E1022" s="2">
        <v>3.3</v>
      </c>
      <c r="F1022" s="2">
        <v>7</v>
      </c>
      <c r="G1022" s="2">
        <v>3.8</v>
      </c>
      <c r="H1022" s="2">
        <f>AVERAGE(weather.tbl[[#This Row],[Estevan]:[Kipling]])</f>
        <v>4.6000000000000005</v>
      </c>
      <c r="I1022" s="2">
        <f>_xlfn.STDEV.S(weather.tbl[[#This Row],[Estevan]:[Kipling]])</f>
        <v>1.3490737563232027</v>
      </c>
      <c r="J1022" s="2">
        <f t="shared" si="15"/>
        <v>4.5666666666666673</v>
      </c>
      <c r="K1022">
        <f>DAY(weather.tbl[[#This Row],[Date]])</f>
        <v>17</v>
      </c>
      <c r="L1022">
        <f>MONTH(weather.tbl[[#This Row],[Date]])</f>
        <v>10</v>
      </c>
      <c r="M1022">
        <f>YEAR(weather.tbl[[#This Row],[Date]])</f>
        <v>2016</v>
      </c>
    </row>
    <row r="1023" spans="1:13" x14ac:dyDescent="0.25">
      <c r="A1023" s="1">
        <v>42661</v>
      </c>
      <c r="B1023" s="2">
        <v>1.7</v>
      </c>
      <c r="C1023" s="2">
        <v>1.5</v>
      </c>
      <c r="D1023" s="2">
        <v>0.8</v>
      </c>
      <c r="E1023" s="2">
        <v>1.3</v>
      </c>
      <c r="F1023" s="2">
        <v>2.2000000000000002</v>
      </c>
      <c r="G1023" s="2">
        <v>0.8</v>
      </c>
      <c r="H1023" s="2">
        <f>AVERAGE(weather.tbl[[#This Row],[Estevan]:[Kipling]])</f>
        <v>1.3833333333333335</v>
      </c>
      <c r="I1023" s="2">
        <f>_xlfn.STDEV.S(weather.tbl[[#This Row],[Estevan]:[Kipling]])</f>
        <v>0.54191020166321502</v>
      </c>
      <c r="J1023" s="2">
        <f t="shared" si="15"/>
        <v>4.673809523809525</v>
      </c>
      <c r="K1023">
        <f>DAY(weather.tbl[[#This Row],[Date]])</f>
        <v>18</v>
      </c>
      <c r="L1023">
        <f>MONTH(weather.tbl[[#This Row],[Date]])</f>
        <v>10</v>
      </c>
      <c r="M1023">
        <f>YEAR(weather.tbl[[#This Row],[Date]])</f>
        <v>2016</v>
      </c>
    </row>
    <row r="1024" spans="1:13" x14ac:dyDescent="0.25">
      <c r="A1024" s="1">
        <v>42662</v>
      </c>
      <c r="B1024" s="2">
        <v>3.8</v>
      </c>
      <c r="C1024" s="2">
        <v>3.4</v>
      </c>
      <c r="D1024" s="2">
        <v>3.8</v>
      </c>
      <c r="E1024" s="2">
        <v>3.5</v>
      </c>
      <c r="F1024" s="2">
        <v>4.7</v>
      </c>
      <c r="G1024" s="2">
        <v>2</v>
      </c>
      <c r="H1024" s="2">
        <f>AVERAGE(weather.tbl[[#This Row],[Estevan]:[Kipling]])</f>
        <v>3.5333333333333332</v>
      </c>
      <c r="I1024" s="2">
        <f>_xlfn.STDEV.S(weather.tbl[[#This Row],[Estevan]:[Kipling]])</f>
        <v>0.88015150211010085</v>
      </c>
      <c r="J1024" s="2">
        <f t="shared" si="15"/>
        <v>5.0119047619047619</v>
      </c>
      <c r="K1024">
        <f>DAY(weather.tbl[[#This Row],[Date]])</f>
        <v>19</v>
      </c>
      <c r="L1024">
        <f>MONTH(weather.tbl[[#This Row],[Date]])</f>
        <v>10</v>
      </c>
      <c r="M1024">
        <f>YEAR(weather.tbl[[#This Row],[Date]])</f>
        <v>2016</v>
      </c>
    </row>
    <row r="1025" spans="1:13" x14ac:dyDescent="0.25">
      <c r="A1025" s="1">
        <v>42663</v>
      </c>
      <c r="B1025" s="2">
        <v>5.4</v>
      </c>
      <c r="C1025" s="2">
        <v>3.5</v>
      </c>
      <c r="D1025" s="2">
        <v>3.8</v>
      </c>
      <c r="E1025" s="2">
        <v>3.5</v>
      </c>
      <c r="F1025" s="2">
        <v>5.2</v>
      </c>
      <c r="G1025" s="2">
        <v>5</v>
      </c>
      <c r="H1025" s="2">
        <f>AVERAGE(weather.tbl[[#This Row],[Estevan]:[Kipling]])</f>
        <v>4.3999999999999995</v>
      </c>
      <c r="I1025" s="2">
        <f>_xlfn.STDEV.S(weather.tbl[[#This Row],[Estevan]:[Kipling]])</f>
        <v>0.89218832092782052</v>
      </c>
      <c r="J1025" s="2">
        <f t="shared" si="15"/>
        <v>5.5142857142857142</v>
      </c>
      <c r="K1025">
        <f>DAY(weather.tbl[[#This Row],[Date]])</f>
        <v>20</v>
      </c>
      <c r="L1025">
        <f>MONTH(weather.tbl[[#This Row],[Date]])</f>
        <v>10</v>
      </c>
      <c r="M1025">
        <f>YEAR(weather.tbl[[#This Row],[Date]])</f>
        <v>2016</v>
      </c>
    </row>
    <row r="1026" spans="1:13" x14ac:dyDescent="0.25">
      <c r="A1026" s="1">
        <v>42664</v>
      </c>
      <c r="B1026" s="2">
        <v>8.5</v>
      </c>
      <c r="C1026" s="2">
        <v>6.9</v>
      </c>
      <c r="D1026" s="2">
        <v>8.8000000000000007</v>
      </c>
      <c r="E1026" s="2">
        <v>10.3</v>
      </c>
      <c r="F1026" s="2">
        <v>8.6</v>
      </c>
      <c r="G1026" s="2">
        <v>8.8000000000000007</v>
      </c>
      <c r="H1026" s="2">
        <f>AVERAGE(weather.tbl[[#This Row],[Estevan]:[Kipling]])</f>
        <v>8.65</v>
      </c>
      <c r="I1026" s="2">
        <f>_xlfn.STDEV.S(weather.tbl[[#This Row],[Estevan]:[Kipling]])</f>
        <v>1.0821275340734939</v>
      </c>
      <c r="J1026" s="2">
        <f t="shared" si="15"/>
        <v>5.4119047619047622</v>
      </c>
      <c r="K1026">
        <f>DAY(weather.tbl[[#This Row],[Date]])</f>
        <v>21</v>
      </c>
      <c r="L1026">
        <f>MONTH(weather.tbl[[#This Row],[Date]])</f>
        <v>10</v>
      </c>
      <c r="M1026">
        <f>YEAR(weather.tbl[[#This Row],[Date]])</f>
        <v>2016</v>
      </c>
    </row>
    <row r="1027" spans="1:13" x14ac:dyDescent="0.25">
      <c r="A1027" s="1">
        <v>42665</v>
      </c>
      <c r="B1027" s="2">
        <v>4.2</v>
      </c>
      <c r="C1027" s="2">
        <v>1.5</v>
      </c>
      <c r="D1027" s="2">
        <v>2.2999999999999998</v>
      </c>
      <c r="E1027" s="2">
        <v>2.8</v>
      </c>
      <c r="F1027" s="2">
        <v>3</v>
      </c>
      <c r="G1027" s="2">
        <v>3.8</v>
      </c>
      <c r="H1027" s="2">
        <f>AVERAGE(weather.tbl[[#This Row],[Estevan]:[Kipling]])</f>
        <v>2.9333333333333336</v>
      </c>
      <c r="I1027" s="2">
        <f>_xlfn.STDEV.S(weather.tbl[[#This Row],[Estevan]:[Kipling]])</f>
        <v>0.98319208025017391</v>
      </c>
      <c r="J1027" s="2">
        <f t="shared" si="15"/>
        <v>4.6309523809523814</v>
      </c>
      <c r="K1027">
        <f>DAY(weather.tbl[[#This Row],[Date]])</f>
        <v>22</v>
      </c>
      <c r="L1027">
        <f>MONTH(weather.tbl[[#This Row],[Date]])</f>
        <v>10</v>
      </c>
      <c r="M1027">
        <f>YEAR(weather.tbl[[#This Row],[Date]])</f>
        <v>2016</v>
      </c>
    </row>
    <row r="1028" spans="1:13" x14ac:dyDescent="0.25">
      <c r="A1028" s="1">
        <v>42666</v>
      </c>
      <c r="B1028" s="2">
        <v>4.7</v>
      </c>
      <c r="C1028" s="2">
        <v>2</v>
      </c>
      <c r="D1028" s="2">
        <v>6</v>
      </c>
      <c r="E1028" s="2">
        <v>1.8</v>
      </c>
      <c r="F1028" s="2">
        <v>4.3</v>
      </c>
      <c r="G1028" s="2">
        <v>4.3</v>
      </c>
      <c r="H1028" s="2">
        <f>AVERAGE(weather.tbl[[#This Row],[Estevan]:[Kipling]])</f>
        <v>3.85</v>
      </c>
      <c r="I1028" s="2">
        <f>_xlfn.STDEV.S(weather.tbl[[#This Row],[Estevan]:[Kipling]])</f>
        <v>1.6355427233796118</v>
      </c>
      <c r="J1028" s="2">
        <f t="shared" si="15"/>
        <v>4.1928571428571439</v>
      </c>
      <c r="K1028">
        <f>DAY(weather.tbl[[#This Row],[Date]])</f>
        <v>23</v>
      </c>
      <c r="L1028">
        <f>MONTH(weather.tbl[[#This Row],[Date]])</f>
        <v>10</v>
      </c>
      <c r="M1028">
        <f>YEAR(weather.tbl[[#This Row],[Date]])</f>
        <v>2016</v>
      </c>
    </row>
    <row r="1029" spans="1:13" x14ac:dyDescent="0.25">
      <c r="A1029" s="1">
        <v>42667</v>
      </c>
      <c r="B1029" s="2">
        <v>5.5</v>
      </c>
      <c r="C1029" s="2">
        <v>6.2</v>
      </c>
      <c r="D1029" s="2">
        <v>3.8</v>
      </c>
      <c r="E1029" s="2">
        <v>6.3</v>
      </c>
      <c r="F1029" s="2">
        <v>4.2</v>
      </c>
      <c r="G1029" s="2">
        <v>4.5</v>
      </c>
      <c r="H1029" s="2">
        <f>AVERAGE(weather.tbl[[#This Row],[Estevan]:[Kipling]])</f>
        <v>5.083333333333333</v>
      </c>
      <c r="I1029" s="2">
        <f>_xlfn.STDEV.S(weather.tbl[[#This Row],[Estevan]:[Kipling]])</f>
        <v>1.0647378394077409</v>
      </c>
      <c r="J1029" s="2">
        <f t="shared" si="15"/>
        <v>4.2619047619047619</v>
      </c>
      <c r="K1029">
        <f>DAY(weather.tbl[[#This Row],[Date]])</f>
        <v>24</v>
      </c>
      <c r="L1029">
        <f>MONTH(weather.tbl[[#This Row],[Date]])</f>
        <v>10</v>
      </c>
      <c r="M1029">
        <f>YEAR(weather.tbl[[#This Row],[Date]])</f>
        <v>2016</v>
      </c>
    </row>
    <row r="1030" spans="1:13" x14ac:dyDescent="0.25">
      <c r="A1030" s="1">
        <v>42668</v>
      </c>
      <c r="B1030" s="2">
        <v>5.7</v>
      </c>
      <c r="C1030" s="2">
        <v>6.4</v>
      </c>
      <c r="D1030" s="2">
        <v>3.8</v>
      </c>
      <c r="E1030" s="2">
        <v>6</v>
      </c>
      <c r="F1030" s="2">
        <v>7.5</v>
      </c>
      <c r="G1030" s="2">
        <v>5.5</v>
      </c>
      <c r="H1030" s="2">
        <f>AVERAGE(weather.tbl[[#This Row],[Estevan]:[Kipling]])</f>
        <v>5.8166666666666673</v>
      </c>
      <c r="I1030" s="2">
        <f>_xlfn.STDEV.S(weather.tbl[[#This Row],[Estevan]:[Kipling]])</f>
        <v>1.2155931336868653</v>
      </c>
      <c r="J1030" s="2">
        <f t="shared" si="15"/>
        <v>4.8952380952380947</v>
      </c>
      <c r="K1030">
        <f>DAY(weather.tbl[[#This Row],[Date]])</f>
        <v>25</v>
      </c>
      <c r="L1030">
        <f>MONTH(weather.tbl[[#This Row],[Date]])</f>
        <v>10</v>
      </c>
      <c r="M1030">
        <f>YEAR(weather.tbl[[#This Row],[Date]])</f>
        <v>2016</v>
      </c>
    </row>
    <row r="1031" spans="1:13" x14ac:dyDescent="0.25">
      <c r="A1031" s="1">
        <v>42669</v>
      </c>
      <c r="B1031" s="2">
        <v>5.4</v>
      </c>
      <c r="C1031" s="2">
        <v>3.9</v>
      </c>
      <c r="D1031" s="2">
        <v>3.8</v>
      </c>
      <c r="E1031" s="2">
        <v>5.3</v>
      </c>
      <c r="F1031" s="2">
        <v>5.5</v>
      </c>
      <c r="G1031" s="2">
        <v>5</v>
      </c>
      <c r="H1031" s="2">
        <f>AVERAGE(weather.tbl[[#This Row],[Estevan]:[Kipling]])</f>
        <v>4.8166666666666673</v>
      </c>
      <c r="I1031" s="2">
        <f>_xlfn.STDEV.S(weather.tbl[[#This Row],[Estevan]:[Kipling]])</f>
        <v>0.76789756261279063</v>
      </c>
      <c r="J1031" s="2">
        <f t="shared" si="15"/>
        <v>5.0785714285714292</v>
      </c>
      <c r="K1031">
        <f>DAY(weather.tbl[[#This Row],[Date]])</f>
        <v>26</v>
      </c>
      <c r="L1031">
        <f>MONTH(weather.tbl[[#This Row],[Date]])</f>
        <v>10</v>
      </c>
      <c r="M1031">
        <f>YEAR(weather.tbl[[#This Row],[Date]])</f>
        <v>2016</v>
      </c>
    </row>
    <row r="1032" spans="1:13" x14ac:dyDescent="0.25">
      <c r="A1032" s="1">
        <v>42670</v>
      </c>
      <c r="B1032" s="2">
        <v>7.4</v>
      </c>
      <c r="C1032" s="2">
        <v>7.2</v>
      </c>
      <c r="D1032" s="2">
        <v>3.8</v>
      </c>
      <c r="E1032" s="2">
        <v>7.8</v>
      </c>
      <c r="F1032" s="2">
        <v>4.9000000000000004</v>
      </c>
      <c r="G1032" s="2">
        <v>6</v>
      </c>
      <c r="H1032" s="2">
        <f>AVERAGE(weather.tbl[[#This Row],[Estevan]:[Kipling]])</f>
        <v>6.1833333333333336</v>
      </c>
      <c r="I1032" s="2">
        <f>_xlfn.STDEV.S(weather.tbl[[#This Row],[Estevan]:[Kipling]])</f>
        <v>1.5804007930479733</v>
      </c>
      <c r="J1032" s="2">
        <f t="shared" si="15"/>
        <v>5.333333333333333</v>
      </c>
      <c r="K1032">
        <f>DAY(weather.tbl[[#This Row],[Date]])</f>
        <v>27</v>
      </c>
      <c r="L1032">
        <f>MONTH(weather.tbl[[#This Row],[Date]])</f>
        <v>10</v>
      </c>
      <c r="M1032">
        <f>YEAR(weather.tbl[[#This Row],[Date]])</f>
        <v>2016</v>
      </c>
    </row>
    <row r="1033" spans="1:13" x14ac:dyDescent="0.25">
      <c r="A1033" s="1">
        <v>42671</v>
      </c>
      <c r="B1033" s="2">
        <v>6.4</v>
      </c>
      <c r="C1033" s="2">
        <v>5.5</v>
      </c>
      <c r="D1033" s="2">
        <v>3.8</v>
      </c>
      <c r="E1033" s="2">
        <v>5.8</v>
      </c>
      <c r="F1033" s="2">
        <v>7.3</v>
      </c>
      <c r="G1033" s="2">
        <v>5.3</v>
      </c>
      <c r="H1033" s="2">
        <f>AVERAGE(weather.tbl[[#This Row],[Estevan]:[Kipling]])</f>
        <v>5.6833333333333336</v>
      </c>
      <c r="I1033" s="2">
        <f>_xlfn.STDEV.S(weather.tbl[[#This Row],[Estevan]:[Kipling]])</f>
        <v>1.1720352668186491</v>
      </c>
      <c r="J1033" s="2">
        <f t="shared" si="15"/>
        <v>4.9095238095238098</v>
      </c>
      <c r="K1033">
        <f>DAY(weather.tbl[[#This Row],[Date]])</f>
        <v>28</v>
      </c>
      <c r="L1033">
        <f>MONTH(weather.tbl[[#This Row],[Date]])</f>
        <v>10</v>
      </c>
      <c r="M1033">
        <f>YEAR(weather.tbl[[#This Row],[Date]])</f>
        <v>2016</v>
      </c>
    </row>
    <row r="1034" spans="1:13" x14ac:dyDescent="0.25">
      <c r="A1034" s="1">
        <v>42672</v>
      </c>
      <c r="B1034" s="2">
        <v>1.6</v>
      </c>
      <c r="C1034" s="2">
        <v>3</v>
      </c>
      <c r="D1034" s="2">
        <v>3.8</v>
      </c>
      <c r="E1034" s="2">
        <v>4</v>
      </c>
      <c r="F1034" s="2">
        <v>2.8</v>
      </c>
      <c r="G1034" s="2">
        <v>1.5</v>
      </c>
      <c r="H1034" s="2">
        <f>AVERAGE(weather.tbl[[#This Row],[Estevan]:[Kipling]])</f>
        <v>2.7833333333333332</v>
      </c>
      <c r="I1034" s="2">
        <f>_xlfn.STDEV.S(weather.tbl[[#This Row],[Estevan]:[Kipling]])</f>
        <v>1.059087657687817</v>
      </c>
      <c r="J1034" s="2">
        <f t="shared" ref="J1034:J1097" si="16">AVERAGE(H1028:H1034)</f>
        <v>4.8880952380952385</v>
      </c>
      <c r="K1034">
        <f>DAY(weather.tbl[[#This Row],[Date]])</f>
        <v>29</v>
      </c>
      <c r="L1034">
        <f>MONTH(weather.tbl[[#This Row],[Date]])</f>
        <v>10</v>
      </c>
      <c r="M1034">
        <f>YEAR(weather.tbl[[#This Row],[Date]])</f>
        <v>2016</v>
      </c>
    </row>
    <row r="1035" spans="1:13" x14ac:dyDescent="0.25">
      <c r="A1035" s="1">
        <v>42673</v>
      </c>
      <c r="B1035" s="2">
        <v>7.3</v>
      </c>
      <c r="C1035" s="2">
        <v>8</v>
      </c>
      <c r="D1035" s="2">
        <v>3.8</v>
      </c>
      <c r="E1035" s="2">
        <v>8</v>
      </c>
      <c r="F1035" s="2">
        <v>3.1</v>
      </c>
      <c r="G1035" s="2">
        <v>4</v>
      </c>
      <c r="H1035" s="2">
        <f>AVERAGE(weather.tbl[[#This Row],[Estevan]:[Kipling]])</f>
        <v>5.7</v>
      </c>
      <c r="I1035" s="2">
        <f>_xlfn.STDEV.S(weather.tbl[[#This Row],[Estevan]:[Kipling]])</f>
        <v>2.2978250586152105</v>
      </c>
      <c r="J1035" s="2">
        <f t="shared" si="16"/>
        <v>5.1523809523809527</v>
      </c>
      <c r="K1035">
        <f>DAY(weather.tbl[[#This Row],[Date]])</f>
        <v>30</v>
      </c>
      <c r="L1035">
        <f>MONTH(weather.tbl[[#This Row],[Date]])</f>
        <v>10</v>
      </c>
      <c r="M1035">
        <f>YEAR(weather.tbl[[#This Row],[Date]])</f>
        <v>2016</v>
      </c>
    </row>
    <row r="1036" spans="1:13" x14ac:dyDescent="0.25">
      <c r="A1036" s="1">
        <v>42674</v>
      </c>
      <c r="B1036" s="2">
        <v>5</v>
      </c>
      <c r="C1036" s="2">
        <v>3.5</v>
      </c>
      <c r="D1036" s="2">
        <v>3.8</v>
      </c>
      <c r="E1036" s="2">
        <v>3.5</v>
      </c>
      <c r="F1036" s="2">
        <v>5.9</v>
      </c>
      <c r="G1036" s="2">
        <v>3.5</v>
      </c>
      <c r="H1036" s="2">
        <f>AVERAGE(weather.tbl[[#This Row],[Estevan]:[Kipling]])</f>
        <v>4.2</v>
      </c>
      <c r="I1036" s="2">
        <f>_xlfn.STDEV.S(weather.tbl[[#This Row],[Estevan]:[Kipling]])</f>
        <v>1.0158740079360205</v>
      </c>
      <c r="J1036" s="2">
        <f t="shared" si="16"/>
        <v>5.026190476190477</v>
      </c>
      <c r="K1036">
        <f>DAY(weather.tbl[[#This Row],[Date]])</f>
        <v>31</v>
      </c>
      <c r="L1036">
        <f>MONTH(weather.tbl[[#This Row],[Date]])</f>
        <v>10</v>
      </c>
      <c r="M1036">
        <f>YEAR(weather.tbl[[#This Row],[Date]])</f>
        <v>2016</v>
      </c>
    </row>
    <row r="1037" spans="1:13" x14ac:dyDescent="0.25">
      <c r="A1037" s="1">
        <v>42675</v>
      </c>
      <c r="B1037" s="2">
        <v>6.6</v>
      </c>
      <c r="C1037" s="2">
        <v>6.7</v>
      </c>
      <c r="D1037" s="2">
        <v>3.8</v>
      </c>
      <c r="E1037" s="2">
        <v>7</v>
      </c>
      <c r="F1037" s="2">
        <v>7</v>
      </c>
      <c r="G1037" s="2">
        <v>6.5</v>
      </c>
      <c r="H1037" s="2">
        <f>AVERAGE(weather.tbl[[#This Row],[Estevan]:[Kipling]])</f>
        <v>6.2666666666666666</v>
      </c>
      <c r="I1037" s="2">
        <f>_xlfn.STDEV.S(weather.tbl[[#This Row],[Estevan]:[Kipling]])</f>
        <v>1.2258330500792751</v>
      </c>
      <c r="J1037" s="2">
        <f t="shared" si="16"/>
        <v>5.0904761904761902</v>
      </c>
      <c r="K1037">
        <f>DAY(weather.tbl[[#This Row],[Date]])</f>
        <v>1</v>
      </c>
      <c r="L1037">
        <f>MONTH(weather.tbl[[#This Row],[Date]])</f>
        <v>11</v>
      </c>
      <c r="M1037">
        <f>YEAR(weather.tbl[[#This Row],[Date]])</f>
        <v>2016</v>
      </c>
    </row>
    <row r="1038" spans="1:13" x14ac:dyDescent="0.25">
      <c r="A1038" s="1">
        <v>42676</v>
      </c>
      <c r="B1038" s="2">
        <v>5.7</v>
      </c>
      <c r="C1038" s="2">
        <v>5.2</v>
      </c>
      <c r="D1038" s="2">
        <v>3.8</v>
      </c>
      <c r="E1038" s="2">
        <v>4.5</v>
      </c>
      <c r="F1038" s="2">
        <v>3.7</v>
      </c>
      <c r="G1038" s="2">
        <v>4.3</v>
      </c>
      <c r="H1038" s="2">
        <f>AVERAGE(weather.tbl[[#This Row],[Estevan]:[Kipling]])</f>
        <v>4.5333333333333332</v>
      </c>
      <c r="I1038" s="2">
        <f>_xlfn.STDEV.S(weather.tbl[[#This Row],[Estevan]:[Kipling]])</f>
        <v>0.78655366420014006</v>
      </c>
      <c r="J1038" s="2">
        <f t="shared" si="16"/>
        <v>5.05</v>
      </c>
      <c r="K1038">
        <f>DAY(weather.tbl[[#This Row],[Date]])</f>
        <v>2</v>
      </c>
      <c r="L1038">
        <f>MONTH(weather.tbl[[#This Row],[Date]])</f>
        <v>11</v>
      </c>
      <c r="M1038">
        <f>YEAR(weather.tbl[[#This Row],[Date]])</f>
        <v>2016</v>
      </c>
    </row>
    <row r="1039" spans="1:13" x14ac:dyDescent="0.25">
      <c r="A1039" s="1">
        <v>42677</v>
      </c>
      <c r="B1039" s="2">
        <v>7.9</v>
      </c>
      <c r="C1039" s="2">
        <v>7.7</v>
      </c>
      <c r="D1039" s="2">
        <v>3.8</v>
      </c>
      <c r="E1039" s="2">
        <v>8.3000000000000007</v>
      </c>
      <c r="F1039" s="2">
        <v>5.8</v>
      </c>
      <c r="G1039" s="2">
        <v>5.3</v>
      </c>
      <c r="H1039" s="2">
        <f>AVERAGE(weather.tbl[[#This Row],[Estevan]:[Kipling]])</f>
        <v>6.4666666666666659</v>
      </c>
      <c r="I1039" s="2">
        <f>_xlfn.STDEV.S(weather.tbl[[#This Row],[Estevan]:[Kipling]])</f>
        <v>1.7806365902863701</v>
      </c>
      <c r="J1039" s="2">
        <f t="shared" si="16"/>
        <v>5.0904761904761902</v>
      </c>
      <c r="K1039">
        <f>DAY(weather.tbl[[#This Row],[Date]])</f>
        <v>3</v>
      </c>
      <c r="L1039">
        <f>MONTH(weather.tbl[[#This Row],[Date]])</f>
        <v>11</v>
      </c>
      <c r="M1039">
        <f>YEAR(weather.tbl[[#This Row],[Date]])</f>
        <v>2016</v>
      </c>
    </row>
    <row r="1040" spans="1:13" x14ac:dyDescent="0.25">
      <c r="A1040" s="1">
        <v>42678</v>
      </c>
      <c r="B1040" s="2">
        <v>9.4</v>
      </c>
      <c r="C1040" s="2">
        <v>9</v>
      </c>
      <c r="D1040" s="2">
        <v>3.8</v>
      </c>
      <c r="E1040" s="2">
        <v>10</v>
      </c>
      <c r="F1040" s="2">
        <v>9.1999999999999993</v>
      </c>
      <c r="G1040" s="2">
        <v>9</v>
      </c>
      <c r="H1040" s="2">
        <f>AVERAGE(weather.tbl[[#This Row],[Estevan]:[Kipling]])</f>
        <v>8.4</v>
      </c>
      <c r="I1040" s="2">
        <f>_xlfn.STDEV.S(weather.tbl[[#This Row],[Estevan]:[Kipling]])</f>
        <v>2.2838563877792262</v>
      </c>
      <c r="J1040" s="2">
        <f t="shared" si="16"/>
        <v>5.4785714285714286</v>
      </c>
      <c r="K1040">
        <f>DAY(weather.tbl[[#This Row],[Date]])</f>
        <v>4</v>
      </c>
      <c r="L1040">
        <f>MONTH(weather.tbl[[#This Row],[Date]])</f>
        <v>11</v>
      </c>
      <c r="M1040">
        <f>YEAR(weather.tbl[[#This Row],[Date]])</f>
        <v>2016</v>
      </c>
    </row>
    <row r="1041" spans="1:13" x14ac:dyDescent="0.25">
      <c r="A1041" s="1">
        <v>42679</v>
      </c>
      <c r="B1041" s="2">
        <v>9.5</v>
      </c>
      <c r="C1041" s="2">
        <v>9.1999999999999993</v>
      </c>
      <c r="D1041" s="2">
        <v>3.8</v>
      </c>
      <c r="E1041" s="2">
        <v>9.3000000000000007</v>
      </c>
      <c r="F1041" s="2">
        <v>8.3000000000000007</v>
      </c>
      <c r="G1041" s="2">
        <v>10.8</v>
      </c>
      <c r="H1041" s="2">
        <f>AVERAGE(weather.tbl[[#This Row],[Estevan]:[Kipling]])</f>
        <v>8.4833333333333343</v>
      </c>
      <c r="I1041" s="2">
        <f>_xlfn.STDEV.S(weather.tbl[[#This Row],[Estevan]:[Kipling]])</f>
        <v>2.4309805977561108</v>
      </c>
      <c r="J1041" s="2">
        <f t="shared" si="16"/>
        <v>6.2928571428571436</v>
      </c>
      <c r="K1041">
        <f>DAY(weather.tbl[[#This Row],[Date]])</f>
        <v>5</v>
      </c>
      <c r="L1041">
        <f>MONTH(weather.tbl[[#This Row],[Date]])</f>
        <v>11</v>
      </c>
      <c r="M1041">
        <f>YEAR(weather.tbl[[#This Row],[Date]])</f>
        <v>2016</v>
      </c>
    </row>
    <row r="1042" spans="1:13" x14ac:dyDescent="0.25">
      <c r="A1042" s="1">
        <v>42680</v>
      </c>
      <c r="B1042" s="2">
        <v>9.1</v>
      </c>
      <c r="C1042" s="2">
        <v>10.199999999999999</v>
      </c>
      <c r="D1042" s="2">
        <v>3.8</v>
      </c>
      <c r="E1042" s="2">
        <v>11</v>
      </c>
      <c r="F1042" s="2">
        <v>11.6</v>
      </c>
      <c r="G1042" s="2">
        <v>11.3</v>
      </c>
      <c r="H1042" s="2">
        <f>AVERAGE(weather.tbl[[#This Row],[Estevan]:[Kipling]])</f>
        <v>9.5</v>
      </c>
      <c r="I1042" s="2">
        <f>_xlfn.STDEV.S(weather.tbl[[#This Row],[Estevan]:[Kipling]])</f>
        <v>2.9339393313427586</v>
      </c>
      <c r="J1042" s="2">
        <f t="shared" si="16"/>
        <v>6.8357142857142863</v>
      </c>
      <c r="K1042">
        <f>DAY(weather.tbl[[#This Row],[Date]])</f>
        <v>6</v>
      </c>
      <c r="L1042">
        <f>MONTH(weather.tbl[[#This Row],[Date]])</f>
        <v>11</v>
      </c>
      <c r="M1042">
        <f>YEAR(weather.tbl[[#This Row],[Date]])</f>
        <v>2016</v>
      </c>
    </row>
    <row r="1043" spans="1:13" x14ac:dyDescent="0.25">
      <c r="A1043" s="1">
        <v>42681</v>
      </c>
      <c r="B1043" s="2">
        <v>5.8</v>
      </c>
      <c r="C1043" s="2">
        <v>5.2</v>
      </c>
      <c r="D1043" s="2">
        <v>3.8</v>
      </c>
      <c r="E1043" s="2">
        <v>8.3000000000000007</v>
      </c>
      <c r="F1043" s="2">
        <v>6.7</v>
      </c>
      <c r="G1043" s="2">
        <v>7.3</v>
      </c>
      <c r="H1043" s="2">
        <f>AVERAGE(weather.tbl[[#This Row],[Estevan]:[Kipling]])</f>
        <v>6.1833333333333336</v>
      </c>
      <c r="I1043" s="2">
        <f>_xlfn.STDEV.S(weather.tbl[[#This Row],[Estevan]:[Kipling]])</f>
        <v>1.5992706671063128</v>
      </c>
      <c r="J1043" s="2">
        <f t="shared" si="16"/>
        <v>7.1190476190476186</v>
      </c>
      <c r="K1043">
        <f>DAY(weather.tbl[[#This Row],[Date]])</f>
        <v>7</v>
      </c>
      <c r="L1043">
        <f>MONTH(weather.tbl[[#This Row],[Date]])</f>
        <v>11</v>
      </c>
      <c r="M1043">
        <f>YEAR(weather.tbl[[#This Row],[Date]])</f>
        <v>2016</v>
      </c>
    </row>
    <row r="1044" spans="1:13" x14ac:dyDescent="0.25">
      <c r="A1044" s="1">
        <v>42682</v>
      </c>
      <c r="B1044" s="2">
        <v>5.0999999999999996</v>
      </c>
      <c r="C1044" s="2">
        <v>4.9000000000000004</v>
      </c>
      <c r="D1044" s="2">
        <v>3.8</v>
      </c>
      <c r="E1044" s="2">
        <v>5.5</v>
      </c>
      <c r="F1044" s="2">
        <v>3.7</v>
      </c>
      <c r="G1044" s="2">
        <v>5.3</v>
      </c>
      <c r="H1044" s="2">
        <f>AVERAGE(weather.tbl[[#This Row],[Estevan]:[Kipling]])</f>
        <v>4.7166666666666668</v>
      </c>
      <c r="I1044" s="2">
        <f>_xlfn.STDEV.S(weather.tbl[[#This Row],[Estevan]:[Kipling]])</f>
        <v>0.77567175188134241</v>
      </c>
      <c r="J1044" s="2">
        <f t="shared" si="16"/>
        <v>6.8976190476190471</v>
      </c>
      <c r="K1044">
        <f>DAY(weather.tbl[[#This Row],[Date]])</f>
        <v>8</v>
      </c>
      <c r="L1044">
        <f>MONTH(weather.tbl[[#This Row],[Date]])</f>
        <v>11</v>
      </c>
      <c r="M1044">
        <f>YEAR(weather.tbl[[#This Row],[Date]])</f>
        <v>2016</v>
      </c>
    </row>
    <row r="1045" spans="1:13" x14ac:dyDescent="0.25">
      <c r="A1045" s="1">
        <v>42683</v>
      </c>
      <c r="B1045" s="2">
        <v>12.3</v>
      </c>
      <c r="C1045" s="2">
        <v>11.4</v>
      </c>
      <c r="D1045" s="2">
        <v>3.8</v>
      </c>
      <c r="E1045" s="2">
        <v>12.3</v>
      </c>
      <c r="F1045" s="2">
        <v>11.6</v>
      </c>
      <c r="G1045" s="2">
        <v>12.8</v>
      </c>
      <c r="H1045" s="2">
        <f>AVERAGE(weather.tbl[[#This Row],[Estevan]:[Kipling]])</f>
        <v>10.700000000000001</v>
      </c>
      <c r="I1045" s="2">
        <f>_xlfn.STDEV.S(weather.tbl[[#This Row],[Estevan]:[Kipling]])</f>
        <v>3.4187717092546541</v>
      </c>
      <c r="J1045" s="2">
        <f t="shared" si="16"/>
        <v>7.7785714285714294</v>
      </c>
      <c r="K1045">
        <f>DAY(weather.tbl[[#This Row],[Date]])</f>
        <v>9</v>
      </c>
      <c r="L1045">
        <f>MONTH(weather.tbl[[#This Row],[Date]])</f>
        <v>11</v>
      </c>
      <c r="M1045">
        <f>YEAR(weather.tbl[[#This Row],[Date]])</f>
        <v>2016</v>
      </c>
    </row>
    <row r="1046" spans="1:13" x14ac:dyDescent="0.25">
      <c r="A1046" s="1">
        <v>42684</v>
      </c>
      <c r="B1046" s="2">
        <v>5.2</v>
      </c>
      <c r="C1046" s="2">
        <v>3.4</v>
      </c>
      <c r="D1046" s="2">
        <v>3.8</v>
      </c>
      <c r="E1046" s="2">
        <v>7</v>
      </c>
      <c r="F1046" s="2">
        <v>6.2</v>
      </c>
      <c r="G1046" s="2">
        <v>7</v>
      </c>
      <c r="H1046" s="2">
        <f>AVERAGE(weather.tbl[[#This Row],[Estevan]:[Kipling]])</f>
        <v>5.4333333333333327</v>
      </c>
      <c r="I1046" s="2">
        <f>_xlfn.STDEV.S(weather.tbl[[#This Row],[Estevan]:[Kipling]])</f>
        <v>1.5718354451617007</v>
      </c>
      <c r="J1046" s="2">
        <f t="shared" si="16"/>
        <v>7.6309523809523805</v>
      </c>
      <c r="K1046">
        <f>DAY(weather.tbl[[#This Row],[Date]])</f>
        <v>10</v>
      </c>
      <c r="L1046">
        <f>MONTH(weather.tbl[[#This Row],[Date]])</f>
        <v>11</v>
      </c>
      <c r="M1046">
        <f>YEAR(weather.tbl[[#This Row],[Date]])</f>
        <v>2016</v>
      </c>
    </row>
    <row r="1047" spans="1:13" x14ac:dyDescent="0.25">
      <c r="A1047" s="1">
        <v>42685</v>
      </c>
      <c r="B1047" s="2">
        <v>4</v>
      </c>
      <c r="C1047" s="2">
        <v>3.7</v>
      </c>
      <c r="D1047" s="2">
        <v>2.5</v>
      </c>
      <c r="E1047" s="2">
        <v>7</v>
      </c>
      <c r="F1047" s="2">
        <v>2.2000000000000002</v>
      </c>
      <c r="G1047" s="2">
        <v>4</v>
      </c>
      <c r="H1047" s="2">
        <f>AVERAGE(weather.tbl[[#This Row],[Estevan]:[Kipling]])</f>
        <v>3.9</v>
      </c>
      <c r="I1047" s="2">
        <f>_xlfn.STDEV.S(weather.tbl[[#This Row],[Estevan]:[Kipling]])</f>
        <v>1.7041126723312641</v>
      </c>
      <c r="J1047" s="2">
        <f t="shared" si="16"/>
        <v>6.9880952380952381</v>
      </c>
      <c r="K1047">
        <f>DAY(weather.tbl[[#This Row],[Date]])</f>
        <v>11</v>
      </c>
      <c r="L1047">
        <f>MONTH(weather.tbl[[#This Row],[Date]])</f>
        <v>11</v>
      </c>
      <c r="M1047">
        <f>YEAR(weather.tbl[[#This Row],[Date]])</f>
        <v>2016</v>
      </c>
    </row>
    <row r="1048" spans="1:13" x14ac:dyDescent="0.25">
      <c r="A1048" s="1">
        <v>42686</v>
      </c>
      <c r="B1048" s="2">
        <v>10</v>
      </c>
      <c r="C1048" s="2">
        <v>8.9</v>
      </c>
      <c r="D1048" s="2">
        <v>7</v>
      </c>
      <c r="E1048" s="2">
        <v>7</v>
      </c>
      <c r="F1048" s="2">
        <v>7.8</v>
      </c>
      <c r="G1048" s="2">
        <v>8.8000000000000007</v>
      </c>
      <c r="H1048" s="2">
        <f>AVERAGE(weather.tbl[[#This Row],[Estevan]:[Kipling]])</f>
        <v>8.25</v>
      </c>
      <c r="I1048" s="2">
        <f>_xlfn.STDEV.S(weather.tbl[[#This Row],[Estevan]:[Kipling]])</f>
        <v>1.1928956366757328</v>
      </c>
      <c r="J1048" s="2">
        <f t="shared" si="16"/>
        <v>6.954761904761904</v>
      </c>
      <c r="K1048">
        <f>DAY(weather.tbl[[#This Row],[Date]])</f>
        <v>12</v>
      </c>
      <c r="L1048">
        <f>MONTH(weather.tbl[[#This Row],[Date]])</f>
        <v>11</v>
      </c>
      <c r="M1048">
        <f>YEAR(weather.tbl[[#This Row],[Date]])</f>
        <v>2016</v>
      </c>
    </row>
    <row r="1049" spans="1:13" x14ac:dyDescent="0.25">
      <c r="A1049" s="1">
        <v>42687</v>
      </c>
      <c r="B1049" s="2">
        <v>5.7</v>
      </c>
      <c r="C1049" s="2">
        <v>5.9</v>
      </c>
      <c r="D1049" s="2">
        <v>7</v>
      </c>
      <c r="E1049" s="2">
        <v>9.3000000000000007</v>
      </c>
      <c r="F1049" s="2">
        <v>6.7</v>
      </c>
      <c r="G1049" s="2">
        <v>6.3</v>
      </c>
      <c r="H1049" s="2">
        <f>AVERAGE(weather.tbl[[#This Row],[Estevan]:[Kipling]])</f>
        <v>6.8166666666666664</v>
      </c>
      <c r="I1049" s="2">
        <f>_xlfn.STDEV.S(weather.tbl[[#This Row],[Estevan]:[Kipling]])</f>
        <v>1.3090709173557655</v>
      </c>
      <c r="J1049" s="2">
        <f t="shared" si="16"/>
        <v>6.5714285714285712</v>
      </c>
      <c r="K1049">
        <f>DAY(weather.tbl[[#This Row],[Date]])</f>
        <v>13</v>
      </c>
      <c r="L1049">
        <f>MONTH(weather.tbl[[#This Row],[Date]])</f>
        <v>11</v>
      </c>
      <c r="M1049">
        <f>YEAR(weather.tbl[[#This Row],[Date]])</f>
        <v>2016</v>
      </c>
    </row>
    <row r="1050" spans="1:13" x14ac:dyDescent="0.25">
      <c r="A1050" s="1">
        <v>42688</v>
      </c>
      <c r="B1050" s="2">
        <v>7.8</v>
      </c>
      <c r="C1050" s="2">
        <v>8</v>
      </c>
      <c r="D1050" s="2">
        <v>6</v>
      </c>
      <c r="E1050" s="2">
        <v>8.5</v>
      </c>
      <c r="F1050" s="2">
        <v>4.9000000000000004</v>
      </c>
      <c r="G1050" s="2">
        <v>6.8</v>
      </c>
      <c r="H1050" s="2">
        <f>AVERAGE(weather.tbl[[#This Row],[Estevan]:[Kipling]])</f>
        <v>7</v>
      </c>
      <c r="I1050" s="2">
        <f>_xlfn.STDEV.S(weather.tbl[[#This Row],[Estevan]:[Kipling]])</f>
        <v>1.3667479650615932</v>
      </c>
      <c r="J1050" s="2">
        <f t="shared" si="16"/>
        <v>6.6880952380952374</v>
      </c>
      <c r="K1050">
        <f>DAY(weather.tbl[[#This Row],[Date]])</f>
        <v>14</v>
      </c>
      <c r="L1050">
        <f>MONTH(weather.tbl[[#This Row],[Date]])</f>
        <v>11</v>
      </c>
      <c r="M1050">
        <f>YEAR(weather.tbl[[#This Row],[Date]])</f>
        <v>2016</v>
      </c>
    </row>
    <row r="1051" spans="1:13" x14ac:dyDescent="0.25">
      <c r="A1051" s="1">
        <v>42689</v>
      </c>
      <c r="B1051" s="2">
        <v>4.0999999999999996</v>
      </c>
      <c r="C1051" s="2">
        <v>3.5</v>
      </c>
      <c r="D1051" s="2">
        <v>6</v>
      </c>
      <c r="E1051" s="2">
        <v>3.8</v>
      </c>
      <c r="F1051" s="2">
        <v>5.2</v>
      </c>
      <c r="G1051" s="2">
        <v>2.8</v>
      </c>
      <c r="H1051" s="2">
        <f>AVERAGE(weather.tbl[[#This Row],[Estevan]:[Kipling]])</f>
        <v>4.2333333333333334</v>
      </c>
      <c r="I1051" s="2">
        <f>_xlfn.STDEV.S(weather.tbl[[#This Row],[Estevan]:[Kipling]])</f>
        <v>1.170754742320812</v>
      </c>
      <c r="J1051" s="2">
        <f t="shared" si="16"/>
        <v>6.6190476190476186</v>
      </c>
      <c r="K1051">
        <f>DAY(weather.tbl[[#This Row],[Date]])</f>
        <v>15</v>
      </c>
      <c r="L1051">
        <f>MONTH(weather.tbl[[#This Row],[Date]])</f>
        <v>11</v>
      </c>
      <c r="M1051">
        <f>YEAR(weather.tbl[[#This Row],[Date]])</f>
        <v>2016</v>
      </c>
    </row>
    <row r="1052" spans="1:13" x14ac:dyDescent="0.25">
      <c r="A1052" s="1">
        <v>42690</v>
      </c>
      <c r="B1052" s="2">
        <v>4.5</v>
      </c>
      <c r="C1052" s="2">
        <v>0.8</v>
      </c>
      <c r="D1052" s="2">
        <v>5.8</v>
      </c>
      <c r="E1052" s="2">
        <v>3</v>
      </c>
      <c r="F1052" s="2">
        <v>7.2</v>
      </c>
      <c r="G1052" s="2">
        <v>3.5</v>
      </c>
      <c r="H1052" s="2">
        <f>AVERAGE(weather.tbl[[#This Row],[Estevan]:[Kipling]])</f>
        <v>4.1333333333333337</v>
      </c>
      <c r="I1052" s="2">
        <f>_xlfn.STDEV.S(weather.tbl[[#This Row],[Estevan]:[Kipling]])</f>
        <v>2.2411306670220426</v>
      </c>
      <c r="J1052" s="2">
        <f t="shared" si="16"/>
        <v>5.6809523809523812</v>
      </c>
      <c r="K1052">
        <f>DAY(weather.tbl[[#This Row],[Date]])</f>
        <v>16</v>
      </c>
      <c r="L1052">
        <f>MONTH(weather.tbl[[#This Row],[Date]])</f>
        <v>11</v>
      </c>
      <c r="M1052">
        <f>YEAR(weather.tbl[[#This Row],[Date]])</f>
        <v>2016</v>
      </c>
    </row>
    <row r="1053" spans="1:13" x14ac:dyDescent="0.25">
      <c r="A1053" s="1">
        <v>42691</v>
      </c>
      <c r="B1053" s="2">
        <v>-3.6</v>
      </c>
      <c r="C1053" s="2">
        <v>-4.9000000000000004</v>
      </c>
      <c r="D1053" s="2">
        <v>-1.8</v>
      </c>
      <c r="E1053" s="2">
        <v>-3.3</v>
      </c>
      <c r="F1053" s="2">
        <v>0.7</v>
      </c>
      <c r="G1053" s="2">
        <v>-3</v>
      </c>
      <c r="H1053" s="2">
        <f>AVERAGE(weather.tbl[[#This Row],[Estevan]:[Kipling]])</f>
        <v>-2.6500000000000004</v>
      </c>
      <c r="I1053" s="2">
        <f>_xlfn.STDEV.S(weather.tbl[[#This Row],[Estevan]:[Kipling]])</f>
        <v>1.9211975432005943</v>
      </c>
      <c r="J1053" s="2">
        <f t="shared" si="16"/>
        <v>4.526190476190477</v>
      </c>
      <c r="K1053">
        <f>DAY(weather.tbl[[#This Row],[Date]])</f>
        <v>17</v>
      </c>
      <c r="L1053">
        <f>MONTH(weather.tbl[[#This Row],[Date]])</f>
        <v>11</v>
      </c>
      <c r="M1053">
        <f>YEAR(weather.tbl[[#This Row],[Date]])</f>
        <v>2016</v>
      </c>
    </row>
    <row r="1054" spans="1:13" x14ac:dyDescent="0.25">
      <c r="A1054" s="1">
        <v>42692</v>
      </c>
      <c r="B1054" s="2">
        <v>-5.7</v>
      </c>
      <c r="C1054" s="2">
        <v>-6.7</v>
      </c>
      <c r="D1054" s="2">
        <v>-2</v>
      </c>
      <c r="E1054" s="2">
        <v>-5.3</v>
      </c>
      <c r="F1054" s="2">
        <v>-4.0999999999999996</v>
      </c>
      <c r="G1054" s="2">
        <v>-5.5</v>
      </c>
      <c r="H1054" s="2">
        <f>AVERAGE(weather.tbl[[#This Row],[Estevan]:[Kipling]])</f>
        <v>-4.8833333333333329</v>
      </c>
      <c r="I1054" s="2">
        <f>_xlfn.STDEV.S(weather.tbl[[#This Row],[Estevan]:[Kipling]])</f>
        <v>1.6400203250773071</v>
      </c>
      <c r="J1054" s="2">
        <f t="shared" si="16"/>
        <v>3.2714285714285714</v>
      </c>
      <c r="K1054">
        <f>DAY(weather.tbl[[#This Row],[Date]])</f>
        <v>18</v>
      </c>
      <c r="L1054">
        <f>MONTH(weather.tbl[[#This Row],[Date]])</f>
        <v>11</v>
      </c>
      <c r="M1054">
        <f>YEAR(weather.tbl[[#This Row],[Date]])</f>
        <v>2016</v>
      </c>
    </row>
    <row r="1055" spans="1:13" x14ac:dyDescent="0.25">
      <c r="A1055" s="1">
        <v>42693</v>
      </c>
      <c r="B1055" s="2">
        <v>-6.1</v>
      </c>
      <c r="C1055" s="2">
        <v>-7.1</v>
      </c>
      <c r="D1055" s="2">
        <v>-8.3000000000000007</v>
      </c>
      <c r="E1055" s="2">
        <v>-8</v>
      </c>
      <c r="F1055" s="2">
        <v>-6.8</v>
      </c>
      <c r="G1055" s="2">
        <v>-7</v>
      </c>
      <c r="H1055" s="2">
        <f>AVERAGE(weather.tbl[[#This Row],[Estevan]:[Kipling]])</f>
        <v>-7.2166666666666659</v>
      </c>
      <c r="I1055" s="2">
        <f>_xlfn.STDEV.S(weather.tbl[[#This Row],[Estevan]:[Kipling]])</f>
        <v>0.80849654709632168</v>
      </c>
      <c r="J1055" s="2">
        <f t="shared" si="16"/>
        <v>1.0619047619047619</v>
      </c>
      <c r="K1055">
        <f>DAY(weather.tbl[[#This Row],[Date]])</f>
        <v>19</v>
      </c>
      <c r="L1055">
        <f>MONTH(weather.tbl[[#This Row],[Date]])</f>
        <v>11</v>
      </c>
      <c r="M1055">
        <f>YEAR(weather.tbl[[#This Row],[Date]])</f>
        <v>2016</v>
      </c>
    </row>
    <row r="1056" spans="1:13" x14ac:dyDescent="0.25">
      <c r="A1056" s="1">
        <v>42694</v>
      </c>
      <c r="B1056" s="2">
        <v>-2</v>
      </c>
      <c r="C1056" s="2">
        <v>-0.5</v>
      </c>
      <c r="D1056" s="2">
        <v>-3.3</v>
      </c>
      <c r="E1056" s="2">
        <v>0.5</v>
      </c>
      <c r="F1056" s="2">
        <v>-1.7</v>
      </c>
      <c r="G1056" s="2">
        <v>-2</v>
      </c>
      <c r="H1056" s="2">
        <f>AVERAGE(weather.tbl[[#This Row],[Estevan]:[Kipling]])</f>
        <v>-1.5</v>
      </c>
      <c r="I1056" s="2">
        <f>_xlfn.STDEV.S(weather.tbl[[#This Row],[Estevan]:[Kipling]])</f>
        <v>1.3251415018781956</v>
      </c>
      <c r="J1056" s="2">
        <f t="shared" si="16"/>
        <v>-0.12619047619047599</v>
      </c>
      <c r="K1056">
        <f>DAY(weather.tbl[[#This Row],[Date]])</f>
        <v>20</v>
      </c>
      <c r="L1056">
        <f>MONTH(weather.tbl[[#This Row],[Date]])</f>
        <v>11</v>
      </c>
      <c r="M1056">
        <f>YEAR(weather.tbl[[#This Row],[Date]])</f>
        <v>2016</v>
      </c>
    </row>
    <row r="1057" spans="1:13" x14ac:dyDescent="0.25">
      <c r="A1057" s="1">
        <v>42695</v>
      </c>
      <c r="B1057" s="2">
        <v>-1.9</v>
      </c>
      <c r="C1057" s="2">
        <v>-1.7</v>
      </c>
      <c r="D1057" s="2">
        <v>-3.8</v>
      </c>
      <c r="E1057" s="2">
        <v>-1</v>
      </c>
      <c r="F1057" s="2">
        <v>-1.4</v>
      </c>
      <c r="G1057" s="2">
        <v>-2.8</v>
      </c>
      <c r="H1057" s="2">
        <f>AVERAGE(weather.tbl[[#This Row],[Estevan]:[Kipling]])</f>
        <v>-2.0999999999999996</v>
      </c>
      <c r="I1057" s="2">
        <f>_xlfn.STDEV.S(weather.tbl[[#This Row],[Estevan]:[Kipling]])</f>
        <v>1.0276186062932111</v>
      </c>
      <c r="J1057" s="2">
        <f t="shared" si="16"/>
        <v>-1.4261904761904758</v>
      </c>
      <c r="K1057">
        <f>DAY(weather.tbl[[#This Row],[Date]])</f>
        <v>21</v>
      </c>
      <c r="L1057">
        <f>MONTH(weather.tbl[[#This Row],[Date]])</f>
        <v>11</v>
      </c>
      <c r="M1057">
        <f>YEAR(weather.tbl[[#This Row],[Date]])</f>
        <v>2016</v>
      </c>
    </row>
    <row r="1058" spans="1:13" x14ac:dyDescent="0.25">
      <c r="A1058" s="1">
        <v>42696</v>
      </c>
      <c r="B1058" s="2">
        <v>-1.9</v>
      </c>
      <c r="C1058" s="2">
        <v>-2.6</v>
      </c>
      <c r="D1058" s="2">
        <v>-2.8</v>
      </c>
      <c r="E1058" s="2">
        <v>-2.5</v>
      </c>
      <c r="F1058" s="2">
        <v>-1.7</v>
      </c>
      <c r="G1058" s="2">
        <v>-2.2999999999999998</v>
      </c>
      <c r="H1058" s="2">
        <f>AVERAGE(weather.tbl[[#This Row],[Estevan]:[Kipling]])</f>
        <v>-2.3000000000000003</v>
      </c>
      <c r="I1058" s="2">
        <f>_xlfn.STDEV.S(weather.tbl[[#This Row],[Estevan]:[Kipling]])</f>
        <v>0.42426406871192734</v>
      </c>
      <c r="J1058" s="2">
        <f t="shared" si="16"/>
        <v>-2.3595238095238096</v>
      </c>
      <c r="K1058">
        <f>DAY(weather.tbl[[#This Row],[Date]])</f>
        <v>22</v>
      </c>
      <c r="L1058">
        <f>MONTH(weather.tbl[[#This Row],[Date]])</f>
        <v>11</v>
      </c>
      <c r="M1058">
        <f>YEAR(weather.tbl[[#This Row],[Date]])</f>
        <v>2016</v>
      </c>
    </row>
    <row r="1059" spans="1:13" x14ac:dyDescent="0.25">
      <c r="A1059" s="1">
        <v>42697</v>
      </c>
      <c r="B1059" s="2">
        <v>-0.9</v>
      </c>
      <c r="C1059" s="2">
        <v>-1.3</v>
      </c>
      <c r="D1059" s="2">
        <v>-0.8</v>
      </c>
      <c r="E1059" s="2">
        <v>-1.8</v>
      </c>
      <c r="F1059" s="2">
        <v>-0.1</v>
      </c>
      <c r="G1059" s="2">
        <v>-1</v>
      </c>
      <c r="H1059" s="2">
        <f>AVERAGE(weather.tbl[[#This Row],[Estevan]:[Kipling]])</f>
        <v>-0.98333333333333328</v>
      </c>
      <c r="I1059" s="2">
        <f>_xlfn.STDEV.S(weather.tbl[[#This Row],[Estevan]:[Kipling]])</f>
        <v>0.56361925682739666</v>
      </c>
      <c r="J1059" s="2">
        <f t="shared" si="16"/>
        <v>-3.090476190476191</v>
      </c>
      <c r="K1059">
        <f>DAY(weather.tbl[[#This Row],[Date]])</f>
        <v>23</v>
      </c>
      <c r="L1059">
        <f>MONTH(weather.tbl[[#This Row],[Date]])</f>
        <v>11</v>
      </c>
      <c r="M1059">
        <f>YEAR(weather.tbl[[#This Row],[Date]])</f>
        <v>2016</v>
      </c>
    </row>
    <row r="1060" spans="1:13" x14ac:dyDescent="0.25">
      <c r="A1060" s="1">
        <v>42698</v>
      </c>
      <c r="B1060" s="2">
        <v>-1.8</v>
      </c>
      <c r="C1060" s="2">
        <v>-2.5</v>
      </c>
      <c r="D1060" s="2">
        <v>-0.5</v>
      </c>
      <c r="E1060" s="2">
        <v>1.8</v>
      </c>
      <c r="F1060" s="2">
        <v>1.5</v>
      </c>
      <c r="G1060" s="2">
        <v>-0.8</v>
      </c>
      <c r="H1060" s="2">
        <f>AVERAGE(weather.tbl[[#This Row],[Estevan]:[Kipling]])</f>
        <v>-0.3833333333333333</v>
      </c>
      <c r="I1060" s="2">
        <f>_xlfn.STDEV.S(weather.tbl[[#This Row],[Estevan]:[Kipling]])</f>
        <v>1.7313771012308863</v>
      </c>
      <c r="J1060" s="2">
        <f t="shared" si="16"/>
        <v>-2.7666666666666662</v>
      </c>
      <c r="K1060">
        <f>DAY(weather.tbl[[#This Row],[Date]])</f>
        <v>24</v>
      </c>
      <c r="L1060">
        <f>MONTH(weather.tbl[[#This Row],[Date]])</f>
        <v>11</v>
      </c>
      <c r="M1060">
        <f>YEAR(weather.tbl[[#This Row],[Date]])</f>
        <v>2016</v>
      </c>
    </row>
    <row r="1061" spans="1:13" x14ac:dyDescent="0.25">
      <c r="A1061" s="1">
        <v>42699</v>
      </c>
      <c r="B1061" s="2">
        <v>0</v>
      </c>
      <c r="C1061" s="2">
        <v>-0.9</v>
      </c>
      <c r="D1061" s="2">
        <v>-1.5</v>
      </c>
      <c r="E1061" s="2">
        <v>-1</v>
      </c>
      <c r="F1061" s="2">
        <v>-0.2</v>
      </c>
      <c r="G1061" s="2">
        <v>-0.8</v>
      </c>
      <c r="H1061" s="2">
        <f>AVERAGE(weather.tbl[[#This Row],[Estevan]:[Kipling]])</f>
        <v>-0.73333333333333339</v>
      </c>
      <c r="I1061" s="2">
        <f>_xlfn.STDEV.S(weather.tbl[[#This Row],[Estevan]:[Kipling]])</f>
        <v>0.55015149428740684</v>
      </c>
      <c r="J1061" s="2">
        <f t="shared" si="16"/>
        <v>-2.1738095238095236</v>
      </c>
      <c r="K1061">
        <f>DAY(weather.tbl[[#This Row],[Date]])</f>
        <v>25</v>
      </c>
      <c r="L1061">
        <f>MONTH(weather.tbl[[#This Row],[Date]])</f>
        <v>11</v>
      </c>
      <c r="M1061">
        <f>YEAR(weather.tbl[[#This Row],[Date]])</f>
        <v>2016</v>
      </c>
    </row>
    <row r="1062" spans="1:13" x14ac:dyDescent="0.25">
      <c r="A1062" s="1">
        <v>42700</v>
      </c>
      <c r="B1062" s="2">
        <v>1.2</v>
      </c>
      <c r="C1062" s="2">
        <v>-0.1</v>
      </c>
      <c r="D1062" s="2">
        <v>1.8</v>
      </c>
      <c r="E1062" s="2">
        <v>1.3</v>
      </c>
      <c r="F1062" s="2">
        <v>1.7</v>
      </c>
      <c r="G1062" s="2">
        <v>0.5</v>
      </c>
      <c r="H1062" s="2">
        <f>AVERAGE(weather.tbl[[#This Row],[Estevan]:[Kipling]])</f>
        <v>1.0666666666666667</v>
      </c>
      <c r="I1062" s="2">
        <f>_xlfn.STDEV.S(weather.tbl[[#This Row],[Estevan]:[Kipling]])</f>
        <v>0.73393914370788693</v>
      </c>
      <c r="J1062" s="2">
        <f t="shared" si="16"/>
        <v>-0.99047619047619051</v>
      </c>
      <c r="K1062">
        <f>DAY(weather.tbl[[#This Row],[Date]])</f>
        <v>26</v>
      </c>
      <c r="L1062">
        <f>MONTH(weather.tbl[[#This Row],[Date]])</f>
        <v>11</v>
      </c>
      <c r="M1062">
        <f>YEAR(weather.tbl[[#This Row],[Date]])</f>
        <v>2016</v>
      </c>
    </row>
    <row r="1063" spans="1:13" x14ac:dyDescent="0.25">
      <c r="A1063" s="1">
        <v>42701</v>
      </c>
      <c r="B1063" s="2">
        <v>0.2</v>
      </c>
      <c r="C1063" s="2">
        <v>1.6</v>
      </c>
      <c r="D1063" s="2">
        <v>-1.3</v>
      </c>
      <c r="E1063" s="2">
        <v>0.5</v>
      </c>
      <c r="F1063" s="2">
        <v>-0.3</v>
      </c>
      <c r="G1063" s="2">
        <v>0</v>
      </c>
      <c r="H1063" s="2">
        <f>AVERAGE(weather.tbl[[#This Row],[Estevan]:[Kipling]])</f>
        <v>0.11666666666666665</v>
      </c>
      <c r="I1063" s="2">
        <f>_xlfn.STDEV.S(weather.tbl[[#This Row],[Estevan]:[Kipling]])</f>
        <v>0.95376447127509778</v>
      </c>
      <c r="J1063" s="2">
        <f t="shared" si="16"/>
        <v>-0.75952380952380971</v>
      </c>
      <c r="K1063">
        <f>DAY(weather.tbl[[#This Row],[Date]])</f>
        <v>27</v>
      </c>
      <c r="L1063">
        <f>MONTH(weather.tbl[[#This Row],[Date]])</f>
        <v>11</v>
      </c>
      <c r="M1063">
        <f>YEAR(weather.tbl[[#This Row],[Date]])</f>
        <v>2016</v>
      </c>
    </row>
    <row r="1064" spans="1:13" x14ac:dyDescent="0.25">
      <c r="A1064" s="1">
        <v>42702</v>
      </c>
      <c r="B1064" s="2">
        <v>-2.6</v>
      </c>
      <c r="C1064" s="2">
        <v>-2.5</v>
      </c>
      <c r="D1064" s="2">
        <v>-2.8</v>
      </c>
      <c r="E1064" s="2">
        <v>-2.5</v>
      </c>
      <c r="F1064" s="2">
        <v>-1.6</v>
      </c>
      <c r="G1064" s="2">
        <v>-3.5</v>
      </c>
      <c r="H1064" s="2">
        <f>AVERAGE(weather.tbl[[#This Row],[Estevan]:[Kipling]])</f>
        <v>-2.583333333333333</v>
      </c>
      <c r="I1064" s="2">
        <f>_xlfn.STDEV.S(weather.tbl[[#This Row],[Estevan]:[Kipling]])</f>
        <v>0.61128280416405412</v>
      </c>
      <c r="J1064" s="2">
        <f t="shared" si="16"/>
        <v>-0.82857142857142863</v>
      </c>
      <c r="K1064">
        <f>DAY(weather.tbl[[#This Row],[Date]])</f>
        <v>28</v>
      </c>
      <c r="L1064">
        <f>MONTH(weather.tbl[[#This Row],[Date]])</f>
        <v>11</v>
      </c>
      <c r="M1064">
        <f>YEAR(weather.tbl[[#This Row],[Date]])</f>
        <v>2016</v>
      </c>
    </row>
    <row r="1065" spans="1:13" x14ac:dyDescent="0.25">
      <c r="A1065" s="1">
        <v>42703</v>
      </c>
      <c r="B1065" s="2">
        <v>-3.7</v>
      </c>
      <c r="C1065" s="2">
        <v>-3.7</v>
      </c>
      <c r="D1065" s="2">
        <v>-2.8</v>
      </c>
      <c r="E1065" s="2">
        <v>-3.5</v>
      </c>
      <c r="F1065" s="2">
        <v>-1.4</v>
      </c>
      <c r="G1065" s="2">
        <v>-4.3</v>
      </c>
      <c r="H1065" s="2">
        <f>AVERAGE(weather.tbl[[#This Row],[Estevan]:[Kipling]])</f>
        <v>-3.2333333333333329</v>
      </c>
      <c r="I1065" s="2">
        <f>_xlfn.STDEV.S(weather.tbl[[#This Row],[Estevan]:[Kipling]])</f>
        <v>1.0191499726078928</v>
      </c>
      <c r="J1065" s="2">
        <f t="shared" si="16"/>
        <v>-0.96190476190476182</v>
      </c>
      <c r="K1065">
        <f>DAY(weather.tbl[[#This Row],[Date]])</f>
        <v>29</v>
      </c>
      <c r="L1065">
        <f>MONTH(weather.tbl[[#This Row],[Date]])</f>
        <v>11</v>
      </c>
      <c r="M1065">
        <f>YEAR(weather.tbl[[#This Row],[Date]])</f>
        <v>2016</v>
      </c>
    </row>
    <row r="1066" spans="1:13" x14ac:dyDescent="0.25">
      <c r="A1066" s="1">
        <v>42704</v>
      </c>
      <c r="B1066" s="2">
        <v>-4.0999999999999996</v>
      </c>
      <c r="C1066" s="2">
        <v>-4</v>
      </c>
      <c r="D1066" s="2">
        <v>-3.5</v>
      </c>
      <c r="E1066" s="2">
        <v>-3.8</v>
      </c>
      <c r="F1066" s="2">
        <v>-2.2000000000000002</v>
      </c>
      <c r="G1066" s="2">
        <v>-4.5</v>
      </c>
      <c r="H1066" s="2">
        <f>AVERAGE(weather.tbl[[#This Row],[Estevan]:[Kipling]])</f>
        <v>-3.6833333333333331</v>
      </c>
      <c r="I1066" s="2">
        <f>_xlfn.STDEV.S(weather.tbl[[#This Row],[Estevan]:[Kipling]])</f>
        <v>0.79854033502802435</v>
      </c>
      <c r="J1066" s="2">
        <f t="shared" si="16"/>
        <v>-1.3476190476190477</v>
      </c>
      <c r="K1066">
        <f>DAY(weather.tbl[[#This Row],[Date]])</f>
        <v>30</v>
      </c>
      <c r="L1066">
        <f>MONTH(weather.tbl[[#This Row],[Date]])</f>
        <v>11</v>
      </c>
      <c r="M1066">
        <f>YEAR(weather.tbl[[#This Row],[Date]])</f>
        <v>2016</v>
      </c>
    </row>
    <row r="1067" spans="1:13" x14ac:dyDescent="0.25">
      <c r="A1067" s="1">
        <v>42705</v>
      </c>
      <c r="B1067" s="2">
        <v>-2.7</v>
      </c>
      <c r="C1067" s="2">
        <v>-2.9</v>
      </c>
      <c r="D1067" s="2">
        <v>-2.8</v>
      </c>
      <c r="E1067" s="2">
        <v>-2.8</v>
      </c>
      <c r="F1067" s="2">
        <v>-3.7</v>
      </c>
      <c r="G1067" s="2">
        <v>-2.2999999999999998</v>
      </c>
      <c r="H1067" s="2">
        <f>AVERAGE(weather.tbl[[#This Row],[Estevan]:[Kipling]])</f>
        <v>-2.8666666666666667</v>
      </c>
      <c r="I1067" s="2">
        <f>_xlfn.STDEV.S(weather.tbl[[#This Row],[Estevan]:[Kipling]])</f>
        <v>0.45898438608156045</v>
      </c>
      <c r="J1067" s="2">
        <f t="shared" si="16"/>
        <v>-1.7023809523809523</v>
      </c>
      <c r="K1067">
        <f>DAY(weather.tbl[[#This Row],[Date]])</f>
        <v>1</v>
      </c>
      <c r="L1067">
        <f>MONTH(weather.tbl[[#This Row],[Date]])</f>
        <v>12</v>
      </c>
      <c r="M1067">
        <f>YEAR(weather.tbl[[#This Row],[Date]])</f>
        <v>2016</v>
      </c>
    </row>
    <row r="1068" spans="1:13" x14ac:dyDescent="0.25">
      <c r="A1068" s="1">
        <v>42706</v>
      </c>
      <c r="B1068" s="2">
        <v>-2.7</v>
      </c>
      <c r="C1068" s="2">
        <v>-3.4</v>
      </c>
      <c r="D1068" s="2">
        <v>-4</v>
      </c>
      <c r="E1068" s="2">
        <v>-3.5</v>
      </c>
      <c r="F1068" s="2">
        <v>-3</v>
      </c>
      <c r="G1068" s="2">
        <v>-3.3</v>
      </c>
      <c r="H1068" s="2">
        <f>AVERAGE(weather.tbl[[#This Row],[Estevan]:[Kipling]])</f>
        <v>-3.3166666666666669</v>
      </c>
      <c r="I1068" s="2">
        <f>_xlfn.STDEV.S(weather.tbl[[#This Row],[Estevan]:[Kipling]])</f>
        <v>0.4445971959725602</v>
      </c>
      <c r="J1068" s="2">
        <f t="shared" si="16"/>
        <v>-2.0714285714285716</v>
      </c>
      <c r="K1068">
        <f>DAY(weather.tbl[[#This Row],[Date]])</f>
        <v>2</v>
      </c>
      <c r="L1068">
        <f>MONTH(weather.tbl[[#This Row],[Date]])</f>
        <v>12</v>
      </c>
      <c r="M1068">
        <f>YEAR(weather.tbl[[#This Row],[Date]])</f>
        <v>2016</v>
      </c>
    </row>
    <row r="1069" spans="1:13" x14ac:dyDescent="0.25">
      <c r="A1069" s="1">
        <v>42707</v>
      </c>
      <c r="B1069" s="2">
        <v>-4.7</v>
      </c>
      <c r="C1069" s="2">
        <v>-4.2</v>
      </c>
      <c r="D1069" s="2">
        <v>-4</v>
      </c>
      <c r="E1069" s="2">
        <v>-4.5</v>
      </c>
      <c r="F1069" s="2">
        <v>-3.8</v>
      </c>
      <c r="G1069" s="2">
        <v>-4</v>
      </c>
      <c r="H1069" s="2">
        <f>AVERAGE(weather.tbl[[#This Row],[Estevan]:[Kipling]])</f>
        <v>-4.2</v>
      </c>
      <c r="I1069" s="2">
        <f>_xlfn.STDEV.S(weather.tbl[[#This Row],[Estevan]:[Kipling]])</f>
        <v>0.3405877273185281</v>
      </c>
      <c r="J1069" s="2">
        <f t="shared" si="16"/>
        <v>-2.8238095238095235</v>
      </c>
      <c r="K1069">
        <f>DAY(weather.tbl[[#This Row],[Date]])</f>
        <v>3</v>
      </c>
      <c r="L1069">
        <f>MONTH(weather.tbl[[#This Row],[Date]])</f>
        <v>12</v>
      </c>
      <c r="M1069">
        <f>YEAR(weather.tbl[[#This Row],[Date]])</f>
        <v>2016</v>
      </c>
    </row>
    <row r="1070" spans="1:13" x14ac:dyDescent="0.25">
      <c r="A1070" s="1">
        <v>42708</v>
      </c>
      <c r="B1070" s="2">
        <v>-6.5</v>
      </c>
      <c r="C1070" s="2">
        <v>-6</v>
      </c>
      <c r="D1070" s="2">
        <v>-5.8</v>
      </c>
      <c r="E1070" s="2">
        <v>-6.5</v>
      </c>
      <c r="F1070" s="2">
        <v>-4.3</v>
      </c>
      <c r="G1070" s="2">
        <v>-7</v>
      </c>
      <c r="H1070" s="2">
        <f>AVERAGE(weather.tbl[[#This Row],[Estevan]:[Kipling]])</f>
        <v>-6.0166666666666666</v>
      </c>
      <c r="I1070" s="2">
        <f>_xlfn.STDEV.S(weather.tbl[[#This Row],[Estevan]:[Kipling]])</f>
        <v>0.94109864874340488</v>
      </c>
      <c r="J1070" s="2">
        <f t="shared" si="16"/>
        <v>-3.6999999999999997</v>
      </c>
      <c r="K1070">
        <f>DAY(weather.tbl[[#This Row],[Date]])</f>
        <v>4</v>
      </c>
      <c r="L1070">
        <f>MONTH(weather.tbl[[#This Row],[Date]])</f>
        <v>12</v>
      </c>
      <c r="M1070">
        <f>YEAR(weather.tbl[[#This Row],[Date]])</f>
        <v>2016</v>
      </c>
    </row>
    <row r="1071" spans="1:13" x14ac:dyDescent="0.25">
      <c r="A1071" s="1">
        <v>42709</v>
      </c>
      <c r="B1071" s="2">
        <v>-9</v>
      </c>
      <c r="C1071" s="2">
        <v>-8.8000000000000007</v>
      </c>
      <c r="D1071" s="2">
        <v>-9.8000000000000007</v>
      </c>
      <c r="E1071" s="2">
        <v>-8.3000000000000007</v>
      </c>
      <c r="F1071" s="2">
        <v>-6.2</v>
      </c>
      <c r="G1071" s="2">
        <v>-8.5</v>
      </c>
      <c r="H1071" s="2">
        <f>AVERAGE(weather.tbl[[#This Row],[Estevan]:[Kipling]])</f>
        <v>-8.4333333333333353</v>
      </c>
      <c r="I1071" s="2">
        <f>_xlfn.STDEV.S(weather.tbl[[#This Row],[Estevan]:[Kipling]])</f>
        <v>1.211060141638981</v>
      </c>
      <c r="J1071" s="2">
        <f t="shared" si="16"/>
        <v>-4.5357142857142856</v>
      </c>
      <c r="K1071">
        <f>DAY(weather.tbl[[#This Row],[Date]])</f>
        <v>5</v>
      </c>
      <c r="L1071">
        <f>MONTH(weather.tbl[[#This Row],[Date]])</f>
        <v>12</v>
      </c>
      <c r="M1071">
        <f>YEAR(weather.tbl[[#This Row],[Date]])</f>
        <v>2016</v>
      </c>
    </row>
    <row r="1072" spans="1:13" x14ac:dyDescent="0.25">
      <c r="A1072" s="1">
        <v>42710</v>
      </c>
      <c r="B1072" s="2">
        <v>-14.3</v>
      </c>
      <c r="C1072" s="2">
        <v>-14.9</v>
      </c>
      <c r="D1072" s="2">
        <v>-9.8000000000000007</v>
      </c>
      <c r="E1072" s="2">
        <v>-15.5</v>
      </c>
      <c r="F1072" s="2">
        <v>-9.5</v>
      </c>
      <c r="G1072" s="2">
        <v>-15</v>
      </c>
      <c r="H1072" s="2">
        <f>AVERAGE(weather.tbl[[#This Row],[Estevan]:[Kipling]])</f>
        <v>-13.166666666666666</v>
      </c>
      <c r="I1072" s="2">
        <f>_xlfn.STDEV.S(weather.tbl[[#This Row],[Estevan]:[Kipling]])</f>
        <v>2.7522112322034156</v>
      </c>
      <c r="J1072" s="2">
        <f t="shared" si="16"/>
        <v>-5.954761904761904</v>
      </c>
      <c r="K1072">
        <f>DAY(weather.tbl[[#This Row],[Date]])</f>
        <v>6</v>
      </c>
      <c r="L1072">
        <f>MONTH(weather.tbl[[#This Row],[Date]])</f>
        <v>12</v>
      </c>
      <c r="M1072">
        <f>YEAR(weather.tbl[[#This Row],[Date]])</f>
        <v>2016</v>
      </c>
    </row>
    <row r="1073" spans="1:13" x14ac:dyDescent="0.25">
      <c r="A1073" s="1">
        <v>42711</v>
      </c>
      <c r="B1073" s="2">
        <v>-17.2</v>
      </c>
      <c r="C1073" s="2">
        <v>-17.5</v>
      </c>
      <c r="D1073" s="2">
        <v>-16.3</v>
      </c>
      <c r="E1073" s="2">
        <v>-17</v>
      </c>
      <c r="F1073" s="2">
        <v>-13.5</v>
      </c>
      <c r="G1073" s="2">
        <v>-16.5</v>
      </c>
      <c r="H1073" s="2">
        <f>AVERAGE(weather.tbl[[#This Row],[Estevan]:[Kipling]])</f>
        <v>-16.333333333333332</v>
      </c>
      <c r="I1073" s="2">
        <f>_xlfn.STDEV.S(weather.tbl[[#This Row],[Estevan]:[Kipling]])</f>
        <v>1.4569374271624249</v>
      </c>
      <c r="J1073" s="2">
        <f t="shared" si="16"/>
        <v>-7.761904761904761</v>
      </c>
      <c r="K1073">
        <f>DAY(weather.tbl[[#This Row],[Date]])</f>
        <v>7</v>
      </c>
      <c r="L1073">
        <f>MONTH(weather.tbl[[#This Row],[Date]])</f>
        <v>12</v>
      </c>
      <c r="M1073">
        <f>YEAR(weather.tbl[[#This Row],[Date]])</f>
        <v>2016</v>
      </c>
    </row>
    <row r="1074" spans="1:13" x14ac:dyDescent="0.25">
      <c r="A1074" s="1">
        <v>42712</v>
      </c>
      <c r="B1074" s="2">
        <v>-22.7</v>
      </c>
      <c r="C1074" s="2">
        <v>-23.3</v>
      </c>
      <c r="D1074" s="2">
        <v>-20.5</v>
      </c>
      <c r="E1074" s="2">
        <v>-20.5</v>
      </c>
      <c r="F1074" s="2">
        <v>-20.3</v>
      </c>
      <c r="G1074" s="2">
        <v>-19.8</v>
      </c>
      <c r="H1074" s="2">
        <f>AVERAGE(weather.tbl[[#This Row],[Estevan]:[Kipling]])</f>
        <v>-21.183333333333334</v>
      </c>
      <c r="I1074" s="2">
        <f>_xlfn.STDEV.S(weather.tbl[[#This Row],[Estevan]:[Kipling]])</f>
        <v>1.4427982071886096</v>
      </c>
      <c r="J1074" s="2">
        <f t="shared" si="16"/>
        <v>-10.37857142857143</v>
      </c>
      <c r="K1074">
        <f>DAY(weather.tbl[[#This Row],[Date]])</f>
        <v>8</v>
      </c>
      <c r="L1074">
        <f>MONTH(weather.tbl[[#This Row],[Date]])</f>
        <v>12</v>
      </c>
      <c r="M1074">
        <f>YEAR(weather.tbl[[#This Row],[Date]])</f>
        <v>2016</v>
      </c>
    </row>
    <row r="1075" spans="1:13" x14ac:dyDescent="0.25">
      <c r="A1075" s="1">
        <v>42713</v>
      </c>
      <c r="B1075" s="2">
        <v>-27.7</v>
      </c>
      <c r="C1075" s="2">
        <v>-28.2</v>
      </c>
      <c r="D1075" s="2">
        <v>-27.5</v>
      </c>
      <c r="E1075" s="2">
        <v>-25</v>
      </c>
      <c r="F1075" s="2">
        <v>-26.4</v>
      </c>
      <c r="G1075" s="2">
        <v>-26.3</v>
      </c>
      <c r="H1075" s="2">
        <f>AVERAGE(weather.tbl[[#This Row],[Estevan]:[Kipling]])</f>
        <v>-26.850000000000005</v>
      </c>
      <c r="I1075" s="2">
        <f>_xlfn.STDEV.S(weather.tbl[[#This Row],[Estevan]:[Kipling]])</f>
        <v>1.1743083070471738</v>
      </c>
      <c r="J1075" s="2">
        <f t="shared" si="16"/>
        <v>-13.740476190476192</v>
      </c>
      <c r="K1075">
        <f>DAY(weather.tbl[[#This Row],[Date]])</f>
        <v>9</v>
      </c>
      <c r="L1075">
        <f>MONTH(weather.tbl[[#This Row],[Date]])</f>
        <v>12</v>
      </c>
      <c r="M1075">
        <f>YEAR(weather.tbl[[#This Row],[Date]])</f>
        <v>2016</v>
      </c>
    </row>
    <row r="1076" spans="1:13" x14ac:dyDescent="0.25">
      <c r="A1076" s="1">
        <v>42714</v>
      </c>
      <c r="B1076" s="2">
        <v>-26.3</v>
      </c>
      <c r="C1076" s="2">
        <v>-27.5</v>
      </c>
      <c r="D1076" s="2">
        <v>-29.8</v>
      </c>
      <c r="E1076" s="2">
        <v>-25.5</v>
      </c>
      <c r="F1076" s="2">
        <v>-28.1</v>
      </c>
      <c r="G1076" s="2">
        <v>-25.5</v>
      </c>
      <c r="H1076" s="2">
        <f>AVERAGE(weather.tbl[[#This Row],[Estevan]:[Kipling]])</f>
        <v>-27.116666666666664</v>
      </c>
      <c r="I1076" s="2">
        <f>_xlfn.STDEV.S(weather.tbl[[#This Row],[Estevan]:[Kipling]])</f>
        <v>1.6857243744653714</v>
      </c>
      <c r="J1076" s="2">
        <f t="shared" si="16"/>
        <v>-17.014285714285716</v>
      </c>
      <c r="K1076">
        <f>DAY(weather.tbl[[#This Row],[Date]])</f>
        <v>10</v>
      </c>
      <c r="L1076">
        <f>MONTH(weather.tbl[[#This Row],[Date]])</f>
        <v>12</v>
      </c>
      <c r="M1076">
        <f>YEAR(weather.tbl[[#This Row],[Date]])</f>
        <v>2016</v>
      </c>
    </row>
    <row r="1077" spans="1:13" x14ac:dyDescent="0.25">
      <c r="A1077" s="1">
        <v>42715</v>
      </c>
      <c r="B1077" s="2">
        <v>-21.1</v>
      </c>
      <c r="C1077" s="2">
        <v>-21.6</v>
      </c>
      <c r="D1077" s="2">
        <v>-24.3</v>
      </c>
      <c r="E1077" s="2">
        <v>-20.5</v>
      </c>
      <c r="F1077" s="2">
        <v>-22</v>
      </c>
      <c r="G1077" s="2">
        <v>-22</v>
      </c>
      <c r="H1077" s="2">
        <f>AVERAGE(weather.tbl[[#This Row],[Estevan]:[Kipling]])</f>
        <v>-21.916666666666668</v>
      </c>
      <c r="I1077" s="2">
        <f>_xlfn.STDEV.S(weather.tbl[[#This Row],[Estevan]:[Kipling]])</f>
        <v>1.3014094923069628</v>
      </c>
      <c r="J1077" s="2">
        <f t="shared" si="16"/>
        <v>-19.285714285714285</v>
      </c>
      <c r="K1077">
        <f>DAY(weather.tbl[[#This Row],[Date]])</f>
        <v>11</v>
      </c>
      <c r="L1077">
        <f>MONTH(weather.tbl[[#This Row],[Date]])</f>
        <v>12</v>
      </c>
      <c r="M1077">
        <f>YEAR(weather.tbl[[#This Row],[Date]])</f>
        <v>2016</v>
      </c>
    </row>
    <row r="1078" spans="1:13" x14ac:dyDescent="0.25">
      <c r="A1078" s="1">
        <v>42716</v>
      </c>
      <c r="B1078" s="2">
        <v>-21.2</v>
      </c>
      <c r="C1078" s="2">
        <v>-19.399999999999999</v>
      </c>
      <c r="D1078" s="2">
        <v>-21.8</v>
      </c>
      <c r="E1078" s="2">
        <v>-19.3</v>
      </c>
      <c r="F1078" s="2">
        <v>-21.1</v>
      </c>
      <c r="G1078" s="2">
        <v>-21.5</v>
      </c>
      <c r="H1078" s="2">
        <f>AVERAGE(weather.tbl[[#This Row],[Estevan]:[Kipling]])</f>
        <v>-20.716666666666665</v>
      </c>
      <c r="I1078" s="2">
        <f>_xlfn.STDEV.S(weather.tbl[[#This Row],[Estevan]:[Kipling]])</f>
        <v>1.0870449239413555</v>
      </c>
      <c r="J1078" s="2">
        <f t="shared" si="16"/>
        <v>-21.040476190476191</v>
      </c>
      <c r="K1078">
        <f>DAY(weather.tbl[[#This Row],[Date]])</f>
        <v>12</v>
      </c>
      <c r="L1078">
        <f>MONTH(weather.tbl[[#This Row],[Date]])</f>
        <v>12</v>
      </c>
      <c r="M1078">
        <f>YEAR(weather.tbl[[#This Row],[Date]])</f>
        <v>2016</v>
      </c>
    </row>
    <row r="1079" spans="1:13" x14ac:dyDescent="0.25">
      <c r="A1079" s="1">
        <v>42717</v>
      </c>
      <c r="B1079" s="2">
        <v>-18.100000000000001</v>
      </c>
      <c r="C1079" s="2">
        <v>-17.8</v>
      </c>
      <c r="D1079" s="2">
        <v>-18.3</v>
      </c>
      <c r="E1079" s="2">
        <v>-17</v>
      </c>
      <c r="F1079" s="2">
        <v>-18</v>
      </c>
      <c r="G1079" s="2">
        <v>-18.5</v>
      </c>
      <c r="H1079" s="2">
        <f>AVERAGE(weather.tbl[[#This Row],[Estevan]:[Kipling]])</f>
        <v>-17.95</v>
      </c>
      <c r="I1079" s="2">
        <f>_xlfn.STDEV.S(weather.tbl[[#This Row],[Estevan]:[Kipling]])</f>
        <v>0.52440442408507593</v>
      </c>
      <c r="J1079" s="2">
        <f t="shared" si="16"/>
        <v>-21.723809523809525</v>
      </c>
      <c r="K1079">
        <f>DAY(weather.tbl[[#This Row],[Date]])</f>
        <v>13</v>
      </c>
      <c r="L1079">
        <f>MONTH(weather.tbl[[#This Row],[Date]])</f>
        <v>12</v>
      </c>
      <c r="M1079">
        <f>YEAR(weather.tbl[[#This Row],[Date]])</f>
        <v>2016</v>
      </c>
    </row>
    <row r="1080" spans="1:13" x14ac:dyDescent="0.25">
      <c r="A1080" s="1">
        <v>42718</v>
      </c>
      <c r="B1080" s="2">
        <v>-24.1</v>
      </c>
      <c r="C1080" s="2">
        <v>-24.3</v>
      </c>
      <c r="D1080" s="2">
        <v>-23</v>
      </c>
      <c r="E1080" s="2">
        <v>-20.8</v>
      </c>
      <c r="F1080" s="2">
        <v>-23.6</v>
      </c>
      <c r="G1080" s="2">
        <v>-23.5</v>
      </c>
      <c r="H1080" s="2">
        <f>AVERAGE(weather.tbl[[#This Row],[Estevan]:[Kipling]])</f>
        <v>-23.216666666666669</v>
      </c>
      <c r="I1080" s="2">
        <f>_xlfn.STDEV.S(weather.tbl[[#This Row],[Estevan]:[Kipling]])</f>
        <v>1.2703018014104628</v>
      </c>
      <c r="J1080" s="2">
        <f t="shared" si="16"/>
        <v>-22.707142857142859</v>
      </c>
      <c r="K1080">
        <f>DAY(weather.tbl[[#This Row],[Date]])</f>
        <v>14</v>
      </c>
      <c r="L1080">
        <f>MONTH(weather.tbl[[#This Row],[Date]])</f>
        <v>12</v>
      </c>
      <c r="M1080">
        <f>YEAR(weather.tbl[[#This Row],[Date]])</f>
        <v>2016</v>
      </c>
    </row>
    <row r="1081" spans="1:13" x14ac:dyDescent="0.25">
      <c r="A1081" s="1">
        <v>42719</v>
      </c>
      <c r="B1081" s="2">
        <v>-22.4</v>
      </c>
      <c r="C1081" s="2">
        <v>-24.1</v>
      </c>
      <c r="D1081" s="2">
        <v>-25.3</v>
      </c>
      <c r="E1081" s="2">
        <v>-21.5</v>
      </c>
      <c r="F1081" s="2">
        <v>-24.5</v>
      </c>
      <c r="G1081" s="2">
        <v>-22.3</v>
      </c>
      <c r="H1081" s="2">
        <f>AVERAGE(weather.tbl[[#This Row],[Estevan]:[Kipling]])</f>
        <v>-23.349999999999998</v>
      </c>
      <c r="I1081" s="2">
        <f>_xlfn.STDEV.S(weather.tbl[[#This Row],[Estevan]:[Kipling]])</f>
        <v>1.4909728367747017</v>
      </c>
      <c r="J1081" s="2">
        <f t="shared" si="16"/>
        <v>-23.016666666666669</v>
      </c>
      <c r="K1081">
        <f>DAY(weather.tbl[[#This Row],[Date]])</f>
        <v>15</v>
      </c>
      <c r="L1081">
        <f>MONTH(weather.tbl[[#This Row],[Date]])</f>
        <v>12</v>
      </c>
      <c r="M1081">
        <f>YEAR(weather.tbl[[#This Row],[Date]])</f>
        <v>2016</v>
      </c>
    </row>
    <row r="1082" spans="1:13" x14ac:dyDescent="0.25">
      <c r="A1082" s="1">
        <v>42720</v>
      </c>
      <c r="B1082" s="2">
        <v>-24.6</v>
      </c>
      <c r="C1082" s="2">
        <v>-25.7</v>
      </c>
      <c r="D1082" s="2">
        <v>-24.3</v>
      </c>
      <c r="E1082" s="2">
        <v>-23.5</v>
      </c>
      <c r="F1082" s="2">
        <v>-24</v>
      </c>
      <c r="G1082" s="2">
        <v>-25.3</v>
      </c>
      <c r="H1082" s="2">
        <f>AVERAGE(weather.tbl[[#This Row],[Estevan]:[Kipling]])</f>
        <v>-24.566666666666666</v>
      </c>
      <c r="I1082" s="2">
        <f>_xlfn.STDEV.S(weather.tbl[[#This Row],[Estevan]:[Kipling]])</f>
        <v>0.81894240741743651</v>
      </c>
      <c r="J1082" s="2">
        <f t="shared" si="16"/>
        <v>-22.690476190476193</v>
      </c>
      <c r="K1082">
        <f>DAY(weather.tbl[[#This Row],[Date]])</f>
        <v>16</v>
      </c>
      <c r="L1082">
        <f>MONTH(weather.tbl[[#This Row],[Date]])</f>
        <v>12</v>
      </c>
      <c r="M1082">
        <f>YEAR(weather.tbl[[#This Row],[Date]])</f>
        <v>2016</v>
      </c>
    </row>
    <row r="1083" spans="1:13" x14ac:dyDescent="0.25">
      <c r="A1083" s="1">
        <v>42721</v>
      </c>
      <c r="B1083" s="2">
        <v>-29.8</v>
      </c>
      <c r="C1083" s="2">
        <v>-30.6</v>
      </c>
      <c r="D1083" s="2">
        <v>-31</v>
      </c>
      <c r="E1083" s="2">
        <v>-28</v>
      </c>
      <c r="F1083" s="2">
        <v>-29.7</v>
      </c>
      <c r="G1083" s="2">
        <v>-29.5</v>
      </c>
      <c r="H1083" s="2">
        <f>AVERAGE(weather.tbl[[#This Row],[Estevan]:[Kipling]])</f>
        <v>-29.766666666666666</v>
      </c>
      <c r="I1083" s="2">
        <f>_xlfn.STDEV.S(weather.tbl[[#This Row],[Estevan]:[Kipling]])</f>
        <v>1.0405126941400893</v>
      </c>
      <c r="J1083" s="2">
        <f t="shared" si="16"/>
        <v>-23.06904761904762</v>
      </c>
      <c r="K1083">
        <f>DAY(weather.tbl[[#This Row],[Date]])</f>
        <v>17</v>
      </c>
      <c r="L1083">
        <f>MONTH(weather.tbl[[#This Row],[Date]])</f>
        <v>12</v>
      </c>
      <c r="M1083">
        <f>YEAR(weather.tbl[[#This Row],[Date]])</f>
        <v>2016</v>
      </c>
    </row>
    <row r="1084" spans="1:13" x14ac:dyDescent="0.25">
      <c r="A1084" s="1">
        <v>42722</v>
      </c>
      <c r="B1084" s="2">
        <v>-16.8</v>
      </c>
      <c r="C1084" s="2">
        <v>-17.5</v>
      </c>
      <c r="D1084" s="2">
        <v>-22.3</v>
      </c>
      <c r="E1084" s="2">
        <v>-16</v>
      </c>
      <c r="F1084" s="2">
        <v>-18.899999999999999</v>
      </c>
      <c r="G1084" s="2">
        <v>-17.5</v>
      </c>
      <c r="H1084" s="2">
        <f>AVERAGE(weather.tbl[[#This Row],[Estevan]:[Kipling]])</f>
        <v>-18.166666666666668</v>
      </c>
      <c r="I1084" s="2">
        <f>_xlfn.STDEV.S(weather.tbl[[#This Row],[Estevan]:[Kipling]])</f>
        <v>2.2393451423723429</v>
      </c>
      <c r="J1084" s="2">
        <f t="shared" si="16"/>
        <v>-22.533333333333331</v>
      </c>
      <c r="K1084">
        <f>DAY(weather.tbl[[#This Row],[Date]])</f>
        <v>18</v>
      </c>
      <c r="L1084">
        <f>MONTH(weather.tbl[[#This Row],[Date]])</f>
        <v>12</v>
      </c>
      <c r="M1084">
        <f>YEAR(weather.tbl[[#This Row],[Date]])</f>
        <v>2016</v>
      </c>
    </row>
    <row r="1085" spans="1:13" x14ac:dyDescent="0.25">
      <c r="A1085" s="1">
        <v>42723</v>
      </c>
      <c r="B1085" s="2">
        <v>-3.3</v>
      </c>
      <c r="C1085" s="2">
        <v>-1.8</v>
      </c>
      <c r="D1085" s="2">
        <v>-7.3</v>
      </c>
      <c r="E1085" s="2">
        <v>-1.5</v>
      </c>
      <c r="F1085" s="2">
        <v>-2.5</v>
      </c>
      <c r="G1085" s="2">
        <v>-5.5</v>
      </c>
      <c r="H1085" s="2">
        <f>AVERAGE(weather.tbl[[#This Row],[Estevan]:[Kipling]])</f>
        <v>-3.65</v>
      </c>
      <c r="I1085" s="2">
        <f>_xlfn.STDEV.S(weather.tbl[[#This Row],[Estevan]:[Kipling]])</f>
        <v>2.2906331002585296</v>
      </c>
      <c r="J1085" s="2">
        <f t="shared" si="16"/>
        <v>-20.095238095238095</v>
      </c>
      <c r="K1085">
        <f>DAY(weather.tbl[[#This Row],[Date]])</f>
        <v>19</v>
      </c>
      <c r="L1085">
        <f>MONTH(weather.tbl[[#This Row],[Date]])</f>
        <v>12</v>
      </c>
      <c r="M1085">
        <f>YEAR(weather.tbl[[#This Row],[Date]])</f>
        <v>2016</v>
      </c>
    </row>
    <row r="1086" spans="1:13" x14ac:dyDescent="0.25">
      <c r="A1086" s="1">
        <v>42724</v>
      </c>
      <c r="B1086" s="2">
        <v>-6</v>
      </c>
      <c r="C1086" s="2">
        <v>-5.2</v>
      </c>
      <c r="D1086" s="2">
        <v>-5.5</v>
      </c>
      <c r="E1086" s="2">
        <v>-3.8</v>
      </c>
      <c r="F1086" s="2">
        <v>-5.5</v>
      </c>
      <c r="G1086" s="2">
        <v>-6.5</v>
      </c>
      <c r="H1086" s="2">
        <f>AVERAGE(weather.tbl[[#This Row],[Estevan]:[Kipling]])</f>
        <v>-5.416666666666667</v>
      </c>
      <c r="I1086" s="2">
        <f>_xlfn.STDEV.S(weather.tbl[[#This Row],[Estevan]:[Kipling]])</f>
        <v>0.91524131608372672</v>
      </c>
      <c r="J1086" s="2">
        <f t="shared" si="16"/>
        <v>-18.304761904761904</v>
      </c>
      <c r="K1086">
        <f>DAY(weather.tbl[[#This Row],[Date]])</f>
        <v>20</v>
      </c>
      <c r="L1086">
        <f>MONTH(weather.tbl[[#This Row],[Date]])</f>
        <v>12</v>
      </c>
      <c r="M1086">
        <f>YEAR(weather.tbl[[#This Row],[Date]])</f>
        <v>2016</v>
      </c>
    </row>
    <row r="1087" spans="1:13" x14ac:dyDescent="0.25">
      <c r="A1087" s="1">
        <v>42725</v>
      </c>
      <c r="B1087" s="2">
        <v>-4.5</v>
      </c>
      <c r="C1087" s="2">
        <v>-5.8</v>
      </c>
      <c r="D1087" s="2">
        <v>-8</v>
      </c>
      <c r="E1087" s="2">
        <v>-6</v>
      </c>
      <c r="F1087" s="2">
        <v>-4.9000000000000004</v>
      </c>
      <c r="G1087" s="2">
        <v>-7.5</v>
      </c>
      <c r="H1087" s="2">
        <f>AVERAGE(weather.tbl[[#This Row],[Estevan]:[Kipling]])</f>
        <v>-6.1166666666666671</v>
      </c>
      <c r="I1087" s="2">
        <f>_xlfn.STDEV.S(weather.tbl[[#This Row],[Estevan]:[Kipling]])</f>
        <v>1.3905634349667975</v>
      </c>
      <c r="J1087" s="2">
        <f t="shared" si="16"/>
        <v>-15.861904761904766</v>
      </c>
      <c r="K1087">
        <f>DAY(weather.tbl[[#This Row],[Date]])</f>
        <v>21</v>
      </c>
      <c r="L1087">
        <f>MONTH(weather.tbl[[#This Row],[Date]])</f>
        <v>12</v>
      </c>
      <c r="M1087">
        <f>YEAR(weather.tbl[[#This Row],[Date]])</f>
        <v>2016</v>
      </c>
    </row>
    <row r="1088" spans="1:13" x14ac:dyDescent="0.25">
      <c r="A1088" s="1">
        <v>42726</v>
      </c>
      <c r="B1088" s="2">
        <v>-5</v>
      </c>
      <c r="C1088" s="2">
        <v>-5.5</v>
      </c>
      <c r="D1088" s="2">
        <v>-4.8</v>
      </c>
      <c r="E1088" s="2">
        <v>-2</v>
      </c>
      <c r="F1088" s="2">
        <v>-6.2</v>
      </c>
      <c r="G1088" s="2">
        <v>-5.8</v>
      </c>
      <c r="H1088" s="2">
        <f>AVERAGE(weather.tbl[[#This Row],[Estevan]:[Kipling]])</f>
        <v>-4.8833333333333337</v>
      </c>
      <c r="I1088" s="2">
        <f>_xlfn.STDEV.S(weather.tbl[[#This Row],[Estevan]:[Kipling]])</f>
        <v>1.5025533823018287</v>
      </c>
      <c r="J1088" s="2">
        <f t="shared" si="16"/>
        <v>-13.223809523809525</v>
      </c>
      <c r="K1088">
        <f>DAY(weather.tbl[[#This Row],[Date]])</f>
        <v>22</v>
      </c>
      <c r="L1088">
        <f>MONTH(weather.tbl[[#This Row],[Date]])</f>
        <v>12</v>
      </c>
      <c r="M1088">
        <f>YEAR(weather.tbl[[#This Row],[Date]])</f>
        <v>2016</v>
      </c>
    </row>
    <row r="1089" spans="1:13" x14ac:dyDescent="0.25">
      <c r="A1089" s="1">
        <v>42727</v>
      </c>
      <c r="B1089" s="2">
        <v>-10.8</v>
      </c>
      <c r="C1089" s="2">
        <v>-9.8000000000000007</v>
      </c>
      <c r="D1089" s="2">
        <v>-11.3</v>
      </c>
      <c r="E1089" s="2">
        <v>-8</v>
      </c>
      <c r="F1089" s="2">
        <v>-9.1</v>
      </c>
      <c r="G1089" s="2">
        <v>-8.3000000000000007</v>
      </c>
      <c r="H1089" s="2">
        <f>AVERAGE(weather.tbl[[#This Row],[Estevan]:[Kipling]])</f>
        <v>-9.5500000000000025</v>
      </c>
      <c r="I1089" s="2">
        <f>_xlfn.STDEV.S(weather.tbl[[#This Row],[Estevan]:[Kipling]])</f>
        <v>1.3307892395116359</v>
      </c>
      <c r="J1089" s="2">
        <f t="shared" si="16"/>
        <v>-11.078571428571427</v>
      </c>
      <c r="K1089">
        <f>DAY(weather.tbl[[#This Row],[Date]])</f>
        <v>23</v>
      </c>
      <c r="L1089">
        <f>MONTH(weather.tbl[[#This Row],[Date]])</f>
        <v>12</v>
      </c>
      <c r="M1089">
        <f>YEAR(weather.tbl[[#This Row],[Date]])</f>
        <v>2016</v>
      </c>
    </row>
    <row r="1090" spans="1:13" x14ac:dyDescent="0.25">
      <c r="A1090" s="1">
        <v>42728</v>
      </c>
      <c r="B1090" s="2">
        <v>-12.1</v>
      </c>
      <c r="C1090" s="2">
        <v>-12.7</v>
      </c>
      <c r="D1090" s="2">
        <v>-15.8</v>
      </c>
      <c r="E1090" s="2">
        <v>-14.5</v>
      </c>
      <c r="F1090" s="2">
        <v>-14.2</v>
      </c>
      <c r="G1090" s="2">
        <v>-18.3</v>
      </c>
      <c r="H1090" s="2">
        <f>AVERAGE(weather.tbl[[#This Row],[Estevan]:[Kipling]])</f>
        <v>-14.6</v>
      </c>
      <c r="I1090" s="2">
        <f>_xlfn.STDEV.S(weather.tbl[[#This Row],[Estevan]:[Kipling]])</f>
        <v>2.2432119828496062</v>
      </c>
      <c r="J1090" s="2">
        <f t="shared" si="16"/>
        <v>-8.9119047619047631</v>
      </c>
      <c r="K1090">
        <f>DAY(weather.tbl[[#This Row],[Date]])</f>
        <v>24</v>
      </c>
      <c r="L1090">
        <f>MONTH(weather.tbl[[#This Row],[Date]])</f>
        <v>12</v>
      </c>
      <c r="M1090">
        <f>YEAR(weather.tbl[[#This Row],[Date]])</f>
        <v>2016</v>
      </c>
    </row>
    <row r="1091" spans="1:13" x14ac:dyDescent="0.25">
      <c r="A1091" s="1">
        <v>42729</v>
      </c>
      <c r="B1091" s="2">
        <v>-16</v>
      </c>
      <c r="C1091" s="2">
        <v>-15.8</v>
      </c>
      <c r="D1091" s="2">
        <v>-15.8</v>
      </c>
      <c r="E1091" s="2">
        <v>-15.3</v>
      </c>
      <c r="F1091" s="2">
        <v>-15</v>
      </c>
      <c r="G1091" s="2">
        <v>-16.3</v>
      </c>
      <c r="H1091" s="2">
        <f>AVERAGE(weather.tbl[[#This Row],[Estevan]:[Kipling]])</f>
        <v>-15.700000000000001</v>
      </c>
      <c r="I1091" s="2">
        <f>_xlfn.STDEV.S(weather.tbl[[#This Row],[Estevan]:[Kipling]])</f>
        <v>0.47328638264796941</v>
      </c>
      <c r="J1091" s="2">
        <f t="shared" si="16"/>
        <v>-8.5595238095238102</v>
      </c>
      <c r="K1091">
        <f>DAY(weather.tbl[[#This Row],[Date]])</f>
        <v>25</v>
      </c>
      <c r="L1091">
        <f>MONTH(weather.tbl[[#This Row],[Date]])</f>
        <v>12</v>
      </c>
      <c r="M1091">
        <f>YEAR(weather.tbl[[#This Row],[Date]])</f>
        <v>2016</v>
      </c>
    </row>
    <row r="1092" spans="1:13" x14ac:dyDescent="0.25">
      <c r="A1092" s="1">
        <v>42730</v>
      </c>
      <c r="B1092" s="2">
        <v>-17.100000000000001</v>
      </c>
      <c r="C1092" s="2">
        <v>-16.3</v>
      </c>
      <c r="D1092" s="2">
        <v>-13.8</v>
      </c>
      <c r="E1092" s="2">
        <v>-14.3</v>
      </c>
      <c r="F1092" s="2">
        <v>-13.3</v>
      </c>
      <c r="G1092" s="2">
        <v>-14.8</v>
      </c>
      <c r="H1092" s="2">
        <f>AVERAGE(weather.tbl[[#This Row],[Estevan]:[Kipling]])</f>
        <v>-14.933333333333332</v>
      </c>
      <c r="I1092" s="2">
        <f>_xlfn.STDEV.S(weather.tbl[[#This Row],[Estevan]:[Kipling]])</f>
        <v>1.4787382008545891</v>
      </c>
      <c r="J1092" s="2">
        <f t="shared" si="16"/>
        <v>-10.171428571428573</v>
      </c>
      <c r="K1092">
        <f>DAY(weather.tbl[[#This Row],[Date]])</f>
        <v>26</v>
      </c>
      <c r="L1092">
        <f>MONTH(weather.tbl[[#This Row],[Date]])</f>
        <v>12</v>
      </c>
      <c r="M1092">
        <f>YEAR(weather.tbl[[#This Row],[Date]])</f>
        <v>2016</v>
      </c>
    </row>
    <row r="1093" spans="1:13" x14ac:dyDescent="0.25">
      <c r="A1093" s="1">
        <v>42731</v>
      </c>
      <c r="B1093" s="2">
        <v>-15.2</v>
      </c>
      <c r="C1093" s="2">
        <v>-13</v>
      </c>
      <c r="D1093" s="2">
        <v>-16.5</v>
      </c>
      <c r="E1093" s="2">
        <v>-12.8</v>
      </c>
      <c r="F1093" s="2">
        <v>-17.3</v>
      </c>
      <c r="G1093" s="2">
        <v>-11.3</v>
      </c>
      <c r="H1093" s="2">
        <f>AVERAGE(weather.tbl[[#This Row],[Estevan]:[Kipling]])</f>
        <v>-14.35</v>
      </c>
      <c r="I1093" s="2">
        <f>_xlfn.STDEV.S(weather.tbl[[#This Row],[Estevan]:[Kipling]])</f>
        <v>2.3484037131634872</v>
      </c>
      <c r="J1093" s="2">
        <f t="shared" si="16"/>
        <v>-11.447619047619048</v>
      </c>
      <c r="K1093">
        <f>DAY(weather.tbl[[#This Row],[Date]])</f>
        <v>27</v>
      </c>
      <c r="L1093">
        <f>MONTH(weather.tbl[[#This Row],[Date]])</f>
        <v>12</v>
      </c>
      <c r="M1093">
        <f>YEAR(weather.tbl[[#This Row],[Date]])</f>
        <v>2016</v>
      </c>
    </row>
    <row r="1094" spans="1:13" x14ac:dyDescent="0.25">
      <c r="A1094" s="1">
        <v>42732</v>
      </c>
      <c r="B1094" s="2">
        <v>-5.6</v>
      </c>
      <c r="C1094" s="2">
        <v>-4.3</v>
      </c>
      <c r="D1094" s="2">
        <v>-16.5</v>
      </c>
      <c r="E1094" s="2">
        <v>-5</v>
      </c>
      <c r="F1094" s="2">
        <v>-5.9</v>
      </c>
      <c r="G1094" s="2">
        <v>-5.8</v>
      </c>
      <c r="H1094" s="2">
        <f>AVERAGE(weather.tbl[[#This Row],[Estevan]:[Kipling]])</f>
        <v>-7.1833333333333327</v>
      </c>
      <c r="I1094" s="2">
        <f>_xlfn.STDEV.S(weather.tbl[[#This Row],[Estevan]:[Kipling]])</f>
        <v>4.6032235082240671</v>
      </c>
      <c r="J1094" s="2">
        <f t="shared" si="16"/>
        <v>-11.6</v>
      </c>
      <c r="K1094">
        <f>DAY(weather.tbl[[#This Row],[Date]])</f>
        <v>28</v>
      </c>
      <c r="L1094">
        <f>MONTH(weather.tbl[[#This Row],[Date]])</f>
        <v>12</v>
      </c>
      <c r="M1094">
        <f>YEAR(weather.tbl[[#This Row],[Date]])</f>
        <v>2016</v>
      </c>
    </row>
    <row r="1095" spans="1:13" x14ac:dyDescent="0.25">
      <c r="A1095" s="1">
        <v>42733</v>
      </c>
      <c r="B1095" s="2">
        <v>-9.9</v>
      </c>
      <c r="C1095" s="2">
        <v>-9.9</v>
      </c>
      <c r="D1095" s="2">
        <v>-16.5</v>
      </c>
      <c r="E1095" s="2">
        <v>-7.5</v>
      </c>
      <c r="F1095" s="2">
        <v>-8.1</v>
      </c>
      <c r="G1095" s="2">
        <v>-9.3000000000000007</v>
      </c>
      <c r="H1095" s="2">
        <f>AVERAGE(weather.tbl[[#This Row],[Estevan]:[Kipling]])</f>
        <v>-10.200000000000001</v>
      </c>
      <c r="I1095" s="2">
        <f>_xlfn.STDEV.S(weather.tbl[[#This Row],[Estevan]:[Kipling]])</f>
        <v>3.236664950222679</v>
      </c>
      <c r="J1095" s="2">
        <f t="shared" si="16"/>
        <v>-12.359523809523809</v>
      </c>
      <c r="K1095">
        <f>DAY(weather.tbl[[#This Row],[Date]])</f>
        <v>29</v>
      </c>
      <c r="L1095">
        <f>MONTH(weather.tbl[[#This Row],[Date]])</f>
        <v>12</v>
      </c>
      <c r="M1095">
        <f>YEAR(weather.tbl[[#This Row],[Date]])</f>
        <v>2016</v>
      </c>
    </row>
    <row r="1096" spans="1:13" x14ac:dyDescent="0.25">
      <c r="A1096" s="1">
        <v>42734</v>
      </c>
      <c r="B1096" s="2">
        <v>-10</v>
      </c>
      <c r="C1096" s="2">
        <v>-9.6999999999999993</v>
      </c>
      <c r="D1096" s="2">
        <v>-16.5</v>
      </c>
      <c r="E1096" s="2">
        <v>-8.5</v>
      </c>
      <c r="F1096" s="2">
        <v>-12.4</v>
      </c>
      <c r="G1096" s="2">
        <v>-10.3</v>
      </c>
      <c r="H1096" s="2">
        <f>AVERAGE(weather.tbl[[#This Row],[Estevan]:[Kipling]])</f>
        <v>-11.233333333333334</v>
      </c>
      <c r="I1096" s="2">
        <f>_xlfn.STDEV.S(weather.tbl[[#This Row],[Estevan]:[Kipling]])</f>
        <v>2.8744854612028585</v>
      </c>
      <c r="J1096" s="2">
        <f t="shared" si="16"/>
        <v>-12.6</v>
      </c>
      <c r="K1096">
        <f>DAY(weather.tbl[[#This Row],[Date]])</f>
        <v>30</v>
      </c>
      <c r="L1096">
        <f>MONTH(weather.tbl[[#This Row],[Date]])</f>
        <v>12</v>
      </c>
      <c r="M1096">
        <f>YEAR(weather.tbl[[#This Row],[Date]])</f>
        <v>2016</v>
      </c>
    </row>
    <row r="1097" spans="1:13" x14ac:dyDescent="0.25">
      <c r="A1097" s="1">
        <v>42735</v>
      </c>
      <c r="B1097" s="2">
        <v>-9.1999999999999993</v>
      </c>
      <c r="C1097" s="2">
        <v>-10</v>
      </c>
      <c r="D1097" s="2">
        <v>-16.5</v>
      </c>
      <c r="E1097" s="2">
        <v>-9.3000000000000007</v>
      </c>
      <c r="F1097" s="2">
        <v>-10.4</v>
      </c>
      <c r="G1097" s="2">
        <v>-11</v>
      </c>
      <c r="H1097" s="2">
        <f>AVERAGE(weather.tbl[[#This Row],[Estevan]:[Kipling]])</f>
        <v>-11.066666666666668</v>
      </c>
      <c r="I1097" s="2">
        <f>_xlfn.STDEV.S(weather.tbl[[#This Row],[Estevan]:[Kipling]])</f>
        <v>2.7463915719843426</v>
      </c>
      <c r="J1097" s="2">
        <f t="shared" si="16"/>
        <v>-12.095238095238093</v>
      </c>
      <c r="K1097">
        <f>DAY(weather.tbl[[#This Row],[Date]])</f>
        <v>31</v>
      </c>
      <c r="L1097">
        <f>MONTH(weather.tbl[[#This Row],[Date]])</f>
        <v>12</v>
      </c>
      <c r="M1097">
        <f>YEAR(weather.tbl[[#This Row],[Date]])</f>
        <v>2016</v>
      </c>
    </row>
    <row r="1098" spans="1:13" x14ac:dyDescent="0.25">
      <c r="A1098" s="1">
        <v>42736</v>
      </c>
      <c r="B1098" s="2">
        <v>-14.4</v>
      </c>
      <c r="C1098" s="2">
        <v>-14.3</v>
      </c>
      <c r="D1098" s="2">
        <v>-16.5</v>
      </c>
      <c r="E1098" s="2">
        <v>-14.2</v>
      </c>
      <c r="F1098" s="2">
        <v>-13.7</v>
      </c>
      <c r="G1098" s="2">
        <v>-15.8</v>
      </c>
      <c r="H1098" s="2">
        <f>AVERAGE(weather.tbl[[#This Row],[Estevan]:[Kipling]])</f>
        <v>-14.816666666666668</v>
      </c>
      <c r="I1098" s="2">
        <f>_xlfn.STDEV.S(weather.tbl[[#This Row],[Estevan]:[Kipling]])</f>
        <v>1.0833589740555376</v>
      </c>
      <c r="J1098" s="2">
        <f t="shared" ref="J1098:J1161" si="17">AVERAGE(H1092:H1098)</f>
        <v>-11.969047619047618</v>
      </c>
      <c r="K1098">
        <f>DAY(weather.tbl[[#This Row],[Date]])</f>
        <v>1</v>
      </c>
      <c r="L1098">
        <f>MONTH(weather.tbl[[#This Row],[Date]])</f>
        <v>1</v>
      </c>
      <c r="M1098">
        <f>YEAR(weather.tbl[[#This Row],[Date]])</f>
        <v>2017</v>
      </c>
    </row>
    <row r="1099" spans="1:13" x14ac:dyDescent="0.25">
      <c r="A1099" s="1">
        <v>42737</v>
      </c>
      <c r="B1099" s="2">
        <v>-16.399999999999999</v>
      </c>
      <c r="C1099" s="2">
        <v>-18.100000000000001</v>
      </c>
      <c r="D1099" s="2">
        <v>-16.5</v>
      </c>
      <c r="E1099" s="2">
        <v>-18.7</v>
      </c>
      <c r="F1099" s="2">
        <v>-17.100000000000001</v>
      </c>
      <c r="G1099" s="2">
        <v>-19.8</v>
      </c>
      <c r="H1099" s="2">
        <f>AVERAGE(weather.tbl[[#This Row],[Estevan]:[Kipling]])</f>
        <v>-17.766666666666669</v>
      </c>
      <c r="I1099" s="2">
        <f>_xlfn.STDEV.S(weather.tbl[[#This Row],[Estevan]:[Kipling]])</f>
        <v>1.3441230102437305</v>
      </c>
      <c r="J1099" s="2">
        <f t="shared" si="17"/>
        <v>-12.373809523809525</v>
      </c>
      <c r="K1099">
        <f>DAY(weather.tbl[[#This Row],[Date]])</f>
        <v>2</v>
      </c>
      <c r="L1099">
        <f>MONTH(weather.tbl[[#This Row],[Date]])</f>
        <v>1</v>
      </c>
      <c r="M1099">
        <f>YEAR(weather.tbl[[#This Row],[Date]])</f>
        <v>2017</v>
      </c>
    </row>
    <row r="1100" spans="1:13" x14ac:dyDescent="0.25">
      <c r="A1100" s="1">
        <v>42738</v>
      </c>
      <c r="B1100" s="2">
        <v>-24.1</v>
      </c>
      <c r="C1100" s="2">
        <v>-23.6</v>
      </c>
      <c r="D1100" s="2">
        <v>-16.5</v>
      </c>
      <c r="E1100" s="2">
        <v>-22.6</v>
      </c>
      <c r="F1100" s="2">
        <v>-23.1</v>
      </c>
      <c r="G1100" s="2">
        <v>-24.3</v>
      </c>
      <c r="H1100" s="2">
        <f>AVERAGE(weather.tbl[[#This Row],[Estevan]:[Kipling]])</f>
        <v>-22.366666666666671</v>
      </c>
      <c r="I1100" s="2">
        <f>_xlfn.STDEV.S(weather.tbl[[#This Row],[Estevan]:[Kipling]])</f>
        <v>2.9418814841299468</v>
      </c>
      <c r="J1100" s="2">
        <f t="shared" si="17"/>
        <v>-13.519047619047623</v>
      </c>
      <c r="K1100">
        <f>DAY(weather.tbl[[#This Row],[Date]])</f>
        <v>3</v>
      </c>
      <c r="L1100">
        <f>MONTH(weather.tbl[[#This Row],[Date]])</f>
        <v>1</v>
      </c>
      <c r="M1100">
        <f>YEAR(weather.tbl[[#This Row],[Date]])</f>
        <v>2017</v>
      </c>
    </row>
    <row r="1101" spans="1:13" x14ac:dyDescent="0.25">
      <c r="A1101" s="1">
        <v>42739</v>
      </c>
      <c r="B1101" s="2">
        <v>-22.2</v>
      </c>
      <c r="C1101" s="2">
        <v>-21.6</v>
      </c>
      <c r="D1101" s="2">
        <v>-24</v>
      </c>
      <c r="E1101" s="2">
        <v>-20.7</v>
      </c>
      <c r="F1101" s="2">
        <v>-24.5</v>
      </c>
      <c r="G1101" s="2">
        <v>-23.3</v>
      </c>
      <c r="H1101" s="2">
        <f>AVERAGE(weather.tbl[[#This Row],[Estevan]:[Kipling]])</f>
        <v>-22.716666666666669</v>
      </c>
      <c r="I1101" s="2">
        <f>_xlfn.STDEV.S(weather.tbl[[#This Row],[Estevan]:[Kipling]])</f>
        <v>1.4661741597322833</v>
      </c>
      <c r="J1101" s="2">
        <f t="shared" si="17"/>
        <v>-15.738095238095241</v>
      </c>
      <c r="K1101">
        <f>DAY(weather.tbl[[#This Row],[Date]])</f>
        <v>4</v>
      </c>
      <c r="L1101">
        <f>MONTH(weather.tbl[[#This Row],[Date]])</f>
        <v>1</v>
      </c>
      <c r="M1101">
        <f>YEAR(weather.tbl[[#This Row],[Date]])</f>
        <v>2017</v>
      </c>
    </row>
    <row r="1102" spans="1:13" x14ac:dyDescent="0.25">
      <c r="A1102" s="1">
        <v>42740</v>
      </c>
      <c r="B1102" s="2">
        <v>-22.1</v>
      </c>
      <c r="C1102" s="2">
        <v>-21.1</v>
      </c>
      <c r="D1102" s="2">
        <v>-23.8</v>
      </c>
      <c r="E1102" s="2">
        <v>-19.3</v>
      </c>
      <c r="F1102" s="2">
        <v>-23.2</v>
      </c>
      <c r="G1102" s="2">
        <v>-22</v>
      </c>
      <c r="H1102" s="2">
        <f>AVERAGE(weather.tbl[[#This Row],[Estevan]:[Kipling]])</f>
        <v>-21.916666666666668</v>
      </c>
      <c r="I1102" s="2">
        <f>_xlfn.STDEV.S(weather.tbl[[#This Row],[Estevan]:[Kipling]])</f>
        <v>1.5967675681409195</v>
      </c>
      <c r="J1102" s="2">
        <f t="shared" si="17"/>
        <v>-17.411904761904765</v>
      </c>
      <c r="K1102">
        <f>DAY(weather.tbl[[#This Row],[Date]])</f>
        <v>5</v>
      </c>
      <c r="L1102">
        <f>MONTH(weather.tbl[[#This Row],[Date]])</f>
        <v>1</v>
      </c>
      <c r="M1102">
        <f>YEAR(weather.tbl[[#This Row],[Date]])</f>
        <v>2017</v>
      </c>
    </row>
    <row r="1103" spans="1:13" x14ac:dyDescent="0.25">
      <c r="A1103" s="1">
        <v>42741</v>
      </c>
      <c r="B1103" s="2">
        <v>-22</v>
      </c>
      <c r="C1103" s="2">
        <v>-21.5</v>
      </c>
      <c r="D1103" s="2">
        <v>-21.3</v>
      </c>
      <c r="E1103" s="2">
        <v>-20.8</v>
      </c>
      <c r="F1103" s="2">
        <v>-22.8</v>
      </c>
      <c r="G1103" s="2">
        <v>-19.5</v>
      </c>
      <c r="H1103" s="2">
        <f>AVERAGE(weather.tbl[[#This Row],[Estevan]:[Kipling]])</f>
        <v>-21.316666666666666</v>
      </c>
      <c r="I1103" s="2">
        <f>_xlfn.STDEV.S(weather.tbl[[#This Row],[Estevan]:[Kipling]])</f>
        <v>1.1196725711861781</v>
      </c>
      <c r="J1103" s="2">
        <f t="shared" si="17"/>
        <v>-18.852380952380958</v>
      </c>
      <c r="K1103">
        <f>DAY(weather.tbl[[#This Row],[Date]])</f>
        <v>6</v>
      </c>
      <c r="L1103">
        <f>MONTH(weather.tbl[[#This Row],[Date]])</f>
        <v>1</v>
      </c>
      <c r="M1103">
        <f>YEAR(weather.tbl[[#This Row],[Date]])</f>
        <v>2017</v>
      </c>
    </row>
    <row r="1104" spans="1:13" x14ac:dyDescent="0.25">
      <c r="A1104" s="1">
        <v>42742</v>
      </c>
      <c r="B1104" s="2">
        <v>-26.6</v>
      </c>
      <c r="C1104" s="2">
        <v>-22.8</v>
      </c>
      <c r="D1104" s="2">
        <v>-25</v>
      </c>
      <c r="E1104" s="2">
        <v>-24.8</v>
      </c>
      <c r="F1104" s="2">
        <v>-27</v>
      </c>
      <c r="G1104" s="2">
        <v>-20.5</v>
      </c>
      <c r="H1104" s="2">
        <f>AVERAGE(weather.tbl[[#This Row],[Estevan]:[Kipling]])</f>
        <v>-24.45</v>
      </c>
      <c r="I1104" s="2">
        <f>_xlfn.STDEV.S(weather.tbl[[#This Row],[Estevan]:[Kipling]])</f>
        <v>2.4443813123160636</v>
      </c>
      <c r="J1104" s="2">
        <f t="shared" si="17"/>
        <v>-20.764285714285712</v>
      </c>
      <c r="K1104">
        <f>DAY(weather.tbl[[#This Row],[Date]])</f>
        <v>7</v>
      </c>
      <c r="L1104">
        <f>MONTH(weather.tbl[[#This Row],[Date]])</f>
        <v>1</v>
      </c>
      <c r="M1104">
        <f>YEAR(weather.tbl[[#This Row],[Date]])</f>
        <v>2017</v>
      </c>
    </row>
    <row r="1105" spans="1:13" x14ac:dyDescent="0.25">
      <c r="A1105" s="1">
        <v>42743</v>
      </c>
      <c r="B1105" s="2">
        <v>-22.4</v>
      </c>
      <c r="C1105" s="2">
        <v>-22.1</v>
      </c>
      <c r="D1105" s="2">
        <v>-24.5</v>
      </c>
      <c r="E1105" s="2">
        <v>-20.9</v>
      </c>
      <c r="F1105" s="2">
        <v>-22.2</v>
      </c>
      <c r="G1105" s="2">
        <v>-20</v>
      </c>
      <c r="H1105" s="2">
        <f>AVERAGE(weather.tbl[[#This Row],[Estevan]:[Kipling]])</f>
        <v>-22.016666666666669</v>
      </c>
      <c r="I1105" s="2">
        <f>_xlfn.STDEV.S(weather.tbl[[#This Row],[Estevan]:[Kipling]])</f>
        <v>1.5276343367005951</v>
      </c>
      <c r="J1105" s="2">
        <f t="shared" si="17"/>
        <v>-21.792857142857144</v>
      </c>
      <c r="K1105">
        <f>DAY(weather.tbl[[#This Row],[Date]])</f>
        <v>8</v>
      </c>
      <c r="L1105">
        <f>MONTH(weather.tbl[[#This Row],[Date]])</f>
        <v>1</v>
      </c>
      <c r="M1105">
        <f>YEAR(weather.tbl[[#This Row],[Date]])</f>
        <v>2017</v>
      </c>
    </row>
    <row r="1106" spans="1:13" x14ac:dyDescent="0.25">
      <c r="A1106" s="1">
        <v>42744</v>
      </c>
      <c r="B1106" s="2">
        <v>-20.9</v>
      </c>
      <c r="C1106" s="2">
        <v>-20.7</v>
      </c>
      <c r="D1106" s="2">
        <v>-22.8</v>
      </c>
      <c r="E1106" s="2">
        <v>-20.2</v>
      </c>
      <c r="F1106" s="2">
        <v>-20.6</v>
      </c>
      <c r="G1106" s="2">
        <v>-21.8</v>
      </c>
      <c r="H1106" s="2">
        <f>AVERAGE(weather.tbl[[#This Row],[Estevan]:[Kipling]])</f>
        <v>-21.166666666666664</v>
      </c>
      <c r="I1106" s="2">
        <f>_xlfn.STDEV.S(weather.tbl[[#This Row],[Estevan]:[Kipling]])</f>
        <v>0.96055539489748731</v>
      </c>
      <c r="J1106" s="2">
        <f t="shared" si="17"/>
        <v>-22.278571428571432</v>
      </c>
      <c r="K1106">
        <f>DAY(weather.tbl[[#This Row],[Date]])</f>
        <v>9</v>
      </c>
      <c r="L1106">
        <f>MONTH(weather.tbl[[#This Row],[Date]])</f>
        <v>1</v>
      </c>
      <c r="M1106">
        <f>YEAR(weather.tbl[[#This Row],[Date]])</f>
        <v>2017</v>
      </c>
    </row>
    <row r="1107" spans="1:13" x14ac:dyDescent="0.25">
      <c r="A1107" s="1">
        <v>42745</v>
      </c>
      <c r="B1107" s="2">
        <v>-20.6</v>
      </c>
      <c r="C1107" s="2">
        <v>-22.2</v>
      </c>
      <c r="D1107" s="2">
        <v>-21.5</v>
      </c>
      <c r="E1107" s="2">
        <v>-21.3</v>
      </c>
      <c r="F1107" s="2">
        <v>-19.899999999999999</v>
      </c>
      <c r="G1107" s="2">
        <v>-21.5</v>
      </c>
      <c r="H1107" s="2">
        <f>AVERAGE(weather.tbl[[#This Row],[Estevan]:[Kipling]])</f>
        <v>-21.166666666666668</v>
      </c>
      <c r="I1107" s="2">
        <f>_xlfn.STDEV.S(weather.tbl[[#This Row],[Estevan]:[Kipling]])</f>
        <v>0.80415587212098794</v>
      </c>
      <c r="J1107" s="2">
        <f t="shared" si="17"/>
        <v>-22.107142857142858</v>
      </c>
      <c r="K1107">
        <f>DAY(weather.tbl[[#This Row],[Date]])</f>
        <v>10</v>
      </c>
      <c r="L1107">
        <f>MONTH(weather.tbl[[#This Row],[Date]])</f>
        <v>1</v>
      </c>
      <c r="M1107">
        <f>YEAR(weather.tbl[[#This Row],[Date]])</f>
        <v>2017</v>
      </c>
    </row>
    <row r="1108" spans="1:13" x14ac:dyDescent="0.25">
      <c r="A1108" s="1">
        <v>42746</v>
      </c>
      <c r="B1108" s="2">
        <v>-24.4</v>
      </c>
      <c r="C1108" s="2">
        <v>-19.899999999999999</v>
      </c>
      <c r="D1108" s="2">
        <v>-23.3</v>
      </c>
      <c r="E1108" s="2">
        <v>-20.9</v>
      </c>
      <c r="F1108" s="2">
        <v>-24.1</v>
      </c>
      <c r="G1108" s="2">
        <v>-22.5</v>
      </c>
      <c r="H1108" s="2">
        <f>AVERAGE(weather.tbl[[#This Row],[Estevan]:[Kipling]])</f>
        <v>-22.516666666666666</v>
      </c>
      <c r="I1108" s="2">
        <f>_xlfn.STDEV.S(weather.tbl[[#This Row],[Estevan]:[Kipling]])</f>
        <v>1.7960141053640615</v>
      </c>
      <c r="J1108" s="2">
        <f t="shared" si="17"/>
        <v>-22.078571428571429</v>
      </c>
      <c r="K1108">
        <f>DAY(weather.tbl[[#This Row],[Date]])</f>
        <v>11</v>
      </c>
      <c r="L1108">
        <f>MONTH(weather.tbl[[#This Row],[Date]])</f>
        <v>1</v>
      </c>
      <c r="M1108">
        <f>YEAR(weather.tbl[[#This Row],[Date]])</f>
        <v>2017</v>
      </c>
    </row>
    <row r="1109" spans="1:13" x14ac:dyDescent="0.25">
      <c r="A1109" s="1">
        <v>42747</v>
      </c>
      <c r="B1109" s="2">
        <v>-23.3</v>
      </c>
      <c r="C1109" s="2">
        <v>-22.1</v>
      </c>
      <c r="D1109" s="2">
        <v>-28.5</v>
      </c>
      <c r="E1109" s="2">
        <v>-22.5</v>
      </c>
      <c r="F1109" s="2">
        <v>-24.4</v>
      </c>
      <c r="G1109" s="2">
        <v>-26</v>
      </c>
      <c r="H1109" s="2">
        <f>AVERAGE(weather.tbl[[#This Row],[Estevan]:[Kipling]])</f>
        <v>-24.466666666666669</v>
      </c>
      <c r="I1109" s="2">
        <f>_xlfn.STDEV.S(weather.tbl[[#This Row],[Estevan]:[Kipling]])</f>
        <v>2.4270695636233142</v>
      </c>
      <c r="J1109" s="2">
        <f t="shared" si="17"/>
        <v>-22.442857142857143</v>
      </c>
      <c r="K1109">
        <f>DAY(weather.tbl[[#This Row],[Date]])</f>
        <v>12</v>
      </c>
      <c r="L1109">
        <f>MONTH(weather.tbl[[#This Row],[Date]])</f>
        <v>1</v>
      </c>
      <c r="M1109">
        <f>YEAR(weather.tbl[[#This Row],[Date]])</f>
        <v>2017</v>
      </c>
    </row>
    <row r="1110" spans="1:13" x14ac:dyDescent="0.25">
      <c r="A1110" s="1">
        <v>42748</v>
      </c>
      <c r="B1110" s="2">
        <v>-24</v>
      </c>
      <c r="C1110" s="2">
        <v>-21.3</v>
      </c>
      <c r="D1110" s="2">
        <v>-26.5</v>
      </c>
      <c r="E1110" s="2">
        <v>-20.6</v>
      </c>
      <c r="F1110" s="2">
        <v>-25.6</v>
      </c>
      <c r="G1110" s="2">
        <v>-23.8</v>
      </c>
      <c r="H1110" s="2">
        <f>AVERAGE(weather.tbl[[#This Row],[Estevan]:[Kipling]])</f>
        <v>-23.633333333333336</v>
      </c>
      <c r="I1110" s="2">
        <f>_xlfn.STDEV.S(weather.tbl[[#This Row],[Estevan]:[Kipling]])</f>
        <v>2.3191952627294379</v>
      </c>
      <c r="J1110" s="2">
        <f t="shared" si="17"/>
        <v>-22.773809523809522</v>
      </c>
      <c r="K1110">
        <f>DAY(weather.tbl[[#This Row],[Date]])</f>
        <v>13</v>
      </c>
      <c r="L1110">
        <f>MONTH(weather.tbl[[#This Row],[Date]])</f>
        <v>1</v>
      </c>
      <c r="M1110">
        <f>YEAR(weather.tbl[[#This Row],[Date]])</f>
        <v>2017</v>
      </c>
    </row>
    <row r="1111" spans="1:13" x14ac:dyDescent="0.25">
      <c r="A1111" s="1">
        <v>42749</v>
      </c>
      <c r="B1111" s="2">
        <v>-17.2</v>
      </c>
      <c r="C1111" s="2">
        <v>-17.3</v>
      </c>
      <c r="D1111" s="2">
        <v>-16</v>
      </c>
      <c r="E1111" s="2">
        <v>-15.2</v>
      </c>
      <c r="F1111" s="2">
        <v>-18.7</v>
      </c>
      <c r="G1111" s="2">
        <v>-13.8</v>
      </c>
      <c r="H1111" s="2">
        <f>AVERAGE(weather.tbl[[#This Row],[Estevan]:[Kipling]])</f>
        <v>-16.366666666666667</v>
      </c>
      <c r="I1111" s="2">
        <f>_xlfn.STDEV.S(weather.tbl[[#This Row],[Estevan]:[Kipling]])</f>
        <v>1.7374310537879383</v>
      </c>
      <c r="J1111" s="2">
        <f t="shared" si="17"/>
        <v>-21.61904761904762</v>
      </c>
      <c r="K1111">
        <f>DAY(weather.tbl[[#This Row],[Date]])</f>
        <v>14</v>
      </c>
      <c r="L1111">
        <f>MONTH(weather.tbl[[#This Row],[Date]])</f>
        <v>1</v>
      </c>
      <c r="M1111">
        <f>YEAR(weather.tbl[[#This Row],[Date]])</f>
        <v>2017</v>
      </c>
    </row>
    <row r="1112" spans="1:13" x14ac:dyDescent="0.25">
      <c r="A1112" s="1">
        <v>42750</v>
      </c>
      <c r="B1112" s="2">
        <v>-12.9</v>
      </c>
      <c r="C1112" s="2">
        <v>-12.5</v>
      </c>
      <c r="D1112" s="2">
        <v>-13.8</v>
      </c>
      <c r="E1112" s="2">
        <v>-11.4</v>
      </c>
      <c r="F1112" s="2">
        <v>-13.7</v>
      </c>
      <c r="G1112" s="2">
        <v>-10.5</v>
      </c>
      <c r="H1112" s="2">
        <f>AVERAGE(weather.tbl[[#This Row],[Estevan]:[Kipling]])</f>
        <v>-12.466666666666667</v>
      </c>
      <c r="I1112" s="2">
        <f>_xlfn.STDEV.S(weather.tbl[[#This Row],[Estevan]:[Kipling]])</f>
        <v>1.3033290707517677</v>
      </c>
      <c r="J1112" s="2">
        <f t="shared" si="17"/>
        <v>-20.254761904761903</v>
      </c>
      <c r="K1112">
        <f>DAY(weather.tbl[[#This Row],[Date]])</f>
        <v>15</v>
      </c>
      <c r="L1112">
        <f>MONTH(weather.tbl[[#This Row],[Date]])</f>
        <v>1</v>
      </c>
      <c r="M1112">
        <f>YEAR(weather.tbl[[#This Row],[Date]])</f>
        <v>2017</v>
      </c>
    </row>
    <row r="1113" spans="1:13" x14ac:dyDescent="0.25">
      <c r="A1113" s="1">
        <v>42751</v>
      </c>
      <c r="B1113" s="2">
        <v>-11</v>
      </c>
      <c r="C1113" s="2">
        <v>-9</v>
      </c>
      <c r="D1113" s="2">
        <v>-9.8000000000000007</v>
      </c>
      <c r="E1113" s="2">
        <v>-6.8</v>
      </c>
      <c r="F1113" s="2">
        <v>-11</v>
      </c>
      <c r="G1113" s="2">
        <v>-7.5</v>
      </c>
      <c r="H1113" s="2">
        <f>AVERAGE(weather.tbl[[#This Row],[Estevan]:[Kipling]])</f>
        <v>-9.1833333333333336</v>
      </c>
      <c r="I1113" s="2">
        <f>_xlfn.STDEV.S(weather.tbl[[#This Row],[Estevan]:[Kipling]])</f>
        <v>1.7622901766356895</v>
      </c>
      <c r="J1113" s="2">
        <f t="shared" si="17"/>
        <v>-18.542857142857144</v>
      </c>
      <c r="K1113">
        <f>DAY(weather.tbl[[#This Row],[Date]])</f>
        <v>16</v>
      </c>
      <c r="L1113">
        <f>MONTH(weather.tbl[[#This Row],[Date]])</f>
        <v>1</v>
      </c>
      <c r="M1113">
        <f>YEAR(weather.tbl[[#This Row],[Date]])</f>
        <v>2017</v>
      </c>
    </row>
    <row r="1114" spans="1:13" x14ac:dyDescent="0.25">
      <c r="A1114" s="1">
        <v>42752</v>
      </c>
      <c r="B1114" s="2">
        <v>-5.7</v>
      </c>
      <c r="C1114" s="2">
        <v>-4.4000000000000004</v>
      </c>
      <c r="D1114" s="2">
        <v>-7.8</v>
      </c>
      <c r="E1114" s="2">
        <v>-3.1</v>
      </c>
      <c r="F1114" s="2">
        <v>-7.6</v>
      </c>
      <c r="G1114" s="2">
        <v>-3.8</v>
      </c>
      <c r="H1114" s="2">
        <f>AVERAGE(weather.tbl[[#This Row],[Estevan]:[Kipling]])</f>
        <v>-5.3999999999999995</v>
      </c>
      <c r="I1114" s="2">
        <f>_xlfn.STDEV.S(weather.tbl[[#This Row],[Estevan]:[Kipling]])</f>
        <v>1.9768662069042504</v>
      </c>
      <c r="J1114" s="2">
        <f t="shared" si="17"/>
        <v>-16.290476190476195</v>
      </c>
      <c r="K1114">
        <f>DAY(weather.tbl[[#This Row],[Date]])</f>
        <v>17</v>
      </c>
      <c r="L1114">
        <f>MONTH(weather.tbl[[#This Row],[Date]])</f>
        <v>1</v>
      </c>
      <c r="M1114">
        <f>YEAR(weather.tbl[[#This Row],[Date]])</f>
        <v>2017</v>
      </c>
    </row>
    <row r="1115" spans="1:13" x14ac:dyDescent="0.25">
      <c r="A1115" s="1">
        <v>42753</v>
      </c>
      <c r="B1115" s="2">
        <v>0.2</v>
      </c>
      <c r="C1115" s="2">
        <v>-0.1</v>
      </c>
      <c r="D1115" s="2">
        <v>0.3</v>
      </c>
      <c r="E1115" s="2">
        <v>0.5</v>
      </c>
      <c r="F1115" s="2">
        <v>-3.2</v>
      </c>
      <c r="G1115" s="2">
        <v>0.8</v>
      </c>
      <c r="H1115" s="2">
        <f>AVERAGE(weather.tbl[[#This Row],[Estevan]:[Kipling]])</f>
        <v>-0.25000000000000006</v>
      </c>
      <c r="I1115" s="2">
        <f>_xlfn.STDEV.S(weather.tbl[[#This Row],[Estevan]:[Kipling]])</f>
        <v>1.4761436244485158</v>
      </c>
      <c r="J1115" s="2">
        <f t="shared" si="17"/>
        <v>-13.109523809523811</v>
      </c>
      <c r="K1115">
        <f>DAY(weather.tbl[[#This Row],[Date]])</f>
        <v>18</v>
      </c>
      <c r="L1115">
        <f>MONTH(weather.tbl[[#This Row],[Date]])</f>
        <v>1</v>
      </c>
      <c r="M1115">
        <f>YEAR(weather.tbl[[#This Row],[Date]])</f>
        <v>2017</v>
      </c>
    </row>
    <row r="1116" spans="1:13" x14ac:dyDescent="0.25">
      <c r="A1116" s="1">
        <v>42754</v>
      </c>
      <c r="B1116" s="2">
        <v>-2.2000000000000002</v>
      </c>
      <c r="C1116" s="2">
        <v>-2.4</v>
      </c>
      <c r="D1116" s="2">
        <v>-1.8</v>
      </c>
      <c r="E1116" s="2">
        <v>0.2</v>
      </c>
      <c r="F1116" s="2">
        <v>-3.8</v>
      </c>
      <c r="G1116" s="2">
        <v>1.5</v>
      </c>
      <c r="H1116" s="2">
        <f>AVERAGE(weather.tbl[[#This Row],[Estevan]:[Kipling]])</f>
        <v>-1.4166666666666667</v>
      </c>
      <c r="I1116" s="2">
        <f>_xlfn.STDEV.S(weather.tbl[[#This Row],[Estevan]:[Kipling]])</f>
        <v>1.9250108224804003</v>
      </c>
      <c r="J1116" s="2">
        <f t="shared" si="17"/>
        <v>-9.8166666666666682</v>
      </c>
      <c r="K1116">
        <f>DAY(weather.tbl[[#This Row],[Date]])</f>
        <v>19</v>
      </c>
      <c r="L1116">
        <f>MONTH(weather.tbl[[#This Row],[Date]])</f>
        <v>1</v>
      </c>
      <c r="M1116">
        <f>YEAR(weather.tbl[[#This Row],[Date]])</f>
        <v>2017</v>
      </c>
    </row>
    <row r="1117" spans="1:13" x14ac:dyDescent="0.25">
      <c r="A1117" s="1">
        <v>42755</v>
      </c>
      <c r="B1117" s="2">
        <v>-8.3000000000000007</v>
      </c>
      <c r="C1117" s="2">
        <v>-6</v>
      </c>
      <c r="D1117" s="2">
        <v>-9.5</v>
      </c>
      <c r="E1117" s="2">
        <v>-3</v>
      </c>
      <c r="F1117" s="2">
        <v>-6.2</v>
      </c>
      <c r="G1117" s="2">
        <v>-2</v>
      </c>
      <c r="H1117" s="2">
        <f>AVERAGE(weather.tbl[[#This Row],[Estevan]:[Kipling]])</f>
        <v>-5.833333333333333</v>
      </c>
      <c r="I1117" s="2">
        <f>_xlfn.STDEV.S(weather.tbl[[#This Row],[Estevan]:[Kipling]])</f>
        <v>2.9125017882684072</v>
      </c>
      <c r="J1117" s="2">
        <f t="shared" si="17"/>
        <v>-7.2738095238095237</v>
      </c>
      <c r="K1117">
        <f>DAY(weather.tbl[[#This Row],[Date]])</f>
        <v>20</v>
      </c>
      <c r="L1117">
        <f>MONTH(weather.tbl[[#This Row],[Date]])</f>
        <v>1</v>
      </c>
      <c r="M1117">
        <f>YEAR(weather.tbl[[#This Row],[Date]])</f>
        <v>2017</v>
      </c>
    </row>
    <row r="1118" spans="1:13" x14ac:dyDescent="0.25">
      <c r="A1118" s="1">
        <v>42756</v>
      </c>
      <c r="B1118" s="2">
        <v>-7</v>
      </c>
      <c r="C1118" s="2">
        <v>-7.4</v>
      </c>
      <c r="D1118" s="2">
        <v>-7.5</v>
      </c>
      <c r="E1118" s="2">
        <v>-5.8</v>
      </c>
      <c r="F1118" s="2">
        <v>-1.7</v>
      </c>
      <c r="G1118" s="2">
        <v>-5</v>
      </c>
      <c r="H1118" s="2">
        <f>AVERAGE(weather.tbl[[#This Row],[Estevan]:[Kipling]])</f>
        <v>-5.7333333333333334</v>
      </c>
      <c r="I1118" s="2">
        <f>_xlfn.STDEV.S(weather.tbl[[#This Row],[Estevan]:[Kipling]])</f>
        <v>2.205145497845133</v>
      </c>
      <c r="J1118" s="2">
        <f t="shared" si="17"/>
        <v>-5.7547619047619047</v>
      </c>
      <c r="K1118">
        <f>DAY(weather.tbl[[#This Row],[Date]])</f>
        <v>21</v>
      </c>
      <c r="L1118">
        <f>MONTH(weather.tbl[[#This Row],[Date]])</f>
        <v>1</v>
      </c>
      <c r="M1118">
        <f>YEAR(weather.tbl[[#This Row],[Date]])</f>
        <v>2017</v>
      </c>
    </row>
    <row r="1119" spans="1:13" x14ac:dyDescent="0.25">
      <c r="A1119" s="1">
        <v>42757</v>
      </c>
      <c r="B1119" s="2">
        <v>-2.9</v>
      </c>
      <c r="C1119" s="2">
        <v>-3.7</v>
      </c>
      <c r="D1119" s="2">
        <v>-4</v>
      </c>
      <c r="E1119" s="2">
        <v>-3.5</v>
      </c>
      <c r="F1119" s="2">
        <v>-2.1</v>
      </c>
      <c r="G1119" s="2">
        <v>-5.3</v>
      </c>
      <c r="H1119" s="2">
        <f>AVERAGE(weather.tbl[[#This Row],[Estevan]:[Kipling]])</f>
        <v>-3.5833333333333335</v>
      </c>
      <c r="I1119" s="2">
        <f>_xlfn.STDEV.S(weather.tbl[[#This Row],[Estevan]:[Kipling]])</f>
        <v>1.0778064142816499</v>
      </c>
      <c r="J1119" s="2">
        <f t="shared" si="17"/>
        <v>-4.4857142857142858</v>
      </c>
      <c r="K1119">
        <f>DAY(weather.tbl[[#This Row],[Date]])</f>
        <v>22</v>
      </c>
      <c r="L1119">
        <f>MONTH(weather.tbl[[#This Row],[Date]])</f>
        <v>1</v>
      </c>
      <c r="M1119">
        <f>YEAR(weather.tbl[[#This Row],[Date]])</f>
        <v>2017</v>
      </c>
    </row>
    <row r="1120" spans="1:13" x14ac:dyDescent="0.25">
      <c r="A1120" s="1">
        <v>42758</v>
      </c>
      <c r="B1120" s="2">
        <v>-5.5</v>
      </c>
      <c r="C1120" s="2">
        <v>-6.6</v>
      </c>
      <c r="D1120" s="2">
        <v>-6.8</v>
      </c>
      <c r="E1120" s="2">
        <v>-6.6</v>
      </c>
      <c r="F1120" s="2">
        <v>-5.5</v>
      </c>
      <c r="G1120" s="2">
        <v>-7</v>
      </c>
      <c r="H1120" s="2">
        <f>AVERAGE(weather.tbl[[#This Row],[Estevan]:[Kipling]])</f>
        <v>-6.333333333333333</v>
      </c>
      <c r="I1120" s="2">
        <f>_xlfn.STDEV.S(weather.tbl[[#This Row],[Estevan]:[Kipling]])</f>
        <v>0.66231915770772221</v>
      </c>
      <c r="J1120" s="2">
        <f t="shared" si="17"/>
        <v>-4.0785714285714283</v>
      </c>
      <c r="K1120">
        <f>DAY(weather.tbl[[#This Row],[Date]])</f>
        <v>23</v>
      </c>
      <c r="L1120">
        <f>MONTH(weather.tbl[[#This Row],[Date]])</f>
        <v>1</v>
      </c>
      <c r="M1120">
        <f>YEAR(weather.tbl[[#This Row],[Date]])</f>
        <v>2017</v>
      </c>
    </row>
    <row r="1121" spans="1:13" x14ac:dyDescent="0.25">
      <c r="A1121" s="1">
        <v>42759</v>
      </c>
      <c r="B1121" s="2">
        <v>-8</v>
      </c>
      <c r="C1121" s="2">
        <v>-8.9</v>
      </c>
      <c r="D1121" s="2">
        <v>-8</v>
      </c>
      <c r="E1121" s="2">
        <v>-8.9</v>
      </c>
      <c r="F1121" s="2">
        <v>-6.2</v>
      </c>
      <c r="G1121" s="2">
        <v>-9</v>
      </c>
      <c r="H1121" s="2">
        <f>AVERAGE(weather.tbl[[#This Row],[Estevan]:[Kipling]])</f>
        <v>-8.1666666666666661</v>
      </c>
      <c r="I1121" s="2">
        <f>_xlfn.STDEV.S(weather.tbl[[#This Row],[Estevan]:[Kipling]])</f>
        <v>1.0670832519848981</v>
      </c>
      <c r="J1121" s="2">
        <f t="shared" si="17"/>
        <v>-4.473809523809523</v>
      </c>
      <c r="K1121">
        <f>DAY(weather.tbl[[#This Row],[Date]])</f>
        <v>24</v>
      </c>
      <c r="L1121">
        <f>MONTH(weather.tbl[[#This Row],[Date]])</f>
        <v>1</v>
      </c>
      <c r="M1121">
        <f>YEAR(weather.tbl[[#This Row],[Date]])</f>
        <v>2017</v>
      </c>
    </row>
    <row r="1122" spans="1:13" x14ac:dyDescent="0.25">
      <c r="A1122" s="1">
        <v>42760</v>
      </c>
      <c r="B1122" s="2">
        <v>-12.3</v>
      </c>
      <c r="C1122" s="2">
        <v>-12.8</v>
      </c>
      <c r="D1122" s="2">
        <v>-8.8000000000000007</v>
      </c>
      <c r="E1122" s="2">
        <v>-11.2</v>
      </c>
      <c r="F1122" s="2">
        <v>-10.199999999999999</v>
      </c>
      <c r="G1122" s="2">
        <v>-11</v>
      </c>
      <c r="H1122" s="2">
        <f>AVERAGE(weather.tbl[[#This Row],[Estevan]:[Kipling]])</f>
        <v>-11.050000000000002</v>
      </c>
      <c r="I1122" s="2">
        <f>_xlfn.STDEV.S(weather.tbl[[#This Row],[Estevan]:[Kipling]])</f>
        <v>1.4446452851824714</v>
      </c>
      <c r="J1122" s="2">
        <f t="shared" si="17"/>
        <v>-6.0166666666666666</v>
      </c>
      <c r="K1122">
        <f>DAY(weather.tbl[[#This Row],[Date]])</f>
        <v>25</v>
      </c>
      <c r="L1122">
        <f>MONTH(weather.tbl[[#This Row],[Date]])</f>
        <v>1</v>
      </c>
      <c r="M1122">
        <f>YEAR(weather.tbl[[#This Row],[Date]])</f>
        <v>2017</v>
      </c>
    </row>
    <row r="1123" spans="1:13" x14ac:dyDescent="0.25">
      <c r="A1123" s="1">
        <v>42761</v>
      </c>
      <c r="B1123" s="2">
        <v>-12.9</v>
      </c>
      <c r="C1123" s="2">
        <v>-12.1</v>
      </c>
      <c r="D1123" s="2">
        <v>-13.5</v>
      </c>
      <c r="E1123" s="2">
        <v>-11.3</v>
      </c>
      <c r="F1123" s="2">
        <v>-10.6</v>
      </c>
      <c r="G1123" s="2">
        <v>-10.8</v>
      </c>
      <c r="H1123" s="2">
        <f>AVERAGE(weather.tbl[[#This Row],[Estevan]:[Kipling]])</f>
        <v>-11.866666666666667</v>
      </c>
      <c r="I1123" s="2">
        <f>_xlfn.STDEV.S(weather.tbl[[#This Row],[Estevan]:[Kipling]])</f>
        <v>1.17075474232081</v>
      </c>
      <c r="J1123" s="2">
        <f t="shared" si="17"/>
        <v>-7.5095238095238104</v>
      </c>
      <c r="K1123">
        <f>DAY(weather.tbl[[#This Row],[Date]])</f>
        <v>26</v>
      </c>
      <c r="L1123">
        <f>MONTH(weather.tbl[[#This Row],[Date]])</f>
        <v>1</v>
      </c>
      <c r="M1123">
        <f>YEAR(weather.tbl[[#This Row],[Date]])</f>
        <v>2017</v>
      </c>
    </row>
    <row r="1124" spans="1:13" x14ac:dyDescent="0.25">
      <c r="A1124" s="1">
        <v>42762</v>
      </c>
      <c r="B1124" s="2">
        <v>-5.9</v>
      </c>
      <c r="C1124" s="2">
        <v>-4.0999999999999996</v>
      </c>
      <c r="D1124" s="2">
        <v>-6.5</v>
      </c>
      <c r="E1124" s="2">
        <v>-2.4</v>
      </c>
      <c r="F1124" s="2">
        <v>-7.2</v>
      </c>
      <c r="G1124" s="2">
        <v>-4.8</v>
      </c>
      <c r="H1124" s="2">
        <f>AVERAGE(weather.tbl[[#This Row],[Estevan]:[Kipling]])</f>
        <v>-5.1499999999999995</v>
      </c>
      <c r="I1124" s="2">
        <f>_xlfn.STDEV.S(weather.tbl[[#This Row],[Estevan]:[Kipling]])</f>
        <v>1.7535677916750199</v>
      </c>
      <c r="J1124" s="2">
        <f t="shared" si="17"/>
        <v>-7.4119047619047622</v>
      </c>
      <c r="K1124">
        <f>DAY(weather.tbl[[#This Row],[Date]])</f>
        <v>27</v>
      </c>
      <c r="L1124">
        <f>MONTH(weather.tbl[[#This Row],[Date]])</f>
        <v>1</v>
      </c>
      <c r="M1124">
        <f>YEAR(weather.tbl[[#This Row],[Date]])</f>
        <v>2017</v>
      </c>
    </row>
    <row r="1125" spans="1:13" x14ac:dyDescent="0.25">
      <c r="A1125" s="1">
        <v>42763</v>
      </c>
      <c r="B1125" s="2">
        <v>-0.5</v>
      </c>
      <c r="C1125" s="2">
        <v>-0.5</v>
      </c>
      <c r="D1125" s="2">
        <v>-3</v>
      </c>
      <c r="E1125" s="2">
        <v>0.1</v>
      </c>
      <c r="F1125" s="2">
        <v>-2.2999999999999998</v>
      </c>
      <c r="G1125" s="2">
        <v>-1</v>
      </c>
      <c r="H1125" s="2">
        <f>AVERAGE(weather.tbl[[#This Row],[Estevan]:[Kipling]])</f>
        <v>-1.2</v>
      </c>
      <c r="I1125" s="2">
        <f>_xlfn.STDEV.S(weather.tbl[[#This Row],[Estevan]:[Kipling]])</f>
        <v>1.1966620241321273</v>
      </c>
      <c r="J1125" s="2">
        <f t="shared" si="17"/>
        <v>-6.7642857142857142</v>
      </c>
      <c r="K1125">
        <f>DAY(weather.tbl[[#This Row],[Date]])</f>
        <v>28</v>
      </c>
      <c r="L1125">
        <f>MONTH(weather.tbl[[#This Row],[Date]])</f>
        <v>1</v>
      </c>
      <c r="M1125">
        <f>YEAR(weather.tbl[[#This Row],[Date]])</f>
        <v>2017</v>
      </c>
    </row>
    <row r="1126" spans="1:13" x14ac:dyDescent="0.25">
      <c r="A1126" s="1">
        <v>42764</v>
      </c>
      <c r="B1126" s="2">
        <v>-2</v>
      </c>
      <c r="C1126" s="2">
        <v>-0.6</v>
      </c>
      <c r="D1126" s="2">
        <v>-2.2999999999999998</v>
      </c>
      <c r="E1126" s="2">
        <v>0.7</v>
      </c>
      <c r="F1126" s="2">
        <v>-5.8</v>
      </c>
      <c r="G1126" s="2">
        <v>-2.2999999999999998</v>
      </c>
      <c r="H1126" s="2">
        <f>AVERAGE(weather.tbl[[#This Row],[Estevan]:[Kipling]])</f>
        <v>-2.0500000000000003</v>
      </c>
      <c r="I1126" s="2">
        <f>_xlfn.STDEV.S(weather.tbl[[#This Row],[Estevan]:[Kipling]])</f>
        <v>2.184261889060009</v>
      </c>
      <c r="J1126" s="2">
        <f t="shared" si="17"/>
        <v>-6.545238095238096</v>
      </c>
      <c r="K1126">
        <f>DAY(weather.tbl[[#This Row],[Date]])</f>
        <v>29</v>
      </c>
      <c r="L1126">
        <f>MONTH(weather.tbl[[#This Row],[Date]])</f>
        <v>1</v>
      </c>
      <c r="M1126">
        <f>YEAR(weather.tbl[[#This Row],[Date]])</f>
        <v>2017</v>
      </c>
    </row>
    <row r="1127" spans="1:13" x14ac:dyDescent="0.25">
      <c r="A1127" s="1">
        <v>42765</v>
      </c>
      <c r="B1127" s="2">
        <v>1.1000000000000001</v>
      </c>
      <c r="C1127" s="2">
        <v>1.4</v>
      </c>
      <c r="D1127" s="2">
        <v>-0.3</v>
      </c>
      <c r="E1127" s="2">
        <v>0.7</v>
      </c>
      <c r="F1127" s="2">
        <v>-0.7</v>
      </c>
      <c r="G1127" s="2">
        <v>0.3</v>
      </c>
      <c r="H1127" s="2">
        <f>AVERAGE(weather.tbl[[#This Row],[Estevan]:[Kipling]])</f>
        <v>0.41666666666666669</v>
      </c>
      <c r="I1127" s="2">
        <f>_xlfn.STDEV.S(weather.tbl[[#This Row],[Estevan]:[Kipling]])</f>
        <v>0.8109665015687556</v>
      </c>
      <c r="J1127" s="2">
        <f t="shared" si="17"/>
        <v>-5.5809523809523816</v>
      </c>
      <c r="K1127">
        <f>DAY(weather.tbl[[#This Row],[Date]])</f>
        <v>30</v>
      </c>
      <c r="L1127">
        <f>MONTH(weather.tbl[[#This Row],[Date]])</f>
        <v>1</v>
      </c>
      <c r="M1127">
        <f>YEAR(weather.tbl[[#This Row],[Date]])</f>
        <v>2017</v>
      </c>
    </row>
    <row r="1128" spans="1:13" x14ac:dyDescent="0.25">
      <c r="A1128" s="1">
        <v>42766</v>
      </c>
      <c r="B1128" s="2">
        <v>-10.6</v>
      </c>
      <c r="C1128" s="2">
        <v>-11.6</v>
      </c>
      <c r="D1128" s="2">
        <v>-9.3000000000000007</v>
      </c>
      <c r="E1128" s="2">
        <v>-11.2</v>
      </c>
      <c r="F1128" s="2">
        <v>-11</v>
      </c>
      <c r="G1128" s="2">
        <v>-11</v>
      </c>
      <c r="H1128" s="2">
        <f>AVERAGE(weather.tbl[[#This Row],[Estevan]:[Kipling]])</f>
        <v>-10.783333333333333</v>
      </c>
      <c r="I1128" s="2">
        <f>_xlfn.STDEV.S(weather.tbl[[#This Row],[Estevan]:[Kipling]])</f>
        <v>0.79603182515943793</v>
      </c>
      <c r="J1128" s="2">
        <f t="shared" si="17"/>
        <v>-5.9547619047619049</v>
      </c>
      <c r="K1128">
        <f>DAY(weather.tbl[[#This Row],[Date]])</f>
        <v>31</v>
      </c>
      <c r="L1128">
        <f>MONTH(weather.tbl[[#This Row],[Date]])</f>
        <v>1</v>
      </c>
      <c r="M1128">
        <f>YEAR(weather.tbl[[#This Row],[Date]])</f>
        <v>2017</v>
      </c>
    </row>
    <row r="1129" spans="1:13" x14ac:dyDescent="0.25">
      <c r="A1129" s="1">
        <v>42767</v>
      </c>
      <c r="B1129" s="2">
        <v>-18</v>
      </c>
      <c r="C1129" s="2">
        <v>-17.2</v>
      </c>
      <c r="D1129" s="2">
        <v>-19.3</v>
      </c>
      <c r="E1129" s="2">
        <v>-11.2</v>
      </c>
      <c r="F1129" s="2">
        <v>-19.399999999999999</v>
      </c>
      <c r="G1129" s="2">
        <v>-19.5</v>
      </c>
      <c r="H1129" s="2">
        <f>AVERAGE(weather.tbl[[#This Row],[Estevan]:[Kipling]])</f>
        <v>-17.433333333333334</v>
      </c>
      <c r="I1129" s="2">
        <f>_xlfn.STDEV.S(weather.tbl[[#This Row],[Estevan]:[Kipling]])</f>
        <v>3.1891482666484312</v>
      </c>
      <c r="J1129" s="2">
        <f t="shared" si="17"/>
        <v>-6.8666666666666663</v>
      </c>
      <c r="K1129">
        <f>DAY(weather.tbl[[#This Row],[Date]])</f>
        <v>1</v>
      </c>
      <c r="L1129">
        <f>MONTH(weather.tbl[[#This Row],[Date]])</f>
        <v>2</v>
      </c>
      <c r="M1129">
        <f>YEAR(weather.tbl[[#This Row],[Date]])</f>
        <v>2017</v>
      </c>
    </row>
    <row r="1130" spans="1:13" x14ac:dyDescent="0.25">
      <c r="A1130" s="1">
        <v>42768</v>
      </c>
      <c r="B1130" s="2">
        <v>-18.100000000000001</v>
      </c>
      <c r="C1130" s="2">
        <v>-15.9</v>
      </c>
      <c r="D1130" s="2">
        <v>-19.5</v>
      </c>
      <c r="E1130" s="2">
        <v>-14.7</v>
      </c>
      <c r="F1130" s="2">
        <v>-19.600000000000001</v>
      </c>
      <c r="G1130" s="2">
        <v>-17.8</v>
      </c>
      <c r="H1130" s="2">
        <f>AVERAGE(weather.tbl[[#This Row],[Estevan]:[Kipling]])</f>
        <v>-17.600000000000001</v>
      </c>
      <c r="I1130" s="2">
        <f>_xlfn.STDEV.S(weather.tbl[[#This Row],[Estevan]:[Kipling]])</f>
        <v>1.9595917942265331</v>
      </c>
      <c r="J1130" s="2">
        <f t="shared" si="17"/>
        <v>-7.6857142857142859</v>
      </c>
      <c r="K1130">
        <f>DAY(weather.tbl[[#This Row],[Date]])</f>
        <v>2</v>
      </c>
      <c r="L1130">
        <f>MONTH(weather.tbl[[#This Row],[Date]])</f>
        <v>2</v>
      </c>
      <c r="M1130">
        <f>YEAR(weather.tbl[[#This Row],[Date]])</f>
        <v>2017</v>
      </c>
    </row>
    <row r="1131" spans="1:13" x14ac:dyDescent="0.25">
      <c r="A1131" s="1">
        <v>42769</v>
      </c>
      <c r="B1131" s="2">
        <v>-16</v>
      </c>
      <c r="C1131" s="2">
        <v>-16</v>
      </c>
      <c r="D1131" s="2">
        <v>-16.5</v>
      </c>
      <c r="E1131" s="2">
        <v>-13.4</v>
      </c>
      <c r="F1131" s="2">
        <v>-17.399999999999999</v>
      </c>
      <c r="G1131" s="2">
        <v>-16.5</v>
      </c>
      <c r="H1131" s="2">
        <f>AVERAGE(weather.tbl[[#This Row],[Estevan]:[Kipling]])</f>
        <v>-15.966666666666667</v>
      </c>
      <c r="I1131" s="2">
        <f>_xlfn.STDEV.S(weather.tbl[[#This Row],[Estevan]:[Kipling]])</f>
        <v>1.3574485871172675</v>
      </c>
      <c r="J1131" s="2">
        <f t="shared" si="17"/>
        <v>-9.2309523809523828</v>
      </c>
      <c r="K1131">
        <f>DAY(weather.tbl[[#This Row],[Date]])</f>
        <v>3</v>
      </c>
      <c r="L1131">
        <f>MONTH(weather.tbl[[#This Row],[Date]])</f>
        <v>2</v>
      </c>
      <c r="M1131">
        <f>YEAR(weather.tbl[[#This Row],[Date]])</f>
        <v>2017</v>
      </c>
    </row>
    <row r="1132" spans="1:13" x14ac:dyDescent="0.25">
      <c r="A1132" s="1">
        <v>42770</v>
      </c>
      <c r="B1132" s="2">
        <v>-14.5</v>
      </c>
      <c r="C1132" s="2">
        <v>-15</v>
      </c>
      <c r="D1132" s="2">
        <v>-14.5</v>
      </c>
      <c r="E1132" s="2">
        <v>-14.2</v>
      </c>
      <c r="F1132" s="2">
        <v>-15.6</v>
      </c>
      <c r="G1132" s="2">
        <v>-15.8</v>
      </c>
      <c r="H1132" s="2">
        <f>AVERAGE(weather.tbl[[#This Row],[Estevan]:[Kipling]])</f>
        <v>-14.933333333333332</v>
      </c>
      <c r="I1132" s="2">
        <f>_xlfn.STDEV.S(weather.tbl[[#This Row],[Estevan]:[Kipling]])</f>
        <v>0.65012819248719478</v>
      </c>
      <c r="J1132" s="2">
        <f t="shared" si="17"/>
        <v>-11.192857142857145</v>
      </c>
      <c r="K1132">
        <f>DAY(weather.tbl[[#This Row],[Date]])</f>
        <v>4</v>
      </c>
      <c r="L1132">
        <f>MONTH(weather.tbl[[#This Row],[Date]])</f>
        <v>2</v>
      </c>
      <c r="M1132">
        <f>YEAR(weather.tbl[[#This Row],[Date]])</f>
        <v>2017</v>
      </c>
    </row>
    <row r="1133" spans="1:13" x14ac:dyDescent="0.25">
      <c r="A1133" s="1">
        <v>42771</v>
      </c>
      <c r="B1133" s="2">
        <v>-19.3</v>
      </c>
      <c r="C1133" s="2">
        <v>-19</v>
      </c>
      <c r="D1133" s="2">
        <v>-21.8</v>
      </c>
      <c r="E1133" s="2">
        <v>-17.399999999999999</v>
      </c>
      <c r="F1133" s="2">
        <v>-20.8</v>
      </c>
      <c r="G1133" s="2">
        <v>-18.5</v>
      </c>
      <c r="H1133" s="2">
        <f>AVERAGE(weather.tbl[[#This Row],[Estevan]:[Kipling]])</f>
        <v>-19.466666666666665</v>
      </c>
      <c r="I1133" s="2">
        <f>_xlfn.STDEV.S(weather.tbl[[#This Row],[Estevan]:[Kipling]])</f>
        <v>1.5920636503188774</v>
      </c>
      <c r="J1133" s="2">
        <f t="shared" si="17"/>
        <v>-13.680952380952382</v>
      </c>
      <c r="K1133">
        <f>DAY(weather.tbl[[#This Row],[Date]])</f>
        <v>5</v>
      </c>
      <c r="L1133">
        <f>MONTH(weather.tbl[[#This Row],[Date]])</f>
        <v>2</v>
      </c>
      <c r="M1133">
        <f>YEAR(weather.tbl[[#This Row],[Date]])</f>
        <v>2017</v>
      </c>
    </row>
    <row r="1134" spans="1:13" x14ac:dyDescent="0.25">
      <c r="A1134" s="1">
        <v>42772</v>
      </c>
      <c r="B1134" s="2">
        <v>-16.8</v>
      </c>
      <c r="C1134" s="2">
        <v>-16.5</v>
      </c>
      <c r="D1134" s="2">
        <v>-17.3</v>
      </c>
      <c r="E1134" s="2">
        <v>-16.8</v>
      </c>
      <c r="F1134" s="2">
        <v>-16.899999999999999</v>
      </c>
      <c r="G1134" s="2">
        <v>-17</v>
      </c>
      <c r="H1134" s="2">
        <f>AVERAGE(weather.tbl[[#This Row],[Estevan]:[Kipling]])</f>
        <v>-16.883333333333329</v>
      </c>
      <c r="I1134" s="2">
        <f>_xlfn.STDEV.S(weather.tbl[[#This Row],[Estevan]:[Kipling]])</f>
        <v>0.26394443859772215</v>
      </c>
      <c r="J1134" s="2">
        <f t="shared" si="17"/>
        <v>-16.152380952380952</v>
      </c>
      <c r="K1134">
        <f>DAY(weather.tbl[[#This Row],[Date]])</f>
        <v>6</v>
      </c>
      <c r="L1134">
        <f>MONTH(weather.tbl[[#This Row],[Date]])</f>
        <v>2</v>
      </c>
      <c r="M1134">
        <f>YEAR(weather.tbl[[#This Row],[Date]])</f>
        <v>2017</v>
      </c>
    </row>
    <row r="1135" spans="1:13" x14ac:dyDescent="0.25">
      <c r="A1135" s="1">
        <v>42773</v>
      </c>
      <c r="B1135" s="2">
        <v>-24.4</v>
      </c>
      <c r="C1135" s="2">
        <v>-25.8</v>
      </c>
      <c r="D1135" s="2">
        <v>-22.3</v>
      </c>
      <c r="E1135" s="2">
        <v>-25.5</v>
      </c>
      <c r="F1135" s="2">
        <v>-24</v>
      </c>
      <c r="G1135" s="2">
        <v>-22.8</v>
      </c>
      <c r="H1135" s="2">
        <f>AVERAGE(weather.tbl[[#This Row],[Estevan]:[Kipling]])</f>
        <v>-24.133333333333336</v>
      </c>
      <c r="I1135" s="2">
        <f>_xlfn.STDEV.S(weather.tbl[[#This Row],[Estevan]:[Kipling]])</f>
        <v>1.4052283325732746</v>
      </c>
      <c r="J1135" s="2">
        <f t="shared" si="17"/>
        <v>-18.05952380952381</v>
      </c>
      <c r="K1135">
        <f>DAY(weather.tbl[[#This Row],[Date]])</f>
        <v>7</v>
      </c>
      <c r="L1135">
        <f>MONTH(weather.tbl[[#This Row],[Date]])</f>
        <v>2</v>
      </c>
      <c r="M1135">
        <f>YEAR(weather.tbl[[#This Row],[Date]])</f>
        <v>2017</v>
      </c>
    </row>
    <row r="1136" spans="1:13" x14ac:dyDescent="0.25">
      <c r="A1136" s="1">
        <v>42774</v>
      </c>
      <c r="B1136" s="2">
        <v>-26.2</v>
      </c>
      <c r="C1136" s="2">
        <v>-25.5</v>
      </c>
      <c r="D1136" s="2">
        <v>-26.5</v>
      </c>
      <c r="E1136" s="2">
        <v>-25.7</v>
      </c>
      <c r="F1136" s="2">
        <v>-25.5</v>
      </c>
      <c r="G1136" s="2">
        <v>-26.3</v>
      </c>
      <c r="H1136" s="2">
        <f>AVERAGE(weather.tbl[[#This Row],[Estevan]:[Kipling]])</f>
        <v>-25.950000000000003</v>
      </c>
      <c r="I1136" s="2">
        <f>_xlfn.STDEV.S(weather.tbl[[#This Row],[Estevan]:[Kipling]])</f>
        <v>0.43703546766824325</v>
      </c>
      <c r="J1136" s="2">
        <f t="shared" si="17"/>
        <v>-19.276190476190475</v>
      </c>
      <c r="K1136">
        <f>DAY(weather.tbl[[#This Row],[Date]])</f>
        <v>8</v>
      </c>
      <c r="L1136">
        <f>MONTH(weather.tbl[[#This Row],[Date]])</f>
        <v>2</v>
      </c>
      <c r="M1136">
        <f>YEAR(weather.tbl[[#This Row],[Date]])</f>
        <v>2017</v>
      </c>
    </row>
    <row r="1137" spans="1:13" x14ac:dyDescent="0.25">
      <c r="A1137" s="1">
        <v>42775</v>
      </c>
      <c r="B1137" s="2">
        <v>-17.899999999999999</v>
      </c>
      <c r="C1137" s="2">
        <v>-18.2</v>
      </c>
      <c r="D1137" s="2">
        <v>-14</v>
      </c>
      <c r="E1137" s="2">
        <v>-16.600000000000001</v>
      </c>
      <c r="F1137" s="2">
        <v>-18.2</v>
      </c>
      <c r="G1137" s="2">
        <v>-14.3</v>
      </c>
      <c r="H1137" s="2">
        <f>AVERAGE(weather.tbl[[#This Row],[Estevan]:[Kipling]])</f>
        <v>-16.533333333333331</v>
      </c>
      <c r="I1137" s="2">
        <f>_xlfn.STDEV.S(weather.tbl[[#This Row],[Estevan]:[Kipling]])</f>
        <v>1.9407902170679712</v>
      </c>
      <c r="J1137" s="2">
        <f t="shared" si="17"/>
        <v>-19.123809523809523</v>
      </c>
      <c r="K1137">
        <f>DAY(weather.tbl[[#This Row],[Date]])</f>
        <v>9</v>
      </c>
      <c r="L1137">
        <f>MONTH(weather.tbl[[#This Row],[Date]])</f>
        <v>2</v>
      </c>
      <c r="M1137">
        <f>YEAR(weather.tbl[[#This Row],[Date]])</f>
        <v>2017</v>
      </c>
    </row>
    <row r="1138" spans="1:13" x14ac:dyDescent="0.25">
      <c r="A1138" s="1">
        <v>42776</v>
      </c>
      <c r="B1138" s="2">
        <v>-1.4</v>
      </c>
      <c r="C1138" s="2">
        <v>-1.5</v>
      </c>
      <c r="D1138" s="2">
        <v>-6.5</v>
      </c>
      <c r="E1138" s="2">
        <v>-2.1</v>
      </c>
      <c r="F1138" s="2">
        <v>-5.6</v>
      </c>
      <c r="G1138" s="2">
        <v>-9</v>
      </c>
      <c r="H1138" s="2">
        <f>AVERAGE(weather.tbl[[#This Row],[Estevan]:[Kipling]])</f>
        <v>-4.3500000000000005</v>
      </c>
      <c r="I1138" s="2">
        <f>_xlfn.STDEV.S(weather.tbl[[#This Row],[Estevan]:[Kipling]])</f>
        <v>3.1526179597280737</v>
      </c>
      <c r="J1138" s="2">
        <f t="shared" si="17"/>
        <v>-17.464285714285715</v>
      </c>
      <c r="K1138">
        <f>DAY(weather.tbl[[#This Row],[Date]])</f>
        <v>10</v>
      </c>
      <c r="L1138">
        <f>MONTH(weather.tbl[[#This Row],[Date]])</f>
        <v>2</v>
      </c>
      <c r="M1138">
        <f>YEAR(weather.tbl[[#This Row],[Date]])</f>
        <v>2017</v>
      </c>
    </row>
    <row r="1139" spans="1:13" x14ac:dyDescent="0.25">
      <c r="A1139" s="1">
        <v>42777</v>
      </c>
      <c r="B1139" s="2">
        <v>-5.3</v>
      </c>
      <c r="C1139" s="2">
        <v>-4.8</v>
      </c>
      <c r="D1139" s="2">
        <v>-6</v>
      </c>
      <c r="E1139" s="2">
        <v>-5.3</v>
      </c>
      <c r="F1139" s="2">
        <v>-3.5</v>
      </c>
      <c r="G1139" s="2">
        <v>-6.8</v>
      </c>
      <c r="H1139" s="2">
        <f>AVERAGE(weather.tbl[[#This Row],[Estevan]:[Kipling]])</f>
        <v>-5.2833333333333341</v>
      </c>
      <c r="I1139" s="2">
        <f>_xlfn.STDEV.S(weather.tbl[[#This Row],[Estevan]:[Kipling]])</f>
        <v>1.1160943807163684</v>
      </c>
      <c r="J1139" s="2">
        <f t="shared" si="17"/>
        <v>-16.085714285714285</v>
      </c>
      <c r="K1139">
        <f>DAY(weather.tbl[[#This Row],[Date]])</f>
        <v>11</v>
      </c>
      <c r="L1139">
        <f>MONTH(weather.tbl[[#This Row],[Date]])</f>
        <v>2</v>
      </c>
      <c r="M1139">
        <f>YEAR(weather.tbl[[#This Row],[Date]])</f>
        <v>2017</v>
      </c>
    </row>
    <row r="1140" spans="1:13" x14ac:dyDescent="0.25">
      <c r="A1140" s="1">
        <v>42778</v>
      </c>
      <c r="B1140" s="2">
        <v>-5.3</v>
      </c>
      <c r="C1140" s="2">
        <v>-4.0999999999999996</v>
      </c>
      <c r="D1140" s="2">
        <v>-6.3</v>
      </c>
      <c r="E1140" s="2">
        <v>-2.9</v>
      </c>
      <c r="F1140" s="2">
        <v>-6</v>
      </c>
      <c r="G1140" s="2">
        <v>-7.5</v>
      </c>
      <c r="H1140" s="2">
        <f>AVERAGE(weather.tbl[[#This Row],[Estevan]:[Kipling]])</f>
        <v>-5.3499999999999988</v>
      </c>
      <c r="I1140" s="2">
        <f>_xlfn.STDEV.S(weather.tbl[[#This Row],[Estevan]:[Kipling]])</f>
        <v>1.6440802900101974</v>
      </c>
      <c r="J1140" s="2">
        <f t="shared" si="17"/>
        <v>-14.069047619047618</v>
      </c>
      <c r="K1140">
        <f>DAY(weather.tbl[[#This Row],[Date]])</f>
        <v>12</v>
      </c>
      <c r="L1140">
        <f>MONTH(weather.tbl[[#This Row],[Date]])</f>
        <v>2</v>
      </c>
      <c r="M1140">
        <f>YEAR(weather.tbl[[#This Row],[Date]])</f>
        <v>2017</v>
      </c>
    </row>
    <row r="1141" spans="1:13" x14ac:dyDescent="0.25">
      <c r="A1141" s="1">
        <v>42779</v>
      </c>
      <c r="B1141" s="2">
        <v>-3.1</v>
      </c>
      <c r="C1141" s="2">
        <v>-1.5</v>
      </c>
      <c r="D1141" s="2">
        <v>-3</v>
      </c>
      <c r="E1141" s="2">
        <v>-0.8</v>
      </c>
      <c r="F1141" s="2">
        <v>-3.3</v>
      </c>
      <c r="G1141" s="2">
        <v>-2.2999999999999998</v>
      </c>
      <c r="H1141" s="2">
        <f>AVERAGE(weather.tbl[[#This Row],[Estevan]:[Kipling]])</f>
        <v>-2.3333333333333335</v>
      </c>
      <c r="I1141" s="2">
        <f>_xlfn.STDEV.S(weather.tbl[[#This Row],[Estevan]:[Kipling]])</f>
        <v>1.0013324456276582</v>
      </c>
      <c r="J1141" s="2">
        <f t="shared" si="17"/>
        <v>-11.990476190476189</v>
      </c>
      <c r="K1141">
        <f>DAY(weather.tbl[[#This Row],[Date]])</f>
        <v>13</v>
      </c>
      <c r="L1141">
        <f>MONTH(weather.tbl[[#This Row],[Date]])</f>
        <v>2</v>
      </c>
      <c r="M1141">
        <f>YEAR(weather.tbl[[#This Row],[Date]])</f>
        <v>2017</v>
      </c>
    </row>
    <row r="1142" spans="1:13" x14ac:dyDescent="0.25">
      <c r="A1142" s="1">
        <v>42780</v>
      </c>
      <c r="B1142" s="2">
        <v>-4.4000000000000004</v>
      </c>
      <c r="C1142" s="2">
        <v>-4.0999999999999996</v>
      </c>
      <c r="D1142" s="2">
        <v>-4.8</v>
      </c>
      <c r="E1142" s="2">
        <v>-2.2000000000000002</v>
      </c>
      <c r="F1142" s="2">
        <v>-4.0999999999999996</v>
      </c>
      <c r="G1142" s="2">
        <v>-3.3</v>
      </c>
      <c r="H1142" s="2">
        <f>AVERAGE(weather.tbl[[#This Row],[Estevan]:[Kipling]])</f>
        <v>-3.8166666666666669</v>
      </c>
      <c r="I1142" s="2">
        <f>_xlfn.STDEV.S(weather.tbl[[#This Row],[Estevan]:[Kipling]])</f>
        <v>0.93255920276766502</v>
      </c>
      <c r="J1142" s="2">
        <f t="shared" si="17"/>
        <v>-9.0880952380952387</v>
      </c>
      <c r="K1142">
        <f>DAY(weather.tbl[[#This Row],[Date]])</f>
        <v>14</v>
      </c>
      <c r="L1142">
        <f>MONTH(weather.tbl[[#This Row],[Date]])</f>
        <v>2</v>
      </c>
      <c r="M1142">
        <f>YEAR(weather.tbl[[#This Row],[Date]])</f>
        <v>2017</v>
      </c>
    </row>
    <row r="1143" spans="1:13" x14ac:dyDescent="0.25">
      <c r="A1143" s="1">
        <v>42781</v>
      </c>
      <c r="B1143" s="2">
        <v>-1.4</v>
      </c>
      <c r="C1143" s="2">
        <v>0.2</v>
      </c>
      <c r="D1143" s="2">
        <v>-5</v>
      </c>
      <c r="E1143" s="2">
        <v>1.3</v>
      </c>
      <c r="F1143" s="2">
        <v>-4.2</v>
      </c>
      <c r="G1143" s="2">
        <v>-1.3</v>
      </c>
      <c r="H1143" s="2">
        <f>AVERAGE(weather.tbl[[#This Row],[Estevan]:[Kipling]])</f>
        <v>-1.7333333333333336</v>
      </c>
      <c r="I1143" s="2">
        <f>_xlfn.STDEV.S(weather.tbl[[#This Row],[Estevan]:[Kipling]])</f>
        <v>2.4492175621342143</v>
      </c>
      <c r="J1143" s="2">
        <f t="shared" si="17"/>
        <v>-5.628571428571429</v>
      </c>
      <c r="K1143">
        <f>DAY(weather.tbl[[#This Row],[Date]])</f>
        <v>15</v>
      </c>
      <c r="L1143">
        <f>MONTH(weather.tbl[[#This Row],[Date]])</f>
        <v>2</v>
      </c>
      <c r="M1143">
        <f>YEAR(weather.tbl[[#This Row],[Date]])</f>
        <v>2017</v>
      </c>
    </row>
    <row r="1144" spans="1:13" x14ac:dyDescent="0.25">
      <c r="A1144" s="1">
        <v>42782</v>
      </c>
      <c r="B1144" s="2">
        <v>2.4</v>
      </c>
      <c r="C1144" s="2">
        <v>3.2</v>
      </c>
      <c r="D1144" s="2">
        <v>2.5</v>
      </c>
      <c r="E1144" s="2">
        <v>4.9000000000000004</v>
      </c>
      <c r="F1144" s="2">
        <v>0.4</v>
      </c>
      <c r="G1144" s="2">
        <v>3.5</v>
      </c>
      <c r="H1144" s="2">
        <f>AVERAGE(weather.tbl[[#This Row],[Estevan]:[Kipling]])</f>
        <v>2.8166666666666664</v>
      </c>
      <c r="I1144" s="2">
        <f>_xlfn.STDEV.S(weather.tbl[[#This Row],[Estevan]:[Kipling]])</f>
        <v>1.4878395970892389</v>
      </c>
      <c r="J1144" s="2">
        <f t="shared" si="17"/>
        <v>-2.8642857142857143</v>
      </c>
      <c r="K1144">
        <f>DAY(weather.tbl[[#This Row],[Date]])</f>
        <v>16</v>
      </c>
      <c r="L1144">
        <f>MONTH(weather.tbl[[#This Row],[Date]])</f>
        <v>2</v>
      </c>
      <c r="M1144">
        <f>YEAR(weather.tbl[[#This Row],[Date]])</f>
        <v>2017</v>
      </c>
    </row>
    <row r="1145" spans="1:13" x14ac:dyDescent="0.25">
      <c r="A1145" s="1">
        <v>42783</v>
      </c>
      <c r="B1145" s="2">
        <v>2.2999999999999998</v>
      </c>
      <c r="C1145" s="2">
        <v>4.5</v>
      </c>
      <c r="D1145" s="2">
        <v>3.8</v>
      </c>
      <c r="E1145" s="2">
        <v>5.3</v>
      </c>
      <c r="F1145" s="2">
        <v>2.8</v>
      </c>
      <c r="G1145" s="2">
        <v>4</v>
      </c>
      <c r="H1145" s="2">
        <f>AVERAGE(weather.tbl[[#This Row],[Estevan]:[Kipling]])</f>
        <v>3.7833333333333332</v>
      </c>
      <c r="I1145" s="2">
        <f>_xlfn.STDEV.S(weather.tbl[[#This Row],[Estevan]:[Kipling]])</f>
        <v>1.0980285363626334</v>
      </c>
      <c r="J1145" s="2">
        <f t="shared" si="17"/>
        <v>-1.7023809523809528</v>
      </c>
      <c r="K1145">
        <f>DAY(weather.tbl[[#This Row],[Date]])</f>
        <v>17</v>
      </c>
      <c r="L1145">
        <f>MONTH(weather.tbl[[#This Row],[Date]])</f>
        <v>2</v>
      </c>
      <c r="M1145">
        <f>YEAR(weather.tbl[[#This Row],[Date]])</f>
        <v>2017</v>
      </c>
    </row>
    <row r="1146" spans="1:13" x14ac:dyDescent="0.25">
      <c r="A1146" s="1">
        <v>42784</v>
      </c>
      <c r="B1146" s="2">
        <v>-1.9</v>
      </c>
      <c r="C1146" s="2">
        <v>-1.6</v>
      </c>
      <c r="D1146" s="2">
        <v>-1</v>
      </c>
      <c r="E1146" s="2">
        <v>-0.6</v>
      </c>
      <c r="F1146" s="2">
        <v>-0.2</v>
      </c>
      <c r="G1146" s="2">
        <v>2</v>
      </c>
      <c r="H1146" s="2">
        <f>AVERAGE(weather.tbl[[#This Row],[Estevan]:[Kipling]])</f>
        <v>-0.54999999999999993</v>
      </c>
      <c r="I1146" s="2">
        <f>_xlfn.STDEV.S(weather.tbl[[#This Row],[Estevan]:[Kipling]])</f>
        <v>1.396782015920881</v>
      </c>
      <c r="J1146" s="2">
        <f t="shared" si="17"/>
        <v>-1.0261904761904761</v>
      </c>
      <c r="K1146">
        <f>DAY(weather.tbl[[#This Row],[Date]])</f>
        <v>18</v>
      </c>
      <c r="L1146">
        <f>MONTH(weather.tbl[[#This Row],[Date]])</f>
        <v>2</v>
      </c>
      <c r="M1146">
        <f>YEAR(weather.tbl[[#This Row],[Date]])</f>
        <v>2017</v>
      </c>
    </row>
    <row r="1147" spans="1:13" x14ac:dyDescent="0.25">
      <c r="A1147" s="1">
        <v>42785</v>
      </c>
      <c r="B1147" s="2">
        <v>-0.1</v>
      </c>
      <c r="C1147" s="2">
        <v>-0.1</v>
      </c>
      <c r="D1147" s="2">
        <v>-0.8</v>
      </c>
      <c r="E1147" s="2">
        <v>-0.4</v>
      </c>
      <c r="F1147" s="2">
        <v>0.2</v>
      </c>
      <c r="G1147" s="2">
        <v>0</v>
      </c>
      <c r="H1147" s="2">
        <f>AVERAGE(weather.tbl[[#This Row],[Estevan]:[Kipling]])</f>
        <v>-0.19999999999999998</v>
      </c>
      <c r="I1147" s="2">
        <f>_xlfn.STDEV.S(weather.tbl[[#This Row],[Estevan]:[Kipling]])</f>
        <v>0.35213633723318022</v>
      </c>
      <c r="J1147" s="2">
        <f t="shared" si="17"/>
        <v>-0.29047619047619061</v>
      </c>
      <c r="K1147">
        <f>DAY(weather.tbl[[#This Row],[Date]])</f>
        <v>19</v>
      </c>
      <c r="L1147">
        <f>MONTH(weather.tbl[[#This Row],[Date]])</f>
        <v>2</v>
      </c>
      <c r="M1147">
        <f>YEAR(weather.tbl[[#This Row],[Date]])</f>
        <v>2017</v>
      </c>
    </row>
    <row r="1148" spans="1:13" x14ac:dyDescent="0.25">
      <c r="A1148" s="1">
        <v>42786</v>
      </c>
      <c r="B1148" s="2">
        <v>1.5</v>
      </c>
      <c r="C1148" s="2">
        <v>3</v>
      </c>
      <c r="D1148" s="2">
        <v>1.8</v>
      </c>
      <c r="E1148" s="2">
        <v>3.7</v>
      </c>
      <c r="F1148" s="2">
        <v>-0.6</v>
      </c>
      <c r="G1148" s="2">
        <v>1.8</v>
      </c>
      <c r="H1148" s="2">
        <f>AVERAGE(weather.tbl[[#This Row],[Estevan]:[Kipling]])</f>
        <v>1.8666666666666669</v>
      </c>
      <c r="I1148" s="2">
        <f>_xlfn.STDEV.S(weather.tbl[[#This Row],[Estevan]:[Kipling]])</f>
        <v>1.4746751054610863</v>
      </c>
      <c r="J1148" s="2">
        <f t="shared" si="17"/>
        <v>0.30952380952380942</v>
      </c>
      <c r="K1148">
        <f>DAY(weather.tbl[[#This Row],[Date]])</f>
        <v>20</v>
      </c>
      <c r="L1148">
        <f>MONTH(weather.tbl[[#This Row],[Date]])</f>
        <v>2</v>
      </c>
      <c r="M1148">
        <f>YEAR(weather.tbl[[#This Row],[Date]])</f>
        <v>2017</v>
      </c>
    </row>
    <row r="1149" spans="1:13" x14ac:dyDescent="0.25">
      <c r="A1149" s="1">
        <v>42787</v>
      </c>
      <c r="B1149" s="2">
        <v>1.1000000000000001</v>
      </c>
      <c r="C1149" s="2">
        <v>-0.4</v>
      </c>
      <c r="D1149" s="2">
        <v>-1.3</v>
      </c>
      <c r="E1149" s="2">
        <v>1.4</v>
      </c>
      <c r="F1149" s="2">
        <v>-1.1000000000000001</v>
      </c>
      <c r="G1149" s="2">
        <v>0</v>
      </c>
      <c r="H1149" s="2">
        <f>AVERAGE(weather.tbl[[#This Row],[Estevan]:[Kipling]])</f>
        <v>-5.0000000000000024E-2</v>
      </c>
      <c r="I1149" s="2">
        <f>_xlfn.STDEV.S(weather.tbl[[#This Row],[Estevan]:[Kipling]])</f>
        <v>1.1148990985734988</v>
      </c>
      <c r="J1149" s="2">
        <f t="shared" si="17"/>
        <v>0.84761904761904761</v>
      </c>
      <c r="K1149">
        <f>DAY(weather.tbl[[#This Row],[Date]])</f>
        <v>21</v>
      </c>
      <c r="L1149">
        <f>MONTH(weather.tbl[[#This Row],[Date]])</f>
        <v>2</v>
      </c>
      <c r="M1149">
        <f>YEAR(weather.tbl[[#This Row],[Date]])</f>
        <v>2017</v>
      </c>
    </row>
    <row r="1150" spans="1:13" x14ac:dyDescent="0.25">
      <c r="A1150" s="1">
        <v>42788</v>
      </c>
      <c r="B1150" s="2">
        <v>-1.1000000000000001</v>
      </c>
      <c r="C1150" s="2">
        <v>-1.5</v>
      </c>
      <c r="D1150" s="2">
        <v>0.3</v>
      </c>
      <c r="E1150" s="2">
        <v>-0.8</v>
      </c>
      <c r="F1150" s="2">
        <v>0.3</v>
      </c>
      <c r="G1150" s="2">
        <v>-2.2999999999999998</v>
      </c>
      <c r="H1150" s="2">
        <f>AVERAGE(weather.tbl[[#This Row],[Estevan]:[Kipling]])</f>
        <v>-0.85000000000000009</v>
      </c>
      <c r="I1150" s="2">
        <f>_xlfn.STDEV.S(weather.tbl[[#This Row],[Estevan]:[Kipling]])</f>
        <v>1.0232301793829184</v>
      </c>
      <c r="J1150" s="2">
        <f t="shared" si="17"/>
        <v>0.97380952380952379</v>
      </c>
      <c r="K1150">
        <f>DAY(weather.tbl[[#This Row],[Date]])</f>
        <v>22</v>
      </c>
      <c r="L1150">
        <f>MONTH(weather.tbl[[#This Row],[Date]])</f>
        <v>2</v>
      </c>
      <c r="M1150">
        <f>YEAR(weather.tbl[[#This Row],[Date]])</f>
        <v>2017</v>
      </c>
    </row>
    <row r="1151" spans="1:13" x14ac:dyDescent="0.25">
      <c r="A1151" s="1">
        <v>42789</v>
      </c>
      <c r="B1151" s="2">
        <v>-3.5</v>
      </c>
      <c r="C1151" s="2">
        <v>-3.5</v>
      </c>
      <c r="D1151" s="2">
        <v>-4.5</v>
      </c>
      <c r="E1151" s="2">
        <v>-3.4</v>
      </c>
      <c r="F1151" s="2">
        <v>-3.6</v>
      </c>
      <c r="G1151" s="2">
        <v>-6</v>
      </c>
      <c r="H1151" s="2">
        <f>AVERAGE(weather.tbl[[#This Row],[Estevan]:[Kipling]])</f>
        <v>-4.083333333333333</v>
      </c>
      <c r="I1151" s="2">
        <f>_xlfn.STDEV.S(weather.tbl[[#This Row],[Estevan]:[Kipling]])</f>
        <v>1.0225784403490363</v>
      </c>
      <c r="J1151" s="2">
        <f t="shared" si="17"/>
        <v>-1.1904761904761862E-2</v>
      </c>
      <c r="K1151">
        <f>DAY(weather.tbl[[#This Row],[Date]])</f>
        <v>23</v>
      </c>
      <c r="L1151">
        <f>MONTH(weather.tbl[[#This Row],[Date]])</f>
        <v>2</v>
      </c>
      <c r="M1151">
        <f>YEAR(weather.tbl[[#This Row],[Date]])</f>
        <v>2017</v>
      </c>
    </row>
    <row r="1152" spans="1:13" x14ac:dyDescent="0.25">
      <c r="A1152" s="1">
        <v>42790</v>
      </c>
      <c r="B1152" s="2">
        <v>-6.9</v>
      </c>
      <c r="C1152" s="2">
        <v>-5</v>
      </c>
      <c r="D1152" s="2">
        <v>-8.3000000000000007</v>
      </c>
      <c r="E1152" s="2">
        <v>-4.2</v>
      </c>
      <c r="F1152" s="2">
        <v>-10</v>
      </c>
      <c r="G1152" s="2">
        <v>-5.8</v>
      </c>
      <c r="H1152" s="2">
        <f>AVERAGE(weather.tbl[[#This Row],[Estevan]:[Kipling]])</f>
        <v>-6.7</v>
      </c>
      <c r="I1152" s="2">
        <f>_xlfn.STDEV.S(weather.tbl[[#This Row],[Estevan]:[Kipling]])</f>
        <v>2.1651789764358971</v>
      </c>
      <c r="J1152" s="2">
        <f t="shared" si="17"/>
        <v>-1.5095238095238095</v>
      </c>
      <c r="K1152">
        <f>DAY(weather.tbl[[#This Row],[Date]])</f>
        <v>24</v>
      </c>
      <c r="L1152">
        <f>MONTH(weather.tbl[[#This Row],[Date]])</f>
        <v>2</v>
      </c>
      <c r="M1152">
        <f>YEAR(weather.tbl[[#This Row],[Date]])</f>
        <v>2017</v>
      </c>
    </row>
    <row r="1153" spans="1:13" x14ac:dyDescent="0.25">
      <c r="A1153" s="1">
        <v>42791</v>
      </c>
      <c r="B1153" s="2">
        <v>-12.3</v>
      </c>
      <c r="C1153" s="2">
        <v>-11.9</v>
      </c>
      <c r="D1153" s="2">
        <v>-10</v>
      </c>
      <c r="E1153" s="2">
        <v>-11.3</v>
      </c>
      <c r="F1153" s="2">
        <v>-13.5</v>
      </c>
      <c r="G1153" s="2">
        <v>-12</v>
      </c>
      <c r="H1153" s="2">
        <f>AVERAGE(weather.tbl[[#This Row],[Estevan]:[Kipling]])</f>
        <v>-11.833333333333334</v>
      </c>
      <c r="I1153" s="2">
        <f>_xlfn.STDEV.S(weather.tbl[[#This Row],[Estevan]:[Kipling]])</f>
        <v>1.1552777443829976</v>
      </c>
      <c r="J1153" s="2">
        <f t="shared" si="17"/>
        <v>-3.1214285714285714</v>
      </c>
      <c r="K1153">
        <f>DAY(weather.tbl[[#This Row],[Date]])</f>
        <v>25</v>
      </c>
      <c r="L1153">
        <f>MONTH(weather.tbl[[#This Row],[Date]])</f>
        <v>2</v>
      </c>
      <c r="M1153">
        <f>YEAR(weather.tbl[[#This Row],[Date]])</f>
        <v>2017</v>
      </c>
    </row>
    <row r="1154" spans="1:13" x14ac:dyDescent="0.25">
      <c r="A1154" s="1">
        <v>42792</v>
      </c>
      <c r="B1154" s="2">
        <v>-12.6</v>
      </c>
      <c r="C1154" s="2">
        <v>-10.4</v>
      </c>
      <c r="D1154" s="2">
        <v>-12.3</v>
      </c>
      <c r="E1154" s="2">
        <v>-9.4</v>
      </c>
      <c r="F1154" s="2">
        <v>-14.5</v>
      </c>
      <c r="G1154" s="2">
        <v>-12.3</v>
      </c>
      <c r="H1154" s="2">
        <f>AVERAGE(weather.tbl[[#This Row],[Estevan]:[Kipling]])</f>
        <v>-11.916666666666666</v>
      </c>
      <c r="I1154" s="2">
        <f>_xlfn.STDEV.S(weather.tbl[[#This Row],[Estevan]:[Kipling]])</f>
        <v>1.7926702615558443</v>
      </c>
      <c r="J1154" s="2">
        <f t="shared" si="17"/>
        <v>-4.7952380952380951</v>
      </c>
      <c r="K1154">
        <f>DAY(weather.tbl[[#This Row],[Date]])</f>
        <v>26</v>
      </c>
      <c r="L1154">
        <f>MONTH(weather.tbl[[#This Row],[Date]])</f>
        <v>2</v>
      </c>
      <c r="M1154">
        <f>YEAR(weather.tbl[[#This Row],[Date]])</f>
        <v>2017</v>
      </c>
    </row>
    <row r="1155" spans="1:13" x14ac:dyDescent="0.25">
      <c r="A1155" s="1">
        <v>42793</v>
      </c>
      <c r="B1155" s="2">
        <v>-14.4</v>
      </c>
      <c r="C1155" s="2">
        <v>-15.2</v>
      </c>
      <c r="D1155" s="2">
        <v>-14</v>
      </c>
      <c r="E1155" s="2">
        <v>-14.3</v>
      </c>
      <c r="F1155" s="2">
        <v>-15.3</v>
      </c>
      <c r="G1155" s="2">
        <v>-16.3</v>
      </c>
      <c r="H1155" s="2">
        <f>AVERAGE(weather.tbl[[#This Row],[Estevan]:[Kipling]])</f>
        <v>-14.916666666666666</v>
      </c>
      <c r="I1155" s="2">
        <f>_xlfn.STDEV.S(weather.tbl[[#This Row],[Estevan]:[Kipling]])</f>
        <v>0.85186070848858075</v>
      </c>
      <c r="J1155" s="2">
        <f t="shared" si="17"/>
        <v>-7.1928571428571422</v>
      </c>
      <c r="K1155">
        <f>DAY(weather.tbl[[#This Row],[Date]])</f>
        <v>27</v>
      </c>
      <c r="L1155">
        <f>MONTH(weather.tbl[[#This Row],[Date]])</f>
        <v>2</v>
      </c>
      <c r="M1155">
        <f>YEAR(weather.tbl[[#This Row],[Date]])</f>
        <v>2017</v>
      </c>
    </row>
    <row r="1156" spans="1:13" x14ac:dyDescent="0.25">
      <c r="A1156" s="1">
        <v>42794</v>
      </c>
      <c r="B1156" s="2">
        <v>-14.4</v>
      </c>
      <c r="C1156" s="2">
        <v>-12.6</v>
      </c>
      <c r="D1156" s="2">
        <v>-17</v>
      </c>
      <c r="E1156" s="2">
        <v>-11.7</v>
      </c>
      <c r="F1156" s="2">
        <v>-16.600000000000001</v>
      </c>
      <c r="G1156" s="2">
        <v>-14</v>
      </c>
      <c r="H1156" s="2">
        <f>AVERAGE(weather.tbl[[#This Row],[Estevan]:[Kipling]])</f>
        <v>-14.383333333333335</v>
      </c>
      <c r="I1156" s="2">
        <f>_xlfn.STDEV.S(weather.tbl[[#This Row],[Estevan]:[Kipling]])</f>
        <v>2.1113187032436946</v>
      </c>
      <c r="J1156" s="2">
        <f t="shared" si="17"/>
        <v>-9.2404761904761905</v>
      </c>
      <c r="K1156">
        <f>DAY(weather.tbl[[#This Row],[Date]])</f>
        <v>28</v>
      </c>
      <c r="L1156">
        <f>MONTH(weather.tbl[[#This Row],[Date]])</f>
        <v>2</v>
      </c>
      <c r="M1156">
        <f>YEAR(weather.tbl[[#This Row],[Date]])</f>
        <v>2017</v>
      </c>
    </row>
    <row r="1157" spans="1:13" x14ac:dyDescent="0.25">
      <c r="A1157" s="1">
        <v>42795</v>
      </c>
      <c r="B1157" s="2">
        <v>-12.5</v>
      </c>
      <c r="C1157" s="2">
        <v>-11.6</v>
      </c>
      <c r="D1157" s="2">
        <v>-14</v>
      </c>
      <c r="E1157" s="2">
        <v>-10.9</v>
      </c>
      <c r="F1157" s="2">
        <v>-13.9</v>
      </c>
      <c r="G1157" s="2">
        <v>-13.5</v>
      </c>
      <c r="H1157" s="2">
        <f>AVERAGE(weather.tbl[[#This Row],[Estevan]:[Kipling]])</f>
        <v>-12.733333333333334</v>
      </c>
      <c r="I1157" s="2">
        <f>_xlfn.STDEV.S(weather.tbl[[#This Row],[Estevan]:[Kipling]])</f>
        <v>1.2847827313077751</v>
      </c>
      <c r="J1157" s="2">
        <f t="shared" si="17"/>
        <v>-10.938095238095238</v>
      </c>
      <c r="K1157">
        <f>DAY(weather.tbl[[#This Row],[Date]])</f>
        <v>1</v>
      </c>
      <c r="L1157">
        <f>MONTH(weather.tbl[[#This Row],[Date]])</f>
        <v>3</v>
      </c>
      <c r="M1157">
        <f>YEAR(weather.tbl[[#This Row],[Date]])</f>
        <v>2017</v>
      </c>
    </row>
    <row r="1158" spans="1:13" x14ac:dyDescent="0.25">
      <c r="A1158" s="1">
        <v>42796</v>
      </c>
      <c r="B1158" s="2">
        <v>-13.4</v>
      </c>
      <c r="C1158" s="2">
        <v>-12.8</v>
      </c>
      <c r="D1158" s="2">
        <v>-14</v>
      </c>
      <c r="E1158" s="2">
        <v>-12.5</v>
      </c>
      <c r="F1158" s="2">
        <v>-18</v>
      </c>
      <c r="G1158" s="2">
        <v>-13.8</v>
      </c>
      <c r="H1158" s="2">
        <f>AVERAGE(weather.tbl[[#This Row],[Estevan]:[Kipling]])</f>
        <v>-14.083333333333334</v>
      </c>
      <c r="I1158" s="2">
        <f>_xlfn.STDEV.S(weather.tbl[[#This Row],[Estevan]:[Kipling]])</f>
        <v>2.002415208358816</v>
      </c>
      <c r="J1158" s="2">
        <f t="shared" si="17"/>
        <v>-12.366666666666665</v>
      </c>
      <c r="K1158">
        <f>DAY(weather.tbl[[#This Row],[Date]])</f>
        <v>2</v>
      </c>
      <c r="L1158">
        <f>MONTH(weather.tbl[[#This Row],[Date]])</f>
        <v>3</v>
      </c>
      <c r="M1158">
        <f>YEAR(weather.tbl[[#This Row],[Date]])</f>
        <v>2017</v>
      </c>
    </row>
    <row r="1159" spans="1:13" x14ac:dyDescent="0.25">
      <c r="A1159" s="1">
        <v>42797</v>
      </c>
      <c r="B1159" s="2">
        <v>-6.2</v>
      </c>
      <c r="C1159" s="2">
        <v>-6.2</v>
      </c>
      <c r="D1159" s="2">
        <v>-12.3</v>
      </c>
      <c r="E1159" s="2">
        <v>-3.4</v>
      </c>
      <c r="F1159" s="2">
        <v>-9.1</v>
      </c>
      <c r="G1159" s="2">
        <v>-7.3</v>
      </c>
      <c r="H1159" s="2">
        <f>AVERAGE(weather.tbl[[#This Row],[Estevan]:[Kipling]])</f>
        <v>-7.416666666666667</v>
      </c>
      <c r="I1159" s="2">
        <f>_xlfn.STDEV.S(weather.tbl[[#This Row],[Estevan]:[Kipling]])</f>
        <v>3.0261636880160121</v>
      </c>
      <c r="J1159" s="2">
        <f t="shared" si="17"/>
        <v>-12.469047619047618</v>
      </c>
      <c r="K1159">
        <f>DAY(weather.tbl[[#This Row],[Date]])</f>
        <v>3</v>
      </c>
      <c r="L1159">
        <f>MONTH(weather.tbl[[#This Row],[Date]])</f>
        <v>3</v>
      </c>
      <c r="M1159">
        <f>YEAR(weather.tbl[[#This Row],[Date]])</f>
        <v>2017</v>
      </c>
    </row>
    <row r="1160" spans="1:13" x14ac:dyDescent="0.25">
      <c r="A1160" s="1">
        <v>42798</v>
      </c>
      <c r="B1160" s="2">
        <v>0.3</v>
      </c>
      <c r="C1160" s="2">
        <v>0.1</v>
      </c>
      <c r="D1160" s="2">
        <v>-3.8</v>
      </c>
      <c r="E1160" s="2">
        <v>1.5</v>
      </c>
      <c r="F1160" s="2">
        <v>-1.3</v>
      </c>
      <c r="G1160" s="2">
        <v>0.5</v>
      </c>
      <c r="H1160" s="2">
        <f>AVERAGE(weather.tbl[[#This Row],[Estevan]:[Kipling]])</f>
        <v>-0.45</v>
      </c>
      <c r="I1160" s="2">
        <f>_xlfn.STDEV.S(weather.tbl[[#This Row],[Estevan]:[Kipling]])</f>
        <v>1.8716303053755035</v>
      </c>
      <c r="J1160" s="2">
        <f t="shared" si="17"/>
        <v>-10.842857142857143</v>
      </c>
      <c r="K1160">
        <f>DAY(weather.tbl[[#This Row],[Date]])</f>
        <v>4</v>
      </c>
      <c r="L1160">
        <f>MONTH(weather.tbl[[#This Row],[Date]])</f>
        <v>3</v>
      </c>
      <c r="M1160">
        <f>YEAR(weather.tbl[[#This Row],[Date]])</f>
        <v>2017</v>
      </c>
    </row>
    <row r="1161" spans="1:13" x14ac:dyDescent="0.25">
      <c r="A1161" s="1">
        <v>42799</v>
      </c>
      <c r="B1161" s="2">
        <v>0.8</v>
      </c>
      <c r="C1161" s="2">
        <v>-0.5</v>
      </c>
      <c r="D1161" s="2">
        <v>-1.8</v>
      </c>
      <c r="E1161" s="2">
        <v>1.1000000000000001</v>
      </c>
      <c r="F1161" s="2">
        <v>-0.7</v>
      </c>
      <c r="G1161" s="2">
        <v>0.8</v>
      </c>
      <c r="H1161" s="2">
        <f>AVERAGE(weather.tbl[[#This Row],[Estevan]:[Kipling]])</f>
        <v>-4.9999999999999968E-2</v>
      </c>
      <c r="I1161" s="2">
        <f>_xlfn.STDEV.S(weather.tbl[[#This Row],[Estevan]:[Kipling]])</f>
        <v>1.136221809331259</v>
      </c>
      <c r="J1161" s="2">
        <f t="shared" si="17"/>
        <v>-9.1476190476190471</v>
      </c>
      <c r="K1161">
        <f>DAY(weather.tbl[[#This Row],[Date]])</f>
        <v>5</v>
      </c>
      <c r="L1161">
        <f>MONTH(weather.tbl[[#This Row],[Date]])</f>
        <v>3</v>
      </c>
      <c r="M1161">
        <f>YEAR(weather.tbl[[#This Row],[Date]])</f>
        <v>2017</v>
      </c>
    </row>
    <row r="1162" spans="1:13" x14ac:dyDescent="0.25">
      <c r="A1162" s="1">
        <v>42800</v>
      </c>
      <c r="B1162" s="2">
        <v>-5.6</v>
      </c>
      <c r="C1162" s="2">
        <v>-6.4</v>
      </c>
      <c r="D1162" s="2">
        <v>-7.8</v>
      </c>
      <c r="E1162" s="2">
        <v>-8</v>
      </c>
      <c r="F1162" s="2">
        <v>-5.6</v>
      </c>
      <c r="G1162" s="2">
        <v>-9.8000000000000007</v>
      </c>
      <c r="H1162" s="2">
        <f>AVERAGE(weather.tbl[[#This Row],[Estevan]:[Kipling]])</f>
        <v>-7.2</v>
      </c>
      <c r="I1162" s="2">
        <f>_xlfn.STDEV.S(weather.tbl[[#This Row],[Estevan]:[Kipling]])</f>
        <v>1.644384383287556</v>
      </c>
      <c r="J1162" s="2">
        <f t="shared" ref="J1162:J1225" si="18">AVERAGE(H1156:H1162)</f>
        <v>-8.045238095238096</v>
      </c>
      <c r="K1162">
        <f>DAY(weather.tbl[[#This Row],[Date]])</f>
        <v>6</v>
      </c>
      <c r="L1162">
        <f>MONTH(weather.tbl[[#This Row],[Date]])</f>
        <v>3</v>
      </c>
      <c r="M1162">
        <f>YEAR(weather.tbl[[#This Row],[Date]])</f>
        <v>2017</v>
      </c>
    </row>
    <row r="1163" spans="1:13" x14ac:dyDescent="0.25">
      <c r="A1163" s="1">
        <v>42801</v>
      </c>
      <c r="B1163" s="2">
        <v>-12.1</v>
      </c>
      <c r="C1163" s="2">
        <v>-12.2</v>
      </c>
      <c r="D1163" s="2">
        <v>-13</v>
      </c>
      <c r="E1163" s="2">
        <v>-12</v>
      </c>
      <c r="F1163" s="2">
        <v>-12.1</v>
      </c>
      <c r="G1163" s="2">
        <v>-14</v>
      </c>
      <c r="H1163" s="2">
        <f>AVERAGE(weather.tbl[[#This Row],[Estevan]:[Kipling]])</f>
        <v>-12.566666666666668</v>
      </c>
      <c r="I1163" s="2">
        <f>_xlfn.STDEV.S(weather.tbl[[#This Row],[Estevan]:[Kipling]])</f>
        <v>0.79162280580252797</v>
      </c>
      <c r="J1163" s="2">
        <f t="shared" si="18"/>
        <v>-7.7857142857142865</v>
      </c>
      <c r="K1163">
        <f>DAY(weather.tbl[[#This Row],[Date]])</f>
        <v>7</v>
      </c>
      <c r="L1163">
        <f>MONTH(weather.tbl[[#This Row],[Date]])</f>
        <v>3</v>
      </c>
      <c r="M1163">
        <f>YEAR(weather.tbl[[#This Row],[Date]])</f>
        <v>2017</v>
      </c>
    </row>
    <row r="1164" spans="1:13" x14ac:dyDescent="0.25">
      <c r="A1164" s="1">
        <v>42802</v>
      </c>
      <c r="B1164" s="2">
        <v>-14.3</v>
      </c>
      <c r="C1164" s="2">
        <v>-14.3</v>
      </c>
      <c r="D1164" s="2">
        <v>-14</v>
      </c>
      <c r="E1164" s="2">
        <v>-13.9</v>
      </c>
      <c r="F1164" s="2">
        <v>-12.8</v>
      </c>
      <c r="G1164" s="2">
        <v>-15.3</v>
      </c>
      <c r="H1164" s="2">
        <f>AVERAGE(weather.tbl[[#This Row],[Estevan]:[Kipling]])</f>
        <v>-14.1</v>
      </c>
      <c r="I1164" s="2">
        <f>_xlfn.STDEV.S(weather.tbl[[#This Row],[Estevan]:[Kipling]])</f>
        <v>0.80746516952745406</v>
      </c>
      <c r="J1164" s="2">
        <f t="shared" si="18"/>
        <v>-7.980952380952381</v>
      </c>
      <c r="K1164">
        <f>DAY(weather.tbl[[#This Row],[Date]])</f>
        <v>8</v>
      </c>
      <c r="L1164">
        <f>MONTH(weather.tbl[[#This Row],[Date]])</f>
        <v>3</v>
      </c>
      <c r="M1164">
        <f>YEAR(weather.tbl[[#This Row],[Date]])</f>
        <v>2017</v>
      </c>
    </row>
    <row r="1165" spans="1:13" x14ac:dyDescent="0.25">
      <c r="A1165" s="1">
        <v>42803</v>
      </c>
      <c r="B1165" s="2">
        <v>-19</v>
      </c>
      <c r="C1165" s="2">
        <v>-18.899999999999999</v>
      </c>
      <c r="D1165" s="2">
        <v>-18</v>
      </c>
      <c r="E1165" s="2">
        <v>-18.2</v>
      </c>
      <c r="F1165" s="2">
        <v>-21.2</v>
      </c>
      <c r="G1165" s="2">
        <v>-19.3</v>
      </c>
      <c r="H1165" s="2">
        <f>AVERAGE(weather.tbl[[#This Row],[Estevan]:[Kipling]])</f>
        <v>-19.099999999999998</v>
      </c>
      <c r="I1165" s="2">
        <f>_xlfn.STDEV.S(weather.tbl[[#This Row],[Estevan]:[Kipling]])</f>
        <v>1.1419281938896158</v>
      </c>
      <c r="J1165" s="2">
        <f t="shared" si="18"/>
        <v>-8.6976190476190478</v>
      </c>
      <c r="K1165">
        <f>DAY(weather.tbl[[#This Row],[Date]])</f>
        <v>9</v>
      </c>
      <c r="L1165">
        <f>MONTH(weather.tbl[[#This Row],[Date]])</f>
        <v>3</v>
      </c>
      <c r="M1165">
        <f>YEAR(weather.tbl[[#This Row],[Date]])</f>
        <v>2017</v>
      </c>
    </row>
    <row r="1166" spans="1:13" x14ac:dyDescent="0.25">
      <c r="A1166" s="1">
        <v>42804</v>
      </c>
      <c r="B1166" s="2">
        <v>-20.8</v>
      </c>
      <c r="C1166" s="2">
        <v>-20.5</v>
      </c>
      <c r="D1166" s="2">
        <v>-22</v>
      </c>
      <c r="E1166" s="2">
        <v>-19.600000000000001</v>
      </c>
      <c r="F1166" s="2">
        <v>-23.3</v>
      </c>
      <c r="G1166" s="2">
        <v>-21.5</v>
      </c>
      <c r="H1166" s="2">
        <f>AVERAGE(weather.tbl[[#This Row],[Estevan]:[Kipling]])</f>
        <v>-21.283333333333335</v>
      </c>
      <c r="I1166" s="2">
        <f>_xlfn.STDEV.S(weather.tbl[[#This Row],[Estevan]:[Kipling]])</f>
        <v>1.2890565025113006</v>
      </c>
      <c r="J1166" s="2">
        <f t="shared" si="18"/>
        <v>-10.678571428571429</v>
      </c>
      <c r="K1166">
        <f>DAY(weather.tbl[[#This Row],[Date]])</f>
        <v>10</v>
      </c>
      <c r="L1166">
        <f>MONTH(weather.tbl[[#This Row],[Date]])</f>
        <v>3</v>
      </c>
      <c r="M1166">
        <f>YEAR(weather.tbl[[#This Row],[Date]])</f>
        <v>2017</v>
      </c>
    </row>
    <row r="1167" spans="1:13" x14ac:dyDescent="0.25">
      <c r="A1167" s="1">
        <v>42805</v>
      </c>
      <c r="B1167" s="2">
        <v>-17.7</v>
      </c>
      <c r="C1167" s="2">
        <v>-18.100000000000001</v>
      </c>
      <c r="D1167" s="2">
        <v>-18.5</v>
      </c>
      <c r="E1167" s="2">
        <v>-17.600000000000001</v>
      </c>
      <c r="F1167" s="2">
        <v>-18.100000000000001</v>
      </c>
      <c r="G1167" s="2">
        <v>-18</v>
      </c>
      <c r="H1167" s="2">
        <f>AVERAGE(weather.tbl[[#This Row],[Estevan]:[Kipling]])</f>
        <v>-18</v>
      </c>
      <c r="I1167" s="2">
        <f>_xlfn.STDEV.S(weather.tbl[[#This Row],[Estevan]:[Kipling]])</f>
        <v>0.32249030993194189</v>
      </c>
      <c r="J1167" s="2">
        <f t="shared" si="18"/>
        <v>-13.185714285714285</v>
      </c>
      <c r="K1167">
        <f>DAY(weather.tbl[[#This Row],[Date]])</f>
        <v>11</v>
      </c>
      <c r="L1167">
        <f>MONTH(weather.tbl[[#This Row],[Date]])</f>
        <v>3</v>
      </c>
      <c r="M1167">
        <f>YEAR(weather.tbl[[#This Row],[Date]])</f>
        <v>2017</v>
      </c>
    </row>
    <row r="1168" spans="1:13" x14ac:dyDescent="0.25">
      <c r="A1168" s="1">
        <v>42806</v>
      </c>
      <c r="B1168" s="2">
        <v>-17.3</v>
      </c>
      <c r="C1168" s="2">
        <v>-17.3</v>
      </c>
      <c r="D1168" s="2">
        <v>-17</v>
      </c>
      <c r="E1168" s="2">
        <v>-16.8</v>
      </c>
      <c r="F1168" s="2">
        <v>-18.899999999999999</v>
      </c>
      <c r="G1168" s="2">
        <v>-16</v>
      </c>
      <c r="H1168" s="2">
        <f>AVERAGE(weather.tbl[[#This Row],[Estevan]:[Kipling]])</f>
        <v>-17.216666666666669</v>
      </c>
      <c r="I1168" s="2">
        <f>_xlfn.STDEV.S(weather.tbl[[#This Row],[Estevan]:[Kipling]])</f>
        <v>0.95376447127509723</v>
      </c>
      <c r="J1168" s="2">
        <f t="shared" si="18"/>
        <v>-15.638095238095238</v>
      </c>
      <c r="K1168">
        <f>DAY(weather.tbl[[#This Row],[Date]])</f>
        <v>12</v>
      </c>
      <c r="L1168">
        <f>MONTH(weather.tbl[[#This Row],[Date]])</f>
        <v>3</v>
      </c>
      <c r="M1168">
        <f>YEAR(weather.tbl[[#This Row],[Date]])</f>
        <v>2017</v>
      </c>
    </row>
    <row r="1169" spans="1:13" x14ac:dyDescent="0.25">
      <c r="A1169" s="1">
        <v>42807</v>
      </c>
      <c r="B1169" s="2">
        <v>-17.399999999999999</v>
      </c>
      <c r="C1169" s="2">
        <v>-16.7</v>
      </c>
      <c r="D1169" s="2">
        <v>-17</v>
      </c>
      <c r="E1169" s="2">
        <v>-16.5</v>
      </c>
      <c r="F1169" s="2">
        <v>-20</v>
      </c>
      <c r="G1169" s="2">
        <v>-17.8</v>
      </c>
      <c r="H1169" s="2">
        <f>AVERAGE(weather.tbl[[#This Row],[Estevan]:[Kipling]])</f>
        <v>-17.566666666666666</v>
      </c>
      <c r="I1169" s="2">
        <f>_xlfn.STDEV.S(weather.tbl[[#This Row],[Estevan]:[Kipling]])</f>
        <v>1.2816655830077779</v>
      </c>
      <c r="J1169" s="2">
        <f t="shared" si="18"/>
        <v>-17.119047619047617</v>
      </c>
      <c r="K1169">
        <f>DAY(weather.tbl[[#This Row],[Date]])</f>
        <v>13</v>
      </c>
      <c r="L1169">
        <f>MONTH(weather.tbl[[#This Row],[Date]])</f>
        <v>3</v>
      </c>
      <c r="M1169">
        <f>YEAR(weather.tbl[[#This Row],[Date]])</f>
        <v>2017</v>
      </c>
    </row>
    <row r="1170" spans="1:13" x14ac:dyDescent="0.25">
      <c r="A1170" s="1">
        <v>42808</v>
      </c>
      <c r="B1170" s="2">
        <v>-8.4</v>
      </c>
      <c r="C1170" s="2">
        <v>-9</v>
      </c>
      <c r="D1170" s="2">
        <v>-11.3</v>
      </c>
      <c r="E1170" s="2">
        <v>-7.5</v>
      </c>
      <c r="F1170" s="2">
        <v>-9.6</v>
      </c>
      <c r="G1170" s="2">
        <v>-10.3</v>
      </c>
      <c r="H1170" s="2">
        <f>AVERAGE(weather.tbl[[#This Row],[Estevan]:[Kipling]])</f>
        <v>-9.3500000000000014</v>
      </c>
      <c r="I1170" s="2">
        <f>_xlfn.STDEV.S(weather.tbl[[#This Row],[Estevan]:[Kipling]])</f>
        <v>1.357571360923602</v>
      </c>
      <c r="J1170" s="2">
        <f t="shared" si="18"/>
        <v>-16.659523809523812</v>
      </c>
      <c r="K1170">
        <f>DAY(weather.tbl[[#This Row],[Date]])</f>
        <v>14</v>
      </c>
      <c r="L1170">
        <f>MONTH(weather.tbl[[#This Row],[Date]])</f>
        <v>3</v>
      </c>
      <c r="M1170">
        <f>YEAR(weather.tbl[[#This Row],[Date]])</f>
        <v>2017</v>
      </c>
    </row>
    <row r="1171" spans="1:13" x14ac:dyDescent="0.25">
      <c r="A1171" s="1">
        <v>42809</v>
      </c>
      <c r="B1171" s="2">
        <v>-3.5</v>
      </c>
      <c r="C1171" s="2">
        <v>-2.6</v>
      </c>
      <c r="D1171" s="2">
        <v>-5.3</v>
      </c>
      <c r="E1171" s="2">
        <v>-1.7</v>
      </c>
      <c r="F1171" s="2">
        <v>-4.3</v>
      </c>
      <c r="G1171" s="2">
        <v>-2.5</v>
      </c>
      <c r="H1171" s="2">
        <f>AVERAGE(weather.tbl[[#This Row],[Estevan]:[Kipling]])</f>
        <v>-3.3166666666666664</v>
      </c>
      <c r="I1171" s="2">
        <f>_xlfn.STDEV.S(weather.tbl[[#This Row],[Estevan]:[Kipling]])</f>
        <v>1.321236794320636</v>
      </c>
      <c r="J1171" s="2">
        <f t="shared" si="18"/>
        <v>-15.119047619047617</v>
      </c>
      <c r="K1171">
        <f>DAY(weather.tbl[[#This Row],[Date]])</f>
        <v>15</v>
      </c>
      <c r="L1171">
        <f>MONTH(weather.tbl[[#This Row],[Date]])</f>
        <v>3</v>
      </c>
      <c r="M1171">
        <f>YEAR(weather.tbl[[#This Row],[Date]])</f>
        <v>2017</v>
      </c>
    </row>
    <row r="1172" spans="1:13" x14ac:dyDescent="0.25">
      <c r="A1172" s="1">
        <v>42810</v>
      </c>
      <c r="B1172" s="2">
        <v>1.1000000000000001</v>
      </c>
      <c r="C1172" s="2">
        <v>2.9</v>
      </c>
      <c r="D1172" s="2">
        <v>-0.8</v>
      </c>
      <c r="E1172" s="2">
        <v>4</v>
      </c>
      <c r="F1172" s="2">
        <v>-0.5</v>
      </c>
      <c r="G1172" s="2">
        <v>2.2999999999999998</v>
      </c>
      <c r="H1172" s="2">
        <f>AVERAGE(weather.tbl[[#This Row],[Estevan]:[Kipling]])</f>
        <v>1.5</v>
      </c>
      <c r="I1172" s="2">
        <f>_xlfn.STDEV.S(weather.tbl[[#This Row],[Estevan]:[Kipling]])</f>
        <v>1.9131126469708992</v>
      </c>
      <c r="J1172" s="2">
        <f t="shared" si="18"/>
        <v>-12.176190476190474</v>
      </c>
      <c r="K1172">
        <f>DAY(weather.tbl[[#This Row],[Date]])</f>
        <v>16</v>
      </c>
      <c r="L1172">
        <f>MONTH(weather.tbl[[#This Row],[Date]])</f>
        <v>3</v>
      </c>
      <c r="M1172">
        <f>YEAR(weather.tbl[[#This Row],[Date]])</f>
        <v>2017</v>
      </c>
    </row>
    <row r="1173" spans="1:13" x14ac:dyDescent="0.25">
      <c r="A1173" s="1">
        <v>42811</v>
      </c>
      <c r="B1173" s="2">
        <v>-2.6</v>
      </c>
      <c r="C1173" s="2">
        <v>-1.3</v>
      </c>
      <c r="D1173" s="2">
        <v>-0.8</v>
      </c>
      <c r="E1173" s="2">
        <v>0.2</v>
      </c>
      <c r="F1173" s="2">
        <v>-3.4</v>
      </c>
      <c r="G1173" s="2">
        <v>-2.2999999999999998</v>
      </c>
      <c r="H1173" s="2">
        <f>AVERAGE(weather.tbl[[#This Row],[Estevan]:[Kipling]])</f>
        <v>-1.7</v>
      </c>
      <c r="I1173" s="2">
        <f>_xlfn.STDEV.S(weather.tbl[[#This Row],[Estevan]:[Kipling]])</f>
        <v>1.3145341380123985</v>
      </c>
      <c r="J1173" s="2">
        <f t="shared" si="18"/>
        <v>-9.3785714285714299</v>
      </c>
      <c r="K1173">
        <f>DAY(weather.tbl[[#This Row],[Date]])</f>
        <v>17</v>
      </c>
      <c r="L1173">
        <f>MONTH(weather.tbl[[#This Row],[Date]])</f>
        <v>3</v>
      </c>
      <c r="M1173">
        <f>YEAR(weather.tbl[[#This Row],[Date]])</f>
        <v>2017</v>
      </c>
    </row>
    <row r="1174" spans="1:13" x14ac:dyDescent="0.25">
      <c r="A1174" s="1">
        <v>42812</v>
      </c>
      <c r="B1174" s="2">
        <v>-0.7</v>
      </c>
      <c r="C1174" s="2">
        <v>-0.3</v>
      </c>
      <c r="D1174" s="2">
        <v>-2.8</v>
      </c>
      <c r="E1174" s="2">
        <v>2.2000000000000002</v>
      </c>
      <c r="F1174" s="2">
        <v>-4.7</v>
      </c>
      <c r="G1174" s="2">
        <v>0</v>
      </c>
      <c r="H1174" s="2">
        <f>AVERAGE(weather.tbl[[#This Row],[Estevan]:[Kipling]])</f>
        <v>-1.05</v>
      </c>
      <c r="I1174" s="2">
        <f>_xlfn.STDEV.S(weather.tbl[[#This Row],[Estevan]:[Kipling]])</f>
        <v>2.3972901368002999</v>
      </c>
      <c r="J1174" s="2">
        <f t="shared" si="18"/>
        <v>-6.9571428571428573</v>
      </c>
      <c r="K1174">
        <f>DAY(weather.tbl[[#This Row],[Date]])</f>
        <v>18</v>
      </c>
      <c r="L1174">
        <f>MONTH(weather.tbl[[#This Row],[Date]])</f>
        <v>3</v>
      </c>
      <c r="M1174">
        <f>YEAR(weather.tbl[[#This Row],[Date]])</f>
        <v>2017</v>
      </c>
    </row>
    <row r="1175" spans="1:13" x14ac:dyDescent="0.25">
      <c r="A1175" s="1">
        <v>42813</v>
      </c>
      <c r="B1175" s="2">
        <v>1.8</v>
      </c>
      <c r="C1175" s="2">
        <v>4.0999999999999996</v>
      </c>
      <c r="D1175" s="2">
        <v>2</v>
      </c>
      <c r="E1175" s="2">
        <v>3.7</v>
      </c>
      <c r="F1175" s="2">
        <v>1.7</v>
      </c>
      <c r="G1175" s="2">
        <v>3.8</v>
      </c>
      <c r="H1175" s="2">
        <f>AVERAGE(weather.tbl[[#This Row],[Estevan]:[Kipling]])</f>
        <v>2.8499999999999996</v>
      </c>
      <c r="I1175" s="2">
        <f>_xlfn.STDEV.S(weather.tbl[[#This Row],[Estevan]:[Kipling]])</f>
        <v>1.1256109452204175</v>
      </c>
      <c r="J1175" s="2">
        <f t="shared" si="18"/>
        <v>-4.0904761904761902</v>
      </c>
      <c r="K1175">
        <f>DAY(weather.tbl[[#This Row],[Date]])</f>
        <v>19</v>
      </c>
      <c r="L1175">
        <f>MONTH(weather.tbl[[#This Row],[Date]])</f>
        <v>3</v>
      </c>
      <c r="M1175">
        <f>YEAR(weather.tbl[[#This Row],[Date]])</f>
        <v>2017</v>
      </c>
    </row>
    <row r="1176" spans="1:13" x14ac:dyDescent="0.25">
      <c r="A1176" s="1">
        <v>42814</v>
      </c>
      <c r="B1176" s="2">
        <v>-3.3</v>
      </c>
      <c r="C1176" s="2">
        <v>-2.4</v>
      </c>
      <c r="D1176" s="2">
        <v>-2</v>
      </c>
      <c r="E1176" s="2">
        <v>-2.1</v>
      </c>
      <c r="F1176" s="2">
        <v>-3.9</v>
      </c>
      <c r="G1176" s="2">
        <v>-2</v>
      </c>
      <c r="H1176" s="2">
        <f>AVERAGE(weather.tbl[[#This Row],[Estevan]:[Kipling]])</f>
        <v>-2.6166666666666667</v>
      </c>
      <c r="I1176" s="2">
        <f>_xlfn.STDEV.S(weather.tbl[[#This Row],[Estevan]:[Kipling]])</f>
        <v>0.79854033502802257</v>
      </c>
      <c r="J1176" s="2">
        <f t="shared" si="18"/>
        <v>-1.9547619047619051</v>
      </c>
      <c r="K1176">
        <f>DAY(weather.tbl[[#This Row],[Date]])</f>
        <v>20</v>
      </c>
      <c r="L1176">
        <f>MONTH(weather.tbl[[#This Row],[Date]])</f>
        <v>3</v>
      </c>
      <c r="M1176">
        <f>YEAR(weather.tbl[[#This Row],[Date]])</f>
        <v>2017</v>
      </c>
    </row>
    <row r="1177" spans="1:13" x14ac:dyDescent="0.25">
      <c r="A1177" s="1">
        <v>42815</v>
      </c>
      <c r="B1177" s="2">
        <v>-9.3000000000000007</v>
      </c>
      <c r="C1177" s="2">
        <v>-8.1999999999999993</v>
      </c>
      <c r="D1177" s="2">
        <v>-11.8</v>
      </c>
      <c r="E1177" s="2">
        <v>-6.8</v>
      </c>
      <c r="F1177" s="2">
        <v>-12.8</v>
      </c>
      <c r="G1177" s="2">
        <v>-10</v>
      </c>
      <c r="H1177" s="2">
        <f>AVERAGE(weather.tbl[[#This Row],[Estevan]:[Kipling]])</f>
        <v>-9.8166666666666682</v>
      </c>
      <c r="I1177" s="2">
        <f>_xlfn.STDEV.S(weather.tbl[[#This Row],[Estevan]:[Kipling]])</f>
        <v>2.2292749194898938</v>
      </c>
      <c r="J1177" s="2">
        <f t="shared" si="18"/>
        <v>-2.0214285714285718</v>
      </c>
      <c r="K1177">
        <f>DAY(weather.tbl[[#This Row],[Date]])</f>
        <v>21</v>
      </c>
      <c r="L1177">
        <f>MONTH(weather.tbl[[#This Row],[Date]])</f>
        <v>3</v>
      </c>
      <c r="M1177">
        <f>YEAR(weather.tbl[[#This Row],[Date]])</f>
        <v>2017</v>
      </c>
    </row>
    <row r="1178" spans="1:13" x14ac:dyDescent="0.25">
      <c r="A1178" s="1">
        <v>42816</v>
      </c>
      <c r="B1178" s="2">
        <v>-2.9</v>
      </c>
      <c r="C1178" s="2">
        <v>-2.6</v>
      </c>
      <c r="D1178" s="2">
        <v>-11.8</v>
      </c>
      <c r="E1178" s="2">
        <v>-1.2</v>
      </c>
      <c r="F1178" s="2">
        <v>-6.2</v>
      </c>
      <c r="G1178" s="2">
        <v>-4.5</v>
      </c>
      <c r="H1178" s="2">
        <f>AVERAGE(weather.tbl[[#This Row],[Estevan]:[Kipling]])</f>
        <v>-4.8666666666666663</v>
      </c>
      <c r="I1178" s="2">
        <f>_xlfn.STDEV.S(weather.tbl[[#This Row],[Estevan]:[Kipling]])</f>
        <v>3.8061353978368495</v>
      </c>
      <c r="J1178" s="2">
        <f t="shared" si="18"/>
        <v>-2.2428571428571433</v>
      </c>
      <c r="K1178">
        <f>DAY(weather.tbl[[#This Row],[Date]])</f>
        <v>22</v>
      </c>
      <c r="L1178">
        <f>MONTH(weather.tbl[[#This Row],[Date]])</f>
        <v>3</v>
      </c>
      <c r="M1178">
        <f>YEAR(weather.tbl[[#This Row],[Date]])</f>
        <v>2017</v>
      </c>
    </row>
    <row r="1179" spans="1:13" x14ac:dyDescent="0.25">
      <c r="A1179" s="1">
        <v>42817</v>
      </c>
      <c r="B1179" s="2">
        <v>0.3</v>
      </c>
      <c r="C1179" s="2">
        <v>1.7</v>
      </c>
      <c r="D1179" s="2">
        <v>-11.8</v>
      </c>
      <c r="E1179" s="2">
        <v>1.8</v>
      </c>
      <c r="F1179" s="2">
        <v>-1.4</v>
      </c>
      <c r="G1179" s="2">
        <v>2.2999999999999998</v>
      </c>
      <c r="H1179" s="2">
        <f>AVERAGE(weather.tbl[[#This Row],[Estevan]:[Kipling]])</f>
        <v>-1.1833333333333333</v>
      </c>
      <c r="I1179" s="2">
        <f>_xlfn.STDEV.S(weather.tbl[[#This Row],[Estevan]:[Kipling]])</f>
        <v>5.3723055261839558</v>
      </c>
      <c r="J1179" s="2">
        <f t="shared" si="18"/>
        <v>-2.6261904761904766</v>
      </c>
      <c r="K1179">
        <f>DAY(weather.tbl[[#This Row],[Date]])</f>
        <v>23</v>
      </c>
      <c r="L1179">
        <f>MONTH(weather.tbl[[#This Row],[Date]])</f>
        <v>3</v>
      </c>
      <c r="M1179">
        <f>YEAR(weather.tbl[[#This Row],[Date]])</f>
        <v>2017</v>
      </c>
    </row>
    <row r="1180" spans="1:13" x14ac:dyDescent="0.25">
      <c r="A1180" s="1">
        <v>42818</v>
      </c>
      <c r="B1180" s="2">
        <v>-0.1</v>
      </c>
      <c r="C1180" s="2">
        <v>0.3</v>
      </c>
      <c r="D1180" s="2">
        <v>-11.8</v>
      </c>
      <c r="E1180" s="2">
        <v>1.1000000000000001</v>
      </c>
      <c r="F1180" s="2">
        <v>-2.7</v>
      </c>
      <c r="G1180" s="2">
        <v>-0.5</v>
      </c>
      <c r="H1180" s="2">
        <f>AVERAGE(weather.tbl[[#This Row],[Estevan]:[Kipling]])</f>
        <v>-2.2833333333333337</v>
      </c>
      <c r="I1180" s="2">
        <f>_xlfn.STDEV.S(weather.tbl[[#This Row],[Estevan]:[Kipling]])</f>
        <v>4.8333908042560205</v>
      </c>
      <c r="J1180" s="2">
        <f t="shared" si="18"/>
        <v>-2.7095238095238097</v>
      </c>
      <c r="K1180">
        <f>DAY(weather.tbl[[#This Row],[Date]])</f>
        <v>24</v>
      </c>
      <c r="L1180">
        <f>MONTH(weather.tbl[[#This Row],[Date]])</f>
        <v>3</v>
      </c>
      <c r="M1180">
        <f>YEAR(weather.tbl[[#This Row],[Date]])</f>
        <v>2017</v>
      </c>
    </row>
    <row r="1181" spans="1:13" x14ac:dyDescent="0.25">
      <c r="A1181" s="1">
        <v>42819</v>
      </c>
      <c r="B1181" s="2">
        <v>6.4</v>
      </c>
      <c r="C1181" s="2">
        <v>7.7</v>
      </c>
      <c r="D1181" s="2">
        <v>3</v>
      </c>
      <c r="E1181" s="2">
        <v>8.1</v>
      </c>
      <c r="F1181" s="2">
        <v>0.7</v>
      </c>
      <c r="G1181" s="2">
        <v>5.3</v>
      </c>
      <c r="H1181" s="2">
        <f>AVERAGE(weather.tbl[[#This Row],[Estevan]:[Kipling]])</f>
        <v>5.2</v>
      </c>
      <c r="I1181" s="2">
        <f>_xlfn.STDEV.S(weather.tbl[[#This Row],[Estevan]:[Kipling]])</f>
        <v>2.8705400188814645</v>
      </c>
      <c r="J1181" s="2">
        <f t="shared" si="18"/>
        <v>-1.8166666666666675</v>
      </c>
      <c r="K1181">
        <f>DAY(weather.tbl[[#This Row],[Date]])</f>
        <v>25</v>
      </c>
      <c r="L1181">
        <f>MONTH(weather.tbl[[#This Row],[Date]])</f>
        <v>3</v>
      </c>
      <c r="M1181">
        <f>YEAR(weather.tbl[[#This Row],[Date]])</f>
        <v>2017</v>
      </c>
    </row>
    <row r="1182" spans="1:13" x14ac:dyDescent="0.25">
      <c r="A1182" s="1">
        <v>42820</v>
      </c>
      <c r="B1182" s="2">
        <v>7.2</v>
      </c>
      <c r="C1182" s="2">
        <v>5.8</v>
      </c>
      <c r="D1182" s="2">
        <v>3.3</v>
      </c>
      <c r="E1182" s="2">
        <v>5.3</v>
      </c>
      <c r="F1182" s="2">
        <v>2.6</v>
      </c>
      <c r="G1182" s="2">
        <v>6.8</v>
      </c>
      <c r="H1182" s="2">
        <f>AVERAGE(weather.tbl[[#This Row],[Estevan]:[Kipling]])</f>
        <v>5.166666666666667</v>
      </c>
      <c r="I1182" s="2">
        <f>_xlfn.STDEV.S(weather.tbl[[#This Row],[Estevan]:[Kipling]])</f>
        <v>1.8597490870186368</v>
      </c>
      <c r="J1182" s="2">
        <f t="shared" si="18"/>
        <v>-1.485714285714286</v>
      </c>
      <c r="K1182">
        <f>DAY(weather.tbl[[#This Row],[Date]])</f>
        <v>26</v>
      </c>
      <c r="L1182">
        <f>MONTH(weather.tbl[[#This Row],[Date]])</f>
        <v>3</v>
      </c>
      <c r="M1182">
        <f>YEAR(weather.tbl[[#This Row],[Date]])</f>
        <v>2017</v>
      </c>
    </row>
    <row r="1183" spans="1:13" x14ac:dyDescent="0.25">
      <c r="A1183" s="1">
        <v>42821</v>
      </c>
      <c r="B1183" s="2">
        <v>0.7</v>
      </c>
      <c r="C1183" s="2">
        <v>3</v>
      </c>
      <c r="D1183" s="2">
        <v>1.3</v>
      </c>
      <c r="E1183" s="2">
        <v>3.3</v>
      </c>
      <c r="F1183" s="2">
        <v>-0.3</v>
      </c>
      <c r="G1183" s="2">
        <v>0.8</v>
      </c>
      <c r="H1183" s="2">
        <f>AVERAGE(weather.tbl[[#This Row],[Estevan]:[Kipling]])</f>
        <v>1.4666666666666668</v>
      </c>
      <c r="I1183" s="2">
        <f>_xlfn.STDEV.S(weather.tbl[[#This Row],[Estevan]:[Kipling]])</f>
        <v>1.4066508687896462</v>
      </c>
      <c r="J1183" s="2">
        <f t="shared" si="18"/>
        <v>-0.90238095238095273</v>
      </c>
      <c r="K1183">
        <f>DAY(weather.tbl[[#This Row],[Date]])</f>
        <v>27</v>
      </c>
      <c r="L1183">
        <f>MONTH(weather.tbl[[#This Row],[Date]])</f>
        <v>3</v>
      </c>
      <c r="M1183">
        <f>YEAR(weather.tbl[[#This Row],[Date]])</f>
        <v>2017</v>
      </c>
    </row>
    <row r="1184" spans="1:13" x14ac:dyDescent="0.25">
      <c r="A1184" s="1">
        <v>42822</v>
      </c>
      <c r="B1184" s="2">
        <v>2</v>
      </c>
      <c r="C1184" s="2">
        <v>2.1</v>
      </c>
      <c r="D1184" s="2">
        <v>1.3</v>
      </c>
      <c r="E1184" s="2">
        <v>1.8</v>
      </c>
      <c r="F1184" s="2">
        <v>1</v>
      </c>
      <c r="G1184" s="2">
        <v>1.3</v>
      </c>
      <c r="H1184" s="2">
        <f>AVERAGE(weather.tbl[[#This Row],[Estevan]:[Kipling]])</f>
        <v>1.5833333333333333</v>
      </c>
      <c r="I1184" s="2">
        <f>_xlfn.STDEV.S(weather.tbl[[#This Row],[Estevan]:[Kipling]])</f>
        <v>0.44459719597256459</v>
      </c>
      <c r="J1184" s="2">
        <f t="shared" si="18"/>
        <v>0.72619047619047616</v>
      </c>
      <c r="K1184">
        <f>DAY(weather.tbl[[#This Row],[Date]])</f>
        <v>28</v>
      </c>
      <c r="L1184">
        <f>MONTH(weather.tbl[[#This Row],[Date]])</f>
        <v>3</v>
      </c>
      <c r="M1184">
        <f>YEAR(weather.tbl[[#This Row],[Date]])</f>
        <v>2017</v>
      </c>
    </row>
    <row r="1185" spans="1:13" x14ac:dyDescent="0.25">
      <c r="A1185" s="1">
        <v>42823</v>
      </c>
      <c r="B1185" s="2">
        <v>6.7</v>
      </c>
      <c r="C1185" s="2">
        <v>7.9</v>
      </c>
      <c r="D1185" s="2">
        <v>5.5</v>
      </c>
      <c r="E1185" s="2">
        <v>8.8000000000000007</v>
      </c>
      <c r="F1185" s="2">
        <v>4.7</v>
      </c>
      <c r="G1185" s="2">
        <v>7</v>
      </c>
      <c r="H1185" s="2">
        <f>AVERAGE(weather.tbl[[#This Row],[Estevan]:[Kipling]])</f>
        <v>6.7666666666666666</v>
      </c>
      <c r="I1185" s="2">
        <f>_xlfn.STDEV.S(weather.tbl[[#This Row],[Estevan]:[Kipling]])</f>
        <v>1.5068731421943489</v>
      </c>
      <c r="J1185" s="2">
        <f t="shared" si="18"/>
        <v>2.3880952380952385</v>
      </c>
      <c r="K1185">
        <f>DAY(weather.tbl[[#This Row],[Date]])</f>
        <v>29</v>
      </c>
      <c r="L1185">
        <f>MONTH(weather.tbl[[#This Row],[Date]])</f>
        <v>3</v>
      </c>
      <c r="M1185">
        <f>YEAR(weather.tbl[[#This Row],[Date]])</f>
        <v>2017</v>
      </c>
    </row>
    <row r="1186" spans="1:13" x14ac:dyDescent="0.25">
      <c r="A1186" s="1">
        <v>42824</v>
      </c>
      <c r="B1186" s="2">
        <v>9</v>
      </c>
      <c r="C1186" s="2">
        <v>10.199999999999999</v>
      </c>
      <c r="D1186" s="2">
        <v>5</v>
      </c>
      <c r="E1186" s="2">
        <v>10.199999999999999</v>
      </c>
      <c r="F1186" s="2">
        <v>5.9</v>
      </c>
      <c r="G1186" s="2">
        <v>9.3000000000000007</v>
      </c>
      <c r="H1186" s="2">
        <f>AVERAGE(weather.tbl[[#This Row],[Estevan]:[Kipling]])</f>
        <v>8.2666666666666657</v>
      </c>
      <c r="I1186" s="2">
        <f>_xlfn.STDEV.S(weather.tbl[[#This Row],[Estevan]:[Kipling]])</f>
        <v>2.2518140835039384</v>
      </c>
      <c r="J1186" s="2">
        <f t="shared" si="18"/>
        <v>3.7380952380952381</v>
      </c>
      <c r="K1186">
        <f>DAY(weather.tbl[[#This Row],[Date]])</f>
        <v>30</v>
      </c>
      <c r="L1186">
        <f>MONTH(weather.tbl[[#This Row],[Date]])</f>
        <v>3</v>
      </c>
      <c r="M1186">
        <f>YEAR(weather.tbl[[#This Row],[Date]])</f>
        <v>2017</v>
      </c>
    </row>
    <row r="1187" spans="1:13" x14ac:dyDescent="0.25">
      <c r="A1187" s="1">
        <v>42825</v>
      </c>
      <c r="B1187" s="2">
        <v>2.6</v>
      </c>
      <c r="C1187" s="2">
        <v>3.6</v>
      </c>
      <c r="D1187" s="2">
        <v>1.5</v>
      </c>
      <c r="E1187" s="2">
        <v>2.5</v>
      </c>
      <c r="F1187" s="2">
        <v>2.2999999999999998</v>
      </c>
      <c r="G1187" s="2">
        <v>3</v>
      </c>
      <c r="H1187" s="2">
        <f>AVERAGE(weather.tbl[[#This Row],[Estevan]:[Kipling]])</f>
        <v>2.5833333333333335</v>
      </c>
      <c r="I1187" s="2">
        <f>_xlfn.STDEV.S(weather.tbl[[#This Row],[Estevan]:[Kipling]])</f>
        <v>0.70261416628663853</v>
      </c>
      <c r="J1187" s="2">
        <f t="shared" si="18"/>
        <v>4.4333333333333327</v>
      </c>
      <c r="K1187">
        <f>DAY(weather.tbl[[#This Row],[Date]])</f>
        <v>31</v>
      </c>
      <c r="L1187">
        <f>MONTH(weather.tbl[[#This Row],[Date]])</f>
        <v>3</v>
      </c>
      <c r="M1187">
        <f>YEAR(weather.tbl[[#This Row],[Date]])</f>
        <v>2017</v>
      </c>
    </row>
    <row r="1188" spans="1:13" x14ac:dyDescent="0.25">
      <c r="A1188" s="1">
        <v>42826</v>
      </c>
      <c r="B1188" s="2">
        <v>7.4</v>
      </c>
      <c r="C1188" s="2">
        <v>7.7</v>
      </c>
      <c r="D1188" s="2">
        <v>5</v>
      </c>
      <c r="E1188" s="2">
        <v>5.9</v>
      </c>
      <c r="F1188" s="2">
        <v>5.2</v>
      </c>
      <c r="G1188" s="2">
        <v>4.5</v>
      </c>
      <c r="H1188" s="2">
        <f>AVERAGE(weather.tbl[[#This Row],[Estevan]:[Kipling]])</f>
        <v>5.95</v>
      </c>
      <c r="I1188" s="2">
        <f>_xlfn.STDEV.S(weather.tbl[[#This Row],[Estevan]:[Kipling]])</f>
        <v>1.3217412757419629</v>
      </c>
      <c r="J1188" s="2">
        <f t="shared" si="18"/>
        <v>4.5404761904761903</v>
      </c>
      <c r="K1188">
        <f>DAY(weather.tbl[[#This Row],[Date]])</f>
        <v>1</v>
      </c>
      <c r="L1188">
        <f>MONTH(weather.tbl[[#This Row],[Date]])</f>
        <v>4</v>
      </c>
      <c r="M1188">
        <f>YEAR(weather.tbl[[#This Row],[Date]])</f>
        <v>2017</v>
      </c>
    </row>
    <row r="1189" spans="1:13" x14ac:dyDescent="0.25">
      <c r="A1189" s="1">
        <v>42827</v>
      </c>
      <c r="B1189" s="2">
        <v>7.7</v>
      </c>
      <c r="C1189" s="2">
        <v>6.9</v>
      </c>
      <c r="D1189" s="2">
        <v>8.3000000000000007</v>
      </c>
      <c r="E1189" s="2">
        <v>6.9</v>
      </c>
      <c r="F1189" s="2">
        <v>7.7</v>
      </c>
      <c r="G1189" s="2">
        <v>8</v>
      </c>
      <c r="H1189" s="2">
        <f>AVERAGE(weather.tbl[[#This Row],[Estevan]:[Kipling]])</f>
        <v>7.5833333333333348</v>
      </c>
      <c r="I1189" s="2">
        <f>_xlfn.STDEV.S(weather.tbl[[#This Row],[Estevan]:[Kipling]])</f>
        <v>0.57416606192517738</v>
      </c>
      <c r="J1189" s="2">
        <f t="shared" si="18"/>
        <v>4.8857142857142852</v>
      </c>
      <c r="K1189">
        <f>DAY(weather.tbl[[#This Row],[Date]])</f>
        <v>2</v>
      </c>
      <c r="L1189">
        <f>MONTH(weather.tbl[[#This Row],[Date]])</f>
        <v>4</v>
      </c>
      <c r="M1189">
        <f>YEAR(weather.tbl[[#This Row],[Date]])</f>
        <v>2017</v>
      </c>
    </row>
    <row r="1190" spans="1:13" x14ac:dyDescent="0.25">
      <c r="A1190" s="1">
        <v>42828</v>
      </c>
      <c r="B1190" s="2">
        <v>5</v>
      </c>
      <c r="C1190" s="2">
        <v>4.9000000000000004</v>
      </c>
      <c r="D1190" s="2">
        <v>8.3000000000000007</v>
      </c>
      <c r="E1190" s="2">
        <v>4.8</v>
      </c>
      <c r="F1190" s="2">
        <v>5.5</v>
      </c>
      <c r="G1190" s="2">
        <v>5</v>
      </c>
      <c r="H1190" s="2">
        <f>AVERAGE(weather.tbl[[#This Row],[Estevan]:[Kipling]])</f>
        <v>5.583333333333333</v>
      </c>
      <c r="I1190" s="2">
        <f>_xlfn.STDEV.S(weather.tbl[[#This Row],[Estevan]:[Kipling]])</f>
        <v>1.3526517166908389</v>
      </c>
      <c r="J1190" s="2">
        <f t="shared" si="18"/>
        <v>5.4738095238095239</v>
      </c>
      <c r="K1190">
        <f>DAY(weather.tbl[[#This Row],[Date]])</f>
        <v>3</v>
      </c>
      <c r="L1190">
        <f>MONTH(weather.tbl[[#This Row],[Date]])</f>
        <v>4</v>
      </c>
      <c r="M1190">
        <f>YEAR(weather.tbl[[#This Row],[Date]])</f>
        <v>2017</v>
      </c>
    </row>
    <row r="1191" spans="1:13" x14ac:dyDescent="0.25">
      <c r="A1191" s="1">
        <v>42829</v>
      </c>
      <c r="B1191" s="2">
        <v>5.2</v>
      </c>
      <c r="C1191" s="2">
        <v>4.0999999999999996</v>
      </c>
      <c r="D1191" s="2">
        <v>6.5</v>
      </c>
      <c r="E1191" s="2">
        <v>4.4000000000000004</v>
      </c>
      <c r="F1191" s="2">
        <v>6</v>
      </c>
      <c r="G1191" s="2">
        <v>4.8</v>
      </c>
      <c r="H1191" s="2">
        <f>AVERAGE(weather.tbl[[#This Row],[Estevan]:[Kipling]])</f>
        <v>5.166666666666667</v>
      </c>
      <c r="I1191" s="2">
        <f>_xlfn.STDEV.S(weather.tbl[[#This Row],[Estevan]:[Kipling]])</f>
        <v>0.93094933625125464</v>
      </c>
      <c r="J1191" s="2">
        <f t="shared" si="18"/>
        <v>5.9857142857142858</v>
      </c>
      <c r="K1191">
        <f>DAY(weather.tbl[[#This Row],[Date]])</f>
        <v>4</v>
      </c>
      <c r="L1191">
        <f>MONTH(weather.tbl[[#This Row],[Date]])</f>
        <v>4</v>
      </c>
      <c r="M1191">
        <f>YEAR(weather.tbl[[#This Row],[Date]])</f>
        <v>2017</v>
      </c>
    </row>
    <row r="1192" spans="1:13" x14ac:dyDescent="0.25">
      <c r="A1192" s="1">
        <v>42830</v>
      </c>
      <c r="B1192" s="2">
        <v>3.2</v>
      </c>
      <c r="C1192" s="2">
        <v>3.4</v>
      </c>
      <c r="D1192" s="2">
        <v>3.5</v>
      </c>
      <c r="E1192" s="2">
        <v>3</v>
      </c>
      <c r="F1192" s="2">
        <v>3.7</v>
      </c>
      <c r="G1192" s="2">
        <v>2.8</v>
      </c>
      <c r="H1192" s="2">
        <f>AVERAGE(weather.tbl[[#This Row],[Estevan]:[Kipling]])</f>
        <v>3.2666666666666671</v>
      </c>
      <c r="I1192" s="2">
        <f>_xlfn.STDEV.S(weather.tbl[[#This Row],[Estevan]:[Kipling]])</f>
        <v>0.33266599866332408</v>
      </c>
      <c r="J1192" s="2">
        <f t="shared" si="18"/>
        <v>5.4857142857142858</v>
      </c>
      <c r="K1192">
        <f>DAY(weather.tbl[[#This Row],[Date]])</f>
        <v>5</v>
      </c>
      <c r="L1192">
        <f>MONTH(weather.tbl[[#This Row],[Date]])</f>
        <v>4</v>
      </c>
      <c r="M1192">
        <f>YEAR(weather.tbl[[#This Row],[Date]])</f>
        <v>2017</v>
      </c>
    </row>
    <row r="1193" spans="1:13" x14ac:dyDescent="0.25">
      <c r="A1193" s="1">
        <v>42831</v>
      </c>
      <c r="B1193" s="2">
        <v>6.5</v>
      </c>
      <c r="C1193" s="2">
        <v>7.6</v>
      </c>
      <c r="D1193" s="2">
        <v>3.5</v>
      </c>
      <c r="E1193" s="2">
        <v>7.7</v>
      </c>
      <c r="F1193" s="2">
        <v>5.3</v>
      </c>
      <c r="G1193" s="2">
        <v>4.8</v>
      </c>
      <c r="H1193" s="2">
        <f>AVERAGE(weather.tbl[[#This Row],[Estevan]:[Kipling]])</f>
        <v>5.8999999999999995</v>
      </c>
      <c r="I1193" s="2">
        <f>_xlfn.STDEV.S(weather.tbl[[#This Row],[Estevan]:[Kipling]])</f>
        <v>1.6625281952496338</v>
      </c>
      <c r="J1193" s="2">
        <f t="shared" si="18"/>
        <v>5.1476190476190471</v>
      </c>
      <c r="K1193">
        <f>DAY(weather.tbl[[#This Row],[Date]])</f>
        <v>6</v>
      </c>
      <c r="L1193">
        <f>MONTH(weather.tbl[[#This Row],[Date]])</f>
        <v>4</v>
      </c>
      <c r="M1193">
        <f>YEAR(weather.tbl[[#This Row],[Date]])</f>
        <v>2017</v>
      </c>
    </row>
    <row r="1194" spans="1:13" x14ac:dyDescent="0.25">
      <c r="A1194" s="1">
        <v>42832</v>
      </c>
      <c r="B1194" s="2">
        <v>13.3</v>
      </c>
      <c r="C1194" s="2">
        <v>14.7</v>
      </c>
      <c r="D1194" s="2">
        <v>11.3</v>
      </c>
      <c r="E1194" s="2">
        <v>15.2</v>
      </c>
      <c r="F1194" s="2">
        <v>11</v>
      </c>
      <c r="G1194" s="2">
        <v>13.3</v>
      </c>
      <c r="H1194" s="2">
        <f>AVERAGE(weather.tbl[[#This Row],[Estevan]:[Kipling]])</f>
        <v>13.133333333333333</v>
      </c>
      <c r="I1194" s="2">
        <f>_xlfn.STDEV.S(weather.tbl[[#This Row],[Estevan]:[Kipling]])</f>
        <v>1.7142539679600344</v>
      </c>
      <c r="J1194" s="2">
        <f t="shared" si="18"/>
        <v>6.6547619047619051</v>
      </c>
      <c r="K1194">
        <f>DAY(weather.tbl[[#This Row],[Date]])</f>
        <v>7</v>
      </c>
      <c r="L1194">
        <f>MONTH(weather.tbl[[#This Row],[Date]])</f>
        <v>4</v>
      </c>
      <c r="M1194">
        <f>YEAR(weather.tbl[[#This Row],[Date]])</f>
        <v>2017</v>
      </c>
    </row>
    <row r="1195" spans="1:13" x14ac:dyDescent="0.25">
      <c r="A1195" s="1">
        <v>42833</v>
      </c>
      <c r="B1195" s="2">
        <v>11.6</v>
      </c>
      <c r="C1195" s="2">
        <v>9.1999999999999993</v>
      </c>
      <c r="D1195" s="2">
        <v>13</v>
      </c>
      <c r="E1195" s="2">
        <v>9.6999999999999993</v>
      </c>
      <c r="F1195" s="2">
        <v>12.2</v>
      </c>
      <c r="G1195" s="2">
        <v>12.5</v>
      </c>
      <c r="H1195" s="2">
        <f>AVERAGE(weather.tbl[[#This Row],[Estevan]:[Kipling]])</f>
        <v>11.366666666666667</v>
      </c>
      <c r="I1195" s="2">
        <f>_xlfn.STDEV.S(weather.tbl[[#This Row],[Estevan]:[Kipling]])</f>
        <v>1.5603418428878373</v>
      </c>
      <c r="J1195" s="2">
        <f t="shared" si="18"/>
        <v>7.4285714285714288</v>
      </c>
      <c r="K1195">
        <f>DAY(weather.tbl[[#This Row],[Date]])</f>
        <v>8</v>
      </c>
      <c r="L1195">
        <f>MONTH(weather.tbl[[#This Row],[Date]])</f>
        <v>4</v>
      </c>
      <c r="M1195">
        <f>YEAR(weather.tbl[[#This Row],[Date]])</f>
        <v>2017</v>
      </c>
    </row>
    <row r="1196" spans="1:13" x14ac:dyDescent="0.25">
      <c r="A1196" s="1">
        <v>42834</v>
      </c>
      <c r="B1196" s="2">
        <v>2.2999999999999998</v>
      </c>
      <c r="C1196" s="2">
        <v>0.6</v>
      </c>
      <c r="D1196" s="2">
        <v>13</v>
      </c>
      <c r="E1196" s="2">
        <v>-1</v>
      </c>
      <c r="F1196" s="2">
        <v>1.9</v>
      </c>
      <c r="G1196" s="2">
        <v>-0.8</v>
      </c>
      <c r="H1196" s="2">
        <f>AVERAGE(weather.tbl[[#This Row],[Estevan]:[Kipling]])</f>
        <v>2.6666666666666665</v>
      </c>
      <c r="I1196" s="2">
        <f>_xlfn.STDEV.S(weather.tbl[[#This Row],[Estevan]:[Kipling]])</f>
        <v>5.2389566391283164</v>
      </c>
      <c r="J1196" s="2">
        <f t="shared" si="18"/>
        <v>6.7261904761904754</v>
      </c>
      <c r="K1196">
        <f>DAY(weather.tbl[[#This Row],[Date]])</f>
        <v>9</v>
      </c>
      <c r="L1196">
        <f>MONTH(weather.tbl[[#This Row],[Date]])</f>
        <v>4</v>
      </c>
      <c r="M1196">
        <f>YEAR(weather.tbl[[#This Row],[Date]])</f>
        <v>2017</v>
      </c>
    </row>
    <row r="1197" spans="1:13" x14ac:dyDescent="0.25">
      <c r="A1197" s="1">
        <v>42835</v>
      </c>
      <c r="B1197" s="2">
        <v>0.8</v>
      </c>
      <c r="C1197" s="2">
        <v>0.3</v>
      </c>
      <c r="D1197" s="2">
        <v>-0.3</v>
      </c>
      <c r="E1197" s="2">
        <v>-0.7</v>
      </c>
      <c r="F1197" s="2">
        <v>-0.6</v>
      </c>
      <c r="G1197" s="2">
        <v>-1.3</v>
      </c>
      <c r="H1197" s="2">
        <f>AVERAGE(weather.tbl[[#This Row],[Estevan]:[Kipling]])</f>
        <v>-0.3</v>
      </c>
      <c r="I1197" s="2">
        <f>_xlfn.STDEV.S(weather.tbl[[#This Row],[Estevan]:[Kipling]])</f>
        <v>0.7509993342207435</v>
      </c>
      <c r="J1197" s="2">
        <f t="shared" si="18"/>
        <v>5.8857142857142852</v>
      </c>
      <c r="K1197">
        <f>DAY(weather.tbl[[#This Row],[Date]])</f>
        <v>10</v>
      </c>
      <c r="L1197">
        <f>MONTH(weather.tbl[[#This Row],[Date]])</f>
        <v>4</v>
      </c>
      <c r="M1197">
        <f>YEAR(weather.tbl[[#This Row],[Date]])</f>
        <v>2017</v>
      </c>
    </row>
    <row r="1198" spans="1:13" x14ac:dyDescent="0.25">
      <c r="A1198" s="1">
        <v>42836</v>
      </c>
      <c r="B1198" s="2">
        <v>6.1</v>
      </c>
      <c r="C1198" s="2">
        <v>5.5</v>
      </c>
      <c r="D1198" s="2">
        <v>4.5</v>
      </c>
      <c r="E1198" s="2">
        <v>5.5</v>
      </c>
      <c r="F1198" s="2">
        <v>5.0999999999999996</v>
      </c>
      <c r="G1198" s="2">
        <v>5</v>
      </c>
      <c r="H1198" s="2">
        <f>AVERAGE(weather.tbl[[#This Row],[Estevan]:[Kipling]])</f>
        <v>5.2833333333333341</v>
      </c>
      <c r="I1198" s="2">
        <f>_xlfn.STDEV.S(weather.tbl[[#This Row],[Estevan]:[Kipling]])</f>
        <v>0.54558836742242456</v>
      </c>
      <c r="J1198" s="2">
        <f t="shared" si="18"/>
        <v>5.9023809523809518</v>
      </c>
      <c r="K1198">
        <f>DAY(weather.tbl[[#This Row],[Date]])</f>
        <v>11</v>
      </c>
      <c r="L1198">
        <f>MONTH(weather.tbl[[#This Row],[Date]])</f>
        <v>4</v>
      </c>
      <c r="M1198">
        <f>YEAR(weather.tbl[[#This Row],[Date]])</f>
        <v>2017</v>
      </c>
    </row>
    <row r="1199" spans="1:13" x14ac:dyDescent="0.25">
      <c r="A1199" s="1">
        <v>42837</v>
      </c>
      <c r="B1199" s="2">
        <v>6.2</v>
      </c>
      <c r="C1199" s="2">
        <v>5.4</v>
      </c>
      <c r="D1199" s="2">
        <v>6</v>
      </c>
      <c r="E1199" s="2">
        <v>5.7</v>
      </c>
      <c r="F1199" s="2">
        <v>6.8</v>
      </c>
      <c r="G1199" s="2">
        <v>6</v>
      </c>
      <c r="H1199" s="2">
        <f>AVERAGE(weather.tbl[[#This Row],[Estevan]:[Kipling]])</f>
        <v>6.0166666666666666</v>
      </c>
      <c r="I1199" s="2">
        <f>_xlfn.STDEV.S(weather.tbl[[#This Row],[Estevan]:[Kipling]])</f>
        <v>0.47504385762439505</v>
      </c>
      <c r="J1199" s="2">
        <f t="shared" si="18"/>
        <v>6.2952380952380951</v>
      </c>
      <c r="K1199">
        <f>DAY(weather.tbl[[#This Row],[Date]])</f>
        <v>12</v>
      </c>
      <c r="L1199">
        <f>MONTH(weather.tbl[[#This Row],[Date]])</f>
        <v>4</v>
      </c>
      <c r="M1199">
        <f>YEAR(weather.tbl[[#This Row],[Date]])</f>
        <v>2017</v>
      </c>
    </row>
    <row r="1200" spans="1:13" x14ac:dyDescent="0.25">
      <c r="A1200" s="1">
        <v>42838</v>
      </c>
      <c r="B1200" s="2">
        <v>10.8</v>
      </c>
      <c r="C1200" s="2">
        <v>11.8</v>
      </c>
      <c r="D1200" s="2">
        <v>6</v>
      </c>
      <c r="E1200" s="2">
        <v>9.9</v>
      </c>
      <c r="F1200" s="2">
        <v>9.6999999999999993</v>
      </c>
      <c r="G1200" s="2">
        <v>9.3000000000000007</v>
      </c>
      <c r="H1200" s="2">
        <f>AVERAGE(weather.tbl[[#This Row],[Estevan]:[Kipling]])</f>
        <v>9.5833333333333339</v>
      </c>
      <c r="I1200" s="2">
        <f>_xlfn.STDEV.S(weather.tbl[[#This Row],[Estevan]:[Kipling]])</f>
        <v>1.9712094426180795</v>
      </c>
      <c r="J1200" s="2">
        <f t="shared" si="18"/>
        <v>6.8214285714285712</v>
      </c>
      <c r="K1200">
        <f>DAY(weather.tbl[[#This Row],[Date]])</f>
        <v>13</v>
      </c>
      <c r="L1200">
        <f>MONTH(weather.tbl[[#This Row],[Date]])</f>
        <v>4</v>
      </c>
      <c r="M1200">
        <f>YEAR(weather.tbl[[#This Row],[Date]])</f>
        <v>2017</v>
      </c>
    </row>
    <row r="1201" spans="1:13" x14ac:dyDescent="0.25">
      <c r="A1201" s="1">
        <v>42839</v>
      </c>
      <c r="B1201" s="2">
        <v>12.5</v>
      </c>
      <c r="C1201" s="2">
        <v>9</v>
      </c>
      <c r="D1201" s="2">
        <v>14.3</v>
      </c>
      <c r="E1201" s="2">
        <v>7.6</v>
      </c>
      <c r="F1201" s="2">
        <v>15</v>
      </c>
      <c r="G1201" s="2">
        <v>12.8</v>
      </c>
      <c r="H1201" s="2">
        <f>AVERAGE(weather.tbl[[#This Row],[Estevan]:[Kipling]])</f>
        <v>11.866666666666667</v>
      </c>
      <c r="I1201" s="2">
        <f>_xlfn.STDEV.S(weather.tbl[[#This Row],[Estevan]:[Kipling]])</f>
        <v>2.9473151624260776</v>
      </c>
      <c r="J1201" s="2">
        <f t="shared" si="18"/>
        <v>6.6404761904761909</v>
      </c>
      <c r="K1201">
        <f>DAY(weather.tbl[[#This Row],[Date]])</f>
        <v>14</v>
      </c>
      <c r="L1201">
        <f>MONTH(weather.tbl[[#This Row],[Date]])</f>
        <v>4</v>
      </c>
      <c r="M1201">
        <f>YEAR(weather.tbl[[#This Row],[Date]])</f>
        <v>2017</v>
      </c>
    </row>
    <row r="1202" spans="1:13" x14ac:dyDescent="0.25">
      <c r="A1202" s="1">
        <v>42840</v>
      </c>
      <c r="B1202" s="2">
        <v>6.7</v>
      </c>
      <c r="C1202" s="2">
        <v>4.8</v>
      </c>
      <c r="D1202" s="2">
        <v>6</v>
      </c>
      <c r="E1202" s="2">
        <v>6.4</v>
      </c>
      <c r="F1202" s="2">
        <v>8.5</v>
      </c>
      <c r="G1202" s="2">
        <v>6.3</v>
      </c>
      <c r="H1202" s="2">
        <f>AVERAGE(weather.tbl[[#This Row],[Estevan]:[Kipling]])</f>
        <v>6.4499999999999993</v>
      </c>
      <c r="I1202" s="2">
        <f>_xlfn.STDEV.S(weather.tbl[[#This Row],[Estevan]:[Kipling]])</f>
        <v>1.2012493496356298</v>
      </c>
      <c r="J1202" s="2">
        <f t="shared" si="18"/>
        <v>5.9380952380952374</v>
      </c>
      <c r="K1202">
        <f>DAY(weather.tbl[[#This Row],[Date]])</f>
        <v>15</v>
      </c>
      <c r="L1202">
        <f>MONTH(weather.tbl[[#This Row],[Date]])</f>
        <v>4</v>
      </c>
      <c r="M1202">
        <f>YEAR(weather.tbl[[#This Row],[Date]])</f>
        <v>2017</v>
      </c>
    </row>
    <row r="1203" spans="1:13" x14ac:dyDescent="0.25">
      <c r="A1203" s="1">
        <v>42841</v>
      </c>
      <c r="B1203" s="2">
        <v>-1.4</v>
      </c>
      <c r="C1203" s="2">
        <v>-2.9</v>
      </c>
      <c r="D1203" s="2">
        <v>-0.8</v>
      </c>
      <c r="E1203" s="2">
        <v>-4.5</v>
      </c>
      <c r="F1203" s="2">
        <v>1.1000000000000001</v>
      </c>
      <c r="G1203" s="2">
        <v>-3.8</v>
      </c>
      <c r="H1203" s="2">
        <f>AVERAGE(weather.tbl[[#This Row],[Estevan]:[Kipling]])</f>
        <v>-2.0500000000000003</v>
      </c>
      <c r="I1203" s="2">
        <f>_xlfn.STDEV.S(weather.tbl[[#This Row],[Estevan]:[Kipling]])</f>
        <v>2.0830266440926768</v>
      </c>
      <c r="J1203" s="2">
        <f t="shared" si="18"/>
        <v>5.2642857142857151</v>
      </c>
      <c r="K1203">
        <f>DAY(weather.tbl[[#This Row],[Date]])</f>
        <v>16</v>
      </c>
      <c r="L1203">
        <f>MONTH(weather.tbl[[#This Row],[Date]])</f>
        <v>4</v>
      </c>
      <c r="M1203">
        <f>YEAR(weather.tbl[[#This Row],[Date]])</f>
        <v>2017</v>
      </c>
    </row>
    <row r="1204" spans="1:13" x14ac:dyDescent="0.25">
      <c r="A1204" s="1">
        <v>42842</v>
      </c>
      <c r="B1204" s="2">
        <v>-0.2</v>
      </c>
      <c r="C1204" s="2">
        <v>-2.1</v>
      </c>
      <c r="D1204" s="2">
        <v>-1.5</v>
      </c>
      <c r="E1204" s="2">
        <v>-2.2000000000000002</v>
      </c>
      <c r="F1204" s="2">
        <v>-0.1</v>
      </c>
      <c r="G1204" s="2">
        <v>-1.5</v>
      </c>
      <c r="H1204" s="2">
        <f>AVERAGE(weather.tbl[[#This Row],[Estevan]:[Kipling]])</f>
        <v>-1.2666666666666666</v>
      </c>
      <c r="I1204" s="2">
        <f>_xlfn.STDEV.S(weather.tbl[[#This Row],[Estevan]:[Kipling]])</f>
        <v>0.91360093403338127</v>
      </c>
      <c r="J1204" s="2">
        <f t="shared" si="18"/>
        <v>5.1261904761904775</v>
      </c>
      <c r="K1204">
        <f>DAY(weather.tbl[[#This Row],[Date]])</f>
        <v>17</v>
      </c>
      <c r="L1204">
        <f>MONTH(weather.tbl[[#This Row],[Date]])</f>
        <v>4</v>
      </c>
      <c r="M1204">
        <f>YEAR(weather.tbl[[#This Row],[Date]])</f>
        <v>2017</v>
      </c>
    </row>
    <row r="1205" spans="1:13" x14ac:dyDescent="0.25">
      <c r="A1205" s="1">
        <v>42843</v>
      </c>
      <c r="B1205" s="2">
        <v>5.7</v>
      </c>
      <c r="C1205" s="2">
        <v>5.8</v>
      </c>
      <c r="D1205" s="2">
        <v>4.3</v>
      </c>
      <c r="E1205" s="2">
        <v>5.5</v>
      </c>
      <c r="F1205" s="2">
        <v>5</v>
      </c>
      <c r="G1205" s="2">
        <v>5.8</v>
      </c>
      <c r="H1205" s="2">
        <f>AVERAGE(weather.tbl[[#This Row],[Estevan]:[Kipling]])</f>
        <v>5.3500000000000005</v>
      </c>
      <c r="I1205" s="2">
        <f>_xlfn.STDEV.S(weather.tbl[[#This Row],[Estevan]:[Kipling]])</f>
        <v>0.59581876439064541</v>
      </c>
      <c r="J1205" s="2">
        <f t="shared" si="18"/>
        <v>5.1357142857142861</v>
      </c>
      <c r="K1205">
        <f>DAY(weather.tbl[[#This Row],[Date]])</f>
        <v>18</v>
      </c>
      <c r="L1205">
        <f>MONTH(weather.tbl[[#This Row],[Date]])</f>
        <v>4</v>
      </c>
      <c r="M1205">
        <f>YEAR(weather.tbl[[#This Row],[Date]])</f>
        <v>2017</v>
      </c>
    </row>
    <row r="1206" spans="1:13" x14ac:dyDescent="0.25">
      <c r="A1206" s="1">
        <v>42844</v>
      </c>
      <c r="B1206" s="2">
        <v>6.7</v>
      </c>
      <c r="C1206" s="2">
        <v>8.1999999999999993</v>
      </c>
      <c r="D1206" s="2">
        <v>6</v>
      </c>
      <c r="E1206" s="2">
        <v>7.2</v>
      </c>
      <c r="F1206" s="2">
        <v>5.4</v>
      </c>
      <c r="G1206" s="2">
        <v>7</v>
      </c>
      <c r="H1206" s="2">
        <f>AVERAGE(weather.tbl[[#This Row],[Estevan]:[Kipling]])</f>
        <v>6.75</v>
      </c>
      <c r="I1206" s="2">
        <f>_xlfn.STDEV.S(weather.tbl[[#This Row],[Estevan]:[Kipling]])</f>
        <v>0.97519228873079133</v>
      </c>
      <c r="J1206" s="2">
        <f t="shared" si="18"/>
        <v>5.2404761904761914</v>
      </c>
      <c r="K1206">
        <f>DAY(weather.tbl[[#This Row],[Date]])</f>
        <v>19</v>
      </c>
      <c r="L1206">
        <f>MONTH(weather.tbl[[#This Row],[Date]])</f>
        <v>4</v>
      </c>
      <c r="M1206">
        <f>YEAR(weather.tbl[[#This Row],[Date]])</f>
        <v>2017</v>
      </c>
    </row>
    <row r="1207" spans="1:13" x14ac:dyDescent="0.25">
      <c r="A1207" s="1">
        <v>42845</v>
      </c>
      <c r="B1207" s="2">
        <v>9.6</v>
      </c>
      <c r="C1207" s="2">
        <v>9.1</v>
      </c>
      <c r="D1207" s="2">
        <v>9.3000000000000007</v>
      </c>
      <c r="E1207" s="2">
        <v>8.8000000000000007</v>
      </c>
      <c r="F1207" s="2">
        <v>8.1</v>
      </c>
      <c r="G1207" s="2">
        <v>8.8000000000000007</v>
      </c>
      <c r="H1207" s="2">
        <f>AVERAGE(weather.tbl[[#This Row],[Estevan]:[Kipling]])</f>
        <v>8.9500000000000011</v>
      </c>
      <c r="I1207" s="2">
        <f>_xlfn.STDEV.S(weather.tbl[[#This Row],[Estevan]:[Kipling]])</f>
        <v>0.51672042731055257</v>
      </c>
      <c r="J1207" s="2">
        <f t="shared" si="18"/>
        <v>5.15</v>
      </c>
      <c r="K1207">
        <f>DAY(weather.tbl[[#This Row],[Date]])</f>
        <v>20</v>
      </c>
      <c r="L1207">
        <f>MONTH(weather.tbl[[#This Row],[Date]])</f>
        <v>4</v>
      </c>
      <c r="M1207">
        <f>YEAR(weather.tbl[[#This Row],[Date]])</f>
        <v>2017</v>
      </c>
    </row>
    <row r="1208" spans="1:13" x14ac:dyDescent="0.25">
      <c r="A1208" s="1">
        <v>42846</v>
      </c>
      <c r="B1208" s="2">
        <v>9.9</v>
      </c>
      <c r="C1208" s="2">
        <v>9</v>
      </c>
      <c r="D1208" s="2">
        <v>9.3000000000000007</v>
      </c>
      <c r="E1208" s="2">
        <v>9.1</v>
      </c>
      <c r="F1208" s="2">
        <v>9.1</v>
      </c>
      <c r="G1208" s="2">
        <v>9.5</v>
      </c>
      <c r="H1208" s="2">
        <f>AVERAGE(weather.tbl[[#This Row],[Estevan]:[Kipling]])</f>
        <v>9.3166666666666664</v>
      </c>
      <c r="I1208" s="2">
        <f>_xlfn.STDEV.S(weather.tbl[[#This Row],[Estevan]:[Kipling]])</f>
        <v>0.33714487489307443</v>
      </c>
      <c r="J1208" s="2">
        <f t="shared" si="18"/>
        <v>4.7857142857142856</v>
      </c>
      <c r="K1208">
        <f>DAY(weather.tbl[[#This Row],[Date]])</f>
        <v>21</v>
      </c>
      <c r="L1208">
        <f>MONTH(weather.tbl[[#This Row],[Date]])</f>
        <v>4</v>
      </c>
      <c r="M1208">
        <f>YEAR(weather.tbl[[#This Row],[Date]])</f>
        <v>2017</v>
      </c>
    </row>
    <row r="1209" spans="1:13" x14ac:dyDescent="0.25">
      <c r="A1209" s="1">
        <v>42847</v>
      </c>
      <c r="B1209" s="2">
        <v>5.4</v>
      </c>
      <c r="C1209" s="2">
        <v>5.4</v>
      </c>
      <c r="D1209" s="2">
        <v>9.3000000000000007</v>
      </c>
      <c r="E1209" s="2">
        <v>6.1</v>
      </c>
      <c r="F1209" s="2">
        <v>4.2</v>
      </c>
      <c r="G1209" s="2">
        <v>4.3</v>
      </c>
      <c r="H1209" s="2">
        <f>AVERAGE(weather.tbl[[#This Row],[Estevan]:[Kipling]])</f>
        <v>5.7833333333333341</v>
      </c>
      <c r="I1209" s="2">
        <f>_xlfn.STDEV.S(weather.tbl[[#This Row],[Estevan]:[Kipling]])</f>
        <v>1.8691352724366033</v>
      </c>
      <c r="J1209" s="2">
        <f t="shared" si="18"/>
        <v>4.6904761904761907</v>
      </c>
      <c r="K1209">
        <f>DAY(weather.tbl[[#This Row],[Date]])</f>
        <v>22</v>
      </c>
      <c r="L1209">
        <f>MONTH(weather.tbl[[#This Row],[Date]])</f>
        <v>4</v>
      </c>
      <c r="M1209">
        <f>YEAR(weather.tbl[[#This Row],[Date]])</f>
        <v>2017</v>
      </c>
    </row>
    <row r="1210" spans="1:13" x14ac:dyDescent="0.25">
      <c r="A1210" s="1">
        <v>42848</v>
      </c>
      <c r="B1210" s="2">
        <v>-0.2</v>
      </c>
      <c r="C1210" s="2">
        <v>1.4</v>
      </c>
      <c r="D1210" s="2">
        <v>9.3000000000000007</v>
      </c>
      <c r="E1210" s="2">
        <v>1.3</v>
      </c>
      <c r="F1210" s="2">
        <v>0.9</v>
      </c>
      <c r="G1210" s="2">
        <v>1.5</v>
      </c>
      <c r="H1210" s="2">
        <f>AVERAGE(weather.tbl[[#This Row],[Estevan]:[Kipling]])</f>
        <v>2.3666666666666667</v>
      </c>
      <c r="I1210" s="2">
        <f>_xlfn.STDEV.S(weather.tbl[[#This Row],[Estevan]:[Kipling]])</f>
        <v>3.4535006394478436</v>
      </c>
      <c r="J1210" s="2">
        <f t="shared" si="18"/>
        <v>5.3214285714285712</v>
      </c>
      <c r="K1210">
        <f>DAY(weather.tbl[[#This Row],[Date]])</f>
        <v>23</v>
      </c>
      <c r="L1210">
        <f>MONTH(weather.tbl[[#This Row],[Date]])</f>
        <v>4</v>
      </c>
      <c r="M1210">
        <f>YEAR(weather.tbl[[#This Row],[Date]])</f>
        <v>2017</v>
      </c>
    </row>
    <row r="1211" spans="1:13" x14ac:dyDescent="0.25">
      <c r="A1211" s="1">
        <v>42849</v>
      </c>
      <c r="B1211" s="2">
        <v>-1.5</v>
      </c>
      <c r="C1211" s="2">
        <v>-1.5</v>
      </c>
      <c r="D1211" s="2">
        <v>-2.2999999999999998</v>
      </c>
      <c r="E1211" s="2">
        <v>-1.3</v>
      </c>
      <c r="F1211" s="2">
        <v>-0.8</v>
      </c>
      <c r="G1211" s="2">
        <v>-2.2999999999999998</v>
      </c>
      <c r="H1211" s="2">
        <f>AVERAGE(weather.tbl[[#This Row],[Estevan]:[Kipling]])</f>
        <v>-1.6166666666666665</v>
      </c>
      <c r="I1211" s="2">
        <f>_xlfn.STDEV.S(weather.tbl[[#This Row],[Estevan]:[Kipling]])</f>
        <v>0.58793423668524891</v>
      </c>
      <c r="J1211" s="2">
        <f t="shared" si="18"/>
        <v>5.2714285714285722</v>
      </c>
      <c r="K1211">
        <f>DAY(weather.tbl[[#This Row],[Date]])</f>
        <v>24</v>
      </c>
      <c r="L1211">
        <f>MONTH(weather.tbl[[#This Row],[Date]])</f>
        <v>4</v>
      </c>
      <c r="M1211">
        <f>YEAR(weather.tbl[[#This Row],[Date]])</f>
        <v>2017</v>
      </c>
    </row>
    <row r="1212" spans="1:13" x14ac:dyDescent="0.25">
      <c r="A1212" s="1">
        <v>42850</v>
      </c>
      <c r="B1212" s="2">
        <v>1.3</v>
      </c>
      <c r="C1212" s="2">
        <v>1.6</v>
      </c>
      <c r="D1212" s="2">
        <v>0.5</v>
      </c>
      <c r="E1212" s="2">
        <v>1.4</v>
      </c>
      <c r="F1212" s="2">
        <v>1.7</v>
      </c>
      <c r="G1212" s="2">
        <v>-0.3</v>
      </c>
      <c r="H1212" s="2">
        <f>AVERAGE(weather.tbl[[#This Row],[Estevan]:[Kipling]])</f>
        <v>1.0333333333333334</v>
      </c>
      <c r="I1212" s="2">
        <f>_xlfn.STDEV.S(weather.tbl[[#This Row],[Estevan]:[Kipling]])</f>
        <v>0.77888809636986134</v>
      </c>
      <c r="J1212" s="2">
        <f t="shared" si="18"/>
        <v>4.6547619047619042</v>
      </c>
      <c r="K1212">
        <f>DAY(weather.tbl[[#This Row],[Date]])</f>
        <v>25</v>
      </c>
      <c r="L1212">
        <f>MONTH(weather.tbl[[#This Row],[Date]])</f>
        <v>4</v>
      </c>
      <c r="M1212">
        <f>YEAR(weather.tbl[[#This Row],[Date]])</f>
        <v>2017</v>
      </c>
    </row>
    <row r="1213" spans="1:13" x14ac:dyDescent="0.25">
      <c r="A1213" s="1">
        <v>42851</v>
      </c>
      <c r="B1213" s="2">
        <v>1.3</v>
      </c>
      <c r="C1213" s="2">
        <v>1.3</v>
      </c>
      <c r="D1213" s="2">
        <v>1.8</v>
      </c>
      <c r="E1213" s="2">
        <v>0.7</v>
      </c>
      <c r="F1213" s="2">
        <v>2</v>
      </c>
      <c r="G1213" s="2">
        <v>0.8</v>
      </c>
      <c r="H1213" s="2">
        <f>AVERAGE(weather.tbl[[#This Row],[Estevan]:[Kipling]])</f>
        <v>1.3166666666666667</v>
      </c>
      <c r="I1213" s="2">
        <f>_xlfn.STDEV.S(weather.tbl[[#This Row],[Estevan]:[Kipling]])</f>
        <v>0.51929439306299741</v>
      </c>
      <c r="J1213" s="2">
        <f t="shared" si="18"/>
        <v>3.878571428571429</v>
      </c>
      <c r="K1213">
        <f>DAY(weather.tbl[[#This Row],[Date]])</f>
        <v>26</v>
      </c>
      <c r="L1213">
        <f>MONTH(weather.tbl[[#This Row],[Date]])</f>
        <v>4</v>
      </c>
      <c r="M1213">
        <f>YEAR(weather.tbl[[#This Row],[Date]])</f>
        <v>2017</v>
      </c>
    </row>
    <row r="1214" spans="1:13" x14ac:dyDescent="0.25">
      <c r="A1214" s="1">
        <v>42852</v>
      </c>
      <c r="B1214" s="2">
        <v>3.5</v>
      </c>
      <c r="C1214" s="2">
        <v>2.9</v>
      </c>
      <c r="D1214" s="2">
        <v>1.8</v>
      </c>
      <c r="E1214" s="2">
        <v>2.6</v>
      </c>
      <c r="F1214" s="2">
        <v>2.6</v>
      </c>
      <c r="G1214" s="2">
        <v>2</v>
      </c>
      <c r="H1214" s="2">
        <f>AVERAGE(weather.tbl[[#This Row],[Estevan]:[Kipling]])</f>
        <v>2.5666666666666669</v>
      </c>
      <c r="I1214" s="2">
        <f>_xlfn.STDEV.S(weather.tbl[[#This Row],[Estevan]:[Kipling]])</f>
        <v>0.61535897382476368</v>
      </c>
      <c r="J1214" s="2">
        <f t="shared" si="18"/>
        <v>2.9666666666666672</v>
      </c>
      <c r="K1214">
        <f>DAY(weather.tbl[[#This Row],[Date]])</f>
        <v>27</v>
      </c>
      <c r="L1214">
        <f>MONTH(weather.tbl[[#This Row],[Date]])</f>
        <v>4</v>
      </c>
      <c r="M1214">
        <f>YEAR(weather.tbl[[#This Row],[Date]])</f>
        <v>2017</v>
      </c>
    </row>
    <row r="1215" spans="1:13" x14ac:dyDescent="0.25">
      <c r="A1215" s="1">
        <v>42853</v>
      </c>
      <c r="B1215" s="2">
        <v>5.4</v>
      </c>
      <c r="C1215" s="2">
        <v>5.4</v>
      </c>
      <c r="D1215" s="2">
        <v>4.8</v>
      </c>
      <c r="E1215" s="2">
        <v>5</v>
      </c>
      <c r="F1215" s="2">
        <v>4.8</v>
      </c>
      <c r="G1215" s="2">
        <v>5</v>
      </c>
      <c r="H1215" s="2">
        <f>AVERAGE(weather.tbl[[#This Row],[Estevan]:[Kipling]])</f>
        <v>5.0666666666666673</v>
      </c>
      <c r="I1215" s="2">
        <f>_xlfn.STDEV.S(weather.tbl[[#This Row],[Estevan]:[Kipling]])</f>
        <v>0.27325202042558955</v>
      </c>
      <c r="J1215" s="2">
        <f t="shared" si="18"/>
        <v>2.35952380952381</v>
      </c>
      <c r="K1215">
        <f>DAY(weather.tbl[[#This Row],[Date]])</f>
        <v>28</v>
      </c>
      <c r="L1215">
        <f>MONTH(weather.tbl[[#This Row],[Date]])</f>
        <v>4</v>
      </c>
      <c r="M1215">
        <f>YEAR(weather.tbl[[#This Row],[Date]])</f>
        <v>2017</v>
      </c>
    </row>
    <row r="1216" spans="1:13" x14ac:dyDescent="0.25">
      <c r="A1216" s="1">
        <v>42854</v>
      </c>
      <c r="B1216" s="2">
        <v>7.7</v>
      </c>
      <c r="C1216" s="2">
        <v>7.2</v>
      </c>
      <c r="D1216" s="2">
        <v>7.8</v>
      </c>
      <c r="E1216" s="2">
        <v>7.9</v>
      </c>
      <c r="F1216" s="2">
        <v>9.3000000000000007</v>
      </c>
      <c r="G1216" s="2">
        <v>8</v>
      </c>
      <c r="H1216" s="2">
        <f>AVERAGE(weather.tbl[[#This Row],[Estevan]:[Kipling]])</f>
        <v>7.9833333333333343</v>
      </c>
      <c r="I1216" s="2">
        <f>_xlfn.STDEV.S(weather.tbl[[#This Row],[Estevan]:[Kipling]])</f>
        <v>0.70261416628663775</v>
      </c>
      <c r="J1216" s="2">
        <f t="shared" si="18"/>
        <v>2.6738095238095241</v>
      </c>
      <c r="K1216">
        <f>DAY(weather.tbl[[#This Row],[Date]])</f>
        <v>29</v>
      </c>
      <c r="L1216">
        <f>MONTH(weather.tbl[[#This Row],[Date]])</f>
        <v>4</v>
      </c>
      <c r="M1216">
        <f>YEAR(weather.tbl[[#This Row],[Date]])</f>
        <v>2017</v>
      </c>
    </row>
    <row r="1217" spans="1:13" x14ac:dyDescent="0.25">
      <c r="A1217" s="1">
        <v>42855</v>
      </c>
      <c r="B1217" s="2">
        <v>11.5</v>
      </c>
      <c r="C1217" s="2">
        <v>11.5</v>
      </c>
      <c r="D1217" s="2">
        <v>10</v>
      </c>
      <c r="E1217" s="2">
        <v>10.199999999999999</v>
      </c>
      <c r="F1217" s="2">
        <v>11.1</v>
      </c>
      <c r="G1217" s="2">
        <v>11.5</v>
      </c>
      <c r="H1217" s="2">
        <f>AVERAGE(weather.tbl[[#This Row],[Estevan]:[Kipling]])</f>
        <v>10.966666666666669</v>
      </c>
      <c r="I1217" s="2">
        <f>_xlfn.STDEV.S(weather.tbl[[#This Row],[Estevan]:[Kipling]])</f>
        <v>0.69185740341971247</v>
      </c>
      <c r="J1217" s="2">
        <f t="shared" si="18"/>
        <v>3.9023809523809527</v>
      </c>
      <c r="K1217">
        <f>DAY(weather.tbl[[#This Row],[Date]])</f>
        <v>30</v>
      </c>
      <c r="L1217">
        <f>MONTH(weather.tbl[[#This Row],[Date]])</f>
        <v>4</v>
      </c>
      <c r="M1217">
        <f>YEAR(weather.tbl[[#This Row],[Date]])</f>
        <v>2017</v>
      </c>
    </row>
    <row r="1218" spans="1:13" x14ac:dyDescent="0.25">
      <c r="A1218" s="1">
        <v>42856</v>
      </c>
      <c r="B1218" s="2">
        <v>9.4</v>
      </c>
      <c r="C1218" s="2">
        <v>10.8</v>
      </c>
      <c r="D1218" s="2">
        <v>9.3000000000000007</v>
      </c>
      <c r="E1218" s="2">
        <v>8.9</v>
      </c>
      <c r="F1218" s="2">
        <v>10.6</v>
      </c>
      <c r="G1218" s="2">
        <v>9.8000000000000007</v>
      </c>
      <c r="H1218" s="2">
        <f>AVERAGE(weather.tbl[[#This Row],[Estevan]:[Kipling]])</f>
        <v>9.8000000000000025</v>
      </c>
      <c r="I1218" s="2">
        <f>_xlfn.STDEV.S(weather.tbl[[#This Row],[Estevan]:[Kipling]])</f>
        <v>0.75630681604756134</v>
      </c>
      <c r="J1218" s="2">
        <f t="shared" si="18"/>
        <v>5.5333333333333341</v>
      </c>
      <c r="K1218">
        <f>DAY(weather.tbl[[#This Row],[Date]])</f>
        <v>1</v>
      </c>
      <c r="L1218">
        <f>MONTH(weather.tbl[[#This Row],[Date]])</f>
        <v>5</v>
      </c>
      <c r="M1218">
        <f>YEAR(weather.tbl[[#This Row],[Date]])</f>
        <v>2017</v>
      </c>
    </row>
    <row r="1219" spans="1:13" x14ac:dyDescent="0.25">
      <c r="A1219" s="1">
        <v>42857</v>
      </c>
      <c r="B1219" s="2">
        <v>9.5</v>
      </c>
      <c r="C1219" s="2">
        <v>10.5</v>
      </c>
      <c r="D1219" s="2">
        <v>9.3000000000000007</v>
      </c>
      <c r="E1219" s="2">
        <v>8.9</v>
      </c>
      <c r="F1219" s="2">
        <v>9.1</v>
      </c>
      <c r="G1219" s="2">
        <v>8.8000000000000007</v>
      </c>
      <c r="H1219" s="2">
        <f>AVERAGE(weather.tbl[[#This Row],[Estevan]:[Kipling]])</f>
        <v>9.3500000000000014</v>
      </c>
      <c r="I1219" s="2">
        <f>_xlfn.STDEV.S(weather.tbl[[#This Row],[Estevan]:[Kipling]])</f>
        <v>0.61886993787063194</v>
      </c>
      <c r="J1219" s="2">
        <f t="shared" si="18"/>
        <v>6.7214285714285733</v>
      </c>
      <c r="K1219">
        <f>DAY(weather.tbl[[#This Row],[Date]])</f>
        <v>2</v>
      </c>
      <c r="L1219">
        <f>MONTH(weather.tbl[[#This Row],[Date]])</f>
        <v>5</v>
      </c>
      <c r="M1219">
        <f>YEAR(weather.tbl[[#This Row],[Date]])</f>
        <v>2017</v>
      </c>
    </row>
    <row r="1220" spans="1:13" x14ac:dyDescent="0.25">
      <c r="A1220" s="1">
        <v>42858</v>
      </c>
      <c r="B1220" s="2">
        <v>9.5</v>
      </c>
      <c r="C1220" s="2">
        <v>9</v>
      </c>
      <c r="D1220" s="2">
        <v>10</v>
      </c>
      <c r="E1220" s="2">
        <v>9.4</v>
      </c>
      <c r="F1220" s="2">
        <v>10</v>
      </c>
      <c r="G1220" s="2">
        <v>9.3000000000000007</v>
      </c>
      <c r="H1220" s="2">
        <f>AVERAGE(weather.tbl[[#This Row],[Estevan]:[Kipling]])</f>
        <v>9.5333333333333332</v>
      </c>
      <c r="I1220" s="2">
        <f>_xlfn.STDEV.S(weather.tbl[[#This Row],[Estevan]:[Kipling]])</f>
        <v>0.39832984656772402</v>
      </c>
      <c r="J1220" s="2">
        <f t="shared" si="18"/>
        <v>7.8952380952380965</v>
      </c>
      <c r="K1220">
        <f>DAY(weather.tbl[[#This Row],[Date]])</f>
        <v>3</v>
      </c>
      <c r="L1220">
        <f>MONTH(weather.tbl[[#This Row],[Date]])</f>
        <v>5</v>
      </c>
      <c r="M1220">
        <f>YEAR(weather.tbl[[#This Row],[Date]])</f>
        <v>2017</v>
      </c>
    </row>
    <row r="1221" spans="1:13" x14ac:dyDescent="0.25">
      <c r="A1221" s="1">
        <v>42859</v>
      </c>
      <c r="B1221" s="2">
        <v>9.5</v>
      </c>
      <c r="C1221" s="2">
        <v>12.8</v>
      </c>
      <c r="D1221" s="2">
        <v>13.3</v>
      </c>
      <c r="E1221" s="2">
        <v>13.3</v>
      </c>
      <c r="F1221" s="2">
        <v>13.1</v>
      </c>
      <c r="G1221" s="2">
        <v>13.3</v>
      </c>
      <c r="H1221" s="2">
        <f>AVERAGE(weather.tbl[[#This Row],[Estevan]:[Kipling]])</f>
        <v>12.550000000000002</v>
      </c>
      <c r="I1221" s="2">
        <f>_xlfn.STDEV.S(weather.tbl[[#This Row],[Estevan]:[Kipling]])</f>
        <v>1.5069837424471226</v>
      </c>
      <c r="J1221" s="2">
        <f t="shared" si="18"/>
        <v>9.3214285714285712</v>
      </c>
      <c r="K1221">
        <f>DAY(weather.tbl[[#This Row],[Date]])</f>
        <v>4</v>
      </c>
      <c r="L1221">
        <f>MONTH(weather.tbl[[#This Row],[Date]])</f>
        <v>5</v>
      </c>
      <c r="M1221">
        <f>YEAR(weather.tbl[[#This Row],[Date]])</f>
        <v>2017</v>
      </c>
    </row>
    <row r="1222" spans="1:13" x14ac:dyDescent="0.25">
      <c r="A1222" s="1">
        <v>42860</v>
      </c>
      <c r="B1222" s="2">
        <v>17.8</v>
      </c>
      <c r="C1222" s="2">
        <v>16.899999999999999</v>
      </c>
      <c r="D1222" s="2">
        <v>17.8</v>
      </c>
      <c r="E1222" s="2">
        <v>17.3</v>
      </c>
      <c r="F1222" s="2">
        <v>15.7</v>
      </c>
      <c r="G1222" s="2">
        <v>18.8</v>
      </c>
      <c r="H1222" s="2">
        <f>AVERAGE(weather.tbl[[#This Row],[Estevan]:[Kipling]])</f>
        <v>17.383333333333333</v>
      </c>
      <c r="I1222" s="2">
        <f>_xlfn.STDEV.S(weather.tbl[[#This Row],[Estevan]:[Kipling]])</f>
        <v>1.0419532938988523</v>
      </c>
      <c r="J1222" s="2">
        <f t="shared" si="18"/>
        <v>11.080952380952382</v>
      </c>
      <c r="K1222">
        <f>DAY(weather.tbl[[#This Row],[Date]])</f>
        <v>5</v>
      </c>
      <c r="L1222">
        <f>MONTH(weather.tbl[[#This Row],[Date]])</f>
        <v>5</v>
      </c>
      <c r="M1222">
        <f>YEAR(weather.tbl[[#This Row],[Date]])</f>
        <v>2017</v>
      </c>
    </row>
    <row r="1223" spans="1:13" x14ac:dyDescent="0.25">
      <c r="A1223" s="1">
        <v>42861</v>
      </c>
      <c r="B1223" s="2">
        <v>18.8</v>
      </c>
      <c r="C1223" s="2">
        <v>19.8</v>
      </c>
      <c r="D1223" s="2">
        <v>16.8</v>
      </c>
      <c r="E1223" s="2">
        <v>20.7</v>
      </c>
      <c r="F1223" s="2">
        <v>15.8</v>
      </c>
      <c r="G1223" s="2">
        <v>16.8</v>
      </c>
      <c r="H1223" s="2">
        <f>AVERAGE(weather.tbl[[#This Row],[Estevan]:[Kipling]])</f>
        <v>18.116666666666667</v>
      </c>
      <c r="I1223" s="2">
        <f>_xlfn.STDEV.S(weather.tbl[[#This Row],[Estevan]:[Kipling]])</f>
        <v>1.9395016542057046</v>
      </c>
      <c r="J1223" s="2">
        <f t="shared" si="18"/>
        <v>12.52857142857143</v>
      </c>
      <c r="K1223">
        <f>DAY(weather.tbl[[#This Row],[Date]])</f>
        <v>6</v>
      </c>
      <c r="L1223">
        <f>MONTH(weather.tbl[[#This Row],[Date]])</f>
        <v>5</v>
      </c>
      <c r="M1223">
        <f>YEAR(weather.tbl[[#This Row],[Date]])</f>
        <v>2017</v>
      </c>
    </row>
    <row r="1224" spans="1:13" x14ac:dyDescent="0.25">
      <c r="A1224" s="1">
        <v>42862</v>
      </c>
      <c r="B1224" s="2">
        <v>16.899999999999999</v>
      </c>
      <c r="C1224" s="2">
        <v>17.7</v>
      </c>
      <c r="D1224" s="2">
        <v>15.8</v>
      </c>
      <c r="E1224" s="2">
        <v>18.8</v>
      </c>
      <c r="F1224" s="2">
        <v>15.1</v>
      </c>
      <c r="G1224" s="2">
        <v>16</v>
      </c>
      <c r="H1224" s="2">
        <f>AVERAGE(weather.tbl[[#This Row],[Estevan]:[Kipling]])</f>
        <v>16.716666666666665</v>
      </c>
      <c r="I1224" s="2">
        <f>_xlfn.STDEV.S(weather.tbl[[#This Row],[Estevan]:[Kipling]])</f>
        <v>1.3644290625263986</v>
      </c>
      <c r="J1224" s="2">
        <f t="shared" si="18"/>
        <v>13.350000000000003</v>
      </c>
      <c r="K1224">
        <f>DAY(weather.tbl[[#This Row],[Date]])</f>
        <v>7</v>
      </c>
      <c r="L1224">
        <f>MONTH(weather.tbl[[#This Row],[Date]])</f>
        <v>5</v>
      </c>
      <c r="M1224">
        <f>YEAR(weather.tbl[[#This Row],[Date]])</f>
        <v>2017</v>
      </c>
    </row>
    <row r="1225" spans="1:13" x14ac:dyDescent="0.25">
      <c r="A1225" s="1">
        <v>42863</v>
      </c>
      <c r="B1225" s="2">
        <v>11</v>
      </c>
      <c r="C1225" s="2">
        <v>9.1</v>
      </c>
      <c r="D1225" s="2">
        <v>12.3</v>
      </c>
      <c r="E1225" s="2">
        <v>8.5</v>
      </c>
      <c r="F1225" s="2">
        <v>11.7</v>
      </c>
      <c r="G1225" s="2">
        <v>10.5</v>
      </c>
      <c r="H1225" s="2">
        <f>AVERAGE(weather.tbl[[#This Row],[Estevan]:[Kipling]])</f>
        <v>10.516666666666667</v>
      </c>
      <c r="I1225" s="2">
        <f>_xlfn.STDEV.S(weather.tbl[[#This Row],[Estevan]:[Kipling]])</f>
        <v>1.4756919281024212</v>
      </c>
      <c r="J1225" s="2">
        <f t="shared" si="18"/>
        <v>13.452380952380953</v>
      </c>
      <c r="K1225">
        <f>DAY(weather.tbl[[#This Row],[Date]])</f>
        <v>8</v>
      </c>
      <c r="L1225">
        <f>MONTH(weather.tbl[[#This Row],[Date]])</f>
        <v>5</v>
      </c>
      <c r="M1225">
        <f>YEAR(weather.tbl[[#This Row],[Date]])</f>
        <v>2017</v>
      </c>
    </row>
    <row r="1226" spans="1:13" x14ac:dyDescent="0.25">
      <c r="A1226" s="1">
        <v>42864</v>
      </c>
      <c r="B1226" s="2">
        <v>11.1</v>
      </c>
      <c r="C1226" s="2">
        <v>10.1</v>
      </c>
      <c r="D1226" s="2">
        <v>11.3</v>
      </c>
      <c r="E1226" s="2">
        <v>10</v>
      </c>
      <c r="F1226" s="2">
        <v>12.6</v>
      </c>
      <c r="G1226" s="2">
        <v>10.8</v>
      </c>
      <c r="H1226" s="2">
        <f>AVERAGE(weather.tbl[[#This Row],[Estevan]:[Kipling]])</f>
        <v>10.983333333333334</v>
      </c>
      <c r="I1226" s="2">
        <f>_xlfn.STDEV.S(weather.tbl[[#This Row],[Estevan]:[Kipling]])</f>
        <v>0.94956130221627433</v>
      </c>
      <c r="J1226" s="2">
        <f t="shared" ref="J1226:J1281" si="19">AVERAGE(H1220:H1226)</f>
        <v>13.685714285714285</v>
      </c>
      <c r="K1226">
        <f>DAY(weather.tbl[[#This Row],[Date]])</f>
        <v>9</v>
      </c>
      <c r="L1226">
        <f>MONTH(weather.tbl[[#This Row],[Date]])</f>
        <v>5</v>
      </c>
      <c r="M1226">
        <f>YEAR(weather.tbl[[#This Row],[Date]])</f>
        <v>2017</v>
      </c>
    </row>
    <row r="1227" spans="1:13" x14ac:dyDescent="0.25">
      <c r="A1227" s="1">
        <v>42865</v>
      </c>
      <c r="B1227" s="2">
        <v>9.9</v>
      </c>
      <c r="C1227" s="2">
        <v>9.4</v>
      </c>
      <c r="D1227" s="2">
        <v>8.8000000000000007</v>
      </c>
      <c r="E1227" s="2">
        <v>9</v>
      </c>
      <c r="F1227" s="2">
        <v>9</v>
      </c>
      <c r="G1227" s="2">
        <v>7.8</v>
      </c>
      <c r="H1227" s="2">
        <f>AVERAGE(weather.tbl[[#This Row],[Estevan]:[Kipling]])</f>
        <v>8.9833333333333325</v>
      </c>
      <c r="I1227" s="2">
        <f>_xlfn.STDEV.S(weather.tbl[[#This Row],[Estevan]:[Kipling]])</f>
        <v>0.69976186425573861</v>
      </c>
      <c r="J1227" s="2">
        <f t="shared" si="19"/>
        <v>13.607142857142858</v>
      </c>
      <c r="K1227">
        <f>DAY(weather.tbl[[#This Row],[Date]])</f>
        <v>10</v>
      </c>
      <c r="L1227">
        <f>MONTH(weather.tbl[[#This Row],[Date]])</f>
        <v>5</v>
      </c>
      <c r="M1227">
        <f>YEAR(weather.tbl[[#This Row],[Date]])</f>
        <v>2017</v>
      </c>
    </row>
    <row r="1228" spans="1:13" x14ac:dyDescent="0.25">
      <c r="A1228" s="1">
        <v>42866</v>
      </c>
      <c r="B1228" s="2">
        <v>13.9</v>
      </c>
      <c r="C1228" s="2">
        <v>14.4</v>
      </c>
      <c r="D1228" s="2">
        <v>12</v>
      </c>
      <c r="E1228" s="2">
        <v>13.9</v>
      </c>
      <c r="F1228" s="2">
        <v>9</v>
      </c>
      <c r="G1228" s="2">
        <v>11.8</v>
      </c>
      <c r="H1228" s="2">
        <f>AVERAGE(weather.tbl[[#This Row],[Estevan]:[Kipling]])</f>
        <v>12.5</v>
      </c>
      <c r="I1228" s="2">
        <f>_xlfn.STDEV.S(weather.tbl[[#This Row],[Estevan]:[Kipling]])</f>
        <v>2.0258331619361005</v>
      </c>
      <c r="J1228" s="2">
        <f t="shared" si="19"/>
        <v>13.6</v>
      </c>
      <c r="K1228">
        <f>DAY(weather.tbl[[#This Row],[Date]])</f>
        <v>11</v>
      </c>
      <c r="L1228">
        <f>MONTH(weather.tbl[[#This Row],[Date]])</f>
        <v>5</v>
      </c>
      <c r="M1228">
        <f>YEAR(weather.tbl[[#This Row],[Date]])</f>
        <v>2017</v>
      </c>
    </row>
    <row r="1229" spans="1:13" x14ac:dyDescent="0.25">
      <c r="A1229" s="1">
        <v>42867</v>
      </c>
      <c r="B1229" s="2">
        <v>13.7</v>
      </c>
      <c r="C1229" s="2">
        <v>14.3</v>
      </c>
      <c r="D1229" s="2">
        <v>11.8</v>
      </c>
      <c r="E1229" s="2">
        <v>14.9</v>
      </c>
      <c r="F1229" s="2">
        <v>11.1</v>
      </c>
      <c r="G1229" s="2">
        <v>11</v>
      </c>
      <c r="H1229" s="2">
        <f>AVERAGE(weather.tbl[[#This Row],[Estevan]:[Kipling]])</f>
        <v>12.799999999999999</v>
      </c>
      <c r="I1229" s="2">
        <f>_xlfn.STDEV.S(weather.tbl[[#This Row],[Estevan]:[Kipling]])</f>
        <v>1.7088007490635075</v>
      </c>
      <c r="J1229" s="2">
        <f t="shared" si="19"/>
        <v>12.945238095238095</v>
      </c>
      <c r="K1229">
        <f>DAY(weather.tbl[[#This Row],[Date]])</f>
        <v>12</v>
      </c>
      <c r="L1229">
        <f>MONTH(weather.tbl[[#This Row],[Date]])</f>
        <v>5</v>
      </c>
      <c r="M1229">
        <f>YEAR(weather.tbl[[#This Row],[Date]])</f>
        <v>2017</v>
      </c>
    </row>
    <row r="1230" spans="1:13" x14ac:dyDescent="0.25">
      <c r="A1230" s="1">
        <v>42868</v>
      </c>
      <c r="B1230" s="2">
        <v>14.8</v>
      </c>
      <c r="C1230" s="2">
        <v>15.5</v>
      </c>
      <c r="D1230" s="2">
        <v>14</v>
      </c>
      <c r="E1230" s="2">
        <v>16.100000000000001</v>
      </c>
      <c r="F1230" s="2">
        <v>14.4</v>
      </c>
      <c r="G1230" s="2">
        <v>12</v>
      </c>
      <c r="H1230" s="2">
        <f>AVERAGE(weather.tbl[[#This Row],[Estevan]:[Kipling]])</f>
        <v>14.466666666666667</v>
      </c>
      <c r="I1230" s="2">
        <f>_xlfn.STDEV.S(weather.tbl[[#This Row],[Estevan]:[Kipling]])</f>
        <v>1.4250146198080453</v>
      </c>
      <c r="J1230" s="2">
        <f t="shared" si="19"/>
        <v>12.423809523809524</v>
      </c>
      <c r="K1230">
        <f>DAY(weather.tbl[[#This Row],[Date]])</f>
        <v>13</v>
      </c>
      <c r="L1230">
        <f>MONTH(weather.tbl[[#This Row],[Date]])</f>
        <v>5</v>
      </c>
      <c r="M1230">
        <f>YEAR(weather.tbl[[#This Row],[Date]])</f>
        <v>2017</v>
      </c>
    </row>
    <row r="1231" spans="1:13" x14ac:dyDescent="0.25">
      <c r="A1231" s="1">
        <v>42869</v>
      </c>
      <c r="B1231" s="2">
        <v>13.7</v>
      </c>
      <c r="C1231" s="2">
        <v>10.9</v>
      </c>
      <c r="D1231" s="2">
        <v>14</v>
      </c>
      <c r="E1231" s="2">
        <v>11</v>
      </c>
      <c r="F1231" s="2">
        <v>13.8</v>
      </c>
      <c r="G1231" s="2">
        <v>13.5</v>
      </c>
      <c r="H1231" s="2">
        <f>AVERAGE(weather.tbl[[#This Row],[Estevan]:[Kipling]])</f>
        <v>12.816666666666668</v>
      </c>
      <c r="I1231" s="2">
        <f>_xlfn.STDEV.S(weather.tbl[[#This Row],[Estevan]:[Kipling]])</f>
        <v>1.4552204873030927</v>
      </c>
      <c r="J1231" s="2">
        <f t="shared" si="19"/>
        <v>11.866666666666665</v>
      </c>
      <c r="K1231">
        <f>DAY(weather.tbl[[#This Row],[Date]])</f>
        <v>14</v>
      </c>
      <c r="L1231">
        <f>MONTH(weather.tbl[[#This Row],[Date]])</f>
        <v>5</v>
      </c>
      <c r="M1231">
        <f>YEAR(weather.tbl[[#This Row],[Date]])</f>
        <v>2017</v>
      </c>
    </row>
    <row r="1232" spans="1:13" x14ac:dyDescent="0.25">
      <c r="A1232" s="1">
        <v>42870</v>
      </c>
      <c r="B1232" s="2">
        <v>11.8</v>
      </c>
      <c r="C1232" s="2">
        <v>10.4</v>
      </c>
      <c r="D1232" s="2">
        <v>11</v>
      </c>
      <c r="E1232" s="2">
        <v>10.4</v>
      </c>
      <c r="F1232" s="2">
        <v>12</v>
      </c>
      <c r="G1232" s="2">
        <v>11.5</v>
      </c>
      <c r="H1232" s="2">
        <f>AVERAGE(weather.tbl[[#This Row],[Estevan]:[Kipling]])</f>
        <v>11.183333333333332</v>
      </c>
      <c r="I1232" s="2">
        <f>_xlfn.STDEV.S(weather.tbl[[#This Row],[Estevan]:[Kipling]])</f>
        <v>0.69402209378856705</v>
      </c>
      <c r="J1232" s="2">
        <f t="shared" si="19"/>
        <v>11.961904761904762</v>
      </c>
      <c r="K1232">
        <f>DAY(weather.tbl[[#This Row],[Date]])</f>
        <v>15</v>
      </c>
      <c r="L1232">
        <f>MONTH(weather.tbl[[#This Row],[Date]])</f>
        <v>5</v>
      </c>
      <c r="M1232">
        <f>YEAR(weather.tbl[[#This Row],[Date]])</f>
        <v>2017</v>
      </c>
    </row>
    <row r="1233" spans="1:13" x14ac:dyDescent="0.25">
      <c r="A1233" s="1">
        <v>42871</v>
      </c>
      <c r="B1233" s="2">
        <v>13.1</v>
      </c>
      <c r="C1233" s="2">
        <v>9.9</v>
      </c>
      <c r="D1233" s="2">
        <v>11.8</v>
      </c>
      <c r="E1233" s="2">
        <v>9.3000000000000007</v>
      </c>
      <c r="F1233" s="2">
        <v>13.1</v>
      </c>
      <c r="G1233" s="2">
        <v>12.5</v>
      </c>
      <c r="H1233" s="2">
        <f>AVERAGE(weather.tbl[[#This Row],[Estevan]:[Kipling]])</f>
        <v>11.616666666666665</v>
      </c>
      <c r="I1233" s="2">
        <f>_xlfn.STDEV.S(weather.tbl[[#This Row],[Estevan]:[Kipling]])</f>
        <v>1.644891080487316</v>
      </c>
      <c r="J1233" s="2">
        <f t="shared" si="19"/>
        <v>12.052380952380952</v>
      </c>
      <c r="K1233">
        <f>DAY(weather.tbl[[#This Row],[Date]])</f>
        <v>16</v>
      </c>
      <c r="L1233">
        <f>MONTH(weather.tbl[[#This Row],[Date]])</f>
        <v>5</v>
      </c>
      <c r="M1233">
        <f>YEAR(weather.tbl[[#This Row],[Date]])</f>
        <v>2017</v>
      </c>
    </row>
    <row r="1234" spans="1:13" x14ac:dyDescent="0.25">
      <c r="A1234" s="1">
        <v>42872</v>
      </c>
      <c r="B1234" s="2">
        <v>7</v>
      </c>
      <c r="C1234" s="2">
        <v>6.4</v>
      </c>
      <c r="D1234" s="2">
        <v>8</v>
      </c>
      <c r="E1234" s="2">
        <v>5.9</v>
      </c>
      <c r="F1234" s="2">
        <v>7.3</v>
      </c>
      <c r="G1234" s="2">
        <v>7.8</v>
      </c>
      <c r="H1234" s="2">
        <f>AVERAGE(weather.tbl[[#This Row],[Estevan]:[Kipling]])</f>
        <v>7.0666666666666655</v>
      </c>
      <c r="I1234" s="2">
        <f>_xlfn.STDEV.S(weather.tbl[[#This Row],[Estevan]:[Kipling]])</f>
        <v>0.809114742583946</v>
      </c>
      <c r="J1234" s="2">
        <f t="shared" si="19"/>
        <v>11.778571428571427</v>
      </c>
      <c r="K1234">
        <f>DAY(weather.tbl[[#This Row],[Date]])</f>
        <v>17</v>
      </c>
      <c r="L1234">
        <f>MONTH(weather.tbl[[#This Row],[Date]])</f>
        <v>5</v>
      </c>
      <c r="M1234">
        <f>YEAR(weather.tbl[[#This Row],[Date]])</f>
        <v>2017</v>
      </c>
    </row>
    <row r="1235" spans="1:13" x14ac:dyDescent="0.25">
      <c r="A1235" s="1">
        <v>42873</v>
      </c>
      <c r="B1235" s="2">
        <v>6.1</v>
      </c>
      <c r="C1235" s="2">
        <v>5.3</v>
      </c>
      <c r="D1235" s="2">
        <v>6.3</v>
      </c>
      <c r="E1235" s="2">
        <v>4.5999999999999996</v>
      </c>
      <c r="F1235" s="2">
        <v>6</v>
      </c>
      <c r="G1235" s="2">
        <v>5.3</v>
      </c>
      <c r="H1235" s="2">
        <f>AVERAGE(weather.tbl[[#This Row],[Estevan]:[Kipling]])</f>
        <v>5.5999999999999988</v>
      </c>
      <c r="I1235" s="2">
        <f>_xlfn.STDEV.S(weather.tbl[[#This Row],[Estevan]:[Kipling]])</f>
        <v>0.64498061986389033</v>
      </c>
      <c r="J1235" s="2">
        <f t="shared" si="19"/>
        <v>10.792857142857143</v>
      </c>
      <c r="K1235">
        <f>DAY(weather.tbl[[#This Row],[Date]])</f>
        <v>18</v>
      </c>
      <c r="L1235">
        <f>MONTH(weather.tbl[[#This Row],[Date]])</f>
        <v>5</v>
      </c>
      <c r="M1235">
        <f>YEAR(weather.tbl[[#This Row],[Date]])</f>
        <v>2017</v>
      </c>
    </row>
    <row r="1236" spans="1:13" x14ac:dyDescent="0.25">
      <c r="A1236" s="1">
        <v>42874</v>
      </c>
      <c r="B1236" s="2">
        <v>8.5</v>
      </c>
      <c r="C1236" s="2">
        <v>7.8</v>
      </c>
      <c r="D1236" s="2">
        <v>6.3</v>
      </c>
      <c r="E1236" s="2">
        <v>8</v>
      </c>
      <c r="F1236" s="2">
        <v>7.7</v>
      </c>
      <c r="G1236" s="2">
        <v>8.5</v>
      </c>
      <c r="H1236" s="2">
        <f>AVERAGE(weather.tbl[[#This Row],[Estevan]:[Kipling]])</f>
        <v>7.8000000000000007</v>
      </c>
      <c r="I1236" s="2">
        <f>_xlfn.STDEV.S(weather.tbl[[#This Row],[Estevan]:[Kipling]])</f>
        <v>0.80993826925266355</v>
      </c>
      <c r="J1236" s="2">
        <f t="shared" si="19"/>
        <v>10.078571428571427</v>
      </c>
      <c r="K1236">
        <f>DAY(weather.tbl[[#This Row],[Date]])</f>
        <v>19</v>
      </c>
      <c r="L1236">
        <f>MONTH(weather.tbl[[#This Row],[Date]])</f>
        <v>5</v>
      </c>
      <c r="M1236">
        <f>YEAR(weather.tbl[[#This Row],[Date]])</f>
        <v>2017</v>
      </c>
    </row>
    <row r="1237" spans="1:13" x14ac:dyDescent="0.25">
      <c r="A1237" s="1">
        <v>42875</v>
      </c>
      <c r="B1237" s="2">
        <v>12.4</v>
      </c>
      <c r="C1237" s="2">
        <v>11.7</v>
      </c>
      <c r="D1237" s="2">
        <v>6.3</v>
      </c>
      <c r="E1237" s="2">
        <v>12.7</v>
      </c>
      <c r="F1237" s="2">
        <v>12</v>
      </c>
      <c r="G1237" s="2">
        <v>12</v>
      </c>
      <c r="H1237" s="2">
        <f>AVERAGE(weather.tbl[[#This Row],[Estevan]:[Kipling]])</f>
        <v>11.183333333333332</v>
      </c>
      <c r="I1237" s="2">
        <f>_xlfn.STDEV.S(weather.tbl[[#This Row],[Estevan]:[Kipling]])</f>
        <v>2.4177813521215463</v>
      </c>
      <c r="J1237" s="2">
        <f t="shared" si="19"/>
        <v>9.6095238095238091</v>
      </c>
      <c r="K1237">
        <f>DAY(weather.tbl[[#This Row],[Date]])</f>
        <v>20</v>
      </c>
      <c r="L1237">
        <f>MONTH(weather.tbl[[#This Row],[Date]])</f>
        <v>5</v>
      </c>
      <c r="M1237">
        <f>YEAR(weather.tbl[[#This Row],[Date]])</f>
        <v>2017</v>
      </c>
    </row>
    <row r="1238" spans="1:13" x14ac:dyDescent="0.25">
      <c r="A1238" s="1">
        <v>42876</v>
      </c>
      <c r="B1238" s="2">
        <v>12.5</v>
      </c>
      <c r="C1238" s="2">
        <v>12.3</v>
      </c>
      <c r="D1238" s="2">
        <v>11.3</v>
      </c>
      <c r="E1238" s="2">
        <v>11.6</v>
      </c>
      <c r="F1238" s="2">
        <v>11</v>
      </c>
      <c r="G1238" s="2">
        <v>12.8</v>
      </c>
      <c r="H1238" s="2">
        <f>AVERAGE(weather.tbl[[#This Row],[Estevan]:[Kipling]])</f>
        <v>11.916666666666666</v>
      </c>
      <c r="I1238" s="2">
        <f>_xlfn.STDEV.S(weather.tbl[[#This Row],[Estevan]:[Kipling]])</f>
        <v>0.71949056051255245</v>
      </c>
      <c r="J1238" s="2">
        <f t="shared" si="19"/>
        <v>9.4809523809523792</v>
      </c>
      <c r="K1238">
        <f>DAY(weather.tbl[[#This Row],[Date]])</f>
        <v>21</v>
      </c>
      <c r="L1238">
        <f>MONTH(weather.tbl[[#This Row],[Date]])</f>
        <v>5</v>
      </c>
      <c r="M1238">
        <f>YEAR(weather.tbl[[#This Row],[Date]])</f>
        <v>2017</v>
      </c>
    </row>
    <row r="1239" spans="1:13" x14ac:dyDescent="0.25">
      <c r="A1239" s="1">
        <v>42877</v>
      </c>
      <c r="B1239" s="2">
        <v>12.9</v>
      </c>
      <c r="C1239" s="2">
        <v>13.1</v>
      </c>
      <c r="D1239" s="2">
        <v>12</v>
      </c>
      <c r="E1239" s="2">
        <v>12.4</v>
      </c>
      <c r="F1239" s="2">
        <v>12.6</v>
      </c>
      <c r="G1239" s="2">
        <v>12.8</v>
      </c>
      <c r="H1239" s="2">
        <f>AVERAGE(weather.tbl[[#This Row],[Estevan]:[Kipling]])</f>
        <v>12.633333333333333</v>
      </c>
      <c r="I1239" s="2">
        <f>_xlfn.STDEV.S(weather.tbl[[#This Row],[Estevan]:[Kipling]])</f>
        <v>0.39327683210006997</v>
      </c>
      <c r="J1239" s="2">
        <f t="shared" si="19"/>
        <v>9.6880952380952383</v>
      </c>
      <c r="K1239">
        <f>DAY(weather.tbl[[#This Row],[Date]])</f>
        <v>22</v>
      </c>
      <c r="L1239">
        <f>MONTH(weather.tbl[[#This Row],[Date]])</f>
        <v>5</v>
      </c>
      <c r="M1239">
        <f>YEAR(weather.tbl[[#This Row],[Date]])</f>
        <v>2017</v>
      </c>
    </row>
    <row r="1240" spans="1:13" x14ac:dyDescent="0.25">
      <c r="A1240" s="1">
        <v>42878</v>
      </c>
      <c r="B1240" s="2">
        <v>12</v>
      </c>
      <c r="C1240" s="2">
        <v>12.6</v>
      </c>
      <c r="D1240" s="2">
        <v>11.3</v>
      </c>
      <c r="E1240" s="2">
        <v>12.5</v>
      </c>
      <c r="F1240" s="2">
        <v>11.3</v>
      </c>
      <c r="G1240" s="2">
        <v>12.3</v>
      </c>
      <c r="H1240" s="2">
        <f>AVERAGE(weather.tbl[[#This Row],[Estevan]:[Kipling]])</f>
        <v>12</v>
      </c>
      <c r="I1240" s="2">
        <f>_xlfn.STDEV.S(weather.tbl[[#This Row],[Estevan]:[Kipling]])</f>
        <v>0.5796550698475772</v>
      </c>
      <c r="J1240" s="2">
        <f t="shared" si="19"/>
        <v>9.742857142857142</v>
      </c>
      <c r="K1240">
        <f>DAY(weather.tbl[[#This Row],[Date]])</f>
        <v>23</v>
      </c>
      <c r="L1240">
        <f>MONTH(weather.tbl[[#This Row],[Date]])</f>
        <v>5</v>
      </c>
      <c r="M1240">
        <f>YEAR(weather.tbl[[#This Row],[Date]])</f>
        <v>2017</v>
      </c>
    </row>
    <row r="1241" spans="1:13" x14ac:dyDescent="0.25">
      <c r="A1241" s="1">
        <v>42879</v>
      </c>
      <c r="B1241" s="2">
        <v>16.2</v>
      </c>
      <c r="C1241" s="2">
        <v>16.7</v>
      </c>
      <c r="D1241" s="2">
        <v>15.5</v>
      </c>
      <c r="E1241" s="2">
        <v>17.8</v>
      </c>
      <c r="F1241" s="2">
        <v>14.5</v>
      </c>
      <c r="G1241" s="2">
        <v>16</v>
      </c>
      <c r="H1241" s="2">
        <f>AVERAGE(weather.tbl[[#This Row],[Estevan]:[Kipling]])</f>
        <v>16.116666666666667</v>
      </c>
      <c r="I1241" s="2">
        <f>_xlfn.STDEV.S(weather.tbl[[#This Row],[Estevan]:[Kipling]])</f>
        <v>1.1125046816380897</v>
      </c>
      <c r="J1241" s="2">
        <f t="shared" si="19"/>
        <v>11.035714285714286</v>
      </c>
      <c r="K1241">
        <f>DAY(weather.tbl[[#This Row],[Date]])</f>
        <v>24</v>
      </c>
      <c r="L1241">
        <f>MONTH(weather.tbl[[#This Row],[Date]])</f>
        <v>5</v>
      </c>
      <c r="M1241">
        <f>YEAR(weather.tbl[[#This Row],[Date]])</f>
        <v>2017</v>
      </c>
    </row>
    <row r="1242" spans="1:13" x14ac:dyDescent="0.25">
      <c r="A1242" s="1">
        <v>42880</v>
      </c>
      <c r="B1242" s="2">
        <v>12.7</v>
      </c>
      <c r="C1242" s="2">
        <v>9.1999999999999993</v>
      </c>
      <c r="D1242" s="2">
        <v>12.5</v>
      </c>
      <c r="E1242" s="2">
        <v>9.6</v>
      </c>
      <c r="F1242" s="2">
        <v>15.5</v>
      </c>
      <c r="G1242" s="2">
        <v>11.5</v>
      </c>
      <c r="H1242" s="2">
        <f>AVERAGE(weather.tbl[[#This Row],[Estevan]:[Kipling]])</f>
        <v>11.833333333333334</v>
      </c>
      <c r="I1242" s="2">
        <f>_xlfn.STDEV.S(weather.tbl[[#This Row],[Estevan]:[Kipling]])</f>
        <v>2.3096897338531552</v>
      </c>
      <c r="J1242" s="2">
        <f t="shared" si="19"/>
        <v>11.926190476190476</v>
      </c>
      <c r="K1242">
        <f>DAY(weather.tbl[[#This Row],[Date]])</f>
        <v>25</v>
      </c>
      <c r="L1242">
        <f>MONTH(weather.tbl[[#This Row],[Date]])</f>
        <v>5</v>
      </c>
      <c r="M1242">
        <f>YEAR(weather.tbl[[#This Row],[Date]])</f>
        <v>2017</v>
      </c>
    </row>
    <row r="1243" spans="1:13" x14ac:dyDescent="0.25">
      <c r="A1243" s="1">
        <v>42881</v>
      </c>
      <c r="B1243" s="2">
        <v>14.1</v>
      </c>
      <c r="C1243" s="2">
        <v>14.1</v>
      </c>
      <c r="D1243" s="2">
        <v>13.3</v>
      </c>
      <c r="E1243" s="2">
        <v>14.5</v>
      </c>
      <c r="F1243" s="2">
        <v>13.5</v>
      </c>
      <c r="G1243" s="2">
        <v>12.3</v>
      </c>
      <c r="H1243" s="2">
        <f>AVERAGE(weather.tbl[[#This Row],[Estevan]:[Kipling]])</f>
        <v>13.633333333333333</v>
      </c>
      <c r="I1243" s="2">
        <f>_xlfn.STDEV.S(weather.tbl[[#This Row],[Estevan]:[Kipling]])</f>
        <v>0.78655366420013961</v>
      </c>
      <c r="J1243" s="2">
        <f t="shared" si="19"/>
        <v>12.759523809523809</v>
      </c>
      <c r="K1243">
        <f>DAY(weather.tbl[[#This Row],[Date]])</f>
        <v>26</v>
      </c>
      <c r="L1243">
        <f>MONTH(weather.tbl[[#This Row],[Date]])</f>
        <v>5</v>
      </c>
      <c r="M1243">
        <f>YEAR(weather.tbl[[#This Row],[Date]])</f>
        <v>2017</v>
      </c>
    </row>
    <row r="1244" spans="1:13" x14ac:dyDescent="0.25">
      <c r="A1244" s="1">
        <v>42882</v>
      </c>
      <c r="B1244" s="2">
        <v>13.8</v>
      </c>
      <c r="C1244" s="2">
        <v>14.3</v>
      </c>
      <c r="D1244" s="2">
        <v>13.3</v>
      </c>
      <c r="E1244" s="2">
        <v>14.1</v>
      </c>
      <c r="F1244" s="2">
        <v>14.7</v>
      </c>
      <c r="G1244" s="2">
        <v>13.5</v>
      </c>
      <c r="H1244" s="2">
        <f>AVERAGE(weather.tbl[[#This Row],[Estevan]:[Kipling]])</f>
        <v>13.950000000000001</v>
      </c>
      <c r="I1244" s="2">
        <f>_xlfn.STDEV.S(weather.tbl[[#This Row],[Estevan]:[Kipling]])</f>
        <v>0.52057660339281442</v>
      </c>
      <c r="J1244" s="2">
        <f t="shared" si="19"/>
        <v>13.154761904761903</v>
      </c>
      <c r="K1244">
        <f>DAY(weather.tbl[[#This Row],[Date]])</f>
        <v>27</v>
      </c>
      <c r="L1244">
        <f>MONTH(weather.tbl[[#This Row],[Date]])</f>
        <v>5</v>
      </c>
      <c r="M1244">
        <f>YEAR(weather.tbl[[#This Row],[Date]])</f>
        <v>2017</v>
      </c>
    </row>
    <row r="1245" spans="1:13" x14ac:dyDescent="0.25">
      <c r="A1245" s="1">
        <v>42883</v>
      </c>
      <c r="B1245" s="2">
        <v>13</v>
      </c>
      <c r="C1245" s="2">
        <v>12.6</v>
      </c>
      <c r="D1245" s="2">
        <v>11.8</v>
      </c>
      <c r="E1245" s="2">
        <v>13.6</v>
      </c>
      <c r="F1245" s="2">
        <v>13.8</v>
      </c>
      <c r="G1245" s="2">
        <v>11.8</v>
      </c>
      <c r="H1245" s="2">
        <f>AVERAGE(weather.tbl[[#This Row],[Estevan]:[Kipling]])</f>
        <v>12.766666666666667</v>
      </c>
      <c r="I1245" s="2">
        <f>_xlfn.STDEV.S(weather.tbl[[#This Row],[Estevan]:[Kipling]])</f>
        <v>0.86178110136313979</v>
      </c>
      <c r="J1245" s="2">
        <f t="shared" si="19"/>
        <v>13.276190476190477</v>
      </c>
      <c r="K1245">
        <f>DAY(weather.tbl[[#This Row],[Date]])</f>
        <v>28</v>
      </c>
      <c r="L1245">
        <f>MONTH(weather.tbl[[#This Row],[Date]])</f>
        <v>5</v>
      </c>
      <c r="M1245">
        <f>YEAR(weather.tbl[[#This Row],[Date]])</f>
        <v>2017</v>
      </c>
    </row>
    <row r="1246" spans="1:13" x14ac:dyDescent="0.25">
      <c r="A1246" s="1">
        <v>42884</v>
      </c>
      <c r="B1246" s="2">
        <v>12.3</v>
      </c>
      <c r="C1246" s="2">
        <v>12.8</v>
      </c>
      <c r="D1246" s="2">
        <v>11.3</v>
      </c>
      <c r="E1246" s="2">
        <v>11.8</v>
      </c>
      <c r="F1246" s="2">
        <v>11.9</v>
      </c>
      <c r="G1246" s="2">
        <v>12.3</v>
      </c>
      <c r="H1246" s="2">
        <f>AVERAGE(weather.tbl[[#This Row],[Estevan]:[Kipling]])</f>
        <v>12.066666666666668</v>
      </c>
      <c r="I1246" s="2">
        <f>_xlfn.STDEV.S(weather.tbl[[#This Row],[Estevan]:[Kipling]])</f>
        <v>0.51639777949432231</v>
      </c>
      <c r="J1246" s="2">
        <f t="shared" si="19"/>
        <v>13.195238095238095</v>
      </c>
      <c r="K1246">
        <f>DAY(weather.tbl[[#This Row],[Date]])</f>
        <v>29</v>
      </c>
      <c r="L1246">
        <f>MONTH(weather.tbl[[#This Row],[Date]])</f>
        <v>5</v>
      </c>
      <c r="M1246">
        <f>YEAR(weather.tbl[[#This Row],[Date]])</f>
        <v>2017</v>
      </c>
    </row>
    <row r="1247" spans="1:13" x14ac:dyDescent="0.25">
      <c r="A1247" s="1">
        <v>42885</v>
      </c>
      <c r="B1247" s="2">
        <v>10.199999999999999</v>
      </c>
      <c r="C1247" s="2">
        <v>12.8</v>
      </c>
      <c r="D1247" s="2">
        <v>11.3</v>
      </c>
      <c r="E1247" s="2">
        <v>9.6999999999999993</v>
      </c>
      <c r="F1247" s="2">
        <v>13.2</v>
      </c>
      <c r="G1247" s="2">
        <v>11</v>
      </c>
      <c r="H1247" s="2">
        <f>AVERAGE(weather.tbl[[#This Row],[Estevan]:[Kipling]])</f>
        <v>11.366666666666667</v>
      </c>
      <c r="I1247" s="2">
        <f>_xlfn.STDEV.S(weather.tbl[[#This Row],[Estevan]:[Kipling]])</f>
        <v>1.3923601066773752</v>
      </c>
      <c r="J1247" s="2">
        <f t="shared" si="19"/>
        <v>13.104761904761906</v>
      </c>
      <c r="K1247">
        <f>DAY(weather.tbl[[#This Row],[Date]])</f>
        <v>30</v>
      </c>
      <c r="L1247">
        <f>MONTH(weather.tbl[[#This Row],[Date]])</f>
        <v>5</v>
      </c>
      <c r="M1247">
        <f>YEAR(weather.tbl[[#This Row],[Date]])</f>
        <v>2017</v>
      </c>
    </row>
    <row r="1248" spans="1:13" x14ac:dyDescent="0.25">
      <c r="A1248" s="1">
        <v>42886</v>
      </c>
      <c r="B1248" s="2">
        <v>13.9</v>
      </c>
      <c r="C1248" s="2">
        <v>13.7</v>
      </c>
      <c r="D1248" s="2">
        <v>12.8</v>
      </c>
      <c r="E1248" s="2">
        <v>13.5</v>
      </c>
      <c r="F1248" s="2">
        <v>14.2</v>
      </c>
      <c r="G1248" s="2">
        <v>13.5</v>
      </c>
      <c r="H1248" s="2">
        <f>AVERAGE(weather.tbl[[#This Row],[Estevan]:[Kipling]])</f>
        <v>13.600000000000001</v>
      </c>
      <c r="I1248" s="2">
        <f>_xlfn.STDEV.S(weather.tbl[[#This Row],[Estevan]:[Kipling]])</f>
        <v>0.47328638264796885</v>
      </c>
      <c r="J1248" s="2">
        <f t="shared" si="19"/>
        <v>12.745238095238095</v>
      </c>
      <c r="K1248">
        <f>DAY(weather.tbl[[#This Row],[Date]])</f>
        <v>31</v>
      </c>
      <c r="L1248">
        <f>MONTH(weather.tbl[[#This Row],[Date]])</f>
        <v>5</v>
      </c>
      <c r="M1248">
        <f>YEAR(weather.tbl[[#This Row],[Date]])</f>
        <v>2017</v>
      </c>
    </row>
    <row r="1249" spans="1:13" x14ac:dyDescent="0.25">
      <c r="A1249" s="1">
        <v>42887</v>
      </c>
      <c r="B1249" s="2">
        <v>20</v>
      </c>
      <c r="C1249" s="2">
        <v>20.8</v>
      </c>
      <c r="D1249" s="2">
        <v>17.5</v>
      </c>
      <c r="E1249" s="2">
        <v>21.1</v>
      </c>
      <c r="F1249" s="2">
        <v>14.2</v>
      </c>
      <c r="G1249" s="2">
        <v>19</v>
      </c>
      <c r="H1249" s="2">
        <f>AVERAGE(weather.tbl[[#This Row],[Estevan]:[Kipling]])</f>
        <v>18.766666666666669</v>
      </c>
      <c r="I1249" s="2">
        <f>_xlfn.STDEV.S(weather.tbl[[#This Row],[Estevan]:[Kipling]])</f>
        <v>2.5928105728468953</v>
      </c>
      <c r="J1249" s="2">
        <f t="shared" si="19"/>
        <v>13.735714285714286</v>
      </c>
      <c r="K1249">
        <f>DAY(weather.tbl[[#This Row],[Date]])</f>
        <v>1</v>
      </c>
      <c r="L1249">
        <f>MONTH(weather.tbl[[#This Row],[Date]])</f>
        <v>6</v>
      </c>
      <c r="M1249">
        <f>YEAR(weather.tbl[[#This Row],[Date]])</f>
        <v>2017</v>
      </c>
    </row>
    <row r="1250" spans="1:13" x14ac:dyDescent="0.25">
      <c r="A1250" s="1">
        <v>42888</v>
      </c>
      <c r="B1250" s="2">
        <v>22.7</v>
      </c>
      <c r="C1250" s="2">
        <v>20.9</v>
      </c>
      <c r="D1250" s="2">
        <v>21.3</v>
      </c>
      <c r="E1250" s="2">
        <v>20.5</v>
      </c>
      <c r="F1250" s="2">
        <v>24.8</v>
      </c>
      <c r="G1250" s="2">
        <v>21.5</v>
      </c>
      <c r="H1250" s="2">
        <f>AVERAGE(weather.tbl[[#This Row],[Estevan]:[Kipling]])</f>
        <v>21.95</v>
      </c>
      <c r="I1250" s="2">
        <f>_xlfn.STDEV.S(weather.tbl[[#This Row],[Estevan]:[Kipling]])</f>
        <v>1.582087228947886</v>
      </c>
      <c r="J1250" s="2">
        <f t="shared" si="19"/>
        <v>14.923809523809526</v>
      </c>
      <c r="K1250">
        <f>DAY(weather.tbl[[#This Row],[Date]])</f>
        <v>2</v>
      </c>
      <c r="L1250">
        <f>MONTH(weather.tbl[[#This Row],[Date]])</f>
        <v>6</v>
      </c>
      <c r="M1250">
        <f>YEAR(weather.tbl[[#This Row],[Date]])</f>
        <v>2017</v>
      </c>
    </row>
    <row r="1251" spans="1:13" x14ac:dyDescent="0.25">
      <c r="A1251" s="1">
        <v>42889</v>
      </c>
      <c r="B1251" s="2">
        <v>18.600000000000001</v>
      </c>
      <c r="C1251" s="2">
        <v>19.100000000000001</v>
      </c>
      <c r="D1251" s="2">
        <v>18.3</v>
      </c>
      <c r="E1251" s="2">
        <v>18.399999999999999</v>
      </c>
      <c r="F1251" s="2">
        <v>20.7</v>
      </c>
      <c r="G1251" s="2">
        <v>18.3</v>
      </c>
      <c r="H1251" s="2">
        <f>AVERAGE(weather.tbl[[#This Row],[Estevan]:[Kipling]])</f>
        <v>18.900000000000002</v>
      </c>
      <c r="I1251" s="2">
        <f>_xlfn.STDEV.S(weather.tbl[[#This Row],[Estevan]:[Kipling]])</f>
        <v>0.931665175908169</v>
      </c>
      <c r="J1251" s="2">
        <f t="shared" si="19"/>
        <v>15.630952380952383</v>
      </c>
      <c r="K1251">
        <f>DAY(weather.tbl[[#This Row],[Date]])</f>
        <v>3</v>
      </c>
      <c r="L1251">
        <f>MONTH(weather.tbl[[#This Row],[Date]])</f>
        <v>6</v>
      </c>
      <c r="M1251">
        <f>YEAR(weather.tbl[[#This Row],[Date]])</f>
        <v>2017</v>
      </c>
    </row>
    <row r="1252" spans="1:13" x14ac:dyDescent="0.25">
      <c r="A1252" s="1">
        <v>42890</v>
      </c>
      <c r="B1252" s="2">
        <v>19.100000000000001</v>
      </c>
      <c r="C1252" s="2">
        <v>19.5</v>
      </c>
      <c r="D1252" s="2">
        <v>17.8</v>
      </c>
      <c r="E1252" s="2">
        <v>19.2</v>
      </c>
      <c r="F1252" s="2">
        <v>17.899999999999999</v>
      </c>
      <c r="G1252" s="2">
        <v>20.3</v>
      </c>
      <c r="H1252" s="2">
        <f>AVERAGE(weather.tbl[[#This Row],[Estevan]:[Kipling]])</f>
        <v>18.966666666666665</v>
      </c>
      <c r="I1252" s="2">
        <f>_xlfn.STDEV.S(weather.tbl[[#This Row],[Estevan]:[Kipling]])</f>
        <v>0.96263527187957709</v>
      </c>
      <c r="J1252" s="2">
        <f t="shared" si="19"/>
        <v>16.516666666666669</v>
      </c>
      <c r="K1252">
        <f>DAY(weather.tbl[[#This Row],[Date]])</f>
        <v>4</v>
      </c>
      <c r="L1252">
        <f>MONTH(weather.tbl[[#This Row],[Date]])</f>
        <v>6</v>
      </c>
      <c r="M1252">
        <f>YEAR(weather.tbl[[#This Row],[Date]])</f>
        <v>2017</v>
      </c>
    </row>
    <row r="1253" spans="1:13" x14ac:dyDescent="0.25">
      <c r="A1253" s="1">
        <v>42891</v>
      </c>
      <c r="B1253" s="2">
        <v>21.6</v>
      </c>
      <c r="C1253" s="2">
        <v>24</v>
      </c>
      <c r="D1253" s="2">
        <v>17.8</v>
      </c>
      <c r="E1253" s="2">
        <v>23.8</v>
      </c>
      <c r="F1253" s="2">
        <v>19.7</v>
      </c>
      <c r="G1253" s="2">
        <v>20</v>
      </c>
      <c r="H1253" s="2">
        <f>AVERAGE(weather.tbl[[#This Row],[Estevan]:[Kipling]])</f>
        <v>21.150000000000002</v>
      </c>
      <c r="I1253" s="2">
        <f>_xlfn.STDEV.S(weather.tbl[[#This Row],[Estevan]:[Kipling]])</f>
        <v>2.4492856101320788</v>
      </c>
      <c r="J1253" s="2">
        <f t="shared" si="19"/>
        <v>17.814285714285717</v>
      </c>
      <c r="K1253">
        <f>DAY(weather.tbl[[#This Row],[Date]])</f>
        <v>5</v>
      </c>
      <c r="L1253">
        <f>MONTH(weather.tbl[[#This Row],[Date]])</f>
        <v>6</v>
      </c>
      <c r="M1253">
        <f>YEAR(weather.tbl[[#This Row],[Date]])</f>
        <v>2017</v>
      </c>
    </row>
    <row r="1254" spans="1:13" x14ac:dyDescent="0.25">
      <c r="A1254" s="1">
        <v>42892</v>
      </c>
      <c r="B1254" s="2">
        <v>14.7</v>
      </c>
      <c r="C1254" s="2">
        <v>13.1</v>
      </c>
      <c r="D1254" s="2">
        <v>14.8</v>
      </c>
      <c r="E1254" s="2">
        <v>13.4</v>
      </c>
      <c r="F1254" s="2">
        <v>18</v>
      </c>
      <c r="G1254" s="2">
        <v>13.5</v>
      </c>
      <c r="H1254" s="2">
        <f>AVERAGE(weather.tbl[[#This Row],[Estevan]:[Kipling]])</f>
        <v>14.583333333333334</v>
      </c>
      <c r="I1254" s="2">
        <f>_xlfn.STDEV.S(weather.tbl[[#This Row],[Estevan]:[Kipling]])</f>
        <v>1.8170488894541728</v>
      </c>
      <c r="J1254" s="2">
        <f t="shared" si="19"/>
        <v>18.273809523809526</v>
      </c>
      <c r="K1254">
        <f>DAY(weather.tbl[[#This Row],[Date]])</f>
        <v>6</v>
      </c>
      <c r="L1254">
        <f>MONTH(weather.tbl[[#This Row],[Date]])</f>
        <v>6</v>
      </c>
      <c r="M1254">
        <f>YEAR(weather.tbl[[#This Row],[Date]])</f>
        <v>2017</v>
      </c>
    </row>
    <row r="1255" spans="1:13" x14ac:dyDescent="0.25">
      <c r="A1255" s="1">
        <v>42893</v>
      </c>
      <c r="B1255" s="2">
        <v>17.100000000000001</v>
      </c>
      <c r="C1255" s="2">
        <v>15.6</v>
      </c>
      <c r="D1255" s="2">
        <v>18</v>
      </c>
      <c r="E1255" s="2">
        <v>15.7</v>
      </c>
      <c r="F1255" s="2">
        <v>18</v>
      </c>
      <c r="G1255" s="2">
        <v>17</v>
      </c>
      <c r="H1255" s="2">
        <f>AVERAGE(weather.tbl[[#This Row],[Estevan]:[Kipling]])</f>
        <v>16.900000000000002</v>
      </c>
      <c r="I1255" s="2">
        <f>_xlfn.STDEV.S(weather.tbl[[#This Row],[Estevan]:[Kipling]])</f>
        <v>1.0583005244258366</v>
      </c>
      <c r="J1255" s="2">
        <f t="shared" si="19"/>
        <v>18.745238095238097</v>
      </c>
      <c r="K1255">
        <f>DAY(weather.tbl[[#This Row],[Date]])</f>
        <v>7</v>
      </c>
      <c r="L1255">
        <f>MONTH(weather.tbl[[#This Row],[Date]])</f>
        <v>6</v>
      </c>
      <c r="M1255">
        <f>YEAR(weather.tbl[[#This Row],[Date]])</f>
        <v>2017</v>
      </c>
    </row>
    <row r="1256" spans="1:13" x14ac:dyDescent="0.25">
      <c r="A1256" s="1">
        <v>42894</v>
      </c>
      <c r="B1256" s="2">
        <v>17.600000000000001</v>
      </c>
      <c r="C1256" s="2">
        <v>18.100000000000001</v>
      </c>
      <c r="D1256" s="2">
        <v>17</v>
      </c>
      <c r="E1256" s="2">
        <v>17.3</v>
      </c>
      <c r="F1256" s="2">
        <v>17.7</v>
      </c>
      <c r="G1256" s="2">
        <v>17.8</v>
      </c>
      <c r="H1256" s="2">
        <f>AVERAGE(weather.tbl[[#This Row],[Estevan]:[Kipling]])</f>
        <v>17.583333333333332</v>
      </c>
      <c r="I1256" s="2">
        <f>_xlfn.STDEV.S(weather.tbl[[#This Row],[Estevan]:[Kipling]])</f>
        <v>0.3868677637987778</v>
      </c>
      <c r="J1256" s="2">
        <f t="shared" si="19"/>
        <v>18.576190476190476</v>
      </c>
      <c r="K1256">
        <f>DAY(weather.tbl[[#This Row],[Date]])</f>
        <v>8</v>
      </c>
      <c r="L1256">
        <f>MONTH(weather.tbl[[#This Row],[Date]])</f>
        <v>6</v>
      </c>
      <c r="M1256">
        <f>YEAR(weather.tbl[[#This Row],[Date]])</f>
        <v>2017</v>
      </c>
    </row>
    <row r="1257" spans="1:13" x14ac:dyDescent="0.25">
      <c r="A1257" s="1">
        <v>42895</v>
      </c>
      <c r="B1257" s="2">
        <v>19.899999999999999</v>
      </c>
      <c r="C1257" s="2">
        <v>20.100000000000001</v>
      </c>
      <c r="D1257" s="2">
        <v>19.3</v>
      </c>
      <c r="E1257" s="2">
        <v>19.8</v>
      </c>
      <c r="F1257" s="2">
        <v>17.8</v>
      </c>
      <c r="G1257" s="2">
        <v>18.5</v>
      </c>
      <c r="H1257" s="2">
        <f>AVERAGE(weather.tbl[[#This Row],[Estevan]:[Kipling]])</f>
        <v>19.233333333333331</v>
      </c>
      <c r="I1257" s="2">
        <f>_xlfn.STDEV.S(weather.tbl[[#This Row],[Estevan]:[Kipling]])</f>
        <v>0.90700973901423265</v>
      </c>
      <c r="J1257" s="2">
        <f t="shared" si="19"/>
        <v>18.188095238095237</v>
      </c>
      <c r="K1257">
        <f>DAY(weather.tbl[[#This Row],[Date]])</f>
        <v>9</v>
      </c>
      <c r="L1257">
        <f>MONTH(weather.tbl[[#This Row],[Date]])</f>
        <v>6</v>
      </c>
      <c r="M1257">
        <f>YEAR(weather.tbl[[#This Row],[Date]])</f>
        <v>2017</v>
      </c>
    </row>
    <row r="1258" spans="1:13" x14ac:dyDescent="0.25">
      <c r="A1258" s="1">
        <v>42896</v>
      </c>
      <c r="B1258" s="2">
        <v>19.5</v>
      </c>
      <c r="C1258" s="2">
        <v>19.2</v>
      </c>
      <c r="D1258" s="2">
        <v>19.3</v>
      </c>
      <c r="E1258" s="2">
        <v>18.399999999999999</v>
      </c>
      <c r="F1258" s="2">
        <v>19.100000000000001</v>
      </c>
      <c r="G1258" s="2">
        <v>18</v>
      </c>
      <c r="H1258" s="2">
        <f>AVERAGE(weather.tbl[[#This Row],[Estevan]:[Kipling]])</f>
        <v>18.916666666666668</v>
      </c>
      <c r="I1258" s="2">
        <f>_xlfn.STDEV.S(weather.tbl[[#This Row],[Estevan]:[Kipling]])</f>
        <v>0.58452259722500644</v>
      </c>
      <c r="J1258" s="2">
        <f t="shared" si="19"/>
        <v>18.190476190476193</v>
      </c>
      <c r="K1258">
        <f>DAY(weather.tbl[[#This Row],[Date]])</f>
        <v>10</v>
      </c>
      <c r="L1258">
        <f>MONTH(weather.tbl[[#This Row],[Date]])</f>
        <v>6</v>
      </c>
      <c r="M1258">
        <f>YEAR(weather.tbl[[#This Row],[Date]])</f>
        <v>2017</v>
      </c>
    </row>
    <row r="1259" spans="1:13" x14ac:dyDescent="0.25">
      <c r="A1259" s="1">
        <v>42897</v>
      </c>
      <c r="B1259" s="2">
        <v>16.899999999999999</v>
      </c>
      <c r="C1259" s="2">
        <v>15.9</v>
      </c>
      <c r="D1259" s="2">
        <v>17</v>
      </c>
      <c r="E1259" s="2">
        <v>14.8</v>
      </c>
      <c r="F1259" s="2">
        <v>17.7</v>
      </c>
      <c r="G1259" s="2">
        <v>14.5</v>
      </c>
      <c r="H1259" s="2">
        <f>AVERAGE(weather.tbl[[#This Row],[Estevan]:[Kipling]])</f>
        <v>16.133333333333333</v>
      </c>
      <c r="I1259" s="2">
        <f>_xlfn.STDEV.S(weather.tbl[[#This Row],[Estevan]:[Kipling]])</f>
        <v>1.2878923350446128</v>
      </c>
      <c r="J1259" s="2">
        <f t="shared" si="19"/>
        <v>17.785714285714285</v>
      </c>
      <c r="K1259">
        <f>DAY(weather.tbl[[#This Row],[Date]])</f>
        <v>11</v>
      </c>
      <c r="L1259">
        <f>MONTH(weather.tbl[[#This Row],[Date]])</f>
        <v>6</v>
      </c>
      <c r="M1259">
        <f>YEAR(weather.tbl[[#This Row],[Date]])</f>
        <v>2017</v>
      </c>
    </row>
    <row r="1260" spans="1:13" x14ac:dyDescent="0.25">
      <c r="A1260" s="1">
        <v>42898</v>
      </c>
      <c r="B1260" s="2">
        <v>16.8</v>
      </c>
      <c r="C1260" s="2">
        <v>16.899999999999999</v>
      </c>
      <c r="D1260" s="2">
        <v>17</v>
      </c>
      <c r="E1260" s="2">
        <v>16.399999999999999</v>
      </c>
      <c r="F1260" s="2">
        <v>16.100000000000001</v>
      </c>
      <c r="G1260" s="2">
        <v>16.5</v>
      </c>
      <c r="H1260" s="2">
        <f>AVERAGE(weather.tbl[[#This Row],[Estevan]:[Kipling]])</f>
        <v>16.616666666666664</v>
      </c>
      <c r="I1260" s="2">
        <f>_xlfn.STDEV.S(weather.tbl[[#This Row],[Estevan]:[Kipling]])</f>
        <v>0.34302575219167786</v>
      </c>
      <c r="J1260" s="2">
        <f t="shared" si="19"/>
        <v>17.138095238095236</v>
      </c>
      <c r="K1260">
        <f>DAY(weather.tbl[[#This Row],[Date]])</f>
        <v>12</v>
      </c>
      <c r="L1260">
        <f>MONTH(weather.tbl[[#This Row],[Date]])</f>
        <v>6</v>
      </c>
      <c r="M1260">
        <f>YEAR(weather.tbl[[#This Row],[Date]])</f>
        <v>2017</v>
      </c>
    </row>
    <row r="1261" spans="1:13" x14ac:dyDescent="0.25">
      <c r="A1261" s="1">
        <v>42899</v>
      </c>
      <c r="B1261" s="2">
        <v>15.8</v>
      </c>
      <c r="C1261" s="2">
        <v>16.7</v>
      </c>
      <c r="D1261" s="2">
        <v>13.8</v>
      </c>
      <c r="E1261" s="2">
        <v>17.5</v>
      </c>
      <c r="F1261" s="2">
        <v>15.7</v>
      </c>
      <c r="G1261" s="2">
        <v>14.5</v>
      </c>
      <c r="H1261" s="2">
        <f>AVERAGE(weather.tbl[[#This Row],[Estevan]:[Kipling]])</f>
        <v>15.666666666666666</v>
      </c>
      <c r="I1261" s="2">
        <f>_xlfn.STDEV.S(weather.tbl[[#This Row],[Estevan]:[Kipling]])</f>
        <v>1.363329258347618</v>
      </c>
      <c r="J1261" s="2">
        <f t="shared" si="19"/>
        <v>17.292857142857144</v>
      </c>
      <c r="K1261">
        <f>DAY(weather.tbl[[#This Row],[Date]])</f>
        <v>13</v>
      </c>
      <c r="L1261">
        <f>MONTH(weather.tbl[[#This Row],[Date]])</f>
        <v>6</v>
      </c>
      <c r="M1261">
        <f>YEAR(weather.tbl[[#This Row],[Date]])</f>
        <v>2017</v>
      </c>
    </row>
    <row r="1262" spans="1:13" x14ac:dyDescent="0.25">
      <c r="A1262" s="1">
        <v>42900</v>
      </c>
      <c r="B1262" s="2">
        <v>13</v>
      </c>
      <c r="C1262" s="2">
        <v>12.3</v>
      </c>
      <c r="D1262" s="2">
        <v>13.3</v>
      </c>
      <c r="E1262" s="2">
        <v>12.6</v>
      </c>
      <c r="F1262" s="2">
        <v>14.7</v>
      </c>
      <c r="G1262" s="2">
        <v>11.8</v>
      </c>
      <c r="H1262" s="2">
        <f>AVERAGE(weather.tbl[[#This Row],[Estevan]:[Kipling]])</f>
        <v>12.950000000000001</v>
      </c>
      <c r="I1262" s="2">
        <f>_xlfn.STDEV.S(weather.tbl[[#This Row],[Estevan]:[Kipling]])</f>
        <v>1.0054849576199532</v>
      </c>
      <c r="J1262" s="2">
        <f t="shared" si="19"/>
        <v>16.728571428571431</v>
      </c>
      <c r="K1262">
        <f>DAY(weather.tbl[[#This Row],[Date]])</f>
        <v>14</v>
      </c>
      <c r="L1262">
        <f>MONTH(weather.tbl[[#This Row],[Date]])</f>
        <v>6</v>
      </c>
      <c r="M1262">
        <f>YEAR(weather.tbl[[#This Row],[Date]])</f>
        <v>2017</v>
      </c>
    </row>
    <row r="1263" spans="1:13" x14ac:dyDescent="0.25">
      <c r="A1263" s="1">
        <v>42901</v>
      </c>
      <c r="B1263" s="2">
        <v>16</v>
      </c>
      <c r="C1263" s="2">
        <v>15.2</v>
      </c>
      <c r="D1263" s="2">
        <v>15</v>
      </c>
      <c r="E1263" s="2">
        <v>15.4</v>
      </c>
      <c r="F1263" s="2">
        <v>16.100000000000001</v>
      </c>
      <c r="G1263" s="2">
        <v>14</v>
      </c>
      <c r="H1263" s="2">
        <f>AVERAGE(weather.tbl[[#This Row],[Estevan]:[Kipling]])</f>
        <v>15.283333333333333</v>
      </c>
      <c r="I1263" s="2">
        <f>_xlfn.STDEV.S(weather.tbl[[#This Row],[Estevan]:[Kipling]])</f>
        <v>0.76528861657982805</v>
      </c>
      <c r="J1263" s="2">
        <f t="shared" si="19"/>
        <v>16.399999999999999</v>
      </c>
      <c r="K1263">
        <f>DAY(weather.tbl[[#This Row],[Date]])</f>
        <v>15</v>
      </c>
      <c r="L1263">
        <f>MONTH(weather.tbl[[#This Row],[Date]])</f>
        <v>6</v>
      </c>
      <c r="M1263">
        <f>YEAR(weather.tbl[[#This Row],[Date]])</f>
        <v>2017</v>
      </c>
    </row>
    <row r="1264" spans="1:13" x14ac:dyDescent="0.25">
      <c r="A1264" s="1">
        <v>42902</v>
      </c>
      <c r="B1264" s="2">
        <v>15.2</v>
      </c>
      <c r="C1264" s="2">
        <v>13.7</v>
      </c>
      <c r="D1264" s="2">
        <v>14.3</v>
      </c>
      <c r="E1264" s="2">
        <v>13.2</v>
      </c>
      <c r="F1264" s="2">
        <v>15.2</v>
      </c>
      <c r="G1264" s="2">
        <v>12.5</v>
      </c>
      <c r="H1264" s="2">
        <f>AVERAGE(weather.tbl[[#This Row],[Estevan]:[Kipling]])</f>
        <v>14.016666666666667</v>
      </c>
      <c r="I1264" s="2">
        <f>_xlfn.STDEV.S(weather.tbl[[#This Row],[Estevan]:[Kipling]])</f>
        <v>1.0907184176801392</v>
      </c>
      <c r="J1264" s="2">
        <f t="shared" si="19"/>
        <v>15.654761904761903</v>
      </c>
      <c r="K1264">
        <f>DAY(weather.tbl[[#This Row],[Date]])</f>
        <v>16</v>
      </c>
      <c r="L1264">
        <f>MONTH(weather.tbl[[#This Row],[Date]])</f>
        <v>6</v>
      </c>
      <c r="M1264">
        <f>YEAR(weather.tbl[[#This Row],[Date]])</f>
        <v>2017</v>
      </c>
    </row>
    <row r="1265" spans="1:13" x14ac:dyDescent="0.25">
      <c r="A1265" s="1">
        <v>42903</v>
      </c>
      <c r="B1265" s="2">
        <v>14.3</v>
      </c>
      <c r="C1265" s="2">
        <v>15.6</v>
      </c>
      <c r="D1265" s="2">
        <v>14.5</v>
      </c>
      <c r="E1265" s="2">
        <v>14.8</v>
      </c>
      <c r="F1265" s="2">
        <v>16.100000000000001</v>
      </c>
      <c r="G1265" s="2">
        <v>14.3</v>
      </c>
      <c r="H1265" s="2">
        <f>AVERAGE(weather.tbl[[#This Row],[Estevan]:[Kipling]])</f>
        <v>14.933333333333335</v>
      </c>
      <c r="I1265" s="2">
        <f>_xlfn.STDEV.S(weather.tbl[[#This Row],[Estevan]:[Kipling]])</f>
        <v>0.75011110288187766</v>
      </c>
      <c r="J1265" s="2">
        <f t="shared" si="19"/>
        <v>15.085714285714287</v>
      </c>
      <c r="K1265">
        <f>DAY(weather.tbl[[#This Row],[Date]])</f>
        <v>17</v>
      </c>
      <c r="L1265">
        <f>MONTH(weather.tbl[[#This Row],[Date]])</f>
        <v>6</v>
      </c>
      <c r="M1265">
        <f>YEAR(weather.tbl[[#This Row],[Date]])</f>
        <v>2017</v>
      </c>
    </row>
    <row r="1266" spans="1:13" x14ac:dyDescent="0.25">
      <c r="A1266" s="1">
        <v>42904</v>
      </c>
      <c r="B1266" s="2">
        <v>16.399999999999999</v>
      </c>
      <c r="C1266" s="2">
        <v>15.8</v>
      </c>
      <c r="D1266" s="2">
        <v>15.8</v>
      </c>
      <c r="E1266" s="2">
        <v>15.9</v>
      </c>
      <c r="F1266" s="2">
        <v>15.2</v>
      </c>
      <c r="G1266" s="2">
        <v>14.8</v>
      </c>
      <c r="H1266" s="2">
        <f>AVERAGE(weather.tbl[[#This Row],[Estevan]:[Kipling]])</f>
        <v>15.649999999999999</v>
      </c>
      <c r="I1266" s="2">
        <f>_xlfn.STDEV.S(weather.tbl[[#This Row],[Estevan]:[Kipling]])</f>
        <v>0.56480084985771717</v>
      </c>
      <c r="J1266" s="2">
        <f t="shared" si="19"/>
        <v>15.016666666666667</v>
      </c>
      <c r="K1266">
        <f>DAY(weather.tbl[[#This Row],[Date]])</f>
        <v>18</v>
      </c>
      <c r="L1266">
        <f>MONTH(weather.tbl[[#This Row],[Date]])</f>
        <v>6</v>
      </c>
      <c r="M1266">
        <f>YEAR(weather.tbl[[#This Row],[Date]])</f>
        <v>2017</v>
      </c>
    </row>
    <row r="1267" spans="1:13" x14ac:dyDescent="0.25">
      <c r="A1267" s="1">
        <v>42905</v>
      </c>
      <c r="B1267" s="2">
        <v>15.1</v>
      </c>
      <c r="C1267" s="2">
        <v>15.4</v>
      </c>
      <c r="D1267" s="2">
        <v>14.5</v>
      </c>
      <c r="E1267" s="2">
        <v>15.2</v>
      </c>
      <c r="F1267" s="2">
        <v>14.8</v>
      </c>
      <c r="G1267" s="2">
        <v>13.8</v>
      </c>
      <c r="H1267" s="2">
        <f>AVERAGE(weather.tbl[[#This Row],[Estevan]:[Kipling]])</f>
        <v>14.799999999999999</v>
      </c>
      <c r="I1267" s="2">
        <f>_xlfn.STDEV.S(weather.tbl[[#This Row],[Estevan]:[Kipling]])</f>
        <v>0.58309518948452976</v>
      </c>
      <c r="J1267" s="2">
        <f t="shared" si="19"/>
        <v>14.757142857142856</v>
      </c>
      <c r="K1267">
        <f>DAY(weather.tbl[[#This Row],[Date]])</f>
        <v>19</v>
      </c>
      <c r="L1267">
        <f>MONTH(weather.tbl[[#This Row],[Date]])</f>
        <v>6</v>
      </c>
      <c r="M1267">
        <f>YEAR(weather.tbl[[#This Row],[Date]])</f>
        <v>2017</v>
      </c>
    </row>
    <row r="1268" spans="1:13" x14ac:dyDescent="0.25">
      <c r="A1268" s="1">
        <v>42906</v>
      </c>
      <c r="B1268" s="2">
        <v>15</v>
      </c>
      <c r="C1268" s="2">
        <v>16</v>
      </c>
      <c r="D1268" s="2">
        <v>13.5</v>
      </c>
      <c r="E1268" s="2">
        <v>15.4</v>
      </c>
      <c r="F1268" s="2">
        <v>14.4</v>
      </c>
      <c r="G1268" s="2">
        <v>14.8</v>
      </c>
      <c r="H1268" s="2">
        <f>AVERAGE(weather.tbl[[#This Row],[Estevan]:[Kipling]])</f>
        <v>14.85</v>
      </c>
      <c r="I1268" s="2">
        <f>_xlfn.STDEV.S(weather.tbl[[#This Row],[Estevan]:[Kipling]])</f>
        <v>0.85732140997411244</v>
      </c>
      <c r="J1268" s="2">
        <f t="shared" si="19"/>
        <v>14.640476190476191</v>
      </c>
      <c r="K1268">
        <f>DAY(weather.tbl[[#This Row],[Date]])</f>
        <v>20</v>
      </c>
      <c r="L1268">
        <f>MONTH(weather.tbl[[#This Row],[Date]])</f>
        <v>6</v>
      </c>
      <c r="M1268">
        <f>YEAR(weather.tbl[[#This Row],[Date]])</f>
        <v>2017</v>
      </c>
    </row>
    <row r="1269" spans="1:13" x14ac:dyDescent="0.25">
      <c r="A1269" s="1">
        <v>42907</v>
      </c>
      <c r="B1269" s="2">
        <v>18.5</v>
      </c>
      <c r="C1269" s="2">
        <v>18.3</v>
      </c>
      <c r="D1269" s="2">
        <v>17.5</v>
      </c>
      <c r="E1269" s="2">
        <v>16.8</v>
      </c>
      <c r="F1269" s="2">
        <v>19</v>
      </c>
      <c r="G1269" s="2">
        <v>16.5</v>
      </c>
      <c r="H1269" s="2">
        <f>AVERAGE(weather.tbl[[#This Row],[Estevan]:[Kipling]])</f>
        <v>17.766666666666666</v>
      </c>
      <c r="I1269" s="2">
        <f>_xlfn.STDEV.S(weather.tbl[[#This Row],[Estevan]:[Kipling]])</f>
        <v>0.9953223933312596</v>
      </c>
      <c r="J1269" s="2">
        <f t="shared" si="19"/>
        <v>15.328571428571427</v>
      </c>
      <c r="K1269">
        <f>DAY(weather.tbl[[#This Row],[Date]])</f>
        <v>21</v>
      </c>
      <c r="L1269">
        <f>MONTH(weather.tbl[[#This Row],[Date]])</f>
        <v>6</v>
      </c>
      <c r="M1269">
        <f>YEAR(weather.tbl[[#This Row],[Date]])</f>
        <v>2017</v>
      </c>
    </row>
    <row r="1270" spans="1:13" x14ac:dyDescent="0.25">
      <c r="A1270" s="1">
        <v>42908</v>
      </c>
      <c r="B1270" s="2">
        <v>14.6</v>
      </c>
      <c r="C1270" s="2">
        <v>13.7</v>
      </c>
      <c r="D1270" s="2">
        <v>14.3</v>
      </c>
      <c r="E1270" s="2">
        <v>13.1</v>
      </c>
      <c r="F1270" s="2">
        <v>16</v>
      </c>
      <c r="G1270" s="2">
        <v>12</v>
      </c>
      <c r="H1270" s="2">
        <f>AVERAGE(weather.tbl[[#This Row],[Estevan]:[Kipling]])</f>
        <v>13.949999999999998</v>
      </c>
      <c r="I1270" s="2">
        <f>_xlfn.STDEV.S(weather.tbl[[#This Row],[Estevan]:[Kipling]])</f>
        <v>1.3663820841916803</v>
      </c>
      <c r="J1270" s="2">
        <f t="shared" si="19"/>
        <v>15.138095238095238</v>
      </c>
      <c r="K1270">
        <f>DAY(weather.tbl[[#This Row],[Date]])</f>
        <v>22</v>
      </c>
      <c r="L1270">
        <f>MONTH(weather.tbl[[#This Row],[Date]])</f>
        <v>6</v>
      </c>
      <c r="M1270">
        <f>YEAR(weather.tbl[[#This Row],[Date]])</f>
        <v>2017</v>
      </c>
    </row>
    <row r="1271" spans="1:13" x14ac:dyDescent="0.25">
      <c r="A1271" s="1">
        <v>42909</v>
      </c>
      <c r="B1271" s="2">
        <v>11.7</v>
      </c>
      <c r="C1271" s="2">
        <v>11.8</v>
      </c>
      <c r="D1271" s="2">
        <v>11</v>
      </c>
      <c r="E1271" s="2">
        <v>11.6</v>
      </c>
      <c r="F1271" s="2">
        <v>11.5</v>
      </c>
      <c r="G1271" s="2">
        <v>10</v>
      </c>
      <c r="H1271" s="2">
        <f>AVERAGE(weather.tbl[[#This Row],[Estevan]:[Kipling]])</f>
        <v>11.266666666666666</v>
      </c>
      <c r="I1271" s="2">
        <f>_xlfn.STDEV.S(weather.tbl[[#This Row],[Estevan]:[Kipling]])</f>
        <v>0.68019605016985119</v>
      </c>
      <c r="J1271" s="2">
        <f t="shared" si="19"/>
        <v>14.745238095238095</v>
      </c>
      <c r="K1271">
        <f>DAY(weather.tbl[[#This Row],[Date]])</f>
        <v>23</v>
      </c>
      <c r="L1271">
        <f>MONTH(weather.tbl[[#This Row],[Date]])</f>
        <v>6</v>
      </c>
      <c r="M1271">
        <f>YEAR(weather.tbl[[#This Row],[Date]])</f>
        <v>2017</v>
      </c>
    </row>
    <row r="1272" spans="1:13" x14ac:dyDescent="0.25">
      <c r="A1272" s="1">
        <v>42910</v>
      </c>
      <c r="B1272" s="2">
        <v>11.2</v>
      </c>
      <c r="C1272" s="2">
        <v>10.8</v>
      </c>
      <c r="D1272" s="2">
        <v>9.8000000000000007</v>
      </c>
      <c r="E1272" s="2">
        <v>11.7</v>
      </c>
      <c r="F1272" s="2">
        <v>10.9</v>
      </c>
      <c r="G1272" s="2">
        <v>10.8</v>
      </c>
      <c r="H1272" s="2">
        <f>AVERAGE(weather.tbl[[#This Row],[Estevan]:[Kipling]])</f>
        <v>10.866666666666667</v>
      </c>
      <c r="I1272" s="2">
        <f>_xlfn.STDEV.S(weather.tbl[[#This Row],[Estevan]:[Kipling]])</f>
        <v>0.62503333244449133</v>
      </c>
      <c r="J1272" s="2">
        <f t="shared" si="19"/>
        <v>14.164285714285715</v>
      </c>
      <c r="K1272">
        <f>DAY(weather.tbl[[#This Row],[Date]])</f>
        <v>24</v>
      </c>
      <c r="L1272">
        <f>MONTH(weather.tbl[[#This Row],[Date]])</f>
        <v>6</v>
      </c>
      <c r="M1272">
        <f>YEAR(weather.tbl[[#This Row],[Date]])</f>
        <v>2017</v>
      </c>
    </row>
    <row r="1273" spans="1:13" x14ac:dyDescent="0.25">
      <c r="A1273" s="1">
        <v>42911</v>
      </c>
      <c r="B1273" s="2">
        <v>14.1</v>
      </c>
      <c r="C1273" s="2">
        <v>14.4</v>
      </c>
      <c r="D1273" s="2">
        <v>12.8</v>
      </c>
      <c r="E1273" s="2">
        <v>14.3</v>
      </c>
      <c r="F1273" s="2">
        <v>12.8</v>
      </c>
      <c r="G1273" s="2">
        <v>13.5</v>
      </c>
      <c r="H1273" s="2">
        <f>AVERAGE(weather.tbl[[#This Row],[Estevan]:[Kipling]])</f>
        <v>13.649999999999999</v>
      </c>
      <c r="I1273" s="2">
        <f>_xlfn.STDEV.S(weather.tbl[[#This Row],[Estevan]:[Kipling]])</f>
        <v>0.728697468089467</v>
      </c>
      <c r="J1273" s="2">
        <f t="shared" si="19"/>
        <v>13.87857142857143</v>
      </c>
      <c r="K1273">
        <f>DAY(weather.tbl[[#This Row],[Date]])</f>
        <v>25</v>
      </c>
      <c r="L1273">
        <f>MONTH(weather.tbl[[#This Row],[Date]])</f>
        <v>6</v>
      </c>
      <c r="M1273">
        <f>YEAR(weather.tbl[[#This Row],[Date]])</f>
        <v>2017</v>
      </c>
    </row>
    <row r="1274" spans="1:13" x14ac:dyDescent="0.25">
      <c r="A1274" s="1">
        <v>42912</v>
      </c>
      <c r="B1274" s="2">
        <v>15.2</v>
      </c>
      <c r="C1274" s="2">
        <v>15.3</v>
      </c>
      <c r="D1274" s="2">
        <v>12.3</v>
      </c>
      <c r="E1274" s="2">
        <v>15</v>
      </c>
      <c r="F1274" s="2">
        <v>13</v>
      </c>
      <c r="G1274" s="2">
        <v>13.8</v>
      </c>
      <c r="H1274" s="2">
        <f>AVERAGE(weather.tbl[[#This Row],[Estevan]:[Kipling]])</f>
        <v>14.1</v>
      </c>
      <c r="I1274" s="2">
        <f>_xlfn.STDEV.S(weather.tbl[[#This Row],[Estevan]:[Kipling]])</f>
        <v>1.2649110640673515</v>
      </c>
      <c r="J1274" s="2">
        <f t="shared" si="19"/>
        <v>13.778571428571427</v>
      </c>
      <c r="K1274">
        <f>DAY(weather.tbl[[#This Row],[Date]])</f>
        <v>26</v>
      </c>
      <c r="L1274">
        <f>MONTH(weather.tbl[[#This Row],[Date]])</f>
        <v>6</v>
      </c>
      <c r="M1274">
        <f>YEAR(weather.tbl[[#This Row],[Date]])</f>
        <v>2017</v>
      </c>
    </row>
    <row r="1275" spans="1:13" x14ac:dyDescent="0.25">
      <c r="A1275" s="1">
        <v>42913</v>
      </c>
      <c r="B1275" s="2">
        <v>20.6</v>
      </c>
      <c r="C1275" s="2">
        <v>21.6</v>
      </c>
      <c r="D1275" s="2">
        <v>17.3</v>
      </c>
      <c r="E1275" s="2">
        <v>21.9</v>
      </c>
      <c r="F1275" s="2">
        <v>20</v>
      </c>
      <c r="G1275" s="2">
        <v>19.3</v>
      </c>
      <c r="H1275" s="2">
        <f>AVERAGE(weather.tbl[[#This Row],[Estevan]:[Kipling]])</f>
        <v>20.116666666666667</v>
      </c>
      <c r="I1275" s="2">
        <f>_xlfn.STDEV.S(weather.tbl[[#This Row],[Estevan]:[Kipling]])</f>
        <v>1.6869103908230176</v>
      </c>
      <c r="J1275" s="2">
        <f t="shared" si="19"/>
        <v>14.530952380952382</v>
      </c>
      <c r="K1275">
        <f>DAY(weather.tbl[[#This Row],[Date]])</f>
        <v>27</v>
      </c>
      <c r="L1275">
        <f>MONTH(weather.tbl[[#This Row],[Date]])</f>
        <v>6</v>
      </c>
      <c r="M1275">
        <f>YEAR(weather.tbl[[#This Row],[Date]])</f>
        <v>2017</v>
      </c>
    </row>
    <row r="1276" spans="1:13" x14ac:dyDescent="0.25">
      <c r="A1276" s="1">
        <v>42914</v>
      </c>
      <c r="B1276" s="2">
        <v>16.8</v>
      </c>
      <c r="C1276" s="2">
        <v>15.2</v>
      </c>
      <c r="D1276" s="2">
        <v>17</v>
      </c>
      <c r="E1276" s="2">
        <v>16.2</v>
      </c>
      <c r="F1276" s="2">
        <v>19.5</v>
      </c>
      <c r="G1276" s="2">
        <v>16.3</v>
      </c>
      <c r="H1276" s="2">
        <f>AVERAGE(weather.tbl[[#This Row],[Estevan]:[Kipling]])</f>
        <v>16.833333333333332</v>
      </c>
      <c r="I1276" s="2">
        <f>_xlfn.STDEV.S(weather.tbl[[#This Row],[Estevan]:[Kipling]])</f>
        <v>1.4486775578667144</v>
      </c>
      <c r="J1276" s="2">
        <f t="shared" si="19"/>
        <v>14.397619047619045</v>
      </c>
      <c r="K1276">
        <f>DAY(weather.tbl[[#This Row],[Date]])</f>
        <v>28</v>
      </c>
      <c r="L1276">
        <f>MONTH(weather.tbl[[#This Row],[Date]])</f>
        <v>6</v>
      </c>
      <c r="M1276">
        <f>YEAR(weather.tbl[[#This Row],[Date]])</f>
        <v>2017</v>
      </c>
    </row>
    <row r="1277" spans="1:13" x14ac:dyDescent="0.25">
      <c r="A1277" s="1">
        <v>42915</v>
      </c>
      <c r="B1277" s="2">
        <v>16.2</v>
      </c>
      <c r="C1277" s="2">
        <v>17.600000000000001</v>
      </c>
      <c r="D1277" s="2">
        <v>18.3</v>
      </c>
      <c r="E1277" s="2">
        <v>16.3</v>
      </c>
      <c r="F1277" s="2">
        <v>17</v>
      </c>
      <c r="G1277" s="2">
        <v>16</v>
      </c>
      <c r="H1277" s="2">
        <f>AVERAGE(weather.tbl[[#This Row],[Estevan]:[Kipling]])</f>
        <v>16.899999999999999</v>
      </c>
      <c r="I1277" s="2">
        <f>_xlfn.STDEV.S(weather.tbl[[#This Row],[Estevan]:[Kipling]])</f>
        <v>0.90774445743281773</v>
      </c>
      <c r="J1277" s="2">
        <f t="shared" si="19"/>
        <v>14.819047619047618</v>
      </c>
      <c r="K1277">
        <f>DAY(weather.tbl[[#This Row],[Date]])</f>
        <v>29</v>
      </c>
      <c r="L1277">
        <f>MONTH(weather.tbl[[#This Row],[Date]])</f>
        <v>6</v>
      </c>
      <c r="M1277">
        <f>YEAR(weather.tbl[[#This Row],[Date]])</f>
        <v>2017</v>
      </c>
    </row>
    <row r="1278" spans="1:13" x14ac:dyDescent="0.25">
      <c r="A1278" s="1">
        <v>42916</v>
      </c>
      <c r="B1278" s="2">
        <v>15.4</v>
      </c>
      <c r="C1278" s="2">
        <v>15.1</v>
      </c>
      <c r="D1278" s="2">
        <v>15</v>
      </c>
      <c r="E1278" s="2">
        <v>15.1</v>
      </c>
      <c r="F1278" s="2">
        <v>15.4</v>
      </c>
      <c r="G1278" s="2">
        <v>15.5</v>
      </c>
      <c r="H1278" s="2">
        <f>AVERAGE(weather.tbl[[#This Row],[Estevan]:[Kipling]])</f>
        <v>15.25</v>
      </c>
      <c r="I1278" s="2">
        <f>_xlfn.STDEV.S(weather.tbl[[#This Row],[Estevan]:[Kipling]])</f>
        <v>0.20736441353327739</v>
      </c>
      <c r="J1278" s="2">
        <f t="shared" si="19"/>
        <v>15.388095238095238</v>
      </c>
      <c r="K1278">
        <f>DAY(weather.tbl[[#This Row],[Date]])</f>
        <v>30</v>
      </c>
      <c r="L1278">
        <f>MONTH(weather.tbl[[#This Row],[Date]])</f>
        <v>6</v>
      </c>
      <c r="M1278">
        <f>YEAR(weather.tbl[[#This Row],[Date]])</f>
        <v>2017</v>
      </c>
    </row>
    <row r="1279" spans="1:13" x14ac:dyDescent="0.25">
      <c r="A1279" s="1">
        <v>42917</v>
      </c>
      <c r="B1279" s="2">
        <v>18</v>
      </c>
      <c r="C1279" s="2">
        <v>17.899999999999999</v>
      </c>
      <c r="D1279" s="2">
        <v>15</v>
      </c>
      <c r="E1279" s="2">
        <v>17.2</v>
      </c>
      <c r="F1279" s="2">
        <v>16.8</v>
      </c>
      <c r="G1279" s="2">
        <v>17</v>
      </c>
      <c r="H1279" s="2">
        <f>AVERAGE(weather.tbl[[#This Row],[Estevan]:[Kipling]])</f>
        <v>16.983333333333331</v>
      </c>
      <c r="I1279" s="2">
        <f>_xlfn.STDEV.S(weather.tbl[[#This Row],[Estevan]:[Kipling]])</f>
        <v>1.0852035139395126</v>
      </c>
      <c r="J1279" s="2">
        <f t="shared" si="19"/>
        <v>16.261904761904763</v>
      </c>
      <c r="K1279">
        <f>DAY(weather.tbl[[#This Row],[Date]])</f>
        <v>1</v>
      </c>
      <c r="L1279">
        <f>MONTH(weather.tbl[[#This Row],[Date]])</f>
        <v>7</v>
      </c>
      <c r="M1279">
        <f>YEAR(weather.tbl[[#This Row],[Date]])</f>
        <v>2017</v>
      </c>
    </row>
    <row r="1280" spans="1:13" x14ac:dyDescent="0.25">
      <c r="A1280" s="1">
        <v>42918</v>
      </c>
      <c r="B1280" s="2">
        <v>17.100000000000001</v>
      </c>
      <c r="C1280" s="2">
        <v>17.7</v>
      </c>
      <c r="D1280" s="2">
        <v>15</v>
      </c>
      <c r="E1280" s="2">
        <v>17.5</v>
      </c>
      <c r="F1280" s="2">
        <v>15.6</v>
      </c>
      <c r="G1280" s="2">
        <v>16.3</v>
      </c>
      <c r="H1280" s="2">
        <f>AVERAGE(weather.tbl[[#This Row],[Estevan]:[Kipling]])</f>
        <v>16.533333333333331</v>
      </c>
      <c r="I1280" s="2">
        <f>_xlfn.STDEV.S(weather.tbl[[#This Row],[Estevan]:[Kipling]])</f>
        <v>1.0856641592438552</v>
      </c>
      <c r="J1280" s="2">
        <f t="shared" si="19"/>
        <v>16.673809523809521</v>
      </c>
      <c r="K1280">
        <f>DAY(weather.tbl[[#This Row],[Date]])</f>
        <v>2</v>
      </c>
      <c r="L1280">
        <f>MONTH(weather.tbl[[#This Row],[Date]])</f>
        <v>7</v>
      </c>
      <c r="M1280">
        <f>YEAR(weather.tbl[[#This Row],[Date]])</f>
        <v>2017</v>
      </c>
    </row>
    <row r="1281" spans="1:13" x14ac:dyDescent="0.25">
      <c r="A1281" s="1">
        <v>42919</v>
      </c>
      <c r="B1281" s="2">
        <v>22.7</v>
      </c>
      <c r="C1281" s="2">
        <v>23.9</v>
      </c>
      <c r="D1281" s="2">
        <v>15</v>
      </c>
      <c r="E1281" s="2">
        <v>23.6</v>
      </c>
      <c r="F1281" s="2">
        <v>21.6</v>
      </c>
      <c r="G1281" s="2">
        <v>16.3</v>
      </c>
      <c r="H1281" s="2">
        <f>AVERAGE(weather.tbl[[#This Row],[Estevan]:[Kipling]])</f>
        <v>20.516666666666662</v>
      </c>
      <c r="I1281" s="2">
        <f>_xlfn.STDEV.S(weather.tbl[[#This Row],[Estevan]:[Kipling]])</f>
        <v>3.8757794914915897</v>
      </c>
      <c r="J1281" s="2">
        <f t="shared" si="19"/>
        <v>17.590476190476188</v>
      </c>
      <c r="K1281">
        <f>DAY(weather.tbl[[#This Row],[Date]])</f>
        <v>3</v>
      </c>
      <c r="L1281">
        <f>MONTH(weather.tbl[[#This Row],[Date]])</f>
        <v>7</v>
      </c>
      <c r="M1281">
        <f>YEAR(weather.tbl[[#This Row],[Date]])</f>
        <v>2017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" sqref="D2:E3"/>
    </sheetView>
  </sheetViews>
  <sheetFormatPr defaultRowHeight="15" x14ac:dyDescent="0.25"/>
  <cols>
    <col min="4" max="4" width="19.140625" bestFit="1" customWidth="1"/>
    <col min="6" max="6" width="11.7109375" bestFit="1" customWidth="1"/>
    <col min="8" max="8" width="13.7109375" bestFit="1" customWidth="1"/>
    <col min="9" max="9" width="11" bestFit="1" customWidth="1"/>
    <col min="10" max="10" width="12.7109375" bestFit="1" customWidth="1"/>
    <col min="11" max="11" width="10" bestFit="1" customWidth="1"/>
  </cols>
  <sheetData>
    <row r="1" spans="1:11" x14ac:dyDescent="0.25">
      <c r="A1" t="s">
        <v>332</v>
      </c>
      <c r="B1" t="s">
        <v>333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</row>
    <row r="2" spans="1:11" x14ac:dyDescent="0.25">
      <c r="A2" t="s">
        <v>334</v>
      </c>
      <c r="B2">
        <v>1</v>
      </c>
      <c r="D2" t="s">
        <v>354</v>
      </c>
      <c r="E2">
        <v>-2</v>
      </c>
      <c r="F2" s="3" t="str">
        <f>IFERROR(AVERAGEIFS(vp.tbl[VP],vp.tbl[Crude_Breakdown],_xlfn.CONCAT("=",crudeBD.lkup.complete[[#This Row],[Crude Breakdown]])),"")</f>
        <v/>
      </c>
      <c r="G2" s="3">
        <f>SQRT(SUMIFS(vp.tbl[SS_VP],vp.tbl[Crude_Breakdown],_xlfn.CONCAT("=",crudeBD.lkup.complete[[#This Row],[Crude Breakdown]]))/(COUNTIF(vp.tbl[Crude_Breakdown],crudeBD.lkup.complete[[#This Row],[Crude Breakdown]])-1))</f>
        <v>0</v>
      </c>
      <c r="H2" s="3" t="str">
        <f>IFERROR(AVERAGEIFS(vp.tbl[Dens],vp.tbl[Crude_Breakdown],_xlfn.CONCAT("=",crudeBD.lkup.complete[[#This Row],[Crude Breakdown]])),"")</f>
        <v/>
      </c>
      <c r="I2" s="3">
        <f>SQRT(SUMIFS(vp.tbl[SS_Dens],vp.tbl[Crude_Breakdown],_xlfn.CONCAT("=",crudeBD.lkup.complete[[#This Row],[Crude Breakdown]]))/(COUNTIF(vp.tbl[Crude_Breakdown],crudeBD.lkup.complete[[#This Row],[Crude Breakdown]])-1))</f>
        <v>0</v>
      </c>
      <c r="J2" s="3" t="str">
        <f>IFERROR(AVERAGEIFS(vp.tbl[Sulf],vp.tbl[Crude_Breakdown],_xlfn.CONCAT("=",crudeBD.lkup.complete[[#This Row],[Crude Breakdown]])),"")</f>
        <v/>
      </c>
      <c r="K2" s="3">
        <f>IFERROR(SQRT(SUMIFS(vp.tbl[SS_Sulf],vp.tbl[Crude_Breakdown],_xlfn.CONCAT("=",crudeBD.lkup.complete[[#This Row],[Crude Breakdown]]))/(COUNTIF(vp.tbl[Crude_Breakdown],crudeBD.lkup.complete[[#This Row],[Crude Breakdown]])-1)),0)</f>
        <v>0</v>
      </c>
    </row>
    <row r="3" spans="1:11" x14ac:dyDescent="0.25">
      <c r="A3" t="s">
        <v>335</v>
      </c>
      <c r="B3">
        <v>2</v>
      </c>
      <c r="D3" t="s">
        <v>28</v>
      </c>
      <c r="E3">
        <v>-1</v>
      </c>
      <c r="F3" s="3">
        <f>IFERROR(AVERAGEIFS(vp.tbl[VP],vp.tbl[Crude_Breakdown],_xlfn.CONCAT("=",crudeBD.lkup.complete[[#This Row],[Crude Breakdown]])),"")</f>
        <v>73.845136986301341</v>
      </c>
      <c r="G3" s="3">
        <f>SQRT(SUMIFS(vp.tbl[SS_VP],vp.tbl[Crude_Breakdown],_xlfn.CONCAT("=",crudeBD.lkup.complete[[#This Row],[Crude Breakdown]]))/(COUNTIF(vp.tbl[Crude_Breakdown],crudeBD.lkup.complete[[#This Row],[Crude Breakdown]])-1))</f>
        <v>10.528424792047241</v>
      </c>
      <c r="H3" s="3" t="str">
        <f>IFERROR(AVERAGEIFS(vp.tbl[Dens],vp.tbl[Crude_Breakdown],_xlfn.CONCAT("=",crudeBD.lkup.complete[[#This Row],[Crude Breakdown]])),"")</f>
        <v/>
      </c>
      <c r="I3" s="3">
        <f>SQRT(SUMIFS(vp.tbl[SS_Dens],vp.tbl[Crude_Breakdown],_xlfn.CONCAT("=",crudeBD.lkup.complete[[#This Row],[Crude Breakdown]]))/(COUNTIF(vp.tbl[Crude_Breakdown],crudeBD.lkup.complete[[#This Row],[Crude Breakdown]])-1))</f>
        <v>0</v>
      </c>
      <c r="J3" s="3" t="str">
        <f>IFERROR(AVERAGEIFS(vp.tbl[Sulf],vp.tbl[Crude_Breakdown],_xlfn.CONCAT("=",crudeBD.lkup.complete[[#This Row],[Crude Breakdown]])),"")</f>
        <v/>
      </c>
      <c r="K3" s="3">
        <f>IFERROR(SQRT(SUMIFS(vp.tbl[SS_Sulf],vp.tbl[Crude_Breakdown],_xlfn.CONCAT("=",crudeBD.lkup.complete[[#This Row],[Crude Breakdown]]))/(COUNTIF(vp.tbl[Crude_Breakdown],crudeBD.lkup.complete[[#This Row],[Crude Breakdown]])-1)),0)</f>
        <v>0</v>
      </c>
    </row>
    <row r="4" spans="1:11" x14ac:dyDescent="0.25">
      <c r="A4" t="s">
        <v>336</v>
      </c>
      <c r="B4">
        <v>3</v>
      </c>
      <c r="D4" t="s">
        <v>29</v>
      </c>
      <c r="E4">
        <v>0</v>
      </c>
      <c r="F4" s="3">
        <f>IFERROR(AVERAGEIFS(vp.tbl[VP],vp.tbl[Crude_Breakdown],_xlfn.CONCAT("=",crudeBD.lkup.complete[[#This Row],[Crude Breakdown]])),"")</f>
        <v>103.17924242424239</v>
      </c>
      <c r="G4" s="3">
        <f>SQRT(SUMIFS(vp.tbl[SS_VP],vp.tbl[Crude_Breakdown],_xlfn.CONCAT("=",crudeBD.lkup.complete[[#This Row],[Crude Breakdown]]))/(COUNTIF(vp.tbl[Crude_Breakdown],crudeBD.lkup.complete[[#This Row],[Crude Breakdown]])-1))</f>
        <v>6.3738377065593008</v>
      </c>
      <c r="H4" s="3">
        <f>IFERROR(AVERAGEIFS(vp.tbl[Dens],vp.tbl[Crude_Breakdown],_xlfn.CONCAT("=",crudeBD.lkup.complete[[#This Row],[Crude Breakdown]])),"")</f>
        <v>658.07621212121217</v>
      </c>
      <c r="I4" s="3">
        <f>SQRT(SUMIFS(vp.tbl[SS_Dens],vp.tbl[Crude_Breakdown],_xlfn.CONCAT("=",crudeBD.lkup.complete[[#This Row],[Crude Breakdown]]))/(COUNTIF(vp.tbl[Crude_Breakdown],crudeBD.lkup.complete[[#This Row],[Crude Breakdown]])-1))</f>
        <v>8.3548542803941217</v>
      </c>
      <c r="J4" s="3">
        <f>IFERROR(AVERAGEIFS(vp.tbl[Sulf],vp.tbl[Crude_Breakdown],_xlfn.CONCAT("=",crudeBD.lkup.complete[[#This Row],[Crude Breakdown]])),"")</f>
        <v>0</v>
      </c>
      <c r="K4" s="3">
        <f>IFERROR(SQRT(SUMIFS(vp.tbl[SS_Sulf],vp.tbl[Crude_Breakdown],_xlfn.CONCAT("=",crudeBD.lkup.complete[[#This Row],[Crude Breakdown]]))/(COUNTIF(vp.tbl[Crude_Breakdown],crudeBD.lkup.complete[[#This Row],[Crude Breakdown]])-1)),0)</f>
        <v>0</v>
      </c>
    </row>
    <row r="5" spans="1:11" x14ac:dyDescent="0.25">
      <c r="A5" t="s">
        <v>337</v>
      </c>
      <c r="B5">
        <v>4</v>
      </c>
      <c r="D5" t="s">
        <v>30</v>
      </c>
      <c r="E5">
        <v>1</v>
      </c>
      <c r="F5" s="3">
        <f>IFERROR(AVERAGEIFS(vp.tbl[VP],vp.tbl[Crude_Breakdown],_xlfn.CONCAT("=",crudeBD.lkup.complete[[#This Row],[Crude Breakdown]])),"")</f>
        <v>91.54618556701034</v>
      </c>
      <c r="G5" s="3">
        <f>SQRT(SUMIFS(vp.tbl[SS_VP],vp.tbl[Crude_Breakdown],_xlfn.CONCAT("=",crudeBD.lkup.complete[[#This Row],[Crude Breakdown]]))/(COUNTIF(vp.tbl[Crude_Breakdown],crudeBD.lkup.complete[[#This Row],[Crude Breakdown]])-1))</f>
        <v>14.603825132593764</v>
      </c>
      <c r="H5" s="3">
        <f>IFERROR(AVERAGEIFS(vp.tbl[Dens],vp.tbl[Crude_Breakdown],_xlfn.CONCAT("=",crudeBD.lkup.complete[[#This Row],[Crude Breakdown]])),"")</f>
        <v>818.51676975944986</v>
      </c>
      <c r="I5" s="3">
        <f>SQRT(SUMIFS(vp.tbl[SS_Dens],vp.tbl[Crude_Breakdown],_xlfn.CONCAT("=",crudeBD.lkup.complete[[#This Row],[Crude Breakdown]]))/(COUNTIF(vp.tbl[Crude_Breakdown],crudeBD.lkup.complete[[#This Row],[Crude Breakdown]])-1))</f>
        <v>6.8863474537452074</v>
      </c>
      <c r="J5" s="3">
        <f>IFERROR(AVERAGEIFS(vp.tbl[Sulf],vp.tbl[Crude_Breakdown],_xlfn.CONCAT("=",crudeBD.lkup.complete[[#This Row],[Crude Breakdown]])),"")</f>
        <v>0.92297116838487947</v>
      </c>
      <c r="K5" s="3">
        <f>IFERROR(SQRT(SUMIFS(vp.tbl[SS_Sulf],vp.tbl[Crude_Breakdown],_xlfn.CONCAT("=",crudeBD.lkup.complete[[#This Row],[Crude Breakdown]]))/(COUNTIF(vp.tbl[Crude_Breakdown],crudeBD.lkup.complete[[#This Row],[Crude Breakdown]])-1)),0)</f>
        <v>0.38943741222347933</v>
      </c>
    </row>
    <row r="6" spans="1:11" x14ac:dyDescent="0.25">
      <c r="A6" t="s">
        <v>338</v>
      </c>
      <c r="B6">
        <v>5</v>
      </c>
      <c r="D6" t="s">
        <v>31</v>
      </c>
      <c r="E6">
        <v>2</v>
      </c>
      <c r="F6" s="3">
        <f>IFERROR(AVERAGEIFS(vp.tbl[VP],vp.tbl[Crude_Breakdown],_xlfn.CONCAT("=",crudeBD.lkup.complete[[#This Row],[Crude Breakdown]])),"")</f>
        <v>92.550313588850145</v>
      </c>
      <c r="G6" s="3">
        <f>SQRT(SUMIFS(vp.tbl[SS_VP],vp.tbl[Crude_Breakdown],_xlfn.CONCAT("=",crudeBD.lkup.complete[[#This Row],[Crude Breakdown]]))/(COUNTIF(vp.tbl[Crude_Breakdown],crudeBD.lkup.complete[[#This Row],[Crude Breakdown]])-1))</f>
        <v>13.571233005365933</v>
      </c>
      <c r="H6" s="3">
        <f>IFERROR(AVERAGEIFS(vp.tbl[Dens],vp.tbl[Crude_Breakdown],_xlfn.CONCAT("=",crudeBD.lkup.complete[[#This Row],[Crude Breakdown]])),"")</f>
        <v>808.3114982578395</v>
      </c>
      <c r="I6" s="3">
        <f>SQRT(SUMIFS(vp.tbl[SS_Dens],vp.tbl[Crude_Breakdown],_xlfn.CONCAT("=",crudeBD.lkup.complete[[#This Row],[Crude Breakdown]]))/(COUNTIF(vp.tbl[Crude_Breakdown],crudeBD.lkup.complete[[#This Row],[Crude Breakdown]])-1))</f>
        <v>5.5782128174609058</v>
      </c>
      <c r="J6" s="3">
        <f>IFERROR(AVERAGEIFS(vp.tbl[Sulf],vp.tbl[Crude_Breakdown],_xlfn.CONCAT("=",crudeBD.lkup.complete[[#This Row],[Crude Breakdown]])),"")</f>
        <v>0.23624181184668974</v>
      </c>
      <c r="K6" s="3">
        <f>IFERROR(SQRT(SUMIFS(vp.tbl[SS_Sulf],vp.tbl[Crude_Breakdown],_xlfn.CONCAT("=",crudeBD.lkup.complete[[#This Row],[Crude Breakdown]]))/(COUNTIF(vp.tbl[Crude_Breakdown],crudeBD.lkup.complete[[#This Row],[Crude Breakdown]])-1)),0)</f>
        <v>9.7082978347481835E-2</v>
      </c>
    </row>
    <row r="7" spans="1:11" x14ac:dyDescent="0.25">
      <c r="A7" t="s">
        <v>339</v>
      </c>
      <c r="B7">
        <v>6</v>
      </c>
      <c r="D7" t="s">
        <v>32</v>
      </c>
      <c r="E7">
        <v>3</v>
      </c>
      <c r="F7" s="3">
        <f>IFERROR(AVERAGEIFS(vp.tbl[VP],vp.tbl[Crude_Breakdown],_xlfn.CONCAT("=",crudeBD.lkup.complete[[#This Row],[Crude Breakdown]])),"")</f>
        <v>80.173594936708824</v>
      </c>
      <c r="G7" s="3">
        <f>SQRT(SUMIFS(vp.tbl[SS_VP],vp.tbl[Crude_Breakdown],_xlfn.CONCAT("=",crudeBD.lkup.complete[[#This Row],[Crude Breakdown]]))/(COUNTIF(vp.tbl[Crude_Breakdown],crudeBD.lkup.complete[[#This Row],[Crude Breakdown]])-1))</f>
        <v>15.498835149425734</v>
      </c>
      <c r="H7" s="3">
        <f>IFERROR(AVERAGEIFS(vp.tbl[Dens],vp.tbl[Crude_Breakdown],_xlfn.CONCAT("=",crudeBD.lkup.complete[[#This Row],[Crude Breakdown]])),"")</f>
        <v>845.29182278480914</v>
      </c>
      <c r="I7" s="3">
        <f>SQRT(SUMIFS(vp.tbl[SS_Dens],vp.tbl[Crude_Breakdown],_xlfn.CONCAT("=",crudeBD.lkup.complete[[#This Row],[Crude Breakdown]]))/(COUNTIF(vp.tbl[Crude_Breakdown],crudeBD.lkup.complete[[#This Row],[Crude Breakdown]])-1))</f>
        <v>12.735736313077307</v>
      </c>
      <c r="J7" s="3">
        <f>IFERROR(AVERAGEIFS(vp.tbl[Sulf],vp.tbl[Crude_Breakdown],_xlfn.CONCAT("=",crudeBD.lkup.complete[[#This Row],[Crude Breakdown]])),"")</f>
        <v>1.4549298607594952</v>
      </c>
      <c r="K7" s="3">
        <f>IFERROR(SQRT(SUMIFS(vp.tbl[SS_Sulf],vp.tbl[Crude_Breakdown],_xlfn.CONCAT("=",crudeBD.lkup.complete[[#This Row],[Crude Breakdown]]))/(COUNTIF(vp.tbl[Crude_Breakdown],crudeBD.lkup.complete[[#This Row],[Crude Breakdown]])-1)),0)</f>
        <v>0.4480501933390777</v>
      </c>
    </row>
    <row r="8" spans="1:11" x14ac:dyDescent="0.25">
      <c r="A8" t="s">
        <v>340</v>
      </c>
      <c r="B8">
        <v>7</v>
      </c>
      <c r="D8" t="s">
        <v>33</v>
      </c>
      <c r="E8">
        <v>4</v>
      </c>
      <c r="F8" s="3">
        <f>IFERROR(AVERAGEIFS(vp.tbl[VP],vp.tbl[Crude_Breakdown],_xlfn.CONCAT("=",crudeBD.lkup.complete[[#This Row],[Crude Breakdown]])),"")</f>
        <v>84.316666666666677</v>
      </c>
      <c r="G8" s="3">
        <f>SQRT(SUMIFS(vp.tbl[SS_VP],vp.tbl[Crude_Breakdown],_xlfn.CONCAT("=",crudeBD.lkup.complete[[#This Row],[Crude Breakdown]]))/(COUNTIF(vp.tbl[Crude_Breakdown],crudeBD.lkup.complete[[#This Row],[Crude Breakdown]])-1))</f>
        <v>19.196084670230714</v>
      </c>
      <c r="H8" s="3">
        <f>IFERROR(AVERAGEIFS(vp.tbl[Dens],vp.tbl[Crude_Breakdown],_xlfn.CONCAT("=",crudeBD.lkup.complete[[#This Row],[Crude Breakdown]])),"")</f>
        <v>857.30000000000007</v>
      </c>
      <c r="I8" s="3">
        <f>SQRT(SUMIFS(vp.tbl[SS_Dens],vp.tbl[Crude_Breakdown],_xlfn.CONCAT("=",crudeBD.lkup.complete[[#This Row],[Crude Breakdown]]))/(COUNTIF(vp.tbl[Crude_Breakdown],crudeBD.lkup.complete[[#This Row],[Crude Breakdown]])-1))</f>
        <v>27.989426575047961</v>
      </c>
      <c r="J8" s="3">
        <f>IFERROR(AVERAGEIFS(vp.tbl[Sulf],vp.tbl[Crude_Breakdown],_xlfn.CONCAT("=",crudeBD.lkup.complete[[#This Row],[Crude Breakdown]])),"")</f>
        <v>0.17851349999999999</v>
      </c>
      <c r="K8" s="3">
        <f>IFERROR(SQRT(SUMIFS(vp.tbl[SS_Sulf],vp.tbl[Crude_Breakdown],_xlfn.CONCAT("=",crudeBD.lkup.complete[[#This Row],[Crude Breakdown]]))/(COUNTIF(vp.tbl[Crude_Breakdown],crudeBD.lkup.complete[[#This Row],[Crude Breakdown]])-1)),0)</f>
        <v>0.10963187070145249</v>
      </c>
    </row>
    <row r="9" spans="1:11" x14ac:dyDescent="0.25">
      <c r="A9" t="s">
        <v>341</v>
      </c>
      <c r="B9">
        <v>8</v>
      </c>
      <c r="D9" t="s">
        <v>34</v>
      </c>
      <c r="E9">
        <v>5</v>
      </c>
      <c r="F9" s="3">
        <f>IFERROR(AVERAGEIFS(vp.tbl[VP],vp.tbl[Crude_Breakdown],_xlfn.CONCAT("=",crudeBD.lkup.complete[[#This Row],[Crude Breakdown]])),"")</f>
        <v>68.238356164383575</v>
      </c>
      <c r="G9" s="3">
        <f>SQRT(SUMIFS(vp.tbl[SS_VP],vp.tbl[Crude_Breakdown],_xlfn.CONCAT("=",crudeBD.lkup.complete[[#This Row],[Crude Breakdown]]))/(COUNTIF(vp.tbl[Crude_Breakdown],crudeBD.lkup.complete[[#This Row],[Crude Breakdown]])-1))</f>
        <v>19.174466715684503</v>
      </c>
      <c r="H9" s="3">
        <f>IFERROR(AVERAGEIFS(vp.tbl[Dens],vp.tbl[Crude_Breakdown],_xlfn.CONCAT("=",crudeBD.lkup.complete[[#This Row],[Crude Breakdown]])),"")</f>
        <v>877.55205479452025</v>
      </c>
      <c r="I9" s="3">
        <f>SQRT(SUMIFS(vp.tbl[SS_Dens],vp.tbl[Crude_Breakdown],_xlfn.CONCAT("=",crudeBD.lkup.complete[[#This Row],[Crude Breakdown]]))/(COUNTIF(vp.tbl[Crude_Breakdown],crudeBD.lkup.complete[[#This Row],[Crude Breakdown]])-1))</f>
        <v>6.3147907293589371</v>
      </c>
      <c r="J9" s="3">
        <f>IFERROR(AVERAGEIFS(vp.tbl[Sulf],vp.tbl[Crude_Breakdown],_xlfn.CONCAT("=",crudeBD.lkup.complete[[#This Row],[Crude Breakdown]])),"")</f>
        <v>2.4153401369863001</v>
      </c>
      <c r="K9" s="3">
        <f>IFERROR(SQRT(SUMIFS(vp.tbl[SS_Sulf],vp.tbl[Crude_Breakdown],_xlfn.CONCAT("=",crudeBD.lkup.complete[[#This Row],[Crude Breakdown]]))/(COUNTIF(vp.tbl[Crude_Breakdown],crudeBD.lkup.complete[[#This Row],[Crude Breakdown]])-1)),0)</f>
        <v>0.39727222640364013</v>
      </c>
    </row>
    <row r="10" spans="1:11" x14ac:dyDescent="0.25">
      <c r="A10" t="s">
        <v>342</v>
      </c>
      <c r="B10">
        <v>9</v>
      </c>
      <c r="D10" t="s">
        <v>35</v>
      </c>
      <c r="E10">
        <v>6</v>
      </c>
      <c r="F10" s="3" t="str">
        <f>IFERROR(AVERAGEIFS(vp.tbl[VP],vp.tbl[Crude_Breakdown],_xlfn.CONCAT("=",crudeBD.lkup.complete[[#This Row],[Crude Breakdown]])),"")</f>
        <v/>
      </c>
      <c r="G10" s="3">
        <f>SQRT(SUMIFS(vp.tbl[SS_VP],vp.tbl[Crude_Breakdown],_xlfn.CONCAT("=",crudeBD.lkup.complete[[#This Row],[Crude Breakdown]]))/(COUNTIF(vp.tbl[Crude_Breakdown],crudeBD.lkup.complete[[#This Row],[Crude Breakdown]])-1))</f>
        <v>0</v>
      </c>
      <c r="H10" s="3" t="str">
        <f>IFERROR(AVERAGEIFS(vp.tbl[Dens],vp.tbl[Crude_Breakdown],_xlfn.CONCAT("=",crudeBD.lkup.complete[[#This Row],[Crude Breakdown]])),"")</f>
        <v/>
      </c>
      <c r="I10" s="3">
        <f>SQRT(SUMIFS(vp.tbl[SS_Dens],vp.tbl[Crude_Breakdown],_xlfn.CONCAT("=",crudeBD.lkup.complete[[#This Row],[Crude Breakdown]]))/(COUNTIF(vp.tbl[Crude_Breakdown],crudeBD.lkup.complete[[#This Row],[Crude Breakdown]])-1))</f>
        <v>0</v>
      </c>
      <c r="J10" s="3" t="str">
        <f>IFERROR(AVERAGEIFS(vp.tbl[Sulf],vp.tbl[Crude_Breakdown],_xlfn.CONCAT("=",crudeBD.lkup.complete[[#This Row],[Crude Breakdown]])),"")</f>
        <v/>
      </c>
      <c r="K10" s="3">
        <f>IFERROR(SQRT(SUMIFS(vp.tbl[SS_Sulf],vp.tbl[Crude_Breakdown],_xlfn.CONCAT("=",crudeBD.lkup.complete[[#This Row],[Crude Breakdown]]))/(COUNTIF(vp.tbl[Crude_Breakdown],crudeBD.lkup.complete[[#This Row],[Crude Breakdown]])-1)),0)</f>
        <v>0</v>
      </c>
    </row>
    <row r="11" spans="1:11" x14ac:dyDescent="0.25">
      <c r="A11" t="s">
        <v>343</v>
      </c>
      <c r="B11">
        <v>10</v>
      </c>
      <c r="D11" t="s">
        <v>36</v>
      </c>
      <c r="E11">
        <v>7</v>
      </c>
      <c r="F11" s="3" t="str">
        <f>IFERROR(AVERAGEIFS(vp.tbl[VP],vp.tbl[Crude_Breakdown],_xlfn.CONCAT("=",crudeBD.lkup.complete[[#This Row],[Crude Breakdown]])),"")</f>
        <v/>
      </c>
      <c r="G11" s="3">
        <f>SQRT(SUMIFS(vp.tbl[SS_VP],vp.tbl[Crude_Breakdown],_xlfn.CONCAT("=",crudeBD.lkup.complete[[#This Row],[Crude Breakdown]]))/(COUNTIF(vp.tbl[Crude_Breakdown],crudeBD.lkup.complete[[#This Row],[Crude Breakdown]])-1))</f>
        <v>0</v>
      </c>
      <c r="H11" s="3" t="str">
        <f>IFERROR(AVERAGEIFS(vp.tbl[Dens],vp.tbl[Crude_Breakdown],_xlfn.CONCAT("=",crudeBD.lkup.complete[[#This Row],[Crude Breakdown]])),"")</f>
        <v/>
      </c>
      <c r="I11" s="3">
        <f>SQRT(SUMIFS(vp.tbl[SS_Dens],vp.tbl[Crude_Breakdown],_xlfn.CONCAT("=",crudeBD.lkup.complete[[#This Row],[Crude Breakdown]]))/(COUNTIF(vp.tbl[Crude_Breakdown],crudeBD.lkup.complete[[#This Row],[Crude Breakdown]])-1))</f>
        <v>0</v>
      </c>
      <c r="J11" s="3" t="str">
        <f>IFERROR(AVERAGEIFS(vp.tbl[Sulf],vp.tbl[Crude_Breakdown],_xlfn.CONCAT("=",crudeBD.lkup.complete[[#This Row],[Crude Breakdown]])),"")</f>
        <v/>
      </c>
      <c r="K11" s="3">
        <f>IFERROR(SQRT(SUMIFS(vp.tbl[SS_Sulf],vp.tbl[Crude_Breakdown],_xlfn.CONCAT("=",crudeBD.lkup.complete[[#This Row],[Crude Breakdown]]))/(COUNTIF(vp.tbl[Crude_Breakdown],crudeBD.lkup.complete[[#This Row],[Crude Breakdown]])-1)),0)</f>
        <v>0</v>
      </c>
    </row>
    <row r="12" spans="1:11" x14ac:dyDescent="0.25">
      <c r="A12" t="s">
        <v>344</v>
      </c>
      <c r="B12">
        <v>11</v>
      </c>
    </row>
    <row r="13" spans="1:11" x14ac:dyDescent="0.25">
      <c r="A13" t="s">
        <v>345</v>
      </c>
      <c r="B13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4"/>
  <sheetViews>
    <sheetView tabSelected="1" workbookViewId="0">
      <selection activeCell="P16" sqref="P16"/>
    </sheetView>
  </sheetViews>
  <sheetFormatPr defaultRowHeight="15" x14ac:dyDescent="0.25"/>
  <cols>
    <col min="1" max="1" width="26.5703125" bestFit="1" customWidth="1"/>
    <col min="4" max="4" width="14.7109375" bestFit="1" customWidth="1"/>
    <col min="5" max="5" width="12.28515625" bestFit="1" customWidth="1"/>
    <col min="6" max="6" width="11.7109375" bestFit="1" customWidth="1"/>
    <col min="7" max="7" width="7" bestFit="1" customWidth="1"/>
    <col min="8" max="8" width="8" bestFit="1" customWidth="1"/>
    <col min="9" max="9" width="13.85546875" customWidth="1"/>
    <col min="10" max="10" width="12.5703125" bestFit="1" customWidth="1"/>
    <col min="11" max="11" width="10.42578125" bestFit="1" customWidth="1"/>
    <col min="12" max="12" width="11.42578125" customWidth="1"/>
    <col min="13" max="13" width="9.85546875" bestFit="1" customWidth="1"/>
    <col min="14" max="14" width="20.5703125" bestFit="1" customWidth="1"/>
    <col min="15" max="15" width="9" customWidth="1"/>
    <col min="16" max="16" width="9.7109375" bestFit="1" customWidth="1"/>
    <col min="17" max="17" width="8.28515625" bestFit="1" customWidth="1"/>
    <col min="18" max="18" width="11.85546875" bestFit="1" customWidth="1"/>
    <col min="19" max="19" width="11.42578125" customWidth="1"/>
    <col min="20" max="20" width="14.7109375" customWidth="1"/>
    <col min="21" max="21" width="14.85546875" bestFit="1" customWidth="1"/>
    <col min="22" max="22" width="9.42578125" customWidth="1"/>
    <col min="23" max="23" width="14" bestFit="1" customWidth="1"/>
    <col min="24" max="24" width="12.5703125" customWidth="1"/>
    <col min="25" max="25" width="6.5703125" bestFit="1" customWidth="1"/>
    <col min="26" max="26" width="6.85546875" bestFit="1" customWidth="1"/>
    <col min="27" max="27" width="6.7109375" customWidth="1"/>
    <col min="28" max="28" width="7.28515625" bestFit="1" customWidth="1"/>
    <col min="29" max="29" width="7" customWidth="1"/>
    <col min="30" max="31" width="6.5703125" bestFit="1" customWidth="1"/>
    <col min="32" max="33" width="7.28515625" bestFit="1" customWidth="1"/>
    <col min="34" max="34" width="6.5703125" bestFit="1" customWidth="1"/>
    <col min="35" max="35" width="7.140625" bestFit="1" customWidth="1"/>
    <col min="36" max="36" width="6.85546875" bestFit="1" customWidth="1"/>
    <col min="37" max="37" width="17.42578125" bestFit="1" customWidth="1"/>
    <col min="38" max="38" width="9.7109375" bestFit="1" customWidth="1"/>
    <col min="39" max="39" width="16" bestFit="1" customWidth="1"/>
    <col min="40" max="40" width="15.85546875" bestFit="1" customWidth="1"/>
    <col min="41" max="41" width="19.140625" bestFit="1" customWidth="1"/>
    <col min="42" max="42" width="18.7109375" customWidth="1"/>
    <col min="43" max="43" width="13.42578125" customWidth="1"/>
    <col min="44" max="44" width="18.140625" bestFit="1" customWidth="1"/>
    <col min="45" max="45" width="17" bestFit="1" customWidth="1"/>
    <col min="46" max="46" width="10.7109375" bestFit="1" customWidth="1"/>
    <col min="47" max="47" width="17" bestFit="1" customWidth="1"/>
    <col min="48" max="48" width="16.85546875" bestFit="1" customWidth="1"/>
    <col min="49" max="49" width="20.28515625" bestFit="1" customWidth="1"/>
    <col min="50" max="50" width="20.140625" bestFit="1" customWidth="1"/>
    <col min="51" max="51" width="14.42578125" customWidth="1"/>
    <col min="52" max="52" width="19.140625" bestFit="1" customWidth="1"/>
    <col min="53" max="53" width="18" bestFit="1" customWidth="1"/>
    <col min="54" max="54" width="15.28515625" bestFit="1" customWidth="1"/>
    <col min="55" max="55" width="21.7109375" bestFit="1" customWidth="1"/>
    <col min="56" max="56" width="21.5703125" bestFit="1" customWidth="1"/>
    <col min="57" max="57" width="25" bestFit="1" customWidth="1"/>
    <col min="58" max="58" width="24.85546875" bestFit="1" customWidth="1"/>
    <col min="59" max="59" width="19.42578125" bestFit="1" customWidth="1"/>
    <col min="60" max="60" width="24" bestFit="1" customWidth="1"/>
    <col min="61" max="61" width="22.7109375" bestFit="1" customWidth="1"/>
  </cols>
  <sheetData>
    <row r="1" spans="1:61" x14ac:dyDescent="0.25">
      <c r="E1" s="10" t="s">
        <v>390</v>
      </c>
      <c r="F1" s="9">
        <v>341.81126627279201</v>
      </c>
      <c r="G1" s="9">
        <v>0</v>
      </c>
      <c r="H1" s="9">
        <v>-0.299709888940905</v>
      </c>
      <c r="I1" s="9">
        <v>0</v>
      </c>
      <c r="J1" s="9">
        <v>-0.195204295699235</v>
      </c>
      <c r="K1" s="9">
        <v>0</v>
      </c>
      <c r="L1" s="9">
        <v>-0.16446166295936099</v>
      </c>
      <c r="M1" s="9">
        <v>-1.34806130998875E-5</v>
      </c>
      <c r="N1" s="9">
        <v>0</v>
      </c>
      <c r="O1" s="9">
        <v>0</v>
      </c>
      <c r="P1" s="9">
        <v>0</v>
      </c>
      <c r="Q1" s="9">
        <v>-21.915700910619002</v>
      </c>
      <c r="R1" s="9">
        <v>0</v>
      </c>
      <c r="S1" s="9">
        <v>0</v>
      </c>
      <c r="T1" s="9">
        <v>0</v>
      </c>
      <c r="U1" s="9">
        <v>0</v>
      </c>
      <c r="V1" s="9">
        <v>-1.4334561007013999</v>
      </c>
      <c r="W1" s="9">
        <v>0</v>
      </c>
      <c r="X1" s="9">
        <v>0</v>
      </c>
      <c r="Y1" s="9">
        <v>0</v>
      </c>
      <c r="Z1" s="9">
        <v>0.70228872442654999</v>
      </c>
      <c r="AA1" s="9">
        <v>0</v>
      </c>
      <c r="AB1" s="9">
        <v>0</v>
      </c>
      <c r="AC1" s="9">
        <v>-1.3237373069626901</v>
      </c>
      <c r="AD1" s="9">
        <v>0</v>
      </c>
      <c r="AE1" s="9">
        <v>-3.1859022551753</v>
      </c>
      <c r="AF1" s="9">
        <v>-9.1125180886396606</v>
      </c>
      <c r="AG1" s="9">
        <v>-9.5788047436260406</v>
      </c>
      <c r="AH1" s="9">
        <v>0</v>
      </c>
      <c r="AI1" s="9">
        <v>0</v>
      </c>
      <c r="AJ1" s="9">
        <v>6.1465984557255204</v>
      </c>
      <c r="AK1" s="9">
        <v>-11.1820636191107</v>
      </c>
      <c r="AL1" s="9">
        <v>0</v>
      </c>
      <c r="AM1" s="9">
        <v>3.3810540299423901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-9.2743322845377802E-3</v>
      </c>
      <c r="AU1" s="9">
        <v>0</v>
      </c>
      <c r="AV1" s="9">
        <v>0</v>
      </c>
      <c r="AW1" s="9">
        <v>0</v>
      </c>
      <c r="AX1" s="9">
        <v>6.41341123609321E-3</v>
      </c>
      <c r="AY1" s="9">
        <v>-2.6061108540321797E-4</v>
      </c>
      <c r="AZ1" s="9">
        <v>0</v>
      </c>
      <c r="BA1" s="9">
        <v>0</v>
      </c>
      <c r="BB1" s="9">
        <v>0.102210155758232</v>
      </c>
      <c r="BC1" s="9">
        <v>-0.120203915154312</v>
      </c>
      <c r="BD1" s="9">
        <v>-7.9682429857528506E-2</v>
      </c>
      <c r="BE1" s="9">
        <v>0</v>
      </c>
      <c r="BF1" s="9">
        <v>0.99057450421999604</v>
      </c>
      <c r="BG1" s="9">
        <v>1.3025003114154499E-3</v>
      </c>
      <c r="BH1" s="9">
        <v>0</v>
      </c>
      <c r="BI1" s="9">
        <v>0</v>
      </c>
    </row>
    <row r="3" spans="1:61" x14ac:dyDescent="0.25">
      <c r="D3" s="7" t="s">
        <v>384</v>
      </c>
      <c r="E3" s="7" t="s">
        <v>18</v>
      </c>
      <c r="F3" s="7" t="s">
        <v>359</v>
      </c>
      <c r="G3" s="8" t="s">
        <v>21</v>
      </c>
      <c r="H3" s="8" t="s">
        <v>25</v>
      </c>
      <c r="I3" s="8" t="s">
        <v>7</v>
      </c>
      <c r="J3" s="8" t="s">
        <v>9</v>
      </c>
      <c r="K3" s="8" t="s">
        <v>1</v>
      </c>
      <c r="L3" s="8" t="s">
        <v>2</v>
      </c>
      <c r="M3" s="8" t="s">
        <v>3</v>
      </c>
      <c r="N3" s="8" t="s">
        <v>4</v>
      </c>
      <c r="O3" s="8" t="s">
        <v>5</v>
      </c>
      <c r="P3" s="8" t="s">
        <v>6</v>
      </c>
      <c r="Q3" s="7" t="s">
        <v>29</v>
      </c>
      <c r="R3" s="7" t="s">
        <v>30</v>
      </c>
      <c r="S3" s="7" t="s">
        <v>31</v>
      </c>
      <c r="T3" s="7" t="s">
        <v>32</v>
      </c>
      <c r="U3" s="7" t="s">
        <v>33</v>
      </c>
      <c r="V3" s="7" t="s">
        <v>34</v>
      </c>
      <c r="W3" s="7" t="s">
        <v>35</v>
      </c>
      <c r="X3" s="7" t="s">
        <v>36</v>
      </c>
      <c r="Y3" s="7" t="s">
        <v>334</v>
      </c>
      <c r="Z3" s="7" t="s">
        <v>335</v>
      </c>
      <c r="AA3" s="7" t="s">
        <v>336</v>
      </c>
      <c r="AB3" s="7" t="s">
        <v>337</v>
      </c>
      <c r="AC3" s="7" t="s">
        <v>338</v>
      </c>
      <c r="AD3" s="7" t="s">
        <v>339</v>
      </c>
      <c r="AE3" s="7" t="s">
        <v>340</v>
      </c>
      <c r="AF3" s="7" t="s">
        <v>341</v>
      </c>
      <c r="AG3" s="7" t="s">
        <v>342</v>
      </c>
      <c r="AH3" s="7" t="s">
        <v>343</v>
      </c>
      <c r="AI3" s="7" t="s">
        <v>344</v>
      </c>
      <c r="AJ3" s="7" t="s">
        <v>345</v>
      </c>
      <c r="AK3" s="8" t="s">
        <v>404</v>
      </c>
      <c r="AL3" s="7" t="s">
        <v>360</v>
      </c>
      <c r="AM3" s="7" t="s">
        <v>361</v>
      </c>
      <c r="AN3" s="7" t="s">
        <v>362</v>
      </c>
      <c r="AO3" s="7" t="s">
        <v>363</v>
      </c>
      <c r="AP3" s="7" t="s">
        <v>364</v>
      </c>
      <c r="AQ3" s="7" t="s">
        <v>365</v>
      </c>
      <c r="AR3" s="7" t="s">
        <v>366</v>
      </c>
      <c r="AS3" s="7" t="s">
        <v>367</v>
      </c>
      <c r="AT3" s="7" t="s">
        <v>368</v>
      </c>
      <c r="AU3" s="7" t="s">
        <v>369</v>
      </c>
      <c r="AV3" s="7" t="s">
        <v>370</v>
      </c>
      <c r="AW3" s="7" t="s">
        <v>371</v>
      </c>
      <c r="AX3" s="7" t="s">
        <v>372</v>
      </c>
      <c r="AY3" s="7" t="s">
        <v>373</v>
      </c>
      <c r="AZ3" s="7" t="s">
        <v>374</v>
      </c>
      <c r="BA3" s="7" t="s">
        <v>375</v>
      </c>
      <c r="BB3" s="7" t="s">
        <v>376</v>
      </c>
      <c r="BC3" s="7" t="s">
        <v>377</v>
      </c>
      <c r="BD3" s="7" t="s">
        <v>378</v>
      </c>
      <c r="BE3" s="7" t="s">
        <v>379</v>
      </c>
      <c r="BF3" s="7" t="s">
        <v>380</v>
      </c>
      <c r="BG3" s="7" t="s">
        <v>381</v>
      </c>
      <c r="BH3" s="7" t="s">
        <v>382</v>
      </c>
      <c r="BI3" s="7" t="s">
        <v>383</v>
      </c>
    </row>
    <row r="4" spans="1:61" x14ac:dyDescent="0.25">
      <c r="A4" s="10" t="s">
        <v>355</v>
      </c>
      <c r="B4" s="8">
        <v>830</v>
      </c>
      <c r="D4" s="5">
        <f ca="1">SUMPRODUCT($F$1:$BI$1,sim.tbl[[#This Row],[Intercept]:[Temp.Roll:Heavy_SW]])</f>
        <v>96.984502062480203</v>
      </c>
      <c r="E4" s="14">
        <f ca="1">DATE(YEAR(TODAY()),INDEX(mthLkUp.tbl[Num],MATCH(mth.input,mthLkUp.tbl[Month],0)),1)</f>
        <v>42795</v>
      </c>
      <c r="F4" s="6">
        <f>1</f>
        <v>1</v>
      </c>
      <c r="G4" s="5">
        <v>0.91</v>
      </c>
      <c r="H4" s="5">
        <v>828.4</v>
      </c>
      <c r="I4" s="5">
        <v>-8.7833333329999999</v>
      </c>
      <c r="J4" s="5">
        <v>-9.6</v>
      </c>
      <c r="K4" s="5">
        <v>-8.8000000000000007</v>
      </c>
      <c r="L4" s="5">
        <v>-9.6</v>
      </c>
      <c r="M4" s="5">
        <v>-8.5</v>
      </c>
      <c r="N4" s="5">
        <v>-8.8000000000000007</v>
      </c>
      <c r="O4" s="5">
        <v>-9.8000000000000007</v>
      </c>
      <c r="P4" s="5">
        <v>-7.2</v>
      </c>
      <c r="Q4" s="6">
        <f>IF(sim.tbl[[#This Row],[Dens]]&lt;=770,1,0)</f>
        <v>0</v>
      </c>
      <c r="R4" s="6">
        <f>IF(AND(sim.tbl[[#This Row],[Sulf]]&gt;0.5,sim.tbl[[#This Row],[Dens]]&gt;770,sim.tbl[[#This Row],[Dens]]&lt;=825),1,0)</f>
        <v>0</v>
      </c>
      <c r="S4" s="6">
        <f>IF(AND(sim.tbl[[#This Row],[Sulf]]&lt;=0.5,sim.tbl[[#This Row],[Dens]]&gt;770,sim.tbl[[#This Row],[Dens]]&lt;=825),1,0)</f>
        <v>0</v>
      </c>
      <c r="T4" s="6">
        <f>IF(AND(sim.tbl[[#This Row],[Sulf]]&gt;0.5,sim.tbl[[#This Row],[Dens]]&gt;825,sim.tbl[[#This Row],[Dens]]&lt;=870),1,0)</f>
        <v>1</v>
      </c>
      <c r="U4" s="6">
        <f>IF(AND(sim.tbl[[#This Row],[Sulf]]&lt;0.5,sim.tbl[[#This Row],[Dens]]&gt;825,sim.tbl[[#This Row],[Dens]]&lt;=900),1,0)</f>
        <v>0</v>
      </c>
      <c r="V4" s="6">
        <f>IF(AND(sim.tbl[[#This Row],[Sulf]]&gt;0.5,sim.tbl[[#This Row],[Dens]]&gt;870,sim.tbl[[#This Row],[Dens]]&lt;=900),1,0)</f>
        <v>0</v>
      </c>
      <c r="W4" s="6">
        <f>IF(AND(sim.tbl[[#This Row],[Sulf]]&gt;0.5,sim.tbl[[#This Row],[Dens]]&gt;900),1,0)</f>
        <v>0</v>
      </c>
      <c r="X4" s="6">
        <f>IF(AND(sim.tbl[[#This Row],[Sulf]]&lt;=0.5,sim.tbl[[#This Row],[Dens]]&gt;900),1,0)</f>
        <v>0</v>
      </c>
      <c r="Y4" s="6">
        <f ca="1">IF(MONTH(sim.tbl[[#This Row],[SDate]])=INDEX(mthLkUp.tbl[Num],MATCH(Y$3,mthLkUp.tbl[Month],0)),1,0)</f>
        <v>0</v>
      </c>
      <c r="Z4" s="6">
        <f ca="1">IF(MONTH(sim.tbl[[#This Row],[SDate]])=INDEX(mthLkUp.tbl[Num],MATCH(Z$3,mthLkUp.tbl[Month],0)),1,0)</f>
        <v>0</v>
      </c>
      <c r="AA4" s="6">
        <f ca="1">IF(MONTH(sim.tbl[[#This Row],[SDate]])=INDEX(mthLkUp.tbl[Num],MATCH(AA$3,mthLkUp.tbl[Month],0)),1,0)</f>
        <v>1</v>
      </c>
      <c r="AB4" s="6">
        <f ca="1">IF(MONTH(sim.tbl[[#This Row],[SDate]])=INDEX(mthLkUp.tbl[Num],MATCH(AB$3,mthLkUp.tbl[Month],0)),1,0)</f>
        <v>0</v>
      </c>
      <c r="AC4" s="6">
        <f ca="1">IF(MONTH(sim.tbl[[#This Row],[SDate]])=INDEX(mthLkUp.tbl[Num],MATCH(AC$3,mthLkUp.tbl[Month],0)),1,0)</f>
        <v>0</v>
      </c>
      <c r="AD4" s="6">
        <f ca="1">IF(MONTH(sim.tbl[[#This Row],[SDate]])=INDEX(mthLkUp.tbl[Num],MATCH(AD$3,mthLkUp.tbl[Month],0)),1,0)</f>
        <v>0</v>
      </c>
      <c r="AE4" s="6">
        <f ca="1">IF(MONTH(sim.tbl[[#This Row],[SDate]])=INDEX(mthLkUp.tbl[Num],MATCH(AE$3,mthLkUp.tbl[Month],0)),1,0)</f>
        <v>0</v>
      </c>
      <c r="AF4" s="6">
        <f ca="1">IF(MONTH(sim.tbl[[#This Row],[SDate]])=INDEX(mthLkUp.tbl[Num],MATCH(AF$3,mthLkUp.tbl[Month],0)),1,0)</f>
        <v>0</v>
      </c>
      <c r="AG4" s="6">
        <f ca="1">IF(MONTH(sim.tbl[[#This Row],[SDate]])=INDEX(mthLkUp.tbl[Num],MATCH(AG$3,mthLkUp.tbl[Month],0)),1,0)</f>
        <v>0</v>
      </c>
      <c r="AH4" s="6">
        <f ca="1">IF(MONTH(sim.tbl[[#This Row],[SDate]])=INDEX(mthLkUp.tbl[Num],MATCH(AH$3,mthLkUp.tbl[Month],0)),1,0)</f>
        <v>0</v>
      </c>
      <c r="AI4" s="6">
        <f ca="1">IF(MONTH(sim.tbl[[#This Row],[SDate]])=INDEX(mthLkUp.tbl[Num],MATCH(AI$3,mthLkUp.tbl[Month],0)),1,0)</f>
        <v>0</v>
      </c>
      <c r="AJ4" s="6">
        <f ca="1">IF(MONTH(sim.tbl[[#This Row],[SDate]])=INDEX(mthLkUp.tbl[Num],MATCH(AJ$3,mthLkUp.tbl[Month],0)),1,0)</f>
        <v>0</v>
      </c>
      <c r="AK4" s="6">
        <v>0</v>
      </c>
      <c r="AL4" s="5">
        <f>sim.tbl[[#This Row],[Sulf]]*sim.tbl[[#This Row],[C5]]</f>
        <v>0</v>
      </c>
      <c r="AM4" s="5">
        <f>sim.tbl[[#This Row],[Sulf]]*sim.tbl[[#This Row],[Light_LSB]]</f>
        <v>0</v>
      </c>
      <c r="AN4" s="5">
        <f>sim.tbl[[#This Row],[Sulf]]*sim.tbl[[#This Row],[Light_SW]]</f>
        <v>0</v>
      </c>
      <c r="AO4" s="5">
        <f>sim.tbl[[#This Row],[Sulf]]*sim.tbl[[#This Row],[Medium_LSB]]</f>
        <v>0.91</v>
      </c>
      <c r="AP4" s="5">
        <f>sim.tbl[[#This Row],[Sulf]]*sim.tbl[[#This Row],[Medium_SW]]</f>
        <v>0</v>
      </c>
      <c r="AQ4" s="5">
        <f>sim.tbl[[#This Row],[Sulf]]*sim.tbl[[#This Row],[Midale]]</f>
        <v>0</v>
      </c>
      <c r="AR4" s="5">
        <f>sim.tbl[[#This Row],[Sulf]]*sim.tbl[[#This Row],[Heavy_Sour]]</f>
        <v>0</v>
      </c>
      <c r="AS4" s="5">
        <f>sim.tbl[[#This Row],[Sulf]]*sim.tbl[[#This Row],[Heavy_SW]]</f>
        <v>0</v>
      </c>
      <c r="AT4" s="5">
        <f>sim.tbl[[#This Row],[Dens]]*sim.tbl[[#This Row],[C5]]</f>
        <v>0</v>
      </c>
      <c r="AU4" s="5">
        <f>sim.tbl[[#This Row],[Dens]]*sim.tbl[[#This Row],[Light_LSB]]</f>
        <v>0</v>
      </c>
      <c r="AV4" s="5">
        <f>sim.tbl[[#This Row],[Dens]]*sim.tbl[[#This Row],[Light_SW]]</f>
        <v>0</v>
      </c>
      <c r="AW4" s="5">
        <f>sim.tbl[[#This Row],[Dens]]*sim.tbl[[#This Row],[Medium_LSB]]</f>
        <v>828.4</v>
      </c>
      <c r="AX4" s="5">
        <f>sim.tbl[[#This Row],[Dens]]*sim.tbl[[#This Row],[Medium_SW]]</f>
        <v>0</v>
      </c>
      <c r="AY4" s="5">
        <f>sim.tbl[[#This Row],[Dens]]*sim.tbl[[#This Row],[Midale]]</f>
        <v>0</v>
      </c>
      <c r="AZ4" s="5">
        <f>sim.tbl[[#This Row],[Dens]]*sim.tbl[[#This Row],[Heavy_Sour]]</f>
        <v>0</v>
      </c>
      <c r="BA4" s="5">
        <f>sim.tbl[[#This Row],[Dens]]*sim.tbl[[#This Row],[Heavy_SW]]</f>
        <v>0</v>
      </c>
      <c r="BB4" s="5">
        <f>sim.tbl[[#This Row],[Temp.Roll]]*sim.tbl[[#This Row],[C5]]</f>
        <v>0</v>
      </c>
      <c r="BC4" s="5">
        <f>sim.tbl[[#This Row],[Temp.Roll]]*sim.tbl[[#This Row],[Light_LSB]]</f>
        <v>0</v>
      </c>
      <c r="BD4" s="5">
        <f>sim.tbl[[#This Row],[Temp.Roll]]*sim.tbl[[#This Row],[Light_SW]]</f>
        <v>0</v>
      </c>
      <c r="BE4" s="5">
        <f>sim.tbl[[#This Row],[Temp.Roll]]*sim.tbl[[#This Row],[Medium_LSB]]</f>
        <v>-9.6</v>
      </c>
      <c r="BF4" s="5">
        <f>sim.tbl[[#This Row],[Temp.Roll]]*sim.tbl[[#This Row],[Medium_SW]]</f>
        <v>0</v>
      </c>
      <c r="BG4" s="5">
        <f>sim.tbl[[#This Row],[Temp.Roll]]*sim.tbl[[#This Row],[Midale]]</f>
        <v>0</v>
      </c>
      <c r="BH4" s="5">
        <f>sim.tbl[[#This Row],[Temp.Roll]]*sim.tbl[[#This Row],[Heavy_Sour]]</f>
        <v>0</v>
      </c>
      <c r="BI4" s="5">
        <f>sim.tbl[[#This Row],[Temp.Roll]]*sim.tbl[[#This Row],[Heavy_SW]]</f>
        <v>0</v>
      </c>
    </row>
    <row r="5" spans="1:61" x14ac:dyDescent="0.25">
      <c r="A5" s="10" t="s">
        <v>356</v>
      </c>
      <c r="B5" s="8">
        <v>0.93</v>
      </c>
      <c r="D5" s="5">
        <f ca="1">SUMPRODUCT($F$1:$BI$1,sim.tbl[[#This Row],[Intercept]:[Temp.Roll:Heavy_SW]])</f>
        <v>91.091742121527943</v>
      </c>
      <c r="E5" s="14">
        <f ca="1">DATE(YEAR(TODAY()),INDEX(mthLkUp.tbl[Num],MATCH(mth.input,mthLkUp.tbl[Month],0)),1)</f>
        <v>42795</v>
      </c>
      <c r="F5" s="6">
        <f>1</f>
        <v>1</v>
      </c>
      <c r="G5" s="5">
        <v>1.46</v>
      </c>
      <c r="H5" s="5">
        <v>827.3</v>
      </c>
      <c r="I5" s="5">
        <v>8.0500000000000007</v>
      </c>
      <c r="J5" s="5">
        <v>7.7</v>
      </c>
      <c r="K5" s="5">
        <v>7.7</v>
      </c>
      <c r="L5" s="5">
        <v>7.7</v>
      </c>
      <c r="M5" s="5">
        <v>7.8</v>
      </c>
      <c r="N5" s="5">
        <v>8.5</v>
      </c>
      <c r="O5" s="5">
        <v>8.8000000000000007</v>
      </c>
      <c r="P5" s="5">
        <v>7.8</v>
      </c>
      <c r="Q5" s="6">
        <f>IF(sim.tbl[[#This Row],[Dens]]&lt;=770,1,0)</f>
        <v>0</v>
      </c>
      <c r="R5" s="6">
        <f>IF(AND(sim.tbl[[#This Row],[Sulf]]&gt;0.5,sim.tbl[[#This Row],[Dens]]&gt;770,sim.tbl[[#This Row],[Dens]]&lt;=825),1,0)</f>
        <v>0</v>
      </c>
      <c r="S5" s="6">
        <f>IF(AND(sim.tbl[[#This Row],[Sulf]]&lt;=0.5,sim.tbl[[#This Row],[Dens]]&gt;770,sim.tbl[[#This Row],[Dens]]&lt;=825),1,0)</f>
        <v>0</v>
      </c>
      <c r="T5" s="6">
        <f>IF(AND(sim.tbl[[#This Row],[Sulf]]&gt;0.5,sim.tbl[[#This Row],[Dens]]&gt;825,sim.tbl[[#This Row],[Dens]]&lt;=870),1,0)</f>
        <v>1</v>
      </c>
      <c r="U5" s="6">
        <f>IF(AND(sim.tbl[[#This Row],[Sulf]]&lt;0.5,sim.tbl[[#This Row],[Dens]]&gt;825,sim.tbl[[#This Row],[Dens]]&lt;=900),1,0)</f>
        <v>0</v>
      </c>
      <c r="V5" s="6">
        <f>IF(AND(sim.tbl[[#This Row],[Sulf]]&gt;0.5,sim.tbl[[#This Row],[Dens]]&gt;870,sim.tbl[[#This Row],[Dens]]&lt;=900),1,0)</f>
        <v>0</v>
      </c>
      <c r="W5" s="6">
        <f>IF(AND(sim.tbl[[#This Row],[Sulf]]&gt;0.5,sim.tbl[[#This Row],[Dens]]&gt;900),1,0)</f>
        <v>0</v>
      </c>
      <c r="X5" s="6">
        <f>IF(AND(sim.tbl[[#This Row],[Sulf]]&lt;=0.5,sim.tbl[[#This Row],[Dens]]&gt;900),1,0)</f>
        <v>0</v>
      </c>
      <c r="Y5" s="6">
        <f ca="1">IF(MONTH(sim.tbl[[#This Row],[SDate]])=INDEX(mthLkUp.tbl[Num],MATCH(Y$3,mthLkUp.tbl[Month],0)),1,0)</f>
        <v>0</v>
      </c>
      <c r="Z5" s="6">
        <f ca="1">IF(MONTH(sim.tbl[[#This Row],[SDate]])=INDEX(mthLkUp.tbl[Num],MATCH(Z$3,mthLkUp.tbl[Month],0)),1,0)</f>
        <v>0</v>
      </c>
      <c r="AA5" s="6">
        <f ca="1">IF(MONTH(sim.tbl[[#This Row],[SDate]])=INDEX(mthLkUp.tbl[Num],MATCH(AA$3,mthLkUp.tbl[Month],0)),1,0)</f>
        <v>1</v>
      </c>
      <c r="AB5" s="6">
        <f ca="1">IF(MONTH(sim.tbl[[#This Row],[SDate]])=INDEX(mthLkUp.tbl[Num],MATCH(AB$3,mthLkUp.tbl[Month],0)),1,0)</f>
        <v>0</v>
      </c>
      <c r="AC5" s="6">
        <f ca="1">IF(MONTH(sim.tbl[[#This Row],[SDate]])=INDEX(mthLkUp.tbl[Num],MATCH(AC$3,mthLkUp.tbl[Month],0)),1,0)</f>
        <v>0</v>
      </c>
      <c r="AD5" s="6">
        <f ca="1">IF(MONTH(sim.tbl[[#This Row],[SDate]])=INDEX(mthLkUp.tbl[Num],MATCH(AD$3,mthLkUp.tbl[Month],0)),1,0)</f>
        <v>0</v>
      </c>
      <c r="AE5" s="6">
        <f ca="1">IF(MONTH(sim.tbl[[#This Row],[SDate]])=INDEX(mthLkUp.tbl[Num],MATCH(AE$3,mthLkUp.tbl[Month],0)),1,0)</f>
        <v>0</v>
      </c>
      <c r="AF5" s="6">
        <f ca="1">IF(MONTH(sim.tbl[[#This Row],[SDate]])=INDEX(mthLkUp.tbl[Num],MATCH(AF$3,mthLkUp.tbl[Month],0)),1,0)</f>
        <v>0</v>
      </c>
      <c r="AG5" s="6">
        <f ca="1">IF(MONTH(sim.tbl[[#This Row],[SDate]])=INDEX(mthLkUp.tbl[Num],MATCH(AG$3,mthLkUp.tbl[Month],0)),1,0)</f>
        <v>0</v>
      </c>
      <c r="AH5" s="6">
        <f ca="1">IF(MONTH(sim.tbl[[#This Row],[SDate]])=INDEX(mthLkUp.tbl[Num],MATCH(AH$3,mthLkUp.tbl[Month],0)),1,0)</f>
        <v>0</v>
      </c>
      <c r="AI5" s="6">
        <f ca="1">IF(MONTH(sim.tbl[[#This Row],[SDate]])=INDEX(mthLkUp.tbl[Num],MATCH(AI$3,mthLkUp.tbl[Month],0)),1,0)</f>
        <v>0</v>
      </c>
      <c r="AJ5" s="6">
        <f ca="1">IF(MONTH(sim.tbl[[#This Row],[SDate]])=INDEX(mthLkUp.tbl[Num],MATCH(AJ$3,mthLkUp.tbl[Month],0)),1,0)</f>
        <v>0</v>
      </c>
      <c r="AK5" s="6">
        <v>0</v>
      </c>
      <c r="AL5" s="5">
        <f>sim.tbl[[#This Row],[Sulf]]*sim.tbl[[#This Row],[C5]]</f>
        <v>0</v>
      </c>
      <c r="AM5" s="5">
        <f>sim.tbl[[#This Row],[Sulf]]*sim.tbl[[#This Row],[Light_LSB]]</f>
        <v>0</v>
      </c>
      <c r="AN5" s="5">
        <f>sim.tbl[[#This Row],[Sulf]]*sim.tbl[[#This Row],[Light_SW]]</f>
        <v>0</v>
      </c>
      <c r="AO5" s="5">
        <f>sim.tbl[[#This Row],[Sulf]]*sim.tbl[[#This Row],[Medium_LSB]]</f>
        <v>1.46</v>
      </c>
      <c r="AP5" s="5">
        <f>sim.tbl[[#This Row],[Sulf]]*sim.tbl[[#This Row],[Medium_SW]]</f>
        <v>0</v>
      </c>
      <c r="AQ5" s="5">
        <f>sim.tbl[[#This Row],[Sulf]]*sim.tbl[[#This Row],[Midale]]</f>
        <v>0</v>
      </c>
      <c r="AR5" s="5">
        <f>sim.tbl[[#This Row],[Sulf]]*sim.tbl[[#This Row],[Heavy_Sour]]</f>
        <v>0</v>
      </c>
      <c r="AS5" s="5">
        <f>sim.tbl[[#This Row],[Sulf]]*sim.tbl[[#This Row],[Heavy_SW]]</f>
        <v>0</v>
      </c>
      <c r="AT5" s="5">
        <f>sim.tbl[[#This Row],[Dens]]*sim.tbl[[#This Row],[C5]]</f>
        <v>0</v>
      </c>
      <c r="AU5" s="5">
        <f>sim.tbl[[#This Row],[Dens]]*sim.tbl[[#This Row],[Light_LSB]]</f>
        <v>0</v>
      </c>
      <c r="AV5" s="5">
        <f>sim.tbl[[#This Row],[Dens]]*sim.tbl[[#This Row],[Light_SW]]</f>
        <v>0</v>
      </c>
      <c r="AW5" s="5">
        <f>sim.tbl[[#This Row],[Dens]]*sim.tbl[[#This Row],[Medium_LSB]]</f>
        <v>827.3</v>
      </c>
      <c r="AX5" s="5">
        <f>sim.tbl[[#This Row],[Dens]]*sim.tbl[[#This Row],[Medium_SW]]</f>
        <v>0</v>
      </c>
      <c r="AY5" s="5">
        <f>sim.tbl[[#This Row],[Dens]]*sim.tbl[[#This Row],[Midale]]</f>
        <v>0</v>
      </c>
      <c r="AZ5" s="5">
        <f>sim.tbl[[#This Row],[Dens]]*sim.tbl[[#This Row],[Heavy_Sour]]</f>
        <v>0</v>
      </c>
      <c r="BA5" s="5">
        <f>sim.tbl[[#This Row],[Dens]]*sim.tbl[[#This Row],[Heavy_SW]]</f>
        <v>0</v>
      </c>
      <c r="BB5" s="5">
        <f>sim.tbl[[#This Row],[Temp.Roll]]*sim.tbl[[#This Row],[C5]]</f>
        <v>0</v>
      </c>
      <c r="BC5" s="5">
        <f>sim.tbl[[#This Row],[Temp.Roll]]*sim.tbl[[#This Row],[Light_LSB]]</f>
        <v>0</v>
      </c>
      <c r="BD5" s="5">
        <f>sim.tbl[[#This Row],[Temp.Roll]]*sim.tbl[[#This Row],[Light_SW]]</f>
        <v>0</v>
      </c>
      <c r="BE5" s="5">
        <f>sim.tbl[[#This Row],[Temp.Roll]]*sim.tbl[[#This Row],[Medium_LSB]]</f>
        <v>7.7</v>
      </c>
      <c r="BF5" s="5">
        <f>sim.tbl[[#This Row],[Temp.Roll]]*sim.tbl[[#This Row],[Medium_SW]]</f>
        <v>0</v>
      </c>
      <c r="BG5" s="5">
        <f>sim.tbl[[#This Row],[Temp.Roll]]*sim.tbl[[#This Row],[Midale]]</f>
        <v>0</v>
      </c>
      <c r="BH5" s="5">
        <f>sim.tbl[[#This Row],[Temp.Roll]]*sim.tbl[[#This Row],[Heavy_Sour]]</f>
        <v>0</v>
      </c>
      <c r="BI5" s="5">
        <f>sim.tbl[[#This Row],[Temp.Roll]]*sim.tbl[[#This Row],[Heavy_SW]]</f>
        <v>0</v>
      </c>
    </row>
    <row r="6" spans="1:61" x14ac:dyDescent="0.25">
      <c r="A6" s="10" t="s">
        <v>357</v>
      </c>
      <c r="B6" s="8">
        <v>-6.21</v>
      </c>
      <c r="D6" s="5">
        <f ca="1">SUMPRODUCT($F$1:$BI$1,sim.tbl[[#This Row],[Intercept]:[Temp.Roll:Heavy_SW]])</f>
        <v>97.506233537260826</v>
      </c>
      <c r="E6" s="14">
        <f ca="1">DATE(YEAR(TODAY()),INDEX(mthLkUp.tbl[Num],MATCH(mth.input,mthLkUp.tbl[Month],0)),1)</f>
        <v>42795</v>
      </c>
      <c r="F6" s="6">
        <f>1</f>
        <v>1</v>
      </c>
      <c r="G6" s="5">
        <v>0.97</v>
      </c>
      <c r="H6" s="5">
        <v>835.3</v>
      </c>
      <c r="I6" s="5">
        <v>-17.8</v>
      </c>
      <c r="J6" s="5">
        <v>-16.8</v>
      </c>
      <c r="K6" s="5">
        <v>-18.2</v>
      </c>
      <c r="L6" s="5">
        <v>-16.8</v>
      </c>
      <c r="M6" s="5">
        <v>-18.5</v>
      </c>
      <c r="N6" s="5">
        <v>-16.8</v>
      </c>
      <c r="O6" s="5">
        <v>-19</v>
      </c>
      <c r="P6" s="5">
        <v>-17.5</v>
      </c>
      <c r="Q6" s="6">
        <f>IF(sim.tbl[[#This Row],[Dens]]&lt;=770,1,0)</f>
        <v>0</v>
      </c>
      <c r="R6" s="6">
        <f>IF(AND(sim.tbl[[#This Row],[Sulf]]&gt;0.5,sim.tbl[[#This Row],[Dens]]&gt;770,sim.tbl[[#This Row],[Dens]]&lt;=825),1,0)</f>
        <v>0</v>
      </c>
      <c r="S6" s="6">
        <f>IF(AND(sim.tbl[[#This Row],[Sulf]]&lt;=0.5,sim.tbl[[#This Row],[Dens]]&gt;770,sim.tbl[[#This Row],[Dens]]&lt;=825),1,0)</f>
        <v>0</v>
      </c>
      <c r="T6" s="6">
        <f>IF(AND(sim.tbl[[#This Row],[Sulf]]&gt;0.5,sim.tbl[[#This Row],[Dens]]&gt;825,sim.tbl[[#This Row],[Dens]]&lt;=870),1,0)</f>
        <v>1</v>
      </c>
      <c r="U6" s="6">
        <f>IF(AND(sim.tbl[[#This Row],[Sulf]]&lt;0.5,sim.tbl[[#This Row],[Dens]]&gt;825,sim.tbl[[#This Row],[Dens]]&lt;=900),1,0)</f>
        <v>0</v>
      </c>
      <c r="V6" s="6">
        <f>IF(AND(sim.tbl[[#This Row],[Sulf]]&gt;0.5,sim.tbl[[#This Row],[Dens]]&gt;870,sim.tbl[[#This Row],[Dens]]&lt;=900),1,0)</f>
        <v>0</v>
      </c>
      <c r="W6" s="6">
        <f>IF(AND(sim.tbl[[#This Row],[Sulf]]&gt;0.5,sim.tbl[[#This Row],[Dens]]&gt;900),1,0)</f>
        <v>0</v>
      </c>
      <c r="X6" s="6">
        <f>IF(AND(sim.tbl[[#This Row],[Sulf]]&lt;=0.5,sim.tbl[[#This Row],[Dens]]&gt;900),1,0)</f>
        <v>0</v>
      </c>
      <c r="Y6" s="6">
        <f ca="1">IF(MONTH(sim.tbl[[#This Row],[SDate]])=INDEX(mthLkUp.tbl[Num],MATCH(Y$3,mthLkUp.tbl[Month],0)),1,0)</f>
        <v>0</v>
      </c>
      <c r="Z6" s="6">
        <f ca="1">IF(MONTH(sim.tbl[[#This Row],[SDate]])=INDEX(mthLkUp.tbl[Num],MATCH(Z$3,mthLkUp.tbl[Month],0)),1,0)</f>
        <v>0</v>
      </c>
      <c r="AA6" s="6">
        <f ca="1">IF(MONTH(sim.tbl[[#This Row],[SDate]])=INDEX(mthLkUp.tbl[Num],MATCH(AA$3,mthLkUp.tbl[Month],0)),1,0)</f>
        <v>1</v>
      </c>
      <c r="AB6" s="6">
        <f ca="1">IF(MONTH(sim.tbl[[#This Row],[SDate]])=INDEX(mthLkUp.tbl[Num],MATCH(AB$3,mthLkUp.tbl[Month],0)),1,0)</f>
        <v>0</v>
      </c>
      <c r="AC6" s="6">
        <f ca="1">IF(MONTH(sim.tbl[[#This Row],[SDate]])=INDEX(mthLkUp.tbl[Num],MATCH(AC$3,mthLkUp.tbl[Month],0)),1,0)</f>
        <v>0</v>
      </c>
      <c r="AD6" s="6">
        <f ca="1">IF(MONTH(sim.tbl[[#This Row],[SDate]])=INDEX(mthLkUp.tbl[Num],MATCH(AD$3,mthLkUp.tbl[Month],0)),1,0)</f>
        <v>0</v>
      </c>
      <c r="AE6" s="6">
        <f ca="1">IF(MONTH(sim.tbl[[#This Row],[SDate]])=INDEX(mthLkUp.tbl[Num],MATCH(AE$3,mthLkUp.tbl[Month],0)),1,0)</f>
        <v>0</v>
      </c>
      <c r="AF6" s="6">
        <f ca="1">IF(MONTH(sim.tbl[[#This Row],[SDate]])=INDEX(mthLkUp.tbl[Num],MATCH(AF$3,mthLkUp.tbl[Month],0)),1,0)</f>
        <v>0</v>
      </c>
      <c r="AG6" s="6">
        <f ca="1">IF(MONTH(sim.tbl[[#This Row],[SDate]])=INDEX(mthLkUp.tbl[Num],MATCH(AG$3,mthLkUp.tbl[Month],0)),1,0)</f>
        <v>0</v>
      </c>
      <c r="AH6" s="6">
        <f ca="1">IF(MONTH(sim.tbl[[#This Row],[SDate]])=INDEX(mthLkUp.tbl[Num],MATCH(AH$3,mthLkUp.tbl[Month],0)),1,0)</f>
        <v>0</v>
      </c>
      <c r="AI6" s="6">
        <f ca="1">IF(MONTH(sim.tbl[[#This Row],[SDate]])=INDEX(mthLkUp.tbl[Num],MATCH(AI$3,mthLkUp.tbl[Month],0)),1,0)</f>
        <v>0</v>
      </c>
      <c r="AJ6" s="6">
        <f ca="1">IF(MONTH(sim.tbl[[#This Row],[SDate]])=INDEX(mthLkUp.tbl[Num],MATCH(AJ$3,mthLkUp.tbl[Month],0)),1,0)</f>
        <v>0</v>
      </c>
      <c r="AK6" s="6">
        <v>0</v>
      </c>
      <c r="AL6" s="5">
        <f>sim.tbl[[#This Row],[Sulf]]*sim.tbl[[#This Row],[C5]]</f>
        <v>0</v>
      </c>
      <c r="AM6" s="5">
        <f>sim.tbl[[#This Row],[Sulf]]*sim.tbl[[#This Row],[Light_LSB]]</f>
        <v>0</v>
      </c>
      <c r="AN6" s="5">
        <f>sim.tbl[[#This Row],[Sulf]]*sim.tbl[[#This Row],[Light_SW]]</f>
        <v>0</v>
      </c>
      <c r="AO6" s="5">
        <f>sim.tbl[[#This Row],[Sulf]]*sim.tbl[[#This Row],[Medium_LSB]]</f>
        <v>0.97</v>
      </c>
      <c r="AP6" s="5">
        <f>sim.tbl[[#This Row],[Sulf]]*sim.tbl[[#This Row],[Medium_SW]]</f>
        <v>0</v>
      </c>
      <c r="AQ6" s="5">
        <f>sim.tbl[[#This Row],[Sulf]]*sim.tbl[[#This Row],[Midale]]</f>
        <v>0</v>
      </c>
      <c r="AR6" s="5">
        <f>sim.tbl[[#This Row],[Sulf]]*sim.tbl[[#This Row],[Heavy_Sour]]</f>
        <v>0</v>
      </c>
      <c r="AS6" s="5">
        <f>sim.tbl[[#This Row],[Sulf]]*sim.tbl[[#This Row],[Heavy_SW]]</f>
        <v>0</v>
      </c>
      <c r="AT6" s="5">
        <f>sim.tbl[[#This Row],[Dens]]*sim.tbl[[#This Row],[C5]]</f>
        <v>0</v>
      </c>
      <c r="AU6" s="5">
        <f>sim.tbl[[#This Row],[Dens]]*sim.tbl[[#This Row],[Light_LSB]]</f>
        <v>0</v>
      </c>
      <c r="AV6" s="5">
        <f>sim.tbl[[#This Row],[Dens]]*sim.tbl[[#This Row],[Light_SW]]</f>
        <v>0</v>
      </c>
      <c r="AW6" s="5">
        <f>sim.tbl[[#This Row],[Dens]]*sim.tbl[[#This Row],[Medium_LSB]]</f>
        <v>835.3</v>
      </c>
      <c r="AX6" s="5">
        <f>sim.tbl[[#This Row],[Dens]]*sim.tbl[[#This Row],[Medium_SW]]</f>
        <v>0</v>
      </c>
      <c r="AY6" s="5">
        <f>sim.tbl[[#This Row],[Dens]]*sim.tbl[[#This Row],[Midale]]</f>
        <v>0</v>
      </c>
      <c r="AZ6" s="5">
        <f>sim.tbl[[#This Row],[Dens]]*sim.tbl[[#This Row],[Heavy_Sour]]</f>
        <v>0</v>
      </c>
      <c r="BA6" s="5">
        <f>sim.tbl[[#This Row],[Dens]]*sim.tbl[[#This Row],[Heavy_SW]]</f>
        <v>0</v>
      </c>
      <c r="BB6" s="5">
        <f>sim.tbl[[#This Row],[Temp.Roll]]*sim.tbl[[#This Row],[C5]]</f>
        <v>0</v>
      </c>
      <c r="BC6" s="5">
        <f>sim.tbl[[#This Row],[Temp.Roll]]*sim.tbl[[#This Row],[Light_LSB]]</f>
        <v>0</v>
      </c>
      <c r="BD6" s="5">
        <f>sim.tbl[[#This Row],[Temp.Roll]]*sim.tbl[[#This Row],[Light_SW]]</f>
        <v>0</v>
      </c>
      <c r="BE6" s="5">
        <f>sim.tbl[[#This Row],[Temp.Roll]]*sim.tbl[[#This Row],[Medium_LSB]]</f>
        <v>-16.8</v>
      </c>
      <c r="BF6" s="5">
        <f>sim.tbl[[#This Row],[Temp.Roll]]*sim.tbl[[#This Row],[Medium_SW]]</f>
        <v>0</v>
      </c>
      <c r="BG6" s="5">
        <f>sim.tbl[[#This Row],[Temp.Roll]]*sim.tbl[[#This Row],[Midale]]</f>
        <v>0</v>
      </c>
      <c r="BH6" s="5">
        <f>sim.tbl[[#This Row],[Temp.Roll]]*sim.tbl[[#This Row],[Heavy_Sour]]</f>
        <v>0</v>
      </c>
      <c r="BI6" s="5">
        <f>sim.tbl[[#This Row],[Temp.Roll]]*sim.tbl[[#This Row],[Heavy_SW]]</f>
        <v>0</v>
      </c>
    </row>
    <row r="7" spans="1:61" x14ac:dyDescent="0.25">
      <c r="A7" s="10" t="s">
        <v>358</v>
      </c>
      <c r="B7" s="13" t="s">
        <v>336</v>
      </c>
      <c r="D7" s="5">
        <f ca="1">SUMPRODUCT($F$1:$BI$1,sim.tbl[[#This Row],[Intercept]:[Temp.Roll:Heavy_SW]])</f>
        <v>101.84865296684069</v>
      </c>
      <c r="E7" s="14">
        <f ca="1">DATE(YEAR(TODAY()),INDEX(mthLkUp.tbl[Num],MATCH(mth.input,mthLkUp.tbl[Month],0)),1)</f>
        <v>42795</v>
      </c>
      <c r="F7" s="6">
        <f>1</f>
        <v>1</v>
      </c>
      <c r="G7" s="5">
        <v>0.15</v>
      </c>
      <c r="H7" s="5">
        <v>807.1</v>
      </c>
      <c r="I7" s="5">
        <v>-5.9666666670000001</v>
      </c>
      <c r="J7" s="5">
        <v>-4.4000000000000004</v>
      </c>
      <c r="K7" s="5">
        <v>-5.3</v>
      </c>
      <c r="L7" s="5">
        <v>-4.4000000000000004</v>
      </c>
      <c r="M7" s="5">
        <v>-7.8</v>
      </c>
      <c r="N7" s="5">
        <v>-3.8</v>
      </c>
      <c r="O7" s="5">
        <v>-6.8</v>
      </c>
      <c r="P7" s="5">
        <v>-7.7</v>
      </c>
      <c r="Q7" s="6">
        <f>IF(sim.tbl[[#This Row],[Dens]]&lt;=770,1,0)</f>
        <v>0</v>
      </c>
      <c r="R7" s="6">
        <f>IF(AND(sim.tbl[[#This Row],[Sulf]]&gt;0.5,sim.tbl[[#This Row],[Dens]]&gt;770,sim.tbl[[#This Row],[Dens]]&lt;=825),1,0)</f>
        <v>0</v>
      </c>
      <c r="S7" s="6">
        <f>IF(AND(sim.tbl[[#This Row],[Sulf]]&lt;=0.5,sim.tbl[[#This Row],[Dens]]&gt;770,sim.tbl[[#This Row],[Dens]]&lt;=825),1,0)</f>
        <v>1</v>
      </c>
      <c r="T7" s="6">
        <f>IF(AND(sim.tbl[[#This Row],[Sulf]]&gt;0.5,sim.tbl[[#This Row],[Dens]]&gt;825,sim.tbl[[#This Row],[Dens]]&lt;=870),1,0)</f>
        <v>0</v>
      </c>
      <c r="U7" s="6">
        <f>IF(AND(sim.tbl[[#This Row],[Sulf]]&lt;0.5,sim.tbl[[#This Row],[Dens]]&gt;825,sim.tbl[[#This Row],[Dens]]&lt;=900),1,0)</f>
        <v>0</v>
      </c>
      <c r="V7" s="6">
        <f>IF(AND(sim.tbl[[#This Row],[Sulf]]&gt;0.5,sim.tbl[[#This Row],[Dens]]&gt;870,sim.tbl[[#This Row],[Dens]]&lt;=900),1,0)</f>
        <v>0</v>
      </c>
      <c r="W7" s="6">
        <f>IF(AND(sim.tbl[[#This Row],[Sulf]]&gt;0.5,sim.tbl[[#This Row],[Dens]]&gt;900),1,0)</f>
        <v>0</v>
      </c>
      <c r="X7" s="6">
        <f>IF(AND(sim.tbl[[#This Row],[Sulf]]&lt;=0.5,sim.tbl[[#This Row],[Dens]]&gt;900),1,0)</f>
        <v>0</v>
      </c>
      <c r="Y7" s="6">
        <f ca="1">IF(MONTH(sim.tbl[[#This Row],[SDate]])=INDEX(mthLkUp.tbl[Num],MATCH(Y$3,mthLkUp.tbl[Month],0)),1,0)</f>
        <v>0</v>
      </c>
      <c r="Z7" s="6">
        <f ca="1">IF(MONTH(sim.tbl[[#This Row],[SDate]])=INDEX(mthLkUp.tbl[Num],MATCH(Z$3,mthLkUp.tbl[Month],0)),1,0)</f>
        <v>0</v>
      </c>
      <c r="AA7" s="6">
        <f ca="1">IF(MONTH(sim.tbl[[#This Row],[SDate]])=INDEX(mthLkUp.tbl[Num],MATCH(AA$3,mthLkUp.tbl[Month],0)),1,0)</f>
        <v>1</v>
      </c>
      <c r="AB7" s="6">
        <f ca="1">IF(MONTH(sim.tbl[[#This Row],[SDate]])=INDEX(mthLkUp.tbl[Num],MATCH(AB$3,mthLkUp.tbl[Month],0)),1,0)</f>
        <v>0</v>
      </c>
      <c r="AC7" s="6">
        <f ca="1">IF(MONTH(sim.tbl[[#This Row],[SDate]])=INDEX(mthLkUp.tbl[Num],MATCH(AC$3,mthLkUp.tbl[Month],0)),1,0)</f>
        <v>0</v>
      </c>
      <c r="AD7" s="6">
        <f ca="1">IF(MONTH(sim.tbl[[#This Row],[SDate]])=INDEX(mthLkUp.tbl[Num],MATCH(AD$3,mthLkUp.tbl[Month],0)),1,0)</f>
        <v>0</v>
      </c>
      <c r="AE7" s="6">
        <f ca="1">IF(MONTH(sim.tbl[[#This Row],[SDate]])=INDEX(mthLkUp.tbl[Num],MATCH(AE$3,mthLkUp.tbl[Month],0)),1,0)</f>
        <v>0</v>
      </c>
      <c r="AF7" s="6">
        <f ca="1">IF(MONTH(sim.tbl[[#This Row],[SDate]])=INDEX(mthLkUp.tbl[Num],MATCH(AF$3,mthLkUp.tbl[Month],0)),1,0)</f>
        <v>0</v>
      </c>
      <c r="AG7" s="6">
        <f ca="1">IF(MONTH(sim.tbl[[#This Row],[SDate]])=INDEX(mthLkUp.tbl[Num],MATCH(AG$3,mthLkUp.tbl[Month],0)),1,0)</f>
        <v>0</v>
      </c>
      <c r="AH7" s="6">
        <f ca="1">IF(MONTH(sim.tbl[[#This Row],[SDate]])=INDEX(mthLkUp.tbl[Num],MATCH(AH$3,mthLkUp.tbl[Month],0)),1,0)</f>
        <v>0</v>
      </c>
      <c r="AI7" s="6">
        <f ca="1">IF(MONTH(sim.tbl[[#This Row],[SDate]])=INDEX(mthLkUp.tbl[Num],MATCH(AI$3,mthLkUp.tbl[Month],0)),1,0)</f>
        <v>0</v>
      </c>
      <c r="AJ7" s="6">
        <f ca="1">IF(MONTH(sim.tbl[[#This Row],[SDate]])=INDEX(mthLkUp.tbl[Num],MATCH(AJ$3,mthLkUp.tbl[Month],0)),1,0)</f>
        <v>0</v>
      </c>
      <c r="AK7" s="6">
        <v>0</v>
      </c>
      <c r="AL7" s="5">
        <f>sim.tbl[[#This Row],[Sulf]]*sim.tbl[[#This Row],[C5]]</f>
        <v>0</v>
      </c>
      <c r="AM7" s="5">
        <f>sim.tbl[[#This Row],[Sulf]]*sim.tbl[[#This Row],[Light_LSB]]</f>
        <v>0</v>
      </c>
      <c r="AN7" s="5">
        <f>sim.tbl[[#This Row],[Sulf]]*sim.tbl[[#This Row],[Light_SW]]</f>
        <v>0.15</v>
      </c>
      <c r="AO7" s="5">
        <f>sim.tbl[[#This Row],[Sulf]]*sim.tbl[[#This Row],[Medium_LSB]]</f>
        <v>0</v>
      </c>
      <c r="AP7" s="5">
        <f>sim.tbl[[#This Row],[Sulf]]*sim.tbl[[#This Row],[Medium_SW]]</f>
        <v>0</v>
      </c>
      <c r="AQ7" s="5">
        <f>sim.tbl[[#This Row],[Sulf]]*sim.tbl[[#This Row],[Midale]]</f>
        <v>0</v>
      </c>
      <c r="AR7" s="5">
        <f>sim.tbl[[#This Row],[Sulf]]*sim.tbl[[#This Row],[Heavy_Sour]]</f>
        <v>0</v>
      </c>
      <c r="AS7" s="5">
        <f>sim.tbl[[#This Row],[Sulf]]*sim.tbl[[#This Row],[Heavy_SW]]</f>
        <v>0</v>
      </c>
      <c r="AT7" s="5">
        <f>sim.tbl[[#This Row],[Dens]]*sim.tbl[[#This Row],[C5]]</f>
        <v>0</v>
      </c>
      <c r="AU7" s="5">
        <f>sim.tbl[[#This Row],[Dens]]*sim.tbl[[#This Row],[Light_LSB]]</f>
        <v>0</v>
      </c>
      <c r="AV7" s="5">
        <f>sim.tbl[[#This Row],[Dens]]*sim.tbl[[#This Row],[Light_SW]]</f>
        <v>807.1</v>
      </c>
      <c r="AW7" s="5">
        <f>sim.tbl[[#This Row],[Dens]]*sim.tbl[[#This Row],[Medium_LSB]]</f>
        <v>0</v>
      </c>
      <c r="AX7" s="5">
        <f>sim.tbl[[#This Row],[Dens]]*sim.tbl[[#This Row],[Medium_SW]]</f>
        <v>0</v>
      </c>
      <c r="AY7" s="5">
        <f>sim.tbl[[#This Row],[Dens]]*sim.tbl[[#This Row],[Midale]]</f>
        <v>0</v>
      </c>
      <c r="AZ7" s="5">
        <f>sim.tbl[[#This Row],[Dens]]*sim.tbl[[#This Row],[Heavy_Sour]]</f>
        <v>0</v>
      </c>
      <c r="BA7" s="5">
        <f>sim.tbl[[#This Row],[Dens]]*sim.tbl[[#This Row],[Heavy_SW]]</f>
        <v>0</v>
      </c>
      <c r="BB7" s="5">
        <f>sim.tbl[[#This Row],[Temp.Roll]]*sim.tbl[[#This Row],[C5]]</f>
        <v>0</v>
      </c>
      <c r="BC7" s="5">
        <f>sim.tbl[[#This Row],[Temp.Roll]]*sim.tbl[[#This Row],[Light_LSB]]</f>
        <v>0</v>
      </c>
      <c r="BD7" s="5">
        <f>sim.tbl[[#This Row],[Temp.Roll]]*sim.tbl[[#This Row],[Light_SW]]</f>
        <v>-4.4000000000000004</v>
      </c>
      <c r="BE7" s="5">
        <f>sim.tbl[[#This Row],[Temp.Roll]]*sim.tbl[[#This Row],[Medium_LSB]]</f>
        <v>0</v>
      </c>
      <c r="BF7" s="5">
        <f>sim.tbl[[#This Row],[Temp.Roll]]*sim.tbl[[#This Row],[Medium_SW]]</f>
        <v>0</v>
      </c>
      <c r="BG7" s="5">
        <f>sim.tbl[[#This Row],[Temp.Roll]]*sim.tbl[[#This Row],[Midale]]</f>
        <v>0</v>
      </c>
      <c r="BH7" s="5">
        <f>sim.tbl[[#This Row],[Temp.Roll]]*sim.tbl[[#This Row],[Heavy_Sour]]</f>
        <v>0</v>
      </c>
      <c r="BI7" s="5">
        <f>sim.tbl[[#This Row],[Temp.Roll]]*sim.tbl[[#This Row],[Heavy_SW]]</f>
        <v>0</v>
      </c>
    </row>
    <row r="8" spans="1:61" x14ac:dyDescent="0.25">
      <c r="A8" s="10" t="s">
        <v>405</v>
      </c>
      <c r="B8" s="16">
        <v>2</v>
      </c>
      <c r="D8" s="5">
        <f ca="1">SUMPRODUCT($F$1:$BI$1,sim.tbl[[#This Row],[Intercept]:[Temp.Roll:Heavy_SW]])</f>
        <v>97.356259022667928</v>
      </c>
      <c r="E8" s="14">
        <f ca="1">DATE(YEAR(TODAY()),INDEX(mthLkUp.tbl[Num],MATCH(mth.input,mthLkUp.tbl[Month],0)),1)</f>
        <v>42795</v>
      </c>
      <c r="F8" s="6">
        <f>1</f>
        <v>1</v>
      </c>
      <c r="G8" s="5">
        <v>0.26</v>
      </c>
      <c r="H8" s="5">
        <v>813</v>
      </c>
      <c r="I8" s="5">
        <v>2.4333333330000002</v>
      </c>
      <c r="J8" s="5">
        <v>1.8</v>
      </c>
      <c r="K8" s="5">
        <v>3.5</v>
      </c>
      <c r="L8" s="5">
        <v>1.8</v>
      </c>
      <c r="M8" s="5">
        <v>3</v>
      </c>
      <c r="N8" s="5">
        <v>2</v>
      </c>
      <c r="O8" s="5">
        <v>3.9</v>
      </c>
      <c r="P8" s="5">
        <v>0.4</v>
      </c>
      <c r="Q8" s="6">
        <f>IF(sim.tbl[[#This Row],[Dens]]&lt;=770,1,0)</f>
        <v>0</v>
      </c>
      <c r="R8" s="6">
        <f>IF(AND(sim.tbl[[#This Row],[Sulf]]&gt;0.5,sim.tbl[[#This Row],[Dens]]&gt;770,sim.tbl[[#This Row],[Dens]]&lt;=825),1,0)</f>
        <v>0</v>
      </c>
      <c r="S8" s="6">
        <f>IF(AND(sim.tbl[[#This Row],[Sulf]]&lt;=0.5,sim.tbl[[#This Row],[Dens]]&gt;770,sim.tbl[[#This Row],[Dens]]&lt;=825),1,0)</f>
        <v>1</v>
      </c>
      <c r="T8" s="6">
        <f>IF(AND(sim.tbl[[#This Row],[Sulf]]&gt;0.5,sim.tbl[[#This Row],[Dens]]&gt;825,sim.tbl[[#This Row],[Dens]]&lt;=870),1,0)</f>
        <v>0</v>
      </c>
      <c r="U8" s="6">
        <f>IF(AND(sim.tbl[[#This Row],[Sulf]]&lt;0.5,sim.tbl[[#This Row],[Dens]]&gt;825,sim.tbl[[#This Row],[Dens]]&lt;=900),1,0)</f>
        <v>0</v>
      </c>
      <c r="V8" s="6">
        <f>IF(AND(sim.tbl[[#This Row],[Sulf]]&gt;0.5,sim.tbl[[#This Row],[Dens]]&gt;870,sim.tbl[[#This Row],[Dens]]&lt;=900),1,0)</f>
        <v>0</v>
      </c>
      <c r="W8" s="6">
        <f>IF(AND(sim.tbl[[#This Row],[Sulf]]&gt;0.5,sim.tbl[[#This Row],[Dens]]&gt;900),1,0)</f>
        <v>0</v>
      </c>
      <c r="X8" s="6">
        <f>IF(AND(sim.tbl[[#This Row],[Sulf]]&lt;=0.5,sim.tbl[[#This Row],[Dens]]&gt;900),1,0)</f>
        <v>0</v>
      </c>
      <c r="Y8" s="6">
        <f ca="1">IF(MONTH(sim.tbl[[#This Row],[SDate]])=INDEX(mthLkUp.tbl[Num],MATCH(Y$3,mthLkUp.tbl[Month],0)),1,0)</f>
        <v>0</v>
      </c>
      <c r="Z8" s="6">
        <f ca="1">IF(MONTH(sim.tbl[[#This Row],[SDate]])=INDEX(mthLkUp.tbl[Num],MATCH(Z$3,mthLkUp.tbl[Month],0)),1,0)</f>
        <v>0</v>
      </c>
      <c r="AA8" s="6">
        <f ca="1">IF(MONTH(sim.tbl[[#This Row],[SDate]])=INDEX(mthLkUp.tbl[Num],MATCH(AA$3,mthLkUp.tbl[Month],0)),1,0)</f>
        <v>1</v>
      </c>
      <c r="AB8" s="6">
        <f ca="1">IF(MONTH(sim.tbl[[#This Row],[SDate]])=INDEX(mthLkUp.tbl[Num],MATCH(AB$3,mthLkUp.tbl[Month],0)),1,0)</f>
        <v>0</v>
      </c>
      <c r="AC8" s="6">
        <f ca="1">IF(MONTH(sim.tbl[[#This Row],[SDate]])=INDEX(mthLkUp.tbl[Num],MATCH(AC$3,mthLkUp.tbl[Month],0)),1,0)</f>
        <v>0</v>
      </c>
      <c r="AD8" s="6">
        <f ca="1">IF(MONTH(sim.tbl[[#This Row],[SDate]])=INDEX(mthLkUp.tbl[Num],MATCH(AD$3,mthLkUp.tbl[Month],0)),1,0)</f>
        <v>0</v>
      </c>
      <c r="AE8" s="6">
        <f ca="1">IF(MONTH(sim.tbl[[#This Row],[SDate]])=INDEX(mthLkUp.tbl[Num],MATCH(AE$3,mthLkUp.tbl[Month],0)),1,0)</f>
        <v>0</v>
      </c>
      <c r="AF8" s="6">
        <f ca="1">IF(MONTH(sim.tbl[[#This Row],[SDate]])=INDEX(mthLkUp.tbl[Num],MATCH(AF$3,mthLkUp.tbl[Month],0)),1,0)</f>
        <v>0</v>
      </c>
      <c r="AG8" s="6">
        <f ca="1">IF(MONTH(sim.tbl[[#This Row],[SDate]])=INDEX(mthLkUp.tbl[Num],MATCH(AG$3,mthLkUp.tbl[Month],0)),1,0)</f>
        <v>0</v>
      </c>
      <c r="AH8" s="6">
        <f ca="1">IF(MONTH(sim.tbl[[#This Row],[SDate]])=INDEX(mthLkUp.tbl[Num],MATCH(AH$3,mthLkUp.tbl[Month],0)),1,0)</f>
        <v>0</v>
      </c>
      <c r="AI8" s="6">
        <f ca="1">IF(MONTH(sim.tbl[[#This Row],[SDate]])=INDEX(mthLkUp.tbl[Num],MATCH(AI$3,mthLkUp.tbl[Month],0)),1,0)</f>
        <v>0</v>
      </c>
      <c r="AJ8" s="6">
        <f ca="1">IF(MONTH(sim.tbl[[#This Row],[SDate]])=INDEX(mthLkUp.tbl[Num],MATCH(AJ$3,mthLkUp.tbl[Month],0)),1,0)</f>
        <v>0</v>
      </c>
      <c r="AK8" s="6">
        <v>0</v>
      </c>
      <c r="AL8" s="5">
        <f>sim.tbl[[#This Row],[Sulf]]*sim.tbl[[#This Row],[C5]]</f>
        <v>0</v>
      </c>
      <c r="AM8" s="5">
        <f>sim.tbl[[#This Row],[Sulf]]*sim.tbl[[#This Row],[Light_LSB]]</f>
        <v>0</v>
      </c>
      <c r="AN8" s="5">
        <f>sim.tbl[[#This Row],[Sulf]]*sim.tbl[[#This Row],[Light_SW]]</f>
        <v>0.26</v>
      </c>
      <c r="AO8" s="5">
        <f>sim.tbl[[#This Row],[Sulf]]*sim.tbl[[#This Row],[Medium_LSB]]</f>
        <v>0</v>
      </c>
      <c r="AP8" s="5">
        <f>sim.tbl[[#This Row],[Sulf]]*sim.tbl[[#This Row],[Medium_SW]]</f>
        <v>0</v>
      </c>
      <c r="AQ8" s="5">
        <f>sim.tbl[[#This Row],[Sulf]]*sim.tbl[[#This Row],[Midale]]</f>
        <v>0</v>
      </c>
      <c r="AR8" s="5">
        <f>sim.tbl[[#This Row],[Sulf]]*sim.tbl[[#This Row],[Heavy_Sour]]</f>
        <v>0</v>
      </c>
      <c r="AS8" s="5">
        <f>sim.tbl[[#This Row],[Sulf]]*sim.tbl[[#This Row],[Heavy_SW]]</f>
        <v>0</v>
      </c>
      <c r="AT8" s="5">
        <f>sim.tbl[[#This Row],[Dens]]*sim.tbl[[#This Row],[C5]]</f>
        <v>0</v>
      </c>
      <c r="AU8" s="5">
        <f>sim.tbl[[#This Row],[Dens]]*sim.tbl[[#This Row],[Light_LSB]]</f>
        <v>0</v>
      </c>
      <c r="AV8" s="5">
        <f>sim.tbl[[#This Row],[Dens]]*sim.tbl[[#This Row],[Light_SW]]</f>
        <v>813</v>
      </c>
      <c r="AW8" s="5">
        <f>sim.tbl[[#This Row],[Dens]]*sim.tbl[[#This Row],[Medium_LSB]]</f>
        <v>0</v>
      </c>
      <c r="AX8" s="5">
        <f>sim.tbl[[#This Row],[Dens]]*sim.tbl[[#This Row],[Medium_SW]]</f>
        <v>0</v>
      </c>
      <c r="AY8" s="5">
        <f>sim.tbl[[#This Row],[Dens]]*sim.tbl[[#This Row],[Midale]]</f>
        <v>0</v>
      </c>
      <c r="AZ8" s="5">
        <f>sim.tbl[[#This Row],[Dens]]*sim.tbl[[#This Row],[Heavy_Sour]]</f>
        <v>0</v>
      </c>
      <c r="BA8" s="5">
        <f>sim.tbl[[#This Row],[Dens]]*sim.tbl[[#This Row],[Heavy_SW]]</f>
        <v>0</v>
      </c>
      <c r="BB8" s="5">
        <f>sim.tbl[[#This Row],[Temp.Roll]]*sim.tbl[[#This Row],[C5]]</f>
        <v>0</v>
      </c>
      <c r="BC8" s="5">
        <f>sim.tbl[[#This Row],[Temp.Roll]]*sim.tbl[[#This Row],[Light_LSB]]</f>
        <v>0</v>
      </c>
      <c r="BD8" s="5">
        <f>sim.tbl[[#This Row],[Temp.Roll]]*sim.tbl[[#This Row],[Light_SW]]</f>
        <v>1.8</v>
      </c>
      <c r="BE8" s="5">
        <f>sim.tbl[[#This Row],[Temp.Roll]]*sim.tbl[[#This Row],[Medium_LSB]]</f>
        <v>0</v>
      </c>
      <c r="BF8" s="5">
        <f>sim.tbl[[#This Row],[Temp.Roll]]*sim.tbl[[#This Row],[Medium_SW]]</f>
        <v>0</v>
      </c>
      <c r="BG8" s="5">
        <f>sim.tbl[[#This Row],[Temp.Roll]]*sim.tbl[[#This Row],[Midale]]</f>
        <v>0</v>
      </c>
      <c r="BH8" s="5">
        <f>sim.tbl[[#This Row],[Temp.Roll]]*sim.tbl[[#This Row],[Heavy_Sour]]</f>
        <v>0</v>
      </c>
      <c r="BI8" s="5">
        <f>sim.tbl[[#This Row],[Temp.Roll]]*sim.tbl[[#This Row],[Heavy_SW]]</f>
        <v>0</v>
      </c>
    </row>
    <row r="9" spans="1:61" x14ac:dyDescent="0.25">
      <c r="D9" s="5">
        <f ca="1">SUMPRODUCT($F$1:$BI$1,sim.tbl[[#This Row],[Intercept]:[Temp.Roll:Heavy_SW]])</f>
        <v>96.510985195275481</v>
      </c>
      <c r="E9" s="14">
        <f ca="1">DATE(YEAR(TODAY()),INDEX(mthLkUp.tbl[Num],MATCH(mth.input,mthLkUp.tbl[Month],0)),1)</f>
        <v>42795</v>
      </c>
      <c r="F9" s="6">
        <f>1</f>
        <v>1</v>
      </c>
      <c r="G9" s="5">
        <v>1.73</v>
      </c>
      <c r="H9" s="5">
        <v>828.3</v>
      </c>
      <c r="I9" s="5">
        <v>-9.8166666669999998</v>
      </c>
      <c r="J9" s="5">
        <v>-8.1999999999999993</v>
      </c>
      <c r="K9" s="5">
        <v>-9.3000000000000007</v>
      </c>
      <c r="L9" s="5">
        <v>-8.1999999999999993</v>
      </c>
      <c r="M9" s="5">
        <v>-11.8</v>
      </c>
      <c r="N9" s="5">
        <v>-6.8</v>
      </c>
      <c r="O9" s="5">
        <v>-12.8</v>
      </c>
      <c r="P9" s="5">
        <v>-10</v>
      </c>
      <c r="Q9" s="6">
        <f>IF(sim.tbl[[#This Row],[Dens]]&lt;=770,1,0)</f>
        <v>0</v>
      </c>
      <c r="R9" s="6">
        <f>IF(AND(sim.tbl[[#This Row],[Sulf]]&gt;0.5,sim.tbl[[#This Row],[Dens]]&gt;770,sim.tbl[[#This Row],[Dens]]&lt;=825),1,0)</f>
        <v>0</v>
      </c>
      <c r="S9" s="6">
        <f>IF(AND(sim.tbl[[#This Row],[Sulf]]&lt;=0.5,sim.tbl[[#This Row],[Dens]]&gt;770,sim.tbl[[#This Row],[Dens]]&lt;=825),1,0)</f>
        <v>0</v>
      </c>
      <c r="T9" s="6">
        <f>IF(AND(sim.tbl[[#This Row],[Sulf]]&gt;0.5,sim.tbl[[#This Row],[Dens]]&gt;825,sim.tbl[[#This Row],[Dens]]&lt;=870),1,0)</f>
        <v>1</v>
      </c>
      <c r="U9" s="6">
        <f>IF(AND(sim.tbl[[#This Row],[Sulf]]&lt;0.5,sim.tbl[[#This Row],[Dens]]&gt;825,sim.tbl[[#This Row],[Dens]]&lt;=900),1,0)</f>
        <v>0</v>
      </c>
      <c r="V9" s="6">
        <f>IF(AND(sim.tbl[[#This Row],[Sulf]]&gt;0.5,sim.tbl[[#This Row],[Dens]]&gt;870,sim.tbl[[#This Row],[Dens]]&lt;=900),1,0)</f>
        <v>0</v>
      </c>
      <c r="W9" s="6">
        <f>IF(AND(sim.tbl[[#This Row],[Sulf]]&gt;0.5,sim.tbl[[#This Row],[Dens]]&gt;900),1,0)</f>
        <v>0</v>
      </c>
      <c r="X9" s="6">
        <f>IF(AND(sim.tbl[[#This Row],[Sulf]]&lt;=0.5,sim.tbl[[#This Row],[Dens]]&gt;900),1,0)</f>
        <v>0</v>
      </c>
      <c r="Y9" s="6">
        <f ca="1">IF(MONTH(sim.tbl[[#This Row],[SDate]])=INDEX(mthLkUp.tbl[Num],MATCH(Y$3,mthLkUp.tbl[Month],0)),1,0)</f>
        <v>0</v>
      </c>
      <c r="Z9" s="6">
        <f ca="1">IF(MONTH(sim.tbl[[#This Row],[SDate]])=INDEX(mthLkUp.tbl[Num],MATCH(Z$3,mthLkUp.tbl[Month],0)),1,0)</f>
        <v>0</v>
      </c>
      <c r="AA9" s="6">
        <f ca="1">IF(MONTH(sim.tbl[[#This Row],[SDate]])=INDEX(mthLkUp.tbl[Num],MATCH(AA$3,mthLkUp.tbl[Month],0)),1,0)</f>
        <v>1</v>
      </c>
      <c r="AB9" s="6">
        <f ca="1">IF(MONTH(sim.tbl[[#This Row],[SDate]])=INDEX(mthLkUp.tbl[Num],MATCH(AB$3,mthLkUp.tbl[Month],0)),1,0)</f>
        <v>0</v>
      </c>
      <c r="AC9" s="6">
        <f ca="1">IF(MONTH(sim.tbl[[#This Row],[SDate]])=INDEX(mthLkUp.tbl[Num],MATCH(AC$3,mthLkUp.tbl[Month],0)),1,0)</f>
        <v>0</v>
      </c>
      <c r="AD9" s="6">
        <f ca="1">IF(MONTH(sim.tbl[[#This Row],[SDate]])=INDEX(mthLkUp.tbl[Num],MATCH(AD$3,mthLkUp.tbl[Month],0)),1,0)</f>
        <v>0</v>
      </c>
      <c r="AE9" s="6">
        <f ca="1">IF(MONTH(sim.tbl[[#This Row],[SDate]])=INDEX(mthLkUp.tbl[Num],MATCH(AE$3,mthLkUp.tbl[Month],0)),1,0)</f>
        <v>0</v>
      </c>
      <c r="AF9" s="6">
        <f ca="1">IF(MONTH(sim.tbl[[#This Row],[SDate]])=INDEX(mthLkUp.tbl[Num],MATCH(AF$3,mthLkUp.tbl[Month],0)),1,0)</f>
        <v>0</v>
      </c>
      <c r="AG9" s="6">
        <f ca="1">IF(MONTH(sim.tbl[[#This Row],[SDate]])=INDEX(mthLkUp.tbl[Num],MATCH(AG$3,mthLkUp.tbl[Month],0)),1,0)</f>
        <v>0</v>
      </c>
      <c r="AH9" s="6">
        <f ca="1">IF(MONTH(sim.tbl[[#This Row],[SDate]])=INDEX(mthLkUp.tbl[Num],MATCH(AH$3,mthLkUp.tbl[Month],0)),1,0)</f>
        <v>0</v>
      </c>
      <c r="AI9" s="6">
        <f ca="1">IF(MONTH(sim.tbl[[#This Row],[SDate]])=INDEX(mthLkUp.tbl[Num],MATCH(AI$3,mthLkUp.tbl[Month],0)),1,0)</f>
        <v>0</v>
      </c>
      <c r="AJ9" s="6">
        <f ca="1">IF(MONTH(sim.tbl[[#This Row],[SDate]])=INDEX(mthLkUp.tbl[Num],MATCH(AJ$3,mthLkUp.tbl[Month],0)),1,0)</f>
        <v>0</v>
      </c>
      <c r="AK9" s="6">
        <v>0</v>
      </c>
      <c r="AL9" s="5">
        <f>sim.tbl[[#This Row],[Sulf]]*sim.tbl[[#This Row],[C5]]</f>
        <v>0</v>
      </c>
      <c r="AM9" s="5">
        <f>sim.tbl[[#This Row],[Sulf]]*sim.tbl[[#This Row],[Light_LSB]]</f>
        <v>0</v>
      </c>
      <c r="AN9" s="5">
        <f>sim.tbl[[#This Row],[Sulf]]*sim.tbl[[#This Row],[Light_SW]]</f>
        <v>0</v>
      </c>
      <c r="AO9" s="5">
        <f>sim.tbl[[#This Row],[Sulf]]*sim.tbl[[#This Row],[Medium_LSB]]</f>
        <v>1.73</v>
      </c>
      <c r="AP9" s="5">
        <f>sim.tbl[[#This Row],[Sulf]]*sim.tbl[[#This Row],[Medium_SW]]</f>
        <v>0</v>
      </c>
      <c r="AQ9" s="5">
        <f>sim.tbl[[#This Row],[Sulf]]*sim.tbl[[#This Row],[Midale]]</f>
        <v>0</v>
      </c>
      <c r="AR9" s="5">
        <f>sim.tbl[[#This Row],[Sulf]]*sim.tbl[[#This Row],[Heavy_Sour]]</f>
        <v>0</v>
      </c>
      <c r="AS9" s="5">
        <f>sim.tbl[[#This Row],[Sulf]]*sim.tbl[[#This Row],[Heavy_SW]]</f>
        <v>0</v>
      </c>
      <c r="AT9" s="5">
        <f>sim.tbl[[#This Row],[Dens]]*sim.tbl[[#This Row],[C5]]</f>
        <v>0</v>
      </c>
      <c r="AU9" s="5">
        <f>sim.tbl[[#This Row],[Dens]]*sim.tbl[[#This Row],[Light_LSB]]</f>
        <v>0</v>
      </c>
      <c r="AV9" s="5">
        <f>sim.tbl[[#This Row],[Dens]]*sim.tbl[[#This Row],[Light_SW]]</f>
        <v>0</v>
      </c>
      <c r="AW9" s="5">
        <f>sim.tbl[[#This Row],[Dens]]*sim.tbl[[#This Row],[Medium_LSB]]</f>
        <v>828.3</v>
      </c>
      <c r="AX9" s="5">
        <f>sim.tbl[[#This Row],[Dens]]*sim.tbl[[#This Row],[Medium_SW]]</f>
        <v>0</v>
      </c>
      <c r="AY9" s="5">
        <f>sim.tbl[[#This Row],[Dens]]*sim.tbl[[#This Row],[Midale]]</f>
        <v>0</v>
      </c>
      <c r="AZ9" s="5">
        <f>sim.tbl[[#This Row],[Dens]]*sim.tbl[[#This Row],[Heavy_Sour]]</f>
        <v>0</v>
      </c>
      <c r="BA9" s="5">
        <f>sim.tbl[[#This Row],[Dens]]*sim.tbl[[#This Row],[Heavy_SW]]</f>
        <v>0</v>
      </c>
      <c r="BB9" s="5">
        <f>sim.tbl[[#This Row],[Temp.Roll]]*sim.tbl[[#This Row],[C5]]</f>
        <v>0</v>
      </c>
      <c r="BC9" s="5">
        <f>sim.tbl[[#This Row],[Temp.Roll]]*sim.tbl[[#This Row],[Light_LSB]]</f>
        <v>0</v>
      </c>
      <c r="BD9" s="5">
        <f>sim.tbl[[#This Row],[Temp.Roll]]*sim.tbl[[#This Row],[Light_SW]]</f>
        <v>0</v>
      </c>
      <c r="BE9" s="5">
        <f>sim.tbl[[#This Row],[Temp.Roll]]*sim.tbl[[#This Row],[Medium_LSB]]</f>
        <v>-8.1999999999999993</v>
      </c>
      <c r="BF9" s="5">
        <f>sim.tbl[[#This Row],[Temp.Roll]]*sim.tbl[[#This Row],[Medium_SW]]</f>
        <v>0</v>
      </c>
      <c r="BG9" s="5">
        <f>sim.tbl[[#This Row],[Temp.Roll]]*sim.tbl[[#This Row],[Midale]]</f>
        <v>0</v>
      </c>
      <c r="BH9" s="5">
        <f>sim.tbl[[#This Row],[Temp.Roll]]*sim.tbl[[#This Row],[Heavy_Sour]]</f>
        <v>0</v>
      </c>
      <c r="BI9" s="5">
        <f>sim.tbl[[#This Row],[Temp.Roll]]*sim.tbl[[#This Row],[Heavy_SW]]</f>
        <v>0</v>
      </c>
    </row>
    <row r="10" spans="1:61" x14ac:dyDescent="0.25">
      <c r="A10" s="11" t="s">
        <v>385</v>
      </c>
      <c r="B10" s="12">
        <f ca="1">AVERAGE(sim.tbl[Predicted VP])</f>
        <v>84.12894309670294</v>
      </c>
      <c r="D10" s="5">
        <f ca="1">SUMPRODUCT($F$1:$BI$1,sim.tbl[[#This Row],[Intercept]:[Temp.Roll:Heavy_SW]])</f>
        <v>95.407108189769914</v>
      </c>
      <c r="E10" s="14">
        <f ca="1">DATE(YEAR(TODAY()),INDEX(mthLkUp.tbl[Num],MATCH(mth.input,mthLkUp.tbl[Month],0)),1)</f>
        <v>42795</v>
      </c>
      <c r="F10" s="6">
        <f>1</f>
        <v>1</v>
      </c>
      <c r="G10" s="5">
        <v>0.37</v>
      </c>
      <c r="H10" s="5">
        <v>813.2</v>
      </c>
      <c r="I10" s="5">
        <v>3.983333333</v>
      </c>
      <c r="J10" s="5">
        <v>6.1</v>
      </c>
      <c r="K10" s="5">
        <v>6</v>
      </c>
      <c r="L10" s="5">
        <v>6.1</v>
      </c>
      <c r="M10" s="5">
        <v>3.8</v>
      </c>
      <c r="N10" s="5">
        <v>6.5</v>
      </c>
      <c r="O10" s="5">
        <v>-0.5</v>
      </c>
      <c r="P10" s="5">
        <v>2</v>
      </c>
      <c r="Q10" s="6">
        <f>IF(sim.tbl[[#This Row],[Dens]]&lt;=770,1,0)</f>
        <v>0</v>
      </c>
      <c r="R10" s="6">
        <f>IF(AND(sim.tbl[[#This Row],[Sulf]]&gt;0.5,sim.tbl[[#This Row],[Dens]]&gt;770,sim.tbl[[#This Row],[Dens]]&lt;=825),1,0)</f>
        <v>0</v>
      </c>
      <c r="S10" s="6">
        <f>IF(AND(sim.tbl[[#This Row],[Sulf]]&lt;=0.5,sim.tbl[[#This Row],[Dens]]&gt;770,sim.tbl[[#This Row],[Dens]]&lt;=825),1,0)</f>
        <v>1</v>
      </c>
      <c r="T10" s="6">
        <f>IF(AND(sim.tbl[[#This Row],[Sulf]]&gt;0.5,sim.tbl[[#This Row],[Dens]]&gt;825,sim.tbl[[#This Row],[Dens]]&lt;=870),1,0)</f>
        <v>0</v>
      </c>
      <c r="U10" s="6">
        <f>IF(AND(sim.tbl[[#This Row],[Sulf]]&lt;0.5,sim.tbl[[#This Row],[Dens]]&gt;825,sim.tbl[[#This Row],[Dens]]&lt;=900),1,0)</f>
        <v>0</v>
      </c>
      <c r="V10" s="6">
        <f>IF(AND(sim.tbl[[#This Row],[Sulf]]&gt;0.5,sim.tbl[[#This Row],[Dens]]&gt;870,sim.tbl[[#This Row],[Dens]]&lt;=900),1,0)</f>
        <v>0</v>
      </c>
      <c r="W10" s="6">
        <f>IF(AND(sim.tbl[[#This Row],[Sulf]]&gt;0.5,sim.tbl[[#This Row],[Dens]]&gt;900),1,0)</f>
        <v>0</v>
      </c>
      <c r="X10" s="6">
        <f>IF(AND(sim.tbl[[#This Row],[Sulf]]&lt;=0.5,sim.tbl[[#This Row],[Dens]]&gt;900),1,0)</f>
        <v>0</v>
      </c>
      <c r="Y10" s="6">
        <f ca="1">IF(MONTH(sim.tbl[[#This Row],[SDate]])=INDEX(mthLkUp.tbl[Num],MATCH(Y$3,mthLkUp.tbl[Month],0)),1,0)</f>
        <v>0</v>
      </c>
      <c r="Z10" s="6">
        <f ca="1">IF(MONTH(sim.tbl[[#This Row],[SDate]])=INDEX(mthLkUp.tbl[Num],MATCH(Z$3,mthLkUp.tbl[Month],0)),1,0)</f>
        <v>0</v>
      </c>
      <c r="AA10" s="6">
        <f ca="1">IF(MONTH(sim.tbl[[#This Row],[SDate]])=INDEX(mthLkUp.tbl[Num],MATCH(AA$3,mthLkUp.tbl[Month],0)),1,0)</f>
        <v>1</v>
      </c>
      <c r="AB10" s="6">
        <f ca="1">IF(MONTH(sim.tbl[[#This Row],[SDate]])=INDEX(mthLkUp.tbl[Num],MATCH(AB$3,mthLkUp.tbl[Month],0)),1,0)</f>
        <v>0</v>
      </c>
      <c r="AC10" s="6">
        <f ca="1">IF(MONTH(sim.tbl[[#This Row],[SDate]])=INDEX(mthLkUp.tbl[Num],MATCH(AC$3,mthLkUp.tbl[Month],0)),1,0)</f>
        <v>0</v>
      </c>
      <c r="AD10" s="6">
        <f ca="1">IF(MONTH(sim.tbl[[#This Row],[SDate]])=INDEX(mthLkUp.tbl[Num],MATCH(AD$3,mthLkUp.tbl[Month],0)),1,0)</f>
        <v>0</v>
      </c>
      <c r="AE10" s="6">
        <f ca="1">IF(MONTH(sim.tbl[[#This Row],[SDate]])=INDEX(mthLkUp.tbl[Num],MATCH(AE$3,mthLkUp.tbl[Month],0)),1,0)</f>
        <v>0</v>
      </c>
      <c r="AF10" s="6">
        <f ca="1">IF(MONTH(sim.tbl[[#This Row],[SDate]])=INDEX(mthLkUp.tbl[Num],MATCH(AF$3,mthLkUp.tbl[Month],0)),1,0)</f>
        <v>0</v>
      </c>
      <c r="AG10" s="6">
        <f ca="1">IF(MONTH(sim.tbl[[#This Row],[SDate]])=INDEX(mthLkUp.tbl[Num],MATCH(AG$3,mthLkUp.tbl[Month],0)),1,0)</f>
        <v>0</v>
      </c>
      <c r="AH10" s="6">
        <f ca="1">IF(MONTH(sim.tbl[[#This Row],[SDate]])=INDEX(mthLkUp.tbl[Num],MATCH(AH$3,mthLkUp.tbl[Month],0)),1,0)</f>
        <v>0</v>
      </c>
      <c r="AI10" s="6">
        <f ca="1">IF(MONTH(sim.tbl[[#This Row],[SDate]])=INDEX(mthLkUp.tbl[Num],MATCH(AI$3,mthLkUp.tbl[Month],0)),1,0)</f>
        <v>0</v>
      </c>
      <c r="AJ10" s="6">
        <f ca="1">IF(MONTH(sim.tbl[[#This Row],[SDate]])=INDEX(mthLkUp.tbl[Num],MATCH(AJ$3,mthLkUp.tbl[Month],0)),1,0)</f>
        <v>0</v>
      </c>
      <c r="AK10" s="6">
        <v>0</v>
      </c>
      <c r="AL10" s="5">
        <f>sim.tbl[[#This Row],[Sulf]]*sim.tbl[[#This Row],[C5]]</f>
        <v>0</v>
      </c>
      <c r="AM10" s="5">
        <f>sim.tbl[[#This Row],[Sulf]]*sim.tbl[[#This Row],[Light_LSB]]</f>
        <v>0</v>
      </c>
      <c r="AN10" s="5">
        <f>sim.tbl[[#This Row],[Sulf]]*sim.tbl[[#This Row],[Light_SW]]</f>
        <v>0.37</v>
      </c>
      <c r="AO10" s="5">
        <f>sim.tbl[[#This Row],[Sulf]]*sim.tbl[[#This Row],[Medium_LSB]]</f>
        <v>0</v>
      </c>
      <c r="AP10" s="5">
        <f>sim.tbl[[#This Row],[Sulf]]*sim.tbl[[#This Row],[Medium_SW]]</f>
        <v>0</v>
      </c>
      <c r="AQ10" s="5">
        <f>sim.tbl[[#This Row],[Sulf]]*sim.tbl[[#This Row],[Midale]]</f>
        <v>0</v>
      </c>
      <c r="AR10" s="5">
        <f>sim.tbl[[#This Row],[Sulf]]*sim.tbl[[#This Row],[Heavy_Sour]]</f>
        <v>0</v>
      </c>
      <c r="AS10" s="5">
        <f>sim.tbl[[#This Row],[Sulf]]*sim.tbl[[#This Row],[Heavy_SW]]</f>
        <v>0</v>
      </c>
      <c r="AT10" s="5">
        <f>sim.tbl[[#This Row],[Dens]]*sim.tbl[[#This Row],[C5]]</f>
        <v>0</v>
      </c>
      <c r="AU10" s="5">
        <f>sim.tbl[[#This Row],[Dens]]*sim.tbl[[#This Row],[Light_LSB]]</f>
        <v>0</v>
      </c>
      <c r="AV10" s="5">
        <f>sim.tbl[[#This Row],[Dens]]*sim.tbl[[#This Row],[Light_SW]]</f>
        <v>813.2</v>
      </c>
      <c r="AW10" s="5">
        <f>sim.tbl[[#This Row],[Dens]]*sim.tbl[[#This Row],[Medium_LSB]]</f>
        <v>0</v>
      </c>
      <c r="AX10" s="5">
        <f>sim.tbl[[#This Row],[Dens]]*sim.tbl[[#This Row],[Medium_SW]]</f>
        <v>0</v>
      </c>
      <c r="AY10" s="5">
        <f>sim.tbl[[#This Row],[Dens]]*sim.tbl[[#This Row],[Midale]]</f>
        <v>0</v>
      </c>
      <c r="AZ10" s="5">
        <f>sim.tbl[[#This Row],[Dens]]*sim.tbl[[#This Row],[Heavy_Sour]]</f>
        <v>0</v>
      </c>
      <c r="BA10" s="5">
        <f>sim.tbl[[#This Row],[Dens]]*sim.tbl[[#This Row],[Heavy_SW]]</f>
        <v>0</v>
      </c>
      <c r="BB10" s="5">
        <f>sim.tbl[[#This Row],[Temp.Roll]]*sim.tbl[[#This Row],[C5]]</f>
        <v>0</v>
      </c>
      <c r="BC10" s="5">
        <f>sim.tbl[[#This Row],[Temp.Roll]]*sim.tbl[[#This Row],[Light_LSB]]</f>
        <v>0</v>
      </c>
      <c r="BD10" s="5">
        <f>sim.tbl[[#This Row],[Temp.Roll]]*sim.tbl[[#This Row],[Light_SW]]</f>
        <v>6.1</v>
      </c>
      <c r="BE10" s="5">
        <f>sim.tbl[[#This Row],[Temp.Roll]]*sim.tbl[[#This Row],[Medium_LSB]]</f>
        <v>0</v>
      </c>
      <c r="BF10" s="5">
        <f>sim.tbl[[#This Row],[Temp.Roll]]*sim.tbl[[#This Row],[Medium_SW]]</f>
        <v>0</v>
      </c>
      <c r="BG10" s="5">
        <f>sim.tbl[[#This Row],[Temp.Roll]]*sim.tbl[[#This Row],[Midale]]</f>
        <v>0</v>
      </c>
      <c r="BH10" s="5">
        <f>sim.tbl[[#This Row],[Temp.Roll]]*sim.tbl[[#This Row],[Heavy_Sour]]</f>
        <v>0</v>
      </c>
      <c r="BI10" s="5">
        <f>sim.tbl[[#This Row],[Temp.Roll]]*sim.tbl[[#This Row],[Heavy_SW]]</f>
        <v>0</v>
      </c>
    </row>
    <row r="11" spans="1:61" x14ac:dyDescent="0.25">
      <c r="A11" s="11" t="s">
        <v>386</v>
      </c>
      <c r="B11" s="12">
        <f ca="1">MEDIAN(sim.tbl[Predicted VP])</f>
        <v>83.716522931434838</v>
      </c>
      <c r="D11" s="5">
        <f ca="1">SUMPRODUCT($F$1:$BI$1,sim.tbl[[#This Row],[Intercept]:[Temp.Roll:Heavy_SW]])</f>
        <v>102.50484764753377</v>
      </c>
      <c r="E11" s="14">
        <f ca="1">DATE(YEAR(TODAY()),INDEX(mthLkUp.tbl[Num],MATCH(mth.input,mthLkUp.tbl[Month],0)),1)</f>
        <v>42795</v>
      </c>
      <c r="F11" s="6">
        <f>1</f>
        <v>1</v>
      </c>
      <c r="G11" s="5">
        <v>1.26</v>
      </c>
      <c r="H11" s="5">
        <v>821</v>
      </c>
      <c r="I11" s="5">
        <v>-5.38</v>
      </c>
      <c r="J11" s="5">
        <v>-5.2</v>
      </c>
      <c r="K11" s="5">
        <v>-5.7</v>
      </c>
      <c r="L11" s="5">
        <v>-5.2</v>
      </c>
      <c r="M11" s="5">
        <v>3.8</v>
      </c>
      <c r="N11" s="5">
        <v>-4</v>
      </c>
      <c r="O11" s="5">
        <v>-5.3</v>
      </c>
      <c r="P11" s="5">
        <v>-6.7</v>
      </c>
      <c r="Q11" s="6">
        <f>IF(sim.tbl[[#This Row],[Dens]]&lt;=770,1,0)</f>
        <v>0</v>
      </c>
      <c r="R11" s="6">
        <f>IF(AND(sim.tbl[[#This Row],[Sulf]]&gt;0.5,sim.tbl[[#This Row],[Dens]]&gt;770,sim.tbl[[#This Row],[Dens]]&lt;=825),1,0)</f>
        <v>1</v>
      </c>
      <c r="S11" s="6">
        <f>IF(AND(sim.tbl[[#This Row],[Sulf]]&lt;=0.5,sim.tbl[[#This Row],[Dens]]&gt;770,sim.tbl[[#This Row],[Dens]]&lt;=825),1,0)</f>
        <v>0</v>
      </c>
      <c r="T11" s="6">
        <f>IF(AND(sim.tbl[[#This Row],[Sulf]]&gt;0.5,sim.tbl[[#This Row],[Dens]]&gt;825,sim.tbl[[#This Row],[Dens]]&lt;=870),1,0)</f>
        <v>0</v>
      </c>
      <c r="U11" s="6">
        <f>IF(AND(sim.tbl[[#This Row],[Sulf]]&lt;0.5,sim.tbl[[#This Row],[Dens]]&gt;825,sim.tbl[[#This Row],[Dens]]&lt;=900),1,0)</f>
        <v>0</v>
      </c>
      <c r="V11" s="6">
        <f>IF(AND(sim.tbl[[#This Row],[Sulf]]&gt;0.5,sim.tbl[[#This Row],[Dens]]&gt;870,sim.tbl[[#This Row],[Dens]]&lt;=900),1,0)</f>
        <v>0</v>
      </c>
      <c r="W11" s="6">
        <f>IF(AND(sim.tbl[[#This Row],[Sulf]]&gt;0.5,sim.tbl[[#This Row],[Dens]]&gt;900),1,0)</f>
        <v>0</v>
      </c>
      <c r="X11" s="6">
        <f>IF(AND(sim.tbl[[#This Row],[Sulf]]&lt;=0.5,sim.tbl[[#This Row],[Dens]]&gt;900),1,0)</f>
        <v>0</v>
      </c>
      <c r="Y11" s="6">
        <f ca="1">IF(MONTH(sim.tbl[[#This Row],[SDate]])=INDEX(mthLkUp.tbl[Num],MATCH(Y$3,mthLkUp.tbl[Month],0)),1,0)</f>
        <v>0</v>
      </c>
      <c r="Z11" s="6">
        <f ca="1">IF(MONTH(sim.tbl[[#This Row],[SDate]])=INDEX(mthLkUp.tbl[Num],MATCH(Z$3,mthLkUp.tbl[Month],0)),1,0)</f>
        <v>0</v>
      </c>
      <c r="AA11" s="6">
        <f ca="1">IF(MONTH(sim.tbl[[#This Row],[SDate]])=INDEX(mthLkUp.tbl[Num],MATCH(AA$3,mthLkUp.tbl[Month],0)),1,0)</f>
        <v>1</v>
      </c>
      <c r="AB11" s="6">
        <f ca="1">IF(MONTH(sim.tbl[[#This Row],[SDate]])=INDEX(mthLkUp.tbl[Num],MATCH(AB$3,mthLkUp.tbl[Month],0)),1,0)</f>
        <v>0</v>
      </c>
      <c r="AC11" s="6">
        <f ca="1">IF(MONTH(sim.tbl[[#This Row],[SDate]])=INDEX(mthLkUp.tbl[Num],MATCH(AC$3,mthLkUp.tbl[Month],0)),1,0)</f>
        <v>0</v>
      </c>
      <c r="AD11" s="6">
        <f ca="1">IF(MONTH(sim.tbl[[#This Row],[SDate]])=INDEX(mthLkUp.tbl[Num],MATCH(AD$3,mthLkUp.tbl[Month],0)),1,0)</f>
        <v>0</v>
      </c>
      <c r="AE11" s="6">
        <f ca="1">IF(MONTH(sim.tbl[[#This Row],[SDate]])=INDEX(mthLkUp.tbl[Num],MATCH(AE$3,mthLkUp.tbl[Month],0)),1,0)</f>
        <v>0</v>
      </c>
      <c r="AF11" s="6">
        <f ca="1">IF(MONTH(sim.tbl[[#This Row],[SDate]])=INDEX(mthLkUp.tbl[Num],MATCH(AF$3,mthLkUp.tbl[Month],0)),1,0)</f>
        <v>0</v>
      </c>
      <c r="AG11" s="6">
        <f ca="1">IF(MONTH(sim.tbl[[#This Row],[SDate]])=INDEX(mthLkUp.tbl[Num],MATCH(AG$3,mthLkUp.tbl[Month],0)),1,0)</f>
        <v>0</v>
      </c>
      <c r="AH11" s="6">
        <f ca="1">IF(MONTH(sim.tbl[[#This Row],[SDate]])=INDEX(mthLkUp.tbl[Num],MATCH(AH$3,mthLkUp.tbl[Month],0)),1,0)</f>
        <v>0</v>
      </c>
      <c r="AI11" s="6">
        <f ca="1">IF(MONTH(sim.tbl[[#This Row],[SDate]])=INDEX(mthLkUp.tbl[Num],MATCH(AI$3,mthLkUp.tbl[Month],0)),1,0)</f>
        <v>0</v>
      </c>
      <c r="AJ11" s="6">
        <f ca="1">IF(MONTH(sim.tbl[[#This Row],[SDate]])=INDEX(mthLkUp.tbl[Num],MATCH(AJ$3,mthLkUp.tbl[Month],0)),1,0)</f>
        <v>0</v>
      </c>
      <c r="AK11" s="6">
        <v>0</v>
      </c>
      <c r="AL11" s="5">
        <f>sim.tbl[[#This Row],[Sulf]]*sim.tbl[[#This Row],[C5]]</f>
        <v>0</v>
      </c>
      <c r="AM11" s="5">
        <f>sim.tbl[[#This Row],[Sulf]]*sim.tbl[[#This Row],[Light_LSB]]</f>
        <v>1.26</v>
      </c>
      <c r="AN11" s="5">
        <f>sim.tbl[[#This Row],[Sulf]]*sim.tbl[[#This Row],[Light_SW]]</f>
        <v>0</v>
      </c>
      <c r="AO11" s="5">
        <f>sim.tbl[[#This Row],[Sulf]]*sim.tbl[[#This Row],[Medium_LSB]]</f>
        <v>0</v>
      </c>
      <c r="AP11" s="5">
        <f>sim.tbl[[#This Row],[Sulf]]*sim.tbl[[#This Row],[Medium_SW]]</f>
        <v>0</v>
      </c>
      <c r="AQ11" s="5">
        <f>sim.tbl[[#This Row],[Sulf]]*sim.tbl[[#This Row],[Midale]]</f>
        <v>0</v>
      </c>
      <c r="AR11" s="5">
        <f>sim.tbl[[#This Row],[Sulf]]*sim.tbl[[#This Row],[Heavy_Sour]]</f>
        <v>0</v>
      </c>
      <c r="AS11" s="5">
        <f>sim.tbl[[#This Row],[Sulf]]*sim.tbl[[#This Row],[Heavy_SW]]</f>
        <v>0</v>
      </c>
      <c r="AT11" s="5">
        <f>sim.tbl[[#This Row],[Dens]]*sim.tbl[[#This Row],[C5]]</f>
        <v>0</v>
      </c>
      <c r="AU11" s="5">
        <f>sim.tbl[[#This Row],[Dens]]*sim.tbl[[#This Row],[Light_LSB]]</f>
        <v>821</v>
      </c>
      <c r="AV11" s="5">
        <f>sim.tbl[[#This Row],[Dens]]*sim.tbl[[#This Row],[Light_SW]]</f>
        <v>0</v>
      </c>
      <c r="AW11" s="5">
        <f>sim.tbl[[#This Row],[Dens]]*sim.tbl[[#This Row],[Medium_LSB]]</f>
        <v>0</v>
      </c>
      <c r="AX11" s="5">
        <f>sim.tbl[[#This Row],[Dens]]*sim.tbl[[#This Row],[Medium_SW]]</f>
        <v>0</v>
      </c>
      <c r="AY11" s="5">
        <f>sim.tbl[[#This Row],[Dens]]*sim.tbl[[#This Row],[Midale]]</f>
        <v>0</v>
      </c>
      <c r="AZ11" s="5">
        <f>sim.tbl[[#This Row],[Dens]]*sim.tbl[[#This Row],[Heavy_Sour]]</f>
        <v>0</v>
      </c>
      <c r="BA11" s="5">
        <f>sim.tbl[[#This Row],[Dens]]*sim.tbl[[#This Row],[Heavy_SW]]</f>
        <v>0</v>
      </c>
      <c r="BB11" s="5">
        <f>sim.tbl[[#This Row],[Temp.Roll]]*sim.tbl[[#This Row],[C5]]</f>
        <v>0</v>
      </c>
      <c r="BC11" s="5">
        <f>sim.tbl[[#This Row],[Temp.Roll]]*sim.tbl[[#This Row],[Light_LSB]]</f>
        <v>-5.2</v>
      </c>
      <c r="BD11" s="5">
        <f>sim.tbl[[#This Row],[Temp.Roll]]*sim.tbl[[#This Row],[Light_SW]]</f>
        <v>0</v>
      </c>
      <c r="BE11" s="5">
        <f>sim.tbl[[#This Row],[Temp.Roll]]*sim.tbl[[#This Row],[Medium_LSB]]</f>
        <v>0</v>
      </c>
      <c r="BF11" s="5">
        <f>sim.tbl[[#This Row],[Temp.Roll]]*sim.tbl[[#This Row],[Medium_SW]]</f>
        <v>0</v>
      </c>
      <c r="BG11" s="5">
        <f>sim.tbl[[#This Row],[Temp.Roll]]*sim.tbl[[#This Row],[Midale]]</f>
        <v>0</v>
      </c>
      <c r="BH11" s="5">
        <f>sim.tbl[[#This Row],[Temp.Roll]]*sim.tbl[[#This Row],[Heavy_Sour]]</f>
        <v>0</v>
      </c>
      <c r="BI11" s="5">
        <f>sim.tbl[[#This Row],[Temp.Roll]]*sim.tbl[[#This Row],[Heavy_SW]]</f>
        <v>0</v>
      </c>
    </row>
    <row r="12" spans="1:61" x14ac:dyDescent="0.25">
      <c r="A12" s="11" t="s">
        <v>387</v>
      </c>
      <c r="B12" s="12">
        <f ca="1">_xlfn.STDEV.S(sim.tbl[Predicted VP])</f>
        <v>7.2854335845116784</v>
      </c>
      <c r="D12" s="5">
        <f ca="1">SUMPRODUCT($F$1:$BI$1,sim.tbl[[#This Row],[Intercept]:[Temp.Roll:Heavy_SW]])</f>
        <v>91.631292285845632</v>
      </c>
      <c r="E12" s="14">
        <f ca="1">DATE(YEAR(TODAY()),INDEX(mthLkUp.tbl[Num],MATCH(mth.input,mthLkUp.tbl[Month],0)),1)</f>
        <v>42795</v>
      </c>
      <c r="F12" s="6">
        <f>1</f>
        <v>1</v>
      </c>
      <c r="G12" s="5">
        <v>0.91</v>
      </c>
      <c r="H12" s="5">
        <v>827.3</v>
      </c>
      <c r="I12" s="5">
        <v>5.4</v>
      </c>
      <c r="J12" s="5">
        <v>6.2</v>
      </c>
      <c r="K12" s="5">
        <v>4.5</v>
      </c>
      <c r="L12" s="5">
        <v>6.2</v>
      </c>
      <c r="M12" s="5">
        <v>4</v>
      </c>
      <c r="N12" s="5">
        <v>6.8</v>
      </c>
      <c r="O12" s="5">
        <v>4.4000000000000004</v>
      </c>
      <c r="P12" s="5">
        <v>6.5</v>
      </c>
      <c r="Q12" s="6">
        <f>IF(sim.tbl[[#This Row],[Dens]]&lt;=770,1,0)</f>
        <v>0</v>
      </c>
      <c r="R12" s="6">
        <f>IF(AND(sim.tbl[[#This Row],[Sulf]]&gt;0.5,sim.tbl[[#This Row],[Dens]]&gt;770,sim.tbl[[#This Row],[Dens]]&lt;=825),1,0)</f>
        <v>0</v>
      </c>
      <c r="S12" s="6">
        <f>IF(AND(sim.tbl[[#This Row],[Sulf]]&lt;=0.5,sim.tbl[[#This Row],[Dens]]&gt;770,sim.tbl[[#This Row],[Dens]]&lt;=825),1,0)</f>
        <v>0</v>
      </c>
      <c r="T12" s="6">
        <f>IF(AND(sim.tbl[[#This Row],[Sulf]]&gt;0.5,sim.tbl[[#This Row],[Dens]]&gt;825,sim.tbl[[#This Row],[Dens]]&lt;=870),1,0)</f>
        <v>1</v>
      </c>
      <c r="U12" s="6">
        <f>IF(AND(sim.tbl[[#This Row],[Sulf]]&lt;0.5,sim.tbl[[#This Row],[Dens]]&gt;825,sim.tbl[[#This Row],[Dens]]&lt;=900),1,0)</f>
        <v>0</v>
      </c>
      <c r="V12" s="6">
        <f>IF(AND(sim.tbl[[#This Row],[Sulf]]&gt;0.5,sim.tbl[[#This Row],[Dens]]&gt;870,sim.tbl[[#This Row],[Dens]]&lt;=900),1,0)</f>
        <v>0</v>
      </c>
      <c r="W12" s="6">
        <f>IF(AND(sim.tbl[[#This Row],[Sulf]]&gt;0.5,sim.tbl[[#This Row],[Dens]]&gt;900),1,0)</f>
        <v>0</v>
      </c>
      <c r="X12" s="6">
        <f>IF(AND(sim.tbl[[#This Row],[Sulf]]&lt;=0.5,sim.tbl[[#This Row],[Dens]]&gt;900),1,0)</f>
        <v>0</v>
      </c>
      <c r="Y12" s="6">
        <f ca="1">IF(MONTH(sim.tbl[[#This Row],[SDate]])=INDEX(mthLkUp.tbl[Num],MATCH(Y$3,mthLkUp.tbl[Month],0)),1,0)</f>
        <v>0</v>
      </c>
      <c r="Z12" s="6">
        <f ca="1">IF(MONTH(sim.tbl[[#This Row],[SDate]])=INDEX(mthLkUp.tbl[Num],MATCH(Z$3,mthLkUp.tbl[Month],0)),1,0)</f>
        <v>0</v>
      </c>
      <c r="AA12" s="6">
        <f ca="1">IF(MONTH(sim.tbl[[#This Row],[SDate]])=INDEX(mthLkUp.tbl[Num],MATCH(AA$3,mthLkUp.tbl[Month],0)),1,0)</f>
        <v>1</v>
      </c>
      <c r="AB12" s="6">
        <f ca="1">IF(MONTH(sim.tbl[[#This Row],[SDate]])=INDEX(mthLkUp.tbl[Num],MATCH(AB$3,mthLkUp.tbl[Month],0)),1,0)</f>
        <v>0</v>
      </c>
      <c r="AC12" s="6">
        <f ca="1">IF(MONTH(sim.tbl[[#This Row],[SDate]])=INDEX(mthLkUp.tbl[Num],MATCH(AC$3,mthLkUp.tbl[Month],0)),1,0)</f>
        <v>0</v>
      </c>
      <c r="AD12" s="6">
        <f ca="1">IF(MONTH(sim.tbl[[#This Row],[SDate]])=INDEX(mthLkUp.tbl[Num],MATCH(AD$3,mthLkUp.tbl[Month],0)),1,0)</f>
        <v>0</v>
      </c>
      <c r="AE12" s="6">
        <f ca="1">IF(MONTH(sim.tbl[[#This Row],[SDate]])=INDEX(mthLkUp.tbl[Num],MATCH(AE$3,mthLkUp.tbl[Month],0)),1,0)</f>
        <v>0</v>
      </c>
      <c r="AF12" s="6">
        <f ca="1">IF(MONTH(sim.tbl[[#This Row],[SDate]])=INDEX(mthLkUp.tbl[Num],MATCH(AF$3,mthLkUp.tbl[Month],0)),1,0)</f>
        <v>0</v>
      </c>
      <c r="AG12" s="6">
        <f ca="1">IF(MONTH(sim.tbl[[#This Row],[SDate]])=INDEX(mthLkUp.tbl[Num],MATCH(AG$3,mthLkUp.tbl[Month],0)),1,0)</f>
        <v>0</v>
      </c>
      <c r="AH12" s="6">
        <f ca="1">IF(MONTH(sim.tbl[[#This Row],[SDate]])=INDEX(mthLkUp.tbl[Num],MATCH(AH$3,mthLkUp.tbl[Month],0)),1,0)</f>
        <v>0</v>
      </c>
      <c r="AI12" s="6">
        <f ca="1">IF(MONTH(sim.tbl[[#This Row],[SDate]])=INDEX(mthLkUp.tbl[Num],MATCH(AI$3,mthLkUp.tbl[Month],0)),1,0)</f>
        <v>0</v>
      </c>
      <c r="AJ12" s="6">
        <f ca="1">IF(MONTH(sim.tbl[[#This Row],[SDate]])=INDEX(mthLkUp.tbl[Num],MATCH(AJ$3,mthLkUp.tbl[Month],0)),1,0)</f>
        <v>0</v>
      </c>
      <c r="AK12" s="6">
        <v>0</v>
      </c>
      <c r="AL12" s="5">
        <f>sim.tbl[[#This Row],[Sulf]]*sim.tbl[[#This Row],[C5]]</f>
        <v>0</v>
      </c>
      <c r="AM12" s="5">
        <f>sim.tbl[[#This Row],[Sulf]]*sim.tbl[[#This Row],[Light_LSB]]</f>
        <v>0</v>
      </c>
      <c r="AN12" s="5">
        <f>sim.tbl[[#This Row],[Sulf]]*sim.tbl[[#This Row],[Light_SW]]</f>
        <v>0</v>
      </c>
      <c r="AO12" s="5">
        <f>sim.tbl[[#This Row],[Sulf]]*sim.tbl[[#This Row],[Medium_LSB]]</f>
        <v>0.91</v>
      </c>
      <c r="AP12" s="5">
        <f>sim.tbl[[#This Row],[Sulf]]*sim.tbl[[#This Row],[Medium_SW]]</f>
        <v>0</v>
      </c>
      <c r="AQ12" s="5">
        <f>sim.tbl[[#This Row],[Sulf]]*sim.tbl[[#This Row],[Midale]]</f>
        <v>0</v>
      </c>
      <c r="AR12" s="5">
        <f>sim.tbl[[#This Row],[Sulf]]*sim.tbl[[#This Row],[Heavy_Sour]]</f>
        <v>0</v>
      </c>
      <c r="AS12" s="5">
        <f>sim.tbl[[#This Row],[Sulf]]*sim.tbl[[#This Row],[Heavy_SW]]</f>
        <v>0</v>
      </c>
      <c r="AT12" s="5">
        <f>sim.tbl[[#This Row],[Dens]]*sim.tbl[[#This Row],[C5]]</f>
        <v>0</v>
      </c>
      <c r="AU12" s="5">
        <f>sim.tbl[[#This Row],[Dens]]*sim.tbl[[#This Row],[Light_LSB]]</f>
        <v>0</v>
      </c>
      <c r="AV12" s="5">
        <f>sim.tbl[[#This Row],[Dens]]*sim.tbl[[#This Row],[Light_SW]]</f>
        <v>0</v>
      </c>
      <c r="AW12" s="5">
        <f>sim.tbl[[#This Row],[Dens]]*sim.tbl[[#This Row],[Medium_LSB]]</f>
        <v>827.3</v>
      </c>
      <c r="AX12" s="5">
        <f>sim.tbl[[#This Row],[Dens]]*sim.tbl[[#This Row],[Medium_SW]]</f>
        <v>0</v>
      </c>
      <c r="AY12" s="5">
        <f>sim.tbl[[#This Row],[Dens]]*sim.tbl[[#This Row],[Midale]]</f>
        <v>0</v>
      </c>
      <c r="AZ12" s="5">
        <f>sim.tbl[[#This Row],[Dens]]*sim.tbl[[#This Row],[Heavy_Sour]]</f>
        <v>0</v>
      </c>
      <c r="BA12" s="5">
        <f>sim.tbl[[#This Row],[Dens]]*sim.tbl[[#This Row],[Heavy_SW]]</f>
        <v>0</v>
      </c>
      <c r="BB12" s="5">
        <f>sim.tbl[[#This Row],[Temp.Roll]]*sim.tbl[[#This Row],[C5]]</f>
        <v>0</v>
      </c>
      <c r="BC12" s="5">
        <f>sim.tbl[[#This Row],[Temp.Roll]]*sim.tbl[[#This Row],[Light_LSB]]</f>
        <v>0</v>
      </c>
      <c r="BD12" s="5">
        <f>sim.tbl[[#This Row],[Temp.Roll]]*sim.tbl[[#This Row],[Light_SW]]</f>
        <v>0</v>
      </c>
      <c r="BE12" s="5">
        <f>sim.tbl[[#This Row],[Temp.Roll]]*sim.tbl[[#This Row],[Medium_LSB]]</f>
        <v>6.2</v>
      </c>
      <c r="BF12" s="5">
        <f>sim.tbl[[#This Row],[Temp.Roll]]*sim.tbl[[#This Row],[Medium_SW]]</f>
        <v>0</v>
      </c>
      <c r="BG12" s="5">
        <f>sim.tbl[[#This Row],[Temp.Roll]]*sim.tbl[[#This Row],[Midale]]</f>
        <v>0</v>
      </c>
      <c r="BH12" s="5">
        <f>sim.tbl[[#This Row],[Temp.Roll]]*sim.tbl[[#This Row],[Heavy_Sour]]</f>
        <v>0</v>
      </c>
      <c r="BI12" s="5">
        <f>sim.tbl[[#This Row],[Temp.Roll]]*sim.tbl[[#This Row],[Heavy_SW]]</f>
        <v>0</v>
      </c>
    </row>
    <row r="13" spans="1:61" x14ac:dyDescent="0.25">
      <c r="A13" s="11" t="s">
        <v>388</v>
      </c>
      <c r="B13" s="12">
        <f ca="1">MIN(sim.tbl[Predicted VP])</f>
        <v>71.295924629251772</v>
      </c>
      <c r="D13" s="5">
        <f ca="1">SUMPRODUCT($F$1:$BI$1,sim.tbl[[#This Row],[Intercept]:[Temp.Roll:Heavy_SW]])</f>
        <v>92.380802291784704</v>
      </c>
      <c r="E13" s="14">
        <f ca="1">DATE(YEAR(TODAY()),INDEX(mthLkUp.tbl[Num],MATCH(mth.input,mthLkUp.tbl[Month],0)),1)</f>
        <v>42795</v>
      </c>
      <c r="F13" s="6">
        <f>1</f>
        <v>1</v>
      </c>
      <c r="G13" s="5">
        <v>1.08</v>
      </c>
      <c r="H13" s="5">
        <v>836.8</v>
      </c>
      <c r="I13" s="5">
        <v>-3.1833333330000002</v>
      </c>
      <c r="J13" s="5">
        <v>-3.8</v>
      </c>
      <c r="K13" s="5">
        <v>-3.5</v>
      </c>
      <c r="L13" s="5">
        <v>-3.8</v>
      </c>
      <c r="M13" s="5">
        <v>-3</v>
      </c>
      <c r="N13" s="5">
        <v>-3</v>
      </c>
      <c r="O13" s="5">
        <v>-2.5</v>
      </c>
      <c r="P13" s="5">
        <v>-3.3</v>
      </c>
      <c r="Q13" s="6">
        <f>IF(sim.tbl[[#This Row],[Dens]]&lt;=770,1,0)</f>
        <v>0</v>
      </c>
      <c r="R13" s="6">
        <f>IF(AND(sim.tbl[[#This Row],[Sulf]]&gt;0.5,sim.tbl[[#This Row],[Dens]]&gt;770,sim.tbl[[#This Row],[Dens]]&lt;=825),1,0)</f>
        <v>0</v>
      </c>
      <c r="S13" s="6">
        <f>IF(AND(sim.tbl[[#This Row],[Sulf]]&lt;=0.5,sim.tbl[[#This Row],[Dens]]&gt;770,sim.tbl[[#This Row],[Dens]]&lt;=825),1,0)</f>
        <v>0</v>
      </c>
      <c r="T13" s="6">
        <f>IF(AND(sim.tbl[[#This Row],[Sulf]]&gt;0.5,sim.tbl[[#This Row],[Dens]]&gt;825,sim.tbl[[#This Row],[Dens]]&lt;=870),1,0)</f>
        <v>1</v>
      </c>
      <c r="U13" s="6">
        <f>IF(AND(sim.tbl[[#This Row],[Sulf]]&lt;0.5,sim.tbl[[#This Row],[Dens]]&gt;825,sim.tbl[[#This Row],[Dens]]&lt;=900),1,0)</f>
        <v>0</v>
      </c>
      <c r="V13" s="6">
        <f>IF(AND(sim.tbl[[#This Row],[Sulf]]&gt;0.5,sim.tbl[[#This Row],[Dens]]&gt;870,sim.tbl[[#This Row],[Dens]]&lt;=900),1,0)</f>
        <v>0</v>
      </c>
      <c r="W13" s="6">
        <f>IF(AND(sim.tbl[[#This Row],[Sulf]]&gt;0.5,sim.tbl[[#This Row],[Dens]]&gt;900),1,0)</f>
        <v>0</v>
      </c>
      <c r="X13" s="6">
        <f>IF(AND(sim.tbl[[#This Row],[Sulf]]&lt;=0.5,sim.tbl[[#This Row],[Dens]]&gt;900),1,0)</f>
        <v>0</v>
      </c>
      <c r="Y13" s="6">
        <f ca="1">IF(MONTH(sim.tbl[[#This Row],[SDate]])=INDEX(mthLkUp.tbl[Num],MATCH(Y$3,mthLkUp.tbl[Month],0)),1,0)</f>
        <v>0</v>
      </c>
      <c r="Z13" s="6">
        <f ca="1">IF(MONTH(sim.tbl[[#This Row],[SDate]])=INDEX(mthLkUp.tbl[Num],MATCH(Z$3,mthLkUp.tbl[Month],0)),1,0)</f>
        <v>0</v>
      </c>
      <c r="AA13" s="6">
        <f ca="1">IF(MONTH(sim.tbl[[#This Row],[SDate]])=INDEX(mthLkUp.tbl[Num],MATCH(AA$3,mthLkUp.tbl[Month],0)),1,0)</f>
        <v>1</v>
      </c>
      <c r="AB13" s="6">
        <f ca="1">IF(MONTH(sim.tbl[[#This Row],[SDate]])=INDEX(mthLkUp.tbl[Num],MATCH(AB$3,mthLkUp.tbl[Month],0)),1,0)</f>
        <v>0</v>
      </c>
      <c r="AC13" s="6">
        <f ca="1">IF(MONTH(sim.tbl[[#This Row],[SDate]])=INDEX(mthLkUp.tbl[Num],MATCH(AC$3,mthLkUp.tbl[Month],0)),1,0)</f>
        <v>0</v>
      </c>
      <c r="AD13" s="6">
        <f ca="1">IF(MONTH(sim.tbl[[#This Row],[SDate]])=INDEX(mthLkUp.tbl[Num],MATCH(AD$3,mthLkUp.tbl[Month],0)),1,0)</f>
        <v>0</v>
      </c>
      <c r="AE13" s="6">
        <f ca="1">IF(MONTH(sim.tbl[[#This Row],[SDate]])=INDEX(mthLkUp.tbl[Num],MATCH(AE$3,mthLkUp.tbl[Month],0)),1,0)</f>
        <v>0</v>
      </c>
      <c r="AF13" s="6">
        <f ca="1">IF(MONTH(sim.tbl[[#This Row],[SDate]])=INDEX(mthLkUp.tbl[Num],MATCH(AF$3,mthLkUp.tbl[Month],0)),1,0)</f>
        <v>0</v>
      </c>
      <c r="AG13" s="6">
        <f ca="1">IF(MONTH(sim.tbl[[#This Row],[SDate]])=INDEX(mthLkUp.tbl[Num],MATCH(AG$3,mthLkUp.tbl[Month],0)),1,0)</f>
        <v>0</v>
      </c>
      <c r="AH13" s="6">
        <f ca="1">IF(MONTH(sim.tbl[[#This Row],[SDate]])=INDEX(mthLkUp.tbl[Num],MATCH(AH$3,mthLkUp.tbl[Month],0)),1,0)</f>
        <v>0</v>
      </c>
      <c r="AI13" s="6">
        <f ca="1">IF(MONTH(sim.tbl[[#This Row],[SDate]])=INDEX(mthLkUp.tbl[Num],MATCH(AI$3,mthLkUp.tbl[Month],0)),1,0)</f>
        <v>0</v>
      </c>
      <c r="AJ13" s="6">
        <f ca="1">IF(MONTH(sim.tbl[[#This Row],[SDate]])=INDEX(mthLkUp.tbl[Num],MATCH(AJ$3,mthLkUp.tbl[Month],0)),1,0)</f>
        <v>0</v>
      </c>
      <c r="AK13" s="6">
        <v>0</v>
      </c>
      <c r="AL13" s="5">
        <f>sim.tbl[[#This Row],[Sulf]]*sim.tbl[[#This Row],[C5]]</f>
        <v>0</v>
      </c>
      <c r="AM13" s="5">
        <f>sim.tbl[[#This Row],[Sulf]]*sim.tbl[[#This Row],[Light_LSB]]</f>
        <v>0</v>
      </c>
      <c r="AN13" s="5">
        <f>sim.tbl[[#This Row],[Sulf]]*sim.tbl[[#This Row],[Light_SW]]</f>
        <v>0</v>
      </c>
      <c r="AO13" s="5">
        <f>sim.tbl[[#This Row],[Sulf]]*sim.tbl[[#This Row],[Medium_LSB]]</f>
        <v>1.08</v>
      </c>
      <c r="AP13" s="5">
        <f>sim.tbl[[#This Row],[Sulf]]*sim.tbl[[#This Row],[Medium_SW]]</f>
        <v>0</v>
      </c>
      <c r="AQ13" s="5">
        <f>sim.tbl[[#This Row],[Sulf]]*sim.tbl[[#This Row],[Midale]]</f>
        <v>0</v>
      </c>
      <c r="AR13" s="5">
        <f>sim.tbl[[#This Row],[Sulf]]*sim.tbl[[#This Row],[Heavy_Sour]]</f>
        <v>0</v>
      </c>
      <c r="AS13" s="5">
        <f>sim.tbl[[#This Row],[Sulf]]*sim.tbl[[#This Row],[Heavy_SW]]</f>
        <v>0</v>
      </c>
      <c r="AT13" s="5">
        <f>sim.tbl[[#This Row],[Dens]]*sim.tbl[[#This Row],[C5]]</f>
        <v>0</v>
      </c>
      <c r="AU13" s="5">
        <f>sim.tbl[[#This Row],[Dens]]*sim.tbl[[#This Row],[Light_LSB]]</f>
        <v>0</v>
      </c>
      <c r="AV13" s="5">
        <f>sim.tbl[[#This Row],[Dens]]*sim.tbl[[#This Row],[Light_SW]]</f>
        <v>0</v>
      </c>
      <c r="AW13" s="5">
        <f>sim.tbl[[#This Row],[Dens]]*sim.tbl[[#This Row],[Medium_LSB]]</f>
        <v>836.8</v>
      </c>
      <c r="AX13" s="5">
        <f>sim.tbl[[#This Row],[Dens]]*sim.tbl[[#This Row],[Medium_SW]]</f>
        <v>0</v>
      </c>
      <c r="AY13" s="5">
        <f>sim.tbl[[#This Row],[Dens]]*sim.tbl[[#This Row],[Midale]]</f>
        <v>0</v>
      </c>
      <c r="AZ13" s="5">
        <f>sim.tbl[[#This Row],[Dens]]*sim.tbl[[#This Row],[Heavy_Sour]]</f>
        <v>0</v>
      </c>
      <c r="BA13" s="5">
        <f>sim.tbl[[#This Row],[Dens]]*sim.tbl[[#This Row],[Heavy_SW]]</f>
        <v>0</v>
      </c>
      <c r="BB13" s="5">
        <f>sim.tbl[[#This Row],[Temp.Roll]]*sim.tbl[[#This Row],[C5]]</f>
        <v>0</v>
      </c>
      <c r="BC13" s="5">
        <f>sim.tbl[[#This Row],[Temp.Roll]]*sim.tbl[[#This Row],[Light_LSB]]</f>
        <v>0</v>
      </c>
      <c r="BD13" s="5">
        <f>sim.tbl[[#This Row],[Temp.Roll]]*sim.tbl[[#This Row],[Light_SW]]</f>
        <v>0</v>
      </c>
      <c r="BE13" s="5">
        <f>sim.tbl[[#This Row],[Temp.Roll]]*sim.tbl[[#This Row],[Medium_LSB]]</f>
        <v>-3.8</v>
      </c>
      <c r="BF13" s="5">
        <f>sim.tbl[[#This Row],[Temp.Roll]]*sim.tbl[[#This Row],[Medium_SW]]</f>
        <v>0</v>
      </c>
      <c r="BG13" s="5">
        <f>sim.tbl[[#This Row],[Temp.Roll]]*sim.tbl[[#This Row],[Midale]]</f>
        <v>0</v>
      </c>
      <c r="BH13" s="5">
        <f>sim.tbl[[#This Row],[Temp.Roll]]*sim.tbl[[#This Row],[Heavy_Sour]]</f>
        <v>0</v>
      </c>
      <c r="BI13" s="5">
        <f>sim.tbl[[#This Row],[Temp.Roll]]*sim.tbl[[#This Row],[Heavy_SW]]</f>
        <v>0</v>
      </c>
    </row>
    <row r="14" spans="1:61" x14ac:dyDescent="0.25">
      <c r="A14" s="11" t="s">
        <v>389</v>
      </c>
      <c r="B14" s="12">
        <f ca="1">MAX(sim.tbl[Predicted VP])</f>
        <v>103.10105729196501</v>
      </c>
      <c r="D14" s="5">
        <f ca="1">SUMPRODUCT($F$1:$BI$1,sim.tbl[[#This Row],[Intercept]:[Temp.Roll:Heavy_SW]])</f>
        <v>95.222028809913567</v>
      </c>
      <c r="E14" s="14">
        <f ca="1">DATE(YEAR(TODAY()),INDEX(mthLkUp.tbl[Num],MATCH(mth.input,mthLkUp.tbl[Month],0)),1)</f>
        <v>42795</v>
      </c>
      <c r="F14" s="6">
        <f>1</f>
        <v>1</v>
      </c>
      <c r="G14" s="5">
        <v>0.97</v>
      </c>
      <c r="H14" s="5">
        <v>832</v>
      </c>
      <c r="I14" s="5">
        <v>-8.9</v>
      </c>
      <c r="J14" s="5">
        <v>-7.7</v>
      </c>
      <c r="K14" s="5">
        <v>-8.9</v>
      </c>
      <c r="L14" s="5">
        <v>-7.7</v>
      </c>
      <c r="M14" s="5">
        <v>2.8</v>
      </c>
      <c r="N14" s="5">
        <v>-9.3000000000000007</v>
      </c>
      <c r="O14" s="5">
        <v>-11.3</v>
      </c>
      <c r="P14" s="5">
        <v>-7.3</v>
      </c>
      <c r="Q14" s="6">
        <f>IF(sim.tbl[[#This Row],[Dens]]&lt;=770,1,0)</f>
        <v>0</v>
      </c>
      <c r="R14" s="6">
        <f>IF(AND(sim.tbl[[#This Row],[Sulf]]&gt;0.5,sim.tbl[[#This Row],[Dens]]&gt;770,sim.tbl[[#This Row],[Dens]]&lt;=825),1,0)</f>
        <v>0</v>
      </c>
      <c r="S14" s="6">
        <f>IF(AND(sim.tbl[[#This Row],[Sulf]]&lt;=0.5,sim.tbl[[#This Row],[Dens]]&gt;770,sim.tbl[[#This Row],[Dens]]&lt;=825),1,0)</f>
        <v>0</v>
      </c>
      <c r="T14" s="6">
        <f>IF(AND(sim.tbl[[#This Row],[Sulf]]&gt;0.5,sim.tbl[[#This Row],[Dens]]&gt;825,sim.tbl[[#This Row],[Dens]]&lt;=870),1,0)</f>
        <v>1</v>
      </c>
      <c r="U14" s="6">
        <f>IF(AND(sim.tbl[[#This Row],[Sulf]]&lt;0.5,sim.tbl[[#This Row],[Dens]]&gt;825,sim.tbl[[#This Row],[Dens]]&lt;=900),1,0)</f>
        <v>0</v>
      </c>
      <c r="V14" s="6">
        <f>IF(AND(sim.tbl[[#This Row],[Sulf]]&gt;0.5,sim.tbl[[#This Row],[Dens]]&gt;870,sim.tbl[[#This Row],[Dens]]&lt;=900),1,0)</f>
        <v>0</v>
      </c>
      <c r="W14" s="6">
        <f>IF(AND(sim.tbl[[#This Row],[Sulf]]&gt;0.5,sim.tbl[[#This Row],[Dens]]&gt;900),1,0)</f>
        <v>0</v>
      </c>
      <c r="X14" s="6">
        <f>IF(AND(sim.tbl[[#This Row],[Sulf]]&lt;=0.5,sim.tbl[[#This Row],[Dens]]&gt;900),1,0)</f>
        <v>0</v>
      </c>
      <c r="Y14" s="6">
        <f ca="1">IF(MONTH(sim.tbl[[#This Row],[SDate]])=INDEX(mthLkUp.tbl[Num],MATCH(Y$3,mthLkUp.tbl[Month],0)),1,0)</f>
        <v>0</v>
      </c>
      <c r="Z14" s="6">
        <f ca="1">IF(MONTH(sim.tbl[[#This Row],[SDate]])=INDEX(mthLkUp.tbl[Num],MATCH(Z$3,mthLkUp.tbl[Month],0)),1,0)</f>
        <v>0</v>
      </c>
      <c r="AA14" s="6">
        <f ca="1">IF(MONTH(sim.tbl[[#This Row],[SDate]])=INDEX(mthLkUp.tbl[Num],MATCH(AA$3,mthLkUp.tbl[Month],0)),1,0)</f>
        <v>1</v>
      </c>
      <c r="AB14" s="6">
        <f ca="1">IF(MONTH(sim.tbl[[#This Row],[SDate]])=INDEX(mthLkUp.tbl[Num],MATCH(AB$3,mthLkUp.tbl[Month],0)),1,0)</f>
        <v>0</v>
      </c>
      <c r="AC14" s="6">
        <f ca="1">IF(MONTH(sim.tbl[[#This Row],[SDate]])=INDEX(mthLkUp.tbl[Num],MATCH(AC$3,mthLkUp.tbl[Month],0)),1,0)</f>
        <v>0</v>
      </c>
      <c r="AD14" s="6">
        <f ca="1">IF(MONTH(sim.tbl[[#This Row],[SDate]])=INDEX(mthLkUp.tbl[Num],MATCH(AD$3,mthLkUp.tbl[Month],0)),1,0)</f>
        <v>0</v>
      </c>
      <c r="AE14" s="6">
        <f ca="1">IF(MONTH(sim.tbl[[#This Row],[SDate]])=INDEX(mthLkUp.tbl[Num],MATCH(AE$3,mthLkUp.tbl[Month],0)),1,0)</f>
        <v>0</v>
      </c>
      <c r="AF14" s="6">
        <f ca="1">IF(MONTH(sim.tbl[[#This Row],[SDate]])=INDEX(mthLkUp.tbl[Num],MATCH(AF$3,mthLkUp.tbl[Month],0)),1,0)</f>
        <v>0</v>
      </c>
      <c r="AG14" s="6">
        <f ca="1">IF(MONTH(sim.tbl[[#This Row],[SDate]])=INDEX(mthLkUp.tbl[Num],MATCH(AG$3,mthLkUp.tbl[Month],0)),1,0)</f>
        <v>0</v>
      </c>
      <c r="AH14" s="6">
        <f ca="1">IF(MONTH(sim.tbl[[#This Row],[SDate]])=INDEX(mthLkUp.tbl[Num],MATCH(AH$3,mthLkUp.tbl[Month],0)),1,0)</f>
        <v>0</v>
      </c>
      <c r="AI14" s="6">
        <f ca="1">IF(MONTH(sim.tbl[[#This Row],[SDate]])=INDEX(mthLkUp.tbl[Num],MATCH(AI$3,mthLkUp.tbl[Month],0)),1,0)</f>
        <v>0</v>
      </c>
      <c r="AJ14" s="6">
        <f ca="1">IF(MONTH(sim.tbl[[#This Row],[SDate]])=INDEX(mthLkUp.tbl[Num],MATCH(AJ$3,mthLkUp.tbl[Month],0)),1,0)</f>
        <v>0</v>
      </c>
      <c r="AK14" s="6">
        <v>0</v>
      </c>
      <c r="AL14" s="5">
        <f>sim.tbl[[#This Row],[Sulf]]*sim.tbl[[#This Row],[C5]]</f>
        <v>0</v>
      </c>
      <c r="AM14" s="5">
        <f>sim.tbl[[#This Row],[Sulf]]*sim.tbl[[#This Row],[Light_LSB]]</f>
        <v>0</v>
      </c>
      <c r="AN14" s="5">
        <f>sim.tbl[[#This Row],[Sulf]]*sim.tbl[[#This Row],[Light_SW]]</f>
        <v>0</v>
      </c>
      <c r="AO14" s="5">
        <f>sim.tbl[[#This Row],[Sulf]]*sim.tbl[[#This Row],[Medium_LSB]]</f>
        <v>0.97</v>
      </c>
      <c r="AP14" s="5">
        <f>sim.tbl[[#This Row],[Sulf]]*sim.tbl[[#This Row],[Medium_SW]]</f>
        <v>0</v>
      </c>
      <c r="AQ14" s="5">
        <f>sim.tbl[[#This Row],[Sulf]]*sim.tbl[[#This Row],[Midale]]</f>
        <v>0</v>
      </c>
      <c r="AR14" s="5">
        <f>sim.tbl[[#This Row],[Sulf]]*sim.tbl[[#This Row],[Heavy_Sour]]</f>
        <v>0</v>
      </c>
      <c r="AS14" s="5">
        <f>sim.tbl[[#This Row],[Sulf]]*sim.tbl[[#This Row],[Heavy_SW]]</f>
        <v>0</v>
      </c>
      <c r="AT14" s="5">
        <f>sim.tbl[[#This Row],[Dens]]*sim.tbl[[#This Row],[C5]]</f>
        <v>0</v>
      </c>
      <c r="AU14" s="5">
        <f>sim.tbl[[#This Row],[Dens]]*sim.tbl[[#This Row],[Light_LSB]]</f>
        <v>0</v>
      </c>
      <c r="AV14" s="5">
        <f>sim.tbl[[#This Row],[Dens]]*sim.tbl[[#This Row],[Light_SW]]</f>
        <v>0</v>
      </c>
      <c r="AW14" s="5">
        <f>sim.tbl[[#This Row],[Dens]]*sim.tbl[[#This Row],[Medium_LSB]]</f>
        <v>832</v>
      </c>
      <c r="AX14" s="5">
        <f>sim.tbl[[#This Row],[Dens]]*sim.tbl[[#This Row],[Medium_SW]]</f>
        <v>0</v>
      </c>
      <c r="AY14" s="5">
        <f>sim.tbl[[#This Row],[Dens]]*sim.tbl[[#This Row],[Midale]]</f>
        <v>0</v>
      </c>
      <c r="AZ14" s="5">
        <f>sim.tbl[[#This Row],[Dens]]*sim.tbl[[#This Row],[Heavy_Sour]]</f>
        <v>0</v>
      </c>
      <c r="BA14" s="5">
        <f>sim.tbl[[#This Row],[Dens]]*sim.tbl[[#This Row],[Heavy_SW]]</f>
        <v>0</v>
      </c>
      <c r="BB14" s="5">
        <f>sim.tbl[[#This Row],[Temp.Roll]]*sim.tbl[[#This Row],[C5]]</f>
        <v>0</v>
      </c>
      <c r="BC14" s="5">
        <f>sim.tbl[[#This Row],[Temp.Roll]]*sim.tbl[[#This Row],[Light_LSB]]</f>
        <v>0</v>
      </c>
      <c r="BD14" s="5">
        <f>sim.tbl[[#This Row],[Temp.Roll]]*sim.tbl[[#This Row],[Light_SW]]</f>
        <v>0</v>
      </c>
      <c r="BE14" s="5">
        <f>sim.tbl[[#This Row],[Temp.Roll]]*sim.tbl[[#This Row],[Medium_LSB]]</f>
        <v>-7.7</v>
      </c>
      <c r="BF14" s="5">
        <f>sim.tbl[[#This Row],[Temp.Roll]]*sim.tbl[[#This Row],[Medium_SW]]</f>
        <v>0</v>
      </c>
      <c r="BG14" s="5">
        <f>sim.tbl[[#This Row],[Temp.Roll]]*sim.tbl[[#This Row],[Midale]]</f>
        <v>0</v>
      </c>
      <c r="BH14" s="5">
        <f>sim.tbl[[#This Row],[Temp.Roll]]*sim.tbl[[#This Row],[Heavy_Sour]]</f>
        <v>0</v>
      </c>
      <c r="BI14" s="5">
        <f>sim.tbl[[#This Row],[Temp.Roll]]*sim.tbl[[#This Row],[Heavy_SW]]</f>
        <v>0</v>
      </c>
    </row>
    <row r="15" spans="1:61" x14ac:dyDescent="0.25">
      <c r="A15" s="11" t="s">
        <v>403</v>
      </c>
      <c r="B15" s="12">
        <f ca="1">2*(_xlfn.QUARTILE.INC(sim.tbl[Predicted VP],3)-_xlfn.QUARTILE.INC(sim.tbl[Predicted VP],1))/COUNT(sim.tbl[Predicted VP])^(1/3)</f>
        <v>3.3804211010380327</v>
      </c>
      <c r="D15" s="5">
        <f ca="1">SUMPRODUCT($F$1:$BI$1,sim.tbl[[#This Row],[Intercept]:[Temp.Roll:Heavy_SW]])</f>
        <v>90.636049085248516</v>
      </c>
      <c r="E15" s="14">
        <f ca="1">DATE(YEAR(TODAY()),INDEX(mthLkUp.tbl[Num],MATCH(mth.input,mthLkUp.tbl[Month],0)),1)</f>
        <v>42795</v>
      </c>
      <c r="F15" s="6">
        <f>1</f>
        <v>1</v>
      </c>
      <c r="G15" s="5">
        <v>1.68</v>
      </c>
      <c r="H15" s="5">
        <v>825.1</v>
      </c>
      <c r="I15" s="5">
        <v>13.08333333</v>
      </c>
      <c r="J15" s="5">
        <v>10.8</v>
      </c>
      <c r="K15" s="5">
        <v>13.5</v>
      </c>
      <c r="L15" s="5">
        <v>10.8</v>
      </c>
      <c r="M15" s="5">
        <v>14.5</v>
      </c>
      <c r="N15" s="5">
        <v>11.3</v>
      </c>
      <c r="O15" s="5">
        <v>16.899999999999999</v>
      </c>
      <c r="P15" s="5">
        <v>11.5</v>
      </c>
      <c r="Q15" s="6">
        <f>IF(sim.tbl[[#This Row],[Dens]]&lt;=770,1,0)</f>
        <v>0</v>
      </c>
      <c r="R15" s="6">
        <f>IF(AND(sim.tbl[[#This Row],[Sulf]]&gt;0.5,sim.tbl[[#This Row],[Dens]]&gt;770,sim.tbl[[#This Row],[Dens]]&lt;=825),1,0)</f>
        <v>0</v>
      </c>
      <c r="S15" s="6">
        <f>IF(AND(sim.tbl[[#This Row],[Sulf]]&lt;=0.5,sim.tbl[[#This Row],[Dens]]&gt;770,sim.tbl[[#This Row],[Dens]]&lt;=825),1,0)</f>
        <v>0</v>
      </c>
      <c r="T15" s="6">
        <f>IF(AND(sim.tbl[[#This Row],[Sulf]]&gt;0.5,sim.tbl[[#This Row],[Dens]]&gt;825,sim.tbl[[#This Row],[Dens]]&lt;=870),1,0)</f>
        <v>1</v>
      </c>
      <c r="U15" s="6">
        <f>IF(AND(sim.tbl[[#This Row],[Sulf]]&lt;0.5,sim.tbl[[#This Row],[Dens]]&gt;825,sim.tbl[[#This Row],[Dens]]&lt;=900),1,0)</f>
        <v>0</v>
      </c>
      <c r="V15" s="6">
        <f>IF(AND(sim.tbl[[#This Row],[Sulf]]&gt;0.5,sim.tbl[[#This Row],[Dens]]&gt;870,sim.tbl[[#This Row],[Dens]]&lt;=900),1,0)</f>
        <v>0</v>
      </c>
      <c r="W15" s="6">
        <f>IF(AND(sim.tbl[[#This Row],[Sulf]]&gt;0.5,sim.tbl[[#This Row],[Dens]]&gt;900),1,0)</f>
        <v>0</v>
      </c>
      <c r="X15" s="6">
        <f>IF(AND(sim.tbl[[#This Row],[Sulf]]&lt;=0.5,sim.tbl[[#This Row],[Dens]]&gt;900),1,0)</f>
        <v>0</v>
      </c>
      <c r="Y15" s="6">
        <f ca="1">IF(MONTH(sim.tbl[[#This Row],[SDate]])=INDEX(mthLkUp.tbl[Num],MATCH(Y$3,mthLkUp.tbl[Month],0)),1,0)</f>
        <v>0</v>
      </c>
      <c r="Z15" s="6">
        <f ca="1">IF(MONTH(sim.tbl[[#This Row],[SDate]])=INDEX(mthLkUp.tbl[Num],MATCH(Z$3,mthLkUp.tbl[Month],0)),1,0)</f>
        <v>0</v>
      </c>
      <c r="AA15" s="6">
        <f ca="1">IF(MONTH(sim.tbl[[#This Row],[SDate]])=INDEX(mthLkUp.tbl[Num],MATCH(AA$3,mthLkUp.tbl[Month],0)),1,0)</f>
        <v>1</v>
      </c>
      <c r="AB15" s="6">
        <f ca="1">IF(MONTH(sim.tbl[[#This Row],[SDate]])=INDEX(mthLkUp.tbl[Num],MATCH(AB$3,mthLkUp.tbl[Month],0)),1,0)</f>
        <v>0</v>
      </c>
      <c r="AC15" s="6">
        <f ca="1">IF(MONTH(sim.tbl[[#This Row],[SDate]])=INDEX(mthLkUp.tbl[Num],MATCH(AC$3,mthLkUp.tbl[Month],0)),1,0)</f>
        <v>0</v>
      </c>
      <c r="AD15" s="6">
        <f ca="1">IF(MONTH(sim.tbl[[#This Row],[SDate]])=INDEX(mthLkUp.tbl[Num],MATCH(AD$3,mthLkUp.tbl[Month],0)),1,0)</f>
        <v>0</v>
      </c>
      <c r="AE15" s="6">
        <f ca="1">IF(MONTH(sim.tbl[[#This Row],[SDate]])=INDEX(mthLkUp.tbl[Num],MATCH(AE$3,mthLkUp.tbl[Month],0)),1,0)</f>
        <v>0</v>
      </c>
      <c r="AF15" s="6">
        <f ca="1">IF(MONTH(sim.tbl[[#This Row],[SDate]])=INDEX(mthLkUp.tbl[Num],MATCH(AF$3,mthLkUp.tbl[Month],0)),1,0)</f>
        <v>0</v>
      </c>
      <c r="AG15" s="6">
        <f ca="1">IF(MONTH(sim.tbl[[#This Row],[SDate]])=INDEX(mthLkUp.tbl[Num],MATCH(AG$3,mthLkUp.tbl[Month],0)),1,0)</f>
        <v>0</v>
      </c>
      <c r="AH15" s="6">
        <f ca="1">IF(MONTH(sim.tbl[[#This Row],[SDate]])=INDEX(mthLkUp.tbl[Num],MATCH(AH$3,mthLkUp.tbl[Month],0)),1,0)</f>
        <v>0</v>
      </c>
      <c r="AI15" s="6">
        <f ca="1">IF(MONTH(sim.tbl[[#This Row],[SDate]])=INDEX(mthLkUp.tbl[Num],MATCH(AI$3,mthLkUp.tbl[Month],0)),1,0)</f>
        <v>0</v>
      </c>
      <c r="AJ15" s="6">
        <f ca="1">IF(MONTH(sim.tbl[[#This Row],[SDate]])=INDEX(mthLkUp.tbl[Num],MATCH(AJ$3,mthLkUp.tbl[Month],0)),1,0)</f>
        <v>0</v>
      </c>
      <c r="AK15" s="6">
        <v>0</v>
      </c>
      <c r="AL15" s="5">
        <f>sim.tbl[[#This Row],[Sulf]]*sim.tbl[[#This Row],[C5]]</f>
        <v>0</v>
      </c>
      <c r="AM15" s="5">
        <f>sim.tbl[[#This Row],[Sulf]]*sim.tbl[[#This Row],[Light_LSB]]</f>
        <v>0</v>
      </c>
      <c r="AN15" s="5">
        <f>sim.tbl[[#This Row],[Sulf]]*sim.tbl[[#This Row],[Light_SW]]</f>
        <v>0</v>
      </c>
      <c r="AO15" s="5">
        <f>sim.tbl[[#This Row],[Sulf]]*sim.tbl[[#This Row],[Medium_LSB]]</f>
        <v>1.68</v>
      </c>
      <c r="AP15" s="5">
        <f>sim.tbl[[#This Row],[Sulf]]*sim.tbl[[#This Row],[Medium_SW]]</f>
        <v>0</v>
      </c>
      <c r="AQ15" s="5">
        <f>sim.tbl[[#This Row],[Sulf]]*sim.tbl[[#This Row],[Midale]]</f>
        <v>0</v>
      </c>
      <c r="AR15" s="5">
        <f>sim.tbl[[#This Row],[Sulf]]*sim.tbl[[#This Row],[Heavy_Sour]]</f>
        <v>0</v>
      </c>
      <c r="AS15" s="5">
        <f>sim.tbl[[#This Row],[Sulf]]*sim.tbl[[#This Row],[Heavy_SW]]</f>
        <v>0</v>
      </c>
      <c r="AT15" s="5">
        <f>sim.tbl[[#This Row],[Dens]]*sim.tbl[[#This Row],[C5]]</f>
        <v>0</v>
      </c>
      <c r="AU15" s="5">
        <f>sim.tbl[[#This Row],[Dens]]*sim.tbl[[#This Row],[Light_LSB]]</f>
        <v>0</v>
      </c>
      <c r="AV15" s="5">
        <f>sim.tbl[[#This Row],[Dens]]*sim.tbl[[#This Row],[Light_SW]]</f>
        <v>0</v>
      </c>
      <c r="AW15" s="5">
        <f>sim.tbl[[#This Row],[Dens]]*sim.tbl[[#This Row],[Medium_LSB]]</f>
        <v>825.1</v>
      </c>
      <c r="AX15" s="5">
        <f>sim.tbl[[#This Row],[Dens]]*sim.tbl[[#This Row],[Medium_SW]]</f>
        <v>0</v>
      </c>
      <c r="AY15" s="5">
        <f>sim.tbl[[#This Row],[Dens]]*sim.tbl[[#This Row],[Midale]]</f>
        <v>0</v>
      </c>
      <c r="AZ15" s="5">
        <f>sim.tbl[[#This Row],[Dens]]*sim.tbl[[#This Row],[Heavy_Sour]]</f>
        <v>0</v>
      </c>
      <c r="BA15" s="5">
        <f>sim.tbl[[#This Row],[Dens]]*sim.tbl[[#This Row],[Heavy_SW]]</f>
        <v>0</v>
      </c>
      <c r="BB15" s="5">
        <f>sim.tbl[[#This Row],[Temp.Roll]]*sim.tbl[[#This Row],[C5]]</f>
        <v>0</v>
      </c>
      <c r="BC15" s="5">
        <f>sim.tbl[[#This Row],[Temp.Roll]]*sim.tbl[[#This Row],[Light_LSB]]</f>
        <v>0</v>
      </c>
      <c r="BD15" s="5">
        <f>sim.tbl[[#This Row],[Temp.Roll]]*sim.tbl[[#This Row],[Light_SW]]</f>
        <v>0</v>
      </c>
      <c r="BE15" s="5">
        <f>sim.tbl[[#This Row],[Temp.Roll]]*sim.tbl[[#This Row],[Medium_LSB]]</f>
        <v>10.8</v>
      </c>
      <c r="BF15" s="5">
        <f>sim.tbl[[#This Row],[Temp.Roll]]*sim.tbl[[#This Row],[Medium_SW]]</f>
        <v>0</v>
      </c>
      <c r="BG15" s="5">
        <f>sim.tbl[[#This Row],[Temp.Roll]]*sim.tbl[[#This Row],[Midale]]</f>
        <v>0</v>
      </c>
      <c r="BH15" s="5">
        <f>sim.tbl[[#This Row],[Temp.Roll]]*sim.tbl[[#This Row],[Heavy_Sour]]</f>
        <v>0</v>
      </c>
      <c r="BI15" s="5">
        <f>sim.tbl[[#This Row],[Temp.Roll]]*sim.tbl[[#This Row],[Heavy_SW]]</f>
        <v>0</v>
      </c>
    </row>
    <row r="16" spans="1:61" x14ac:dyDescent="0.25">
      <c r="D16" s="5">
        <f ca="1">SUMPRODUCT($F$1:$BI$1,sim.tbl[[#This Row],[Intercept]:[Temp.Roll:Heavy_SW]])</f>
        <v>92.488508765925772</v>
      </c>
      <c r="E16" s="14">
        <f ca="1">DATE(YEAR(TODAY()),INDEX(mthLkUp.tbl[Num],MATCH(mth.input,mthLkUp.tbl[Month],0)),1)</f>
        <v>42795</v>
      </c>
      <c r="F16" s="6">
        <f>1</f>
        <v>1</v>
      </c>
      <c r="G16" s="5">
        <v>1.22</v>
      </c>
      <c r="H16" s="5">
        <v>827.8</v>
      </c>
      <c r="I16" s="5">
        <v>3.266666667</v>
      </c>
      <c r="J16" s="5">
        <v>3.4</v>
      </c>
      <c r="K16" s="5">
        <v>3.2</v>
      </c>
      <c r="L16" s="5">
        <v>3.4</v>
      </c>
      <c r="M16" s="5">
        <v>3.5</v>
      </c>
      <c r="N16" s="5">
        <v>3</v>
      </c>
      <c r="O16" s="5">
        <v>3.7</v>
      </c>
      <c r="P16" s="5">
        <v>2.8</v>
      </c>
      <c r="Q16" s="6">
        <f>IF(sim.tbl[[#This Row],[Dens]]&lt;=770,1,0)</f>
        <v>0</v>
      </c>
      <c r="R16" s="6">
        <f>IF(AND(sim.tbl[[#This Row],[Sulf]]&gt;0.5,sim.tbl[[#This Row],[Dens]]&gt;770,sim.tbl[[#This Row],[Dens]]&lt;=825),1,0)</f>
        <v>0</v>
      </c>
      <c r="S16" s="6">
        <f>IF(AND(sim.tbl[[#This Row],[Sulf]]&lt;=0.5,sim.tbl[[#This Row],[Dens]]&gt;770,sim.tbl[[#This Row],[Dens]]&lt;=825),1,0)</f>
        <v>0</v>
      </c>
      <c r="T16" s="6">
        <f>IF(AND(sim.tbl[[#This Row],[Sulf]]&gt;0.5,sim.tbl[[#This Row],[Dens]]&gt;825,sim.tbl[[#This Row],[Dens]]&lt;=870),1,0)</f>
        <v>1</v>
      </c>
      <c r="U16" s="6">
        <f>IF(AND(sim.tbl[[#This Row],[Sulf]]&lt;0.5,sim.tbl[[#This Row],[Dens]]&gt;825,sim.tbl[[#This Row],[Dens]]&lt;=900),1,0)</f>
        <v>0</v>
      </c>
      <c r="V16" s="6">
        <f>IF(AND(sim.tbl[[#This Row],[Sulf]]&gt;0.5,sim.tbl[[#This Row],[Dens]]&gt;870,sim.tbl[[#This Row],[Dens]]&lt;=900),1,0)</f>
        <v>0</v>
      </c>
      <c r="W16" s="6">
        <f>IF(AND(sim.tbl[[#This Row],[Sulf]]&gt;0.5,sim.tbl[[#This Row],[Dens]]&gt;900),1,0)</f>
        <v>0</v>
      </c>
      <c r="X16" s="6">
        <f>IF(AND(sim.tbl[[#This Row],[Sulf]]&lt;=0.5,sim.tbl[[#This Row],[Dens]]&gt;900),1,0)</f>
        <v>0</v>
      </c>
      <c r="Y16" s="6">
        <f ca="1">IF(MONTH(sim.tbl[[#This Row],[SDate]])=INDEX(mthLkUp.tbl[Num],MATCH(Y$3,mthLkUp.tbl[Month],0)),1,0)</f>
        <v>0</v>
      </c>
      <c r="Z16" s="6">
        <f ca="1">IF(MONTH(sim.tbl[[#This Row],[SDate]])=INDEX(mthLkUp.tbl[Num],MATCH(Z$3,mthLkUp.tbl[Month],0)),1,0)</f>
        <v>0</v>
      </c>
      <c r="AA16" s="6">
        <f ca="1">IF(MONTH(sim.tbl[[#This Row],[SDate]])=INDEX(mthLkUp.tbl[Num],MATCH(AA$3,mthLkUp.tbl[Month],0)),1,0)</f>
        <v>1</v>
      </c>
      <c r="AB16" s="6">
        <f ca="1">IF(MONTH(sim.tbl[[#This Row],[SDate]])=INDEX(mthLkUp.tbl[Num],MATCH(AB$3,mthLkUp.tbl[Month],0)),1,0)</f>
        <v>0</v>
      </c>
      <c r="AC16" s="6">
        <f ca="1">IF(MONTH(sim.tbl[[#This Row],[SDate]])=INDEX(mthLkUp.tbl[Num],MATCH(AC$3,mthLkUp.tbl[Month],0)),1,0)</f>
        <v>0</v>
      </c>
      <c r="AD16" s="6">
        <f ca="1">IF(MONTH(sim.tbl[[#This Row],[SDate]])=INDEX(mthLkUp.tbl[Num],MATCH(AD$3,mthLkUp.tbl[Month],0)),1,0)</f>
        <v>0</v>
      </c>
      <c r="AE16" s="6">
        <f ca="1">IF(MONTH(sim.tbl[[#This Row],[SDate]])=INDEX(mthLkUp.tbl[Num],MATCH(AE$3,mthLkUp.tbl[Month],0)),1,0)</f>
        <v>0</v>
      </c>
      <c r="AF16" s="6">
        <f ca="1">IF(MONTH(sim.tbl[[#This Row],[SDate]])=INDEX(mthLkUp.tbl[Num],MATCH(AF$3,mthLkUp.tbl[Month],0)),1,0)</f>
        <v>0</v>
      </c>
      <c r="AG16" s="6">
        <f ca="1">IF(MONTH(sim.tbl[[#This Row],[SDate]])=INDEX(mthLkUp.tbl[Num],MATCH(AG$3,mthLkUp.tbl[Month],0)),1,0)</f>
        <v>0</v>
      </c>
      <c r="AH16" s="6">
        <f ca="1">IF(MONTH(sim.tbl[[#This Row],[SDate]])=INDEX(mthLkUp.tbl[Num],MATCH(AH$3,mthLkUp.tbl[Month],0)),1,0)</f>
        <v>0</v>
      </c>
      <c r="AI16" s="6">
        <f ca="1">IF(MONTH(sim.tbl[[#This Row],[SDate]])=INDEX(mthLkUp.tbl[Num],MATCH(AI$3,mthLkUp.tbl[Month],0)),1,0)</f>
        <v>0</v>
      </c>
      <c r="AJ16" s="6">
        <f ca="1">IF(MONTH(sim.tbl[[#This Row],[SDate]])=INDEX(mthLkUp.tbl[Num],MATCH(AJ$3,mthLkUp.tbl[Month],0)),1,0)</f>
        <v>0</v>
      </c>
      <c r="AK16" s="6">
        <v>0</v>
      </c>
      <c r="AL16" s="5">
        <f>sim.tbl[[#This Row],[Sulf]]*sim.tbl[[#This Row],[C5]]</f>
        <v>0</v>
      </c>
      <c r="AM16" s="5">
        <f>sim.tbl[[#This Row],[Sulf]]*sim.tbl[[#This Row],[Light_LSB]]</f>
        <v>0</v>
      </c>
      <c r="AN16" s="5">
        <f>sim.tbl[[#This Row],[Sulf]]*sim.tbl[[#This Row],[Light_SW]]</f>
        <v>0</v>
      </c>
      <c r="AO16" s="5">
        <f>sim.tbl[[#This Row],[Sulf]]*sim.tbl[[#This Row],[Medium_LSB]]</f>
        <v>1.22</v>
      </c>
      <c r="AP16" s="5">
        <f>sim.tbl[[#This Row],[Sulf]]*sim.tbl[[#This Row],[Medium_SW]]</f>
        <v>0</v>
      </c>
      <c r="AQ16" s="5">
        <f>sim.tbl[[#This Row],[Sulf]]*sim.tbl[[#This Row],[Midale]]</f>
        <v>0</v>
      </c>
      <c r="AR16" s="5">
        <f>sim.tbl[[#This Row],[Sulf]]*sim.tbl[[#This Row],[Heavy_Sour]]</f>
        <v>0</v>
      </c>
      <c r="AS16" s="5">
        <f>sim.tbl[[#This Row],[Sulf]]*sim.tbl[[#This Row],[Heavy_SW]]</f>
        <v>0</v>
      </c>
      <c r="AT16" s="5">
        <f>sim.tbl[[#This Row],[Dens]]*sim.tbl[[#This Row],[C5]]</f>
        <v>0</v>
      </c>
      <c r="AU16" s="5">
        <f>sim.tbl[[#This Row],[Dens]]*sim.tbl[[#This Row],[Light_LSB]]</f>
        <v>0</v>
      </c>
      <c r="AV16" s="5">
        <f>sim.tbl[[#This Row],[Dens]]*sim.tbl[[#This Row],[Light_SW]]</f>
        <v>0</v>
      </c>
      <c r="AW16" s="5">
        <f>sim.tbl[[#This Row],[Dens]]*sim.tbl[[#This Row],[Medium_LSB]]</f>
        <v>827.8</v>
      </c>
      <c r="AX16" s="5">
        <f>sim.tbl[[#This Row],[Dens]]*sim.tbl[[#This Row],[Medium_SW]]</f>
        <v>0</v>
      </c>
      <c r="AY16" s="5">
        <f>sim.tbl[[#This Row],[Dens]]*sim.tbl[[#This Row],[Midale]]</f>
        <v>0</v>
      </c>
      <c r="AZ16" s="5">
        <f>sim.tbl[[#This Row],[Dens]]*sim.tbl[[#This Row],[Heavy_Sour]]</f>
        <v>0</v>
      </c>
      <c r="BA16" s="5">
        <f>sim.tbl[[#This Row],[Dens]]*sim.tbl[[#This Row],[Heavy_SW]]</f>
        <v>0</v>
      </c>
      <c r="BB16" s="5">
        <f>sim.tbl[[#This Row],[Temp.Roll]]*sim.tbl[[#This Row],[C5]]</f>
        <v>0</v>
      </c>
      <c r="BC16" s="5">
        <f>sim.tbl[[#This Row],[Temp.Roll]]*sim.tbl[[#This Row],[Light_LSB]]</f>
        <v>0</v>
      </c>
      <c r="BD16" s="5">
        <f>sim.tbl[[#This Row],[Temp.Roll]]*sim.tbl[[#This Row],[Light_SW]]</f>
        <v>0</v>
      </c>
      <c r="BE16" s="5">
        <f>sim.tbl[[#This Row],[Temp.Roll]]*sim.tbl[[#This Row],[Medium_LSB]]</f>
        <v>3.4</v>
      </c>
      <c r="BF16" s="5">
        <f>sim.tbl[[#This Row],[Temp.Roll]]*sim.tbl[[#This Row],[Medium_SW]]</f>
        <v>0</v>
      </c>
      <c r="BG16" s="5">
        <f>sim.tbl[[#This Row],[Temp.Roll]]*sim.tbl[[#This Row],[Midale]]</f>
        <v>0</v>
      </c>
      <c r="BH16" s="5">
        <f>sim.tbl[[#This Row],[Temp.Roll]]*sim.tbl[[#This Row],[Heavy_Sour]]</f>
        <v>0</v>
      </c>
      <c r="BI16" s="5">
        <f>sim.tbl[[#This Row],[Temp.Roll]]*sim.tbl[[#This Row],[Heavy_SW]]</f>
        <v>0</v>
      </c>
    </row>
    <row r="17" spans="4:61" x14ac:dyDescent="0.25">
      <c r="D17" s="5">
        <f ca="1">SUMPRODUCT($F$1:$BI$1,sim.tbl[[#This Row],[Intercept]:[Temp.Roll:Heavy_SW]])</f>
        <v>95.168351800502165</v>
      </c>
      <c r="E17" s="14">
        <f ca="1">DATE(YEAR(TODAY()),INDEX(mthLkUp.tbl[Num],MATCH(mth.input,mthLkUp.tbl[Month],0)),1)</f>
        <v>42795</v>
      </c>
      <c r="F17" s="6">
        <f>1</f>
        <v>1</v>
      </c>
      <c r="G17" s="5">
        <v>1.44</v>
      </c>
      <c r="H17" s="5">
        <v>837.1</v>
      </c>
      <c r="I17" s="5">
        <v>-12.31666667</v>
      </c>
      <c r="J17" s="5">
        <v>-11.8</v>
      </c>
      <c r="K17" s="5">
        <v>-11.5</v>
      </c>
      <c r="L17" s="5">
        <v>-11.8</v>
      </c>
      <c r="M17" s="5">
        <v>-13</v>
      </c>
      <c r="N17" s="5">
        <v>-11.3</v>
      </c>
      <c r="O17" s="5">
        <v>-13.1</v>
      </c>
      <c r="P17" s="5">
        <v>-13.2</v>
      </c>
      <c r="Q17" s="6">
        <f>IF(sim.tbl[[#This Row],[Dens]]&lt;=770,1,0)</f>
        <v>0</v>
      </c>
      <c r="R17" s="6">
        <f>IF(AND(sim.tbl[[#This Row],[Sulf]]&gt;0.5,sim.tbl[[#This Row],[Dens]]&gt;770,sim.tbl[[#This Row],[Dens]]&lt;=825),1,0)</f>
        <v>0</v>
      </c>
      <c r="S17" s="6">
        <f>IF(AND(sim.tbl[[#This Row],[Sulf]]&lt;=0.5,sim.tbl[[#This Row],[Dens]]&gt;770,sim.tbl[[#This Row],[Dens]]&lt;=825),1,0)</f>
        <v>0</v>
      </c>
      <c r="T17" s="6">
        <f>IF(AND(sim.tbl[[#This Row],[Sulf]]&gt;0.5,sim.tbl[[#This Row],[Dens]]&gt;825,sim.tbl[[#This Row],[Dens]]&lt;=870),1,0)</f>
        <v>1</v>
      </c>
      <c r="U17" s="6">
        <f>IF(AND(sim.tbl[[#This Row],[Sulf]]&lt;0.5,sim.tbl[[#This Row],[Dens]]&gt;825,sim.tbl[[#This Row],[Dens]]&lt;=900),1,0)</f>
        <v>0</v>
      </c>
      <c r="V17" s="6">
        <f>IF(AND(sim.tbl[[#This Row],[Sulf]]&gt;0.5,sim.tbl[[#This Row],[Dens]]&gt;870,sim.tbl[[#This Row],[Dens]]&lt;=900),1,0)</f>
        <v>0</v>
      </c>
      <c r="W17" s="6">
        <f>IF(AND(sim.tbl[[#This Row],[Sulf]]&gt;0.5,sim.tbl[[#This Row],[Dens]]&gt;900),1,0)</f>
        <v>0</v>
      </c>
      <c r="X17" s="6">
        <f>IF(AND(sim.tbl[[#This Row],[Sulf]]&lt;=0.5,sim.tbl[[#This Row],[Dens]]&gt;900),1,0)</f>
        <v>0</v>
      </c>
      <c r="Y17" s="6">
        <f ca="1">IF(MONTH(sim.tbl[[#This Row],[SDate]])=INDEX(mthLkUp.tbl[Num],MATCH(Y$3,mthLkUp.tbl[Month],0)),1,0)</f>
        <v>0</v>
      </c>
      <c r="Z17" s="6">
        <f ca="1">IF(MONTH(sim.tbl[[#This Row],[SDate]])=INDEX(mthLkUp.tbl[Num],MATCH(Z$3,mthLkUp.tbl[Month],0)),1,0)</f>
        <v>0</v>
      </c>
      <c r="AA17" s="6">
        <f ca="1">IF(MONTH(sim.tbl[[#This Row],[SDate]])=INDEX(mthLkUp.tbl[Num],MATCH(AA$3,mthLkUp.tbl[Month],0)),1,0)</f>
        <v>1</v>
      </c>
      <c r="AB17" s="6">
        <f ca="1">IF(MONTH(sim.tbl[[#This Row],[SDate]])=INDEX(mthLkUp.tbl[Num],MATCH(AB$3,mthLkUp.tbl[Month],0)),1,0)</f>
        <v>0</v>
      </c>
      <c r="AC17" s="6">
        <f ca="1">IF(MONTH(sim.tbl[[#This Row],[SDate]])=INDEX(mthLkUp.tbl[Num],MATCH(AC$3,mthLkUp.tbl[Month],0)),1,0)</f>
        <v>0</v>
      </c>
      <c r="AD17" s="6">
        <f ca="1">IF(MONTH(sim.tbl[[#This Row],[SDate]])=INDEX(mthLkUp.tbl[Num],MATCH(AD$3,mthLkUp.tbl[Month],0)),1,0)</f>
        <v>0</v>
      </c>
      <c r="AE17" s="6">
        <f ca="1">IF(MONTH(sim.tbl[[#This Row],[SDate]])=INDEX(mthLkUp.tbl[Num],MATCH(AE$3,mthLkUp.tbl[Month],0)),1,0)</f>
        <v>0</v>
      </c>
      <c r="AF17" s="6">
        <f ca="1">IF(MONTH(sim.tbl[[#This Row],[SDate]])=INDEX(mthLkUp.tbl[Num],MATCH(AF$3,mthLkUp.tbl[Month],0)),1,0)</f>
        <v>0</v>
      </c>
      <c r="AG17" s="6">
        <f ca="1">IF(MONTH(sim.tbl[[#This Row],[SDate]])=INDEX(mthLkUp.tbl[Num],MATCH(AG$3,mthLkUp.tbl[Month],0)),1,0)</f>
        <v>0</v>
      </c>
      <c r="AH17" s="6">
        <f ca="1">IF(MONTH(sim.tbl[[#This Row],[SDate]])=INDEX(mthLkUp.tbl[Num],MATCH(AH$3,mthLkUp.tbl[Month],0)),1,0)</f>
        <v>0</v>
      </c>
      <c r="AI17" s="6">
        <f ca="1">IF(MONTH(sim.tbl[[#This Row],[SDate]])=INDEX(mthLkUp.tbl[Num],MATCH(AI$3,mthLkUp.tbl[Month],0)),1,0)</f>
        <v>0</v>
      </c>
      <c r="AJ17" s="6">
        <f ca="1">IF(MONTH(sim.tbl[[#This Row],[SDate]])=INDEX(mthLkUp.tbl[Num],MATCH(AJ$3,mthLkUp.tbl[Month],0)),1,0)</f>
        <v>0</v>
      </c>
      <c r="AK17" s="6">
        <v>0</v>
      </c>
      <c r="AL17" s="5">
        <f>sim.tbl[[#This Row],[Sulf]]*sim.tbl[[#This Row],[C5]]</f>
        <v>0</v>
      </c>
      <c r="AM17" s="5">
        <f>sim.tbl[[#This Row],[Sulf]]*sim.tbl[[#This Row],[Light_LSB]]</f>
        <v>0</v>
      </c>
      <c r="AN17" s="5">
        <f>sim.tbl[[#This Row],[Sulf]]*sim.tbl[[#This Row],[Light_SW]]</f>
        <v>0</v>
      </c>
      <c r="AO17" s="5">
        <f>sim.tbl[[#This Row],[Sulf]]*sim.tbl[[#This Row],[Medium_LSB]]</f>
        <v>1.44</v>
      </c>
      <c r="AP17" s="5">
        <f>sim.tbl[[#This Row],[Sulf]]*sim.tbl[[#This Row],[Medium_SW]]</f>
        <v>0</v>
      </c>
      <c r="AQ17" s="5">
        <f>sim.tbl[[#This Row],[Sulf]]*sim.tbl[[#This Row],[Midale]]</f>
        <v>0</v>
      </c>
      <c r="AR17" s="5">
        <f>sim.tbl[[#This Row],[Sulf]]*sim.tbl[[#This Row],[Heavy_Sour]]</f>
        <v>0</v>
      </c>
      <c r="AS17" s="5">
        <f>sim.tbl[[#This Row],[Sulf]]*sim.tbl[[#This Row],[Heavy_SW]]</f>
        <v>0</v>
      </c>
      <c r="AT17" s="5">
        <f>sim.tbl[[#This Row],[Dens]]*sim.tbl[[#This Row],[C5]]</f>
        <v>0</v>
      </c>
      <c r="AU17" s="5">
        <f>sim.tbl[[#This Row],[Dens]]*sim.tbl[[#This Row],[Light_LSB]]</f>
        <v>0</v>
      </c>
      <c r="AV17" s="5">
        <f>sim.tbl[[#This Row],[Dens]]*sim.tbl[[#This Row],[Light_SW]]</f>
        <v>0</v>
      </c>
      <c r="AW17" s="5">
        <f>sim.tbl[[#This Row],[Dens]]*sim.tbl[[#This Row],[Medium_LSB]]</f>
        <v>837.1</v>
      </c>
      <c r="AX17" s="5">
        <f>sim.tbl[[#This Row],[Dens]]*sim.tbl[[#This Row],[Medium_SW]]</f>
        <v>0</v>
      </c>
      <c r="AY17" s="5">
        <f>sim.tbl[[#This Row],[Dens]]*sim.tbl[[#This Row],[Midale]]</f>
        <v>0</v>
      </c>
      <c r="AZ17" s="5">
        <f>sim.tbl[[#This Row],[Dens]]*sim.tbl[[#This Row],[Heavy_Sour]]</f>
        <v>0</v>
      </c>
      <c r="BA17" s="5">
        <f>sim.tbl[[#This Row],[Dens]]*sim.tbl[[#This Row],[Heavy_SW]]</f>
        <v>0</v>
      </c>
      <c r="BB17" s="5">
        <f>sim.tbl[[#This Row],[Temp.Roll]]*sim.tbl[[#This Row],[C5]]</f>
        <v>0</v>
      </c>
      <c r="BC17" s="5">
        <f>sim.tbl[[#This Row],[Temp.Roll]]*sim.tbl[[#This Row],[Light_LSB]]</f>
        <v>0</v>
      </c>
      <c r="BD17" s="5">
        <f>sim.tbl[[#This Row],[Temp.Roll]]*sim.tbl[[#This Row],[Light_SW]]</f>
        <v>0</v>
      </c>
      <c r="BE17" s="5">
        <f>sim.tbl[[#This Row],[Temp.Roll]]*sim.tbl[[#This Row],[Medium_LSB]]</f>
        <v>-11.8</v>
      </c>
      <c r="BF17" s="5">
        <f>sim.tbl[[#This Row],[Temp.Roll]]*sim.tbl[[#This Row],[Medium_SW]]</f>
        <v>0</v>
      </c>
      <c r="BG17" s="5">
        <f>sim.tbl[[#This Row],[Temp.Roll]]*sim.tbl[[#This Row],[Midale]]</f>
        <v>0</v>
      </c>
      <c r="BH17" s="5">
        <f>sim.tbl[[#This Row],[Temp.Roll]]*sim.tbl[[#This Row],[Heavy_Sour]]</f>
        <v>0</v>
      </c>
      <c r="BI17" s="5">
        <f>sim.tbl[[#This Row],[Temp.Roll]]*sim.tbl[[#This Row],[Heavy_SW]]</f>
        <v>0</v>
      </c>
    </row>
    <row r="18" spans="4:61" x14ac:dyDescent="0.25">
      <c r="D18" s="5">
        <f ca="1">SUMPRODUCT($F$1:$BI$1,sim.tbl[[#This Row],[Intercept]:[Temp.Roll:Heavy_SW]])</f>
        <v>91.853049722295864</v>
      </c>
      <c r="E18" s="14">
        <f ca="1">DATE(YEAR(TODAY()),INDEX(mthLkUp.tbl[Num],MATCH(mth.input,mthLkUp.tbl[Month],0)),1)</f>
        <v>42795</v>
      </c>
      <c r="F18" s="6">
        <f>1</f>
        <v>1</v>
      </c>
      <c r="G18" s="5">
        <v>0.91</v>
      </c>
      <c r="H18" s="5">
        <v>827.4</v>
      </c>
      <c r="I18" s="5">
        <v>6.55</v>
      </c>
      <c r="J18" s="5">
        <v>5.5</v>
      </c>
      <c r="K18" s="5">
        <v>6.6</v>
      </c>
      <c r="L18" s="5">
        <v>5.5</v>
      </c>
      <c r="M18" s="5">
        <v>6.8</v>
      </c>
      <c r="N18" s="5">
        <v>7</v>
      </c>
      <c r="O18" s="5">
        <v>7.6</v>
      </c>
      <c r="P18" s="5">
        <v>5.8</v>
      </c>
      <c r="Q18" s="6">
        <f>IF(sim.tbl[[#This Row],[Dens]]&lt;=770,1,0)</f>
        <v>0</v>
      </c>
      <c r="R18" s="6">
        <f>IF(AND(sim.tbl[[#This Row],[Sulf]]&gt;0.5,sim.tbl[[#This Row],[Dens]]&gt;770,sim.tbl[[#This Row],[Dens]]&lt;=825),1,0)</f>
        <v>0</v>
      </c>
      <c r="S18" s="6">
        <f>IF(AND(sim.tbl[[#This Row],[Sulf]]&lt;=0.5,sim.tbl[[#This Row],[Dens]]&gt;770,sim.tbl[[#This Row],[Dens]]&lt;=825),1,0)</f>
        <v>0</v>
      </c>
      <c r="T18" s="6">
        <f>IF(AND(sim.tbl[[#This Row],[Sulf]]&gt;0.5,sim.tbl[[#This Row],[Dens]]&gt;825,sim.tbl[[#This Row],[Dens]]&lt;=870),1,0)</f>
        <v>1</v>
      </c>
      <c r="U18" s="6">
        <f>IF(AND(sim.tbl[[#This Row],[Sulf]]&lt;0.5,sim.tbl[[#This Row],[Dens]]&gt;825,sim.tbl[[#This Row],[Dens]]&lt;=900),1,0)</f>
        <v>0</v>
      </c>
      <c r="V18" s="6">
        <f>IF(AND(sim.tbl[[#This Row],[Sulf]]&gt;0.5,sim.tbl[[#This Row],[Dens]]&gt;870,sim.tbl[[#This Row],[Dens]]&lt;=900),1,0)</f>
        <v>0</v>
      </c>
      <c r="W18" s="6">
        <f>IF(AND(sim.tbl[[#This Row],[Sulf]]&gt;0.5,sim.tbl[[#This Row],[Dens]]&gt;900),1,0)</f>
        <v>0</v>
      </c>
      <c r="X18" s="6">
        <f>IF(AND(sim.tbl[[#This Row],[Sulf]]&lt;=0.5,sim.tbl[[#This Row],[Dens]]&gt;900),1,0)</f>
        <v>0</v>
      </c>
      <c r="Y18" s="6">
        <f ca="1">IF(MONTH(sim.tbl[[#This Row],[SDate]])=INDEX(mthLkUp.tbl[Num],MATCH(Y$3,mthLkUp.tbl[Month],0)),1,0)</f>
        <v>0</v>
      </c>
      <c r="Z18" s="6">
        <f ca="1">IF(MONTH(sim.tbl[[#This Row],[SDate]])=INDEX(mthLkUp.tbl[Num],MATCH(Z$3,mthLkUp.tbl[Month],0)),1,0)</f>
        <v>0</v>
      </c>
      <c r="AA18" s="6">
        <f ca="1">IF(MONTH(sim.tbl[[#This Row],[SDate]])=INDEX(mthLkUp.tbl[Num],MATCH(AA$3,mthLkUp.tbl[Month],0)),1,0)</f>
        <v>1</v>
      </c>
      <c r="AB18" s="6">
        <f ca="1">IF(MONTH(sim.tbl[[#This Row],[SDate]])=INDEX(mthLkUp.tbl[Num],MATCH(AB$3,mthLkUp.tbl[Month],0)),1,0)</f>
        <v>0</v>
      </c>
      <c r="AC18" s="6">
        <f ca="1">IF(MONTH(sim.tbl[[#This Row],[SDate]])=INDEX(mthLkUp.tbl[Num],MATCH(AC$3,mthLkUp.tbl[Month],0)),1,0)</f>
        <v>0</v>
      </c>
      <c r="AD18" s="6">
        <f ca="1">IF(MONTH(sim.tbl[[#This Row],[SDate]])=INDEX(mthLkUp.tbl[Num],MATCH(AD$3,mthLkUp.tbl[Month],0)),1,0)</f>
        <v>0</v>
      </c>
      <c r="AE18" s="6">
        <f ca="1">IF(MONTH(sim.tbl[[#This Row],[SDate]])=INDEX(mthLkUp.tbl[Num],MATCH(AE$3,mthLkUp.tbl[Month],0)),1,0)</f>
        <v>0</v>
      </c>
      <c r="AF18" s="6">
        <f ca="1">IF(MONTH(sim.tbl[[#This Row],[SDate]])=INDEX(mthLkUp.tbl[Num],MATCH(AF$3,mthLkUp.tbl[Month],0)),1,0)</f>
        <v>0</v>
      </c>
      <c r="AG18" s="6">
        <f ca="1">IF(MONTH(sim.tbl[[#This Row],[SDate]])=INDEX(mthLkUp.tbl[Num],MATCH(AG$3,mthLkUp.tbl[Month],0)),1,0)</f>
        <v>0</v>
      </c>
      <c r="AH18" s="6">
        <f ca="1">IF(MONTH(sim.tbl[[#This Row],[SDate]])=INDEX(mthLkUp.tbl[Num],MATCH(AH$3,mthLkUp.tbl[Month],0)),1,0)</f>
        <v>0</v>
      </c>
      <c r="AI18" s="6">
        <f ca="1">IF(MONTH(sim.tbl[[#This Row],[SDate]])=INDEX(mthLkUp.tbl[Num],MATCH(AI$3,mthLkUp.tbl[Month],0)),1,0)</f>
        <v>0</v>
      </c>
      <c r="AJ18" s="6">
        <f ca="1">IF(MONTH(sim.tbl[[#This Row],[SDate]])=INDEX(mthLkUp.tbl[Num],MATCH(AJ$3,mthLkUp.tbl[Month],0)),1,0)</f>
        <v>0</v>
      </c>
      <c r="AK18" s="6">
        <v>0</v>
      </c>
      <c r="AL18" s="5">
        <f>sim.tbl[[#This Row],[Sulf]]*sim.tbl[[#This Row],[C5]]</f>
        <v>0</v>
      </c>
      <c r="AM18" s="5">
        <f>sim.tbl[[#This Row],[Sulf]]*sim.tbl[[#This Row],[Light_LSB]]</f>
        <v>0</v>
      </c>
      <c r="AN18" s="5">
        <f>sim.tbl[[#This Row],[Sulf]]*sim.tbl[[#This Row],[Light_SW]]</f>
        <v>0</v>
      </c>
      <c r="AO18" s="5">
        <f>sim.tbl[[#This Row],[Sulf]]*sim.tbl[[#This Row],[Medium_LSB]]</f>
        <v>0.91</v>
      </c>
      <c r="AP18" s="5">
        <f>sim.tbl[[#This Row],[Sulf]]*sim.tbl[[#This Row],[Medium_SW]]</f>
        <v>0</v>
      </c>
      <c r="AQ18" s="5">
        <f>sim.tbl[[#This Row],[Sulf]]*sim.tbl[[#This Row],[Midale]]</f>
        <v>0</v>
      </c>
      <c r="AR18" s="5">
        <f>sim.tbl[[#This Row],[Sulf]]*sim.tbl[[#This Row],[Heavy_Sour]]</f>
        <v>0</v>
      </c>
      <c r="AS18" s="5">
        <f>sim.tbl[[#This Row],[Sulf]]*sim.tbl[[#This Row],[Heavy_SW]]</f>
        <v>0</v>
      </c>
      <c r="AT18" s="5">
        <f>sim.tbl[[#This Row],[Dens]]*sim.tbl[[#This Row],[C5]]</f>
        <v>0</v>
      </c>
      <c r="AU18" s="5">
        <f>sim.tbl[[#This Row],[Dens]]*sim.tbl[[#This Row],[Light_LSB]]</f>
        <v>0</v>
      </c>
      <c r="AV18" s="5">
        <f>sim.tbl[[#This Row],[Dens]]*sim.tbl[[#This Row],[Light_SW]]</f>
        <v>0</v>
      </c>
      <c r="AW18" s="5">
        <f>sim.tbl[[#This Row],[Dens]]*sim.tbl[[#This Row],[Medium_LSB]]</f>
        <v>827.4</v>
      </c>
      <c r="AX18" s="5">
        <f>sim.tbl[[#This Row],[Dens]]*sim.tbl[[#This Row],[Medium_SW]]</f>
        <v>0</v>
      </c>
      <c r="AY18" s="5">
        <f>sim.tbl[[#This Row],[Dens]]*sim.tbl[[#This Row],[Midale]]</f>
        <v>0</v>
      </c>
      <c r="AZ18" s="5">
        <f>sim.tbl[[#This Row],[Dens]]*sim.tbl[[#This Row],[Heavy_Sour]]</f>
        <v>0</v>
      </c>
      <c r="BA18" s="5">
        <f>sim.tbl[[#This Row],[Dens]]*sim.tbl[[#This Row],[Heavy_SW]]</f>
        <v>0</v>
      </c>
      <c r="BB18" s="5">
        <f>sim.tbl[[#This Row],[Temp.Roll]]*sim.tbl[[#This Row],[C5]]</f>
        <v>0</v>
      </c>
      <c r="BC18" s="5">
        <f>sim.tbl[[#This Row],[Temp.Roll]]*sim.tbl[[#This Row],[Light_LSB]]</f>
        <v>0</v>
      </c>
      <c r="BD18" s="5">
        <f>sim.tbl[[#This Row],[Temp.Roll]]*sim.tbl[[#This Row],[Light_SW]]</f>
        <v>0</v>
      </c>
      <c r="BE18" s="5">
        <f>sim.tbl[[#This Row],[Temp.Roll]]*sim.tbl[[#This Row],[Medium_LSB]]</f>
        <v>5.5</v>
      </c>
      <c r="BF18" s="5">
        <f>sim.tbl[[#This Row],[Temp.Roll]]*sim.tbl[[#This Row],[Medium_SW]]</f>
        <v>0</v>
      </c>
      <c r="BG18" s="5">
        <f>sim.tbl[[#This Row],[Temp.Roll]]*sim.tbl[[#This Row],[Midale]]</f>
        <v>0</v>
      </c>
      <c r="BH18" s="5">
        <f>sim.tbl[[#This Row],[Temp.Roll]]*sim.tbl[[#This Row],[Heavy_Sour]]</f>
        <v>0</v>
      </c>
      <c r="BI18" s="5">
        <f>sim.tbl[[#This Row],[Temp.Roll]]*sim.tbl[[#This Row],[Heavy_SW]]</f>
        <v>0</v>
      </c>
    </row>
    <row r="19" spans="4:61" x14ac:dyDescent="0.25">
      <c r="D19" s="5">
        <f ca="1">SUMPRODUCT($F$1:$BI$1,sim.tbl[[#This Row],[Intercept]:[Temp.Roll:Heavy_SW]])</f>
        <v>100.07773041154238</v>
      </c>
      <c r="E19" s="14">
        <f ca="1">DATE(YEAR(TODAY()),INDEX(mthLkUp.tbl[Num],MATCH(mth.input,mthLkUp.tbl[Month],0)),1)</f>
        <v>42795</v>
      </c>
      <c r="F19" s="6">
        <f>1</f>
        <v>1</v>
      </c>
      <c r="G19" s="5">
        <v>1.73</v>
      </c>
      <c r="H19" s="5">
        <v>828.4</v>
      </c>
      <c r="I19" s="5">
        <v>-17.033333330000001</v>
      </c>
      <c r="J19" s="5">
        <v>-18.2</v>
      </c>
      <c r="K19" s="5">
        <v>-17.399999999999999</v>
      </c>
      <c r="L19" s="5">
        <v>-18.2</v>
      </c>
      <c r="M19" s="5">
        <v>-16</v>
      </c>
      <c r="N19" s="5">
        <v>-16.8</v>
      </c>
      <c r="O19" s="5">
        <v>-16.8</v>
      </c>
      <c r="P19" s="5">
        <v>-17</v>
      </c>
      <c r="Q19" s="6">
        <f>IF(sim.tbl[[#This Row],[Dens]]&lt;=770,1,0)</f>
        <v>0</v>
      </c>
      <c r="R19" s="6">
        <f>IF(AND(sim.tbl[[#This Row],[Sulf]]&gt;0.5,sim.tbl[[#This Row],[Dens]]&gt;770,sim.tbl[[#This Row],[Dens]]&lt;=825),1,0)</f>
        <v>0</v>
      </c>
      <c r="S19" s="6">
        <f>IF(AND(sim.tbl[[#This Row],[Sulf]]&lt;=0.5,sim.tbl[[#This Row],[Dens]]&gt;770,sim.tbl[[#This Row],[Dens]]&lt;=825),1,0)</f>
        <v>0</v>
      </c>
      <c r="T19" s="6">
        <f>IF(AND(sim.tbl[[#This Row],[Sulf]]&gt;0.5,sim.tbl[[#This Row],[Dens]]&gt;825,sim.tbl[[#This Row],[Dens]]&lt;=870),1,0)</f>
        <v>1</v>
      </c>
      <c r="U19" s="6">
        <f>IF(AND(sim.tbl[[#This Row],[Sulf]]&lt;0.5,sim.tbl[[#This Row],[Dens]]&gt;825,sim.tbl[[#This Row],[Dens]]&lt;=900),1,0)</f>
        <v>0</v>
      </c>
      <c r="V19" s="6">
        <f>IF(AND(sim.tbl[[#This Row],[Sulf]]&gt;0.5,sim.tbl[[#This Row],[Dens]]&gt;870,sim.tbl[[#This Row],[Dens]]&lt;=900),1,0)</f>
        <v>0</v>
      </c>
      <c r="W19" s="6">
        <f>IF(AND(sim.tbl[[#This Row],[Sulf]]&gt;0.5,sim.tbl[[#This Row],[Dens]]&gt;900),1,0)</f>
        <v>0</v>
      </c>
      <c r="X19" s="6">
        <f>IF(AND(sim.tbl[[#This Row],[Sulf]]&lt;=0.5,sim.tbl[[#This Row],[Dens]]&gt;900),1,0)</f>
        <v>0</v>
      </c>
      <c r="Y19" s="6">
        <f ca="1">IF(MONTH(sim.tbl[[#This Row],[SDate]])=INDEX(mthLkUp.tbl[Num],MATCH(Y$3,mthLkUp.tbl[Month],0)),1,0)</f>
        <v>0</v>
      </c>
      <c r="Z19" s="6">
        <f ca="1">IF(MONTH(sim.tbl[[#This Row],[SDate]])=INDEX(mthLkUp.tbl[Num],MATCH(Z$3,mthLkUp.tbl[Month],0)),1,0)</f>
        <v>0</v>
      </c>
      <c r="AA19" s="6">
        <f ca="1">IF(MONTH(sim.tbl[[#This Row],[SDate]])=INDEX(mthLkUp.tbl[Num],MATCH(AA$3,mthLkUp.tbl[Month],0)),1,0)</f>
        <v>1</v>
      </c>
      <c r="AB19" s="6">
        <f ca="1">IF(MONTH(sim.tbl[[#This Row],[SDate]])=INDEX(mthLkUp.tbl[Num],MATCH(AB$3,mthLkUp.tbl[Month],0)),1,0)</f>
        <v>0</v>
      </c>
      <c r="AC19" s="6">
        <f ca="1">IF(MONTH(sim.tbl[[#This Row],[SDate]])=INDEX(mthLkUp.tbl[Num],MATCH(AC$3,mthLkUp.tbl[Month],0)),1,0)</f>
        <v>0</v>
      </c>
      <c r="AD19" s="6">
        <f ca="1">IF(MONTH(sim.tbl[[#This Row],[SDate]])=INDEX(mthLkUp.tbl[Num],MATCH(AD$3,mthLkUp.tbl[Month],0)),1,0)</f>
        <v>0</v>
      </c>
      <c r="AE19" s="6">
        <f ca="1">IF(MONTH(sim.tbl[[#This Row],[SDate]])=INDEX(mthLkUp.tbl[Num],MATCH(AE$3,mthLkUp.tbl[Month],0)),1,0)</f>
        <v>0</v>
      </c>
      <c r="AF19" s="6">
        <f ca="1">IF(MONTH(sim.tbl[[#This Row],[SDate]])=INDEX(mthLkUp.tbl[Num],MATCH(AF$3,mthLkUp.tbl[Month],0)),1,0)</f>
        <v>0</v>
      </c>
      <c r="AG19" s="6">
        <f ca="1">IF(MONTH(sim.tbl[[#This Row],[SDate]])=INDEX(mthLkUp.tbl[Num],MATCH(AG$3,mthLkUp.tbl[Month],0)),1,0)</f>
        <v>0</v>
      </c>
      <c r="AH19" s="6">
        <f ca="1">IF(MONTH(sim.tbl[[#This Row],[SDate]])=INDEX(mthLkUp.tbl[Num],MATCH(AH$3,mthLkUp.tbl[Month],0)),1,0)</f>
        <v>0</v>
      </c>
      <c r="AI19" s="6">
        <f ca="1">IF(MONTH(sim.tbl[[#This Row],[SDate]])=INDEX(mthLkUp.tbl[Num],MATCH(AI$3,mthLkUp.tbl[Month],0)),1,0)</f>
        <v>0</v>
      </c>
      <c r="AJ19" s="6">
        <f ca="1">IF(MONTH(sim.tbl[[#This Row],[SDate]])=INDEX(mthLkUp.tbl[Num],MATCH(AJ$3,mthLkUp.tbl[Month],0)),1,0)</f>
        <v>0</v>
      </c>
      <c r="AK19" s="6">
        <v>0</v>
      </c>
      <c r="AL19" s="5">
        <f>sim.tbl[[#This Row],[Sulf]]*sim.tbl[[#This Row],[C5]]</f>
        <v>0</v>
      </c>
      <c r="AM19" s="5">
        <f>sim.tbl[[#This Row],[Sulf]]*sim.tbl[[#This Row],[Light_LSB]]</f>
        <v>0</v>
      </c>
      <c r="AN19" s="5">
        <f>sim.tbl[[#This Row],[Sulf]]*sim.tbl[[#This Row],[Light_SW]]</f>
        <v>0</v>
      </c>
      <c r="AO19" s="5">
        <f>sim.tbl[[#This Row],[Sulf]]*sim.tbl[[#This Row],[Medium_LSB]]</f>
        <v>1.73</v>
      </c>
      <c r="AP19" s="5">
        <f>sim.tbl[[#This Row],[Sulf]]*sim.tbl[[#This Row],[Medium_SW]]</f>
        <v>0</v>
      </c>
      <c r="AQ19" s="5">
        <f>sim.tbl[[#This Row],[Sulf]]*sim.tbl[[#This Row],[Midale]]</f>
        <v>0</v>
      </c>
      <c r="AR19" s="5">
        <f>sim.tbl[[#This Row],[Sulf]]*sim.tbl[[#This Row],[Heavy_Sour]]</f>
        <v>0</v>
      </c>
      <c r="AS19" s="5">
        <f>sim.tbl[[#This Row],[Sulf]]*sim.tbl[[#This Row],[Heavy_SW]]</f>
        <v>0</v>
      </c>
      <c r="AT19" s="5">
        <f>sim.tbl[[#This Row],[Dens]]*sim.tbl[[#This Row],[C5]]</f>
        <v>0</v>
      </c>
      <c r="AU19" s="5">
        <f>sim.tbl[[#This Row],[Dens]]*sim.tbl[[#This Row],[Light_LSB]]</f>
        <v>0</v>
      </c>
      <c r="AV19" s="5">
        <f>sim.tbl[[#This Row],[Dens]]*sim.tbl[[#This Row],[Light_SW]]</f>
        <v>0</v>
      </c>
      <c r="AW19" s="5">
        <f>sim.tbl[[#This Row],[Dens]]*sim.tbl[[#This Row],[Medium_LSB]]</f>
        <v>828.4</v>
      </c>
      <c r="AX19" s="5">
        <f>sim.tbl[[#This Row],[Dens]]*sim.tbl[[#This Row],[Medium_SW]]</f>
        <v>0</v>
      </c>
      <c r="AY19" s="5">
        <f>sim.tbl[[#This Row],[Dens]]*sim.tbl[[#This Row],[Midale]]</f>
        <v>0</v>
      </c>
      <c r="AZ19" s="5">
        <f>sim.tbl[[#This Row],[Dens]]*sim.tbl[[#This Row],[Heavy_Sour]]</f>
        <v>0</v>
      </c>
      <c r="BA19" s="5">
        <f>sim.tbl[[#This Row],[Dens]]*sim.tbl[[#This Row],[Heavy_SW]]</f>
        <v>0</v>
      </c>
      <c r="BB19" s="5">
        <f>sim.tbl[[#This Row],[Temp.Roll]]*sim.tbl[[#This Row],[C5]]</f>
        <v>0</v>
      </c>
      <c r="BC19" s="5">
        <f>sim.tbl[[#This Row],[Temp.Roll]]*sim.tbl[[#This Row],[Light_LSB]]</f>
        <v>0</v>
      </c>
      <c r="BD19" s="5">
        <f>sim.tbl[[#This Row],[Temp.Roll]]*sim.tbl[[#This Row],[Light_SW]]</f>
        <v>0</v>
      </c>
      <c r="BE19" s="5">
        <f>sim.tbl[[#This Row],[Temp.Roll]]*sim.tbl[[#This Row],[Medium_LSB]]</f>
        <v>-18.2</v>
      </c>
      <c r="BF19" s="5">
        <f>sim.tbl[[#This Row],[Temp.Roll]]*sim.tbl[[#This Row],[Medium_SW]]</f>
        <v>0</v>
      </c>
      <c r="BG19" s="5">
        <f>sim.tbl[[#This Row],[Temp.Roll]]*sim.tbl[[#This Row],[Midale]]</f>
        <v>0</v>
      </c>
      <c r="BH19" s="5">
        <f>sim.tbl[[#This Row],[Temp.Roll]]*sim.tbl[[#This Row],[Heavy_Sour]]</f>
        <v>0</v>
      </c>
      <c r="BI19" s="5">
        <f>sim.tbl[[#This Row],[Temp.Roll]]*sim.tbl[[#This Row],[Heavy_SW]]</f>
        <v>0</v>
      </c>
    </row>
    <row r="20" spans="4:61" x14ac:dyDescent="0.25">
      <c r="D20" s="5">
        <f ca="1">SUMPRODUCT($F$1:$BI$1,sim.tbl[[#This Row],[Intercept]:[Temp.Roll:Heavy_SW]])</f>
        <v>103.10105729196501</v>
      </c>
      <c r="E20" s="14">
        <f ca="1">DATE(YEAR(TODAY()),INDEX(mthLkUp.tbl[Num],MATCH(mth.input,mthLkUp.tbl[Month],0)),1)</f>
        <v>42795</v>
      </c>
      <c r="F20" s="6">
        <f>1</f>
        <v>1</v>
      </c>
      <c r="G20" s="5">
        <v>0.48</v>
      </c>
      <c r="H20" s="5">
        <v>818.9</v>
      </c>
      <c r="I20" s="5">
        <v>-12.48</v>
      </c>
      <c r="J20" s="5">
        <v>-15.3</v>
      </c>
      <c r="K20" s="5">
        <v>-14.3</v>
      </c>
      <c r="L20" s="5">
        <v>-15.3</v>
      </c>
      <c r="M20" s="5">
        <v>-14</v>
      </c>
      <c r="N20" s="5">
        <v>-5.5</v>
      </c>
      <c r="O20" s="5">
        <v>-9.6</v>
      </c>
      <c r="P20" s="5">
        <v>-13.3</v>
      </c>
      <c r="Q20" s="6">
        <f>IF(sim.tbl[[#This Row],[Dens]]&lt;=770,1,0)</f>
        <v>0</v>
      </c>
      <c r="R20" s="6">
        <f>IF(AND(sim.tbl[[#This Row],[Sulf]]&gt;0.5,sim.tbl[[#This Row],[Dens]]&gt;770,sim.tbl[[#This Row],[Dens]]&lt;=825),1,0)</f>
        <v>0</v>
      </c>
      <c r="S20" s="6">
        <f>IF(AND(sim.tbl[[#This Row],[Sulf]]&lt;=0.5,sim.tbl[[#This Row],[Dens]]&gt;770,sim.tbl[[#This Row],[Dens]]&lt;=825),1,0)</f>
        <v>1</v>
      </c>
      <c r="T20" s="6">
        <f>IF(AND(sim.tbl[[#This Row],[Sulf]]&gt;0.5,sim.tbl[[#This Row],[Dens]]&gt;825,sim.tbl[[#This Row],[Dens]]&lt;=870),1,0)</f>
        <v>0</v>
      </c>
      <c r="U20" s="6">
        <f>IF(AND(sim.tbl[[#This Row],[Sulf]]&lt;0.5,sim.tbl[[#This Row],[Dens]]&gt;825,sim.tbl[[#This Row],[Dens]]&lt;=900),1,0)</f>
        <v>0</v>
      </c>
      <c r="V20" s="6">
        <f>IF(AND(sim.tbl[[#This Row],[Sulf]]&gt;0.5,sim.tbl[[#This Row],[Dens]]&gt;870,sim.tbl[[#This Row],[Dens]]&lt;=900),1,0)</f>
        <v>0</v>
      </c>
      <c r="W20" s="6">
        <f>IF(AND(sim.tbl[[#This Row],[Sulf]]&gt;0.5,sim.tbl[[#This Row],[Dens]]&gt;900),1,0)</f>
        <v>0</v>
      </c>
      <c r="X20" s="6">
        <f>IF(AND(sim.tbl[[#This Row],[Sulf]]&lt;=0.5,sim.tbl[[#This Row],[Dens]]&gt;900),1,0)</f>
        <v>0</v>
      </c>
      <c r="Y20" s="6">
        <f ca="1">IF(MONTH(sim.tbl[[#This Row],[SDate]])=INDEX(mthLkUp.tbl[Num],MATCH(Y$3,mthLkUp.tbl[Month],0)),1,0)</f>
        <v>0</v>
      </c>
      <c r="Z20" s="6">
        <f ca="1">IF(MONTH(sim.tbl[[#This Row],[SDate]])=INDEX(mthLkUp.tbl[Num],MATCH(Z$3,mthLkUp.tbl[Month],0)),1,0)</f>
        <v>0</v>
      </c>
      <c r="AA20" s="6">
        <f ca="1">IF(MONTH(sim.tbl[[#This Row],[SDate]])=INDEX(mthLkUp.tbl[Num],MATCH(AA$3,mthLkUp.tbl[Month],0)),1,0)</f>
        <v>1</v>
      </c>
      <c r="AB20" s="6">
        <f ca="1">IF(MONTH(sim.tbl[[#This Row],[SDate]])=INDEX(mthLkUp.tbl[Num],MATCH(AB$3,mthLkUp.tbl[Month],0)),1,0)</f>
        <v>0</v>
      </c>
      <c r="AC20" s="6">
        <f ca="1">IF(MONTH(sim.tbl[[#This Row],[SDate]])=INDEX(mthLkUp.tbl[Num],MATCH(AC$3,mthLkUp.tbl[Month],0)),1,0)</f>
        <v>0</v>
      </c>
      <c r="AD20" s="6">
        <f ca="1">IF(MONTH(sim.tbl[[#This Row],[SDate]])=INDEX(mthLkUp.tbl[Num],MATCH(AD$3,mthLkUp.tbl[Month],0)),1,0)</f>
        <v>0</v>
      </c>
      <c r="AE20" s="6">
        <f ca="1">IF(MONTH(sim.tbl[[#This Row],[SDate]])=INDEX(mthLkUp.tbl[Num],MATCH(AE$3,mthLkUp.tbl[Month],0)),1,0)</f>
        <v>0</v>
      </c>
      <c r="AF20" s="6">
        <f ca="1">IF(MONTH(sim.tbl[[#This Row],[SDate]])=INDEX(mthLkUp.tbl[Num],MATCH(AF$3,mthLkUp.tbl[Month],0)),1,0)</f>
        <v>0</v>
      </c>
      <c r="AG20" s="6">
        <f ca="1">IF(MONTH(sim.tbl[[#This Row],[SDate]])=INDEX(mthLkUp.tbl[Num],MATCH(AG$3,mthLkUp.tbl[Month],0)),1,0)</f>
        <v>0</v>
      </c>
      <c r="AH20" s="6">
        <f ca="1">IF(MONTH(sim.tbl[[#This Row],[SDate]])=INDEX(mthLkUp.tbl[Num],MATCH(AH$3,mthLkUp.tbl[Month],0)),1,0)</f>
        <v>0</v>
      </c>
      <c r="AI20" s="6">
        <f ca="1">IF(MONTH(sim.tbl[[#This Row],[SDate]])=INDEX(mthLkUp.tbl[Num],MATCH(AI$3,mthLkUp.tbl[Month],0)),1,0)</f>
        <v>0</v>
      </c>
      <c r="AJ20" s="6">
        <f ca="1">IF(MONTH(sim.tbl[[#This Row],[SDate]])=INDEX(mthLkUp.tbl[Num],MATCH(AJ$3,mthLkUp.tbl[Month],0)),1,0)</f>
        <v>0</v>
      </c>
      <c r="AK20" s="6">
        <v>0</v>
      </c>
      <c r="AL20" s="5">
        <f>sim.tbl[[#This Row],[Sulf]]*sim.tbl[[#This Row],[C5]]</f>
        <v>0</v>
      </c>
      <c r="AM20" s="5">
        <f>sim.tbl[[#This Row],[Sulf]]*sim.tbl[[#This Row],[Light_LSB]]</f>
        <v>0</v>
      </c>
      <c r="AN20" s="5">
        <f>sim.tbl[[#This Row],[Sulf]]*sim.tbl[[#This Row],[Light_SW]]</f>
        <v>0.48</v>
      </c>
      <c r="AO20" s="5">
        <f>sim.tbl[[#This Row],[Sulf]]*sim.tbl[[#This Row],[Medium_LSB]]</f>
        <v>0</v>
      </c>
      <c r="AP20" s="5">
        <f>sim.tbl[[#This Row],[Sulf]]*sim.tbl[[#This Row],[Medium_SW]]</f>
        <v>0</v>
      </c>
      <c r="AQ20" s="5">
        <f>sim.tbl[[#This Row],[Sulf]]*sim.tbl[[#This Row],[Midale]]</f>
        <v>0</v>
      </c>
      <c r="AR20" s="5">
        <f>sim.tbl[[#This Row],[Sulf]]*sim.tbl[[#This Row],[Heavy_Sour]]</f>
        <v>0</v>
      </c>
      <c r="AS20" s="5">
        <f>sim.tbl[[#This Row],[Sulf]]*sim.tbl[[#This Row],[Heavy_SW]]</f>
        <v>0</v>
      </c>
      <c r="AT20" s="5">
        <f>sim.tbl[[#This Row],[Dens]]*sim.tbl[[#This Row],[C5]]</f>
        <v>0</v>
      </c>
      <c r="AU20" s="5">
        <f>sim.tbl[[#This Row],[Dens]]*sim.tbl[[#This Row],[Light_LSB]]</f>
        <v>0</v>
      </c>
      <c r="AV20" s="5">
        <f>sim.tbl[[#This Row],[Dens]]*sim.tbl[[#This Row],[Light_SW]]</f>
        <v>818.9</v>
      </c>
      <c r="AW20" s="5">
        <f>sim.tbl[[#This Row],[Dens]]*sim.tbl[[#This Row],[Medium_LSB]]</f>
        <v>0</v>
      </c>
      <c r="AX20" s="5">
        <f>sim.tbl[[#This Row],[Dens]]*sim.tbl[[#This Row],[Medium_SW]]</f>
        <v>0</v>
      </c>
      <c r="AY20" s="5">
        <f>sim.tbl[[#This Row],[Dens]]*sim.tbl[[#This Row],[Midale]]</f>
        <v>0</v>
      </c>
      <c r="AZ20" s="5">
        <f>sim.tbl[[#This Row],[Dens]]*sim.tbl[[#This Row],[Heavy_Sour]]</f>
        <v>0</v>
      </c>
      <c r="BA20" s="5">
        <f>sim.tbl[[#This Row],[Dens]]*sim.tbl[[#This Row],[Heavy_SW]]</f>
        <v>0</v>
      </c>
      <c r="BB20" s="5">
        <f>sim.tbl[[#This Row],[Temp.Roll]]*sim.tbl[[#This Row],[C5]]</f>
        <v>0</v>
      </c>
      <c r="BC20" s="5">
        <f>sim.tbl[[#This Row],[Temp.Roll]]*sim.tbl[[#This Row],[Light_LSB]]</f>
        <v>0</v>
      </c>
      <c r="BD20" s="5">
        <f>sim.tbl[[#This Row],[Temp.Roll]]*sim.tbl[[#This Row],[Light_SW]]</f>
        <v>-15.3</v>
      </c>
      <c r="BE20" s="5">
        <f>sim.tbl[[#This Row],[Temp.Roll]]*sim.tbl[[#This Row],[Medium_LSB]]</f>
        <v>0</v>
      </c>
      <c r="BF20" s="5">
        <f>sim.tbl[[#This Row],[Temp.Roll]]*sim.tbl[[#This Row],[Medium_SW]]</f>
        <v>0</v>
      </c>
      <c r="BG20" s="5">
        <f>sim.tbl[[#This Row],[Temp.Roll]]*sim.tbl[[#This Row],[Midale]]</f>
        <v>0</v>
      </c>
      <c r="BH20" s="5">
        <f>sim.tbl[[#This Row],[Temp.Roll]]*sim.tbl[[#This Row],[Heavy_Sour]]</f>
        <v>0</v>
      </c>
      <c r="BI20" s="5">
        <f>sim.tbl[[#This Row],[Temp.Roll]]*sim.tbl[[#This Row],[Heavy_SW]]</f>
        <v>0</v>
      </c>
    </row>
    <row r="21" spans="4:61" x14ac:dyDescent="0.25">
      <c r="D21" s="5">
        <f ca="1">SUMPRODUCT($F$1:$BI$1,sim.tbl[[#This Row],[Intercept]:[Temp.Roll:Heavy_SW]])</f>
        <v>100.32886540555458</v>
      </c>
      <c r="E21" s="14">
        <f ca="1">DATE(YEAR(TODAY()),INDEX(mthLkUp.tbl[Num],MATCH(mth.input,mthLkUp.tbl[Month],0)),1)</f>
        <v>42795</v>
      </c>
      <c r="F21" s="6">
        <f>1</f>
        <v>1</v>
      </c>
      <c r="G21" s="5">
        <v>0.26</v>
      </c>
      <c r="H21" s="5">
        <v>806.6</v>
      </c>
      <c r="I21" s="5">
        <v>0.31666666700000001</v>
      </c>
      <c r="J21" s="5">
        <v>-0.6</v>
      </c>
      <c r="K21" s="5">
        <v>-0.6</v>
      </c>
      <c r="L21" s="5">
        <v>-0.6</v>
      </c>
      <c r="M21" s="5">
        <v>1</v>
      </c>
      <c r="N21" s="5">
        <v>0.8</v>
      </c>
      <c r="O21" s="5">
        <v>1.6</v>
      </c>
      <c r="P21" s="5">
        <v>-0.3</v>
      </c>
      <c r="Q21" s="6">
        <f>IF(sim.tbl[[#This Row],[Dens]]&lt;=770,1,0)</f>
        <v>0</v>
      </c>
      <c r="R21" s="6">
        <f>IF(AND(sim.tbl[[#This Row],[Sulf]]&gt;0.5,sim.tbl[[#This Row],[Dens]]&gt;770,sim.tbl[[#This Row],[Dens]]&lt;=825),1,0)</f>
        <v>0</v>
      </c>
      <c r="S21" s="6">
        <f>IF(AND(sim.tbl[[#This Row],[Sulf]]&lt;=0.5,sim.tbl[[#This Row],[Dens]]&gt;770,sim.tbl[[#This Row],[Dens]]&lt;=825),1,0)</f>
        <v>1</v>
      </c>
      <c r="T21" s="6">
        <f>IF(AND(sim.tbl[[#This Row],[Sulf]]&gt;0.5,sim.tbl[[#This Row],[Dens]]&gt;825,sim.tbl[[#This Row],[Dens]]&lt;=870),1,0)</f>
        <v>0</v>
      </c>
      <c r="U21" s="6">
        <f>IF(AND(sim.tbl[[#This Row],[Sulf]]&lt;0.5,sim.tbl[[#This Row],[Dens]]&gt;825,sim.tbl[[#This Row],[Dens]]&lt;=900),1,0)</f>
        <v>0</v>
      </c>
      <c r="V21" s="6">
        <f>IF(AND(sim.tbl[[#This Row],[Sulf]]&gt;0.5,sim.tbl[[#This Row],[Dens]]&gt;870,sim.tbl[[#This Row],[Dens]]&lt;=900),1,0)</f>
        <v>0</v>
      </c>
      <c r="W21" s="6">
        <f>IF(AND(sim.tbl[[#This Row],[Sulf]]&gt;0.5,sim.tbl[[#This Row],[Dens]]&gt;900),1,0)</f>
        <v>0</v>
      </c>
      <c r="X21" s="6">
        <f>IF(AND(sim.tbl[[#This Row],[Sulf]]&lt;=0.5,sim.tbl[[#This Row],[Dens]]&gt;900),1,0)</f>
        <v>0</v>
      </c>
      <c r="Y21" s="6">
        <f ca="1">IF(MONTH(sim.tbl[[#This Row],[SDate]])=INDEX(mthLkUp.tbl[Num],MATCH(Y$3,mthLkUp.tbl[Month],0)),1,0)</f>
        <v>0</v>
      </c>
      <c r="Z21" s="6">
        <f ca="1">IF(MONTH(sim.tbl[[#This Row],[SDate]])=INDEX(mthLkUp.tbl[Num],MATCH(Z$3,mthLkUp.tbl[Month],0)),1,0)</f>
        <v>0</v>
      </c>
      <c r="AA21" s="6">
        <f ca="1">IF(MONTH(sim.tbl[[#This Row],[SDate]])=INDEX(mthLkUp.tbl[Num],MATCH(AA$3,mthLkUp.tbl[Month],0)),1,0)</f>
        <v>1</v>
      </c>
      <c r="AB21" s="6">
        <f ca="1">IF(MONTH(sim.tbl[[#This Row],[SDate]])=INDEX(mthLkUp.tbl[Num],MATCH(AB$3,mthLkUp.tbl[Month],0)),1,0)</f>
        <v>0</v>
      </c>
      <c r="AC21" s="6">
        <f ca="1">IF(MONTH(sim.tbl[[#This Row],[SDate]])=INDEX(mthLkUp.tbl[Num],MATCH(AC$3,mthLkUp.tbl[Month],0)),1,0)</f>
        <v>0</v>
      </c>
      <c r="AD21" s="6">
        <f ca="1">IF(MONTH(sim.tbl[[#This Row],[SDate]])=INDEX(mthLkUp.tbl[Num],MATCH(AD$3,mthLkUp.tbl[Month],0)),1,0)</f>
        <v>0</v>
      </c>
      <c r="AE21" s="6">
        <f ca="1">IF(MONTH(sim.tbl[[#This Row],[SDate]])=INDEX(mthLkUp.tbl[Num],MATCH(AE$3,mthLkUp.tbl[Month],0)),1,0)</f>
        <v>0</v>
      </c>
      <c r="AF21" s="6">
        <f ca="1">IF(MONTH(sim.tbl[[#This Row],[SDate]])=INDEX(mthLkUp.tbl[Num],MATCH(AF$3,mthLkUp.tbl[Month],0)),1,0)</f>
        <v>0</v>
      </c>
      <c r="AG21" s="6">
        <f ca="1">IF(MONTH(sim.tbl[[#This Row],[SDate]])=INDEX(mthLkUp.tbl[Num],MATCH(AG$3,mthLkUp.tbl[Month],0)),1,0)</f>
        <v>0</v>
      </c>
      <c r="AH21" s="6">
        <f ca="1">IF(MONTH(sim.tbl[[#This Row],[SDate]])=INDEX(mthLkUp.tbl[Num],MATCH(AH$3,mthLkUp.tbl[Month],0)),1,0)</f>
        <v>0</v>
      </c>
      <c r="AI21" s="6">
        <f ca="1">IF(MONTH(sim.tbl[[#This Row],[SDate]])=INDEX(mthLkUp.tbl[Num],MATCH(AI$3,mthLkUp.tbl[Month],0)),1,0)</f>
        <v>0</v>
      </c>
      <c r="AJ21" s="6">
        <f ca="1">IF(MONTH(sim.tbl[[#This Row],[SDate]])=INDEX(mthLkUp.tbl[Num],MATCH(AJ$3,mthLkUp.tbl[Month],0)),1,0)</f>
        <v>0</v>
      </c>
      <c r="AK21" s="6">
        <v>0</v>
      </c>
      <c r="AL21" s="5">
        <f>sim.tbl[[#This Row],[Sulf]]*sim.tbl[[#This Row],[C5]]</f>
        <v>0</v>
      </c>
      <c r="AM21" s="5">
        <f>sim.tbl[[#This Row],[Sulf]]*sim.tbl[[#This Row],[Light_LSB]]</f>
        <v>0</v>
      </c>
      <c r="AN21" s="5">
        <f>sim.tbl[[#This Row],[Sulf]]*sim.tbl[[#This Row],[Light_SW]]</f>
        <v>0.26</v>
      </c>
      <c r="AO21" s="5">
        <f>sim.tbl[[#This Row],[Sulf]]*sim.tbl[[#This Row],[Medium_LSB]]</f>
        <v>0</v>
      </c>
      <c r="AP21" s="5">
        <f>sim.tbl[[#This Row],[Sulf]]*sim.tbl[[#This Row],[Medium_SW]]</f>
        <v>0</v>
      </c>
      <c r="AQ21" s="5">
        <f>sim.tbl[[#This Row],[Sulf]]*sim.tbl[[#This Row],[Midale]]</f>
        <v>0</v>
      </c>
      <c r="AR21" s="5">
        <f>sim.tbl[[#This Row],[Sulf]]*sim.tbl[[#This Row],[Heavy_Sour]]</f>
        <v>0</v>
      </c>
      <c r="AS21" s="5">
        <f>sim.tbl[[#This Row],[Sulf]]*sim.tbl[[#This Row],[Heavy_SW]]</f>
        <v>0</v>
      </c>
      <c r="AT21" s="5">
        <f>sim.tbl[[#This Row],[Dens]]*sim.tbl[[#This Row],[C5]]</f>
        <v>0</v>
      </c>
      <c r="AU21" s="5">
        <f>sim.tbl[[#This Row],[Dens]]*sim.tbl[[#This Row],[Light_LSB]]</f>
        <v>0</v>
      </c>
      <c r="AV21" s="5">
        <f>sim.tbl[[#This Row],[Dens]]*sim.tbl[[#This Row],[Light_SW]]</f>
        <v>806.6</v>
      </c>
      <c r="AW21" s="5">
        <f>sim.tbl[[#This Row],[Dens]]*sim.tbl[[#This Row],[Medium_LSB]]</f>
        <v>0</v>
      </c>
      <c r="AX21" s="5">
        <f>sim.tbl[[#This Row],[Dens]]*sim.tbl[[#This Row],[Medium_SW]]</f>
        <v>0</v>
      </c>
      <c r="AY21" s="5">
        <f>sim.tbl[[#This Row],[Dens]]*sim.tbl[[#This Row],[Midale]]</f>
        <v>0</v>
      </c>
      <c r="AZ21" s="5">
        <f>sim.tbl[[#This Row],[Dens]]*sim.tbl[[#This Row],[Heavy_Sour]]</f>
        <v>0</v>
      </c>
      <c r="BA21" s="5">
        <f>sim.tbl[[#This Row],[Dens]]*sim.tbl[[#This Row],[Heavy_SW]]</f>
        <v>0</v>
      </c>
      <c r="BB21" s="5">
        <f>sim.tbl[[#This Row],[Temp.Roll]]*sim.tbl[[#This Row],[C5]]</f>
        <v>0</v>
      </c>
      <c r="BC21" s="5">
        <f>sim.tbl[[#This Row],[Temp.Roll]]*sim.tbl[[#This Row],[Light_LSB]]</f>
        <v>0</v>
      </c>
      <c r="BD21" s="5">
        <f>sim.tbl[[#This Row],[Temp.Roll]]*sim.tbl[[#This Row],[Light_SW]]</f>
        <v>-0.6</v>
      </c>
      <c r="BE21" s="5">
        <f>sim.tbl[[#This Row],[Temp.Roll]]*sim.tbl[[#This Row],[Medium_LSB]]</f>
        <v>0</v>
      </c>
      <c r="BF21" s="5">
        <f>sim.tbl[[#This Row],[Temp.Roll]]*sim.tbl[[#This Row],[Medium_SW]]</f>
        <v>0</v>
      </c>
      <c r="BG21" s="5">
        <f>sim.tbl[[#This Row],[Temp.Roll]]*sim.tbl[[#This Row],[Midale]]</f>
        <v>0</v>
      </c>
      <c r="BH21" s="5">
        <f>sim.tbl[[#This Row],[Temp.Roll]]*sim.tbl[[#This Row],[Heavy_Sour]]</f>
        <v>0</v>
      </c>
      <c r="BI21" s="5">
        <f>sim.tbl[[#This Row],[Temp.Roll]]*sim.tbl[[#This Row],[Heavy_SW]]</f>
        <v>0</v>
      </c>
    </row>
    <row r="22" spans="4:61" x14ac:dyDescent="0.25">
      <c r="D22" s="5">
        <f ca="1">SUMPRODUCT($F$1:$BI$1,sim.tbl[[#This Row],[Intercept]:[Temp.Roll:Heavy_SW]])</f>
        <v>97.401308929137016</v>
      </c>
      <c r="E22" s="14">
        <f ca="1">DATE(YEAR(TODAY()),INDEX(mthLkUp.tbl[Num],MATCH(mth.input,mthLkUp.tbl[Month],0)),1)</f>
        <v>42795</v>
      </c>
      <c r="F22" s="6">
        <f>1</f>
        <v>1</v>
      </c>
      <c r="G22" s="5">
        <v>1.22</v>
      </c>
      <c r="H22" s="5">
        <v>813.4</v>
      </c>
      <c r="I22" s="5">
        <v>9.4749999999999996</v>
      </c>
      <c r="J22" s="5">
        <v>9.9</v>
      </c>
      <c r="K22" s="5">
        <v>11.8</v>
      </c>
      <c r="L22" s="5">
        <v>9.9</v>
      </c>
      <c r="M22" s="5">
        <v>8</v>
      </c>
      <c r="N22" s="5">
        <v>1.8</v>
      </c>
      <c r="O22" s="5">
        <v>8.1999999999999993</v>
      </c>
      <c r="P22" s="5">
        <v>8</v>
      </c>
      <c r="Q22" s="6">
        <f>IF(sim.tbl[[#This Row],[Dens]]&lt;=770,1,0)</f>
        <v>0</v>
      </c>
      <c r="R22" s="6">
        <f>IF(AND(sim.tbl[[#This Row],[Sulf]]&gt;0.5,sim.tbl[[#This Row],[Dens]]&gt;770,sim.tbl[[#This Row],[Dens]]&lt;=825),1,0)</f>
        <v>1</v>
      </c>
      <c r="S22" s="6">
        <f>IF(AND(sim.tbl[[#This Row],[Sulf]]&lt;=0.5,sim.tbl[[#This Row],[Dens]]&gt;770,sim.tbl[[#This Row],[Dens]]&lt;=825),1,0)</f>
        <v>0</v>
      </c>
      <c r="T22" s="6">
        <f>IF(AND(sim.tbl[[#This Row],[Sulf]]&gt;0.5,sim.tbl[[#This Row],[Dens]]&gt;825,sim.tbl[[#This Row],[Dens]]&lt;=870),1,0)</f>
        <v>0</v>
      </c>
      <c r="U22" s="6">
        <f>IF(AND(sim.tbl[[#This Row],[Sulf]]&lt;0.5,sim.tbl[[#This Row],[Dens]]&gt;825,sim.tbl[[#This Row],[Dens]]&lt;=900),1,0)</f>
        <v>0</v>
      </c>
      <c r="V22" s="6">
        <f>IF(AND(sim.tbl[[#This Row],[Sulf]]&gt;0.5,sim.tbl[[#This Row],[Dens]]&gt;870,sim.tbl[[#This Row],[Dens]]&lt;=900),1,0)</f>
        <v>0</v>
      </c>
      <c r="W22" s="6">
        <f>IF(AND(sim.tbl[[#This Row],[Sulf]]&gt;0.5,sim.tbl[[#This Row],[Dens]]&gt;900),1,0)</f>
        <v>0</v>
      </c>
      <c r="X22" s="6">
        <f>IF(AND(sim.tbl[[#This Row],[Sulf]]&lt;=0.5,sim.tbl[[#This Row],[Dens]]&gt;900),1,0)</f>
        <v>0</v>
      </c>
      <c r="Y22" s="6">
        <f ca="1">IF(MONTH(sim.tbl[[#This Row],[SDate]])=INDEX(mthLkUp.tbl[Num],MATCH(Y$3,mthLkUp.tbl[Month],0)),1,0)</f>
        <v>0</v>
      </c>
      <c r="Z22" s="6">
        <f ca="1">IF(MONTH(sim.tbl[[#This Row],[SDate]])=INDEX(mthLkUp.tbl[Num],MATCH(Z$3,mthLkUp.tbl[Month],0)),1,0)</f>
        <v>0</v>
      </c>
      <c r="AA22" s="6">
        <f ca="1">IF(MONTH(sim.tbl[[#This Row],[SDate]])=INDEX(mthLkUp.tbl[Num],MATCH(AA$3,mthLkUp.tbl[Month],0)),1,0)</f>
        <v>1</v>
      </c>
      <c r="AB22" s="6">
        <f ca="1">IF(MONTH(sim.tbl[[#This Row],[SDate]])=INDEX(mthLkUp.tbl[Num],MATCH(AB$3,mthLkUp.tbl[Month],0)),1,0)</f>
        <v>0</v>
      </c>
      <c r="AC22" s="6">
        <f ca="1">IF(MONTH(sim.tbl[[#This Row],[SDate]])=INDEX(mthLkUp.tbl[Num],MATCH(AC$3,mthLkUp.tbl[Month],0)),1,0)</f>
        <v>0</v>
      </c>
      <c r="AD22" s="6">
        <f ca="1">IF(MONTH(sim.tbl[[#This Row],[SDate]])=INDEX(mthLkUp.tbl[Num],MATCH(AD$3,mthLkUp.tbl[Month],0)),1,0)</f>
        <v>0</v>
      </c>
      <c r="AE22" s="6">
        <f ca="1">IF(MONTH(sim.tbl[[#This Row],[SDate]])=INDEX(mthLkUp.tbl[Num],MATCH(AE$3,mthLkUp.tbl[Month],0)),1,0)</f>
        <v>0</v>
      </c>
      <c r="AF22" s="6">
        <f ca="1">IF(MONTH(sim.tbl[[#This Row],[SDate]])=INDEX(mthLkUp.tbl[Num],MATCH(AF$3,mthLkUp.tbl[Month],0)),1,0)</f>
        <v>0</v>
      </c>
      <c r="AG22" s="6">
        <f ca="1">IF(MONTH(sim.tbl[[#This Row],[SDate]])=INDEX(mthLkUp.tbl[Num],MATCH(AG$3,mthLkUp.tbl[Month],0)),1,0)</f>
        <v>0</v>
      </c>
      <c r="AH22" s="6">
        <f ca="1">IF(MONTH(sim.tbl[[#This Row],[SDate]])=INDEX(mthLkUp.tbl[Num],MATCH(AH$3,mthLkUp.tbl[Month],0)),1,0)</f>
        <v>0</v>
      </c>
      <c r="AI22" s="6">
        <f ca="1">IF(MONTH(sim.tbl[[#This Row],[SDate]])=INDEX(mthLkUp.tbl[Num],MATCH(AI$3,mthLkUp.tbl[Month],0)),1,0)</f>
        <v>0</v>
      </c>
      <c r="AJ22" s="6">
        <f ca="1">IF(MONTH(sim.tbl[[#This Row],[SDate]])=INDEX(mthLkUp.tbl[Num],MATCH(AJ$3,mthLkUp.tbl[Month],0)),1,0)</f>
        <v>0</v>
      </c>
      <c r="AK22" s="6">
        <v>0</v>
      </c>
      <c r="AL22" s="5">
        <f>sim.tbl[[#This Row],[Sulf]]*sim.tbl[[#This Row],[C5]]</f>
        <v>0</v>
      </c>
      <c r="AM22" s="5">
        <f>sim.tbl[[#This Row],[Sulf]]*sim.tbl[[#This Row],[Light_LSB]]</f>
        <v>1.22</v>
      </c>
      <c r="AN22" s="5">
        <f>sim.tbl[[#This Row],[Sulf]]*sim.tbl[[#This Row],[Light_SW]]</f>
        <v>0</v>
      </c>
      <c r="AO22" s="5">
        <f>sim.tbl[[#This Row],[Sulf]]*sim.tbl[[#This Row],[Medium_LSB]]</f>
        <v>0</v>
      </c>
      <c r="AP22" s="5">
        <f>sim.tbl[[#This Row],[Sulf]]*sim.tbl[[#This Row],[Medium_SW]]</f>
        <v>0</v>
      </c>
      <c r="AQ22" s="5">
        <f>sim.tbl[[#This Row],[Sulf]]*sim.tbl[[#This Row],[Midale]]</f>
        <v>0</v>
      </c>
      <c r="AR22" s="5">
        <f>sim.tbl[[#This Row],[Sulf]]*sim.tbl[[#This Row],[Heavy_Sour]]</f>
        <v>0</v>
      </c>
      <c r="AS22" s="5">
        <f>sim.tbl[[#This Row],[Sulf]]*sim.tbl[[#This Row],[Heavy_SW]]</f>
        <v>0</v>
      </c>
      <c r="AT22" s="5">
        <f>sim.tbl[[#This Row],[Dens]]*sim.tbl[[#This Row],[C5]]</f>
        <v>0</v>
      </c>
      <c r="AU22" s="5">
        <f>sim.tbl[[#This Row],[Dens]]*sim.tbl[[#This Row],[Light_LSB]]</f>
        <v>813.4</v>
      </c>
      <c r="AV22" s="5">
        <f>sim.tbl[[#This Row],[Dens]]*sim.tbl[[#This Row],[Light_SW]]</f>
        <v>0</v>
      </c>
      <c r="AW22" s="5">
        <f>sim.tbl[[#This Row],[Dens]]*sim.tbl[[#This Row],[Medium_LSB]]</f>
        <v>0</v>
      </c>
      <c r="AX22" s="5">
        <f>sim.tbl[[#This Row],[Dens]]*sim.tbl[[#This Row],[Medium_SW]]</f>
        <v>0</v>
      </c>
      <c r="AY22" s="5">
        <f>sim.tbl[[#This Row],[Dens]]*sim.tbl[[#This Row],[Midale]]</f>
        <v>0</v>
      </c>
      <c r="AZ22" s="5">
        <f>sim.tbl[[#This Row],[Dens]]*sim.tbl[[#This Row],[Heavy_Sour]]</f>
        <v>0</v>
      </c>
      <c r="BA22" s="5">
        <f>sim.tbl[[#This Row],[Dens]]*sim.tbl[[#This Row],[Heavy_SW]]</f>
        <v>0</v>
      </c>
      <c r="BB22" s="5">
        <f>sim.tbl[[#This Row],[Temp.Roll]]*sim.tbl[[#This Row],[C5]]</f>
        <v>0</v>
      </c>
      <c r="BC22" s="5">
        <f>sim.tbl[[#This Row],[Temp.Roll]]*sim.tbl[[#This Row],[Light_LSB]]</f>
        <v>9.9</v>
      </c>
      <c r="BD22" s="5">
        <f>sim.tbl[[#This Row],[Temp.Roll]]*sim.tbl[[#This Row],[Light_SW]]</f>
        <v>0</v>
      </c>
      <c r="BE22" s="5">
        <f>sim.tbl[[#This Row],[Temp.Roll]]*sim.tbl[[#This Row],[Medium_LSB]]</f>
        <v>0</v>
      </c>
      <c r="BF22" s="5">
        <f>sim.tbl[[#This Row],[Temp.Roll]]*sim.tbl[[#This Row],[Medium_SW]]</f>
        <v>0</v>
      </c>
      <c r="BG22" s="5">
        <f>sim.tbl[[#This Row],[Temp.Roll]]*sim.tbl[[#This Row],[Midale]]</f>
        <v>0</v>
      </c>
      <c r="BH22" s="5">
        <f>sim.tbl[[#This Row],[Temp.Roll]]*sim.tbl[[#This Row],[Heavy_Sour]]</f>
        <v>0</v>
      </c>
      <c r="BI22" s="5">
        <f>sim.tbl[[#This Row],[Temp.Roll]]*sim.tbl[[#This Row],[Heavy_SW]]</f>
        <v>0</v>
      </c>
    </row>
    <row r="23" spans="4:61" x14ac:dyDescent="0.25">
      <c r="D23" s="5">
        <f ca="1">SUMPRODUCT($F$1:$BI$1,sim.tbl[[#This Row],[Intercept]:[Temp.Roll:Heavy_SW]])</f>
        <v>95.49182114652487</v>
      </c>
      <c r="E23" s="14">
        <f ca="1">DATE(YEAR(TODAY()),INDEX(mthLkUp.tbl[Num],MATCH(mth.input,mthLkUp.tbl[Month],0)),1)</f>
        <v>42795</v>
      </c>
      <c r="F23" s="6">
        <f>1</f>
        <v>1</v>
      </c>
      <c r="G23" s="5">
        <v>0.91</v>
      </c>
      <c r="H23" s="5">
        <v>827.5</v>
      </c>
      <c r="I23" s="5">
        <v>-4.016666667</v>
      </c>
      <c r="J23" s="5">
        <v>-4.7</v>
      </c>
      <c r="K23" s="5">
        <v>-5.0999999999999996</v>
      </c>
      <c r="L23" s="5">
        <v>-4.7</v>
      </c>
      <c r="M23" s="5">
        <v>-4.3</v>
      </c>
      <c r="N23" s="5">
        <v>-2</v>
      </c>
      <c r="O23" s="5">
        <v>-4.8</v>
      </c>
      <c r="P23" s="5">
        <v>-3.2</v>
      </c>
      <c r="Q23" s="6">
        <f>IF(sim.tbl[[#This Row],[Dens]]&lt;=770,1,0)</f>
        <v>0</v>
      </c>
      <c r="R23" s="6">
        <f>IF(AND(sim.tbl[[#This Row],[Sulf]]&gt;0.5,sim.tbl[[#This Row],[Dens]]&gt;770,sim.tbl[[#This Row],[Dens]]&lt;=825),1,0)</f>
        <v>0</v>
      </c>
      <c r="S23" s="6">
        <f>IF(AND(sim.tbl[[#This Row],[Sulf]]&lt;=0.5,sim.tbl[[#This Row],[Dens]]&gt;770,sim.tbl[[#This Row],[Dens]]&lt;=825),1,0)</f>
        <v>0</v>
      </c>
      <c r="T23" s="6">
        <f>IF(AND(sim.tbl[[#This Row],[Sulf]]&gt;0.5,sim.tbl[[#This Row],[Dens]]&gt;825,sim.tbl[[#This Row],[Dens]]&lt;=870),1,0)</f>
        <v>1</v>
      </c>
      <c r="U23" s="6">
        <f>IF(AND(sim.tbl[[#This Row],[Sulf]]&lt;0.5,sim.tbl[[#This Row],[Dens]]&gt;825,sim.tbl[[#This Row],[Dens]]&lt;=900),1,0)</f>
        <v>0</v>
      </c>
      <c r="V23" s="6">
        <f>IF(AND(sim.tbl[[#This Row],[Sulf]]&gt;0.5,sim.tbl[[#This Row],[Dens]]&gt;870,sim.tbl[[#This Row],[Dens]]&lt;=900),1,0)</f>
        <v>0</v>
      </c>
      <c r="W23" s="6">
        <f>IF(AND(sim.tbl[[#This Row],[Sulf]]&gt;0.5,sim.tbl[[#This Row],[Dens]]&gt;900),1,0)</f>
        <v>0</v>
      </c>
      <c r="X23" s="6">
        <f>IF(AND(sim.tbl[[#This Row],[Sulf]]&lt;=0.5,sim.tbl[[#This Row],[Dens]]&gt;900),1,0)</f>
        <v>0</v>
      </c>
      <c r="Y23" s="6">
        <f ca="1">IF(MONTH(sim.tbl[[#This Row],[SDate]])=INDEX(mthLkUp.tbl[Num],MATCH(Y$3,mthLkUp.tbl[Month],0)),1,0)</f>
        <v>0</v>
      </c>
      <c r="Z23" s="6">
        <f ca="1">IF(MONTH(sim.tbl[[#This Row],[SDate]])=INDEX(mthLkUp.tbl[Num],MATCH(Z$3,mthLkUp.tbl[Month],0)),1,0)</f>
        <v>0</v>
      </c>
      <c r="AA23" s="6">
        <f ca="1">IF(MONTH(sim.tbl[[#This Row],[SDate]])=INDEX(mthLkUp.tbl[Num],MATCH(AA$3,mthLkUp.tbl[Month],0)),1,0)</f>
        <v>1</v>
      </c>
      <c r="AB23" s="6">
        <f ca="1">IF(MONTH(sim.tbl[[#This Row],[SDate]])=INDEX(mthLkUp.tbl[Num],MATCH(AB$3,mthLkUp.tbl[Month],0)),1,0)</f>
        <v>0</v>
      </c>
      <c r="AC23" s="6">
        <f ca="1">IF(MONTH(sim.tbl[[#This Row],[SDate]])=INDEX(mthLkUp.tbl[Num],MATCH(AC$3,mthLkUp.tbl[Month],0)),1,0)</f>
        <v>0</v>
      </c>
      <c r="AD23" s="6">
        <f ca="1">IF(MONTH(sim.tbl[[#This Row],[SDate]])=INDEX(mthLkUp.tbl[Num],MATCH(AD$3,mthLkUp.tbl[Month],0)),1,0)</f>
        <v>0</v>
      </c>
      <c r="AE23" s="6">
        <f ca="1">IF(MONTH(sim.tbl[[#This Row],[SDate]])=INDEX(mthLkUp.tbl[Num],MATCH(AE$3,mthLkUp.tbl[Month],0)),1,0)</f>
        <v>0</v>
      </c>
      <c r="AF23" s="6">
        <f ca="1">IF(MONTH(sim.tbl[[#This Row],[SDate]])=INDEX(mthLkUp.tbl[Num],MATCH(AF$3,mthLkUp.tbl[Month],0)),1,0)</f>
        <v>0</v>
      </c>
      <c r="AG23" s="6">
        <f ca="1">IF(MONTH(sim.tbl[[#This Row],[SDate]])=INDEX(mthLkUp.tbl[Num],MATCH(AG$3,mthLkUp.tbl[Month],0)),1,0)</f>
        <v>0</v>
      </c>
      <c r="AH23" s="6">
        <f ca="1">IF(MONTH(sim.tbl[[#This Row],[SDate]])=INDEX(mthLkUp.tbl[Num],MATCH(AH$3,mthLkUp.tbl[Month],0)),1,0)</f>
        <v>0</v>
      </c>
      <c r="AI23" s="6">
        <f ca="1">IF(MONTH(sim.tbl[[#This Row],[SDate]])=INDEX(mthLkUp.tbl[Num],MATCH(AI$3,mthLkUp.tbl[Month],0)),1,0)</f>
        <v>0</v>
      </c>
      <c r="AJ23" s="6">
        <f ca="1">IF(MONTH(sim.tbl[[#This Row],[SDate]])=INDEX(mthLkUp.tbl[Num],MATCH(AJ$3,mthLkUp.tbl[Month],0)),1,0)</f>
        <v>0</v>
      </c>
      <c r="AK23" s="6">
        <v>0</v>
      </c>
      <c r="AL23" s="5">
        <f>sim.tbl[[#This Row],[Sulf]]*sim.tbl[[#This Row],[C5]]</f>
        <v>0</v>
      </c>
      <c r="AM23" s="5">
        <f>sim.tbl[[#This Row],[Sulf]]*sim.tbl[[#This Row],[Light_LSB]]</f>
        <v>0</v>
      </c>
      <c r="AN23" s="5">
        <f>sim.tbl[[#This Row],[Sulf]]*sim.tbl[[#This Row],[Light_SW]]</f>
        <v>0</v>
      </c>
      <c r="AO23" s="5">
        <f>sim.tbl[[#This Row],[Sulf]]*sim.tbl[[#This Row],[Medium_LSB]]</f>
        <v>0.91</v>
      </c>
      <c r="AP23" s="5">
        <f>sim.tbl[[#This Row],[Sulf]]*sim.tbl[[#This Row],[Medium_SW]]</f>
        <v>0</v>
      </c>
      <c r="AQ23" s="5">
        <f>sim.tbl[[#This Row],[Sulf]]*sim.tbl[[#This Row],[Midale]]</f>
        <v>0</v>
      </c>
      <c r="AR23" s="5">
        <f>sim.tbl[[#This Row],[Sulf]]*sim.tbl[[#This Row],[Heavy_Sour]]</f>
        <v>0</v>
      </c>
      <c r="AS23" s="5">
        <f>sim.tbl[[#This Row],[Sulf]]*sim.tbl[[#This Row],[Heavy_SW]]</f>
        <v>0</v>
      </c>
      <c r="AT23" s="5">
        <f>sim.tbl[[#This Row],[Dens]]*sim.tbl[[#This Row],[C5]]</f>
        <v>0</v>
      </c>
      <c r="AU23" s="5">
        <f>sim.tbl[[#This Row],[Dens]]*sim.tbl[[#This Row],[Light_LSB]]</f>
        <v>0</v>
      </c>
      <c r="AV23" s="5">
        <f>sim.tbl[[#This Row],[Dens]]*sim.tbl[[#This Row],[Light_SW]]</f>
        <v>0</v>
      </c>
      <c r="AW23" s="5">
        <f>sim.tbl[[#This Row],[Dens]]*sim.tbl[[#This Row],[Medium_LSB]]</f>
        <v>827.5</v>
      </c>
      <c r="AX23" s="5">
        <f>sim.tbl[[#This Row],[Dens]]*sim.tbl[[#This Row],[Medium_SW]]</f>
        <v>0</v>
      </c>
      <c r="AY23" s="5">
        <f>sim.tbl[[#This Row],[Dens]]*sim.tbl[[#This Row],[Midale]]</f>
        <v>0</v>
      </c>
      <c r="AZ23" s="5">
        <f>sim.tbl[[#This Row],[Dens]]*sim.tbl[[#This Row],[Heavy_Sour]]</f>
        <v>0</v>
      </c>
      <c r="BA23" s="5">
        <f>sim.tbl[[#This Row],[Dens]]*sim.tbl[[#This Row],[Heavy_SW]]</f>
        <v>0</v>
      </c>
      <c r="BB23" s="5">
        <f>sim.tbl[[#This Row],[Temp.Roll]]*sim.tbl[[#This Row],[C5]]</f>
        <v>0</v>
      </c>
      <c r="BC23" s="5">
        <f>sim.tbl[[#This Row],[Temp.Roll]]*sim.tbl[[#This Row],[Light_LSB]]</f>
        <v>0</v>
      </c>
      <c r="BD23" s="5">
        <f>sim.tbl[[#This Row],[Temp.Roll]]*sim.tbl[[#This Row],[Light_SW]]</f>
        <v>0</v>
      </c>
      <c r="BE23" s="5">
        <f>sim.tbl[[#This Row],[Temp.Roll]]*sim.tbl[[#This Row],[Medium_LSB]]</f>
        <v>-4.7</v>
      </c>
      <c r="BF23" s="5">
        <f>sim.tbl[[#This Row],[Temp.Roll]]*sim.tbl[[#This Row],[Medium_SW]]</f>
        <v>0</v>
      </c>
      <c r="BG23" s="5">
        <f>sim.tbl[[#This Row],[Temp.Roll]]*sim.tbl[[#This Row],[Midale]]</f>
        <v>0</v>
      </c>
      <c r="BH23" s="5">
        <f>sim.tbl[[#This Row],[Temp.Roll]]*sim.tbl[[#This Row],[Heavy_Sour]]</f>
        <v>0</v>
      </c>
      <c r="BI23" s="5">
        <f>sim.tbl[[#This Row],[Temp.Roll]]*sim.tbl[[#This Row],[Heavy_SW]]</f>
        <v>0</v>
      </c>
    </row>
    <row r="24" spans="4:61" x14ac:dyDescent="0.25">
      <c r="D24" s="5">
        <f ca="1">SUMPRODUCT($F$1:$BI$1,sim.tbl[[#This Row],[Intercept]:[Temp.Roll:Heavy_SW]])</f>
        <v>88.202042601115537</v>
      </c>
      <c r="E24" s="14">
        <f ca="1">DATE(YEAR(TODAY()),INDEX(mthLkUp.tbl[Num],MATCH(mth.input,mthLkUp.tbl[Month],0)),1)</f>
        <v>42795</v>
      </c>
      <c r="F24" s="6">
        <f>1</f>
        <v>1</v>
      </c>
      <c r="G24" s="5">
        <v>0.221</v>
      </c>
      <c r="H24" s="5">
        <v>807.7</v>
      </c>
      <c r="I24" s="5">
        <v>0.46666666699999998</v>
      </c>
      <c r="J24" s="5">
        <v>0.8</v>
      </c>
      <c r="K24" s="5">
        <v>0.7</v>
      </c>
      <c r="L24" s="5">
        <v>0.8</v>
      </c>
      <c r="M24" s="5">
        <v>0.3</v>
      </c>
      <c r="N24" s="5">
        <v>2</v>
      </c>
      <c r="O24" s="5">
        <v>-0.2</v>
      </c>
      <c r="P24" s="5">
        <v>-0.8</v>
      </c>
      <c r="Q24" s="6">
        <f>IF(sim.tbl[[#This Row],[Dens]]&lt;=770,1,0)</f>
        <v>0</v>
      </c>
      <c r="R24" s="6">
        <f>IF(AND(sim.tbl[[#This Row],[Sulf]]&gt;0.5,sim.tbl[[#This Row],[Dens]]&gt;770,sim.tbl[[#This Row],[Dens]]&lt;=825),1,0)</f>
        <v>0</v>
      </c>
      <c r="S24" s="6">
        <f>IF(AND(sim.tbl[[#This Row],[Sulf]]&lt;=0.5,sim.tbl[[#This Row],[Dens]]&gt;770,sim.tbl[[#This Row],[Dens]]&lt;=825),1,0)</f>
        <v>1</v>
      </c>
      <c r="T24" s="6">
        <f>IF(AND(sim.tbl[[#This Row],[Sulf]]&gt;0.5,sim.tbl[[#This Row],[Dens]]&gt;825,sim.tbl[[#This Row],[Dens]]&lt;=870),1,0)</f>
        <v>0</v>
      </c>
      <c r="U24" s="6">
        <f>IF(AND(sim.tbl[[#This Row],[Sulf]]&lt;0.5,sim.tbl[[#This Row],[Dens]]&gt;825,sim.tbl[[#This Row],[Dens]]&lt;=900),1,0)</f>
        <v>0</v>
      </c>
      <c r="V24" s="6">
        <f>IF(AND(sim.tbl[[#This Row],[Sulf]]&gt;0.5,sim.tbl[[#This Row],[Dens]]&gt;870,sim.tbl[[#This Row],[Dens]]&lt;=900),1,0)</f>
        <v>0</v>
      </c>
      <c r="W24" s="6">
        <f>IF(AND(sim.tbl[[#This Row],[Sulf]]&gt;0.5,sim.tbl[[#This Row],[Dens]]&gt;900),1,0)</f>
        <v>0</v>
      </c>
      <c r="X24" s="6">
        <f>IF(AND(sim.tbl[[#This Row],[Sulf]]&lt;=0.5,sim.tbl[[#This Row],[Dens]]&gt;900),1,0)</f>
        <v>0</v>
      </c>
      <c r="Y24" s="6">
        <f ca="1">IF(MONTH(sim.tbl[[#This Row],[SDate]])=INDEX(mthLkUp.tbl[Num],MATCH(Y$3,mthLkUp.tbl[Month],0)),1,0)</f>
        <v>0</v>
      </c>
      <c r="Z24" s="6">
        <f ca="1">IF(MONTH(sim.tbl[[#This Row],[SDate]])=INDEX(mthLkUp.tbl[Num],MATCH(Z$3,mthLkUp.tbl[Month],0)),1,0)</f>
        <v>0</v>
      </c>
      <c r="AA24" s="6">
        <f ca="1">IF(MONTH(sim.tbl[[#This Row],[SDate]])=INDEX(mthLkUp.tbl[Num],MATCH(AA$3,mthLkUp.tbl[Month],0)),1,0)</f>
        <v>1</v>
      </c>
      <c r="AB24" s="6">
        <f ca="1">IF(MONTH(sim.tbl[[#This Row],[SDate]])=INDEX(mthLkUp.tbl[Num],MATCH(AB$3,mthLkUp.tbl[Month],0)),1,0)</f>
        <v>0</v>
      </c>
      <c r="AC24" s="6">
        <f ca="1">IF(MONTH(sim.tbl[[#This Row],[SDate]])=INDEX(mthLkUp.tbl[Num],MATCH(AC$3,mthLkUp.tbl[Month],0)),1,0)</f>
        <v>0</v>
      </c>
      <c r="AD24" s="6">
        <f ca="1">IF(MONTH(sim.tbl[[#This Row],[SDate]])=INDEX(mthLkUp.tbl[Num],MATCH(AD$3,mthLkUp.tbl[Month],0)),1,0)</f>
        <v>0</v>
      </c>
      <c r="AE24" s="6">
        <f ca="1">IF(MONTH(sim.tbl[[#This Row],[SDate]])=INDEX(mthLkUp.tbl[Num],MATCH(AE$3,mthLkUp.tbl[Month],0)),1,0)</f>
        <v>0</v>
      </c>
      <c r="AF24" s="6">
        <f ca="1">IF(MONTH(sim.tbl[[#This Row],[SDate]])=INDEX(mthLkUp.tbl[Num],MATCH(AF$3,mthLkUp.tbl[Month],0)),1,0)</f>
        <v>0</v>
      </c>
      <c r="AG24" s="6">
        <f ca="1">IF(MONTH(sim.tbl[[#This Row],[SDate]])=INDEX(mthLkUp.tbl[Num],MATCH(AG$3,mthLkUp.tbl[Month],0)),1,0)</f>
        <v>0</v>
      </c>
      <c r="AH24" s="6">
        <f ca="1">IF(MONTH(sim.tbl[[#This Row],[SDate]])=INDEX(mthLkUp.tbl[Num],MATCH(AH$3,mthLkUp.tbl[Month],0)),1,0)</f>
        <v>0</v>
      </c>
      <c r="AI24" s="6">
        <f ca="1">IF(MONTH(sim.tbl[[#This Row],[SDate]])=INDEX(mthLkUp.tbl[Num],MATCH(AI$3,mthLkUp.tbl[Month],0)),1,0)</f>
        <v>0</v>
      </c>
      <c r="AJ24" s="6">
        <f ca="1">IF(MONTH(sim.tbl[[#This Row],[SDate]])=INDEX(mthLkUp.tbl[Num],MATCH(AJ$3,mthLkUp.tbl[Month],0)),1,0)</f>
        <v>0</v>
      </c>
      <c r="AK24" s="6">
        <v>1</v>
      </c>
      <c r="AL24" s="5">
        <f>sim.tbl[[#This Row],[Sulf]]*sim.tbl[[#This Row],[C5]]</f>
        <v>0</v>
      </c>
      <c r="AM24" s="5">
        <f>sim.tbl[[#This Row],[Sulf]]*sim.tbl[[#This Row],[Light_LSB]]</f>
        <v>0</v>
      </c>
      <c r="AN24" s="5">
        <f>sim.tbl[[#This Row],[Sulf]]*sim.tbl[[#This Row],[Light_SW]]</f>
        <v>0.221</v>
      </c>
      <c r="AO24" s="5">
        <f>sim.tbl[[#This Row],[Sulf]]*sim.tbl[[#This Row],[Medium_LSB]]</f>
        <v>0</v>
      </c>
      <c r="AP24" s="5">
        <f>sim.tbl[[#This Row],[Sulf]]*sim.tbl[[#This Row],[Medium_SW]]</f>
        <v>0</v>
      </c>
      <c r="AQ24" s="5">
        <f>sim.tbl[[#This Row],[Sulf]]*sim.tbl[[#This Row],[Midale]]</f>
        <v>0</v>
      </c>
      <c r="AR24" s="5">
        <f>sim.tbl[[#This Row],[Sulf]]*sim.tbl[[#This Row],[Heavy_Sour]]</f>
        <v>0</v>
      </c>
      <c r="AS24" s="5">
        <f>sim.tbl[[#This Row],[Sulf]]*sim.tbl[[#This Row],[Heavy_SW]]</f>
        <v>0</v>
      </c>
      <c r="AT24" s="5">
        <f>sim.tbl[[#This Row],[Dens]]*sim.tbl[[#This Row],[C5]]</f>
        <v>0</v>
      </c>
      <c r="AU24" s="5">
        <f>sim.tbl[[#This Row],[Dens]]*sim.tbl[[#This Row],[Light_LSB]]</f>
        <v>0</v>
      </c>
      <c r="AV24" s="5">
        <f>sim.tbl[[#This Row],[Dens]]*sim.tbl[[#This Row],[Light_SW]]</f>
        <v>807.7</v>
      </c>
      <c r="AW24" s="5">
        <f>sim.tbl[[#This Row],[Dens]]*sim.tbl[[#This Row],[Medium_LSB]]</f>
        <v>0</v>
      </c>
      <c r="AX24" s="5">
        <f>sim.tbl[[#This Row],[Dens]]*sim.tbl[[#This Row],[Medium_SW]]</f>
        <v>0</v>
      </c>
      <c r="AY24" s="5">
        <f>sim.tbl[[#This Row],[Dens]]*sim.tbl[[#This Row],[Midale]]</f>
        <v>0</v>
      </c>
      <c r="AZ24" s="5">
        <f>sim.tbl[[#This Row],[Dens]]*sim.tbl[[#This Row],[Heavy_Sour]]</f>
        <v>0</v>
      </c>
      <c r="BA24" s="5">
        <f>sim.tbl[[#This Row],[Dens]]*sim.tbl[[#This Row],[Heavy_SW]]</f>
        <v>0</v>
      </c>
      <c r="BB24" s="5">
        <f>sim.tbl[[#This Row],[Temp.Roll]]*sim.tbl[[#This Row],[C5]]</f>
        <v>0</v>
      </c>
      <c r="BC24" s="5">
        <f>sim.tbl[[#This Row],[Temp.Roll]]*sim.tbl[[#This Row],[Light_LSB]]</f>
        <v>0</v>
      </c>
      <c r="BD24" s="5">
        <f>sim.tbl[[#This Row],[Temp.Roll]]*sim.tbl[[#This Row],[Light_SW]]</f>
        <v>0.8</v>
      </c>
      <c r="BE24" s="5">
        <f>sim.tbl[[#This Row],[Temp.Roll]]*sim.tbl[[#This Row],[Medium_LSB]]</f>
        <v>0</v>
      </c>
      <c r="BF24" s="5">
        <f>sim.tbl[[#This Row],[Temp.Roll]]*sim.tbl[[#This Row],[Medium_SW]]</f>
        <v>0</v>
      </c>
      <c r="BG24" s="5">
        <f>sim.tbl[[#This Row],[Temp.Roll]]*sim.tbl[[#This Row],[Midale]]</f>
        <v>0</v>
      </c>
      <c r="BH24" s="5">
        <f>sim.tbl[[#This Row],[Temp.Roll]]*sim.tbl[[#This Row],[Heavy_Sour]]</f>
        <v>0</v>
      </c>
      <c r="BI24" s="5">
        <f>sim.tbl[[#This Row],[Temp.Roll]]*sim.tbl[[#This Row],[Heavy_SW]]</f>
        <v>0</v>
      </c>
    </row>
    <row r="25" spans="4:61" x14ac:dyDescent="0.25">
      <c r="D25" s="5">
        <f ca="1">SUMPRODUCT($F$1:$BI$1,sim.tbl[[#This Row],[Intercept]:[Temp.Roll:Heavy_SW]])</f>
        <v>96.920214329144912</v>
      </c>
      <c r="E25" s="14">
        <f ca="1">DATE(YEAR(TODAY()),INDEX(mthLkUp.tbl[Num],MATCH(mth.input,mthLkUp.tbl[Month],0)),1)</f>
        <v>42795</v>
      </c>
      <c r="F25" s="6">
        <f>1</f>
        <v>1</v>
      </c>
      <c r="G25" s="5">
        <v>0.51</v>
      </c>
      <c r="H25" s="5">
        <v>816.6</v>
      </c>
      <c r="I25" s="5">
        <v>-20.716666669999999</v>
      </c>
      <c r="J25" s="5">
        <v>-19.399999999999999</v>
      </c>
      <c r="K25" s="5">
        <v>-21.2</v>
      </c>
      <c r="L25" s="5">
        <v>-19.399999999999999</v>
      </c>
      <c r="M25" s="5">
        <v>-21.8</v>
      </c>
      <c r="N25" s="5">
        <v>-19.3</v>
      </c>
      <c r="O25" s="5">
        <v>-21.1</v>
      </c>
      <c r="P25" s="5">
        <v>-21.5</v>
      </c>
      <c r="Q25" s="6">
        <f>IF(sim.tbl[[#This Row],[Dens]]&lt;=770,1,0)</f>
        <v>0</v>
      </c>
      <c r="R25" s="6">
        <f>IF(AND(sim.tbl[[#This Row],[Sulf]]&gt;0.5,sim.tbl[[#This Row],[Dens]]&gt;770,sim.tbl[[#This Row],[Dens]]&lt;=825),1,0)</f>
        <v>1</v>
      </c>
      <c r="S25" s="6">
        <f>IF(AND(sim.tbl[[#This Row],[Sulf]]&lt;=0.5,sim.tbl[[#This Row],[Dens]]&gt;770,sim.tbl[[#This Row],[Dens]]&lt;=825),1,0)</f>
        <v>0</v>
      </c>
      <c r="T25" s="6">
        <f>IF(AND(sim.tbl[[#This Row],[Sulf]]&gt;0.5,sim.tbl[[#This Row],[Dens]]&gt;825,sim.tbl[[#This Row],[Dens]]&lt;=870),1,0)</f>
        <v>0</v>
      </c>
      <c r="U25" s="6">
        <f>IF(AND(sim.tbl[[#This Row],[Sulf]]&lt;0.5,sim.tbl[[#This Row],[Dens]]&gt;825,sim.tbl[[#This Row],[Dens]]&lt;=900),1,0)</f>
        <v>0</v>
      </c>
      <c r="V25" s="6">
        <f>IF(AND(sim.tbl[[#This Row],[Sulf]]&gt;0.5,sim.tbl[[#This Row],[Dens]]&gt;870,sim.tbl[[#This Row],[Dens]]&lt;=900),1,0)</f>
        <v>0</v>
      </c>
      <c r="W25" s="6">
        <f>IF(AND(sim.tbl[[#This Row],[Sulf]]&gt;0.5,sim.tbl[[#This Row],[Dens]]&gt;900),1,0)</f>
        <v>0</v>
      </c>
      <c r="X25" s="6">
        <f>IF(AND(sim.tbl[[#This Row],[Sulf]]&lt;=0.5,sim.tbl[[#This Row],[Dens]]&gt;900),1,0)</f>
        <v>0</v>
      </c>
      <c r="Y25" s="6">
        <f ca="1">IF(MONTH(sim.tbl[[#This Row],[SDate]])=INDEX(mthLkUp.tbl[Num],MATCH(Y$3,mthLkUp.tbl[Month],0)),1,0)</f>
        <v>0</v>
      </c>
      <c r="Z25" s="6">
        <f ca="1">IF(MONTH(sim.tbl[[#This Row],[SDate]])=INDEX(mthLkUp.tbl[Num],MATCH(Z$3,mthLkUp.tbl[Month],0)),1,0)</f>
        <v>0</v>
      </c>
      <c r="AA25" s="6">
        <f ca="1">IF(MONTH(sim.tbl[[#This Row],[SDate]])=INDEX(mthLkUp.tbl[Num],MATCH(AA$3,mthLkUp.tbl[Month],0)),1,0)</f>
        <v>1</v>
      </c>
      <c r="AB25" s="6">
        <f ca="1">IF(MONTH(sim.tbl[[#This Row],[SDate]])=INDEX(mthLkUp.tbl[Num],MATCH(AB$3,mthLkUp.tbl[Month],0)),1,0)</f>
        <v>0</v>
      </c>
      <c r="AC25" s="6">
        <f ca="1">IF(MONTH(sim.tbl[[#This Row],[SDate]])=INDEX(mthLkUp.tbl[Num],MATCH(AC$3,mthLkUp.tbl[Month],0)),1,0)</f>
        <v>0</v>
      </c>
      <c r="AD25" s="6">
        <f ca="1">IF(MONTH(sim.tbl[[#This Row],[SDate]])=INDEX(mthLkUp.tbl[Num],MATCH(AD$3,mthLkUp.tbl[Month],0)),1,0)</f>
        <v>0</v>
      </c>
      <c r="AE25" s="6">
        <f ca="1">IF(MONTH(sim.tbl[[#This Row],[SDate]])=INDEX(mthLkUp.tbl[Num],MATCH(AE$3,mthLkUp.tbl[Month],0)),1,0)</f>
        <v>0</v>
      </c>
      <c r="AF25" s="6">
        <f ca="1">IF(MONTH(sim.tbl[[#This Row],[SDate]])=INDEX(mthLkUp.tbl[Num],MATCH(AF$3,mthLkUp.tbl[Month],0)),1,0)</f>
        <v>0</v>
      </c>
      <c r="AG25" s="6">
        <f ca="1">IF(MONTH(sim.tbl[[#This Row],[SDate]])=INDEX(mthLkUp.tbl[Num],MATCH(AG$3,mthLkUp.tbl[Month],0)),1,0)</f>
        <v>0</v>
      </c>
      <c r="AH25" s="6">
        <f ca="1">IF(MONTH(sim.tbl[[#This Row],[SDate]])=INDEX(mthLkUp.tbl[Num],MATCH(AH$3,mthLkUp.tbl[Month],0)),1,0)</f>
        <v>0</v>
      </c>
      <c r="AI25" s="6">
        <f ca="1">IF(MONTH(sim.tbl[[#This Row],[SDate]])=INDEX(mthLkUp.tbl[Num],MATCH(AI$3,mthLkUp.tbl[Month],0)),1,0)</f>
        <v>0</v>
      </c>
      <c r="AJ25" s="6">
        <f ca="1">IF(MONTH(sim.tbl[[#This Row],[SDate]])=INDEX(mthLkUp.tbl[Num],MATCH(AJ$3,mthLkUp.tbl[Month],0)),1,0)</f>
        <v>0</v>
      </c>
      <c r="AK25" s="6">
        <v>1</v>
      </c>
      <c r="AL25" s="5">
        <f>sim.tbl[[#This Row],[Sulf]]*sim.tbl[[#This Row],[C5]]</f>
        <v>0</v>
      </c>
      <c r="AM25" s="5">
        <f>sim.tbl[[#This Row],[Sulf]]*sim.tbl[[#This Row],[Light_LSB]]</f>
        <v>0.51</v>
      </c>
      <c r="AN25" s="5">
        <f>sim.tbl[[#This Row],[Sulf]]*sim.tbl[[#This Row],[Light_SW]]</f>
        <v>0</v>
      </c>
      <c r="AO25" s="5">
        <f>sim.tbl[[#This Row],[Sulf]]*sim.tbl[[#This Row],[Medium_LSB]]</f>
        <v>0</v>
      </c>
      <c r="AP25" s="5">
        <f>sim.tbl[[#This Row],[Sulf]]*sim.tbl[[#This Row],[Medium_SW]]</f>
        <v>0</v>
      </c>
      <c r="AQ25" s="5">
        <f>sim.tbl[[#This Row],[Sulf]]*sim.tbl[[#This Row],[Midale]]</f>
        <v>0</v>
      </c>
      <c r="AR25" s="5">
        <f>sim.tbl[[#This Row],[Sulf]]*sim.tbl[[#This Row],[Heavy_Sour]]</f>
        <v>0</v>
      </c>
      <c r="AS25" s="5">
        <f>sim.tbl[[#This Row],[Sulf]]*sim.tbl[[#This Row],[Heavy_SW]]</f>
        <v>0</v>
      </c>
      <c r="AT25" s="5">
        <f>sim.tbl[[#This Row],[Dens]]*sim.tbl[[#This Row],[C5]]</f>
        <v>0</v>
      </c>
      <c r="AU25" s="5">
        <f>sim.tbl[[#This Row],[Dens]]*sim.tbl[[#This Row],[Light_LSB]]</f>
        <v>816.6</v>
      </c>
      <c r="AV25" s="5">
        <f>sim.tbl[[#This Row],[Dens]]*sim.tbl[[#This Row],[Light_SW]]</f>
        <v>0</v>
      </c>
      <c r="AW25" s="5">
        <f>sim.tbl[[#This Row],[Dens]]*sim.tbl[[#This Row],[Medium_LSB]]</f>
        <v>0</v>
      </c>
      <c r="AX25" s="5">
        <f>sim.tbl[[#This Row],[Dens]]*sim.tbl[[#This Row],[Medium_SW]]</f>
        <v>0</v>
      </c>
      <c r="AY25" s="5">
        <f>sim.tbl[[#This Row],[Dens]]*sim.tbl[[#This Row],[Midale]]</f>
        <v>0</v>
      </c>
      <c r="AZ25" s="5">
        <f>sim.tbl[[#This Row],[Dens]]*sim.tbl[[#This Row],[Heavy_Sour]]</f>
        <v>0</v>
      </c>
      <c r="BA25" s="5">
        <f>sim.tbl[[#This Row],[Dens]]*sim.tbl[[#This Row],[Heavy_SW]]</f>
        <v>0</v>
      </c>
      <c r="BB25" s="5">
        <f>sim.tbl[[#This Row],[Temp.Roll]]*sim.tbl[[#This Row],[C5]]</f>
        <v>0</v>
      </c>
      <c r="BC25" s="5">
        <f>sim.tbl[[#This Row],[Temp.Roll]]*sim.tbl[[#This Row],[Light_LSB]]</f>
        <v>-19.399999999999999</v>
      </c>
      <c r="BD25" s="5">
        <f>sim.tbl[[#This Row],[Temp.Roll]]*sim.tbl[[#This Row],[Light_SW]]</f>
        <v>0</v>
      </c>
      <c r="BE25" s="5">
        <f>sim.tbl[[#This Row],[Temp.Roll]]*sim.tbl[[#This Row],[Medium_LSB]]</f>
        <v>0</v>
      </c>
      <c r="BF25" s="5">
        <f>sim.tbl[[#This Row],[Temp.Roll]]*sim.tbl[[#This Row],[Medium_SW]]</f>
        <v>0</v>
      </c>
      <c r="BG25" s="5">
        <f>sim.tbl[[#This Row],[Temp.Roll]]*sim.tbl[[#This Row],[Midale]]</f>
        <v>0</v>
      </c>
      <c r="BH25" s="5">
        <f>sim.tbl[[#This Row],[Temp.Roll]]*sim.tbl[[#This Row],[Heavy_Sour]]</f>
        <v>0</v>
      </c>
      <c r="BI25" s="5">
        <f>sim.tbl[[#This Row],[Temp.Roll]]*sim.tbl[[#This Row],[Heavy_SW]]</f>
        <v>0</v>
      </c>
    </row>
    <row r="26" spans="4:61" x14ac:dyDescent="0.25">
      <c r="D26" s="5">
        <f ca="1">SUMPRODUCT($F$1:$BI$1,sim.tbl[[#This Row],[Intercept]:[Temp.Roll:Heavy_SW]])</f>
        <v>79.562167108151641</v>
      </c>
      <c r="E26" s="14">
        <f ca="1">DATE(YEAR(TODAY()),INDEX(mthLkUp.tbl[Num],MATCH(mth.input,mthLkUp.tbl[Month],0)),1)</f>
        <v>42795</v>
      </c>
      <c r="F26" s="6">
        <f>1</f>
        <v>1</v>
      </c>
      <c r="G26" s="5">
        <v>1.31</v>
      </c>
      <c r="H26" s="5">
        <v>835.9</v>
      </c>
      <c r="I26" s="5">
        <v>1.04</v>
      </c>
      <c r="J26" s="5">
        <v>1.5</v>
      </c>
      <c r="K26" s="5">
        <v>1.8</v>
      </c>
      <c r="L26" s="5">
        <v>1.5</v>
      </c>
      <c r="M26" s="5">
        <v>3</v>
      </c>
      <c r="N26" s="5">
        <v>1.3</v>
      </c>
      <c r="O26" s="5">
        <v>0.4</v>
      </c>
      <c r="P26" s="5">
        <v>0.2</v>
      </c>
      <c r="Q26" s="6">
        <f>IF(sim.tbl[[#This Row],[Dens]]&lt;=770,1,0)</f>
        <v>0</v>
      </c>
      <c r="R26" s="6">
        <f>IF(AND(sim.tbl[[#This Row],[Sulf]]&gt;0.5,sim.tbl[[#This Row],[Dens]]&gt;770,sim.tbl[[#This Row],[Dens]]&lt;=825),1,0)</f>
        <v>0</v>
      </c>
      <c r="S26" s="6">
        <f>IF(AND(sim.tbl[[#This Row],[Sulf]]&lt;=0.5,sim.tbl[[#This Row],[Dens]]&gt;770,sim.tbl[[#This Row],[Dens]]&lt;=825),1,0)</f>
        <v>0</v>
      </c>
      <c r="T26" s="6">
        <f>IF(AND(sim.tbl[[#This Row],[Sulf]]&gt;0.5,sim.tbl[[#This Row],[Dens]]&gt;825,sim.tbl[[#This Row],[Dens]]&lt;=870),1,0)</f>
        <v>1</v>
      </c>
      <c r="U26" s="6">
        <f>IF(AND(sim.tbl[[#This Row],[Sulf]]&lt;0.5,sim.tbl[[#This Row],[Dens]]&gt;825,sim.tbl[[#This Row],[Dens]]&lt;=900),1,0)</f>
        <v>0</v>
      </c>
      <c r="V26" s="6">
        <f>IF(AND(sim.tbl[[#This Row],[Sulf]]&gt;0.5,sim.tbl[[#This Row],[Dens]]&gt;870,sim.tbl[[#This Row],[Dens]]&lt;=900),1,0)</f>
        <v>0</v>
      </c>
      <c r="W26" s="6">
        <f>IF(AND(sim.tbl[[#This Row],[Sulf]]&gt;0.5,sim.tbl[[#This Row],[Dens]]&gt;900),1,0)</f>
        <v>0</v>
      </c>
      <c r="X26" s="6">
        <f>IF(AND(sim.tbl[[#This Row],[Sulf]]&lt;=0.5,sim.tbl[[#This Row],[Dens]]&gt;900),1,0)</f>
        <v>0</v>
      </c>
      <c r="Y26" s="6">
        <f ca="1">IF(MONTH(sim.tbl[[#This Row],[SDate]])=INDEX(mthLkUp.tbl[Num],MATCH(Y$3,mthLkUp.tbl[Month],0)),1,0)</f>
        <v>0</v>
      </c>
      <c r="Z26" s="6">
        <f ca="1">IF(MONTH(sim.tbl[[#This Row],[SDate]])=INDEX(mthLkUp.tbl[Num],MATCH(Z$3,mthLkUp.tbl[Month],0)),1,0)</f>
        <v>0</v>
      </c>
      <c r="AA26" s="6">
        <f ca="1">IF(MONTH(sim.tbl[[#This Row],[SDate]])=INDEX(mthLkUp.tbl[Num],MATCH(AA$3,mthLkUp.tbl[Month],0)),1,0)</f>
        <v>1</v>
      </c>
      <c r="AB26" s="6">
        <f ca="1">IF(MONTH(sim.tbl[[#This Row],[SDate]])=INDEX(mthLkUp.tbl[Num],MATCH(AB$3,mthLkUp.tbl[Month],0)),1,0)</f>
        <v>0</v>
      </c>
      <c r="AC26" s="6">
        <f ca="1">IF(MONTH(sim.tbl[[#This Row],[SDate]])=INDEX(mthLkUp.tbl[Num],MATCH(AC$3,mthLkUp.tbl[Month],0)),1,0)</f>
        <v>0</v>
      </c>
      <c r="AD26" s="6">
        <f ca="1">IF(MONTH(sim.tbl[[#This Row],[SDate]])=INDEX(mthLkUp.tbl[Num],MATCH(AD$3,mthLkUp.tbl[Month],0)),1,0)</f>
        <v>0</v>
      </c>
      <c r="AE26" s="6">
        <f ca="1">IF(MONTH(sim.tbl[[#This Row],[SDate]])=INDEX(mthLkUp.tbl[Num],MATCH(AE$3,mthLkUp.tbl[Month],0)),1,0)</f>
        <v>0</v>
      </c>
      <c r="AF26" s="6">
        <f ca="1">IF(MONTH(sim.tbl[[#This Row],[SDate]])=INDEX(mthLkUp.tbl[Num],MATCH(AF$3,mthLkUp.tbl[Month],0)),1,0)</f>
        <v>0</v>
      </c>
      <c r="AG26" s="6">
        <f ca="1">IF(MONTH(sim.tbl[[#This Row],[SDate]])=INDEX(mthLkUp.tbl[Num],MATCH(AG$3,mthLkUp.tbl[Month],0)),1,0)</f>
        <v>0</v>
      </c>
      <c r="AH26" s="6">
        <f ca="1">IF(MONTH(sim.tbl[[#This Row],[SDate]])=INDEX(mthLkUp.tbl[Num],MATCH(AH$3,mthLkUp.tbl[Month],0)),1,0)</f>
        <v>0</v>
      </c>
      <c r="AI26" s="6">
        <f ca="1">IF(MONTH(sim.tbl[[#This Row],[SDate]])=INDEX(mthLkUp.tbl[Num],MATCH(AI$3,mthLkUp.tbl[Month],0)),1,0)</f>
        <v>0</v>
      </c>
      <c r="AJ26" s="6">
        <f ca="1">IF(MONTH(sim.tbl[[#This Row],[SDate]])=INDEX(mthLkUp.tbl[Num],MATCH(AJ$3,mthLkUp.tbl[Month],0)),1,0)</f>
        <v>0</v>
      </c>
      <c r="AK26" s="6">
        <v>1</v>
      </c>
      <c r="AL26" s="5">
        <f>sim.tbl[[#This Row],[Sulf]]*sim.tbl[[#This Row],[C5]]</f>
        <v>0</v>
      </c>
      <c r="AM26" s="5">
        <f>sim.tbl[[#This Row],[Sulf]]*sim.tbl[[#This Row],[Light_LSB]]</f>
        <v>0</v>
      </c>
      <c r="AN26" s="5">
        <f>sim.tbl[[#This Row],[Sulf]]*sim.tbl[[#This Row],[Light_SW]]</f>
        <v>0</v>
      </c>
      <c r="AO26" s="5">
        <f>sim.tbl[[#This Row],[Sulf]]*sim.tbl[[#This Row],[Medium_LSB]]</f>
        <v>1.31</v>
      </c>
      <c r="AP26" s="5">
        <f>sim.tbl[[#This Row],[Sulf]]*sim.tbl[[#This Row],[Medium_SW]]</f>
        <v>0</v>
      </c>
      <c r="AQ26" s="5">
        <f>sim.tbl[[#This Row],[Sulf]]*sim.tbl[[#This Row],[Midale]]</f>
        <v>0</v>
      </c>
      <c r="AR26" s="5">
        <f>sim.tbl[[#This Row],[Sulf]]*sim.tbl[[#This Row],[Heavy_Sour]]</f>
        <v>0</v>
      </c>
      <c r="AS26" s="5">
        <f>sim.tbl[[#This Row],[Sulf]]*sim.tbl[[#This Row],[Heavy_SW]]</f>
        <v>0</v>
      </c>
      <c r="AT26" s="5">
        <f>sim.tbl[[#This Row],[Dens]]*sim.tbl[[#This Row],[C5]]</f>
        <v>0</v>
      </c>
      <c r="AU26" s="5">
        <f>sim.tbl[[#This Row],[Dens]]*sim.tbl[[#This Row],[Light_LSB]]</f>
        <v>0</v>
      </c>
      <c r="AV26" s="5">
        <f>sim.tbl[[#This Row],[Dens]]*sim.tbl[[#This Row],[Light_SW]]</f>
        <v>0</v>
      </c>
      <c r="AW26" s="5">
        <f>sim.tbl[[#This Row],[Dens]]*sim.tbl[[#This Row],[Medium_LSB]]</f>
        <v>835.9</v>
      </c>
      <c r="AX26" s="5">
        <f>sim.tbl[[#This Row],[Dens]]*sim.tbl[[#This Row],[Medium_SW]]</f>
        <v>0</v>
      </c>
      <c r="AY26" s="5">
        <f>sim.tbl[[#This Row],[Dens]]*sim.tbl[[#This Row],[Midale]]</f>
        <v>0</v>
      </c>
      <c r="AZ26" s="5">
        <f>sim.tbl[[#This Row],[Dens]]*sim.tbl[[#This Row],[Heavy_Sour]]</f>
        <v>0</v>
      </c>
      <c r="BA26" s="5">
        <f>sim.tbl[[#This Row],[Dens]]*sim.tbl[[#This Row],[Heavy_SW]]</f>
        <v>0</v>
      </c>
      <c r="BB26" s="5">
        <f>sim.tbl[[#This Row],[Temp.Roll]]*sim.tbl[[#This Row],[C5]]</f>
        <v>0</v>
      </c>
      <c r="BC26" s="5">
        <f>sim.tbl[[#This Row],[Temp.Roll]]*sim.tbl[[#This Row],[Light_LSB]]</f>
        <v>0</v>
      </c>
      <c r="BD26" s="5">
        <f>sim.tbl[[#This Row],[Temp.Roll]]*sim.tbl[[#This Row],[Light_SW]]</f>
        <v>0</v>
      </c>
      <c r="BE26" s="5">
        <f>sim.tbl[[#This Row],[Temp.Roll]]*sim.tbl[[#This Row],[Medium_LSB]]</f>
        <v>1.5</v>
      </c>
      <c r="BF26" s="5">
        <f>sim.tbl[[#This Row],[Temp.Roll]]*sim.tbl[[#This Row],[Medium_SW]]</f>
        <v>0</v>
      </c>
      <c r="BG26" s="5">
        <f>sim.tbl[[#This Row],[Temp.Roll]]*sim.tbl[[#This Row],[Midale]]</f>
        <v>0</v>
      </c>
      <c r="BH26" s="5">
        <f>sim.tbl[[#This Row],[Temp.Roll]]*sim.tbl[[#This Row],[Heavy_Sour]]</f>
        <v>0</v>
      </c>
      <c r="BI26" s="5">
        <f>sim.tbl[[#This Row],[Temp.Roll]]*sim.tbl[[#This Row],[Heavy_SW]]</f>
        <v>0</v>
      </c>
    </row>
    <row r="27" spans="4:61" x14ac:dyDescent="0.25">
      <c r="D27" s="5">
        <f ca="1">SUMPRODUCT($F$1:$BI$1,sim.tbl[[#This Row],[Intercept]:[Temp.Roll:Heavy_SW]])</f>
        <v>75.41413715103505</v>
      </c>
      <c r="E27" s="14">
        <f ca="1">DATE(YEAR(TODAY()),INDEX(mthLkUp.tbl[Num],MATCH(mth.input,mthLkUp.tbl[Month],0)),1)</f>
        <v>42795</v>
      </c>
      <c r="F27" s="6">
        <f>1</f>
        <v>1</v>
      </c>
      <c r="G27" s="5">
        <v>1.63</v>
      </c>
      <c r="H27" s="5">
        <v>845.9</v>
      </c>
      <c r="I27" s="5">
        <v>3.9666666670000001</v>
      </c>
      <c r="J27" s="5">
        <v>4.7</v>
      </c>
      <c r="K27" s="5">
        <v>4.8</v>
      </c>
      <c r="L27" s="5">
        <v>4.7</v>
      </c>
      <c r="M27" s="5">
        <v>3</v>
      </c>
      <c r="N27" s="5">
        <v>4</v>
      </c>
      <c r="O27" s="5">
        <v>5</v>
      </c>
      <c r="P27" s="5">
        <v>2.2999999999999998</v>
      </c>
      <c r="Q27" s="6">
        <f>IF(sim.tbl[[#This Row],[Dens]]&lt;=770,1,0)</f>
        <v>0</v>
      </c>
      <c r="R27" s="6">
        <f>IF(AND(sim.tbl[[#This Row],[Sulf]]&gt;0.5,sim.tbl[[#This Row],[Dens]]&gt;770,sim.tbl[[#This Row],[Dens]]&lt;=825),1,0)</f>
        <v>0</v>
      </c>
      <c r="S27" s="6">
        <f>IF(AND(sim.tbl[[#This Row],[Sulf]]&lt;=0.5,sim.tbl[[#This Row],[Dens]]&gt;770,sim.tbl[[#This Row],[Dens]]&lt;=825),1,0)</f>
        <v>0</v>
      </c>
      <c r="T27" s="6">
        <f>IF(AND(sim.tbl[[#This Row],[Sulf]]&gt;0.5,sim.tbl[[#This Row],[Dens]]&gt;825,sim.tbl[[#This Row],[Dens]]&lt;=870),1,0)</f>
        <v>1</v>
      </c>
      <c r="U27" s="6">
        <f>IF(AND(sim.tbl[[#This Row],[Sulf]]&lt;0.5,sim.tbl[[#This Row],[Dens]]&gt;825,sim.tbl[[#This Row],[Dens]]&lt;=900),1,0)</f>
        <v>0</v>
      </c>
      <c r="V27" s="6">
        <f>IF(AND(sim.tbl[[#This Row],[Sulf]]&gt;0.5,sim.tbl[[#This Row],[Dens]]&gt;870,sim.tbl[[#This Row],[Dens]]&lt;=900),1,0)</f>
        <v>0</v>
      </c>
      <c r="W27" s="6">
        <f>IF(AND(sim.tbl[[#This Row],[Sulf]]&gt;0.5,sim.tbl[[#This Row],[Dens]]&gt;900),1,0)</f>
        <v>0</v>
      </c>
      <c r="X27" s="6">
        <f>IF(AND(sim.tbl[[#This Row],[Sulf]]&lt;=0.5,sim.tbl[[#This Row],[Dens]]&gt;900),1,0)</f>
        <v>0</v>
      </c>
      <c r="Y27" s="6">
        <f ca="1">IF(MONTH(sim.tbl[[#This Row],[SDate]])=INDEX(mthLkUp.tbl[Num],MATCH(Y$3,mthLkUp.tbl[Month],0)),1,0)</f>
        <v>0</v>
      </c>
      <c r="Z27" s="6">
        <f ca="1">IF(MONTH(sim.tbl[[#This Row],[SDate]])=INDEX(mthLkUp.tbl[Num],MATCH(Z$3,mthLkUp.tbl[Month],0)),1,0)</f>
        <v>0</v>
      </c>
      <c r="AA27" s="6">
        <f ca="1">IF(MONTH(sim.tbl[[#This Row],[SDate]])=INDEX(mthLkUp.tbl[Num],MATCH(AA$3,mthLkUp.tbl[Month],0)),1,0)</f>
        <v>1</v>
      </c>
      <c r="AB27" s="6">
        <f ca="1">IF(MONTH(sim.tbl[[#This Row],[SDate]])=INDEX(mthLkUp.tbl[Num],MATCH(AB$3,mthLkUp.tbl[Month],0)),1,0)</f>
        <v>0</v>
      </c>
      <c r="AC27" s="6">
        <f ca="1">IF(MONTH(sim.tbl[[#This Row],[SDate]])=INDEX(mthLkUp.tbl[Num],MATCH(AC$3,mthLkUp.tbl[Month],0)),1,0)</f>
        <v>0</v>
      </c>
      <c r="AD27" s="6">
        <f ca="1">IF(MONTH(sim.tbl[[#This Row],[SDate]])=INDEX(mthLkUp.tbl[Num],MATCH(AD$3,mthLkUp.tbl[Month],0)),1,0)</f>
        <v>0</v>
      </c>
      <c r="AE27" s="6">
        <f ca="1">IF(MONTH(sim.tbl[[#This Row],[SDate]])=INDEX(mthLkUp.tbl[Num],MATCH(AE$3,mthLkUp.tbl[Month],0)),1,0)</f>
        <v>0</v>
      </c>
      <c r="AF27" s="6">
        <f ca="1">IF(MONTH(sim.tbl[[#This Row],[SDate]])=INDEX(mthLkUp.tbl[Num],MATCH(AF$3,mthLkUp.tbl[Month],0)),1,0)</f>
        <v>0</v>
      </c>
      <c r="AG27" s="6">
        <f ca="1">IF(MONTH(sim.tbl[[#This Row],[SDate]])=INDEX(mthLkUp.tbl[Num],MATCH(AG$3,mthLkUp.tbl[Month],0)),1,0)</f>
        <v>0</v>
      </c>
      <c r="AH27" s="6">
        <f ca="1">IF(MONTH(sim.tbl[[#This Row],[SDate]])=INDEX(mthLkUp.tbl[Num],MATCH(AH$3,mthLkUp.tbl[Month],0)),1,0)</f>
        <v>0</v>
      </c>
      <c r="AI27" s="6">
        <f ca="1">IF(MONTH(sim.tbl[[#This Row],[SDate]])=INDEX(mthLkUp.tbl[Num],MATCH(AI$3,mthLkUp.tbl[Month],0)),1,0)</f>
        <v>0</v>
      </c>
      <c r="AJ27" s="6">
        <f ca="1">IF(MONTH(sim.tbl[[#This Row],[SDate]])=INDEX(mthLkUp.tbl[Num],MATCH(AJ$3,mthLkUp.tbl[Month],0)),1,0)</f>
        <v>0</v>
      </c>
      <c r="AK27" s="6">
        <v>1</v>
      </c>
      <c r="AL27" s="5">
        <f>sim.tbl[[#This Row],[Sulf]]*sim.tbl[[#This Row],[C5]]</f>
        <v>0</v>
      </c>
      <c r="AM27" s="5">
        <f>sim.tbl[[#This Row],[Sulf]]*sim.tbl[[#This Row],[Light_LSB]]</f>
        <v>0</v>
      </c>
      <c r="AN27" s="5">
        <f>sim.tbl[[#This Row],[Sulf]]*sim.tbl[[#This Row],[Light_SW]]</f>
        <v>0</v>
      </c>
      <c r="AO27" s="5">
        <f>sim.tbl[[#This Row],[Sulf]]*sim.tbl[[#This Row],[Medium_LSB]]</f>
        <v>1.63</v>
      </c>
      <c r="AP27" s="5">
        <f>sim.tbl[[#This Row],[Sulf]]*sim.tbl[[#This Row],[Medium_SW]]</f>
        <v>0</v>
      </c>
      <c r="AQ27" s="5">
        <f>sim.tbl[[#This Row],[Sulf]]*sim.tbl[[#This Row],[Midale]]</f>
        <v>0</v>
      </c>
      <c r="AR27" s="5">
        <f>sim.tbl[[#This Row],[Sulf]]*sim.tbl[[#This Row],[Heavy_Sour]]</f>
        <v>0</v>
      </c>
      <c r="AS27" s="5">
        <f>sim.tbl[[#This Row],[Sulf]]*sim.tbl[[#This Row],[Heavy_SW]]</f>
        <v>0</v>
      </c>
      <c r="AT27" s="5">
        <f>sim.tbl[[#This Row],[Dens]]*sim.tbl[[#This Row],[C5]]</f>
        <v>0</v>
      </c>
      <c r="AU27" s="5">
        <f>sim.tbl[[#This Row],[Dens]]*sim.tbl[[#This Row],[Light_LSB]]</f>
        <v>0</v>
      </c>
      <c r="AV27" s="5">
        <f>sim.tbl[[#This Row],[Dens]]*sim.tbl[[#This Row],[Light_SW]]</f>
        <v>0</v>
      </c>
      <c r="AW27" s="5">
        <f>sim.tbl[[#This Row],[Dens]]*sim.tbl[[#This Row],[Medium_LSB]]</f>
        <v>845.9</v>
      </c>
      <c r="AX27" s="5">
        <f>sim.tbl[[#This Row],[Dens]]*sim.tbl[[#This Row],[Medium_SW]]</f>
        <v>0</v>
      </c>
      <c r="AY27" s="5">
        <f>sim.tbl[[#This Row],[Dens]]*sim.tbl[[#This Row],[Midale]]</f>
        <v>0</v>
      </c>
      <c r="AZ27" s="5">
        <f>sim.tbl[[#This Row],[Dens]]*sim.tbl[[#This Row],[Heavy_Sour]]</f>
        <v>0</v>
      </c>
      <c r="BA27" s="5">
        <f>sim.tbl[[#This Row],[Dens]]*sim.tbl[[#This Row],[Heavy_SW]]</f>
        <v>0</v>
      </c>
      <c r="BB27" s="5">
        <f>sim.tbl[[#This Row],[Temp.Roll]]*sim.tbl[[#This Row],[C5]]</f>
        <v>0</v>
      </c>
      <c r="BC27" s="5">
        <f>sim.tbl[[#This Row],[Temp.Roll]]*sim.tbl[[#This Row],[Light_LSB]]</f>
        <v>0</v>
      </c>
      <c r="BD27" s="5">
        <f>sim.tbl[[#This Row],[Temp.Roll]]*sim.tbl[[#This Row],[Light_SW]]</f>
        <v>0</v>
      </c>
      <c r="BE27" s="5">
        <f>sim.tbl[[#This Row],[Temp.Roll]]*sim.tbl[[#This Row],[Medium_LSB]]</f>
        <v>4.7</v>
      </c>
      <c r="BF27" s="5">
        <f>sim.tbl[[#This Row],[Temp.Roll]]*sim.tbl[[#This Row],[Medium_SW]]</f>
        <v>0</v>
      </c>
      <c r="BG27" s="5">
        <f>sim.tbl[[#This Row],[Temp.Roll]]*sim.tbl[[#This Row],[Midale]]</f>
        <v>0</v>
      </c>
      <c r="BH27" s="5">
        <f>sim.tbl[[#This Row],[Temp.Roll]]*sim.tbl[[#This Row],[Heavy_Sour]]</f>
        <v>0</v>
      </c>
      <c r="BI27" s="5">
        <f>sim.tbl[[#This Row],[Temp.Roll]]*sim.tbl[[#This Row],[Heavy_SW]]</f>
        <v>0</v>
      </c>
    </row>
    <row r="28" spans="4:61" x14ac:dyDescent="0.25">
      <c r="D28" s="5">
        <f ca="1">SUMPRODUCT($F$1:$BI$1,sim.tbl[[#This Row],[Intercept]:[Temp.Roll:Heavy_SW]])</f>
        <v>78.555456948206029</v>
      </c>
      <c r="E28" s="14">
        <f ca="1">DATE(YEAR(TODAY()),INDEX(mthLkUp.tbl[Num],MATCH(mth.input,mthLkUp.tbl[Month],0)),1)</f>
        <v>42795</v>
      </c>
      <c r="F28" s="6">
        <f>1</f>
        <v>1</v>
      </c>
      <c r="G28" s="5">
        <v>1.7</v>
      </c>
      <c r="H28" s="5">
        <v>849.1</v>
      </c>
      <c r="I28" s="5">
        <v>-9.2166666670000001</v>
      </c>
      <c r="J28" s="5">
        <v>-6.7</v>
      </c>
      <c r="K28" s="5">
        <v>-8</v>
      </c>
      <c r="L28" s="5">
        <v>-6.7</v>
      </c>
      <c r="M28" s="5">
        <v>-11.8</v>
      </c>
      <c r="N28" s="5">
        <v>-5</v>
      </c>
      <c r="O28" s="5">
        <v>-12.5</v>
      </c>
      <c r="P28" s="5">
        <v>-11.3</v>
      </c>
      <c r="Q28" s="6">
        <f>IF(sim.tbl[[#This Row],[Dens]]&lt;=770,1,0)</f>
        <v>0</v>
      </c>
      <c r="R28" s="6">
        <f>IF(AND(sim.tbl[[#This Row],[Sulf]]&gt;0.5,sim.tbl[[#This Row],[Dens]]&gt;770,sim.tbl[[#This Row],[Dens]]&lt;=825),1,0)</f>
        <v>0</v>
      </c>
      <c r="S28" s="6">
        <f>IF(AND(sim.tbl[[#This Row],[Sulf]]&lt;=0.5,sim.tbl[[#This Row],[Dens]]&gt;770,sim.tbl[[#This Row],[Dens]]&lt;=825),1,0)</f>
        <v>0</v>
      </c>
      <c r="T28" s="6">
        <f>IF(AND(sim.tbl[[#This Row],[Sulf]]&gt;0.5,sim.tbl[[#This Row],[Dens]]&gt;825,sim.tbl[[#This Row],[Dens]]&lt;=870),1,0)</f>
        <v>1</v>
      </c>
      <c r="U28" s="6">
        <f>IF(AND(sim.tbl[[#This Row],[Sulf]]&lt;0.5,sim.tbl[[#This Row],[Dens]]&gt;825,sim.tbl[[#This Row],[Dens]]&lt;=900),1,0)</f>
        <v>0</v>
      </c>
      <c r="V28" s="6">
        <f>IF(AND(sim.tbl[[#This Row],[Sulf]]&gt;0.5,sim.tbl[[#This Row],[Dens]]&gt;870,sim.tbl[[#This Row],[Dens]]&lt;=900),1,0)</f>
        <v>0</v>
      </c>
      <c r="W28" s="6">
        <f>IF(AND(sim.tbl[[#This Row],[Sulf]]&gt;0.5,sim.tbl[[#This Row],[Dens]]&gt;900),1,0)</f>
        <v>0</v>
      </c>
      <c r="X28" s="6">
        <f>IF(AND(sim.tbl[[#This Row],[Sulf]]&lt;=0.5,sim.tbl[[#This Row],[Dens]]&gt;900),1,0)</f>
        <v>0</v>
      </c>
      <c r="Y28" s="6">
        <f ca="1">IF(MONTH(sim.tbl[[#This Row],[SDate]])=INDEX(mthLkUp.tbl[Num],MATCH(Y$3,mthLkUp.tbl[Month],0)),1,0)</f>
        <v>0</v>
      </c>
      <c r="Z28" s="6">
        <f ca="1">IF(MONTH(sim.tbl[[#This Row],[SDate]])=INDEX(mthLkUp.tbl[Num],MATCH(Z$3,mthLkUp.tbl[Month],0)),1,0)</f>
        <v>0</v>
      </c>
      <c r="AA28" s="6">
        <f ca="1">IF(MONTH(sim.tbl[[#This Row],[SDate]])=INDEX(mthLkUp.tbl[Num],MATCH(AA$3,mthLkUp.tbl[Month],0)),1,0)</f>
        <v>1</v>
      </c>
      <c r="AB28" s="6">
        <f ca="1">IF(MONTH(sim.tbl[[#This Row],[SDate]])=INDEX(mthLkUp.tbl[Num],MATCH(AB$3,mthLkUp.tbl[Month],0)),1,0)</f>
        <v>0</v>
      </c>
      <c r="AC28" s="6">
        <f ca="1">IF(MONTH(sim.tbl[[#This Row],[SDate]])=INDEX(mthLkUp.tbl[Num],MATCH(AC$3,mthLkUp.tbl[Month],0)),1,0)</f>
        <v>0</v>
      </c>
      <c r="AD28" s="6">
        <f ca="1">IF(MONTH(sim.tbl[[#This Row],[SDate]])=INDEX(mthLkUp.tbl[Num],MATCH(AD$3,mthLkUp.tbl[Month],0)),1,0)</f>
        <v>0</v>
      </c>
      <c r="AE28" s="6">
        <f ca="1">IF(MONTH(sim.tbl[[#This Row],[SDate]])=INDEX(mthLkUp.tbl[Num],MATCH(AE$3,mthLkUp.tbl[Month],0)),1,0)</f>
        <v>0</v>
      </c>
      <c r="AF28" s="6">
        <f ca="1">IF(MONTH(sim.tbl[[#This Row],[SDate]])=INDEX(mthLkUp.tbl[Num],MATCH(AF$3,mthLkUp.tbl[Month],0)),1,0)</f>
        <v>0</v>
      </c>
      <c r="AG28" s="6">
        <f ca="1">IF(MONTH(sim.tbl[[#This Row],[SDate]])=INDEX(mthLkUp.tbl[Num],MATCH(AG$3,mthLkUp.tbl[Month],0)),1,0)</f>
        <v>0</v>
      </c>
      <c r="AH28" s="6">
        <f ca="1">IF(MONTH(sim.tbl[[#This Row],[SDate]])=INDEX(mthLkUp.tbl[Num],MATCH(AH$3,mthLkUp.tbl[Month],0)),1,0)</f>
        <v>0</v>
      </c>
      <c r="AI28" s="6">
        <f ca="1">IF(MONTH(sim.tbl[[#This Row],[SDate]])=INDEX(mthLkUp.tbl[Num],MATCH(AI$3,mthLkUp.tbl[Month],0)),1,0)</f>
        <v>0</v>
      </c>
      <c r="AJ28" s="6">
        <f ca="1">IF(MONTH(sim.tbl[[#This Row],[SDate]])=INDEX(mthLkUp.tbl[Num],MATCH(AJ$3,mthLkUp.tbl[Month],0)),1,0)</f>
        <v>0</v>
      </c>
      <c r="AK28" s="6">
        <v>1</v>
      </c>
      <c r="AL28" s="5">
        <f>sim.tbl[[#This Row],[Sulf]]*sim.tbl[[#This Row],[C5]]</f>
        <v>0</v>
      </c>
      <c r="AM28" s="5">
        <f>sim.tbl[[#This Row],[Sulf]]*sim.tbl[[#This Row],[Light_LSB]]</f>
        <v>0</v>
      </c>
      <c r="AN28" s="5">
        <f>sim.tbl[[#This Row],[Sulf]]*sim.tbl[[#This Row],[Light_SW]]</f>
        <v>0</v>
      </c>
      <c r="AO28" s="5">
        <f>sim.tbl[[#This Row],[Sulf]]*sim.tbl[[#This Row],[Medium_LSB]]</f>
        <v>1.7</v>
      </c>
      <c r="AP28" s="5">
        <f>sim.tbl[[#This Row],[Sulf]]*sim.tbl[[#This Row],[Medium_SW]]</f>
        <v>0</v>
      </c>
      <c r="AQ28" s="5">
        <f>sim.tbl[[#This Row],[Sulf]]*sim.tbl[[#This Row],[Midale]]</f>
        <v>0</v>
      </c>
      <c r="AR28" s="5">
        <f>sim.tbl[[#This Row],[Sulf]]*sim.tbl[[#This Row],[Heavy_Sour]]</f>
        <v>0</v>
      </c>
      <c r="AS28" s="5">
        <f>sim.tbl[[#This Row],[Sulf]]*sim.tbl[[#This Row],[Heavy_SW]]</f>
        <v>0</v>
      </c>
      <c r="AT28" s="5">
        <f>sim.tbl[[#This Row],[Dens]]*sim.tbl[[#This Row],[C5]]</f>
        <v>0</v>
      </c>
      <c r="AU28" s="5">
        <f>sim.tbl[[#This Row],[Dens]]*sim.tbl[[#This Row],[Light_LSB]]</f>
        <v>0</v>
      </c>
      <c r="AV28" s="5">
        <f>sim.tbl[[#This Row],[Dens]]*sim.tbl[[#This Row],[Light_SW]]</f>
        <v>0</v>
      </c>
      <c r="AW28" s="5">
        <f>sim.tbl[[#This Row],[Dens]]*sim.tbl[[#This Row],[Medium_LSB]]</f>
        <v>849.1</v>
      </c>
      <c r="AX28" s="5">
        <f>sim.tbl[[#This Row],[Dens]]*sim.tbl[[#This Row],[Medium_SW]]</f>
        <v>0</v>
      </c>
      <c r="AY28" s="5">
        <f>sim.tbl[[#This Row],[Dens]]*sim.tbl[[#This Row],[Midale]]</f>
        <v>0</v>
      </c>
      <c r="AZ28" s="5">
        <f>sim.tbl[[#This Row],[Dens]]*sim.tbl[[#This Row],[Heavy_Sour]]</f>
        <v>0</v>
      </c>
      <c r="BA28" s="5">
        <f>sim.tbl[[#This Row],[Dens]]*sim.tbl[[#This Row],[Heavy_SW]]</f>
        <v>0</v>
      </c>
      <c r="BB28" s="5">
        <f>sim.tbl[[#This Row],[Temp.Roll]]*sim.tbl[[#This Row],[C5]]</f>
        <v>0</v>
      </c>
      <c r="BC28" s="5">
        <f>sim.tbl[[#This Row],[Temp.Roll]]*sim.tbl[[#This Row],[Light_LSB]]</f>
        <v>0</v>
      </c>
      <c r="BD28" s="5">
        <f>sim.tbl[[#This Row],[Temp.Roll]]*sim.tbl[[#This Row],[Light_SW]]</f>
        <v>0</v>
      </c>
      <c r="BE28" s="5">
        <f>sim.tbl[[#This Row],[Temp.Roll]]*sim.tbl[[#This Row],[Medium_LSB]]</f>
        <v>-6.7</v>
      </c>
      <c r="BF28" s="5">
        <f>sim.tbl[[#This Row],[Temp.Roll]]*sim.tbl[[#This Row],[Medium_SW]]</f>
        <v>0</v>
      </c>
      <c r="BG28" s="5">
        <f>sim.tbl[[#This Row],[Temp.Roll]]*sim.tbl[[#This Row],[Midale]]</f>
        <v>0</v>
      </c>
      <c r="BH28" s="5">
        <f>sim.tbl[[#This Row],[Temp.Roll]]*sim.tbl[[#This Row],[Heavy_Sour]]</f>
        <v>0</v>
      </c>
      <c r="BI28" s="5">
        <f>sim.tbl[[#This Row],[Temp.Roll]]*sim.tbl[[#This Row],[Heavy_SW]]</f>
        <v>0</v>
      </c>
    </row>
    <row r="29" spans="4:61" x14ac:dyDescent="0.25">
      <c r="D29" s="5">
        <f ca="1">SUMPRODUCT($F$1:$BI$1,sim.tbl[[#This Row],[Intercept]:[Temp.Roll:Heavy_SW]])</f>
        <v>91.543895339513128</v>
      </c>
      <c r="E29" s="14">
        <f ca="1">DATE(YEAR(TODAY()),INDEX(mthLkUp.tbl[Num],MATCH(mth.input,mthLkUp.tbl[Month],0)),1)</f>
        <v>42795</v>
      </c>
      <c r="F29" s="6">
        <f>1</f>
        <v>1</v>
      </c>
      <c r="G29" s="5">
        <v>0.51500000000000001</v>
      </c>
      <c r="H29" s="5">
        <v>814.9</v>
      </c>
      <c r="I29" s="5">
        <v>-6.22</v>
      </c>
      <c r="J29" s="5">
        <v>-7.1</v>
      </c>
      <c r="K29" s="5">
        <v>-6.2</v>
      </c>
      <c r="L29" s="5">
        <v>-7.1</v>
      </c>
      <c r="M29" s="5">
        <v>2.8</v>
      </c>
      <c r="N29" s="5">
        <v>-6.5</v>
      </c>
      <c r="O29" s="5">
        <v>-5.6</v>
      </c>
      <c r="P29" s="5">
        <v>-5.7</v>
      </c>
      <c r="Q29" s="6">
        <f>IF(sim.tbl[[#This Row],[Dens]]&lt;=770,1,0)</f>
        <v>0</v>
      </c>
      <c r="R29" s="6">
        <f>IF(AND(sim.tbl[[#This Row],[Sulf]]&gt;0.5,sim.tbl[[#This Row],[Dens]]&gt;770,sim.tbl[[#This Row],[Dens]]&lt;=825),1,0)</f>
        <v>1</v>
      </c>
      <c r="S29" s="6">
        <f>IF(AND(sim.tbl[[#This Row],[Sulf]]&lt;=0.5,sim.tbl[[#This Row],[Dens]]&gt;770,sim.tbl[[#This Row],[Dens]]&lt;=825),1,0)</f>
        <v>0</v>
      </c>
      <c r="T29" s="6">
        <f>IF(AND(sim.tbl[[#This Row],[Sulf]]&gt;0.5,sim.tbl[[#This Row],[Dens]]&gt;825,sim.tbl[[#This Row],[Dens]]&lt;=870),1,0)</f>
        <v>0</v>
      </c>
      <c r="U29" s="6">
        <f>IF(AND(sim.tbl[[#This Row],[Sulf]]&lt;0.5,sim.tbl[[#This Row],[Dens]]&gt;825,sim.tbl[[#This Row],[Dens]]&lt;=900),1,0)</f>
        <v>0</v>
      </c>
      <c r="V29" s="6">
        <f>IF(AND(sim.tbl[[#This Row],[Sulf]]&gt;0.5,sim.tbl[[#This Row],[Dens]]&gt;870,sim.tbl[[#This Row],[Dens]]&lt;=900),1,0)</f>
        <v>0</v>
      </c>
      <c r="W29" s="6">
        <f>IF(AND(sim.tbl[[#This Row],[Sulf]]&gt;0.5,sim.tbl[[#This Row],[Dens]]&gt;900),1,0)</f>
        <v>0</v>
      </c>
      <c r="X29" s="6">
        <f>IF(AND(sim.tbl[[#This Row],[Sulf]]&lt;=0.5,sim.tbl[[#This Row],[Dens]]&gt;900),1,0)</f>
        <v>0</v>
      </c>
      <c r="Y29" s="6">
        <f ca="1">IF(MONTH(sim.tbl[[#This Row],[SDate]])=INDEX(mthLkUp.tbl[Num],MATCH(Y$3,mthLkUp.tbl[Month],0)),1,0)</f>
        <v>0</v>
      </c>
      <c r="Z29" s="6">
        <f ca="1">IF(MONTH(sim.tbl[[#This Row],[SDate]])=INDEX(mthLkUp.tbl[Num],MATCH(Z$3,mthLkUp.tbl[Month],0)),1,0)</f>
        <v>0</v>
      </c>
      <c r="AA29" s="6">
        <f ca="1">IF(MONTH(sim.tbl[[#This Row],[SDate]])=INDEX(mthLkUp.tbl[Num],MATCH(AA$3,mthLkUp.tbl[Month],0)),1,0)</f>
        <v>1</v>
      </c>
      <c r="AB29" s="6">
        <f ca="1">IF(MONTH(sim.tbl[[#This Row],[SDate]])=INDEX(mthLkUp.tbl[Num],MATCH(AB$3,mthLkUp.tbl[Month],0)),1,0)</f>
        <v>0</v>
      </c>
      <c r="AC29" s="6">
        <f ca="1">IF(MONTH(sim.tbl[[#This Row],[SDate]])=INDEX(mthLkUp.tbl[Num],MATCH(AC$3,mthLkUp.tbl[Month],0)),1,0)</f>
        <v>0</v>
      </c>
      <c r="AD29" s="6">
        <f ca="1">IF(MONTH(sim.tbl[[#This Row],[SDate]])=INDEX(mthLkUp.tbl[Num],MATCH(AD$3,mthLkUp.tbl[Month],0)),1,0)</f>
        <v>0</v>
      </c>
      <c r="AE29" s="6">
        <f ca="1">IF(MONTH(sim.tbl[[#This Row],[SDate]])=INDEX(mthLkUp.tbl[Num],MATCH(AE$3,mthLkUp.tbl[Month],0)),1,0)</f>
        <v>0</v>
      </c>
      <c r="AF29" s="6">
        <f ca="1">IF(MONTH(sim.tbl[[#This Row],[SDate]])=INDEX(mthLkUp.tbl[Num],MATCH(AF$3,mthLkUp.tbl[Month],0)),1,0)</f>
        <v>0</v>
      </c>
      <c r="AG29" s="6">
        <f ca="1">IF(MONTH(sim.tbl[[#This Row],[SDate]])=INDEX(mthLkUp.tbl[Num],MATCH(AG$3,mthLkUp.tbl[Month],0)),1,0)</f>
        <v>0</v>
      </c>
      <c r="AH29" s="6">
        <f ca="1">IF(MONTH(sim.tbl[[#This Row],[SDate]])=INDEX(mthLkUp.tbl[Num],MATCH(AH$3,mthLkUp.tbl[Month],0)),1,0)</f>
        <v>0</v>
      </c>
      <c r="AI29" s="6">
        <f ca="1">IF(MONTH(sim.tbl[[#This Row],[SDate]])=INDEX(mthLkUp.tbl[Num],MATCH(AI$3,mthLkUp.tbl[Month],0)),1,0)</f>
        <v>0</v>
      </c>
      <c r="AJ29" s="6">
        <f ca="1">IF(MONTH(sim.tbl[[#This Row],[SDate]])=INDEX(mthLkUp.tbl[Num],MATCH(AJ$3,mthLkUp.tbl[Month],0)),1,0)</f>
        <v>0</v>
      </c>
      <c r="AK29" s="6">
        <v>1</v>
      </c>
      <c r="AL29" s="5">
        <f>sim.tbl[[#This Row],[Sulf]]*sim.tbl[[#This Row],[C5]]</f>
        <v>0</v>
      </c>
      <c r="AM29" s="5">
        <f>sim.tbl[[#This Row],[Sulf]]*sim.tbl[[#This Row],[Light_LSB]]</f>
        <v>0.51500000000000001</v>
      </c>
      <c r="AN29" s="5">
        <f>sim.tbl[[#This Row],[Sulf]]*sim.tbl[[#This Row],[Light_SW]]</f>
        <v>0</v>
      </c>
      <c r="AO29" s="5">
        <f>sim.tbl[[#This Row],[Sulf]]*sim.tbl[[#This Row],[Medium_LSB]]</f>
        <v>0</v>
      </c>
      <c r="AP29" s="5">
        <f>sim.tbl[[#This Row],[Sulf]]*sim.tbl[[#This Row],[Medium_SW]]</f>
        <v>0</v>
      </c>
      <c r="AQ29" s="5">
        <f>sim.tbl[[#This Row],[Sulf]]*sim.tbl[[#This Row],[Midale]]</f>
        <v>0</v>
      </c>
      <c r="AR29" s="5">
        <f>sim.tbl[[#This Row],[Sulf]]*sim.tbl[[#This Row],[Heavy_Sour]]</f>
        <v>0</v>
      </c>
      <c r="AS29" s="5">
        <f>sim.tbl[[#This Row],[Sulf]]*sim.tbl[[#This Row],[Heavy_SW]]</f>
        <v>0</v>
      </c>
      <c r="AT29" s="5">
        <f>sim.tbl[[#This Row],[Dens]]*sim.tbl[[#This Row],[C5]]</f>
        <v>0</v>
      </c>
      <c r="AU29" s="5">
        <f>sim.tbl[[#This Row],[Dens]]*sim.tbl[[#This Row],[Light_LSB]]</f>
        <v>814.9</v>
      </c>
      <c r="AV29" s="5">
        <f>sim.tbl[[#This Row],[Dens]]*sim.tbl[[#This Row],[Light_SW]]</f>
        <v>0</v>
      </c>
      <c r="AW29" s="5">
        <f>sim.tbl[[#This Row],[Dens]]*sim.tbl[[#This Row],[Medium_LSB]]</f>
        <v>0</v>
      </c>
      <c r="AX29" s="5">
        <f>sim.tbl[[#This Row],[Dens]]*sim.tbl[[#This Row],[Medium_SW]]</f>
        <v>0</v>
      </c>
      <c r="AY29" s="5">
        <f>sim.tbl[[#This Row],[Dens]]*sim.tbl[[#This Row],[Midale]]</f>
        <v>0</v>
      </c>
      <c r="AZ29" s="5">
        <f>sim.tbl[[#This Row],[Dens]]*sim.tbl[[#This Row],[Heavy_Sour]]</f>
        <v>0</v>
      </c>
      <c r="BA29" s="5">
        <f>sim.tbl[[#This Row],[Dens]]*sim.tbl[[#This Row],[Heavy_SW]]</f>
        <v>0</v>
      </c>
      <c r="BB29" s="5">
        <f>sim.tbl[[#This Row],[Temp.Roll]]*sim.tbl[[#This Row],[C5]]</f>
        <v>0</v>
      </c>
      <c r="BC29" s="5">
        <f>sim.tbl[[#This Row],[Temp.Roll]]*sim.tbl[[#This Row],[Light_LSB]]</f>
        <v>-7.1</v>
      </c>
      <c r="BD29" s="5">
        <f>sim.tbl[[#This Row],[Temp.Roll]]*sim.tbl[[#This Row],[Light_SW]]</f>
        <v>0</v>
      </c>
      <c r="BE29" s="5">
        <f>sim.tbl[[#This Row],[Temp.Roll]]*sim.tbl[[#This Row],[Medium_LSB]]</f>
        <v>0</v>
      </c>
      <c r="BF29" s="5">
        <f>sim.tbl[[#This Row],[Temp.Roll]]*sim.tbl[[#This Row],[Medium_SW]]</f>
        <v>0</v>
      </c>
      <c r="BG29" s="5">
        <f>sim.tbl[[#This Row],[Temp.Roll]]*sim.tbl[[#This Row],[Midale]]</f>
        <v>0</v>
      </c>
      <c r="BH29" s="5">
        <f>sim.tbl[[#This Row],[Temp.Roll]]*sim.tbl[[#This Row],[Heavy_Sour]]</f>
        <v>0</v>
      </c>
      <c r="BI29" s="5">
        <f>sim.tbl[[#This Row],[Temp.Roll]]*sim.tbl[[#This Row],[Heavy_SW]]</f>
        <v>0</v>
      </c>
    </row>
    <row r="30" spans="4:61" x14ac:dyDescent="0.25">
      <c r="D30" s="5">
        <f ca="1">SUMPRODUCT($F$1:$BI$1,sim.tbl[[#This Row],[Intercept]:[Temp.Roll:Heavy_SW]])</f>
        <v>82.235535323699622</v>
      </c>
      <c r="E30" s="14">
        <f ca="1">DATE(YEAR(TODAY()),INDEX(mthLkUp.tbl[Num],MATCH(mth.input,mthLkUp.tbl[Month],0)),1)</f>
        <v>42795</v>
      </c>
      <c r="F30" s="6">
        <f>1</f>
        <v>1</v>
      </c>
      <c r="G30" s="5">
        <v>0.89900000000000002</v>
      </c>
      <c r="H30" s="5">
        <v>825.3</v>
      </c>
      <c r="I30" s="5">
        <v>3.75</v>
      </c>
      <c r="J30" s="5">
        <v>2.9</v>
      </c>
      <c r="K30" s="5">
        <v>4.5</v>
      </c>
      <c r="L30" s="5">
        <v>2.9</v>
      </c>
      <c r="M30" s="5">
        <v>4.8</v>
      </c>
      <c r="N30" s="5">
        <v>4.5</v>
      </c>
      <c r="O30" s="5">
        <v>3.7</v>
      </c>
      <c r="P30" s="5">
        <v>2.1</v>
      </c>
      <c r="Q30" s="6">
        <f>IF(sim.tbl[[#This Row],[Dens]]&lt;=770,1,0)</f>
        <v>0</v>
      </c>
      <c r="R30" s="6">
        <f>IF(AND(sim.tbl[[#This Row],[Sulf]]&gt;0.5,sim.tbl[[#This Row],[Dens]]&gt;770,sim.tbl[[#This Row],[Dens]]&lt;=825),1,0)</f>
        <v>0</v>
      </c>
      <c r="S30" s="6">
        <f>IF(AND(sim.tbl[[#This Row],[Sulf]]&lt;=0.5,sim.tbl[[#This Row],[Dens]]&gt;770,sim.tbl[[#This Row],[Dens]]&lt;=825),1,0)</f>
        <v>0</v>
      </c>
      <c r="T30" s="6">
        <f>IF(AND(sim.tbl[[#This Row],[Sulf]]&gt;0.5,sim.tbl[[#This Row],[Dens]]&gt;825,sim.tbl[[#This Row],[Dens]]&lt;=870),1,0)</f>
        <v>1</v>
      </c>
      <c r="U30" s="6">
        <f>IF(AND(sim.tbl[[#This Row],[Sulf]]&lt;0.5,sim.tbl[[#This Row],[Dens]]&gt;825,sim.tbl[[#This Row],[Dens]]&lt;=900),1,0)</f>
        <v>0</v>
      </c>
      <c r="V30" s="6">
        <f>IF(AND(sim.tbl[[#This Row],[Sulf]]&gt;0.5,sim.tbl[[#This Row],[Dens]]&gt;870,sim.tbl[[#This Row],[Dens]]&lt;=900),1,0)</f>
        <v>0</v>
      </c>
      <c r="W30" s="6">
        <f>IF(AND(sim.tbl[[#This Row],[Sulf]]&gt;0.5,sim.tbl[[#This Row],[Dens]]&gt;900),1,0)</f>
        <v>0</v>
      </c>
      <c r="X30" s="6">
        <f>IF(AND(sim.tbl[[#This Row],[Sulf]]&lt;=0.5,sim.tbl[[#This Row],[Dens]]&gt;900),1,0)</f>
        <v>0</v>
      </c>
      <c r="Y30" s="6">
        <f ca="1">IF(MONTH(sim.tbl[[#This Row],[SDate]])=INDEX(mthLkUp.tbl[Num],MATCH(Y$3,mthLkUp.tbl[Month],0)),1,0)</f>
        <v>0</v>
      </c>
      <c r="Z30" s="6">
        <f ca="1">IF(MONTH(sim.tbl[[#This Row],[SDate]])=INDEX(mthLkUp.tbl[Num],MATCH(Z$3,mthLkUp.tbl[Month],0)),1,0)</f>
        <v>0</v>
      </c>
      <c r="AA30" s="6">
        <f ca="1">IF(MONTH(sim.tbl[[#This Row],[SDate]])=INDEX(mthLkUp.tbl[Num],MATCH(AA$3,mthLkUp.tbl[Month],0)),1,0)</f>
        <v>1</v>
      </c>
      <c r="AB30" s="6">
        <f ca="1">IF(MONTH(sim.tbl[[#This Row],[SDate]])=INDEX(mthLkUp.tbl[Num],MATCH(AB$3,mthLkUp.tbl[Month],0)),1,0)</f>
        <v>0</v>
      </c>
      <c r="AC30" s="6">
        <f ca="1">IF(MONTH(sim.tbl[[#This Row],[SDate]])=INDEX(mthLkUp.tbl[Num],MATCH(AC$3,mthLkUp.tbl[Month],0)),1,0)</f>
        <v>0</v>
      </c>
      <c r="AD30" s="6">
        <f ca="1">IF(MONTH(sim.tbl[[#This Row],[SDate]])=INDEX(mthLkUp.tbl[Num],MATCH(AD$3,mthLkUp.tbl[Month],0)),1,0)</f>
        <v>0</v>
      </c>
      <c r="AE30" s="6">
        <f ca="1">IF(MONTH(sim.tbl[[#This Row],[SDate]])=INDEX(mthLkUp.tbl[Num],MATCH(AE$3,mthLkUp.tbl[Month],0)),1,0)</f>
        <v>0</v>
      </c>
      <c r="AF30" s="6">
        <f ca="1">IF(MONTH(sim.tbl[[#This Row],[SDate]])=INDEX(mthLkUp.tbl[Num],MATCH(AF$3,mthLkUp.tbl[Month],0)),1,0)</f>
        <v>0</v>
      </c>
      <c r="AG30" s="6">
        <f ca="1">IF(MONTH(sim.tbl[[#This Row],[SDate]])=INDEX(mthLkUp.tbl[Num],MATCH(AG$3,mthLkUp.tbl[Month],0)),1,0)</f>
        <v>0</v>
      </c>
      <c r="AH30" s="6">
        <f ca="1">IF(MONTH(sim.tbl[[#This Row],[SDate]])=INDEX(mthLkUp.tbl[Num],MATCH(AH$3,mthLkUp.tbl[Month],0)),1,0)</f>
        <v>0</v>
      </c>
      <c r="AI30" s="6">
        <f ca="1">IF(MONTH(sim.tbl[[#This Row],[SDate]])=INDEX(mthLkUp.tbl[Num],MATCH(AI$3,mthLkUp.tbl[Month],0)),1,0)</f>
        <v>0</v>
      </c>
      <c r="AJ30" s="6">
        <f ca="1">IF(MONTH(sim.tbl[[#This Row],[SDate]])=INDEX(mthLkUp.tbl[Num],MATCH(AJ$3,mthLkUp.tbl[Month],0)),1,0)</f>
        <v>0</v>
      </c>
      <c r="AK30" s="6">
        <v>1</v>
      </c>
      <c r="AL30" s="5">
        <f>sim.tbl[[#This Row],[Sulf]]*sim.tbl[[#This Row],[C5]]</f>
        <v>0</v>
      </c>
      <c r="AM30" s="5">
        <f>sim.tbl[[#This Row],[Sulf]]*sim.tbl[[#This Row],[Light_LSB]]</f>
        <v>0</v>
      </c>
      <c r="AN30" s="5">
        <f>sim.tbl[[#This Row],[Sulf]]*sim.tbl[[#This Row],[Light_SW]]</f>
        <v>0</v>
      </c>
      <c r="AO30" s="5">
        <f>sim.tbl[[#This Row],[Sulf]]*sim.tbl[[#This Row],[Medium_LSB]]</f>
        <v>0.89900000000000002</v>
      </c>
      <c r="AP30" s="5">
        <f>sim.tbl[[#This Row],[Sulf]]*sim.tbl[[#This Row],[Medium_SW]]</f>
        <v>0</v>
      </c>
      <c r="AQ30" s="5">
        <f>sim.tbl[[#This Row],[Sulf]]*sim.tbl[[#This Row],[Midale]]</f>
        <v>0</v>
      </c>
      <c r="AR30" s="5">
        <f>sim.tbl[[#This Row],[Sulf]]*sim.tbl[[#This Row],[Heavy_Sour]]</f>
        <v>0</v>
      </c>
      <c r="AS30" s="5">
        <f>sim.tbl[[#This Row],[Sulf]]*sim.tbl[[#This Row],[Heavy_SW]]</f>
        <v>0</v>
      </c>
      <c r="AT30" s="5">
        <f>sim.tbl[[#This Row],[Dens]]*sim.tbl[[#This Row],[C5]]</f>
        <v>0</v>
      </c>
      <c r="AU30" s="5">
        <f>sim.tbl[[#This Row],[Dens]]*sim.tbl[[#This Row],[Light_LSB]]</f>
        <v>0</v>
      </c>
      <c r="AV30" s="5">
        <f>sim.tbl[[#This Row],[Dens]]*sim.tbl[[#This Row],[Light_SW]]</f>
        <v>0</v>
      </c>
      <c r="AW30" s="5">
        <f>sim.tbl[[#This Row],[Dens]]*sim.tbl[[#This Row],[Medium_LSB]]</f>
        <v>825.3</v>
      </c>
      <c r="AX30" s="5">
        <f>sim.tbl[[#This Row],[Dens]]*sim.tbl[[#This Row],[Medium_SW]]</f>
        <v>0</v>
      </c>
      <c r="AY30" s="5">
        <f>sim.tbl[[#This Row],[Dens]]*sim.tbl[[#This Row],[Midale]]</f>
        <v>0</v>
      </c>
      <c r="AZ30" s="5">
        <f>sim.tbl[[#This Row],[Dens]]*sim.tbl[[#This Row],[Heavy_Sour]]</f>
        <v>0</v>
      </c>
      <c r="BA30" s="5">
        <f>sim.tbl[[#This Row],[Dens]]*sim.tbl[[#This Row],[Heavy_SW]]</f>
        <v>0</v>
      </c>
      <c r="BB30" s="5">
        <f>sim.tbl[[#This Row],[Temp.Roll]]*sim.tbl[[#This Row],[C5]]</f>
        <v>0</v>
      </c>
      <c r="BC30" s="5">
        <f>sim.tbl[[#This Row],[Temp.Roll]]*sim.tbl[[#This Row],[Light_LSB]]</f>
        <v>0</v>
      </c>
      <c r="BD30" s="5">
        <f>sim.tbl[[#This Row],[Temp.Roll]]*sim.tbl[[#This Row],[Light_SW]]</f>
        <v>0</v>
      </c>
      <c r="BE30" s="5">
        <f>sim.tbl[[#This Row],[Temp.Roll]]*sim.tbl[[#This Row],[Medium_LSB]]</f>
        <v>2.9</v>
      </c>
      <c r="BF30" s="5">
        <f>sim.tbl[[#This Row],[Temp.Roll]]*sim.tbl[[#This Row],[Medium_SW]]</f>
        <v>0</v>
      </c>
      <c r="BG30" s="5">
        <f>sim.tbl[[#This Row],[Temp.Roll]]*sim.tbl[[#This Row],[Midale]]</f>
        <v>0</v>
      </c>
      <c r="BH30" s="5">
        <f>sim.tbl[[#This Row],[Temp.Roll]]*sim.tbl[[#This Row],[Heavy_Sour]]</f>
        <v>0</v>
      </c>
      <c r="BI30" s="5">
        <f>sim.tbl[[#This Row],[Temp.Roll]]*sim.tbl[[#This Row],[Heavy_SW]]</f>
        <v>0</v>
      </c>
    </row>
    <row r="31" spans="4:61" x14ac:dyDescent="0.25">
      <c r="D31" s="5">
        <f ca="1">SUMPRODUCT($F$1:$BI$1,sim.tbl[[#This Row],[Intercept]:[Temp.Roll:Heavy_SW]])</f>
        <v>78.753116148925045</v>
      </c>
      <c r="E31" s="14">
        <f ca="1">DATE(YEAR(TODAY()),INDEX(mthLkUp.tbl[Num],MATCH(mth.input,mthLkUp.tbl[Month],0)),1)</f>
        <v>42795</v>
      </c>
      <c r="F31" s="6">
        <f>1</f>
        <v>1</v>
      </c>
      <c r="G31" s="5">
        <v>1.4530000000000001</v>
      </c>
      <c r="H31" s="5">
        <v>846.4</v>
      </c>
      <c r="I31" s="5">
        <v>-3.6</v>
      </c>
      <c r="J31" s="5">
        <v>-5</v>
      </c>
      <c r="K31" s="5">
        <v>-3.8</v>
      </c>
      <c r="L31" s="5">
        <v>-5</v>
      </c>
      <c r="M31" s="5">
        <v>-2.5</v>
      </c>
      <c r="N31" s="5">
        <v>-3.8</v>
      </c>
      <c r="O31" s="5">
        <v>-3.9</v>
      </c>
      <c r="P31" s="5">
        <v>-2.6</v>
      </c>
      <c r="Q31" s="6">
        <f>IF(sim.tbl[[#This Row],[Dens]]&lt;=770,1,0)</f>
        <v>0</v>
      </c>
      <c r="R31" s="6">
        <f>IF(AND(sim.tbl[[#This Row],[Sulf]]&gt;0.5,sim.tbl[[#This Row],[Dens]]&gt;770,sim.tbl[[#This Row],[Dens]]&lt;=825),1,0)</f>
        <v>0</v>
      </c>
      <c r="S31" s="6">
        <f>IF(AND(sim.tbl[[#This Row],[Sulf]]&lt;=0.5,sim.tbl[[#This Row],[Dens]]&gt;770,sim.tbl[[#This Row],[Dens]]&lt;=825),1,0)</f>
        <v>0</v>
      </c>
      <c r="T31" s="6">
        <f>IF(AND(sim.tbl[[#This Row],[Sulf]]&gt;0.5,sim.tbl[[#This Row],[Dens]]&gt;825,sim.tbl[[#This Row],[Dens]]&lt;=870),1,0)</f>
        <v>1</v>
      </c>
      <c r="U31" s="6">
        <f>IF(AND(sim.tbl[[#This Row],[Sulf]]&lt;0.5,sim.tbl[[#This Row],[Dens]]&gt;825,sim.tbl[[#This Row],[Dens]]&lt;=900),1,0)</f>
        <v>0</v>
      </c>
      <c r="V31" s="6">
        <f>IF(AND(sim.tbl[[#This Row],[Sulf]]&gt;0.5,sim.tbl[[#This Row],[Dens]]&gt;870,sim.tbl[[#This Row],[Dens]]&lt;=900),1,0)</f>
        <v>0</v>
      </c>
      <c r="W31" s="6">
        <f>IF(AND(sim.tbl[[#This Row],[Sulf]]&gt;0.5,sim.tbl[[#This Row],[Dens]]&gt;900),1,0)</f>
        <v>0</v>
      </c>
      <c r="X31" s="6">
        <f>IF(AND(sim.tbl[[#This Row],[Sulf]]&lt;=0.5,sim.tbl[[#This Row],[Dens]]&gt;900),1,0)</f>
        <v>0</v>
      </c>
      <c r="Y31" s="6">
        <f ca="1">IF(MONTH(sim.tbl[[#This Row],[SDate]])=INDEX(mthLkUp.tbl[Num],MATCH(Y$3,mthLkUp.tbl[Month],0)),1,0)</f>
        <v>0</v>
      </c>
      <c r="Z31" s="6">
        <f ca="1">IF(MONTH(sim.tbl[[#This Row],[SDate]])=INDEX(mthLkUp.tbl[Num],MATCH(Z$3,mthLkUp.tbl[Month],0)),1,0)</f>
        <v>0</v>
      </c>
      <c r="AA31" s="6">
        <f ca="1">IF(MONTH(sim.tbl[[#This Row],[SDate]])=INDEX(mthLkUp.tbl[Num],MATCH(AA$3,mthLkUp.tbl[Month],0)),1,0)</f>
        <v>1</v>
      </c>
      <c r="AB31" s="6">
        <f ca="1">IF(MONTH(sim.tbl[[#This Row],[SDate]])=INDEX(mthLkUp.tbl[Num],MATCH(AB$3,mthLkUp.tbl[Month],0)),1,0)</f>
        <v>0</v>
      </c>
      <c r="AC31" s="6">
        <f ca="1">IF(MONTH(sim.tbl[[#This Row],[SDate]])=INDEX(mthLkUp.tbl[Num],MATCH(AC$3,mthLkUp.tbl[Month],0)),1,0)</f>
        <v>0</v>
      </c>
      <c r="AD31" s="6">
        <f ca="1">IF(MONTH(sim.tbl[[#This Row],[SDate]])=INDEX(mthLkUp.tbl[Num],MATCH(AD$3,mthLkUp.tbl[Month],0)),1,0)</f>
        <v>0</v>
      </c>
      <c r="AE31" s="6">
        <f ca="1">IF(MONTH(sim.tbl[[#This Row],[SDate]])=INDEX(mthLkUp.tbl[Num],MATCH(AE$3,mthLkUp.tbl[Month],0)),1,0)</f>
        <v>0</v>
      </c>
      <c r="AF31" s="6">
        <f ca="1">IF(MONTH(sim.tbl[[#This Row],[SDate]])=INDEX(mthLkUp.tbl[Num],MATCH(AF$3,mthLkUp.tbl[Month],0)),1,0)</f>
        <v>0</v>
      </c>
      <c r="AG31" s="6">
        <f ca="1">IF(MONTH(sim.tbl[[#This Row],[SDate]])=INDEX(mthLkUp.tbl[Num],MATCH(AG$3,mthLkUp.tbl[Month],0)),1,0)</f>
        <v>0</v>
      </c>
      <c r="AH31" s="6">
        <f ca="1">IF(MONTH(sim.tbl[[#This Row],[SDate]])=INDEX(mthLkUp.tbl[Num],MATCH(AH$3,mthLkUp.tbl[Month],0)),1,0)</f>
        <v>0</v>
      </c>
      <c r="AI31" s="6">
        <f ca="1">IF(MONTH(sim.tbl[[#This Row],[SDate]])=INDEX(mthLkUp.tbl[Num],MATCH(AI$3,mthLkUp.tbl[Month],0)),1,0)</f>
        <v>0</v>
      </c>
      <c r="AJ31" s="6">
        <f ca="1">IF(MONTH(sim.tbl[[#This Row],[SDate]])=INDEX(mthLkUp.tbl[Num],MATCH(AJ$3,mthLkUp.tbl[Month],0)),1,0)</f>
        <v>0</v>
      </c>
      <c r="AK31" s="6">
        <v>1</v>
      </c>
      <c r="AL31" s="5">
        <f>sim.tbl[[#This Row],[Sulf]]*sim.tbl[[#This Row],[C5]]</f>
        <v>0</v>
      </c>
      <c r="AM31" s="5">
        <f>sim.tbl[[#This Row],[Sulf]]*sim.tbl[[#This Row],[Light_LSB]]</f>
        <v>0</v>
      </c>
      <c r="AN31" s="5">
        <f>sim.tbl[[#This Row],[Sulf]]*sim.tbl[[#This Row],[Light_SW]]</f>
        <v>0</v>
      </c>
      <c r="AO31" s="5">
        <f>sim.tbl[[#This Row],[Sulf]]*sim.tbl[[#This Row],[Medium_LSB]]</f>
        <v>1.4530000000000001</v>
      </c>
      <c r="AP31" s="5">
        <f>sim.tbl[[#This Row],[Sulf]]*sim.tbl[[#This Row],[Medium_SW]]</f>
        <v>0</v>
      </c>
      <c r="AQ31" s="5">
        <f>sim.tbl[[#This Row],[Sulf]]*sim.tbl[[#This Row],[Midale]]</f>
        <v>0</v>
      </c>
      <c r="AR31" s="5">
        <f>sim.tbl[[#This Row],[Sulf]]*sim.tbl[[#This Row],[Heavy_Sour]]</f>
        <v>0</v>
      </c>
      <c r="AS31" s="5">
        <f>sim.tbl[[#This Row],[Sulf]]*sim.tbl[[#This Row],[Heavy_SW]]</f>
        <v>0</v>
      </c>
      <c r="AT31" s="5">
        <f>sim.tbl[[#This Row],[Dens]]*sim.tbl[[#This Row],[C5]]</f>
        <v>0</v>
      </c>
      <c r="AU31" s="5">
        <f>sim.tbl[[#This Row],[Dens]]*sim.tbl[[#This Row],[Light_LSB]]</f>
        <v>0</v>
      </c>
      <c r="AV31" s="5">
        <f>sim.tbl[[#This Row],[Dens]]*sim.tbl[[#This Row],[Light_SW]]</f>
        <v>0</v>
      </c>
      <c r="AW31" s="5">
        <f>sim.tbl[[#This Row],[Dens]]*sim.tbl[[#This Row],[Medium_LSB]]</f>
        <v>846.4</v>
      </c>
      <c r="AX31" s="5">
        <f>sim.tbl[[#This Row],[Dens]]*sim.tbl[[#This Row],[Medium_SW]]</f>
        <v>0</v>
      </c>
      <c r="AY31" s="5">
        <f>sim.tbl[[#This Row],[Dens]]*sim.tbl[[#This Row],[Midale]]</f>
        <v>0</v>
      </c>
      <c r="AZ31" s="5">
        <f>sim.tbl[[#This Row],[Dens]]*sim.tbl[[#This Row],[Heavy_Sour]]</f>
        <v>0</v>
      </c>
      <c r="BA31" s="5">
        <f>sim.tbl[[#This Row],[Dens]]*sim.tbl[[#This Row],[Heavy_SW]]</f>
        <v>0</v>
      </c>
      <c r="BB31" s="5">
        <f>sim.tbl[[#This Row],[Temp.Roll]]*sim.tbl[[#This Row],[C5]]</f>
        <v>0</v>
      </c>
      <c r="BC31" s="5">
        <f>sim.tbl[[#This Row],[Temp.Roll]]*sim.tbl[[#This Row],[Light_LSB]]</f>
        <v>0</v>
      </c>
      <c r="BD31" s="5">
        <f>sim.tbl[[#This Row],[Temp.Roll]]*sim.tbl[[#This Row],[Light_SW]]</f>
        <v>0</v>
      </c>
      <c r="BE31" s="5">
        <f>sim.tbl[[#This Row],[Temp.Roll]]*sim.tbl[[#This Row],[Medium_LSB]]</f>
        <v>-5</v>
      </c>
      <c r="BF31" s="5">
        <f>sim.tbl[[#This Row],[Temp.Roll]]*sim.tbl[[#This Row],[Medium_SW]]</f>
        <v>0</v>
      </c>
      <c r="BG31" s="5">
        <f>sim.tbl[[#This Row],[Temp.Roll]]*sim.tbl[[#This Row],[Midale]]</f>
        <v>0</v>
      </c>
      <c r="BH31" s="5">
        <f>sim.tbl[[#This Row],[Temp.Roll]]*sim.tbl[[#This Row],[Heavy_Sour]]</f>
        <v>0</v>
      </c>
      <c r="BI31" s="5">
        <f>sim.tbl[[#This Row],[Temp.Roll]]*sim.tbl[[#This Row],[Heavy_SW]]</f>
        <v>0</v>
      </c>
    </row>
    <row r="32" spans="4:61" x14ac:dyDescent="0.25">
      <c r="D32" s="5">
        <f ca="1">SUMPRODUCT($F$1:$BI$1,sim.tbl[[#This Row],[Intercept]:[Temp.Roll:Heavy_SW]])</f>
        <v>96.526423163132904</v>
      </c>
      <c r="E32" s="14">
        <f ca="1">DATE(YEAR(TODAY()),INDEX(mthLkUp.tbl[Num],MATCH(mth.input,mthLkUp.tbl[Month],0)),1)</f>
        <v>42795</v>
      </c>
      <c r="F32" s="6">
        <f>1</f>
        <v>1</v>
      </c>
      <c r="G32" s="5">
        <v>0.53</v>
      </c>
      <c r="H32" s="5">
        <v>819.9</v>
      </c>
      <c r="I32" s="5">
        <v>-19.940000000000001</v>
      </c>
      <c r="J32" s="5">
        <v>-20.5</v>
      </c>
      <c r="K32" s="5">
        <v>-20</v>
      </c>
      <c r="L32" s="5">
        <v>-20.5</v>
      </c>
      <c r="M32" s="5">
        <v>-5</v>
      </c>
      <c r="N32" s="5">
        <v>-19.5</v>
      </c>
      <c r="O32" s="5">
        <v>-19.8</v>
      </c>
      <c r="P32" s="5">
        <v>-19.899999999999999</v>
      </c>
      <c r="Q32" s="6">
        <f>IF(sim.tbl[[#This Row],[Dens]]&lt;=770,1,0)</f>
        <v>0</v>
      </c>
      <c r="R32" s="6">
        <f>IF(AND(sim.tbl[[#This Row],[Sulf]]&gt;0.5,sim.tbl[[#This Row],[Dens]]&gt;770,sim.tbl[[#This Row],[Dens]]&lt;=825),1,0)</f>
        <v>1</v>
      </c>
      <c r="S32" s="6">
        <f>IF(AND(sim.tbl[[#This Row],[Sulf]]&lt;=0.5,sim.tbl[[#This Row],[Dens]]&gt;770,sim.tbl[[#This Row],[Dens]]&lt;=825),1,0)</f>
        <v>0</v>
      </c>
      <c r="T32" s="6">
        <f>IF(AND(sim.tbl[[#This Row],[Sulf]]&gt;0.5,sim.tbl[[#This Row],[Dens]]&gt;825,sim.tbl[[#This Row],[Dens]]&lt;=870),1,0)</f>
        <v>0</v>
      </c>
      <c r="U32" s="6">
        <f>IF(AND(sim.tbl[[#This Row],[Sulf]]&lt;0.5,sim.tbl[[#This Row],[Dens]]&gt;825,sim.tbl[[#This Row],[Dens]]&lt;=900),1,0)</f>
        <v>0</v>
      </c>
      <c r="V32" s="6">
        <f>IF(AND(sim.tbl[[#This Row],[Sulf]]&gt;0.5,sim.tbl[[#This Row],[Dens]]&gt;870,sim.tbl[[#This Row],[Dens]]&lt;=900),1,0)</f>
        <v>0</v>
      </c>
      <c r="W32" s="6">
        <f>IF(AND(sim.tbl[[#This Row],[Sulf]]&gt;0.5,sim.tbl[[#This Row],[Dens]]&gt;900),1,0)</f>
        <v>0</v>
      </c>
      <c r="X32" s="6">
        <f>IF(AND(sim.tbl[[#This Row],[Sulf]]&lt;=0.5,sim.tbl[[#This Row],[Dens]]&gt;900),1,0)</f>
        <v>0</v>
      </c>
      <c r="Y32" s="6">
        <f ca="1">IF(MONTH(sim.tbl[[#This Row],[SDate]])=INDEX(mthLkUp.tbl[Num],MATCH(Y$3,mthLkUp.tbl[Month],0)),1,0)</f>
        <v>0</v>
      </c>
      <c r="Z32" s="6">
        <f ca="1">IF(MONTH(sim.tbl[[#This Row],[SDate]])=INDEX(mthLkUp.tbl[Num],MATCH(Z$3,mthLkUp.tbl[Month],0)),1,0)</f>
        <v>0</v>
      </c>
      <c r="AA32" s="6">
        <f ca="1">IF(MONTH(sim.tbl[[#This Row],[SDate]])=INDEX(mthLkUp.tbl[Num],MATCH(AA$3,mthLkUp.tbl[Month],0)),1,0)</f>
        <v>1</v>
      </c>
      <c r="AB32" s="6">
        <f ca="1">IF(MONTH(sim.tbl[[#This Row],[SDate]])=INDEX(mthLkUp.tbl[Num],MATCH(AB$3,mthLkUp.tbl[Month],0)),1,0)</f>
        <v>0</v>
      </c>
      <c r="AC32" s="6">
        <f ca="1">IF(MONTH(sim.tbl[[#This Row],[SDate]])=INDEX(mthLkUp.tbl[Num],MATCH(AC$3,mthLkUp.tbl[Month],0)),1,0)</f>
        <v>0</v>
      </c>
      <c r="AD32" s="6">
        <f ca="1">IF(MONTH(sim.tbl[[#This Row],[SDate]])=INDEX(mthLkUp.tbl[Num],MATCH(AD$3,mthLkUp.tbl[Month],0)),1,0)</f>
        <v>0</v>
      </c>
      <c r="AE32" s="6">
        <f ca="1">IF(MONTH(sim.tbl[[#This Row],[SDate]])=INDEX(mthLkUp.tbl[Num],MATCH(AE$3,mthLkUp.tbl[Month],0)),1,0)</f>
        <v>0</v>
      </c>
      <c r="AF32" s="6">
        <f ca="1">IF(MONTH(sim.tbl[[#This Row],[SDate]])=INDEX(mthLkUp.tbl[Num],MATCH(AF$3,mthLkUp.tbl[Month],0)),1,0)</f>
        <v>0</v>
      </c>
      <c r="AG32" s="6">
        <f ca="1">IF(MONTH(sim.tbl[[#This Row],[SDate]])=INDEX(mthLkUp.tbl[Num],MATCH(AG$3,mthLkUp.tbl[Month],0)),1,0)</f>
        <v>0</v>
      </c>
      <c r="AH32" s="6">
        <f ca="1">IF(MONTH(sim.tbl[[#This Row],[SDate]])=INDEX(mthLkUp.tbl[Num],MATCH(AH$3,mthLkUp.tbl[Month],0)),1,0)</f>
        <v>0</v>
      </c>
      <c r="AI32" s="6">
        <f ca="1">IF(MONTH(sim.tbl[[#This Row],[SDate]])=INDEX(mthLkUp.tbl[Num],MATCH(AI$3,mthLkUp.tbl[Month],0)),1,0)</f>
        <v>0</v>
      </c>
      <c r="AJ32" s="6">
        <f ca="1">IF(MONTH(sim.tbl[[#This Row],[SDate]])=INDEX(mthLkUp.tbl[Num],MATCH(AJ$3,mthLkUp.tbl[Month],0)),1,0)</f>
        <v>0</v>
      </c>
      <c r="AK32" s="6">
        <v>1</v>
      </c>
      <c r="AL32" s="5">
        <f>sim.tbl[[#This Row],[Sulf]]*sim.tbl[[#This Row],[C5]]</f>
        <v>0</v>
      </c>
      <c r="AM32" s="5">
        <f>sim.tbl[[#This Row],[Sulf]]*sim.tbl[[#This Row],[Light_LSB]]</f>
        <v>0.53</v>
      </c>
      <c r="AN32" s="5">
        <f>sim.tbl[[#This Row],[Sulf]]*sim.tbl[[#This Row],[Light_SW]]</f>
        <v>0</v>
      </c>
      <c r="AO32" s="5">
        <f>sim.tbl[[#This Row],[Sulf]]*sim.tbl[[#This Row],[Medium_LSB]]</f>
        <v>0</v>
      </c>
      <c r="AP32" s="5">
        <f>sim.tbl[[#This Row],[Sulf]]*sim.tbl[[#This Row],[Medium_SW]]</f>
        <v>0</v>
      </c>
      <c r="AQ32" s="5">
        <f>sim.tbl[[#This Row],[Sulf]]*sim.tbl[[#This Row],[Midale]]</f>
        <v>0</v>
      </c>
      <c r="AR32" s="5">
        <f>sim.tbl[[#This Row],[Sulf]]*sim.tbl[[#This Row],[Heavy_Sour]]</f>
        <v>0</v>
      </c>
      <c r="AS32" s="5">
        <f>sim.tbl[[#This Row],[Sulf]]*sim.tbl[[#This Row],[Heavy_SW]]</f>
        <v>0</v>
      </c>
      <c r="AT32" s="5">
        <f>sim.tbl[[#This Row],[Dens]]*sim.tbl[[#This Row],[C5]]</f>
        <v>0</v>
      </c>
      <c r="AU32" s="5">
        <f>sim.tbl[[#This Row],[Dens]]*sim.tbl[[#This Row],[Light_LSB]]</f>
        <v>819.9</v>
      </c>
      <c r="AV32" s="5">
        <f>sim.tbl[[#This Row],[Dens]]*sim.tbl[[#This Row],[Light_SW]]</f>
        <v>0</v>
      </c>
      <c r="AW32" s="5">
        <f>sim.tbl[[#This Row],[Dens]]*sim.tbl[[#This Row],[Medium_LSB]]</f>
        <v>0</v>
      </c>
      <c r="AX32" s="5">
        <f>sim.tbl[[#This Row],[Dens]]*sim.tbl[[#This Row],[Medium_SW]]</f>
        <v>0</v>
      </c>
      <c r="AY32" s="5">
        <f>sim.tbl[[#This Row],[Dens]]*sim.tbl[[#This Row],[Midale]]</f>
        <v>0</v>
      </c>
      <c r="AZ32" s="5">
        <f>sim.tbl[[#This Row],[Dens]]*sim.tbl[[#This Row],[Heavy_Sour]]</f>
        <v>0</v>
      </c>
      <c r="BA32" s="5">
        <f>sim.tbl[[#This Row],[Dens]]*sim.tbl[[#This Row],[Heavy_SW]]</f>
        <v>0</v>
      </c>
      <c r="BB32" s="5">
        <f>sim.tbl[[#This Row],[Temp.Roll]]*sim.tbl[[#This Row],[C5]]</f>
        <v>0</v>
      </c>
      <c r="BC32" s="5">
        <f>sim.tbl[[#This Row],[Temp.Roll]]*sim.tbl[[#This Row],[Light_LSB]]</f>
        <v>-20.5</v>
      </c>
      <c r="BD32" s="5">
        <f>sim.tbl[[#This Row],[Temp.Roll]]*sim.tbl[[#This Row],[Light_SW]]</f>
        <v>0</v>
      </c>
      <c r="BE32" s="5">
        <f>sim.tbl[[#This Row],[Temp.Roll]]*sim.tbl[[#This Row],[Medium_LSB]]</f>
        <v>0</v>
      </c>
      <c r="BF32" s="5">
        <f>sim.tbl[[#This Row],[Temp.Roll]]*sim.tbl[[#This Row],[Medium_SW]]</f>
        <v>0</v>
      </c>
      <c r="BG32" s="5">
        <f>sim.tbl[[#This Row],[Temp.Roll]]*sim.tbl[[#This Row],[Midale]]</f>
        <v>0</v>
      </c>
      <c r="BH32" s="5">
        <f>sim.tbl[[#This Row],[Temp.Roll]]*sim.tbl[[#This Row],[Heavy_Sour]]</f>
        <v>0</v>
      </c>
      <c r="BI32" s="5">
        <f>sim.tbl[[#This Row],[Temp.Roll]]*sim.tbl[[#This Row],[Heavy_SW]]</f>
        <v>0</v>
      </c>
    </row>
    <row r="33" spans="4:61" x14ac:dyDescent="0.25">
      <c r="D33" s="5">
        <f ca="1">SUMPRODUCT($F$1:$BI$1,sim.tbl[[#This Row],[Intercept]:[Temp.Roll:Heavy_SW]])</f>
        <v>81.396339977383917</v>
      </c>
      <c r="E33" s="14">
        <f ca="1">DATE(YEAR(TODAY()),INDEX(mthLkUp.tbl[Num],MATCH(mth.input,mthLkUp.tbl[Month],0)),1)</f>
        <v>42795</v>
      </c>
      <c r="F33" s="6">
        <f>1</f>
        <v>1</v>
      </c>
      <c r="G33" s="5">
        <v>1.36</v>
      </c>
      <c r="H33" s="5">
        <v>826.3</v>
      </c>
      <c r="I33" s="5">
        <v>4.483333333</v>
      </c>
      <c r="J33" s="5">
        <v>4.4000000000000004</v>
      </c>
      <c r="K33" s="5">
        <v>6.5</v>
      </c>
      <c r="L33" s="5">
        <v>4.4000000000000004</v>
      </c>
      <c r="M33" s="5">
        <v>3.8</v>
      </c>
      <c r="N33" s="5">
        <v>3.5</v>
      </c>
      <c r="O33" s="5">
        <v>4.7</v>
      </c>
      <c r="P33" s="5">
        <v>4</v>
      </c>
      <c r="Q33" s="6">
        <f>IF(sim.tbl[[#This Row],[Dens]]&lt;=770,1,0)</f>
        <v>0</v>
      </c>
      <c r="R33" s="6">
        <f>IF(AND(sim.tbl[[#This Row],[Sulf]]&gt;0.5,sim.tbl[[#This Row],[Dens]]&gt;770,sim.tbl[[#This Row],[Dens]]&lt;=825),1,0)</f>
        <v>0</v>
      </c>
      <c r="S33" s="6">
        <f>IF(AND(sim.tbl[[#This Row],[Sulf]]&lt;=0.5,sim.tbl[[#This Row],[Dens]]&gt;770,sim.tbl[[#This Row],[Dens]]&lt;=825),1,0)</f>
        <v>0</v>
      </c>
      <c r="T33" s="6">
        <f>IF(AND(sim.tbl[[#This Row],[Sulf]]&gt;0.5,sim.tbl[[#This Row],[Dens]]&gt;825,sim.tbl[[#This Row],[Dens]]&lt;=870),1,0)</f>
        <v>1</v>
      </c>
      <c r="U33" s="6">
        <f>IF(AND(sim.tbl[[#This Row],[Sulf]]&lt;0.5,sim.tbl[[#This Row],[Dens]]&gt;825,sim.tbl[[#This Row],[Dens]]&lt;=900),1,0)</f>
        <v>0</v>
      </c>
      <c r="V33" s="6">
        <f>IF(AND(sim.tbl[[#This Row],[Sulf]]&gt;0.5,sim.tbl[[#This Row],[Dens]]&gt;870,sim.tbl[[#This Row],[Dens]]&lt;=900),1,0)</f>
        <v>0</v>
      </c>
      <c r="W33" s="6">
        <f>IF(AND(sim.tbl[[#This Row],[Sulf]]&gt;0.5,sim.tbl[[#This Row],[Dens]]&gt;900),1,0)</f>
        <v>0</v>
      </c>
      <c r="X33" s="6">
        <f>IF(AND(sim.tbl[[#This Row],[Sulf]]&lt;=0.5,sim.tbl[[#This Row],[Dens]]&gt;900),1,0)</f>
        <v>0</v>
      </c>
      <c r="Y33" s="6">
        <f ca="1">IF(MONTH(sim.tbl[[#This Row],[SDate]])=INDEX(mthLkUp.tbl[Num],MATCH(Y$3,mthLkUp.tbl[Month],0)),1,0)</f>
        <v>0</v>
      </c>
      <c r="Z33" s="6">
        <f ca="1">IF(MONTH(sim.tbl[[#This Row],[SDate]])=INDEX(mthLkUp.tbl[Num],MATCH(Z$3,mthLkUp.tbl[Month],0)),1,0)</f>
        <v>0</v>
      </c>
      <c r="AA33" s="6">
        <f ca="1">IF(MONTH(sim.tbl[[#This Row],[SDate]])=INDEX(mthLkUp.tbl[Num],MATCH(AA$3,mthLkUp.tbl[Month],0)),1,0)</f>
        <v>1</v>
      </c>
      <c r="AB33" s="6">
        <f ca="1">IF(MONTH(sim.tbl[[#This Row],[SDate]])=INDEX(mthLkUp.tbl[Num],MATCH(AB$3,mthLkUp.tbl[Month],0)),1,0)</f>
        <v>0</v>
      </c>
      <c r="AC33" s="6">
        <f ca="1">IF(MONTH(sim.tbl[[#This Row],[SDate]])=INDEX(mthLkUp.tbl[Num],MATCH(AC$3,mthLkUp.tbl[Month],0)),1,0)</f>
        <v>0</v>
      </c>
      <c r="AD33" s="6">
        <f ca="1">IF(MONTH(sim.tbl[[#This Row],[SDate]])=INDEX(mthLkUp.tbl[Num],MATCH(AD$3,mthLkUp.tbl[Month],0)),1,0)</f>
        <v>0</v>
      </c>
      <c r="AE33" s="6">
        <f ca="1">IF(MONTH(sim.tbl[[#This Row],[SDate]])=INDEX(mthLkUp.tbl[Num],MATCH(AE$3,mthLkUp.tbl[Month],0)),1,0)</f>
        <v>0</v>
      </c>
      <c r="AF33" s="6">
        <f ca="1">IF(MONTH(sim.tbl[[#This Row],[SDate]])=INDEX(mthLkUp.tbl[Num],MATCH(AF$3,mthLkUp.tbl[Month],0)),1,0)</f>
        <v>0</v>
      </c>
      <c r="AG33" s="6">
        <f ca="1">IF(MONTH(sim.tbl[[#This Row],[SDate]])=INDEX(mthLkUp.tbl[Num],MATCH(AG$3,mthLkUp.tbl[Month],0)),1,0)</f>
        <v>0</v>
      </c>
      <c r="AH33" s="6">
        <f ca="1">IF(MONTH(sim.tbl[[#This Row],[SDate]])=INDEX(mthLkUp.tbl[Num],MATCH(AH$3,mthLkUp.tbl[Month],0)),1,0)</f>
        <v>0</v>
      </c>
      <c r="AI33" s="6">
        <f ca="1">IF(MONTH(sim.tbl[[#This Row],[SDate]])=INDEX(mthLkUp.tbl[Num],MATCH(AI$3,mthLkUp.tbl[Month],0)),1,0)</f>
        <v>0</v>
      </c>
      <c r="AJ33" s="6">
        <f ca="1">IF(MONTH(sim.tbl[[#This Row],[SDate]])=INDEX(mthLkUp.tbl[Num],MATCH(AJ$3,mthLkUp.tbl[Month],0)),1,0)</f>
        <v>0</v>
      </c>
      <c r="AK33" s="6">
        <v>1</v>
      </c>
      <c r="AL33" s="5">
        <f>sim.tbl[[#This Row],[Sulf]]*sim.tbl[[#This Row],[C5]]</f>
        <v>0</v>
      </c>
      <c r="AM33" s="5">
        <f>sim.tbl[[#This Row],[Sulf]]*sim.tbl[[#This Row],[Light_LSB]]</f>
        <v>0</v>
      </c>
      <c r="AN33" s="5">
        <f>sim.tbl[[#This Row],[Sulf]]*sim.tbl[[#This Row],[Light_SW]]</f>
        <v>0</v>
      </c>
      <c r="AO33" s="5">
        <f>sim.tbl[[#This Row],[Sulf]]*sim.tbl[[#This Row],[Medium_LSB]]</f>
        <v>1.36</v>
      </c>
      <c r="AP33" s="5">
        <f>sim.tbl[[#This Row],[Sulf]]*sim.tbl[[#This Row],[Medium_SW]]</f>
        <v>0</v>
      </c>
      <c r="AQ33" s="5">
        <f>sim.tbl[[#This Row],[Sulf]]*sim.tbl[[#This Row],[Midale]]</f>
        <v>0</v>
      </c>
      <c r="AR33" s="5">
        <f>sim.tbl[[#This Row],[Sulf]]*sim.tbl[[#This Row],[Heavy_Sour]]</f>
        <v>0</v>
      </c>
      <c r="AS33" s="5">
        <f>sim.tbl[[#This Row],[Sulf]]*sim.tbl[[#This Row],[Heavy_SW]]</f>
        <v>0</v>
      </c>
      <c r="AT33" s="5">
        <f>sim.tbl[[#This Row],[Dens]]*sim.tbl[[#This Row],[C5]]</f>
        <v>0</v>
      </c>
      <c r="AU33" s="5">
        <f>sim.tbl[[#This Row],[Dens]]*sim.tbl[[#This Row],[Light_LSB]]</f>
        <v>0</v>
      </c>
      <c r="AV33" s="5">
        <f>sim.tbl[[#This Row],[Dens]]*sim.tbl[[#This Row],[Light_SW]]</f>
        <v>0</v>
      </c>
      <c r="AW33" s="5">
        <f>sim.tbl[[#This Row],[Dens]]*sim.tbl[[#This Row],[Medium_LSB]]</f>
        <v>826.3</v>
      </c>
      <c r="AX33" s="5">
        <f>sim.tbl[[#This Row],[Dens]]*sim.tbl[[#This Row],[Medium_SW]]</f>
        <v>0</v>
      </c>
      <c r="AY33" s="5">
        <f>sim.tbl[[#This Row],[Dens]]*sim.tbl[[#This Row],[Midale]]</f>
        <v>0</v>
      </c>
      <c r="AZ33" s="5">
        <f>sim.tbl[[#This Row],[Dens]]*sim.tbl[[#This Row],[Heavy_Sour]]</f>
        <v>0</v>
      </c>
      <c r="BA33" s="5">
        <f>sim.tbl[[#This Row],[Dens]]*sim.tbl[[#This Row],[Heavy_SW]]</f>
        <v>0</v>
      </c>
      <c r="BB33" s="5">
        <f>sim.tbl[[#This Row],[Temp.Roll]]*sim.tbl[[#This Row],[C5]]</f>
        <v>0</v>
      </c>
      <c r="BC33" s="5">
        <f>sim.tbl[[#This Row],[Temp.Roll]]*sim.tbl[[#This Row],[Light_LSB]]</f>
        <v>0</v>
      </c>
      <c r="BD33" s="5">
        <f>sim.tbl[[#This Row],[Temp.Roll]]*sim.tbl[[#This Row],[Light_SW]]</f>
        <v>0</v>
      </c>
      <c r="BE33" s="5">
        <f>sim.tbl[[#This Row],[Temp.Roll]]*sim.tbl[[#This Row],[Medium_LSB]]</f>
        <v>4.4000000000000004</v>
      </c>
      <c r="BF33" s="5">
        <f>sim.tbl[[#This Row],[Temp.Roll]]*sim.tbl[[#This Row],[Medium_SW]]</f>
        <v>0</v>
      </c>
      <c r="BG33" s="5">
        <f>sim.tbl[[#This Row],[Temp.Roll]]*sim.tbl[[#This Row],[Midale]]</f>
        <v>0</v>
      </c>
      <c r="BH33" s="5">
        <f>sim.tbl[[#This Row],[Temp.Roll]]*sim.tbl[[#This Row],[Heavy_Sour]]</f>
        <v>0</v>
      </c>
      <c r="BI33" s="5">
        <f>sim.tbl[[#This Row],[Temp.Roll]]*sim.tbl[[#This Row],[Heavy_SW]]</f>
        <v>0</v>
      </c>
    </row>
    <row r="34" spans="4:61" x14ac:dyDescent="0.25">
      <c r="D34" s="5">
        <f ca="1">SUMPRODUCT($F$1:$BI$1,sim.tbl[[#This Row],[Intercept]:[Temp.Roll:Heavy_SW]])</f>
        <v>85.502838844598983</v>
      </c>
      <c r="E34" s="14">
        <f ca="1">DATE(YEAR(TODAY()),INDEX(mthLkUp.tbl[Num],MATCH(mth.input,mthLkUp.tbl[Month],0)),1)</f>
        <v>42795</v>
      </c>
      <c r="F34" s="6">
        <f>1</f>
        <v>1</v>
      </c>
      <c r="G34" s="5">
        <v>0.79</v>
      </c>
      <c r="H34" s="5">
        <v>834.2</v>
      </c>
      <c r="I34" s="5">
        <v>-12.91666667</v>
      </c>
      <c r="J34" s="5">
        <v>-13.6</v>
      </c>
      <c r="K34" s="5">
        <v>-12.8</v>
      </c>
      <c r="L34" s="5">
        <v>-13.6</v>
      </c>
      <c r="M34" s="5">
        <v>-12.5</v>
      </c>
      <c r="N34" s="5">
        <v>-13.3</v>
      </c>
      <c r="O34" s="5">
        <v>-12.9</v>
      </c>
      <c r="P34" s="5">
        <v>-12.4</v>
      </c>
      <c r="Q34" s="6">
        <f>IF(sim.tbl[[#This Row],[Dens]]&lt;=770,1,0)</f>
        <v>0</v>
      </c>
      <c r="R34" s="6">
        <f>IF(AND(sim.tbl[[#This Row],[Sulf]]&gt;0.5,sim.tbl[[#This Row],[Dens]]&gt;770,sim.tbl[[#This Row],[Dens]]&lt;=825),1,0)</f>
        <v>0</v>
      </c>
      <c r="S34" s="6">
        <f>IF(AND(sim.tbl[[#This Row],[Sulf]]&lt;=0.5,sim.tbl[[#This Row],[Dens]]&gt;770,sim.tbl[[#This Row],[Dens]]&lt;=825),1,0)</f>
        <v>0</v>
      </c>
      <c r="T34" s="6">
        <f>IF(AND(sim.tbl[[#This Row],[Sulf]]&gt;0.5,sim.tbl[[#This Row],[Dens]]&gt;825,sim.tbl[[#This Row],[Dens]]&lt;=870),1,0)</f>
        <v>1</v>
      </c>
      <c r="U34" s="6">
        <f>IF(AND(sim.tbl[[#This Row],[Sulf]]&lt;0.5,sim.tbl[[#This Row],[Dens]]&gt;825,sim.tbl[[#This Row],[Dens]]&lt;=900),1,0)</f>
        <v>0</v>
      </c>
      <c r="V34" s="6">
        <f>IF(AND(sim.tbl[[#This Row],[Sulf]]&gt;0.5,sim.tbl[[#This Row],[Dens]]&gt;870,sim.tbl[[#This Row],[Dens]]&lt;=900),1,0)</f>
        <v>0</v>
      </c>
      <c r="W34" s="6">
        <f>IF(AND(sim.tbl[[#This Row],[Sulf]]&gt;0.5,sim.tbl[[#This Row],[Dens]]&gt;900),1,0)</f>
        <v>0</v>
      </c>
      <c r="X34" s="6">
        <f>IF(AND(sim.tbl[[#This Row],[Sulf]]&lt;=0.5,sim.tbl[[#This Row],[Dens]]&gt;900),1,0)</f>
        <v>0</v>
      </c>
      <c r="Y34" s="6">
        <f ca="1">IF(MONTH(sim.tbl[[#This Row],[SDate]])=INDEX(mthLkUp.tbl[Num],MATCH(Y$3,mthLkUp.tbl[Month],0)),1,0)</f>
        <v>0</v>
      </c>
      <c r="Z34" s="6">
        <f ca="1">IF(MONTH(sim.tbl[[#This Row],[SDate]])=INDEX(mthLkUp.tbl[Num],MATCH(Z$3,mthLkUp.tbl[Month],0)),1,0)</f>
        <v>0</v>
      </c>
      <c r="AA34" s="6">
        <f ca="1">IF(MONTH(sim.tbl[[#This Row],[SDate]])=INDEX(mthLkUp.tbl[Num],MATCH(AA$3,mthLkUp.tbl[Month],0)),1,0)</f>
        <v>1</v>
      </c>
      <c r="AB34" s="6">
        <f ca="1">IF(MONTH(sim.tbl[[#This Row],[SDate]])=INDEX(mthLkUp.tbl[Num],MATCH(AB$3,mthLkUp.tbl[Month],0)),1,0)</f>
        <v>0</v>
      </c>
      <c r="AC34" s="6">
        <f ca="1">IF(MONTH(sim.tbl[[#This Row],[SDate]])=INDEX(mthLkUp.tbl[Num],MATCH(AC$3,mthLkUp.tbl[Month],0)),1,0)</f>
        <v>0</v>
      </c>
      <c r="AD34" s="6">
        <f ca="1">IF(MONTH(sim.tbl[[#This Row],[SDate]])=INDEX(mthLkUp.tbl[Num],MATCH(AD$3,mthLkUp.tbl[Month],0)),1,0)</f>
        <v>0</v>
      </c>
      <c r="AE34" s="6">
        <f ca="1">IF(MONTH(sim.tbl[[#This Row],[SDate]])=INDEX(mthLkUp.tbl[Num],MATCH(AE$3,mthLkUp.tbl[Month],0)),1,0)</f>
        <v>0</v>
      </c>
      <c r="AF34" s="6">
        <f ca="1">IF(MONTH(sim.tbl[[#This Row],[SDate]])=INDEX(mthLkUp.tbl[Num],MATCH(AF$3,mthLkUp.tbl[Month],0)),1,0)</f>
        <v>0</v>
      </c>
      <c r="AG34" s="6">
        <f ca="1">IF(MONTH(sim.tbl[[#This Row],[SDate]])=INDEX(mthLkUp.tbl[Num],MATCH(AG$3,mthLkUp.tbl[Month],0)),1,0)</f>
        <v>0</v>
      </c>
      <c r="AH34" s="6">
        <f ca="1">IF(MONTH(sim.tbl[[#This Row],[SDate]])=INDEX(mthLkUp.tbl[Num],MATCH(AH$3,mthLkUp.tbl[Month],0)),1,0)</f>
        <v>0</v>
      </c>
      <c r="AI34" s="6">
        <f ca="1">IF(MONTH(sim.tbl[[#This Row],[SDate]])=INDEX(mthLkUp.tbl[Num],MATCH(AI$3,mthLkUp.tbl[Month],0)),1,0)</f>
        <v>0</v>
      </c>
      <c r="AJ34" s="6">
        <f ca="1">IF(MONTH(sim.tbl[[#This Row],[SDate]])=INDEX(mthLkUp.tbl[Num],MATCH(AJ$3,mthLkUp.tbl[Month],0)),1,0)</f>
        <v>0</v>
      </c>
      <c r="AK34" s="6">
        <v>1</v>
      </c>
      <c r="AL34" s="5">
        <f>sim.tbl[[#This Row],[Sulf]]*sim.tbl[[#This Row],[C5]]</f>
        <v>0</v>
      </c>
      <c r="AM34" s="5">
        <f>sim.tbl[[#This Row],[Sulf]]*sim.tbl[[#This Row],[Light_LSB]]</f>
        <v>0</v>
      </c>
      <c r="AN34" s="5">
        <f>sim.tbl[[#This Row],[Sulf]]*sim.tbl[[#This Row],[Light_SW]]</f>
        <v>0</v>
      </c>
      <c r="AO34" s="5">
        <f>sim.tbl[[#This Row],[Sulf]]*sim.tbl[[#This Row],[Medium_LSB]]</f>
        <v>0.79</v>
      </c>
      <c r="AP34" s="5">
        <f>sim.tbl[[#This Row],[Sulf]]*sim.tbl[[#This Row],[Medium_SW]]</f>
        <v>0</v>
      </c>
      <c r="AQ34" s="5">
        <f>sim.tbl[[#This Row],[Sulf]]*sim.tbl[[#This Row],[Midale]]</f>
        <v>0</v>
      </c>
      <c r="AR34" s="5">
        <f>sim.tbl[[#This Row],[Sulf]]*sim.tbl[[#This Row],[Heavy_Sour]]</f>
        <v>0</v>
      </c>
      <c r="AS34" s="5">
        <f>sim.tbl[[#This Row],[Sulf]]*sim.tbl[[#This Row],[Heavy_SW]]</f>
        <v>0</v>
      </c>
      <c r="AT34" s="5">
        <f>sim.tbl[[#This Row],[Dens]]*sim.tbl[[#This Row],[C5]]</f>
        <v>0</v>
      </c>
      <c r="AU34" s="5">
        <f>sim.tbl[[#This Row],[Dens]]*sim.tbl[[#This Row],[Light_LSB]]</f>
        <v>0</v>
      </c>
      <c r="AV34" s="5">
        <f>sim.tbl[[#This Row],[Dens]]*sim.tbl[[#This Row],[Light_SW]]</f>
        <v>0</v>
      </c>
      <c r="AW34" s="5">
        <f>sim.tbl[[#This Row],[Dens]]*sim.tbl[[#This Row],[Medium_LSB]]</f>
        <v>834.2</v>
      </c>
      <c r="AX34" s="5">
        <f>sim.tbl[[#This Row],[Dens]]*sim.tbl[[#This Row],[Medium_SW]]</f>
        <v>0</v>
      </c>
      <c r="AY34" s="5">
        <f>sim.tbl[[#This Row],[Dens]]*sim.tbl[[#This Row],[Midale]]</f>
        <v>0</v>
      </c>
      <c r="AZ34" s="5">
        <f>sim.tbl[[#This Row],[Dens]]*sim.tbl[[#This Row],[Heavy_Sour]]</f>
        <v>0</v>
      </c>
      <c r="BA34" s="5">
        <f>sim.tbl[[#This Row],[Dens]]*sim.tbl[[#This Row],[Heavy_SW]]</f>
        <v>0</v>
      </c>
      <c r="BB34" s="5">
        <f>sim.tbl[[#This Row],[Temp.Roll]]*sim.tbl[[#This Row],[C5]]</f>
        <v>0</v>
      </c>
      <c r="BC34" s="5">
        <f>sim.tbl[[#This Row],[Temp.Roll]]*sim.tbl[[#This Row],[Light_LSB]]</f>
        <v>0</v>
      </c>
      <c r="BD34" s="5">
        <f>sim.tbl[[#This Row],[Temp.Roll]]*sim.tbl[[#This Row],[Light_SW]]</f>
        <v>0</v>
      </c>
      <c r="BE34" s="5">
        <f>sim.tbl[[#This Row],[Temp.Roll]]*sim.tbl[[#This Row],[Medium_LSB]]</f>
        <v>-13.6</v>
      </c>
      <c r="BF34" s="5">
        <f>sim.tbl[[#This Row],[Temp.Roll]]*sim.tbl[[#This Row],[Medium_SW]]</f>
        <v>0</v>
      </c>
      <c r="BG34" s="5">
        <f>sim.tbl[[#This Row],[Temp.Roll]]*sim.tbl[[#This Row],[Midale]]</f>
        <v>0</v>
      </c>
      <c r="BH34" s="5">
        <f>sim.tbl[[#This Row],[Temp.Roll]]*sim.tbl[[#This Row],[Heavy_Sour]]</f>
        <v>0</v>
      </c>
      <c r="BI34" s="5">
        <f>sim.tbl[[#This Row],[Temp.Roll]]*sim.tbl[[#This Row],[Heavy_SW]]</f>
        <v>0</v>
      </c>
    </row>
    <row r="35" spans="4:61" x14ac:dyDescent="0.25">
      <c r="D35" s="5">
        <f ca="1">SUMPRODUCT($F$1:$BI$1,sim.tbl[[#This Row],[Intercept]:[Temp.Roll:Heavy_SW]])</f>
        <v>77.008427523903265</v>
      </c>
      <c r="E35" s="14">
        <f ca="1">DATE(YEAR(TODAY()),INDEX(mthLkUp.tbl[Num],MATCH(mth.input,mthLkUp.tbl[Month],0)),1)</f>
        <v>42795</v>
      </c>
      <c r="F35" s="6">
        <f>1</f>
        <v>1</v>
      </c>
      <c r="G35" s="5">
        <v>1.08</v>
      </c>
      <c r="H35" s="5">
        <v>837.1</v>
      </c>
      <c r="I35" s="5">
        <v>7.54</v>
      </c>
      <c r="J35" s="5">
        <v>7.6</v>
      </c>
      <c r="K35" s="5">
        <v>8.1999999999999993</v>
      </c>
      <c r="L35" s="5">
        <v>7.6</v>
      </c>
      <c r="M35" s="5">
        <v>12.3</v>
      </c>
      <c r="N35" s="5">
        <v>8</v>
      </c>
      <c r="O35" s="5">
        <v>7.7</v>
      </c>
      <c r="P35" s="5">
        <v>6.2</v>
      </c>
      <c r="Q35" s="6">
        <f>IF(sim.tbl[[#This Row],[Dens]]&lt;=770,1,0)</f>
        <v>0</v>
      </c>
      <c r="R35" s="6">
        <f>IF(AND(sim.tbl[[#This Row],[Sulf]]&gt;0.5,sim.tbl[[#This Row],[Dens]]&gt;770,sim.tbl[[#This Row],[Dens]]&lt;=825),1,0)</f>
        <v>0</v>
      </c>
      <c r="S35" s="6">
        <f>IF(AND(sim.tbl[[#This Row],[Sulf]]&lt;=0.5,sim.tbl[[#This Row],[Dens]]&gt;770,sim.tbl[[#This Row],[Dens]]&lt;=825),1,0)</f>
        <v>0</v>
      </c>
      <c r="T35" s="6">
        <f>IF(AND(sim.tbl[[#This Row],[Sulf]]&gt;0.5,sim.tbl[[#This Row],[Dens]]&gt;825,sim.tbl[[#This Row],[Dens]]&lt;=870),1,0)</f>
        <v>1</v>
      </c>
      <c r="U35" s="6">
        <f>IF(AND(sim.tbl[[#This Row],[Sulf]]&lt;0.5,sim.tbl[[#This Row],[Dens]]&gt;825,sim.tbl[[#This Row],[Dens]]&lt;=900),1,0)</f>
        <v>0</v>
      </c>
      <c r="V35" s="6">
        <f>IF(AND(sim.tbl[[#This Row],[Sulf]]&gt;0.5,sim.tbl[[#This Row],[Dens]]&gt;870,sim.tbl[[#This Row],[Dens]]&lt;=900),1,0)</f>
        <v>0</v>
      </c>
      <c r="W35" s="6">
        <f>IF(AND(sim.tbl[[#This Row],[Sulf]]&gt;0.5,sim.tbl[[#This Row],[Dens]]&gt;900),1,0)</f>
        <v>0</v>
      </c>
      <c r="X35" s="6">
        <f>IF(AND(sim.tbl[[#This Row],[Sulf]]&lt;=0.5,sim.tbl[[#This Row],[Dens]]&gt;900),1,0)</f>
        <v>0</v>
      </c>
      <c r="Y35" s="6">
        <f ca="1">IF(MONTH(sim.tbl[[#This Row],[SDate]])=INDEX(mthLkUp.tbl[Num],MATCH(Y$3,mthLkUp.tbl[Month],0)),1,0)</f>
        <v>0</v>
      </c>
      <c r="Z35" s="6">
        <f ca="1">IF(MONTH(sim.tbl[[#This Row],[SDate]])=INDEX(mthLkUp.tbl[Num],MATCH(Z$3,mthLkUp.tbl[Month],0)),1,0)</f>
        <v>0</v>
      </c>
      <c r="AA35" s="6">
        <f ca="1">IF(MONTH(sim.tbl[[#This Row],[SDate]])=INDEX(mthLkUp.tbl[Num],MATCH(AA$3,mthLkUp.tbl[Month],0)),1,0)</f>
        <v>1</v>
      </c>
      <c r="AB35" s="6">
        <f ca="1">IF(MONTH(sim.tbl[[#This Row],[SDate]])=INDEX(mthLkUp.tbl[Num],MATCH(AB$3,mthLkUp.tbl[Month],0)),1,0)</f>
        <v>0</v>
      </c>
      <c r="AC35" s="6">
        <f ca="1">IF(MONTH(sim.tbl[[#This Row],[SDate]])=INDEX(mthLkUp.tbl[Num],MATCH(AC$3,mthLkUp.tbl[Month],0)),1,0)</f>
        <v>0</v>
      </c>
      <c r="AD35" s="6">
        <f ca="1">IF(MONTH(sim.tbl[[#This Row],[SDate]])=INDEX(mthLkUp.tbl[Num],MATCH(AD$3,mthLkUp.tbl[Month],0)),1,0)</f>
        <v>0</v>
      </c>
      <c r="AE35" s="6">
        <f ca="1">IF(MONTH(sim.tbl[[#This Row],[SDate]])=INDEX(mthLkUp.tbl[Num],MATCH(AE$3,mthLkUp.tbl[Month],0)),1,0)</f>
        <v>0</v>
      </c>
      <c r="AF35" s="6">
        <f ca="1">IF(MONTH(sim.tbl[[#This Row],[SDate]])=INDEX(mthLkUp.tbl[Num],MATCH(AF$3,mthLkUp.tbl[Month],0)),1,0)</f>
        <v>0</v>
      </c>
      <c r="AG35" s="6">
        <f ca="1">IF(MONTH(sim.tbl[[#This Row],[SDate]])=INDEX(mthLkUp.tbl[Num],MATCH(AG$3,mthLkUp.tbl[Month],0)),1,0)</f>
        <v>0</v>
      </c>
      <c r="AH35" s="6">
        <f ca="1">IF(MONTH(sim.tbl[[#This Row],[SDate]])=INDEX(mthLkUp.tbl[Num],MATCH(AH$3,mthLkUp.tbl[Month],0)),1,0)</f>
        <v>0</v>
      </c>
      <c r="AI35" s="6">
        <f ca="1">IF(MONTH(sim.tbl[[#This Row],[SDate]])=INDEX(mthLkUp.tbl[Num],MATCH(AI$3,mthLkUp.tbl[Month],0)),1,0)</f>
        <v>0</v>
      </c>
      <c r="AJ35" s="6">
        <f ca="1">IF(MONTH(sim.tbl[[#This Row],[SDate]])=INDEX(mthLkUp.tbl[Num],MATCH(AJ$3,mthLkUp.tbl[Month],0)),1,0)</f>
        <v>0</v>
      </c>
      <c r="AK35" s="6">
        <v>1</v>
      </c>
      <c r="AL35" s="5">
        <f>sim.tbl[[#This Row],[Sulf]]*sim.tbl[[#This Row],[C5]]</f>
        <v>0</v>
      </c>
      <c r="AM35" s="5">
        <f>sim.tbl[[#This Row],[Sulf]]*sim.tbl[[#This Row],[Light_LSB]]</f>
        <v>0</v>
      </c>
      <c r="AN35" s="5">
        <f>sim.tbl[[#This Row],[Sulf]]*sim.tbl[[#This Row],[Light_SW]]</f>
        <v>0</v>
      </c>
      <c r="AO35" s="5">
        <f>sim.tbl[[#This Row],[Sulf]]*sim.tbl[[#This Row],[Medium_LSB]]</f>
        <v>1.08</v>
      </c>
      <c r="AP35" s="5">
        <f>sim.tbl[[#This Row],[Sulf]]*sim.tbl[[#This Row],[Medium_SW]]</f>
        <v>0</v>
      </c>
      <c r="AQ35" s="5">
        <f>sim.tbl[[#This Row],[Sulf]]*sim.tbl[[#This Row],[Midale]]</f>
        <v>0</v>
      </c>
      <c r="AR35" s="5">
        <f>sim.tbl[[#This Row],[Sulf]]*sim.tbl[[#This Row],[Heavy_Sour]]</f>
        <v>0</v>
      </c>
      <c r="AS35" s="5">
        <f>sim.tbl[[#This Row],[Sulf]]*sim.tbl[[#This Row],[Heavy_SW]]</f>
        <v>0</v>
      </c>
      <c r="AT35" s="5">
        <f>sim.tbl[[#This Row],[Dens]]*sim.tbl[[#This Row],[C5]]</f>
        <v>0</v>
      </c>
      <c r="AU35" s="5">
        <f>sim.tbl[[#This Row],[Dens]]*sim.tbl[[#This Row],[Light_LSB]]</f>
        <v>0</v>
      </c>
      <c r="AV35" s="5">
        <f>sim.tbl[[#This Row],[Dens]]*sim.tbl[[#This Row],[Light_SW]]</f>
        <v>0</v>
      </c>
      <c r="AW35" s="5">
        <f>sim.tbl[[#This Row],[Dens]]*sim.tbl[[#This Row],[Medium_LSB]]</f>
        <v>837.1</v>
      </c>
      <c r="AX35" s="5">
        <f>sim.tbl[[#This Row],[Dens]]*sim.tbl[[#This Row],[Medium_SW]]</f>
        <v>0</v>
      </c>
      <c r="AY35" s="5">
        <f>sim.tbl[[#This Row],[Dens]]*sim.tbl[[#This Row],[Midale]]</f>
        <v>0</v>
      </c>
      <c r="AZ35" s="5">
        <f>sim.tbl[[#This Row],[Dens]]*sim.tbl[[#This Row],[Heavy_Sour]]</f>
        <v>0</v>
      </c>
      <c r="BA35" s="5">
        <f>sim.tbl[[#This Row],[Dens]]*sim.tbl[[#This Row],[Heavy_SW]]</f>
        <v>0</v>
      </c>
      <c r="BB35" s="5">
        <f>sim.tbl[[#This Row],[Temp.Roll]]*sim.tbl[[#This Row],[C5]]</f>
        <v>0</v>
      </c>
      <c r="BC35" s="5">
        <f>sim.tbl[[#This Row],[Temp.Roll]]*sim.tbl[[#This Row],[Light_LSB]]</f>
        <v>0</v>
      </c>
      <c r="BD35" s="5">
        <f>sim.tbl[[#This Row],[Temp.Roll]]*sim.tbl[[#This Row],[Light_SW]]</f>
        <v>0</v>
      </c>
      <c r="BE35" s="5">
        <f>sim.tbl[[#This Row],[Temp.Roll]]*sim.tbl[[#This Row],[Medium_LSB]]</f>
        <v>7.6</v>
      </c>
      <c r="BF35" s="5">
        <f>sim.tbl[[#This Row],[Temp.Roll]]*sim.tbl[[#This Row],[Medium_SW]]</f>
        <v>0</v>
      </c>
      <c r="BG35" s="5">
        <f>sim.tbl[[#This Row],[Temp.Roll]]*sim.tbl[[#This Row],[Midale]]</f>
        <v>0</v>
      </c>
      <c r="BH35" s="5">
        <f>sim.tbl[[#This Row],[Temp.Roll]]*sim.tbl[[#This Row],[Heavy_Sour]]</f>
        <v>0</v>
      </c>
      <c r="BI35" s="5">
        <f>sim.tbl[[#This Row],[Temp.Roll]]*sim.tbl[[#This Row],[Heavy_SW]]</f>
        <v>0</v>
      </c>
    </row>
    <row r="36" spans="4:61" x14ac:dyDescent="0.25">
      <c r="D36" s="5">
        <f ca="1">SUMPRODUCT($F$1:$BI$1,sim.tbl[[#This Row],[Intercept]:[Temp.Roll:Heavy_SW]])</f>
        <v>72.890500289403718</v>
      </c>
      <c r="E36" s="14">
        <f ca="1">DATE(YEAR(TODAY()),INDEX(mthLkUp.tbl[Num],MATCH(mth.input,mthLkUp.tbl[Month],0)),1)</f>
        <v>42795</v>
      </c>
      <c r="F36" s="6">
        <f>1</f>
        <v>1</v>
      </c>
      <c r="G36" s="5">
        <v>1.21</v>
      </c>
      <c r="H36" s="5">
        <v>854.2</v>
      </c>
      <c r="I36" s="5">
        <v>5.08</v>
      </c>
      <c r="J36" s="5">
        <v>4.8</v>
      </c>
      <c r="K36" s="5">
        <v>4.5</v>
      </c>
      <c r="L36" s="5">
        <v>4.8</v>
      </c>
      <c r="M36" s="5">
        <v>8.8000000000000007</v>
      </c>
      <c r="N36" s="5">
        <v>6.5</v>
      </c>
      <c r="O36" s="5">
        <v>4.7</v>
      </c>
      <c r="P36" s="5">
        <v>4.9000000000000004</v>
      </c>
      <c r="Q36" s="6">
        <f>IF(sim.tbl[[#This Row],[Dens]]&lt;=770,1,0)</f>
        <v>0</v>
      </c>
      <c r="R36" s="6">
        <f>IF(AND(sim.tbl[[#This Row],[Sulf]]&gt;0.5,sim.tbl[[#This Row],[Dens]]&gt;770,sim.tbl[[#This Row],[Dens]]&lt;=825),1,0)</f>
        <v>0</v>
      </c>
      <c r="S36" s="6">
        <f>IF(AND(sim.tbl[[#This Row],[Sulf]]&lt;=0.5,sim.tbl[[#This Row],[Dens]]&gt;770,sim.tbl[[#This Row],[Dens]]&lt;=825),1,0)</f>
        <v>0</v>
      </c>
      <c r="T36" s="6">
        <f>IF(AND(sim.tbl[[#This Row],[Sulf]]&gt;0.5,sim.tbl[[#This Row],[Dens]]&gt;825,sim.tbl[[#This Row],[Dens]]&lt;=870),1,0)</f>
        <v>1</v>
      </c>
      <c r="U36" s="6">
        <f>IF(AND(sim.tbl[[#This Row],[Sulf]]&lt;0.5,sim.tbl[[#This Row],[Dens]]&gt;825,sim.tbl[[#This Row],[Dens]]&lt;=900),1,0)</f>
        <v>0</v>
      </c>
      <c r="V36" s="6">
        <f>IF(AND(sim.tbl[[#This Row],[Sulf]]&gt;0.5,sim.tbl[[#This Row],[Dens]]&gt;870,sim.tbl[[#This Row],[Dens]]&lt;=900),1,0)</f>
        <v>0</v>
      </c>
      <c r="W36" s="6">
        <f>IF(AND(sim.tbl[[#This Row],[Sulf]]&gt;0.5,sim.tbl[[#This Row],[Dens]]&gt;900),1,0)</f>
        <v>0</v>
      </c>
      <c r="X36" s="6">
        <f>IF(AND(sim.tbl[[#This Row],[Sulf]]&lt;=0.5,sim.tbl[[#This Row],[Dens]]&gt;900),1,0)</f>
        <v>0</v>
      </c>
      <c r="Y36" s="6">
        <f ca="1">IF(MONTH(sim.tbl[[#This Row],[SDate]])=INDEX(mthLkUp.tbl[Num],MATCH(Y$3,mthLkUp.tbl[Month],0)),1,0)</f>
        <v>0</v>
      </c>
      <c r="Z36" s="6">
        <f ca="1">IF(MONTH(sim.tbl[[#This Row],[SDate]])=INDEX(mthLkUp.tbl[Num],MATCH(Z$3,mthLkUp.tbl[Month],0)),1,0)</f>
        <v>0</v>
      </c>
      <c r="AA36" s="6">
        <f ca="1">IF(MONTH(sim.tbl[[#This Row],[SDate]])=INDEX(mthLkUp.tbl[Num],MATCH(AA$3,mthLkUp.tbl[Month],0)),1,0)</f>
        <v>1</v>
      </c>
      <c r="AB36" s="6">
        <f ca="1">IF(MONTH(sim.tbl[[#This Row],[SDate]])=INDEX(mthLkUp.tbl[Num],MATCH(AB$3,mthLkUp.tbl[Month],0)),1,0)</f>
        <v>0</v>
      </c>
      <c r="AC36" s="6">
        <f ca="1">IF(MONTH(sim.tbl[[#This Row],[SDate]])=INDEX(mthLkUp.tbl[Num],MATCH(AC$3,mthLkUp.tbl[Month],0)),1,0)</f>
        <v>0</v>
      </c>
      <c r="AD36" s="6">
        <f ca="1">IF(MONTH(sim.tbl[[#This Row],[SDate]])=INDEX(mthLkUp.tbl[Num],MATCH(AD$3,mthLkUp.tbl[Month],0)),1,0)</f>
        <v>0</v>
      </c>
      <c r="AE36" s="6">
        <f ca="1">IF(MONTH(sim.tbl[[#This Row],[SDate]])=INDEX(mthLkUp.tbl[Num],MATCH(AE$3,mthLkUp.tbl[Month],0)),1,0)</f>
        <v>0</v>
      </c>
      <c r="AF36" s="6">
        <f ca="1">IF(MONTH(sim.tbl[[#This Row],[SDate]])=INDEX(mthLkUp.tbl[Num],MATCH(AF$3,mthLkUp.tbl[Month],0)),1,0)</f>
        <v>0</v>
      </c>
      <c r="AG36" s="6">
        <f ca="1">IF(MONTH(sim.tbl[[#This Row],[SDate]])=INDEX(mthLkUp.tbl[Num],MATCH(AG$3,mthLkUp.tbl[Month],0)),1,0)</f>
        <v>0</v>
      </c>
      <c r="AH36" s="6">
        <f ca="1">IF(MONTH(sim.tbl[[#This Row],[SDate]])=INDEX(mthLkUp.tbl[Num],MATCH(AH$3,mthLkUp.tbl[Month],0)),1,0)</f>
        <v>0</v>
      </c>
      <c r="AI36" s="6">
        <f ca="1">IF(MONTH(sim.tbl[[#This Row],[SDate]])=INDEX(mthLkUp.tbl[Num],MATCH(AI$3,mthLkUp.tbl[Month],0)),1,0)</f>
        <v>0</v>
      </c>
      <c r="AJ36" s="6">
        <f ca="1">IF(MONTH(sim.tbl[[#This Row],[SDate]])=INDEX(mthLkUp.tbl[Num],MATCH(AJ$3,mthLkUp.tbl[Month],0)),1,0)</f>
        <v>0</v>
      </c>
      <c r="AK36" s="6">
        <v>1</v>
      </c>
      <c r="AL36" s="5">
        <f>sim.tbl[[#This Row],[Sulf]]*sim.tbl[[#This Row],[C5]]</f>
        <v>0</v>
      </c>
      <c r="AM36" s="5">
        <f>sim.tbl[[#This Row],[Sulf]]*sim.tbl[[#This Row],[Light_LSB]]</f>
        <v>0</v>
      </c>
      <c r="AN36" s="5">
        <f>sim.tbl[[#This Row],[Sulf]]*sim.tbl[[#This Row],[Light_SW]]</f>
        <v>0</v>
      </c>
      <c r="AO36" s="5">
        <f>sim.tbl[[#This Row],[Sulf]]*sim.tbl[[#This Row],[Medium_LSB]]</f>
        <v>1.21</v>
      </c>
      <c r="AP36" s="5">
        <f>sim.tbl[[#This Row],[Sulf]]*sim.tbl[[#This Row],[Medium_SW]]</f>
        <v>0</v>
      </c>
      <c r="AQ36" s="5">
        <f>sim.tbl[[#This Row],[Sulf]]*sim.tbl[[#This Row],[Midale]]</f>
        <v>0</v>
      </c>
      <c r="AR36" s="5">
        <f>sim.tbl[[#This Row],[Sulf]]*sim.tbl[[#This Row],[Heavy_Sour]]</f>
        <v>0</v>
      </c>
      <c r="AS36" s="5">
        <f>sim.tbl[[#This Row],[Sulf]]*sim.tbl[[#This Row],[Heavy_SW]]</f>
        <v>0</v>
      </c>
      <c r="AT36" s="5">
        <f>sim.tbl[[#This Row],[Dens]]*sim.tbl[[#This Row],[C5]]</f>
        <v>0</v>
      </c>
      <c r="AU36" s="5">
        <f>sim.tbl[[#This Row],[Dens]]*sim.tbl[[#This Row],[Light_LSB]]</f>
        <v>0</v>
      </c>
      <c r="AV36" s="5">
        <f>sim.tbl[[#This Row],[Dens]]*sim.tbl[[#This Row],[Light_SW]]</f>
        <v>0</v>
      </c>
      <c r="AW36" s="5">
        <f>sim.tbl[[#This Row],[Dens]]*sim.tbl[[#This Row],[Medium_LSB]]</f>
        <v>854.2</v>
      </c>
      <c r="AX36" s="5">
        <f>sim.tbl[[#This Row],[Dens]]*sim.tbl[[#This Row],[Medium_SW]]</f>
        <v>0</v>
      </c>
      <c r="AY36" s="5">
        <f>sim.tbl[[#This Row],[Dens]]*sim.tbl[[#This Row],[Midale]]</f>
        <v>0</v>
      </c>
      <c r="AZ36" s="5">
        <f>sim.tbl[[#This Row],[Dens]]*sim.tbl[[#This Row],[Heavy_Sour]]</f>
        <v>0</v>
      </c>
      <c r="BA36" s="5">
        <f>sim.tbl[[#This Row],[Dens]]*sim.tbl[[#This Row],[Heavy_SW]]</f>
        <v>0</v>
      </c>
      <c r="BB36" s="5">
        <f>sim.tbl[[#This Row],[Temp.Roll]]*sim.tbl[[#This Row],[C5]]</f>
        <v>0</v>
      </c>
      <c r="BC36" s="5">
        <f>sim.tbl[[#This Row],[Temp.Roll]]*sim.tbl[[#This Row],[Light_LSB]]</f>
        <v>0</v>
      </c>
      <c r="BD36" s="5">
        <f>sim.tbl[[#This Row],[Temp.Roll]]*sim.tbl[[#This Row],[Light_SW]]</f>
        <v>0</v>
      </c>
      <c r="BE36" s="5">
        <f>sim.tbl[[#This Row],[Temp.Roll]]*sim.tbl[[#This Row],[Medium_LSB]]</f>
        <v>4.8</v>
      </c>
      <c r="BF36" s="5">
        <f>sim.tbl[[#This Row],[Temp.Roll]]*sim.tbl[[#This Row],[Medium_SW]]</f>
        <v>0</v>
      </c>
      <c r="BG36" s="5">
        <f>sim.tbl[[#This Row],[Temp.Roll]]*sim.tbl[[#This Row],[Midale]]</f>
        <v>0</v>
      </c>
      <c r="BH36" s="5">
        <f>sim.tbl[[#This Row],[Temp.Roll]]*sim.tbl[[#This Row],[Heavy_Sour]]</f>
        <v>0</v>
      </c>
      <c r="BI36" s="5">
        <f>sim.tbl[[#This Row],[Temp.Roll]]*sim.tbl[[#This Row],[Heavy_SW]]</f>
        <v>0</v>
      </c>
    </row>
    <row r="37" spans="4:61" x14ac:dyDescent="0.25">
      <c r="D37" s="5">
        <f ca="1">SUMPRODUCT($F$1:$BI$1,sim.tbl[[#This Row],[Intercept]:[Temp.Roll:Heavy_SW]])</f>
        <v>89.180584887343144</v>
      </c>
      <c r="E37" s="14">
        <f ca="1">DATE(YEAR(TODAY()),INDEX(mthLkUp.tbl[Num],MATCH(mth.input,mthLkUp.tbl[Month],0)),1)</f>
        <v>42795</v>
      </c>
      <c r="F37" s="6">
        <f>1</f>
        <v>1</v>
      </c>
      <c r="G37" s="5">
        <v>0.3</v>
      </c>
      <c r="H37" s="5">
        <v>808.1</v>
      </c>
      <c r="I37" s="5">
        <v>-2.1</v>
      </c>
      <c r="J37" s="5">
        <v>-1.7</v>
      </c>
      <c r="K37" s="5">
        <v>-1.9</v>
      </c>
      <c r="L37" s="5">
        <v>-1.7</v>
      </c>
      <c r="M37" s="5">
        <v>-3.8</v>
      </c>
      <c r="N37" s="5">
        <v>-1</v>
      </c>
      <c r="O37" s="5">
        <v>-1.4</v>
      </c>
      <c r="P37" s="5">
        <v>-2.8</v>
      </c>
      <c r="Q37" s="6">
        <f>IF(sim.tbl[[#This Row],[Dens]]&lt;=770,1,0)</f>
        <v>0</v>
      </c>
      <c r="R37" s="6">
        <f>IF(AND(sim.tbl[[#This Row],[Sulf]]&gt;0.5,sim.tbl[[#This Row],[Dens]]&gt;770,sim.tbl[[#This Row],[Dens]]&lt;=825),1,0)</f>
        <v>0</v>
      </c>
      <c r="S37" s="6">
        <f>IF(AND(sim.tbl[[#This Row],[Sulf]]&lt;=0.5,sim.tbl[[#This Row],[Dens]]&gt;770,sim.tbl[[#This Row],[Dens]]&lt;=825),1,0)</f>
        <v>1</v>
      </c>
      <c r="T37" s="6">
        <f>IF(AND(sim.tbl[[#This Row],[Sulf]]&gt;0.5,sim.tbl[[#This Row],[Dens]]&gt;825,sim.tbl[[#This Row],[Dens]]&lt;=870),1,0)</f>
        <v>0</v>
      </c>
      <c r="U37" s="6">
        <f>IF(AND(sim.tbl[[#This Row],[Sulf]]&lt;0.5,sim.tbl[[#This Row],[Dens]]&gt;825,sim.tbl[[#This Row],[Dens]]&lt;=900),1,0)</f>
        <v>0</v>
      </c>
      <c r="V37" s="6">
        <f>IF(AND(sim.tbl[[#This Row],[Sulf]]&gt;0.5,sim.tbl[[#This Row],[Dens]]&gt;870,sim.tbl[[#This Row],[Dens]]&lt;=900),1,0)</f>
        <v>0</v>
      </c>
      <c r="W37" s="6">
        <f>IF(AND(sim.tbl[[#This Row],[Sulf]]&gt;0.5,sim.tbl[[#This Row],[Dens]]&gt;900),1,0)</f>
        <v>0</v>
      </c>
      <c r="X37" s="6">
        <f>IF(AND(sim.tbl[[#This Row],[Sulf]]&lt;=0.5,sim.tbl[[#This Row],[Dens]]&gt;900),1,0)</f>
        <v>0</v>
      </c>
      <c r="Y37" s="6">
        <f ca="1">IF(MONTH(sim.tbl[[#This Row],[SDate]])=INDEX(mthLkUp.tbl[Num],MATCH(Y$3,mthLkUp.tbl[Month],0)),1,0)</f>
        <v>0</v>
      </c>
      <c r="Z37" s="6">
        <f ca="1">IF(MONTH(sim.tbl[[#This Row],[SDate]])=INDEX(mthLkUp.tbl[Num],MATCH(Z$3,mthLkUp.tbl[Month],0)),1,0)</f>
        <v>0</v>
      </c>
      <c r="AA37" s="6">
        <f ca="1">IF(MONTH(sim.tbl[[#This Row],[SDate]])=INDEX(mthLkUp.tbl[Num],MATCH(AA$3,mthLkUp.tbl[Month],0)),1,0)</f>
        <v>1</v>
      </c>
      <c r="AB37" s="6">
        <f ca="1">IF(MONTH(sim.tbl[[#This Row],[SDate]])=INDEX(mthLkUp.tbl[Num],MATCH(AB$3,mthLkUp.tbl[Month],0)),1,0)</f>
        <v>0</v>
      </c>
      <c r="AC37" s="6">
        <f ca="1">IF(MONTH(sim.tbl[[#This Row],[SDate]])=INDEX(mthLkUp.tbl[Num],MATCH(AC$3,mthLkUp.tbl[Month],0)),1,0)</f>
        <v>0</v>
      </c>
      <c r="AD37" s="6">
        <f ca="1">IF(MONTH(sim.tbl[[#This Row],[SDate]])=INDEX(mthLkUp.tbl[Num],MATCH(AD$3,mthLkUp.tbl[Month],0)),1,0)</f>
        <v>0</v>
      </c>
      <c r="AE37" s="6">
        <f ca="1">IF(MONTH(sim.tbl[[#This Row],[SDate]])=INDEX(mthLkUp.tbl[Num],MATCH(AE$3,mthLkUp.tbl[Month],0)),1,0)</f>
        <v>0</v>
      </c>
      <c r="AF37" s="6">
        <f ca="1">IF(MONTH(sim.tbl[[#This Row],[SDate]])=INDEX(mthLkUp.tbl[Num],MATCH(AF$3,mthLkUp.tbl[Month],0)),1,0)</f>
        <v>0</v>
      </c>
      <c r="AG37" s="6">
        <f ca="1">IF(MONTH(sim.tbl[[#This Row],[SDate]])=INDEX(mthLkUp.tbl[Num],MATCH(AG$3,mthLkUp.tbl[Month],0)),1,0)</f>
        <v>0</v>
      </c>
      <c r="AH37" s="6">
        <f ca="1">IF(MONTH(sim.tbl[[#This Row],[SDate]])=INDEX(mthLkUp.tbl[Num],MATCH(AH$3,mthLkUp.tbl[Month],0)),1,0)</f>
        <v>0</v>
      </c>
      <c r="AI37" s="6">
        <f ca="1">IF(MONTH(sim.tbl[[#This Row],[SDate]])=INDEX(mthLkUp.tbl[Num],MATCH(AI$3,mthLkUp.tbl[Month],0)),1,0)</f>
        <v>0</v>
      </c>
      <c r="AJ37" s="6">
        <f ca="1">IF(MONTH(sim.tbl[[#This Row],[SDate]])=INDEX(mthLkUp.tbl[Num],MATCH(AJ$3,mthLkUp.tbl[Month],0)),1,0)</f>
        <v>0</v>
      </c>
      <c r="AK37" s="6">
        <v>1</v>
      </c>
      <c r="AL37" s="5">
        <f>sim.tbl[[#This Row],[Sulf]]*sim.tbl[[#This Row],[C5]]</f>
        <v>0</v>
      </c>
      <c r="AM37" s="5">
        <f>sim.tbl[[#This Row],[Sulf]]*sim.tbl[[#This Row],[Light_LSB]]</f>
        <v>0</v>
      </c>
      <c r="AN37" s="5">
        <f>sim.tbl[[#This Row],[Sulf]]*sim.tbl[[#This Row],[Light_SW]]</f>
        <v>0.3</v>
      </c>
      <c r="AO37" s="5">
        <f>sim.tbl[[#This Row],[Sulf]]*sim.tbl[[#This Row],[Medium_LSB]]</f>
        <v>0</v>
      </c>
      <c r="AP37" s="5">
        <f>sim.tbl[[#This Row],[Sulf]]*sim.tbl[[#This Row],[Medium_SW]]</f>
        <v>0</v>
      </c>
      <c r="AQ37" s="5">
        <f>sim.tbl[[#This Row],[Sulf]]*sim.tbl[[#This Row],[Midale]]</f>
        <v>0</v>
      </c>
      <c r="AR37" s="5">
        <f>sim.tbl[[#This Row],[Sulf]]*sim.tbl[[#This Row],[Heavy_Sour]]</f>
        <v>0</v>
      </c>
      <c r="AS37" s="5">
        <f>sim.tbl[[#This Row],[Sulf]]*sim.tbl[[#This Row],[Heavy_SW]]</f>
        <v>0</v>
      </c>
      <c r="AT37" s="5">
        <f>sim.tbl[[#This Row],[Dens]]*sim.tbl[[#This Row],[C5]]</f>
        <v>0</v>
      </c>
      <c r="AU37" s="5">
        <f>sim.tbl[[#This Row],[Dens]]*sim.tbl[[#This Row],[Light_LSB]]</f>
        <v>0</v>
      </c>
      <c r="AV37" s="5">
        <f>sim.tbl[[#This Row],[Dens]]*sim.tbl[[#This Row],[Light_SW]]</f>
        <v>808.1</v>
      </c>
      <c r="AW37" s="5">
        <f>sim.tbl[[#This Row],[Dens]]*sim.tbl[[#This Row],[Medium_LSB]]</f>
        <v>0</v>
      </c>
      <c r="AX37" s="5">
        <f>sim.tbl[[#This Row],[Dens]]*sim.tbl[[#This Row],[Medium_SW]]</f>
        <v>0</v>
      </c>
      <c r="AY37" s="5">
        <f>sim.tbl[[#This Row],[Dens]]*sim.tbl[[#This Row],[Midale]]</f>
        <v>0</v>
      </c>
      <c r="AZ37" s="5">
        <f>sim.tbl[[#This Row],[Dens]]*sim.tbl[[#This Row],[Heavy_Sour]]</f>
        <v>0</v>
      </c>
      <c r="BA37" s="5">
        <f>sim.tbl[[#This Row],[Dens]]*sim.tbl[[#This Row],[Heavy_SW]]</f>
        <v>0</v>
      </c>
      <c r="BB37" s="5">
        <f>sim.tbl[[#This Row],[Temp.Roll]]*sim.tbl[[#This Row],[C5]]</f>
        <v>0</v>
      </c>
      <c r="BC37" s="5">
        <f>sim.tbl[[#This Row],[Temp.Roll]]*sim.tbl[[#This Row],[Light_LSB]]</f>
        <v>0</v>
      </c>
      <c r="BD37" s="5">
        <f>sim.tbl[[#This Row],[Temp.Roll]]*sim.tbl[[#This Row],[Light_SW]]</f>
        <v>-1.7</v>
      </c>
      <c r="BE37" s="5">
        <f>sim.tbl[[#This Row],[Temp.Roll]]*sim.tbl[[#This Row],[Medium_LSB]]</f>
        <v>0</v>
      </c>
      <c r="BF37" s="5">
        <f>sim.tbl[[#This Row],[Temp.Roll]]*sim.tbl[[#This Row],[Medium_SW]]</f>
        <v>0</v>
      </c>
      <c r="BG37" s="5">
        <f>sim.tbl[[#This Row],[Temp.Roll]]*sim.tbl[[#This Row],[Midale]]</f>
        <v>0</v>
      </c>
      <c r="BH37" s="5">
        <f>sim.tbl[[#This Row],[Temp.Roll]]*sim.tbl[[#This Row],[Heavy_Sour]]</f>
        <v>0</v>
      </c>
      <c r="BI37" s="5">
        <f>sim.tbl[[#This Row],[Temp.Roll]]*sim.tbl[[#This Row],[Heavy_SW]]</f>
        <v>0</v>
      </c>
    </row>
    <row r="38" spans="4:61" x14ac:dyDescent="0.25">
      <c r="D38" s="5">
        <f ca="1">SUMPRODUCT($F$1:$BI$1,sim.tbl[[#This Row],[Intercept]:[Temp.Roll:Heavy_SW]])</f>
        <v>97.931703889299385</v>
      </c>
      <c r="E38" s="14">
        <f ca="1">DATE(YEAR(TODAY()),INDEX(mthLkUp.tbl[Num],MATCH(mth.input,mthLkUp.tbl[Month],0)),1)</f>
        <v>42795</v>
      </c>
      <c r="F38" s="6">
        <f>1</f>
        <v>1</v>
      </c>
      <c r="G38" s="5">
        <v>0.17</v>
      </c>
      <c r="H38" s="5">
        <v>809.1</v>
      </c>
      <c r="I38" s="5">
        <v>-21.766666669999999</v>
      </c>
      <c r="J38" s="5">
        <v>-22.3</v>
      </c>
      <c r="K38" s="5">
        <v>-20.8</v>
      </c>
      <c r="L38" s="5">
        <v>-22.3</v>
      </c>
      <c r="M38" s="5">
        <v>-22.5</v>
      </c>
      <c r="N38" s="5">
        <v>-19.8</v>
      </c>
      <c r="O38" s="5">
        <v>-22.6</v>
      </c>
      <c r="P38" s="5">
        <v>-22.6</v>
      </c>
      <c r="Q38" s="6">
        <f>IF(sim.tbl[[#This Row],[Dens]]&lt;=770,1,0)</f>
        <v>0</v>
      </c>
      <c r="R38" s="6">
        <f>IF(AND(sim.tbl[[#This Row],[Sulf]]&gt;0.5,sim.tbl[[#This Row],[Dens]]&gt;770,sim.tbl[[#This Row],[Dens]]&lt;=825),1,0)</f>
        <v>0</v>
      </c>
      <c r="S38" s="6">
        <f>IF(AND(sim.tbl[[#This Row],[Sulf]]&lt;=0.5,sim.tbl[[#This Row],[Dens]]&gt;770,sim.tbl[[#This Row],[Dens]]&lt;=825),1,0)</f>
        <v>1</v>
      </c>
      <c r="T38" s="6">
        <f>IF(AND(sim.tbl[[#This Row],[Sulf]]&gt;0.5,sim.tbl[[#This Row],[Dens]]&gt;825,sim.tbl[[#This Row],[Dens]]&lt;=870),1,0)</f>
        <v>0</v>
      </c>
      <c r="U38" s="6">
        <f>IF(AND(sim.tbl[[#This Row],[Sulf]]&lt;0.5,sim.tbl[[#This Row],[Dens]]&gt;825,sim.tbl[[#This Row],[Dens]]&lt;=900),1,0)</f>
        <v>0</v>
      </c>
      <c r="V38" s="6">
        <f>IF(AND(sim.tbl[[#This Row],[Sulf]]&gt;0.5,sim.tbl[[#This Row],[Dens]]&gt;870,sim.tbl[[#This Row],[Dens]]&lt;=900),1,0)</f>
        <v>0</v>
      </c>
      <c r="W38" s="6">
        <f>IF(AND(sim.tbl[[#This Row],[Sulf]]&gt;0.5,sim.tbl[[#This Row],[Dens]]&gt;900),1,0)</f>
        <v>0</v>
      </c>
      <c r="X38" s="6">
        <f>IF(AND(sim.tbl[[#This Row],[Sulf]]&lt;=0.5,sim.tbl[[#This Row],[Dens]]&gt;900),1,0)</f>
        <v>0</v>
      </c>
      <c r="Y38" s="6">
        <f ca="1">IF(MONTH(sim.tbl[[#This Row],[SDate]])=INDEX(mthLkUp.tbl[Num],MATCH(Y$3,mthLkUp.tbl[Month],0)),1,0)</f>
        <v>0</v>
      </c>
      <c r="Z38" s="6">
        <f ca="1">IF(MONTH(sim.tbl[[#This Row],[SDate]])=INDEX(mthLkUp.tbl[Num],MATCH(Z$3,mthLkUp.tbl[Month],0)),1,0)</f>
        <v>0</v>
      </c>
      <c r="AA38" s="6">
        <f ca="1">IF(MONTH(sim.tbl[[#This Row],[SDate]])=INDEX(mthLkUp.tbl[Num],MATCH(AA$3,mthLkUp.tbl[Month],0)),1,0)</f>
        <v>1</v>
      </c>
      <c r="AB38" s="6">
        <f ca="1">IF(MONTH(sim.tbl[[#This Row],[SDate]])=INDEX(mthLkUp.tbl[Num],MATCH(AB$3,mthLkUp.tbl[Month],0)),1,0)</f>
        <v>0</v>
      </c>
      <c r="AC38" s="6">
        <f ca="1">IF(MONTH(sim.tbl[[#This Row],[SDate]])=INDEX(mthLkUp.tbl[Num],MATCH(AC$3,mthLkUp.tbl[Month],0)),1,0)</f>
        <v>0</v>
      </c>
      <c r="AD38" s="6">
        <f ca="1">IF(MONTH(sim.tbl[[#This Row],[SDate]])=INDEX(mthLkUp.tbl[Num],MATCH(AD$3,mthLkUp.tbl[Month],0)),1,0)</f>
        <v>0</v>
      </c>
      <c r="AE38" s="6">
        <f ca="1">IF(MONTH(sim.tbl[[#This Row],[SDate]])=INDEX(mthLkUp.tbl[Num],MATCH(AE$3,mthLkUp.tbl[Month],0)),1,0)</f>
        <v>0</v>
      </c>
      <c r="AF38" s="6">
        <f ca="1">IF(MONTH(sim.tbl[[#This Row],[SDate]])=INDEX(mthLkUp.tbl[Num],MATCH(AF$3,mthLkUp.tbl[Month],0)),1,0)</f>
        <v>0</v>
      </c>
      <c r="AG38" s="6">
        <f ca="1">IF(MONTH(sim.tbl[[#This Row],[SDate]])=INDEX(mthLkUp.tbl[Num],MATCH(AG$3,mthLkUp.tbl[Month],0)),1,0)</f>
        <v>0</v>
      </c>
      <c r="AH38" s="6">
        <f ca="1">IF(MONTH(sim.tbl[[#This Row],[SDate]])=INDEX(mthLkUp.tbl[Num],MATCH(AH$3,mthLkUp.tbl[Month],0)),1,0)</f>
        <v>0</v>
      </c>
      <c r="AI38" s="6">
        <f ca="1">IF(MONTH(sim.tbl[[#This Row],[SDate]])=INDEX(mthLkUp.tbl[Num],MATCH(AI$3,mthLkUp.tbl[Month],0)),1,0)</f>
        <v>0</v>
      </c>
      <c r="AJ38" s="6">
        <f ca="1">IF(MONTH(sim.tbl[[#This Row],[SDate]])=INDEX(mthLkUp.tbl[Num],MATCH(AJ$3,mthLkUp.tbl[Month],0)),1,0)</f>
        <v>0</v>
      </c>
      <c r="AK38" s="6">
        <v>1</v>
      </c>
      <c r="AL38" s="5">
        <f>sim.tbl[[#This Row],[Sulf]]*sim.tbl[[#This Row],[C5]]</f>
        <v>0</v>
      </c>
      <c r="AM38" s="5">
        <f>sim.tbl[[#This Row],[Sulf]]*sim.tbl[[#This Row],[Light_LSB]]</f>
        <v>0</v>
      </c>
      <c r="AN38" s="5">
        <f>sim.tbl[[#This Row],[Sulf]]*sim.tbl[[#This Row],[Light_SW]]</f>
        <v>0.17</v>
      </c>
      <c r="AO38" s="5">
        <f>sim.tbl[[#This Row],[Sulf]]*sim.tbl[[#This Row],[Medium_LSB]]</f>
        <v>0</v>
      </c>
      <c r="AP38" s="5">
        <f>sim.tbl[[#This Row],[Sulf]]*sim.tbl[[#This Row],[Medium_SW]]</f>
        <v>0</v>
      </c>
      <c r="AQ38" s="5">
        <f>sim.tbl[[#This Row],[Sulf]]*sim.tbl[[#This Row],[Midale]]</f>
        <v>0</v>
      </c>
      <c r="AR38" s="5">
        <f>sim.tbl[[#This Row],[Sulf]]*sim.tbl[[#This Row],[Heavy_Sour]]</f>
        <v>0</v>
      </c>
      <c r="AS38" s="5">
        <f>sim.tbl[[#This Row],[Sulf]]*sim.tbl[[#This Row],[Heavy_SW]]</f>
        <v>0</v>
      </c>
      <c r="AT38" s="5">
        <f>sim.tbl[[#This Row],[Dens]]*sim.tbl[[#This Row],[C5]]</f>
        <v>0</v>
      </c>
      <c r="AU38" s="5">
        <f>sim.tbl[[#This Row],[Dens]]*sim.tbl[[#This Row],[Light_LSB]]</f>
        <v>0</v>
      </c>
      <c r="AV38" s="5">
        <f>sim.tbl[[#This Row],[Dens]]*sim.tbl[[#This Row],[Light_SW]]</f>
        <v>809.1</v>
      </c>
      <c r="AW38" s="5">
        <f>sim.tbl[[#This Row],[Dens]]*sim.tbl[[#This Row],[Medium_LSB]]</f>
        <v>0</v>
      </c>
      <c r="AX38" s="5">
        <f>sim.tbl[[#This Row],[Dens]]*sim.tbl[[#This Row],[Medium_SW]]</f>
        <v>0</v>
      </c>
      <c r="AY38" s="5">
        <f>sim.tbl[[#This Row],[Dens]]*sim.tbl[[#This Row],[Midale]]</f>
        <v>0</v>
      </c>
      <c r="AZ38" s="5">
        <f>sim.tbl[[#This Row],[Dens]]*sim.tbl[[#This Row],[Heavy_Sour]]</f>
        <v>0</v>
      </c>
      <c r="BA38" s="5">
        <f>sim.tbl[[#This Row],[Dens]]*sim.tbl[[#This Row],[Heavy_SW]]</f>
        <v>0</v>
      </c>
      <c r="BB38" s="5">
        <f>sim.tbl[[#This Row],[Temp.Roll]]*sim.tbl[[#This Row],[C5]]</f>
        <v>0</v>
      </c>
      <c r="BC38" s="5">
        <f>sim.tbl[[#This Row],[Temp.Roll]]*sim.tbl[[#This Row],[Light_LSB]]</f>
        <v>0</v>
      </c>
      <c r="BD38" s="5">
        <f>sim.tbl[[#This Row],[Temp.Roll]]*sim.tbl[[#This Row],[Light_SW]]</f>
        <v>-22.3</v>
      </c>
      <c r="BE38" s="5">
        <f>sim.tbl[[#This Row],[Temp.Roll]]*sim.tbl[[#This Row],[Medium_LSB]]</f>
        <v>0</v>
      </c>
      <c r="BF38" s="5">
        <f>sim.tbl[[#This Row],[Temp.Roll]]*sim.tbl[[#This Row],[Medium_SW]]</f>
        <v>0</v>
      </c>
      <c r="BG38" s="5">
        <f>sim.tbl[[#This Row],[Temp.Roll]]*sim.tbl[[#This Row],[Midale]]</f>
        <v>0</v>
      </c>
      <c r="BH38" s="5">
        <f>sim.tbl[[#This Row],[Temp.Roll]]*sim.tbl[[#This Row],[Heavy_Sour]]</f>
        <v>0</v>
      </c>
      <c r="BI38" s="5">
        <f>sim.tbl[[#This Row],[Temp.Roll]]*sim.tbl[[#This Row],[Heavy_SW]]</f>
        <v>0</v>
      </c>
    </row>
    <row r="39" spans="4:61" x14ac:dyDescent="0.25">
      <c r="D39" s="5">
        <f ca="1">SUMPRODUCT($F$1:$BI$1,sim.tbl[[#This Row],[Intercept]:[Temp.Roll:Heavy_SW]])</f>
        <v>80.833357793628238</v>
      </c>
      <c r="E39" s="14">
        <f ca="1">DATE(YEAR(TODAY()),INDEX(mthLkUp.tbl[Num],MATCH(mth.input,mthLkUp.tbl[Month],0)),1)</f>
        <v>42795</v>
      </c>
      <c r="F39" s="6">
        <f>1</f>
        <v>1</v>
      </c>
      <c r="G39" s="5">
        <v>1.24</v>
      </c>
      <c r="H39" s="5">
        <v>850.5</v>
      </c>
      <c r="I39" s="5">
        <v>-13.41666667</v>
      </c>
      <c r="J39" s="5">
        <v>-14.2</v>
      </c>
      <c r="K39" s="5">
        <v>-13.7</v>
      </c>
      <c r="L39" s="5">
        <v>-14.2</v>
      </c>
      <c r="M39" s="5">
        <v>-11.8</v>
      </c>
      <c r="N39" s="5">
        <v>-12.5</v>
      </c>
      <c r="O39" s="5">
        <v>-13.9</v>
      </c>
      <c r="P39" s="5">
        <v>-14.4</v>
      </c>
      <c r="Q39" s="6">
        <f>IF(sim.tbl[[#This Row],[Dens]]&lt;=770,1,0)</f>
        <v>0</v>
      </c>
      <c r="R39" s="6">
        <f>IF(AND(sim.tbl[[#This Row],[Sulf]]&gt;0.5,sim.tbl[[#This Row],[Dens]]&gt;770,sim.tbl[[#This Row],[Dens]]&lt;=825),1,0)</f>
        <v>0</v>
      </c>
      <c r="S39" s="6">
        <f>IF(AND(sim.tbl[[#This Row],[Sulf]]&lt;=0.5,sim.tbl[[#This Row],[Dens]]&gt;770,sim.tbl[[#This Row],[Dens]]&lt;=825),1,0)</f>
        <v>0</v>
      </c>
      <c r="T39" s="6">
        <f>IF(AND(sim.tbl[[#This Row],[Sulf]]&gt;0.5,sim.tbl[[#This Row],[Dens]]&gt;825,sim.tbl[[#This Row],[Dens]]&lt;=870),1,0)</f>
        <v>1</v>
      </c>
      <c r="U39" s="6">
        <f>IF(AND(sim.tbl[[#This Row],[Sulf]]&lt;0.5,sim.tbl[[#This Row],[Dens]]&gt;825,sim.tbl[[#This Row],[Dens]]&lt;=900),1,0)</f>
        <v>0</v>
      </c>
      <c r="V39" s="6">
        <f>IF(AND(sim.tbl[[#This Row],[Sulf]]&gt;0.5,sim.tbl[[#This Row],[Dens]]&gt;870,sim.tbl[[#This Row],[Dens]]&lt;=900),1,0)</f>
        <v>0</v>
      </c>
      <c r="W39" s="6">
        <f>IF(AND(sim.tbl[[#This Row],[Sulf]]&gt;0.5,sim.tbl[[#This Row],[Dens]]&gt;900),1,0)</f>
        <v>0</v>
      </c>
      <c r="X39" s="6">
        <f>IF(AND(sim.tbl[[#This Row],[Sulf]]&lt;=0.5,sim.tbl[[#This Row],[Dens]]&gt;900),1,0)</f>
        <v>0</v>
      </c>
      <c r="Y39" s="6">
        <f ca="1">IF(MONTH(sim.tbl[[#This Row],[SDate]])=INDEX(mthLkUp.tbl[Num],MATCH(Y$3,mthLkUp.tbl[Month],0)),1,0)</f>
        <v>0</v>
      </c>
      <c r="Z39" s="6">
        <f ca="1">IF(MONTH(sim.tbl[[#This Row],[SDate]])=INDEX(mthLkUp.tbl[Num],MATCH(Z$3,mthLkUp.tbl[Month],0)),1,0)</f>
        <v>0</v>
      </c>
      <c r="AA39" s="6">
        <f ca="1">IF(MONTH(sim.tbl[[#This Row],[SDate]])=INDEX(mthLkUp.tbl[Num],MATCH(AA$3,mthLkUp.tbl[Month],0)),1,0)</f>
        <v>1</v>
      </c>
      <c r="AB39" s="6">
        <f ca="1">IF(MONTH(sim.tbl[[#This Row],[SDate]])=INDEX(mthLkUp.tbl[Num],MATCH(AB$3,mthLkUp.tbl[Month],0)),1,0)</f>
        <v>0</v>
      </c>
      <c r="AC39" s="6">
        <f ca="1">IF(MONTH(sim.tbl[[#This Row],[SDate]])=INDEX(mthLkUp.tbl[Num],MATCH(AC$3,mthLkUp.tbl[Month],0)),1,0)</f>
        <v>0</v>
      </c>
      <c r="AD39" s="6">
        <f ca="1">IF(MONTH(sim.tbl[[#This Row],[SDate]])=INDEX(mthLkUp.tbl[Num],MATCH(AD$3,mthLkUp.tbl[Month],0)),1,0)</f>
        <v>0</v>
      </c>
      <c r="AE39" s="6">
        <f ca="1">IF(MONTH(sim.tbl[[#This Row],[SDate]])=INDEX(mthLkUp.tbl[Num],MATCH(AE$3,mthLkUp.tbl[Month],0)),1,0)</f>
        <v>0</v>
      </c>
      <c r="AF39" s="6">
        <f ca="1">IF(MONTH(sim.tbl[[#This Row],[SDate]])=INDEX(mthLkUp.tbl[Num],MATCH(AF$3,mthLkUp.tbl[Month],0)),1,0)</f>
        <v>0</v>
      </c>
      <c r="AG39" s="6">
        <f ca="1">IF(MONTH(sim.tbl[[#This Row],[SDate]])=INDEX(mthLkUp.tbl[Num],MATCH(AG$3,mthLkUp.tbl[Month],0)),1,0)</f>
        <v>0</v>
      </c>
      <c r="AH39" s="6">
        <f ca="1">IF(MONTH(sim.tbl[[#This Row],[SDate]])=INDEX(mthLkUp.tbl[Num],MATCH(AH$3,mthLkUp.tbl[Month],0)),1,0)</f>
        <v>0</v>
      </c>
      <c r="AI39" s="6">
        <f ca="1">IF(MONTH(sim.tbl[[#This Row],[SDate]])=INDEX(mthLkUp.tbl[Num],MATCH(AI$3,mthLkUp.tbl[Month],0)),1,0)</f>
        <v>0</v>
      </c>
      <c r="AJ39" s="6">
        <f ca="1">IF(MONTH(sim.tbl[[#This Row],[SDate]])=INDEX(mthLkUp.tbl[Num],MATCH(AJ$3,mthLkUp.tbl[Month],0)),1,0)</f>
        <v>0</v>
      </c>
      <c r="AK39" s="6">
        <v>1</v>
      </c>
      <c r="AL39" s="5">
        <f>sim.tbl[[#This Row],[Sulf]]*sim.tbl[[#This Row],[C5]]</f>
        <v>0</v>
      </c>
      <c r="AM39" s="5">
        <f>sim.tbl[[#This Row],[Sulf]]*sim.tbl[[#This Row],[Light_LSB]]</f>
        <v>0</v>
      </c>
      <c r="AN39" s="5">
        <f>sim.tbl[[#This Row],[Sulf]]*sim.tbl[[#This Row],[Light_SW]]</f>
        <v>0</v>
      </c>
      <c r="AO39" s="5">
        <f>sim.tbl[[#This Row],[Sulf]]*sim.tbl[[#This Row],[Medium_LSB]]</f>
        <v>1.24</v>
      </c>
      <c r="AP39" s="5">
        <f>sim.tbl[[#This Row],[Sulf]]*sim.tbl[[#This Row],[Medium_SW]]</f>
        <v>0</v>
      </c>
      <c r="AQ39" s="5">
        <f>sim.tbl[[#This Row],[Sulf]]*sim.tbl[[#This Row],[Midale]]</f>
        <v>0</v>
      </c>
      <c r="AR39" s="5">
        <f>sim.tbl[[#This Row],[Sulf]]*sim.tbl[[#This Row],[Heavy_Sour]]</f>
        <v>0</v>
      </c>
      <c r="AS39" s="5">
        <f>sim.tbl[[#This Row],[Sulf]]*sim.tbl[[#This Row],[Heavy_SW]]</f>
        <v>0</v>
      </c>
      <c r="AT39" s="5">
        <f>sim.tbl[[#This Row],[Dens]]*sim.tbl[[#This Row],[C5]]</f>
        <v>0</v>
      </c>
      <c r="AU39" s="5">
        <f>sim.tbl[[#This Row],[Dens]]*sim.tbl[[#This Row],[Light_LSB]]</f>
        <v>0</v>
      </c>
      <c r="AV39" s="5">
        <f>sim.tbl[[#This Row],[Dens]]*sim.tbl[[#This Row],[Light_SW]]</f>
        <v>0</v>
      </c>
      <c r="AW39" s="5">
        <f>sim.tbl[[#This Row],[Dens]]*sim.tbl[[#This Row],[Medium_LSB]]</f>
        <v>850.5</v>
      </c>
      <c r="AX39" s="5">
        <f>sim.tbl[[#This Row],[Dens]]*sim.tbl[[#This Row],[Medium_SW]]</f>
        <v>0</v>
      </c>
      <c r="AY39" s="5">
        <f>sim.tbl[[#This Row],[Dens]]*sim.tbl[[#This Row],[Midale]]</f>
        <v>0</v>
      </c>
      <c r="AZ39" s="5">
        <f>sim.tbl[[#This Row],[Dens]]*sim.tbl[[#This Row],[Heavy_Sour]]</f>
        <v>0</v>
      </c>
      <c r="BA39" s="5">
        <f>sim.tbl[[#This Row],[Dens]]*sim.tbl[[#This Row],[Heavy_SW]]</f>
        <v>0</v>
      </c>
      <c r="BB39" s="5">
        <f>sim.tbl[[#This Row],[Temp.Roll]]*sim.tbl[[#This Row],[C5]]</f>
        <v>0</v>
      </c>
      <c r="BC39" s="5">
        <f>sim.tbl[[#This Row],[Temp.Roll]]*sim.tbl[[#This Row],[Light_LSB]]</f>
        <v>0</v>
      </c>
      <c r="BD39" s="5">
        <f>sim.tbl[[#This Row],[Temp.Roll]]*sim.tbl[[#This Row],[Light_SW]]</f>
        <v>0</v>
      </c>
      <c r="BE39" s="5">
        <f>sim.tbl[[#This Row],[Temp.Roll]]*sim.tbl[[#This Row],[Medium_LSB]]</f>
        <v>-14.2</v>
      </c>
      <c r="BF39" s="5">
        <f>sim.tbl[[#This Row],[Temp.Roll]]*sim.tbl[[#This Row],[Medium_SW]]</f>
        <v>0</v>
      </c>
      <c r="BG39" s="5">
        <f>sim.tbl[[#This Row],[Temp.Roll]]*sim.tbl[[#This Row],[Midale]]</f>
        <v>0</v>
      </c>
      <c r="BH39" s="5">
        <f>sim.tbl[[#This Row],[Temp.Roll]]*sim.tbl[[#This Row],[Heavy_Sour]]</f>
        <v>0</v>
      </c>
      <c r="BI39" s="5">
        <f>sim.tbl[[#This Row],[Temp.Roll]]*sim.tbl[[#This Row],[Heavy_SW]]</f>
        <v>0</v>
      </c>
    </row>
    <row r="40" spans="4:61" x14ac:dyDescent="0.25">
      <c r="D40" s="5">
        <f ca="1">SUMPRODUCT($F$1:$BI$1,sim.tbl[[#This Row],[Intercept]:[Temp.Roll:Heavy_SW]])</f>
        <v>89.185269090650635</v>
      </c>
      <c r="E40" s="14">
        <f ca="1">DATE(YEAR(TODAY()),INDEX(mthLkUp.tbl[Num],MATCH(mth.input,mthLkUp.tbl[Month],0)),1)</f>
        <v>42795</v>
      </c>
      <c r="F40" s="6">
        <f>1</f>
        <v>1</v>
      </c>
      <c r="G40" s="5">
        <v>0.49299999999999999</v>
      </c>
      <c r="H40" s="5">
        <v>816</v>
      </c>
      <c r="I40" s="5">
        <v>-8.76</v>
      </c>
      <c r="J40" s="5">
        <v>-7.1</v>
      </c>
      <c r="K40" s="5">
        <v>-7.9</v>
      </c>
      <c r="L40" s="5">
        <v>-7.1</v>
      </c>
      <c r="M40" s="5">
        <v>2.8</v>
      </c>
      <c r="N40" s="5">
        <v>-6.5</v>
      </c>
      <c r="O40" s="5">
        <v>-13.6</v>
      </c>
      <c r="P40" s="5">
        <v>-8.6999999999999993</v>
      </c>
      <c r="Q40" s="6">
        <f>IF(sim.tbl[[#This Row],[Dens]]&lt;=770,1,0)</f>
        <v>0</v>
      </c>
      <c r="R40" s="6">
        <f>IF(AND(sim.tbl[[#This Row],[Sulf]]&gt;0.5,sim.tbl[[#This Row],[Dens]]&gt;770,sim.tbl[[#This Row],[Dens]]&lt;=825),1,0)</f>
        <v>0</v>
      </c>
      <c r="S40" s="6">
        <f>IF(AND(sim.tbl[[#This Row],[Sulf]]&lt;=0.5,sim.tbl[[#This Row],[Dens]]&gt;770,sim.tbl[[#This Row],[Dens]]&lt;=825),1,0)</f>
        <v>1</v>
      </c>
      <c r="T40" s="6">
        <f>IF(AND(sim.tbl[[#This Row],[Sulf]]&gt;0.5,sim.tbl[[#This Row],[Dens]]&gt;825,sim.tbl[[#This Row],[Dens]]&lt;=870),1,0)</f>
        <v>0</v>
      </c>
      <c r="U40" s="6">
        <f>IF(AND(sim.tbl[[#This Row],[Sulf]]&lt;0.5,sim.tbl[[#This Row],[Dens]]&gt;825,sim.tbl[[#This Row],[Dens]]&lt;=900),1,0)</f>
        <v>0</v>
      </c>
      <c r="V40" s="6">
        <f>IF(AND(sim.tbl[[#This Row],[Sulf]]&gt;0.5,sim.tbl[[#This Row],[Dens]]&gt;870,sim.tbl[[#This Row],[Dens]]&lt;=900),1,0)</f>
        <v>0</v>
      </c>
      <c r="W40" s="6">
        <f>IF(AND(sim.tbl[[#This Row],[Sulf]]&gt;0.5,sim.tbl[[#This Row],[Dens]]&gt;900),1,0)</f>
        <v>0</v>
      </c>
      <c r="X40" s="6">
        <f>IF(AND(sim.tbl[[#This Row],[Sulf]]&lt;=0.5,sim.tbl[[#This Row],[Dens]]&gt;900),1,0)</f>
        <v>0</v>
      </c>
      <c r="Y40" s="6">
        <f ca="1">IF(MONTH(sim.tbl[[#This Row],[SDate]])=INDEX(mthLkUp.tbl[Num],MATCH(Y$3,mthLkUp.tbl[Month],0)),1,0)</f>
        <v>0</v>
      </c>
      <c r="Z40" s="6">
        <f ca="1">IF(MONTH(sim.tbl[[#This Row],[SDate]])=INDEX(mthLkUp.tbl[Num],MATCH(Z$3,mthLkUp.tbl[Month],0)),1,0)</f>
        <v>0</v>
      </c>
      <c r="AA40" s="6">
        <f ca="1">IF(MONTH(sim.tbl[[#This Row],[SDate]])=INDEX(mthLkUp.tbl[Num],MATCH(AA$3,mthLkUp.tbl[Month],0)),1,0)</f>
        <v>1</v>
      </c>
      <c r="AB40" s="6">
        <f ca="1">IF(MONTH(sim.tbl[[#This Row],[SDate]])=INDEX(mthLkUp.tbl[Num],MATCH(AB$3,mthLkUp.tbl[Month],0)),1,0)</f>
        <v>0</v>
      </c>
      <c r="AC40" s="6">
        <f ca="1">IF(MONTH(sim.tbl[[#This Row],[SDate]])=INDEX(mthLkUp.tbl[Num],MATCH(AC$3,mthLkUp.tbl[Month],0)),1,0)</f>
        <v>0</v>
      </c>
      <c r="AD40" s="6">
        <f ca="1">IF(MONTH(sim.tbl[[#This Row],[SDate]])=INDEX(mthLkUp.tbl[Num],MATCH(AD$3,mthLkUp.tbl[Month],0)),1,0)</f>
        <v>0</v>
      </c>
      <c r="AE40" s="6">
        <f ca="1">IF(MONTH(sim.tbl[[#This Row],[SDate]])=INDEX(mthLkUp.tbl[Num],MATCH(AE$3,mthLkUp.tbl[Month],0)),1,0)</f>
        <v>0</v>
      </c>
      <c r="AF40" s="6">
        <f ca="1">IF(MONTH(sim.tbl[[#This Row],[SDate]])=INDEX(mthLkUp.tbl[Num],MATCH(AF$3,mthLkUp.tbl[Month],0)),1,0)</f>
        <v>0</v>
      </c>
      <c r="AG40" s="6">
        <f ca="1">IF(MONTH(sim.tbl[[#This Row],[SDate]])=INDEX(mthLkUp.tbl[Num],MATCH(AG$3,mthLkUp.tbl[Month],0)),1,0)</f>
        <v>0</v>
      </c>
      <c r="AH40" s="6">
        <f ca="1">IF(MONTH(sim.tbl[[#This Row],[SDate]])=INDEX(mthLkUp.tbl[Num],MATCH(AH$3,mthLkUp.tbl[Month],0)),1,0)</f>
        <v>0</v>
      </c>
      <c r="AI40" s="6">
        <f ca="1">IF(MONTH(sim.tbl[[#This Row],[SDate]])=INDEX(mthLkUp.tbl[Num],MATCH(AI$3,mthLkUp.tbl[Month],0)),1,0)</f>
        <v>0</v>
      </c>
      <c r="AJ40" s="6">
        <f ca="1">IF(MONTH(sim.tbl[[#This Row],[SDate]])=INDEX(mthLkUp.tbl[Num],MATCH(AJ$3,mthLkUp.tbl[Month],0)),1,0)</f>
        <v>0</v>
      </c>
      <c r="AK40" s="6">
        <v>1</v>
      </c>
      <c r="AL40" s="5">
        <f>sim.tbl[[#This Row],[Sulf]]*sim.tbl[[#This Row],[C5]]</f>
        <v>0</v>
      </c>
      <c r="AM40" s="5">
        <f>sim.tbl[[#This Row],[Sulf]]*sim.tbl[[#This Row],[Light_LSB]]</f>
        <v>0</v>
      </c>
      <c r="AN40" s="5">
        <f>sim.tbl[[#This Row],[Sulf]]*sim.tbl[[#This Row],[Light_SW]]</f>
        <v>0.49299999999999999</v>
      </c>
      <c r="AO40" s="5">
        <f>sim.tbl[[#This Row],[Sulf]]*sim.tbl[[#This Row],[Medium_LSB]]</f>
        <v>0</v>
      </c>
      <c r="AP40" s="5">
        <f>sim.tbl[[#This Row],[Sulf]]*sim.tbl[[#This Row],[Medium_SW]]</f>
        <v>0</v>
      </c>
      <c r="AQ40" s="5">
        <f>sim.tbl[[#This Row],[Sulf]]*sim.tbl[[#This Row],[Midale]]</f>
        <v>0</v>
      </c>
      <c r="AR40" s="5">
        <f>sim.tbl[[#This Row],[Sulf]]*sim.tbl[[#This Row],[Heavy_Sour]]</f>
        <v>0</v>
      </c>
      <c r="AS40" s="5">
        <f>sim.tbl[[#This Row],[Sulf]]*sim.tbl[[#This Row],[Heavy_SW]]</f>
        <v>0</v>
      </c>
      <c r="AT40" s="5">
        <f>sim.tbl[[#This Row],[Dens]]*sim.tbl[[#This Row],[C5]]</f>
        <v>0</v>
      </c>
      <c r="AU40" s="5">
        <f>sim.tbl[[#This Row],[Dens]]*sim.tbl[[#This Row],[Light_LSB]]</f>
        <v>0</v>
      </c>
      <c r="AV40" s="5">
        <f>sim.tbl[[#This Row],[Dens]]*sim.tbl[[#This Row],[Light_SW]]</f>
        <v>816</v>
      </c>
      <c r="AW40" s="5">
        <f>sim.tbl[[#This Row],[Dens]]*sim.tbl[[#This Row],[Medium_LSB]]</f>
        <v>0</v>
      </c>
      <c r="AX40" s="5">
        <f>sim.tbl[[#This Row],[Dens]]*sim.tbl[[#This Row],[Medium_SW]]</f>
        <v>0</v>
      </c>
      <c r="AY40" s="5">
        <f>sim.tbl[[#This Row],[Dens]]*sim.tbl[[#This Row],[Midale]]</f>
        <v>0</v>
      </c>
      <c r="AZ40" s="5">
        <f>sim.tbl[[#This Row],[Dens]]*sim.tbl[[#This Row],[Heavy_Sour]]</f>
        <v>0</v>
      </c>
      <c r="BA40" s="5">
        <f>sim.tbl[[#This Row],[Dens]]*sim.tbl[[#This Row],[Heavy_SW]]</f>
        <v>0</v>
      </c>
      <c r="BB40" s="5">
        <f>sim.tbl[[#This Row],[Temp.Roll]]*sim.tbl[[#This Row],[C5]]</f>
        <v>0</v>
      </c>
      <c r="BC40" s="5">
        <f>sim.tbl[[#This Row],[Temp.Roll]]*sim.tbl[[#This Row],[Light_LSB]]</f>
        <v>0</v>
      </c>
      <c r="BD40" s="5">
        <f>sim.tbl[[#This Row],[Temp.Roll]]*sim.tbl[[#This Row],[Light_SW]]</f>
        <v>-7.1</v>
      </c>
      <c r="BE40" s="5">
        <f>sim.tbl[[#This Row],[Temp.Roll]]*sim.tbl[[#This Row],[Medium_LSB]]</f>
        <v>0</v>
      </c>
      <c r="BF40" s="5">
        <f>sim.tbl[[#This Row],[Temp.Roll]]*sim.tbl[[#This Row],[Medium_SW]]</f>
        <v>0</v>
      </c>
      <c r="BG40" s="5">
        <f>sim.tbl[[#This Row],[Temp.Roll]]*sim.tbl[[#This Row],[Midale]]</f>
        <v>0</v>
      </c>
      <c r="BH40" s="5">
        <f>sim.tbl[[#This Row],[Temp.Roll]]*sim.tbl[[#This Row],[Heavy_Sour]]</f>
        <v>0</v>
      </c>
      <c r="BI40" s="5">
        <f>sim.tbl[[#This Row],[Temp.Roll]]*sim.tbl[[#This Row],[Heavy_SW]]</f>
        <v>0</v>
      </c>
    </row>
    <row r="41" spans="4:61" x14ac:dyDescent="0.25">
      <c r="D41" s="5">
        <f ca="1">SUMPRODUCT($F$1:$BI$1,sim.tbl[[#This Row],[Intercept]:[Temp.Roll:Heavy_SW]])</f>
        <v>93.149939097209781</v>
      </c>
      <c r="E41" s="14">
        <f ca="1">DATE(YEAR(TODAY()),INDEX(mthLkUp.tbl[Num],MATCH(mth.input,mthLkUp.tbl[Month],0)),1)</f>
        <v>42795</v>
      </c>
      <c r="F41" s="6">
        <f>1</f>
        <v>1</v>
      </c>
      <c r="G41" s="5">
        <v>0.60499999999999998</v>
      </c>
      <c r="H41" s="5">
        <v>814.4</v>
      </c>
      <c r="I41" s="5">
        <v>-11.68333333</v>
      </c>
      <c r="J41" s="5">
        <v>-9.5</v>
      </c>
      <c r="K41" s="5">
        <v>-11.2</v>
      </c>
      <c r="L41" s="5">
        <v>-9.5</v>
      </c>
      <c r="M41" s="5">
        <v>-12.5</v>
      </c>
      <c r="N41" s="5">
        <v>-7.8</v>
      </c>
      <c r="O41" s="5">
        <v>-16</v>
      </c>
      <c r="P41" s="5">
        <v>-13.1</v>
      </c>
      <c r="Q41" s="6">
        <f>IF(sim.tbl[[#This Row],[Dens]]&lt;=770,1,0)</f>
        <v>0</v>
      </c>
      <c r="R41" s="6">
        <f>IF(AND(sim.tbl[[#This Row],[Sulf]]&gt;0.5,sim.tbl[[#This Row],[Dens]]&gt;770,sim.tbl[[#This Row],[Dens]]&lt;=825),1,0)</f>
        <v>1</v>
      </c>
      <c r="S41" s="6">
        <f>IF(AND(sim.tbl[[#This Row],[Sulf]]&lt;=0.5,sim.tbl[[#This Row],[Dens]]&gt;770,sim.tbl[[#This Row],[Dens]]&lt;=825),1,0)</f>
        <v>0</v>
      </c>
      <c r="T41" s="6">
        <f>IF(AND(sim.tbl[[#This Row],[Sulf]]&gt;0.5,sim.tbl[[#This Row],[Dens]]&gt;825,sim.tbl[[#This Row],[Dens]]&lt;=870),1,0)</f>
        <v>0</v>
      </c>
      <c r="U41" s="6">
        <f>IF(AND(sim.tbl[[#This Row],[Sulf]]&lt;0.5,sim.tbl[[#This Row],[Dens]]&gt;825,sim.tbl[[#This Row],[Dens]]&lt;=900),1,0)</f>
        <v>0</v>
      </c>
      <c r="V41" s="6">
        <f>IF(AND(sim.tbl[[#This Row],[Sulf]]&gt;0.5,sim.tbl[[#This Row],[Dens]]&gt;870,sim.tbl[[#This Row],[Dens]]&lt;=900),1,0)</f>
        <v>0</v>
      </c>
      <c r="W41" s="6">
        <f>IF(AND(sim.tbl[[#This Row],[Sulf]]&gt;0.5,sim.tbl[[#This Row],[Dens]]&gt;900),1,0)</f>
        <v>0</v>
      </c>
      <c r="X41" s="6">
        <f>IF(AND(sim.tbl[[#This Row],[Sulf]]&lt;=0.5,sim.tbl[[#This Row],[Dens]]&gt;900),1,0)</f>
        <v>0</v>
      </c>
      <c r="Y41" s="6">
        <f ca="1">IF(MONTH(sim.tbl[[#This Row],[SDate]])=INDEX(mthLkUp.tbl[Num],MATCH(Y$3,mthLkUp.tbl[Month],0)),1,0)</f>
        <v>0</v>
      </c>
      <c r="Z41" s="6">
        <f ca="1">IF(MONTH(sim.tbl[[#This Row],[SDate]])=INDEX(mthLkUp.tbl[Num],MATCH(Z$3,mthLkUp.tbl[Month],0)),1,0)</f>
        <v>0</v>
      </c>
      <c r="AA41" s="6">
        <f ca="1">IF(MONTH(sim.tbl[[#This Row],[SDate]])=INDEX(mthLkUp.tbl[Num],MATCH(AA$3,mthLkUp.tbl[Month],0)),1,0)</f>
        <v>1</v>
      </c>
      <c r="AB41" s="6">
        <f ca="1">IF(MONTH(sim.tbl[[#This Row],[SDate]])=INDEX(mthLkUp.tbl[Num],MATCH(AB$3,mthLkUp.tbl[Month],0)),1,0)</f>
        <v>0</v>
      </c>
      <c r="AC41" s="6">
        <f ca="1">IF(MONTH(sim.tbl[[#This Row],[SDate]])=INDEX(mthLkUp.tbl[Num],MATCH(AC$3,mthLkUp.tbl[Month],0)),1,0)</f>
        <v>0</v>
      </c>
      <c r="AD41" s="6">
        <f ca="1">IF(MONTH(sim.tbl[[#This Row],[SDate]])=INDEX(mthLkUp.tbl[Num],MATCH(AD$3,mthLkUp.tbl[Month],0)),1,0)</f>
        <v>0</v>
      </c>
      <c r="AE41" s="6">
        <f ca="1">IF(MONTH(sim.tbl[[#This Row],[SDate]])=INDEX(mthLkUp.tbl[Num],MATCH(AE$3,mthLkUp.tbl[Month],0)),1,0)</f>
        <v>0</v>
      </c>
      <c r="AF41" s="6">
        <f ca="1">IF(MONTH(sim.tbl[[#This Row],[SDate]])=INDEX(mthLkUp.tbl[Num],MATCH(AF$3,mthLkUp.tbl[Month],0)),1,0)</f>
        <v>0</v>
      </c>
      <c r="AG41" s="6">
        <f ca="1">IF(MONTH(sim.tbl[[#This Row],[SDate]])=INDEX(mthLkUp.tbl[Num],MATCH(AG$3,mthLkUp.tbl[Month],0)),1,0)</f>
        <v>0</v>
      </c>
      <c r="AH41" s="6">
        <f ca="1">IF(MONTH(sim.tbl[[#This Row],[SDate]])=INDEX(mthLkUp.tbl[Num],MATCH(AH$3,mthLkUp.tbl[Month],0)),1,0)</f>
        <v>0</v>
      </c>
      <c r="AI41" s="6">
        <f ca="1">IF(MONTH(sim.tbl[[#This Row],[SDate]])=INDEX(mthLkUp.tbl[Num],MATCH(AI$3,mthLkUp.tbl[Month],0)),1,0)</f>
        <v>0</v>
      </c>
      <c r="AJ41" s="6">
        <f ca="1">IF(MONTH(sim.tbl[[#This Row],[SDate]])=INDEX(mthLkUp.tbl[Num],MATCH(AJ$3,mthLkUp.tbl[Month],0)),1,0)</f>
        <v>0</v>
      </c>
      <c r="AK41" s="6">
        <v>1</v>
      </c>
      <c r="AL41" s="5">
        <f>sim.tbl[[#This Row],[Sulf]]*sim.tbl[[#This Row],[C5]]</f>
        <v>0</v>
      </c>
      <c r="AM41" s="5">
        <f>sim.tbl[[#This Row],[Sulf]]*sim.tbl[[#This Row],[Light_LSB]]</f>
        <v>0.60499999999999998</v>
      </c>
      <c r="AN41" s="5">
        <f>sim.tbl[[#This Row],[Sulf]]*sim.tbl[[#This Row],[Light_SW]]</f>
        <v>0</v>
      </c>
      <c r="AO41" s="5">
        <f>sim.tbl[[#This Row],[Sulf]]*sim.tbl[[#This Row],[Medium_LSB]]</f>
        <v>0</v>
      </c>
      <c r="AP41" s="5">
        <f>sim.tbl[[#This Row],[Sulf]]*sim.tbl[[#This Row],[Medium_SW]]</f>
        <v>0</v>
      </c>
      <c r="AQ41" s="5">
        <f>sim.tbl[[#This Row],[Sulf]]*sim.tbl[[#This Row],[Midale]]</f>
        <v>0</v>
      </c>
      <c r="AR41" s="5">
        <f>sim.tbl[[#This Row],[Sulf]]*sim.tbl[[#This Row],[Heavy_Sour]]</f>
        <v>0</v>
      </c>
      <c r="AS41" s="5">
        <f>sim.tbl[[#This Row],[Sulf]]*sim.tbl[[#This Row],[Heavy_SW]]</f>
        <v>0</v>
      </c>
      <c r="AT41" s="5">
        <f>sim.tbl[[#This Row],[Dens]]*sim.tbl[[#This Row],[C5]]</f>
        <v>0</v>
      </c>
      <c r="AU41" s="5">
        <f>sim.tbl[[#This Row],[Dens]]*sim.tbl[[#This Row],[Light_LSB]]</f>
        <v>814.4</v>
      </c>
      <c r="AV41" s="5">
        <f>sim.tbl[[#This Row],[Dens]]*sim.tbl[[#This Row],[Light_SW]]</f>
        <v>0</v>
      </c>
      <c r="AW41" s="5">
        <f>sim.tbl[[#This Row],[Dens]]*sim.tbl[[#This Row],[Medium_LSB]]</f>
        <v>0</v>
      </c>
      <c r="AX41" s="5">
        <f>sim.tbl[[#This Row],[Dens]]*sim.tbl[[#This Row],[Medium_SW]]</f>
        <v>0</v>
      </c>
      <c r="AY41" s="5">
        <f>sim.tbl[[#This Row],[Dens]]*sim.tbl[[#This Row],[Midale]]</f>
        <v>0</v>
      </c>
      <c r="AZ41" s="5">
        <f>sim.tbl[[#This Row],[Dens]]*sim.tbl[[#This Row],[Heavy_Sour]]</f>
        <v>0</v>
      </c>
      <c r="BA41" s="5">
        <f>sim.tbl[[#This Row],[Dens]]*sim.tbl[[#This Row],[Heavy_SW]]</f>
        <v>0</v>
      </c>
      <c r="BB41" s="5">
        <f>sim.tbl[[#This Row],[Temp.Roll]]*sim.tbl[[#This Row],[C5]]</f>
        <v>0</v>
      </c>
      <c r="BC41" s="5">
        <f>sim.tbl[[#This Row],[Temp.Roll]]*sim.tbl[[#This Row],[Light_LSB]]</f>
        <v>-9.5</v>
      </c>
      <c r="BD41" s="5">
        <f>sim.tbl[[#This Row],[Temp.Roll]]*sim.tbl[[#This Row],[Light_SW]]</f>
        <v>0</v>
      </c>
      <c r="BE41" s="5">
        <f>sim.tbl[[#This Row],[Temp.Roll]]*sim.tbl[[#This Row],[Medium_LSB]]</f>
        <v>0</v>
      </c>
      <c r="BF41" s="5">
        <f>sim.tbl[[#This Row],[Temp.Roll]]*sim.tbl[[#This Row],[Medium_SW]]</f>
        <v>0</v>
      </c>
      <c r="BG41" s="5">
        <f>sim.tbl[[#This Row],[Temp.Roll]]*sim.tbl[[#This Row],[Midale]]</f>
        <v>0</v>
      </c>
      <c r="BH41" s="5">
        <f>sim.tbl[[#This Row],[Temp.Roll]]*sim.tbl[[#This Row],[Heavy_Sour]]</f>
        <v>0</v>
      </c>
      <c r="BI41" s="5">
        <f>sim.tbl[[#This Row],[Temp.Roll]]*sim.tbl[[#This Row],[Heavy_SW]]</f>
        <v>0</v>
      </c>
    </row>
    <row r="42" spans="4:61" x14ac:dyDescent="0.25">
      <c r="D42" s="5">
        <f ca="1">SUMPRODUCT($F$1:$BI$1,sim.tbl[[#This Row],[Intercept]:[Temp.Roll:Heavy_SW]])</f>
        <v>87.798315336033966</v>
      </c>
      <c r="E42" s="14">
        <f ca="1">DATE(YEAR(TODAY()),INDEX(mthLkUp.tbl[Num],MATCH(mth.input,mthLkUp.tbl[Month],0)),1)</f>
        <v>42795</v>
      </c>
      <c r="F42" s="6">
        <f>1</f>
        <v>1</v>
      </c>
      <c r="G42" s="5">
        <v>0.65400000000000003</v>
      </c>
      <c r="H42" s="5">
        <v>820.8</v>
      </c>
      <c r="I42" s="5">
        <v>-2.516666667</v>
      </c>
      <c r="J42" s="5">
        <v>-2</v>
      </c>
      <c r="K42" s="5">
        <v>-1.4</v>
      </c>
      <c r="L42" s="5">
        <v>-2</v>
      </c>
      <c r="M42" s="5">
        <v>-3</v>
      </c>
      <c r="N42" s="5">
        <v>-2</v>
      </c>
      <c r="O42" s="5">
        <v>-4.5999999999999996</v>
      </c>
      <c r="P42" s="5">
        <v>-2.1</v>
      </c>
      <c r="Q42" s="6">
        <f>IF(sim.tbl[[#This Row],[Dens]]&lt;=770,1,0)</f>
        <v>0</v>
      </c>
      <c r="R42" s="6">
        <f>IF(AND(sim.tbl[[#This Row],[Sulf]]&gt;0.5,sim.tbl[[#This Row],[Dens]]&gt;770,sim.tbl[[#This Row],[Dens]]&lt;=825),1,0)</f>
        <v>1</v>
      </c>
      <c r="S42" s="6">
        <f>IF(AND(sim.tbl[[#This Row],[Sulf]]&lt;=0.5,sim.tbl[[#This Row],[Dens]]&gt;770,sim.tbl[[#This Row],[Dens]]&lt;=825),1,0)</f>
        <v>0</v>
      </c>
      <c r="T42" s="6">
        <f>IF(AND(sim.tbl[[#This Row],[Sulf]]&gt;0.5,sim.tbl[[#This Row],[Dens]]&gt;825,sim.tbl[[#This Row],[Dens]]&lt;=870),1,0)</f>
        <v>0</v>
      </c>
      <c r="U42" s="6">
        <f>IF(AND(sim.tbl[[#This Row],[Sulf]]&lt;0.5,sim.tbl[[#This Row],[Dens]]&gt;825,sim.tbl[[#This Row],[Dens]]&lt;=900),1,0)</f>
        <v>0</v>
      </c>
      <c r="V42" s="6">
        <f>IF(AND(sim.tbl[[#This Row],[Sulf]]&gt;0.5,sim.tbl[[#This Row],[Dens]]&gt;870,sim.tbl[[#This Row],[Dens]]&lt;=900),1,0)</f>
        <v>0</v>
      </c>
      <c r="W42" s="6">
        <f>IF(AND(sim.tbl[[#This Row],[Sulf]]&gt;0.5,sim.tbl[[#This Row],[Dens]]&gt;900),1,0)</f>
        <v>0</v>
      </c>
      <c r="X42" s="6">
        <f>IF(AND(sim.tbl[[#This Row],[Sulf]]&lt;=0.5,sim.tbl[[#This Row],[Dens]]&gt;900),1,0)</f>
        <v>0</v>
      </c>
      <c r="Y42" s="6">
        <f ca="1">IF(MONTH(sim.tbl[[#This Row],[SDate]])=INDEX(mthLkUp.tbl[Num],MATCH(Y$3,mthLkUp.tbl[Month],0)),1,0)</f>
        <v>0</v>
      </c>
      <c r="Z42" s="6">
        <f ca="1">IF(MONTH(sim.tbl[[#This Row],[SDate]])=INDEX(mthLkUp.tbl[Num],MATCH(Z$3,mthLkUp.tbl[Month],0)),1,0)</f>
        <v>0</v>
      </c>
      <c r="AA42" s="6">
        <f ca="1">IF(MONTH(sim.tbl[[#This Row],[SDate]])=INDEX(mthLkUp.tbl[Num],MATCH(AA$3,mthLkUp.tbl[Month],0)),1,0)</f>
        <v>1</v>
      </c>
      <c r="AB42" s="6">
        <f ca="1">IF(MONTH(sim.tbl[[#This Row],[SDate]])=INDEX(mthLkUp.tbl[Num],MATCH(AB$3,mthLkUp.tbl[Month],0)),1,0)</f>
        <v>0</v>
      </c>
      <c r="AC42" s="6">
        <f ca="1">IF(MONTH(sim.tbl[[#This Row],[SDate]])=INDEX(mthLkUp.tbl[Num],MATCH(AC$3,mthLkUp.tbl[Month],0)),1,0)</f>
        <v>0</v>
      </c>
      <c r="AD42" s="6">
        <f ca="1">IF(MONTH(sim.tbl[[#This Row],[SDate]])=INDEX(mthLkUp.tbl[Num],MATCH(AD$3,mthLkUp.tbl[Month],0)),1,0)</f>
        <v>0</v>
      </c>
      <c r="AE42" s="6">
        <f ca="1">IF(MONTH(sim.tbl[[#This Row],[SDate]])=INDEX(mthLkUp.tbl[Num],MATCH(AE$3,mthLkUp.tbl[Month],0)),1,0)</f>
        <v>0</v>
      </c>
      <c r="AF42" s="6">
        <f ca="1">IF(MONTH(sim.tbl[[#This Row],[SDate]])=INDEX(mthLkUp.tbl[Num],MATCH(AF$3,mthLkUp.tbl[Month],0)),1,0)</f>
        <v>0</v>
      </c>
      <c r="AG42" s="6">
        <f ca="1">IF(MONTH(sim.tbl[[#This Row],[SDate]])=INDEX(mthLkUp.tbl[Num],MATCH(AG$3,mthLkUp.tbl[Month],0)),1,0)</f>
        <v>0</v>
      </c>
      <c r="AH42" s="6">
        <f ca="1">IF(MONTH(sim.tbl[[#This Row],[SDate]])=INDEX(mthLkUp.tbl[Num],MATCH(AH$3,mthLkUp.tbl[Month],0)),1,0)</f>
        <v>0</v>
      </c>
      <c r="AI42" s="6">
        <f ca="1">IF(MONTH(sim.tbl[[#This Row],[SDate]])=INDEX(mthLkUp.tbl[Num],MATCH(AI$3,mthLkUp.tbl[Month],0)),1,0)</f>
        <v>0</v>
      </c>
      <c r="AJ42" s="6">
        <f ca="1">IF(MONTH(sim.tbl[[#This Row],[SDate]])=INDEX(mthLkUp.tbl[Num],MATCH(AJ$3,mthLkUp.tbl[Month],0)),1,0)</f>
        <v>0</v>
      </c>
      <c r="AK42" s="6">
        <v>1</v>
      </c>
      <c r="AL42" s="5">
        <f>sim.tbl[[#This Row],[Sulf]]*sim.tbl[[#This Row],[C5]]</f>
        <v>0</v>
      </c>
      <c r="AM42" s="5">
        <f>sim.tbl[[#This Row],[Sulf]]*sim.tbl[[#This Row],[Light_LSB]]</f>
        <v>0.65400000000000003</v>
      </c>
      <c r="AN42" s="5">
        <f>sim.tbl[[#This Row],[Sulf]]*sim.tbl[[#This Row],[Light_SW]]</f>
        <v>0</v>
      </c>
      <c r="AO42" s="5">
        <f>sim.tbl[[#This Row],[Sulf]]*sim.tbl[[#This Row],[Medium_LSB]]</f>
        <v>0</v>
      </c>
      <c r="AP42" s="5">
        <f>sim.tbl[[#This Row],[Sulf]]*sim.tbl[[#This Row],[Medium_SW]]</f>
        <v>0</v>
      </c>
      <c r="AQ42" s="5">
        <f>sim.tbl[[#This Row],[Sulf]]*sim.tbl[[#This Row],[Midale]]</f>
        <v>0</v>
      </c>
      <c r="AR42" s="5">
        <f>sim.tbl[[#This Row],[Sulf]]*sim.tbl[[#This Row],[Heavy_Sour]]</f>
        <v>0</v>
      </c>
      <c r="AS42" s="5">
        <f>sim.tbl[[#This Row],[Sulf]]*sim.tbl[[#This Row],[Heavy_SW]]</f>
        <v>0</v>
      </c>
      <c r="AT42" s="5">
        <f>sim.tbl[[#This Row],[Dens]]*sim.tbl[[#This Row],[C5]]</f>
        <v>0</v>
      </c>
      <c r="AU42" s="5">
        <f>sim.tbl[[#This Row],[Dens]]*sim.tbl[[#This Row],[Light_LSB]]</f>
        <v>820.8</v>
      </c>
      <c r="AV42" s="5">
        <f>sim.tbl[[#This Row],[Dens]]*sim.tbl[[#This Row],[Light_SW]]</f>
        <v>0</v>
      </c>
      <c r="AW42" s="5">
        <f>sim.tbl[[#This Row],[Dens]]*sim.tbl[[#This Row],[Medium_LSB]]</f>
        <v>0</v>
      </c>
      <c r="AX42" s="5">
        <f>sim.tbl[[#This Row],[Dens]]*sim.tbl[[#This Row],[Medium_SW]]</f>
        <v>0</v>
      </c>
      <c r="AY42" s="5">
        <f>sim.tbl[[#This Row],[Dens]]*sim.tbl[[#This Row],[Midale]]</f>
        <v>0</v>
      </c>
      <c r="AZ42" s="5">
        <f>sim.tbl[[#This Row],[Dens]]*sim.tbl[[#This Row],[Heavy_Sour]]</f>
        <v>0</v>
      </c>
      <c r="BA42" s="5">
        <f>sim.tbl[[#This Row],[Dens]]*sim.tbl[[#This Row],[Heavy_SW]]</f>
        <v>0</v>
      </c>
      <c r="BB42" s="5">
        <f>sim.tbl[[#This Row],[Temp.Roll]]*sim.tbl[[#This Row],[C5]]</f>
        <v>0</v>
      </c>
      <c r="BC42" s="5">
        <f>sim.tbl[[#This Row],[Temp.Roll]]*sim.tbl[[#This Row],[Light_LSB]]</f>
        <v>-2</v>
      </c>
      <c r="BD42" s="5">
        <f>sim.tbl[[#This Row],[Temp.Roll]]*sim.tbl[[#This Row],[Light_SW]]</f>
        <v>0</v>
      </c>
      <c r="BE42" s="5">
        <f>sim.tbl[[#This Row],[Temp.Roll]]*sim.tbl[[#This Row],[Medium_LSB]]</f>
        <v>0</v>
      </c>
      <c r="BF42" s="5">
        <f>sim.tbl[[#This Row],[Temp.Roll]]*sim.tbl[[#This Row],[Medium_SW]]</f>
        <v>0</v>
      </c>
      <c r="BG42" s="5">
        <f>sim.tbl[[#This Row],[Temp.Roll]]*sim.tbl[[#This Row],[Midale]]</f>
        <v>0</v>
      </c>
      <c r="BH42" s="5">
        <f>sim.tbl[[#This Row],[Temp.Roll]]*sim.tbl[[#This Row],[Heavy_Sour]]</f>
        <v>0</v>
      </c>
      <c r="BI42" s="5">
        <f>sim.tbl[[#This Row],[Temp.Roll]]*sim.tbl[[#This Row],[Heavy_SW]]</f>
        <v>0</v>
      </c>
    </row>
    <row r="43" spans="4:61" x14ac:dyDescent="0.25">
      <c r="D43" s="5">
        <f ca="1">SUMPRODUCT($F$1:$BI$1,sim.tbl[[#This Row],[Intercept]:[Temp.Roll:Heavy_SW]])</f>
        <v>84.653444712416956</v>
      </c>
      <c r="E43" s="14">
        <f ca="1">DATE(YEAR(TODAY()),INDEX(mthLkUp.tbl[Num],MATCH(mth.input,mthLkUp.tbl[Month],0)),1)</f>
        <v>42795</v>
      </c>
      <c r="F43" s="6">
        <f>1</f>
        <v>1</v>
      </c>
      <c r="G43" s="5">
        <v>0.69099999999999995</v>
      </c>
      <c r="H43" s="5">
        <v>817.3</v>
      </c>
      <c r="I43" s="5">
        <v>6.6333333330000004</v>
      </c>
      <c r="J43" s="5">
        <v>7</v>
      </c>
      <c r="K43" s="5">
        <v>6.9</v>
      </c>
      <c r="L43" s="5">
        <v>7</v>
      </c>
      <c r="M43" s="5">
        <v>6.3</v>
      </c>
      <c r="N43" s="5">
        <v>7.3</v>
      </c>
      <c r="O43" s="5">
        <v>7.2</v>
      </c>
      <c r="P43" s="5">
        <v>5.0999999999999996</v>
      </c>
      <c r="Q43" s="6">
        <f>IF(sim.tbl[[#This Row],[Dens]]&lt;=770,1,0)</f>
        <v>0</v>
      </c>
      <c r="R43" s="6">
        <f>IF(AND(sim.tbl[[#This Row],[Sulf]]&gt;0.5,sim.tbl[[#This Row],[Dens]]&gt;770,sim.tbl[[#This Row],[Dens]]&lt;=825),1,0)</f>
        <v>1</v>
      </c>
      <c r="S43" s="6">
        <f>IF(AND(sim.tbl[[#This Row],[Sulf]]&lt;=0.5,sim.tbl[[#This Row],[Dens]]&gt;770,sim.tbl[[#This Row],[Dens]]&lt;=825),1,0)</f>
        <v>0</v>
      </c>
      <c r="T43" s="6">
        <f>IF(AND(sim.tbl[[#This Row],[Sulf]]&gt;0.5,sim.tbl[[#This Row],[Dens]]&gt;825,sim.tbl[[#This Row],[Dens]]&lt;=870),1,0)</f>
        <v>0</v>
      </c>
      <c r="U43" s="6">
        <f>IF(AND(sim.tbl[[#This Row],[Sulf]]&lt;0.5,sim.tbl[[#This Row],[Dens]]&gt;825,sim.tbl[[#This Row],[Dens]]&lt;=900),1,0)</f>
        <v>0</v>
      </c>
      <c r="V43" s="6">
        <f>IF(AND(sim.tbl[[#This Row],[Sulf]]&gt;0.5,sim.tbl[[#This Row],[Dens]]&gt;870,sim.tbl[[#This Row],[Dens]]&lt;=900),1,0)</f>
        <v>0</v>
      </c>
      <c r="W43" s="6">
        <f>IF(AND(sim.tbl[[#This Row],[Sulf]]&gt;0.5,sim.tbl[[#This Row],[Dens]]&gt;900),1,0)</f>
        <v>0</v>
      </c>
      <c r="X43" s="6">
        <f>IF(AND(sim.tbl[[#This Row],[Sulf]]&lt;=0.5,sim.tbl[[#This Row],[Dens]]&gt;900),1,0)</f>
        <v>0</v>
      </c>
      <c r="Y43" s="6">
        <f ca="1">IF(MONTH(sim.tbl[[#This Row],[SDate]])=INDEX(mthLkUp.tbl[Num],MATCH(Y$3,mthLkUp.tbl[Month],0)),1,0)</f>
        <v>0</v>
      </c>
      <c r="Z43" s="6">
        <f ca="1">IF(MONTH(sim.tbl[[#This Row],[SDate]])=INDEX(mthLkUp.tbl[Num],MATCH(Z$3,mthLkUp.tbl[Month],0)),1,0)</f>
        <v>0</v>
      </c>
      <c r="AA43" s="6">
        <f ca="1">IF(MONTH(sim.tbl[[#This Row],[SDate]])=INDEX(mthLkUp.tbl[Num],MATCH(AA$3,mthLkUp.tbl[Month],0)),1,0)</f>
        <v>1</v>
      </c>
      <c r="AB43" s="6">
        <f ca="1">IF(MONTH(sim.tbl[[#This Row],[SDate]])=INDEX(mthLkUp.tbl[Num],MATCH(AB$3,mthLkUp.tbl[Month],0)),1,0)</f>
        <v>0</v>
      </c>
      <c r="AC43" s="6">
        <f ca="1">IF(MONTH(sim.tbl[[#This Row],[SDate]])=INDEX(mthLkUp.tbl[Num],MATCH(AC$3,mthLkUp.tbl[Month],0)),1,0)</f>
        <v>0</v>
      </c>
      <c r="AD43" s="6">
        <f ca="1">IF(MONTH(sim.tbl[[#This Row],[SDate]])=INDEX(mthLkUp.tbl[Num],MATCH(AD$3,mthLkUp.tbl[Month],0)),1,0)</f>
        <v>0</v>
      </c>
      <c r="AE43" s="6">
        <f ca="1">IF(MONTH(sim.tbl[[#This Row],[SDate]])=INDEX(mthLkUp.tbl[Num],MATCH(AE$3,mthLkUp.tbl[Month],0)),1,0)</f>
        <v>0</v>
      </c>
      <c r="AF43" s="6">
        <f ca="1">IF(MONTH(sim.tbl[[#This Row],[SDate]])=INDEX(mthLkUp.tbl[Num],MATCH(AF$3,mthLkUp.tbl[Month],0)),1,0)</f>
        <v>0</v>
      </c>
      <c r="AG43" s="6">
        <f ca="1">IF(MONTH(sim.tbl[[#This Row],[SDate]])=INDEX(mthLkUp.tbl[Num],MATCH(AG$3,mthLkUp.tbl[Month],0)),1,0)</f>
        <v>0</v>
      </c>
      <c r="AH43" s="6">
        <f ca="1">IF(MONTH(sim.tbl[[#This Row],[SDate]])=INDEX(mthLkUp.tbl[Num],MATCH(AH$3,mthLkUp.tbl[Month],0)),1,0)</f>
        <v>0</v>
      </c>
      <c r="AI43" s="6">
        <f ca="1">IF(MONTH(sim.tbl[[#This Row],[SDate]])=INDEX(mthLkUp.tbl[Num],MATCH(AI$3,mthLkUp.tbl[Month],0)),1,0)</f>
        <v>0</v>
      </c>
      <c r="AJ43" s="6">
        <f ca="1">IF(MONTH(sim.tbl[[#This Row],[SDate]])=INDEX(mthLkUp.tbl[Num],MATCH(AJ$3,mthLkUp.tbl[Month],0)),1,0)</f>
        <v>0</v>
      </c>
      <c r="AK43" s="6">
        <v>1</v>
      </c>
      <c r="AL43" s="5">
        <f>sim.tbl[[#This Row],[Sulf]]*sim.tbl[[#This Row],[C5]]</f>
        <v>0</v>
      </c>
      <c r="AM43" s="5">
        <f>sim.tbl[[#This Row],[Sulf]]*sim.tbl[[#This Row],[Light_LSB]]</f>
        <v>0.69099999999999995</v>
      </c>
      <c r="AN43" s="5">
        <f>sim.tbl[[#This Row],[Sulf]]*sim.tbl[[#This Row],[Light_SW]]</f>
        <v>0</v>
      </c>
      <c r="AO43" s="5">
        <f>sim.tbl[[#This Row],[Sulf]]*sim.tbl[[#This Row],[Medium_LSB]]</f>
        <v>0</v>
      </c>
      <c r="AP43" s="5">
        <f>sim.tbl[[#This Row],[Sulf]]*sim.tbl[[#This Row],[Medium_SW]]</f>
        <v>0</v>
      </c>
      <c r="AQ43" s="5">
        <f>sim.tbl[[#This Row],[Sulf]]*sim.tbl[[#This Row],[Midale]]</f>
        <v>0</v>
      </c>
      <c r="AR43" s="5">
        <f>sim.tbl[[#This Row],[Sulf]]*sim.tbl[[#This Row],[Heavy_Sour]]</f>
        <v>0</v>
      </c>
      <c r="AS43" s="5">
        <f>sim.tbl[[#This Row],[Sulf]]*sim.tbl[[#This Row],[Heavy_SW]]</f>
        <v>0</v>
      </c>
      <c r="AT43" s="5">
        <f>sim.tbl[[#This Row],[Dens]]*sim.tbl[[#This Row],[C5]]</f>
        <v>0</v>
      </c>
      <c r="AU43" s="5">
        <f>sim.tbl[[#This Row],[Dens]]*sim.tbl[[#This Row],[Light_LSB]]</f>
        <v>817.3</v>
      </c>
      <c r="AV43" s="5">
        <f>sim.tbl[[#This Row],[Dens]]*sim.tbl[[#This Row],[Light_SW]]</f>
        <v>0</v>
      </c>
      <c r="AW43" s="5">
        <f>sim.tbl[[#This Row],[Dens]]*sim.tbl[[#This Row],[Medium_LSB]]</f>
        <v>0</v>
      </c>
      <c r="AX43" s="5">
        <f>sim.tbl[[#This Row],[Dens]]*sim.tbl[[#This Row],[Medium_SW]]</f>
        <v>0</v>
      </c>
      <c r="AY43" s="5">
        <f>sim.tbl[[#This Row],[Dens]]*sim.tbl[[#This Row],[Midale]]</f>
        <v>0</v>
      </c>
      <c r="AZ43" s="5">
        <f>sim.tbl[[#This Row],[Dens]]*sim.tbl[[#This Row],[Heavy_Sour]]</f>
        <v>0</v>
      </c>
      <c r="BA43" s="5">
        <f>sim.tbl[[#This Row],[Dens]]*sim.tbl[[#This Row],[Heavy_SW]]</f>
        <v>0</v>
      </c>
      <c r="BB43" s="5">
        <f>sim.tbl[[#This Row],[Temp.Roll]]*sim.tbl[[#This Row],[C5]]</f>
        <v>0</v>
      </c>
      <c r="BC43" s="5">
        <f>sim.tbl[[#This Row],[Temp.Roll]]*sim.tbl[[#This Row],[Light_LSB]]</f>
        <v>7</v>
      </c>
      <c r="BD43" s="5">
        <f>sim.tbl[[#This Row],[Temp.Roll]]*sim.tbl[[#This Row],[Light_SW]]</f>
        <v>0</v>
      </c>
      <c r="BE43" s="5">
        <f>sim.tbl[[#This Row],[Temp.Roll]]*sim.tbl[[#This Row],[Medium_LSB]]</f>
        <v>0</v>
      </c>
      <c r="BF43" s="5">
        <f>sim.tbl[[#This Row],[Temp.Roll]]*sim.tbl[[#This Row],[Medium_SW]]</f>
        <v>0</v>
      </c>
      <c r="BG43" s="5">
        <f>sim.tbl[[#This Row],[Temp.Roll]]*sim.tbl[[#This Row],[Midale]]</f>
        <v>0</v>
      </c>
      <c r="BH43" s="5">
        <f>sim.tbl[[#This Row],[Temp.Roll]]*sim.tbl[[#This Row],[Heavy_Sour]]</f>
        <v>0</v>
      </c>
      <c r="BI43" s="5">
        <f>sim.tbl[[#This Row],[Temp.Roll]]*sim.tbl[[#This Row],[Heavy_SW]]</f>
        <v>0</v>
      </c>
    </row>
    <row r="44" spans="4:61" x14ac:dyDescent="0.25">
      <c r="D44" s="5">
        <f ca="1">SUMPRODUCT($F$1:$BI$1,sim.tbl[[#This Row],[Intercept]:[Temp.Roll:Heavy_SW]])</f>
        <v>88.096203226996408</v>
      </c>
      <c r="E44" s="14">
        <f ca="1">DATE(YEAR(TODAY()),INDEX(mthLkUp.tbl[Num],MATCH(mth.input,mthLkUp.tbl[Month],0)),1)</f>
        <v>42795</v>
      </c>
      <c r="F44" s="6">
        <f>1</f>
        <v>1</v>
      </c>
      <c r="G44" s="5">
        <v>0.55400000000000005</v>
      </c>
      <c r="H44" s="5">
        <v>821.4</v>
      </c>
      <c r="I44" s="5">
        <v>-4.733333333</v>
      </c>
      <c r="J44" s="5">
        <v>-3.7</v>
      </c>
      <c r="K44" s="5">
        <v>-3.1</v>
      </c>
      <c r="L44" s="5">
        <v>-3.7</v>
      </c>
      <c r="M44" s="5">
        <v>-6</v>
      </c>
      <c r="N44" s="5">
        <v>-3.3</v>
      </c>
      <c r="O44" s="5">
        <v>-6.5</v>
      </c>
      <c r="P44" s="5">
        <v>-5.8</v>
      </c>
      <c r="Q44" s="6">
        <f>IF(sim.tbl[[#This Row],[Dens]]&lt;=770,1,0)</f>
        <v>0</v>
      </c>
      <c r="R44" s="6">
        <f>IF(AND(sim.tbl[[#This Row],[Sulf]]&gt;0.5,sim.tbl[[#This Row],[Dens]]&gt;770,sim.tbl[[#This Row],[Dens]]&lt;=825),1,0)</f>
        <v>1</v>
      </c>
      <c r="S44" s="6">
        <f>IF(AND(sim.tbl[[#This Row],[Sulf]]&lt;=0.5,sim.tbl[[#This Row],[Dens]]&gt;770,sim.tbl[[#This Row],[Dens]]&lt;=825),1,0)</f>
        <v>0</v>
      </c>
      <c r="T44" s="6">
        <f>IF(AND(sim.tbl[[#This Row],[Sulf]]&gt;0.5,sim.tbl[[#This Row],[Dens]]&gt;825,sim.tbl[[#This Row],[Dens]]&lt;=870),1,0)</f>
        <v>0</v>
      </c>
      <c r="U44" s="6">
        <f>IF(AND(sim.tbl[[#This Row],[Sulf]]&lt;0.5,sim.tbl[[#This Row],[Dens]]&gt;825,sim.tbl[[#This Row],[Dens]]&lt;=900),1,0)</f>
        <v>0</v>
      </c>
      <c r="V44" s="6">
        <f>IF(AND(sim.tbl[[#This Row],[Sulf]]&gt;0.5,sim.tbl[[#This Row],[Dens]]&gt;870,sim.tbl[[#This Row],[Dens]]&lt;=900),1,0)</f>
        <v>0</v>
      </c>
      <c r="W44" s="6">
        <f>IF(AND(sim.tbl[[#This Row],[Sulf]]&gt;0.5,sim.tbl[[#This Row],[Dens]]&gt;900),1,0)</f>
        <v>0</v>
      </c>
      <c r="X44" s="6">
        <f>IF(AND(sim.tbl[[#This Row],[Sulf]]&lt;=0.5,sim.tbl[[#This Row],[Dens]]&gt;900),1,0)</f>
        <v>0</v>
      </c>
      <c r="Y44" s="6">
        <f ca="1">IF(MONTH(sim.tbl[[#This Row],[SDate]])=INDEX(mthLkUp.tbl[Num],MATCH(Y$3,mthLkUp.tbl[Month],0)),1,0)</f>
        <v>0</v>
      </c>
      <c r="Z44" s="6">
        <f ca="1">IF(MONTH(sim.tbl[[#This Row],[SDate]])=INDEX(mthLkUp.tbl[Num],MATCH(Z$3,mthLkUp.tbl[Month],0)),1,0)</f>
        <v>0</v>
      </c>
      <c r="AA44" s="6">
        <f ca="1">IF(MONTH(sim.tbl[[#This Row],[SDate]])=INDEX(mthLkUp.tbl[Num],MATCH(AA$3,mthLkUp.tbl[Month],0)),1,0)</f>
        <v>1</v>
      </c>
      <c r="AB44" s="6">
        <f ca="1">IF(MONTH(sim.tbl[[#This Row],[SDate]])=INDEX(mthLkUp.tbl[Num],MATCH(AB$3,mthLkUp.tbl[Month],0)),1,0)</f>
        <v>0</v>
      </c>
      <c r="AC44" s="6">
        <f ca="1">IF(MONTH(sim.tbl[[#This Row],[SDate]])=INDEX(mthLkUp.tbl[Num],MATCH(AC$3,mthLkUp.tbl[Month],0)),1,0)</f>
        <v>0</v>
      </c>
      <c r="AD44" s="6">
        <f ca="1">IF(MONTH(sim.tbl[[#This Row],[SDate]])=INDEX(mthLkUp.tbl[Num],MATCH(AD$3,mthLkUp.tbl[Month],0)),1,0)</f>
        <v>0</v>
      </c>
      <c r="AE44" s="6">
        <f ca="1">IF(MONTH(sim.tbl[[#This Row],[SDate]])=INDEX(mthLkUp.tbl[Num],MATCH(AE$3,mthLkUp.tbl[Month],0)),1,0)</f>
        <v>0</v>
      </c>
      <c r="AF44" s="6">
        <f ca="1">IF(MONTH(sim.tbl[[#This Row],[SDate]])=INDEX(mthLkUp.tbl[Num],MATCH(AF$3,mthLkUp.tbl[Month],0)),1,0)</f>
        <v>0</v>
      </c>
      <c r="AG44" s="6">
        <f ca="1">IF(MONTH(sim.tbl[[#This Row],[SDate]])=INDEX(mthLkUp.tbl[Num],MATCH(AG$3,mthLkUp.tbl[Month],0)),1,0)</f>
        <v>0</v>
      </c>
      <c r="AH44" s="6">
        <f ca="1">IF(MONTH(sim.tbl[[#This Row],[SDate]])=INDEX(mthLkUp.tbl[Num],MATCH(AH$3,mthLkUp.tbl[Month],0)),1,0)</f>
        <v>0</v>
      </c>
      <c r="AI44" s="6">
        <f ca="1">IF(MONTH(sim.tbl[[#This Row],[SDate]])=INDEX(mthLkUp.tbl[Num],MATCH(AI$3,mthLkUp.tbl[Month],0)),1,0)</f>
        <v>0</v>
      </c>
      <c r="AJ44" s="6">
        <f ca="1">IF(MONTH(sim.tbl[[#This Row],[SDate]])=INDEX(mthLkUp.tbl[Num],MATCH(AJ$3,mthLkUp.tbl[Month],0)),1,0)</f>
        <v>0</v>
      </c>
      <c r="AK44" s="6">
        <v>1</v>
      </c>
      <c r="AL44" s="5">
        <f>sim.tbl[[#This Row],[Sulf]]*sim.tbl[[#This Row],[C5]]</f>
        <v>0</v>
      </c>
      <c r="AM44" s="5">
        <f>sim.tbl[[#This Row],[Sulf]]*sim.tbl[[#This Row],[Light_LSB]]</f>
        <v>0.55400000000000005</v>
      </c>
      <c r="AN44" s="5">
        <f>sim.tbl[[#This Row],[Sulf]]*sim.tbl[[#This Row],[Light_SW]]</f>
        <v>0</v>
      </c>
      <c r="AO44" s="5">
        <f>sim.tbl[[#This Row],[Sulf]]*sim.tbl[[#This Row],[Medium_LSB]]</f>
        <v>0</v>
      </c>
      <c r="AP44" s="5">
        <f>sim.tbl[[#This Row],[Sulf]]*sim.tbl[[#This Row],[Medium_SW]]</f>
        <v>0</v>
      </c>
      <c r="AQ44" s="5">
        <f>sim.tbl[[#This Row],[Sulf]]*sim.tbl[[#This Row],[Midale]]</f>
        <v>0</v>
      </c>
      <c r="AR44" s="5">
        <f>sim.tbl[[#This Row],[Sulf]]*sim.tbl[[#This Row],[Heavy_Sour]]</f>
        <v>0</v>
      </c>
      <c r="AS44" s="5">
        <f>sim.tbl[[#This Row],[Sulf]]*sim.tbl[[#This Row],[Heavy_SW]]</f>
        <v>0</v>
      </c>
      <c r="AT44" s="5">
        <f>sim.tbl[[#This Row],[Dens]]*sim.tbl[[#This Row],[C5]]</f>
        <v>0</v>
      </c>
      <c r="AU44" s="5">
        <f>sim.tbl[[#This Row],[Dens]]*sim.tbl[[#This Row],[Light_LSB]]</f>
        <v>821.4</v>
      </c>
      <c r="AV44" s="5">
        <f>sim.tbl[[#This Row],[Dens]]*sim.tbl[[#This Row],[Light_SW]]</f>
        <v>0</v>
      </c>
      <c r="AW44" s="5">
        <f>sim.tbl[[#This Row],[Dens]]*sim.tbl[[#This Row],[Medium_LSB]]</f>
        <v>0</v>
      </c>
      <c r="AX44" s="5">
        <f>sim.tbl[[#This Row],[Dens]]*sim.tbl[[#This Row],[Medium_SW]]</f>
        <v>0</v>
      </c>
      <c r="AY44" s="5">
        <f>sim.tbl[[#This Row],[Dens]]*sim.tbl[[#This Row],[Midale]]</f>
        <v>0</v>
      </c>
      <c r="AZ44" s="5">
        <f>sim.tbl[[#This Row],[Dens]]*sim.tbl[[#This Row],[Heavy_Sour]]</f>
        <v>0</v>
      </c>
      <c r="BA44" s="5">
        <f>sim.tbl[[#This Row],[Dens]]*sim.tbl[[#This Row],[Heavy_SW]]</f>
        <v>0</v>
      </c>
      <c r="BB44" s="5">
        <f>sim.tbl[[#This Row],[Temp.Roll]]*sim.tbl[[#This Row],[C5]]</f>
        <v>0</v>
      </c>
      <c r="BC44" s="5">
        <f>sim.tbl[[#This Row],[Temp.Roll]]*sim.tbl[[#This Row],[Light_LSB]]</f>
        <v>-3.7</v>
      </c>
      <c r="BD44" s="5">
        <f>sim.tbl[[#This Row],[Temp.Roll]]*sim.tbl[[#This Row],[Light_SW]]</f>
        <v>0</v>
      </c>
      <c r="BE44" s="5">
        <f>sim.tbl[[#This Row],[Temp.Roll]]*sim.tbl[[#This Row],[Medium_LSB]]</f>
        <v>0</v>
      </c>
      <c r="BF44" s="5">
        <f>sim.tbl[[#This Row],[Temp.Roll]]*sim.tbl[[#This Row],[Medium_SW]]</f>
        <v>0</v>
      </c>
      <c r="BG44" s="5">
        <f>sim.tbl[[#This Row],[Temp.Roll]]*sim.tbl[[#This Row],[Midale]]</f>
        <v>0</v>
      </c>
      <c r="BH44" s="5">
        <f>sim.tbl[[#This Row],[Temp.Roll]]*sim.tbl[[#This Row],[Heavy_Sour]]</f>
        <v>0</v>
      </c>
      <c r="BI44" s="5">
        <f>sim.tbl[[#This Row],[Temp.Roll]]*sim.tbl[[#This Row],[Heavy_SW]]</f>
        <v>0</v>
      </c>
    </row>
    <row r="45" spans="4:61" x14ac:dyDescent="0.25">
      <c r="D45" s="5">
        <f ca="1">SUMPRODUCT($F$1:$BI$1,sim.tbl[[#This Row],[Intercept]:[Temp.Roll:Heavy_SW]])</f>
        <v>94.256690161761085</v>
      </c>
      <c r="E45" s="14">
        <f ca="1">DATE(YEAR(TODAY()),INDEX(mthLkUp.tbl[Num],MATCH(mth.input,mthLkUp.tbl[Month],0)),1)</f>
        <v>42795</v>
      </c>
      <c r="F45" s="6">
        <f>1</f>
        <v>1</v>
      </c>
      <c r="G45" s="5">
        <v>0.59699999999999998</v>
      </c>
      <c r="H45" s="5">
        <v>815.9</v>
      </c>
      <c r="I45" s="5">
        <v>-11.46</v>
      </c>
      <c r="J45" s="5">
        <v>-12.8</v>
      </c>
      <c r="K45" s="5">
        <v>-12.3</v>
      </c>
      <c r="L45" s="5">
        <v>-12.8</v>
      </c>
      <c r="M45" s="5">
        <v>2.8</v>
      </c>
      <c r="N45" s="5">
        <v>-10</v>
      </c>
      <c r="O45" s="5">
        <v>-13</v>
      </c>
      <c r="P45" s="5">
        <v>-9.1999999999999993</v>
      </c>
      <c r="Q45" s="6">
        <f>IF(sim.tbl[[#This Row],[Dens]]&lt;=770,1,0)</f>
        <v>0</v>
      </c>
      <c r="R45" s="6">
        <f>IF(AND(sim.tbl[[#This Row],[Sulf]]&gt;0.5,sim.tbl[[#This Row],[Dens]]&gt;770,sim.tbl[[#This Row],[Dens]]&lt;=825),1,0)</f>
        <v>1</v>
      </c>
      <c r="S45" s="6">
        <f>IF(AND(sim.tbl[[#This Row],[Sulf]]&lt;=0.5,sim.tbl[[#This Row],[Dens]]&gt;770,sim.tbl[[#This Row],[Dens]]&lt;=825),1,0)</f>
        <v>0</v>
      </c>
      <c r="T45" s="6">
        <f>IF(AND(sim.tbl[[#This Row],[Sulf]]&gt;0.5,sim.tbl[[#This Row],[Dens]]&gt;825,sim.tbl[[#This Row],[Dens]]&lt;=870),1,0)</f>
        <v>0</v>
      </c>
      <c r="U45" s="6">
        <f>IF(AND(sim.tbl[[#This Row],[Sulf]]&lt;0.5,sim.tbl[[#This Row],[Dens]]&gt;825,sim.tbl[[#This Row],[Dens]]&lt;=900),1,0)</f>
        <v>0</v>
      </c>
      <c r="V45" s="6">
        <f>IF(AND(sim.tbl[[#This Row],[Sulf]]&gt;0.5,sim.tbl[[#This Row],[Dens]]&gt;870,sim.tbl[[#This Row],[Dens]]&lt;=900),1,0)</f>
        <v>0</v>
      </c>
      <c r="W45" s="6">
        <f>IF(AND(sim.tbl[[#This Row],[Sulf]]&gt;0.5,sim.tbl[[#This Row],[Dens]]&gt;900),1,0)</f>
        <v>0</v>
      </c>
      <c r="X45" s="6">
        <f>IF(AND(sim.tbl[[#This Row],[Sulf]]&lt;=0.5,sim.tbl[[#This Row],[Dens]]&gt;900),1,0)</f>
        <v>0</v>
      </c>
      <c r="Y45" s="6">
        <f ca="1">IF(MONTH(sim.tbl[[#This Row],[SDate]])=INDEX(mthLkUp.tbl[Num],MATCH(Y$3,mthLkUp.tbl[Month],0)),1,0)</f>
        <v>0</v>
      </c>
      <c r="Z45" s="6">
        <f ca="1">IF(MONTH(sim.tbl[[#This Row],[SDate]])=INDEX(mthLkUp.tbl[Num],MATCH(Z$3,mthLkUp.tbl[Month],0)),1,0)</f>
        <v>0</v>
      </c>
      <c r="AA45" s="6">
        <f ca="1">IF(MONTH(sim.tbl[[#This Row],[SDate]])=INDEX(mthLkUp.tbl[Num],MATCH(AA$3,mthLkUp.tbl[Month],0)),1,0)</f>
        <v>1</v>
      </c>
      <c r="AB45" s="6">
        <f ca="1">IF(MONTH(sim.tbl[[#This Row],[SDate]])=INDEX(mthLkUp.tbl[Num],MATCH(AB$3,mthLkUp.tbl[Month],0)),1,0)</f>
        <v>0</v>
      </c>
      <c r="AC45" s="6">
        <f ca="1">IF(MONTH(sim.tbl[[#This Row],[SDate]])=INDEX(mthLkUp.tbl[Num],MATCH(AC$3,mthLkUp.tbl[Month],0)),1,0)</f>
        <v>0</v>
      </c>
      <c r="AD45" s="6">
        <f ca="1">IF(MONTH(sim.tbl[[#This Row],[SDate]])=INDEX(mthLkUp.tbl[Num],MATCH(AD$3,mthLkUp.tbl[Month],0)),1,0)</f>
        <v>0</v>
      </c>
      <c r="AE45" s="6">
        <f ca="1">IF(MONTH(sim.tbl[[#This Row],[SDate]])=INDEX(mthLkUp.tbl[Num],MATCH(AE$3,mthLkUp.tbl[Month],0)),1,0)</f>
        <v>0</v>
      </c>
      <c r="AF45" s="6">
        <f ca="1">IF(MONTH(sim.tbl[[#This Row],[SDate]])=INDEX(mthLkUp.tbl[Num],MATCH(AF$3,mthLkUp.tbl[Month],0)),1,0)</f>
        <v>0</v>
      </c>
      <c r="AG45" s="6">
        <f ca="1">IF(MONTH(sim.tbl[[#This Row],[SDate]])=INDEX(mthLkUp.tbl[Num],MATCH(AG$3,mthLkUp.tbl[Month],0)),1,0)</f>
        <v>0</v>
      </c>
      <c r="AH45" s="6">
        <f ca="1">IF(MONTH(sim.tbl[[#This Row],[SDate]])=INDEX(mthLkUp.tbl[Num],MATCH(AH$3,mthLkUp.tbl[Month],0)),1,0)</f>
        <v>0</v>
      </c>
      <c r="AI45" s="6">
        <f ca="1">IF(MONTH(sim.tbl[[#This Row],[SDate]])=INDEX(mthLkUp.tbl[Num],MATCH(AI$3,mthLkUp.tbl[Month],0)),1,0)</f>
        <v>0</v>
      </c>
      <c r="AJ45" s="6">
        <f ca="1">IF(MONTH(sim.tbl[[#This Row],[SDate]])=INDEX(mthLkUp.tbl[Num],MATCH(AJ$3,mthLkUp.tbl[Month],0)),1,0)</f>
        <v>0</v>
      </c>
      <c r="AK45" s="6">
        <v>1</v>
      </c>
      <c r="AL45" s="5">
        <f>sim.tbl[[#This Row],[Sulf]]*sim.tbl[[#This Row],[C5]]</f>
        <v>0</v>
      </c>
      <c r="AM45" s="5">
        <f>sim.tbl[[#This Row],[Sulf]]*sim.tbl[[#This Row],[Light_LSB]]</f>
        <v>0.59699999999999998</v>
      </c>
      <c r="AN45" s="5">
        <f>sim.tbl[[#This Row],[Sulf]]*sim.tbl[[#This Row],[Light_SW]]</f>
        <v>0</v>
      </c>
      <c r="AO45" s="5">
        <f>sim.tbl[[#This Row],[Sulf]]*sim.tbl[[#This Row],[Medium_LSB]]</f>
        <v>0</v>
      </c>
      <c r="AP45" s="5">
        <f>sim.tbl[[#This Row],[Sulf]]*sim.tbl[[#This Row],[Medium_SW]]</f>
        <v>0</v>
      </c>
      <c r="AQ45" s="5">
        <f>sim.tbl[[#This Row],[Sulf]]*sim.tbl[[#This Row],[Midale]]</f>
        <v>0</v>
      </c>
      <c r="AR45" s="5">
        <f>sim.tbl[[#This Row],[Sulf]]*sim.tbl[[#This Row],[Heavy_Sour]]</f>
        <v>0</v>
      </c>
      <c r="AS45" s="5">
        <f>sim.tbl[[#This Row],[Sulf]]*sim.tbl[[#This Row],[Heavy_SW]]</f>
        <v>0</v>
      </c>
      <c r="AT45" s="5">
        <f>sim.tbl[[#This Row],[Dens]]*sim.tbl[[#This Row],[C5]]</f>
        <v>0</v>
      </c>
      <c r="AU45" s="5">
        <f>sim.tbl[[#This Row],[Dens]]*sim.tbl[[#This Row],[Light_LSB]]</f>
        <v>815.9</v>
      </c>
      <c r="AV45" s="5">
        <f>sim.tbl[[#This Row],[Dens]]*sim.tbl[[#This Row],[Light_SW]]</f>
        <v>0</v>
      </c>
      <c r="AW45" s="5">
        <f>sim.tbl[[#This Row],[Dens]]*sim.tbl[[#This Row],[Medium_LSB]]</f>
        <v>0</v>
      </c>
      <c r="AX45" s="5">
        <f>sim.tbl[[#This Row],[Dens]]*sim.tbl[[#This Row],[Medium_SW]]</f>
        <v>0</v>
      </c>
      <c r="AY45" s="5">
        <f>sim.tbl[[#This Row],[Dens]]*sim.tbl[[#This Row],[Midale]]</f>
        <v>0</v>
      </c>
      <c r="AZ45" s="5">
        <f>sim.tbl[[#This Row],[Dens]]*sim.tbl[[#This Row],[Heavy_Sour]]</f>
        <v>0</v>
      </c>
      <c r="BA45" s="5">
        <f>sim.tbl[[#This Row],[Dens]]*sim.tbl[[#This Row],[Heavy_SW]]</f>
        <v>0</v>
      </c>
      <c r="BB45" s="5">
        <f>sim.tbl[[#This Row],[Temp.Roll]]*sim.tbl[[#This Row],[C5]]</f>
        <v>0</v>
      </c>
      <c r="BC45" s="5">
        <f>sim.tbl[[#This Row],[Temp.Roll]]*sim.tbl[[#This Row],[Light_LSB]]</f>
        <v>-12.8</v>
      </c>
      <c r="BD45" s="5">
        <f>sim.tbl[[#This Row],[Temp.Roll]]*sim.tbl[[#This Row],[Light_SW]]</f>
        <v>0</v>
      </c>
      <c r="BE45" s="5">
        <f>sim.tbl[[#This Row],[Temp.Roll]]*sim.tbl[[#This Row],[Medium_LSB]]</f>
        <v>0</v>
      </c>
      <c r="BF45" s="5">
        <f>sim.tbl[[#This Row],[Temp.Roll]]*sim.tbl[[#This Row],[Medium_SW]]</f>
        <v>0</v>
      </c>
      <c r="BG45" s="5">
        <f>sim.tbl[[#This Row],[Temp.Roll]]*sim.tbl[[#This Row],[Midale]]</f>
        <v>0</v>
      </c>
      <c r="BH45" s="5">
        <f>sim.tbl[[#This Row],[Temp.Roll]]*sim.tbl[[#This Row],[Heavy_Sour]]</f>
        <v>0</v>
      </c>
      <c r="BI45" s="5">
        <f>sim.tbl[[#This Row],[Temp.Roll]]*sim.tbl[[#This Row],[Heavy_SW]]</f>
        <v>0</v>
      </c>
    </row>
    <row r="46" spans="4:61" x14ac:dyDescent="0.25">
      <c r="D46" s="5">
        <f ca="1">SUMPRODUCT($F$1:$BI$1,sim.tbl[[#This Row],[Intercept]:[Temp.Roll:Heavy_SW]])</f>
        <v>82.536341120349633</v>
      </c>
      <c r="E46" s="14">
        <f ca="1">DATE(YEAR(TODAY()),INDEX(mthLkUp.tbl[Num],MATCH(mth.input,mthLkUp.tbl[Month],0)),1)</f>
        <v>42795</v>
      </c>
      <c r="F46" s="6">
        <f>1</f>
        <v>1</v>
      </c>
      <c r="G46" s="5">
        <v>0.746</v>
      </c>
      <c r="H46" s="5">
        <v>818.9</v>
      </c>
      <c r="I46" s="5">
        <v>10.91666667</v>
      </c>
      <c r="J46" s="5">
        <v>10.8</v>
      </c>
      <c r="K46" s="5">
        <v>9.5</v>
      </c>
      <c r="L46" s="5">
        <v>10.8</v>
      </c>
      <c r="M46" s="5">
        <v>7.8</v>
      </c>
      <c r="N46" s="5">
        <v>11</v>
      </c>
      <c r="O46" s="5">
        <v>14</v>
      </c>
      <c r="P46" s="5">
        <v>12.4</v>
      </c>
      <c r="Q46" s="6">
        <f>IF(sim.tbl[[#This Row],[Dens]]&lt;=770,1,0)</f>
        <v>0</v>
      </c>
      <c r="R46" s="6">
        <f>IF(AND(sim.tbl[[#This Row],[Sulf]]&gt;0.5,sim.tbl[[#This Row],[Dens]]&gt;770,sim.tbl[[#This Row],[Dens]]&lt;=825),1,0)</f>
        <v>1</v>
      </c>
      <c r="S46" s="6">
        <f>IF(AND(sim.tbl[[#This Row],[Sulf]]&lt;=0.5,sim.tbl[[#This Row],[Dens]]&gt;770,sim.tbl[[#This Row],[Dens]]&lt;=825),1,0)</f>
        <v>0</v>
      </c>
      <c r="T46" s="6">
        <f>IF(AND(sim.tbl[[#This Row],[Sulf]]&gt;0.5,sim.tbl[[#This Row],[Dens]]&gt;825,sim.tbl[[#This Row],[Dens]]&lt;=870),1,0)</f>
        <v>0</v>
      </c>
      <c r="U46" s="6">
        <f>IF(AND(sim.tbl[[#This Row],[Sulf]]&lt;0.5,sim.tbl[[#This Row],[Dens]]&gt;825,sim.tbl[[#This Row],[Dens]]&lt;=900),1,0)</f>
        <v>0</v>
      </c>
      <c r="V46" s="6">
        <f>IF(AND(sim.tbl[[#This Row],[Sulf]]&gt;0.5,sim.tbl[[#This Row],[Dens]]&gt;870,sim.tbl[[#This Row],[Dens]]&lt;=900),1,0)</f>
        <v>0</v>
      </c>
      <c r="W46" s="6">
        <f>IF(AND(sim.tbl[[#This Row],[Sulf]]&gt;0.5,sim.tbl[[#This Row],[Dens]]&gt;900),1,0)</f>
        <v>0</v>
      </c>
      <c r="X46" s="6">
        <f>IF(AND(sim.tbl[[#This Row],[Sulf]]&lt;=0.5,sim.tbl[[#This Row],[Dens]]&gt;900),1,0)</f>
        <v>0</v>
      </c>
      <c r="Y46" s="6">
        <f ca="1">IF(MONTH(sim.tbl[[#This Row],[SDate]])=INDEX(mthLkUp.tbl[Num],MATCH(Y$3,mthLkUp.tbl[Month],0)),1,0)</f>
        <v>0</v>
      </c>
      <c r="Z46" s="6">
        <f ca="1">IF(MONTH(sim.tbl[[#This Row],[SDate]])=INDEX(mthLkUp.tbl[Num],MATCH(Z$3,mthLkUp.tbl[Month],0)),1,0)</f>
        <v>0</v>
      </c>
      <c r="AA46" s="6">
        <f ca="1">IF(MONTH(sim.tbl[[#This Row],[SDate]])=INDEX(mthLkUp.tbl[Num],MATCH(AA$3,mthLkUp.tbl[Month],0)),1,0)</f>
        <v>1</v>
      </c>
      <c r="AB46" s="6">
        <f ca="1">IF(MONTH(sim.tbl[[#This Row],[SDate]])=INDEX(mthLkUp.tbl[Num],MATCH(AB$3,mthLkUp.tbl[Month],0)),1,0)</f>
        <v>0</v>
      </c>
      <c r="AC46" s="6">
        <f ca="1">IF(MONTH(sim.tbl[[#This Row],[SDate]])=INDEX(mthLkUp.tbl[Num],MATCH(AC$3,mthLkUp.tbl[Month],0)),1,0)</f>
        <v>0</v>
      </c>
      <c r="AD46" s="6">
        <f ca="1">IF(MONTH(sim.tbl[[#This Row],[SDate]])=INDEX(mthLkUp.tbl[Num],MATCH(AD$3,mthLkUp.tbl[Month],0)),1,0)</f>
        <v>0</v>
      </c>
      <c r="AE46" s="6">
        <f ca="1">IF(MONTH(sim.tbl[[#This Row],[SDate]])=INDEX(mthLkUp.tbl[Num],MATCH(AE$3,mthLkUp.tbl[Month],0)),1,0)</f>
        <v>0</v>
      </c>
      <c r="AF46" s="6">
        <f ca="1">IF(MONTH(sim.tbl[[#This Row],[SDate]])=INDEX(mthLkUp.tbl[Num],MATCH(AF$3,mthLkUp.tbl[Month],0)),1,0)</f>
        <v>0</v>
      </c>
      <c r="AG46" s="6">
        <f ca="1">IF(MONTH(sim.tbl[[#This Row],[SDate]])=INDEX(mthLkUp.tbl[Num],MATCH(AG$3,mthLkUp.tbl[Month],0)),1,0)</f>
        <v>0</v>
      </c>
      <c r="AH46" s="6">
        <f ca="1">IF(MONTH(sim.tbl[[#This Row],[SDate]])=INDEX(mthLkUp.tbl[Num],MATCH(AH$3,mthLkUp.tbl[Month],0)),1,0)</f>
        <v>0</v>
      </c>
      <c r="AI46" s="6">
        <f ca="1">IF(MONTH(sim.tbl[[#This Row],[SDate]])=INDEX(mthLkUp.tbl[Num],MATCH(AI$3,mthLkUp.tbl[Month],0)),1,0)</f>
        <v>0</v>
      </c>
      <c r="AJ46" s="6">
        <f ca="1">IF(MONTH(sim.tbl[[#This Row],[SDate]])=INDEX(mthLkUp.tbl[Num],MATCH(AJ$3,mthLkUp.tbl[Month],0)),1,0)</f>
        <v>0</v>
      </c>
      <c r="AK46" s="6">
        <v>1</v>
      </c>
      <c r="AL46" s="5">
        <f>sim.tbl[[#This Row],[Sulf]]*sim.tbl[[#This Row],[C5]]</f>
        <v>0</v>
      </c>
      <c r="AM46" s="5">
        <f>sim.tbl[[#This Row],[Sulf]]*sim.tbl[[#This Row],[Light_LSB]]</f>
        <v>0.746</v>
      </c>
      <c r="AN46" s="5">
        <f>sim.tbl[[#This Row],[Sulf]]*sim.tbl[[#This Row],[Light_SW]]</f>
        <v>0</v>
      </c>
      <c r="AO46" s="5">
        <f>sim.tbl[[#This Row],[Sulf]]*sim.tbl[[#This Row],[Medium_LSB]]</f>
        <v>0</v>
      </c>
      <c r="AP46" s="5">
        <f>sim.tbl[[#This Row],[Sulf]]*sim.tbl[[#This Row],[Medium_SW]]</f>
        <v>0</v>
      </c>
      <c r="AQ46" s="5">
        <f>sim.tbl[[#This Row],[Sulf]]*sim.tbl[[#This Row],[Midale]]</f>
        <v>0</v>
      </c>
      <c r="AR46" s="5">
        <f>sim.tbl[[#This Row],[Sulf]]*sim.tbl[[#This Row],[Heavy_Sour]]</f>
        <v>0</v>
      </c>
      <c r="AS46" s="5">
        <f>sim.tbl[[#This Row],[Sulf]]*sim.tbl[[#This Row],[Heavy_SW]]</f>
        <v>0</v>
      </c>
      <c r="AT46" s="5">
        <f>sim.tbl[[#This Row],[Dens]]*sim.tbl[[#This Row],[C5]]</f>
        <v>0</v>
      </c>
      <c r="AU46" s="5">
        <f>sim.tbl[[#This Row],[Dens]]*sim.tbl[[#This Row],[Light_LSB]]</f>
        <v>818.9</v>
      </c>
      <c r="AV46" s="5">
        <f>sim.tbl[[#This Row],[Dens]]*sim.tbl[[#This Row],[Light_SW]]</f>
        <v>0</v>
      </c>
      <c r="AW46" s="5">
        <f>sim.tbl[[#This Row],[Dens]]*sim.tbl[[#This Row],[Medium_LSB]]</f>
        <v>0</v>
      </c>
      <c r="AX46" s="5">
        <f>sim.tbl[[#This Row],[Dens]]*sim.tbl[[#This Row],[Medium_SW]]</f>
        <v>0</v>
      </c>
      <c r="AY46" s="5">
        <f>sim.tbl[[#This Row],[Dens]]*sim.tbl[[#This Row],[Midale]]</f>
        <v>0</v>
      </c>
      <c r="AZ46" s="5">
        <f>sim.tbl[[#This Row],[Dens]]*sim.tbl[[#This Row],[Heavy_Sour]]</f>
        <v>0</v>
      </c>
      <c r="BA46" s="5">
        <f>sim.tbl[[#This Row],[Dens]]*sim.tbl[[#This Row],[Heavy_SW]]</f>
        <v>0</v>
      </c>
      <c r="BB46" s="5">
        <f>sim.tbl[[#This Row],[Temp.Roll]]*sim.tbl[[#This Row],[C5]]</f>
        <v>0</v>
      </c>
      <c r="BC46" s="5">
        <f>sim.tbl[[#This Row],[Temp.Roll]]*sim.tbl[[#This Row],[Light_LSB]]</f>
        <v>10.8</v>
      </c>
      <c r="BD46" s="5">
        <f>sim.tbl[[#This Row],[Temp.Roll]]*sim.tbl[[#This Row],[Light_SW]]</f>
        <v>0</v>
      </c>
      <c r="BE46" s="5">
        <f>sim.tbl[[#This Row],[Temp.Roll]]*sim.tbl[[#This Row],[Medium_LSB]]</f>
        <v>0</v>
      </c>
      <c r="BF46" s="5">
        <f>sim.tbl[[#This Row],[Temp.Roll]]*sim.tbl[[#This Row],[Medium_SW]]</f>
        <v>0</v>
      </c>
      <c r="BG46" s="5">
        <f>sim.tbl[[#This Row],[Temp.Roll]]*sim.tbl[[#This Row],[Midale]]</f>
        <v>0</v>
      </c>
      <c r="BH46" s="5">
        <f>sim.tbl[[#This Row],[Temp.Roll]]*sim.tbl[[#This Row],[Heavy_Sour]]</f>
        <v>0</v>
      </c>
      <c r="BI46" s="5">
        <f>sim.tbl[[#This Row],[Temp.Roll]]*sim.tbl[[#This Row],[Heavy_SW]]</f>
        <v>0</v>
      </c>
    </row>
    <row r="47" spans="4:61" x14ac:dyDescent="0.25">
      <c r="D47" s="5">
        <f ca="1">SUMPRODUCT($F$1:$BI$1,sim.tbl[[#This Row],[Intercept]:[Temp.Roll:Heavy_SW]])</f>
        <v>78.31514181061479</v>
      </c>
      <c r="E47" s="14">
        <f ca="1">DATE(YEAR(TODAY()),INDEX(mthLkUp.tbl[Num],MATCH(mth.input,mthLkUp.tbl[Month],0)),1)</f>
        <v>42795</v>
      </c>
      <c r="F47" s="6">
        <f>1</f>
        <v>1</v>
      </c>
      <c r="G47" s="5">
        <v>1.08</v>
      </c>
      <c r="H47" s="5">
        <v>828.9</v>
      </c>
      <c r="I47" s="5">
        <v>11.116666670000001</v>
      </c>
      <c r="J47" s="5">
        <v>10.8</v>
      </c>
      <c r="K47" s="5">
        <v>11</v>
      </c>
      <c r="L47" s="5">
        <v>10.8</v>
      </c>
      <c r="M47" s="5">
        <v>10.5</v>
      </c>
      <c r="N47" s="5">
        <v>11.5</v>
      </c>
      <c r="O47" s="5">
        <v>12.4</v>
      </c>
      <c r="P47" s="5">
        <v>10.5</v>
      </c>
      <c r="Q47" s="6">
        <f>IF(sim.tbl[[#This Row],[Dens]]&lt;=770,1,0)</f>
        <v>0</v>
      </c>
      <c r="R47" s="6">
        <f>IF(AND(sim.tbl[[#This Row],[Sulf]]&gt;0.5,sim.tbl[[#This Row],[Dens]]&gt;770,sim.tbl[[#This Row],[Dens]]&lt;=825),1,0)</f>
        <v>0</v>
      </c>
      <c r="S47" s="6">
        <f>IF(AND(sim.tbl[[#This Row],[Sulf]]&lt;=0.5,sim.tbl[[#This Row],[Dens]]&gt;770,sim.tbl[[#This Row],[Dens]]&lt;=825),1,0)</f>
        <v>0</v>
      </c>
      <c r="T47" s="6">
        <f>IF(AND(sim.tbl[[#This Row],[Sulf]]&gt;0.5,sim.tbl[[#This Row],[Dens]]&gt;825,sim.tbl[[#This Row],[Dens]]&lt;=870),1,0)</f>
        <v>1</v>
      </c>
      <c r="U47" s="6">
        <f>IF(AND(sim.tbl[[#This Row],[Sulf]]&lt;0.5,sim.tbl[[#This Row],[Dens]]&gt;825,sim.tbl[[#This Row],[Dens]]&lt;=900),1,0)</f>
        <v>0</v>
      </c>
      <c r="V47" s="6">
        <f>IF(AND(sim.tbl[[#This Row],[Sulf]]&gt;0.5,sim.tbl[[#This Row],[Dens]]&gt;870,sim.tbl[[#This Row],[Dens]]&lt;=900),1,0)</f>
        <v>0</v>
      </c>
      <c r="W47" s="6">
        <f>IF(AND(sim.tbl[[#This Row],[Sulf]]&gt;0.5,sim.tbl[[#This Row],[Dens]]&gt;900),1,0)</f>
        <v>0</v>
      </c>
      <c r="X47" s="6">
        <f>IF(AND(sim.tbl[[#This Row],[Sulf]]&lt;=0.5,sim.tbl[[#This Row],[Dens]]&gt;900),1,0)</f>
        <v>0</v>
      </c>
      <c r="Y47" s="6">
        <f ca="1">IF(MONTH(sim.tbl[[#This Row],[SDate]])=INDEX(mthLkUp.tbl[Num],MATCH(Y$3,mthLkUp.tbl[Month],0)),1,0)</f>
        <v>0</v>
      </c>
      <c r="Z47" s="6">
        <f ca="1">IF(MONTH(sim.tbl[[#This Row],[SDate]])=INDEX(mthLkUp.tbl[Num],MATCH(Z$3,mthLkUp.tbl[Month],0)),1,0)</f>
        <v>0</v>
      </c>
      <c r="AA47" s="6">
        <f ca="1">IF(MONTH(sim.tbl[[#This Row],[SDate]])=INDEX(mthLkUp.tbl[Num],MATCH(AA$3,mthLkUp.tbl[Month],0)),1,0)</f>
        <v>1</v>
      </c>
      <c r="AB47" s="6">
        <f ca="1">IF(MONTH(sim.tbl[[#This Row],[SDate]])=INDEX(mthLkUp.tbl[Num],MATCH(AB$3,mthLkUp.tbl[Month],0)),1,0)</f>
        <v>0</v>
      </c>
      <c r="AC47" s="6">
        <f ca="1">IF(MONTH(sim.tbl[[#This Row],[SDate]])=INDEX(mthLkUp.tbl[Num],MATCH(AC$3,mthLkUp.tbl[Month],0)),1,0)</f>
        <v>0</v>
      </c>
      <c r="AD47" s="6">
        <f ca="1">IF(MONTH(sim.tbl[[#This Row],[SDate]])=INDEX(mthLkUp.tbl[Num],MATCH(AD$3,mthLkUp.tbl[Month],0)),1,0)</f>
        <v>0</v>
      </c>
      <c r="AE47" s="6">
        <f ca="1">IF(MONTH(sim.tbl[[#This Row],[SDate]])=INDEX(mthLkUp.tbl[Num],MATCH(AE$3,mthLkUp.tbl[Month],0)),1,0)</f>
        <v>0</v>
      </c>
      <c r="AF47" s="6">
        <f ca="1">IF(MONTH(sim.tbl[[#This Row],[SDate]])=INDEX(mthLkUp.tbl[Num],MATCH(AF$3,mthLkUp.tbl[Month],0)),1,0)</f>
        <v>0</v>
      </c>
      <c r="AG47" s="6">
        <f ca="1">IF(MONTH(sim.tbl[[#This Row],[SDate]])=INDEX(mthLkUp.tbl[Num],MATCH(AG$3,mthLkUp.tbl[Month],0)),1,0)</f>
        <v>0</v>
      </c>
      <c r="AH47" s="6">
        <f ca="1">IF(MONTH(sim.tbl[[#This Row],[SDate]])=INDEX(mthLkUp.tbl[Num],MATCH(AH$3,mthLkUp.tbl[Month],0)),1,0)</f>
        <v>0</v>
      </c>
      <c r="AI47" s="6">
        <f ca="1">IF(MONTH(sim.tbl[[#This Row],[SDate]])=INDEX(mthLkUp.tbl[Num],MATCH(AI$3,mthLkUp.tbl[Month],0)),1,0)</f>
        <v>0</v>
      </c>
      <c r="AJ47" s="6">
        <f ca="1">IF(MONTH(sim.tbl[[#This Row],[SDate]])=INDEX(mthLkUp.tbl[Num],MATCH(AJ$3,mthLkUp.tbl[Month],0)),1,0)</f>
        <v>0</v>
      </c>
      <c r="AK47" s="6">
        <v>1</v>
      </c>
      <c r="AL47" s="5">
        <f>sim.tbl[[#This Row],[Sulf]]*sim.tbl[[#This Row],[C5]]</f>
        <v>0</v>
      </c>
      <c r="AM47" s="5">
        <f>sim.tbl[[#This Row],[Sulf]]*sim.tbl[[#This Row],[Light_LSB]]</f>
        <v>0</v>
      </c>
      <c r="AN47" s="5">
        <f>sim.tbl[[#This Row],[Sulf]]*sim.tbl[[#This Row],[Light_SW]]</f>
        <v>0</v>
      </c>
      <c r="AO47" s="5">
        <f>sim.tbl[[#This Row],[Sulf]]*sim.tbl[[#This Row],[Medium_LSB]]</f>
        <v>1.08</v>
      </c>
      <c r="AP47" s="5">
        <f>sim.tbl[[#This Row],[Sulf]]*sim.tbl[[#This Row],[Medium_SW]]</f>
        <v>0</v>
      </c>
      <c r="AQ47" s="5">
        <f>sim.tbl[[#This Row],[Sulf]]*sim.tbl[[#This Row],[Midale]]</f>
        <v>0</v>
      </c>
      <c r="AR47" s="5">
        <f>sim.tbl[[#This Row],[Sulf]]*sim.tbl[[#This Row],[Heavy_Sour]]</f>
        <v>0</v>
      </c>
      <c r="AS47" s="5">
        <f>sim.tbl[[#This Row],[Sulf]]*sim.tbl[[#This Row],[Heavy_SW]]</f>
        <v>0</v>
      </c>
      <c r="AT47" s="5">
        <f>sim.tbl[[#This Row],[Dens]]*sim.tbl[[#This Row],[C5]]</f>
        <v>0</v>
      </c>
      <c r="AU47" s="5">
        <f>sim.tbl[[#This Row],[Dens]]*sim.tbl[[#This Row],[Light_LSB]]</f>
        <v>0</v>
      </c>
      <c r="AV47" s="5">
        <f>sim.tbl[[#This Row],[Dens]]*sim.tbl[[#This Row],[Light_SW]]</f>
        <v>0</v>
      </c>
      <c r="AW47" s="5">
        <f>sim.tbl[[#This Row],[Dens]]*sim.tbl[[#This Row],[Medium_LSB]]</f>
        <v>828.9</v>
      </c>
      <c r="AX47" s="5">
        <f>sim.tbl[[#This Row],[Dens]]*sim.tbl[[#This Row],[Medium_SW]]</f>
        <v>0</v>
      </c>
      <c r="AY47" s="5">
        <f>sim.tbl[[#This Row],[Dens]]*sim.tbl[[#This Row],[Midale]]</f>
        <v>0</v>
      </c>
      <c r="AZ47" s="5">
        <f>sim.tbl[[#This Row],[Dens]]*sim.tbl[[#This Row],[Heavy_Sour]]</f>
        <v>0</v>
      </c>
      <c r="BA47" s="5">
        <f>sim.tbl[[#This Row],[Dens]]*sim.tbl[[#This Row],[Heavy_SW]]</f>
        <v>0</v>
      </c>
      <c r="BB47" s="5">
        <f>sim.tbl[[#This Row],[Temp.Roll]]*sim.tbl[[#This Row],[C5]]</f>
        <v>0</v>
      </c>
      <c r="BC47" s="5">
        <f>sim.tbl[[#This Row],[Temp.Roll]]*sim.tbl[[#This Row],[Light_LSB]]</f>
        <v>0</v>
      </c>
      <c r="BD47" s="5">
        <f>sim.tbl[[#This Row],[Temp.Roll]]*sim.tbl[[#This Row],[Light_SW]]</f>
        <v>0</v>
      </c>
      <c r="BE47" s="5">
        <f>sim.tbl[[#This Row],[Temp.Roll]]*sim.tbl[[#This Row],[Medium_LSB]]</f>
        <v>10.8</v>
      </c>
      <c r="BF47" s="5">
        <f>sim.tbl[[#This Row],[Temp.Roll]]*sim.tbl[[#This Row],[Medium_SW]]</f>
        <v>0</v>
      </c>
      <c r="BG47" s="5">
        <f>sim.tbl[[#This Row],[Temp.Roll]]*sim.tbl[[#This Row],[Midale]]</f>
        <v>0</v>
      </c>
      <c r="BH47" s="5">
        <f>sim.tbl[[#This Row],[Temp.Roll]]*sim.tbl[[#This Row],[Heavy_Sour]]</f>
        <v>0</v>
      </c>
      <c r="BI47" s="5">
        <f>sim.tbl[[#This Row],[Temp.Roll]]*sim.tbl[[#This Row],[Heavy_SW]]</f>
        <v>0</v>
      </c>
    </row>
    <row r="48" spans="4:61" x14ac:dyDescent="0.25">
      <c r="D48" s="5">
        <f ca="1">SUMPRODUCT($F$1:$BI$1,sim.tbl[[#This Row],[Intercept]:[Temp.Roll:Heavy_SW]])</f>
        <v>83.716522931434838</v>
      </c>
      <c r="E48" s="14">
        <f ca="1">DATE(YEAR(TODAY()),INDEX(mthLkUp.tbl[Num],MATCH(mth.input,mthLkUp.tbl[Month],0)),1)</f>
        <v>42795</v>
      </c>
      <c r="F48" s="6">
        <f>1</f>
        <v>1</v>
      </c>
      <c r="G48" s="5">
        <v>1.24</v>
      </c>
      <c r="H48" s="5">
        <v>839.2</v>
      </c>
      <c r="I48" s="5">
        <v>-10.93333333</v>
      </c>
      <c r="J48" s="5">
        <v>-12.8</v>
      </c>
      <c r="K48" s="5">
        <v>-11.2</v>
      </c>
      <c r="L48" s="5">
        <v>-12.8</v>
      </c>
      <c r="M48" s="5">
        <v>-10</v>
      </c>
      <c r="N48" s="5">
        <v>-10.8</v>
      </c>
      <c r="O48" s="5">
        <v>-11.8</v>
      </c>
      <c r="P48" s="5">
        <v>-9</v>
      </c>
      <c r="Q48" s="6">
        <f>IF(sim.tbl[[#This Row],[Dens]]&lt;=770,1,0)</f>
        <v>0</v>
      </c>
      <c r="R48" s="6">
        <f>IF(AND(sim.tbl[[#This Row],[Sulf]]&gt;0.5,sim.tbl[[#This Row],[Dens]]&gt;770,sim.tbl[[#This Row],[Dens]]&lt;=825),1,0)</f>
        <v>0</v>
      </c>
      <c r="S48" s="6">
        <f>IF(AND(sim.tbl[[#This Row],[Sulf]]&lt;=0.5,sim.tbl[[#This Row],[Dens]]&gt;770,sim.tbl[[#This Row],[Dens]]&lt;=825),1,0)</f>
        <v>0</v>
      </c>
      <c r="T48" s="6">
        <f>IF(AND(sim.tbl[[#This Row],[Sulf]]&gt;0.5,sim.tbl[[#This Row],[Dens]]&gt;825,sim.tbl[[#This Row],[Dens]]&lt;=870),1,0)</f>
        <v>1</v>
      </c>
      <c r="U48" s="6">
        <f>IF(AND(sim.tbl[[#This Row],[Sulf]]&lt;0.5,sim.tbl[[#This Row],[Dens]]&gt;825,sim.tbl[[#This Row],[Dens]]&lt;=900),1,0)</f>
        <v>0</v>
      </c>
      <c r="V48" s="6">
        <f>IF(AND(sim.tbl[[#This Row],[Sulf]]&gt;0.5,sim.tbl[[#This Row],[Dens]]&gt;870,sim.tbl[[#This Row],[Dens]]&lt;=900),1,0)</f>
        <v>0</v>
      </c>
      <c r="W48" s="6">
        <f>IF(AND(sim.tbl[[#This Row],[Sulf]]&gt;0.5,sim.tbl[[#This Row],[Dens]]&gt;900),1,0)</f>
        <v>0</v>
      </c>
      <c r="X48" s="6">
        <f>IF(AND(sim.tbl[[#This Row],[Sulf]]&lt;=0.5,sim.tbl[[#This Row],[Dens]]&gt;900),1,0)</f>
        <v>0</v>
      </c>
      <c r="Y48" s="6">
        <f ca="1">IF(MONTH(sim.tbl[[#This Row],[SDate]])=INDEX(mthLkUp.tbl[Num],MATCH(Y$3,mthLkUp.tbl[Month],0)),1,0)</f>
        <v>0</v>
      </c>
      <c r="Z48" s="6">
        <f ca="1">IF(MONTH(sim.tbl[[#This Row],[SDate]])=INDEX(mthLkUp.tbl[Num],MATCH(Z$3,mthLkUp.tbl[Month],0)),1,0)</f>
        <v>0</v>
      </c>
      <c r="AA48" s="6">
        <f ca="1">IF(MONTH(sim.tbl[[#This Row],[SDate]])=INDEX(mthLkUp.tbl[Num],MATCH(AA$3,mthLkUp.tbl[Month],0)),1,0)</f>
        <v>1</v>
      </c>
      <c r="AB48" s="6">
        <f ca="1">IF(MONTH(sim.tbl[[#This Row],[SDate]])=INDEX(mthLkUp.tbl[Num],MATCH(AB$3,mthLkUp.tbl[Month],0)),1,0)</f>
        <v>0</v>
      </c>
      <c r="AC48" s="6">
        <f ca="1">IF(MONTH(sim.tbl[[#This Row],[SDate]])=INDEX(mthLkUp.tbl[Num],MATCH(AC$3,mthLkUp.tbl[Month],0)),1,0)</f>
        <v>0</v>
      </c>
      <c r="AD48" s="6">
        <f ca="1">IF(MONTH(sim.tbl[[#This Row],[SDate]])=INDEX(mthLkUp.tbl[Num],MATCH(AD$3,mthLkUp.tbl[Month],0)),1,0)</f>
        <v>0</v>
      </c>
      <c r="AE48" s="6">
        <f ca="1">IF(MONTH(sim.tbl[[#This Row],[SDate]])=INDEX(mthLkUp.tbl[Num],MATCH(AE$3,mthLkUp.tbl[Month],0)),1,0)</f>
        <v>0</v>
      </c>
      <c r="AF48" s="6">
        <f ca="1">IF(MONTH(sim.tbl[[#This Row],[SDate]])=INDEX(mthLkUp.tbl[Num],MATCH(AF$3,mthLkUp.tbl[Month],0)),1,0)</f>
        <v>0</v>
      </c>
      <c r="AG48" s="6">
        <f ca="1">IF(MONTH(sim.tbl[[#This Row],[SDate]])=INDEX(mthLkUp.tbl[Num],MATCH(AG$3,mthLkUp.tbl[Month],0)),1,0)</f>
        <v>0</v>
      </c>
      <c r="AH48" s="6">
        <f ca="1">IF(MONTH(sim.tbl[[#This Row],[SDate]])=INDEX(mthLkUp.tbl[Num],MATCH(AH$3,mthLkUp.tbl[Month],0)),1,0)</f>
        <v>0</v>
      </c>
      <c r="AI48" s="6">
        <f ca="1">IF(MONTH(sim.tbl[[#This Row],[SDate]])=INDEX(mthLkUp.tbl[Num],MATCH(AI$3,mthLkUp.tbl[Month],0)),1,0)</f>
        <v>0</v>
      </c>
      <c r="AJ48" s="6">
        <f ca="1">IF(MONTH(sim.tbl[[#This Row],[SDate]])=INDEX(mthLkUp.tbl[Num],MATCH(AJ$3,mthLkUp.tbl[Month],0)),1,0)</f>
        <v>0</v>
      </c>
      <c r="AK48" s="6">
        <v>1</v>
      </c>
      <c r="AL48" s="5">
        <f>sim.tbl[[#This Row],[Sulf]]*sim.tbl[[#This Row],[C5]]</f>
        <v>0</v>
      </c>
      <c r="AM48" s="5">
        <f>sim.tbl[[#This Row],[Sulf]]*sim.tbl[[#This Row],[Light_LSB]]</f>
        <v>0</v>
      </c>
      <c r="AN48" s="5">
        <f>sim.tbl[[#This Row],[Sulf]]*sim.tbl[[#This Row],[Light_SW]]</f>
        <v>0</v>
      </c>
      <c r="AO48" s="5">
        <f>sim.tbl[[#This Row],[Sulf]]*sim.tbl[[#This Row],[Medium_LSB]]</f>
        <v>1.24</v>
      </c>
      <c r="AP48" s="5">
        <f>sim.tbl[[#This Row],[Sulf]]*sim.tbl[[#This Row],[Medium_SW]]</f>
        <v>0</v>
      </c>
      <c r="AQ48" s="5">
        <f>sim.tbl[[#This Row],[Sulf]]*sim.tbl[[#This Row],[Midale]]</f>
        <v>0</v>
      </c>
      <c r="AR48" s="5">
        <f>sim.tbl[[#This Row],[Sulf]]*sim.tbl[[#This Row],[Heavy_Sour]]</f>
        <v>0</v>
      </c>
      <c r="AS48" s="5">
        <f>sim.tbl[[#This Row],[Sulf]]*sim.tbl[[#This Row],[Heavy_SW]]</f>
        <v>0</v>
      </c>
      <c r="AT48" s="5">
        <f>sim.tbl[[#This Row],[Dens]]*sim.tbl[[#This Row],[C5]]</f>
        <v>0</v>
      </c>
      <c r="AU48" s="5">
        <f>sim.tbl[[#This Row],[Dens]]*sim.tbl[[#This Row],[Light_LSB]]</f>
        <v>0</v>
      </c>
      <c r="AV48" s="5">
        <f>sim.tbl[[#This Row],[Dens]]*sim.tbl[[#This Row],[Light_SW]]</f>
        <v>0</v>
      </c>
      <c r="AW48" s="5">
        <f>sim.tbl[[#This Row],[Dens]]*sim.tbl[[#This Row],[Medium_LSB]]</f>
        <v>839.2</v>
      </c>
      <c r="AX48" s="5">
        <f>sim.tbl[[#This Row],[Dens]]*sim.tbl[[#This Row],[Medium_SW]]</f>
        <v>0</v>
      </c>
      <c r="AY48" s="5">
        <f>sim.tbl[[#This Row],[Dens]]*sim.tbl[[#This Row],[Midale]]</f>
        <v>0</v>
      </c>
      <c r="AZ48" s="5">
        <f>sim.tbl[[#This Row],[Dens]]*sim.tbl[[#This Row],[Heavy_Sour]]</f>
        <v>0</v>
      </c>
      <c r="BA48" s="5">
        <f>sim.tbl[[#This Row],[Dens]]*sim.tbl[[#This Row],[Heavy_SW]]</f>
        <v>0</v>
      </c>
      <c r="BB48" s="5">
        <f>sim.tbl[[#This Row],[Temp.Roll]]*sim.tbl[[#This Row],[C5]]</f>
        <v>0</v>
      </c>
      <c r="BC48" s="5">
        <f>sim.tbl[[#This Row],[Temp.Roll]]*sim.tbl[[#This Row],[Light_LSB]]</f>
        <v>0</v>
      </c>
      <c r="BD48" s="5">
        <f>sim.tbl[[#This Row],[Temp.Roll]]*sim.tbl[[#This Row],[Light_SW]]</f>
        <v>0</v>
      </c>
      <c r="BE48" s="5">
        <f>sim.tbl[[#This Row],[Temp.Roll]]*sim.tbl[[#This Row],[Medium_LSB]]</f>
        <v>-12.8</v>
      </c>
      <c r="BF48" s="5">
        <f>sim.tbl[[#This Row],[Temp.Roll]]*sim.tbl[[#This Row],[Medium_SW]]</f>
        <v>0</v>
      </c>
      <c r="BG48" s="5">
        <f>sim.tbl[[#This Row],[Temp.Roll]]*sim.tbl[[#This Row],[Midale]]</f>
        <v>0</v>
      </c>
      <c r="BH48" s="5">
        <f>sim.tbl[[#This Row],[Temp.Roll]]*sim.tbl[[#This Row],[Heavy_Sour]]</f>
        <v>0</v>
      </c>
      <c r="BI48" s="5">
        <f>sim.tbl[[#This Row],[Temp.Roll]]*sim.tbl[[#This Row],[Heavy_SW]]</f>
        <v>0</v>
      </c>
    </row>
    <row r="49" spans="4:61" x14ac:dyDescent="0.25">
      <c r="D49" s="5">
        <f ca="1">SUMPRODUCT($F$1:$BI$1,sim.tbl[[#This Row],[Intercept]:[Temp.Roll:Heavy_SW]])</f>
        <v>79.850319286549563</v>
      </c>
      <c r="E49" s="14">
        <f ca="1">DATE(YEAR(TODAY()),INDEX(mthLkUp.tbl[Num],MATCH(mth.input,mthLkUp.tbl[Month],0)),1)</f>
        <v>42795</v>
      </c>
      <c r="F49" s="6">
        <f>1</f>
        <v>1</v>
      </c>
      <c r="G49" s="5">
        <v>1.41</v>
      </c>
      <c r="H49" s="5">
        <v>852.1</v>
      </c>
      <c r="I49" s="5">
        <v>-14.1</v>
      </c>
      <c r="J49" s="5">
        <v>-12.8</v>
      </c>
      <c r="K49" s="5">
        <v>-13.4</v>
      </c>
      <c r="L49" s="5">
        <v>-12.8</v>
      </c>
      <c r="M49" s="5">
        <v>-14</v>
      </c>
      <c r="N49" s="5">
        <v>-12.5</v>
      </c>
      <c r="O49" s="5">
        <v>-18</v>
      </c>
      <c r="P49" s="5">
        <v>-13.8</v>
      </c>
      <c r="Q49" s="6">
        <f>IF(sim.tbl[[#This Row],[Dens]]&lt;=770,1,0)</f>
        <v>0</v>
      </c>
      <c r="R49" s="6">
        <f>IF(AND(sim.tbl[[#This Row],[Sulf]]&gt;0.5,sim.tbl[[#This Row],[Dens]]&gt;770,sim.tbl[[#This Row],[Dens]]&lt;=825),1,0)</f>
        <v>0</v>
      </c>
      <c r="S49" s="6">
        <f>IF(AND(sim.tbl[[#This Row],[Sulf]]&lt;=0.5,sim.tbl[[#This Row],[Dens]]&gt;770,sim.tbl[[#This Row],[Dens]]&lt;=825),1,0)</f>
        <v>0</v>
      </c>
      <c r="T49" s="6">
        <f>IF(AND(sim.tbl[[#This Row],[Sulf]]&gt;0.5,sim.tbl[[#This Row],[Dens]]&gt;825,sim.tbl[[#This Row],[Dens]]&lt;=870),1,0)</f>
        <v>1</v>
      </c>
      <c r="U49" s="6">
        <f>IF(AND(sim.tbl[[#This Row],[Sulf]]&lt;0.5,sim.tbl[[#This Row],[Dens]]&gt;825,sim.tbl[[#This Row],[Dens]]&lt;=900),1,0)</f>
        <v>0</v>
      </c>
      <c r="V49" s="6">
        <f>IF(AND(sim.tbl[[#This Row],[Sulf]]&gt;0.5,sim.tbl[[#This Row],[Dens]]&gt;870,sim.tbl[[#This Row],[Dens]]&lt;=900),1,0)</f>
        <v>0</v>
      </c>
      <c r="W49" s="6">
        <f>IF(AND(sim.tbl[[#This Row],[Sulf]]&gt;0.5,sim.tbl[[#This Row],[Dens]]&gt;900),1,0)</f>
        <v>0</v>
      </c>
      <c r="X49" s="6">
        <f>IF(AND(sim.tbl[[#This Row],[Sulf]]&lt;=0.5,sim.tbl[[#This Row],[Dens]]&gt;900),1,0)</f>
        <v>0</v>
      </c>
      <c r="Y49" s="6">
        <f ca="1">IF(MONTH(sim.tbl[[#This Row],[SDate]])=INDEX(mthLkUp.tbl[Num],MATCH(Y$3,mthLkUp.tbl[Month],0)),1,0)</f>
        <v>0</v>
      </c>
      <c r="Z49" s="6">
        <f ca="1">IF(MONTH(sim.tbl[[#This Row],[SDate]])=INDEX(mthLkUp.tbl[Num],MATCH(Z$3,mthLkUp.tbl[Month],0)),1,0)</f>
        <v>0</v>
      </c>
      <c r="AA49" s="6">
        <f ca="1">IF(MONTH(sim.tbl[[#This Row],[SDate]])=INDEX(mthLkUp.tbl[Num],MATCH(AA$3,mthLkUp.tbl[Month],0)),1,0)</f>
        <v>1</v>
      </c>
      <c r="AB49" s="6">
        <f ca="1">IF(MONTH(sim.tbl[[#This Row],[SDate]])=INDEX(mthLkUp.tbl[Num],MATCH(AB$3,mthLkUp.tbl[Month],0)),1,0)</f>
        <v>0</v>
      </c>
      <c r="AC49" s="6">
        <f ca="1">IF(MONTH(sim.tbl[[#This Row],[SDate]])=INDEX(mthLkUp.tbl[Num],MATCH(AC$3,mthLkUp.tbl[Month],0)),1,0)</f>
        <v>0</v>
      </c>
      <c r="AD49" s="6">
        <f ca="1">IF(MONTH(sim.tbl[[#This Row],[SDate]])=INDEX(mthLkUp.tbl[Num],MATCH(AD$3,mthLkUp.tbl[Month],0)),1,0)</f>
        <v>0</v>
      </c>
      <c r="AE49" s="6">
        <f ca="1">IF(MONTH(sim.tbl[[#This Row],[SDate]])=INDEX(mthLkUp.tbl[Num],MATCH(AE$3,mthLkUp.tbl[Month],0)),1,0)</f>
        <v>0</v>
      </c>
      <c r="AF49" s="6">
        <f ca="1">IF(MONTH(sim.tbl[[#This Row],[SDate]])=INDEX(mthLkUp.tbl[Num],MATCH(AF$3,mthLkUp.tbl[Month],0)),1,0)</f>
        <v>0</v>
      </c>
      <c r="AG49" s="6">
        <f ca="1">IF(MONTH(sim.tbl[[#This Row],[SDate]])=INDEX(mthLkUp.tbl[Num],MATCH(AG$3,mthLkUp.tbl[Month],0)),1,0)</f>
        <v>0</v>
      </c>
      <c r="AH49" s="6">
        <f ca="1">IF(MONTH(sim.tbl[[#This Row],[SDate]])=INDEX(mthLkUp.tbl[Num],MATCH(AH$3,mthLkUp.tbl[Month],0)),1,0)</f>
        <v>0</v>
      </c>
      <c r="AI49" s="6">
        <f ca="1">IF(MONTH(sim.tbl[[#This Row],[SDate]])=INDEX(mthLkUp.tbl[Num],MATCH(AI$3,mthLkUp.tbl[Month],0)),1,0)</f>
        <v>0</v>
      </c>
      <c r="AJ49" s="6">
        <f ca="1">IF(MONTH(sim.tbl[[#This Row],[SDate]])=INDEX(mthLkUp.tbl[Num],MATCH(AJ$3,mthLkUp.tbl[Month],0)),1,0)</f>
        <v>0</v>
      </c>
      <c r="AK49" s="6">
        <v>1</v>
      </c>
      <c r="AL49" s="5">
        <f>sim.tbl[[#This Row],[Sulf]]*sim.tbl[[#This Row],[C5]]</f>
        <v>0</v>
      </c>
      <c r="AM49" s="5">
        <f>sim.tbl[[#This Row],[Sulf]]*sim.tbl[[#This Row],[Light_LSB]]</f>
        <v>0</v>
      </c>
      <c r="AN49" s="5">
        <f>sim.tbl[[#This Row],[Sulf]]*sim.tbl[[#This Row],[Light_SW]]</f>
        <v>0</v>
      </c>
      <c r="AO49" s="5">
        <f>sim.tbl[[#This Row],[Sulf]]*sim.tbl[[#This Row],[Medium_LSB]]</f>
        <v>1.41</v>
      </c>
      <c r="AP49" s="5">
        <f>sim.tbl[[#This Row],[Sulf]]*sim.tbl[[#This Row],[Medium_SW]]</f>
        <v>0</v>
      </c>
      <c r="AQ49" s="5">
        <f>sim.tbl[[#This Row],[Sulf]]*sim.tbl[[#This Row],[Midale]]</f>
        <v>0</v>
      </c>
      <c r="AR49" s="5">
        <f>sim.tbl[[#This Row],[Sulf]]*sim.tbl[[#This Row],[Heavy_Sour]]</f>
        <v>0</v>
      </c>
      <c r="AS49" s="5">
        <f>sim.tbl[[#This Row],[Sulf]]*sim.tbl[[#This Row],[Heavy_SW]]</f>
        <v>0</v>
      </c>
      <c r="AT49" s="5">
        <f>sim.tbl[[#This Row],[Dens]]*sim.tbl[[#This Row],[C5]]</f>
        <v>0</v>
      </c>
      <c r="AU49" s="5">
        <f>sim.tbl[[#This Row],[Dens]]*sim.tbl[[#This Row],[Light_LSB]]</f>
        <v>0</v>
      </c>
      <c r="AV49" s="5">
        <f>sim.tbl[[#This Row],[Dens]]*sim.tbl[[#This Row],[Light_SW]]</f>
        <v>0</v>
      </c>
      <c r="AW49" s="5">
        <f>sim.tbl[[#This Row],[Dens]]*sim.tbl[[#This Row],[Medium_LSB]]</f>
        <v>852.1</v>
      </c>
      <c r="AX49" s="5">
        <f>sim.tbl[[#This Row],[Dens]]*sim.tbl[[#This Row],[Medium_SW]]</f>
        <v>0</v>
      </c>
      <c r="AY49" s="5">
        <f>sim.tbl[[#This Row],[Dens]]*sim.tbl[[#This Row],[Midale]]</f>
        <v>0</v>
      </c>
      <c r="AZ49" s="5">
        <f>sim.tbl[[#This Row],[Dens]]*sim.tbl[[#This Row],[Heavy_Sour]]</f>
        <v>0</v>
      </c>
      <c r="BA49" s="5">
        <f>sim.tbl[[#This Row],[Dens]]*sim.tbl[[#This Row],[Heavy_SW]]</f>
        <v>0</v>
      </c>
      <c r="BB49" s="5">
        <f>sim.tbl[[#This Row],[Temp.Roll]]*sim.tbl[[#This Row],[C5]]</f>
        <v>0</v>
      </c>
      <c r="BC49" s="5">
        <f>sim.tbl[[#This Row],[Temp.Roll]]*sim.tbl[[#This Row],[Light_LSB]]</f>
        <v>0</v>
      </c>
      <c r="BD49" s="5">
        <f>sim.tbl[[#This Row],[Temp.Roll]]*sim.tbl[[#This Row],[Light_SW]]</f>
        <v>0</v>
      </c>
      <c r="BE49" s="5">
        <f>sim.tbl[[#This Row],[Temp.Roll]]*sim.tbl[[#This Row],[Medium_LSB]]</f>
        <v>-12.8</v>
      </c>
      <c r="BF49" s="5">
        <f>sim.tbl[[#This Row],[Temp.Roll]]*sim.tbl[[#This Row],[Medium_SW]]</f>
        <v>0</v>
      </c>
      <c r="BG49" s="5">
        <f>sim.tbl[[#This Row],[Temp.Roll]]*sim.tbl[[#This Row],[Midale]]</f>
        <v>0</v>
      </c>
      <c r="BH49" s="5">
        <f>sim.tbl[[#This Row],[Temp.Roll]]*sim.tbl[[#This Row],[Heavy_Sour]]</f>
        <v>0</v>
      </c>
      <c r="BI49" s="5">
        <f>sim.tbl[[#This Row],[Temp.Roll]]*sim.tbl[[#This Row],[Heavy_SW]]</f>
        <v>0</v>
      </c>
    </row>
    <row r="50" spans="4:61" x14ac:dyDescent="0.25">
      <c r="D50" s="5">
        <f ca="1">SUMPRODUCT($F$1:$BI$1,sim.tbl[[#This Row],[Intercept]:[Temp.Roll:Heavy_SW]])</f>
        <v>71.409867205966947</v>
      </c>
      <c r="E50" s="14">
        <f ca="1">DATE(YEAR(TODAY()),INDEX(mthLkUp.tbl[Num],MATCH(mth.input,mthLkUp.tbl[Month],0)),1)</f>
        <v>42795</v>
      </c>
      <c r="F50" s="6">
        <f>1</f>
        <v>1</v>
      </c>
      <c r="G50" s="5">
        <v>1.21</v>
      </c>
      <c r="H50" s="5">
        <v>853.5</v>
      </c>
      <c r="I50" s="5">
        <v>9.1999999999999993</v>
      </c>
      <c r="J50" s="5">
        <v>9.5</v>
      </c>
      <c r="K50" s="5">
        <v>9.8000000000000007</v>
      </c>
      <c r="L50" s="5">
        <v>9.5</v>
      </c>
      <c r="M50" s="5">
        <v>8.8000000000000007</v>
      </c>
      <c r="N50" s="5">
        <v>9</v>
      </c>
      <c r="O50" s="5">
        <v>8.8000000000000007</v>
      </c>
      <c r="P50" s="5">
        <v>9.3000000000000007</v>
      </c>
      <c r="Q50" s="6">
        <f>IF(sim.tbl[[#This Row],[Dens]]&lt;=770,1,0)</f>
        <v>0</v>
      </c>
      <c r="R50" s="6">
        <f>IF(AND(sim.tbl[[#This Row],[Sulf]]&gt;0.5,sim.tbl[[#This Row],[Dens]]&gt;770,sim.tbl[[#This Row],[Dens]]&lt;=825),1,0)</f>
        <v>0</v>
      </c>
      <c r="S50" s="6">
        <f>IF(AND(sim.tbl[[#This Row],[Sulf]]&lt;=0.5,sim.tbl[[#This Row],[Dens]]&gt;770,sim.tbl[[#This Row],[Dens]]&lt;=825),1,0)</f>
        <v>0</v>
      </c>
      <c r="T50" s="6">
        <f>IF(AND(sim.tbl[[#This Row],[Sulf]]&gt;0.5,sim.tbl[[#This Row],[Dens]]&gt;825,sim.tbl[[#This Row],[Dens]]&lt;=870),1,0)</f>
        <v>1</v>
      </c>
      <c r="U50" s="6">
        <f>IF(AND(sim.tbl[[#This Row],[Sulf]]&lt;0.5,sim.tbl[[#This Row],[Dens]]&gt;825,sim.tbl[[#This Row],[Dens]]&lt;=900),1,0)</f>
        <v>0</v>
      </c>
      <c r="V50" s="6">
        <f>IF(AND(sim.tbl[[#This Row],[Sulf]]&gt;0.5,sim.tbl[[#This Row],[Dens]]&gt;870,sim.tbl[[#This Row],[Dens]]&lt;=900),1,0)</f>
        <v>0</v>
      </c>
      <c r="W50" s="6">
        <f>IF(AND(sim.tbl[[#This Row],[Sulf]]&gt;0.5,sim.tbl[[#This Row],[Dens]]&gt;900),1,0)</f>
        <v>0</v>
      </c>
      <c r="X50" s="6">
        <f>IF(AND(sim.tbl[[#This Row],[Sulf]]&lt;=0.5,sim.tbl[[#This Row],[Dens]]&gt;900),1,0)</f>
        <v>0</v>
      </c>
      <c r="Y50" s="6">
        <f ca="1">IF(MONTH(sim.tbl[[#This Row],[SDate]])=INDEX(mthLkUp.tbl[Num],MATCH(Y$3,mthLkUp.tbl[Month],0)),1,0)</f>
        <v>0</v>
      </c>
      <c r="Z50" s="6">
        <f ca="1">IF(MONTH(sim.tbl[[#This Row],[SDate]])=INDEX(mthLkUp.tbl[Num],MATCH(Z$3,mthLkUp.tbl[Month],0)),1,0)</f>
        <v>0</v>
      </c>
      <c r="AA50" s="6">
        <f ca="1">IF(MONTH(sim.tbl[[#This Row],[SDate]])=INDEX(mthLkUp.tbl[Num],MATCH(AA$3,mthLkUp.tbl[Month],0)),1,0)</f>
        <v>1</v>
      </c>
      <c r="AB50" s="6">
        <f ca="1">IF(MONTH(sim.tbl[[#This Row],[SDate]])=INDEX(mthLkUp.tbl[Num],MATCH(AB$3,mthLkUp.tbl[Month],0)),1,0)</f>
        <v>0</v>
      </c>
      <c r="AC50" s="6">
        <f ca="1">IF(MONTH(sim.tbl[[#This Row],[SDate]])=INDEX(mthLkUp.tbl[Num],MATCH(AC$3,mthLkUp.tbl[Month],0)),1,0)</f>
        <v>0</v>
      </c>
      <c r="AD50" s="6">
        <f ca="1">IF(MONTH(sim.tbl[[#This Row],[SDate]])=INDEX(mthLkUp.tbl[Num],MATCH(AD$3,mthLkUp.tbl[Month],0)),1,0)</f>
        <v>0</v>
      </c>
      <c r="AE50" s="6">
        <f ca="1">IF(MONTH(sim.tbl[[#This Row],[SDate]])=INDEX(mthLkUp.tbl[Num],MATCH(AE$3,mthLkUp.tbl[Month],0)),1,0)</f>
        <v>0</v>
      </c>
      <c r="AF50" s="6">
        <f ca="1">IF(MONTH(sim.tbl[[#This Row],[SDate]])=INDEX(mthLkUp.tbl[Num],MATCH(AF$3,mthLkUp.tbl[Month],0)),1,0)</f>
        <v>0</v>
      </c>
      <c r="AG50" s="6">
        <f ca="1">IF(MONTH(sim.tbl[[#This Row],[SDate]])=INDEX(mthLkUp.tbl[Num],MATCH(AG$3,mthLkUp.tbl[Month],0)),1,0)</f>
        <v>0</v>
      </c>
      <c r="AH50" s="6">
        <f ca="1">IF(MONTH(sim.tbl[[#This Row],[SDate]])=INDEX(mthLkUp.tbl[Num],MATCH(AH$3,mthLkUp.tbl[Month],0)),1,0)</f>
        <v>0</v>
      </c>
      <c r="AI50" s="6">
        <f ca="1">IF(MONTH(sim.tbl[[#This Row],[SDate]])=INDEX(mthLkUp.tbl[Num],MATCH(AI$3,mthLkUp.tbl[Month],0)),1,0)</f>
        <v>0</v>
      </c>
      <c r="AJ50" s="6">
        <f ca="1">IF(MONTH(sim.tbl[[#This Row],[SDate]])=INDEX(mthLkUp.tbl[Num],MATCH(AJ$3,mthLkUp.tbl[Month],0)),1,0)</f>
        <v>0</v>
      </c>
      <c r="AK50" s="6">
        <v>1</v>
      </c>
      <c r="AL50" s="5">
        <f>sim.tbl[[#This Row],[Sulf]]*sim.tbl[[#This Row],[C5]]</f>
        <v>0</v>
      </c>
      <c r="AM50" s="5">
        <f>sim.tbl[[#This Row],[Sulf]]*sim.tbl[[#This Row],[Light_LSB]]</f>
        <v>0</v>
      </c>
      <c r="AN50" s="5">
        <f>sim.tbl[[#This Row],[Sulf]]*sim.tbl[[#This Row],[Light_SW]]</f>
        <v>0</v>
      </c>
      <c r="AO50" s="5">
        <f>sim.tbl[[#This Row],[Sulf]]*sim.tbl[[#This Row],[Medium_LSB]]</f>
        <v>1.21</v>
      </c>
      <c r="AP50" s="5">
        <f>sim.tbl[[#This Row],[Sulf]]*sim.tbl[[#This Row],[Medium_SW]]</f>
        <v>0</v>
      </c>
      <c r="AQ50" s="5">
        <f>sim.tbl[[#This Row],[Sulf]]*sim.tbl[[#This Row],[Midale]]</f>
        <v>0</v>
      </c>
      <c r="AR50" s="5">
        <f>sim.tbl[[#This Row],[Sulf]]*sim.tbl[[#This Row],[Heavy_Sour]]</f>
        <v>0</v>
      </c>
      <c r="AS50" s="5">
        <f>sim.tbl[[#This Row],[Sulf]]*sim.tbl[[#This Row],[Heavy_SW]]</f>
        <v>0</v>
      </c>
      <c r="AT50" s="5">
        <f>sim.tbl[[#This Row],[Dens]]*sim.tbl[[#This Row],[C5]]</f>
        <v>0</v>
      </c>
      <c r="AU50" s="5">
        <f>sim.tbl[[#This Row],[Dens]]*sim.tbl[[#This Row],[Light_LSB]]</f>
        <v>0</v>
      </c>
      <c r="AV50" s="5">
        <f>sim.tbl[[#This Row],[Dens]]*sim.tbl[[#This Row],[Light_SW]]</f>
        <v>0</v>
      </c>
      <c r="AW50" s="5">
        <f>sim.tbl[[#This Row],[Dens]]*sim.tbl[[#This Row],[Medium_LSB]]</f>
        <v>853.5</v>
      </c>
      <c r="AX50" s="5">
        <f>sim.tbl[[#This Row],[Dens]]*sim.tbl[[#This Row],[Medium_SW]]</f>
        <v>0</v>
      </c>
      <c r="AY50" s="5">
        <f>sim.tbl[[#This Row],[Dens]]*sim.tbl[[#This Row],[Midale]]</f>
        <v>0</v>
      </c>
      <c r="AZ50" s="5">
        <f>sim.tbl[[#This Row],[Dens]]*sim.tbl[[#This Row],[Heavy_Sour]]</f>
        <v>0</v>
      </c>
      <c r="BA50" s="5">
        <f>sim.tbl[[#This Row],[Dens]]*sim.tbl[[#This Row],[Heavy_SW]]</f>
        <v>0</v>
      </c>
      <c r="BB50" s="5">
        <f>sim.tbl[[#This Row],[Temp.Roll]]*sim.tbl[[#This Row],[C5]]</f>
        <v>0</v>
      </c>
      <c r="BC50" s="5">
        <f>sim.tbl[[#This Row],[Temp.Roll]]*sim.tbl[[#This Row],[Light_LSB]]</f>
        <v>0</v>
      </c>
      <c r="BD50" s="5">
        <f>sim.tbl[[#This Row],[Temp.Roll]]*sim.tbl[[#This Row],[Light_SW]]</f>
        <v>0</v>
      </c>
      <c r="BE50" s="5">
        <f>sim.tbl[[#This Row],[Temp.Roll]]*sim.tbl[[#This Row],[Medium_LSB]]</f>
        <v>9.5</v>
      </c>
      <c r="BF50" s="5">
        <f>sim.tbl[[#This Row],[Temp.Roll]]*sim.tbl[[#This Row],[Medium_SW]]</f>
        <v>0</v>
      </c>
      <c r="BG50" s="5">
        <f>sim.tbl[[#This Row],[Temp.Roll]]*sim.tbl[[#This Row],[Midale]]</f>
        <v>0</v>
      </c>
      <c r="BH50" s="5">
        <f>sim.tbl[[#This Row],[Temp.Roll]]*sim.tbl[[#This Row],[Heavy_Sour]]</f>
        <v>0</v>
      </c>
      <c r="BI50" s="5">
        <f>sim.tbl[[#This Row],[Temp.Roll]]*sim.tbl[[#This Row],[Heavy_SW]]</f>
        <v>0</v>
      </c>
    </row>
    <row r="51" spans="4:61" x14ac:dyDescent="0.25">
      <c r="D51" s="5">
        <f ca="1">SUMPRODUCT($F$1:$BI$1,sim.tbl[[#This Row],[Intercept]:[Temp.Roll:Heavy_SW]])</f>
        <v>75.701766979414487</v>
      </c>
      <c r="E51" s="14">
        <f ca="1">DATE(YEAR(TODAY()),INDEX(mthLkUp.tbl[Num],MATCH(mth.input,mthLkUp.tbl[Month],0)),1)</f>
        <v>42795</v>
      </c>
      <c r="F51" s="6">
        <f>1</f>
        <v>1</v>
      </c>
      <c r="G51" s="5">
        <v>1.2</v>
      </c>
      <c r="H51" s="5">
        <v>842.3</v>
      </c>
      <c r="I51" s="5">
        <v>7.266666667</v>
      </c>
      <c r="J51" s="5">
        <v>6.9</v>
      </c>
      <c r="K51" s="5">
        <v>7.7</v>
      </c>
      <c r="L51" s="5">
        <v>6.9</v>
      </c>
      <c r="M51" s="5">
        <v>7.5</v>
      </c>
      <c r="N51" s="5">
        <v>7.5</v>
      </c>
      <c r="O51" s="5">
        <v>7.9</v>
      </c>
      <c r="P51" s="5">
        <v>6.1</v>
      </c>
      <c r="Q51" s="6">
        <f>IF(sim.tbl[[#This Row],[Dens]]&lt;=770,1,0)</f>
        <v>0</v>
      </c>
      <c r="R51" s="6">
        <f>IF(AND(sim.tbl[[#This Row],[Sulf]]&gt;0.5,sim.tbl[[#This Row],[Dens]]&gt;770,sim.tbl[[#This Row],[Dens]]&lt;=825),1,0)</f>
        <v>0</v>
      </c>
      <c r="S51" s="6">
        <f>IF(AND(sim.tbl[[#This Row],[Sulf]]&lt;=0.5,sim.tbl[[#This Row],[Dens]]&gt;770,sim.tbl[[#This Row],[Dens]]&lt;=825),1,0)</f>
        <v>0</v>
      </c>
      <c r="T51" s="6">
        <f>IF(AND(sim.tbl[[#This Row],[Sulf]]&gt;0.5,sim.tbl[[#This Row],[Dens]]&gt;825,sim.tbl[[#This Row],[Dens]]&lt;=870),1,0)</f>
        <v>1</v>
      </c>
      <c r="U51" s="6">
        <f>IF(AND(sim.tbl[[#This Row],[Sulf]]&lt;0.5,sim.tbl[[#This Row],[Dens]]&gt;825,sim.tbl[[#This Row],[Dens]]&lt;=900),1,0)</f>
        <v>0</v>
      </c>
      <c r="V51" s="6">
        <f>IF(AND(sim.tbl[[#This Row],[Sulf]]&gt;0.5,sim.tbl[[#This Row],[Dens]]&gt;870,sim.tbl[[#This Row],[Dens]]&lt;=900),1,0)</f>
        <v>0</v>
      </c>
      <c r="W51" s="6">
        <f>IF(AND(sim.tbl[[#This Row],[Sulf]]&gt;0.5,sim.tbl[[#This Row],[Dens]]&gt;900),1,0)</f>
        <v>0</v>
      </c>
      <c r="X51" s="6">
        <f>IF(AND(sim.tbl[[#This Row],[Sulf]]&lt;=0.5,sim.tbl[[#This Row],[Dens]]&gt;900),1,0)</f>
        <v>0</v>
      </c>
      <c r="Y51" s="6">
        <f ca="1">IF(MONTH(sim.tbl[[#This Row],[SDate]])=INDEX(mthLkUp.tbl[Num],MATCH(Y$3,mthLkUp.tbl[Month],0)),1,0)</f>
        <v>0</v>
      </c>
      <c r="Z51" s="6">
        <f ca="1">IF(MONTH(sim.tbl[[#This Row],[SDate]])=INDEX(mthLkUp.tbl[Num],MATCH(Z$3,mthLkUp.tbl[Month],0)),1,0)</f>
        <v>0</v>
      </c>
      <c r="AA51" s="6">
        <f ca="1">IF(MONTH(sim.tbl[[#This Row],[SDate]])=INDEX(mthLkUp.tbl[Num],MATCH(AA$3,mthLkUp.tbl[Month],0)),1,0)</f>
        <v>1</v>
      </c>
      <c r="AB51" s="6">
        <f ca="1">IF(MONTH(sim.tbl[[#This Row],[SDate]])=INDEX(mthLkUp.tbl[Num],MATCH(AB$3,mthLkUp.tbl[Month],0)),1,0)</f>
        <v>0</v>
      </c>
      <c r="AC51" s="6">
        <f ca="1">IF(MONTH(sim.tbl[[#This Row],[SDate]])=INDEX(mthLkUp.tbl[Num],MATCH(AC$3,mthLkUp.tbl[Month],0)),1,0)</f>
        <v>0</v>
      </c>
      <c r="AD51" s="6">
        <f ca="1">IF(MONTH(sim.tbl[[#This Row],[SDate]])=INDEX(mthLkUp.tbl[Num],MATCH(AD$3,mthLkUp.tbl[Month],0)),1,0)</f>
        <v>0</v>
      </c>
      <c r="AE51" s="6">
        <f ca="1">IF(MONTH(sim.tbl[[#This Row],[SDate]])=INDEX(mthLkUp.tbl[Num],MATCH(AE$3,mthLkUp.tbl[Month],0)),1,0)</f>
        <v>0</v>
      </c>
      <c r="AF51" s="6">
        <f ca="1">IF(MONTH(sim.tbl[[#This Row],[SDate]])=INDEX(mthLkUp.tbl[Num],MATCH(AF$3,mthLkUp.tbl[Month],0)),1,0)</f>
        <v>0</v>
      </c>
      <c r="AG51" s="6">
        <f ca="1">IF(MONTH(sim.tbl[[#This Row],[SDate]])=INDEX(mthLkUp.tbl[Num],MATCH(AG$3,mthLkUp.tbl[Month],0)),1,0)</f>
        <v>0</v>
      </c>
      <c r="AH51" s="6">
        <f ca="1">IF(MONTH(sim.tbl[[#This Row],[SDate]])=INDEX(mthLkUp.tbl[Num],MATCH(AH$3,mthLkUp.tbl[Month],0)),1,0)</f>
        <v>0</v>
      </c>
      <c r="AI51" s="6">
        <f ca="1">IF(MONTH(sim.tbl[[#This Row],[SDate]])=INDEX(mthLkUp.tbl[Num],MATCH(AI$3,mthLkUp.tbl[Month],0)),1,0)</f>
        <v>0</v>
      </c>
      <c r="AJ51" s="6">
        <f ca="1">IF(MONTH(sim.tbl[[#This Row],[SDate]])=INDEX(mthLkUp.tbl[Num],MATCH(AJ$3,mthLkUp.tbl[Month],0)),1,0)</f>
        <v>0</v>
      </c>
      <c r="AK51" s="6">
        <v>1</v>
      </c>
      <c r="AL51" s="5">
        <f>sim.tbl[[#This Row],[Sulf]]*sim.tbl[[#This Row],[C5]]</f>
        <v>0</v>
      </c>
      <c r="AM51" s="5">
        <f>sim.tbl[[#This Row],[Sulf]]*sim.tbl[[#This Row],[Light_LSB]]</f>
        <v>0</v>
      </c>
      <c r="AN51" s="5">
        <f>sim.tbl[[#This Row],[Sulf]]*sim.tbl[[#This Row],[Light_SW]]</f>
        <v>0</v>
      </c>
      <c r="AO51" s="5">
        <f>sim.tbl[[#This Row],[Sulf]]*sim.tbl[[#This Row],[Medium_LSB]]</f>
        <v>1.2</v>
      </c>
      <c r="AP51" s="5">
        <f>sim.tbl[[#This Row],[Sulf]]*sim.tbl[[#This Row],[Medium_SW]]</f>
        <v>0</v>
      </c>
      <c r="AQ51" s="5">
        <f>sim.tbl[[#This Row],[Sulf]]*sim.tbl[[#This Row],[Midale]]</f>
        <v>0</v>
      </c>
      <c r="AR51" s="5">
        <f>sim.tbl[[#This Row],[Sulf]]*sim.tbl[[#This Row],[Heavy_Sour]]</f>
        <v>0</v>
      </c>
      <c r="AS51" s="5">
        <f>sim.tbl[[#This Row],[Sulf]]*sim.tbl[[#This Row],[Heavy_SW]]</f>
        <v>0</v>
      </c>
      <c r="AT51" s="5">
        <f>sim.tbl[[#This Row],[Dens]]*sim.tbl[[#This Row],[C5]]</f>
        <v>0</v>
      </c>
      <c r="AU51" s="5">
        <f>sim.tbl[[#This Row],[Dens]]*sim.tbl[[#This Row],[Light_LSB]]</f>
        <v>0</v>
      </c>
      <c r="AV51" s="5">
        <f>sim.tbl[[#This Row],[Dens]]*sim.tbl[[#This Row],[Light_SW]]</f>
        <v>0</v>
      </c>
      <c r="AW51" s="5">
        <f>sim.tbl[[#This Row],[Dens]]*sim.tbl[[#This Row],[Medium_LSB]]</f>
        <v>842.3</v>
      </c>
      <c r="AX51" s="5">
        <f>sim.tbl[[#This Row],[Dens]]*sim.tbl[[#This Row],[Medium_SW]]</f>
        <v>0</v>
      </c>
      <c r="AY51" s="5">
        <f>sim.tbl[[#This Row],[Dens]]*sim.tbl[[#This Row],[Midale]]</f>
        <v>0</v>
      </c>
      <c r="AZ51" s="5">
        <f>sim.tbl[[#This Row],[Dens]]*sim.tbl[[#This Row],[Heavy_Sour]]</f>
        <v>0</v>
      </c>
      <c r="BA51" s="5">
        <f>sim.tbl[[#This Row],[Dens]]*sim.tbl[[#This Row],[Heavy_SW]]</f>
        <v>0</v>
      </c>
      <c r="BB51" s="5">
        <f>sim.tbl[[#This Row],[Temp.Roll]]*sim.tbl[[#This Row],[C5]]</f>
        <v>0</v>
      </c>
      <c r="BC51" s="5">
        <f>sim.tbl[[#This Row],[Temp.Roll]]*sim.tbl[[#This Row],[Light_LSB]]</f>
        <v>0</v>
      </c>
      <c r="BD51" s="5">
        <f>sim.tbl[[#This Row],[Temp.Roll]]*sim.tbl[[#This Row],[Light_SW]]</f>
        <v>0</v>
      </c>
      <c r="BE51" s="5">
        <f>sim.tbl[[#This Row],[Temp.Roll]]*sim.tbl[[#This Row],[Medium_LSB]]</f>
        <v>6.9</v>
      </c>
      <c r="BF51" s="5">
        <f>sim.tbl[[#This Row],[Temp.Roll]]*sim.tbl[[#This Row],[Medium_SW]]</f>
        <v>0</v>
      </c>
      <c r="BG51" s="5">
        <f>sim.tbl[[#This Row],[Temp.Roll]]*sim.tbl[[#This Row],[Midale]]</f>
        <v>0</v>
      </c>
      <c r="BH51" s="5">
        <f>sim.tbl[[#This Row],[Temp.Roll]]*sim.tbl[[#This Row],[Heavy_Sour]]</f>
        <v>0</v>
      </c>
      <c r="BI51" s="5">
        <f>sim.tbl[[#This Row],[Temp.Roll]]*sim.tbl[[#This Row],[Heavy_SW]]</f>
        <v>0</v>
      </c>
    </row>
    <row r="52" spans="4:61" x14ac:dyDescent="0.25">
      <c r="D52" s="5">
        <f ca="1">SUMPRODUCT($F$1:$BI$1,sim.tbl[[#This Row],[Intercept]:[Temp.Roll:Heavy_SW]])</f>
        <v>74.430946438456857</v>
      </c>
      <c r="E52" s="14">
        <f ca="1">DATE(YEAR(TODAY()),INDEX(mthLkUp.tbl[Num],MATCH(mth.input,mthLkUp.tbl[Month],0)),1)</f>
        <v>42795</v>
      </c>
      <c r="F52" s="6">
        <f>1</f>
        <v>1</v>
      </c>
      <c r="G52" s="5">
        <v>1.2589999999999999</v>
      </c>
      <c r="H52" s="5">
        <v>845.1</v>
      </c>
      <c r="I52" s="5">
        <v>9.3166666669999998</v>
      </c>
      <c r="J52" s="5">
        <v>8.1</v>
      </c>
      <c r="K52" s="5">
        <v>8.6999999999999993</v>
      </c>
      <c r="L52" s="5">
        <v>8.1</v>
      </c>
      <c r="M52" s="5">
        <v>10</v>
      </c>
      <c r="N52" s="5">
        <v>9.8000000000000007</v>
      </c>
      <c r="O52" s="5">
        <v>9.8000000000000007</v>
      </c>
      <c r="P52" s="5">
        <v>9.5</v>
      </c>
      <c r="Q52" s="6">
        <f>IF(sim.tbl[[#This Row],[Dens]]&lt;=770,1,0)</f>
        <v>0</v>
      </c>
      <c r="R52" s="6">
        <f>IF(AND(sim.tbl[[#This Row],[Sulf]]&gt;0.5,sim.tbl[[#This Row],[Dens]]&gt;770,sim.tbl[[#This Row],[Dens]]&lt;=825),1,0)</f>
        <v>0</v>
      </c>
      <c r="S52" s="6">
        <f>IF(AND(sim.tbl[[#This Row],[Sulf]]&lt;=0.5,sim.tbl[[#This Row],[Dens]]&gt;770,sim.tbl[[#This Row],[Dens]]&lt;=825),1,0)</f>
        <v>0</v>
      </c>
      <c r="T52" s="6">
        <f>IF(AND(sim.tbl[[#This Row],[Sulf]]&gt;0.5,sim.tbl[[#This Row],[Dens]]&gt;825,sim.tbl[[#This Row],[Dens]]&lt;=870),1,0)</f>
        <v>1</v>
      </c>
      <c r="U52" s="6">
        <f>IF(AND(sim.tbl[[#This Row],[Sulf]]&lt;0.5,sim.tbl[[#This Row],[Dens]]&gt;825,sim.tbl[[#This Row],[Dens]]&lt;=900),1,0)</f>
        <v>0</v>
      </c>
      <c r="V52" s="6">
        <f>IF(AND(sim.tbl[[#This Row],[Sulf]]&gt;0.5,sim.tbl[[#This Row],[Dens]]&gt;870,sim.tbl[[#This Row],[Dens]]&lt;=900),1,0)</f>
        <v>0</v>
      </c>
      <c r="W52" s="6">
        <f>IF(AND(sim.tbl[[#This Row],[Sulf]]&gt;0.5,sim.tbl[[#This Row],[Dens]]&gt;900),1,0)</f>
        <v>0</v>
      </c>
      <c r="X52" s="6">
        <f>IF(AND(sim.tbl[[#This Row],[Sulf]]&lt;=0.5,sim.tbl[[#This Row],[Dens]]&gt;900),1,0)</f>
        <v>0</v>
      </c>
      <c r="Y52" s="6">
        <f ca="1">IF(MONTH(sim.tbl[[#This Row],[SDate]])=INDEX(mthLkUp.tbl[Num],MATCH(Y$3,mthLkUp.tbl[Month],0)),1,0)</f>
        <v>0</v>
      </c>
      <c r="Z52" s="6">
        <f ca="1">IF(MONTH(sim.tbl[[#This Row],[SDate]])=INDEX(mthLkUp.tbl[Num],MATCH(Z$3,mthLkUp.tbl[Month],0)),1,0)</f>
        <v>0</v>
      </c>
      <c r="AA52" s="6">
        <f ca="1">IF(MONTH(sim.tbl[[#This Row],[SDate]])=INDEX(mthLkUp.tbl[Num],MATCH(AA$3,mthLkUp.tbl[Month],0)),1,0)</f>
        <v>1</v>
      </c>
      <c r="AB52" s="6">
        <f ca="1">IF(MONTH(sim.tbl[[#This Row],[SDate]])=INDEX(mthLkUp.tbl[Num],MATCH(AB$3,mthLkUp.tbl[Month],0)),1,0)</f>
        <v>0</v>
      </c>
      <c r="AC52" s="6">
        <f ca="1">IF(MONTH(sim.tbl[[#This Row],[SDate]])=INDEX(mthLkUp.tbl[Num],MATCH(AC$3,mthLkUp.tbl[Month],0)),1,0)</f>
        <v>0</v>
      </c>
      <c r="AD52" s="6">
        <f ca="1">IF(MONTH(sim.tbl[[#This Row],[SDate]])=INDEX(mthLkUp.tbl[Num],MATCH(AD$3,mthLkUp.tbl[Month],0)),1,0)</f>
        <v>0</v>
      </c>
      <c r="AE52" s="6">
        <f ca="1">IF(MONTH(sim.tbl[[#This Row],[SDate]])=INDEX(mthLkUp.tbl[Num],MATCH(AE$3,mthLkUp.tbl[Month],0)),1,0)</f>
        <v>0</v>
      </c>
      <c r="AF52" s="6">
        <f ca="1">IF(MONTH(sim.tbl[[#This Row],[SDate]])=INDEX(mthLkUp.tbl[Num],MATCH(AF$3,mthLkUp.tbl[Month],0)),1,0)</f>
        <v>0</v>
      </c>
      <c r="AG52" s="6">
        <f ca="1">IF(MONTH(sim.tbl[[#This Row],[SDate]])=INDEX(mthLkUp.tbl[Num],MATCH(AG$3,mthLkUp.tbl[Month],0)),1,0)</f>
        <v>0</v>
      </c>
      <c r="AH52" s="6">
        <f ca="1">IF(MONTH(sim.tbl[[#This Row],[SDate]])=INDEX(mthLkUp.tbl[Num],MATCH(AH$3,mthLkUp.tbl[Month],0)),1,0)</f>
        <v>0</v>
      </c>
      <c r="AI52" s="6">
        <f ca="1">IF(MONTH(sim.tbl[[#This Row],[SDate]])=INDEX(mthLkUp.tbl[Num],MATCH(AI$3,mthLkUp.tbl[Month],0)),1,0)</f>
        <v>0</v>
      </c>
      <c r="AJ52" s="6">
        <f ca="1">IF(MONTH(sim.tbl[[#This Row],[SDate]])=INDEX(mthLkUp.tbl[Num],MATCH(AJ$3,mthLkUp.tbl[Month],0)),1,0)</f>
        <v>0</v>
      </c>
      <c r="AK52" s="6">
        <v>1</v>
      </c>
      <c r="AL52" s="5">
        <f>sim.tbl[[#This Row],[Sulf]]*sim.tbl[[#This Row],[C5]]</f>
        <v>0</v>
      </c>
      <c r="AM52" s="5">
        <f>sim.tbl[[#This Row],[Sulf]]*sim.tbl[[#This Row],[Light_LSB]]</f>
        <v>0</v>
      </c>
      <c r="AN52" s="5">
        <f>sim.tbl[[#This Row],[Sulf]]*sim.tbl[[#This Row],[Light_SW]]</f>
        <v>0</v>
      </c>
      <c r="AO52" s="5">
        <f>sim.tbl[[#This Row],[Sulf]]*sim.tbl[[#This Row],[Medium_LSB]]</f>
        <v>1.2589999999999999</v>
      </c>
      <c r="AP52" s="5">
        <f>sim.tbl[[#This Row],[Sulf]]*sim.tbl[[#This Row],[Medium_SW]]</f>
        <v>0</v>
      </c>
      <c r="AQ52" s="5">
        <f>sim.tbl[[#This Row],[Sulf]]*sim.tbl[[#This Row],[Midale]]</f>
        <v>0</v>
      </c>
      <c r="AR52" s="5">
        <f>sim.tbl[[#This Row],[Sulf]]*sim.tbl[[#This Row],[Heavy_Sour]]</f>
        <v>0</v>
      </c>
      <c r="AS52" s="5">
        <f>sim.tbl[[#This Row],[Sulf]]*sim.tbl[[#This Row],[Heavy_SW]]</f>
        <v>0</v>
      </c>
      <c r="AT52" s="5">
        <f>sim.tbl[[#This Row],[Dens]]*sim.tbl[[#This Row],[C5]]</f>
        <v>0</v>
      </c>
      <c r="AU52" s="5">
        <f>sim.tbl[[#This Row],[Dens]]*sim.tbl[[#This Row],[Light_LSB]]</f>
        <v>0</v>
      </c>
      <c r="AV52" s="5">
        <f>sim.tbl[[#This Row],[Dens]]*sim.tbl[[#This Row],[Light_SW]]</f>
        <v>0</v>
      </c>
      <c r="AW52" s="5">
        <f>sim.tbl[[#This Row],[Dens]]*sim.tbl[[#This Row],[Medium_LSB]]</f>
        <v>845.1</v>
      </c>
      <c r="AX52" s="5">
        <f>sim.tbl[[#This Row],[Dens]]*sim.tbl[[#This Row],[Medium_SW]]</f>
        <v>0</v>
      </c>
      <c r="AY52" s="5">
        <f>sim.tbl[[#This Row],[Dens]]*sim.tbl[[#This Row],[Midale]]</f>
        <v>0</v>
      </c>
      <c r="AZ52" s="5">
        <f>sim.tbl[[#This Row],[Dens]]*sim.tbl[[#This Row],[Heavy_Sour]]</f>
        <v>0</v>
      </c>
      <c r="BA52" s="5">
        <f>sim.tbl[[#This Row],[Dens]]*sim.tbl[[#This Row],[Heavy_SW]]</f>
        <v>0</v>
      </c>
      <c r="BB52" s="5">
        <f>sim.tbl[[#This Row],[Temp.Roll]]*sim.tbl[[#This Row],[C5]]</f>
        <v>0</v>
      </c>
      <c r="BC52" s="5">
        <f>sim.tbl[[#This Row],[Temp.Roll]]*sim.tbl[[#This Row],[Light_LSB]]</f>
        <v>0</v>
      </c>
      <c r="BD52" s="5">
        <f>sim.tbl[[#This Row],[Temp.Roll]]*sim.tbl[[#This Row],[Light_SW]]</f>
        <v>0</v>
      </c>
      <c r="BE52" s="5">
        <f>sim.tbl[[#This Row],[Temp.Roll]]*sim.tbl[[#This Row],[Medium_LSB]]</f>
        <v>8.1</v>
      </c>
      <c r="BF52" s="5">
        <f>sim.tbl[[#This Row],[Temp.Roll]]*sim.tbl[[#This Row],[Medium_SW]]</f>
        <v>0</v>
      </c>
      <c r="BG52" s="5">
        <f>sim.tbl[[#This Row],[Temp.Roll]]*sim.tbl[[#This Row],[Midale]]</f>
        <v>0</v>
      </c>
      <c r="BH52" s="5">
        <f>sim.tbl[[#This Row],[Temp.Roll]]*sim.tbl[[#This Row],[Heavy_Sour]]</f>
        <v>0</v>
      </c>
      <c r="BI52" s="5">
        <f>sim.tbl[[#This Row],[Temp.Roll]]*sim.tbl[[#This Row],[Heavy_SW]]</f>
        <v>0</v>
      </c>
    </row>
    <row r="53" spans="4:61" x14ac:dyDescent="0.25">
      <c r="D53" s="5">
        <f ca="1">SUMPRODUCT($F$1:$BI$1,sim.tbl[[#This Row],[Intercept]:[Temp.Roll:Heavy_SW]])</f>
        <v>79.016507739252745</v>
      </c>
      <c r="E53" s="14">
        <f ca="1">DATE(YEAR(TODAY()),INDEX(mthLkUp.tbl[Num],MATCH(mth.input,mthLkUp.tbl[Month],0)),1)</f>
        <v>42795</v>
      </c>
      <c r="F53" s="6">
        <f>1</f>
        <v>1</v>
      </c>
      <c r="G53" s="5">
        <v>1.1000000000000001</v>
      </c>
      <c r="H53" s="5">
        <v>829.8</v>
      </c>
      <c r="I53" s="5">
        <v>9.3166666669999998</v>
      </c>
      <c r="J53" s="5">
        <v>8.1</v>
      </c>
      <c r="K53" s="5">
        <v>8.6999999999999993</v>
      </c>
      <c r="L53" s="5">
        <v>8.1</v>
      </c>
      <c r="M53" s="5">
        <v>10</v>
      </c>
      <c r="N53" s="5">
        <v>9.8000000000000007</v>
      </c>
      <c r="O53" s="5">
        <v>9.8000000000000007</v>
      </c>
      <c r="P53" s="5">
        <v>9.5</v>
      </c>
      <c r="Q53" s="6">
        <f>IF(sim.tbl[[#This Row],[Dens]]&lt;=770,1,0)</f>
        <v>0</v>
      </c>
      <c r="R53" s="6">
        <f>IF(AND(sim.tbl[[#This Row],[Sulf]]&gt;0.5,sim.tbl[[#This Row],[Dens]]&gt;770,sim.tbl[[#This Row],[Dens]]&lt;=825),1,0)</f>
        <v>0</v>
      </c>
      <c r="S53" s="6">
        <f>IF(AND(sim.tbl[[#This Row],[Sulf]]&lt;=0.5,sim.tbl[[#This Row],[Dens]]&gt;770,sim.tbl[[#This Row],[Dens]]&lt;=825),1,0)</f>
        <v>0</v>
      </c>
      <c r="T53" s="6">
        <f>IF(AND(sim.tbl[[#This Row],[Sulf]]&gt;0.5,sim.tbl[[#This Row],[Dens]]&gt;825,sim.tbl[[#This Row],[Dens]]&lt;=870),1,0)</f>
        <v>1</v>
      </c>
      <c r="U53" s="6">
        <f>IF(AND(sim.tbl[[#This Row],[Sulf]]&lt;0.5,sim.tbl[[#This Row],[Dens]]&gt;825,sim.tbl[[#This Row],[Dens]]&lt;=900),1,0)</f>
        <v>0</v>
      </c>
      <c r="V53" s="6">
        <f>IF(AND(sim.tbl[[#This Row],[Sulf]]&gt;0.5,sim.tbl[[#This Row],[Dens]]&gt;870,sim.tbl[[#This Row],[Dens]]&lt;=900),1,0)</f>
        <v>0</v>
      </c>
      <c r="W53" s="6">
        <f>IF(AND(sim.tbl[[#This Row],[Sulf]]&gt;0.5,sim.tbl[[#This Row],[Dens]]&gt;900),1,0)</f>
        <v>0</v>
      </c>
      <c r="X53" s="6">
        <f>IF(AND(sim.tbl[[#This Row],[Sulf]]&lt;=0.5,sim.tbl[[#This Row],[Dens]]&gt;900),1,0)</f>
        <v>0</v>
      </c>
      <c r="Y53" s="6">
        <f ca="1">IF(MONTH(sim.tbl[[#This Row],[SDate]])=INDEX(mthLkUp.tbl[Num],MATCH(Y$3,mthLkUp.tbl[Month],0)),1,0)</f>
        <v>0</v>
      </c>
      <c r="Z53" s="6">
        <f ca="1">IF(MONTH(sim.tbl[[#This Row],[SDate]])=INDEX(mthLkUp.tbl[Num],MATCH(Z$3,mthLkUp.tbl[Month],0)),1,0)</f>
        <v>0</v>
      </c>
      <c r="AA53" s="6">
        <f ca="1">IF(MONTH(sim.tbl[[#This Row],[SDate]])=INDEX(mthLkUp.tbl[Num],MATCH(AA$3,mthLkUp.tbl[Month],0)),1,0)</f>
        <v>1</v>
      </c>
      <c r="AB53" s="6">
        <f ca="1">IF(MONTH(sim.tbl[[#This Row],[SDate]])=INDEX(mthLkUp.tbl[Num],MATCH(AB$3,mthLkUp.tbl[Month],0)),1,0)</f>
        <v>0</v>
      </c>
      <c r="AC53" s="6">
        <f ca="1">IF(MONTH(sim.tbl[[#This Row],[SDate]])=INDEX(mthLkUp.tbl[Num],MATCH(AC$3,mthLkUp.tbl[Month],0)),1,0)</f>
        <v>0</v>
      </c>
      <c r="AD53" s="6">
        <f ca="1">IF(MONTH(sim.tbl[[#This Row],[SDate]])=INDEX(mthLkUp.tbl[Num],MATCH(AD$3,mthLkUp.tbl[Month],0)),1,0)</f>
        <v>0</v>
      </c>
      <c r="AE53" s="6">
        <f ca="1">IF(MONTH(sim.tbl[[#This Row],[SDate]])=INDEX(mthLkUp.tbl[Num],MATCH(AE$3,mthLkUp.tbl[Month],0)),1,0)</f>
        <v>0</v>
      </c>
      <c r="AF53" s="6">
        <f ca="1">IF(MONTH(sim.tbl[[#This Row],[SDate]])=INDEX(mthLkUp.tbl[Num],MATCH(AF$3,mthLkUp.tbl[Month],0)),1,0)</f>
        <v>0</v>
      </c>
      <c r="AG53" s="6">
        <f ca="1">IF(MONTH(sim.tbl[[#This Row],[SDate]])=INDEX(mthLkUp.tbl[Num],MATCH(AG$3,mthLkUp.tbl[Month],0)),1,0)</f>
        <v>0</v>
      </c>
      <c r="AH53" s="6">
        <f ca="1">IF(MONTH(sim.tbl[[#This Row],[SDate]])=INDEX(mthLkUp.tbl[Num],MATCH(AH$3,mthLkUp.tbl[Month],0)),1,0)</f>
        <v>0</v>
      </c>
      <c r="AI53" s="6">
        <f ca="1">IF(MONTH(sim.tbl[[#This Row],[SDate]])=INDEX(mthLkUp.tbl[Num],MATCH(AI$3,mthLkUp.tbl[Month],0)),1,0)</f>
        <v>0</v>
      </c>
      <c r="AJ53" s="6">
        <f ca="1">IF(MONTH(sim.tbl[[#This Row],[SDate]])=INDEX(mthLkUp.tbl[Num],MATCH(AJ$3,mthLkUp.tbl[Month],0)),1,0)</f>
        <v>0</v>
      </c>
      <c r="AK53" s="6">
        <v>1</v>
      </c>
      <c r="AL53" s="5">
        <f>sim.tbl[[#This Row],[Sulf]]*sim.tbl[[#This Row],[C5]]</f>
        <v>0</v>
      </c>
      <c r="AM53" s="5">
        <f>sim.tbl[[#This Row],[Sulf]]*sim.tbl[[#This Row],[Light_LSB]]</f>
        <v>0</v>
      </c>
      <c r="AN53" s="5">
        <f>sim.tbl[[#This Row],[Sulf]]*sim.tbl[[#This Row],[Light_SW]]</f>
        <v>0</v>
      </c>
      <c r="AO53" s="5">
        <f>sim.tbl[[#This Row],[Sulf]]*sim.tbl[[#This Row],[Medium_LSB]]</f>
        <v>1.1000000000000001</v>
      </c>
      <c r="AP53" s="5">
        <f>sim.tbl[[#This Row],[Sulf]]*sim.tbl[[#This Row],[Medium_SW]]</f>
        <v>0</v>
      </c>
      <c r="AQ53" s="5">
        <f>sim.tbl[[#This Row],[Sulf]]*sim.tbl[[#This Row],[Midale]]</f>
        <v>0</v>
      </c>
      <c r="AR53" s="5">
        <f>sim.tbl[[#This Row],[Sulf]]*sim.tbl[[#This Row],[Heavy_Sour]]</f>
        <v>0</v>
      </c>
      <c r="AS53" s="5">
        <f>sim.tbl[[#This Row],[Sulf]]*sim.tbl[[#This Row],[Heavy_SW]]</f>
        <v>0</v>
      </c>
      <c r="AT53" s="5">
        <f>sim.tbl[[#This Row],[Dens]]*sim.tbl[[#This Row],[C5]]</f>
        <v>0</v>
      </c>
      <c r="AU53" s="5">
        <f>sim.tbl[[#This Row],[Dens]]*sim.tbl[[#This Row],[Light_LSB]]</f>
        <v>0</v>
      </c>
      <c r="AV53" s="5">
        <f>sim.tbl[[#This Row],[Dens]]*sim.tbl[[#This Row],[Light_SW]]</f>
        <v>0</v>
      </c>
      <c r="AW53" s="5">
        <f>sim.tbl[[#This Row],[Dens]]*sim.tbl[[#This Row],[Medium_LSB]]</f>
        <v>829.8</v>
      </c>
      <c r="AX53" s="5">
        <f>sim.tbl[[#This Row],[Dens]]*sim.tbl[[#This Row],[Medium_SW]]</f>
        <v>0</v>
      </c>
      <c r="AY53" s="5">
        <f>sim.tbl[[#This Row],[Dens]]*sim.tbl[[#This Row],[Midale]]</f>
        <v>0</v>
      </c>
      <c r="AZ53" s="5">
        <f>sim.tbl[[#This Row],[Dens]]*sim.tbl[[#This Row],[Heavy_Sour]]</f>
        <v>0</v>
      </c>
      <c r="BA53" s="5">
        <f>sim.tbl[[#This Row],[Dens]]*sim.tbl[[#This Row],[Heavy_SW]]</f>
        <v>0</v>
      </c>
      <c r="BB53" s="5">
        <f>sim.tbl[[#This Row],[Temp.Roll]]*sim.tbl[[#This Row],[C5]]</f>
        <v>0</v>
      </c>
      <c r="BC53" s="5">
        <f>sim.tbl[[#This Row],[Temp.Roll]]*sim.tbl[[#This Row],[Light_LSB]]</f>
        <v>0</v>
      </c>
      <c r="BD53" s="5">
        <f>sim.tbl[[#This Row],[Temp.Roll]]*sim.tbl[[#This Row],[Light_SW]]</f>
        <v>0</v>
      </c>
      <c r="BE53" s="5">
        <f>sim.tbl[[#This Row],[Temp.Roll]]*sim.tbl[[#This Row],[Medium_LSB]]</f>
        <v>8.1</v>
      </c>
      <c r="BF53" s="5">
        <f>sim.tbl[[#This Row],[Temp.Roll]]*sim.tbl[[#This Row],[Medium_SW]]</f>
        <v>0</v>
      </c>
      <c r="BG53" s="5">
        <f>sim.tbl[[#This Row],[Temp.Roll]]*sim.tbl[[#This Row],[Midale]]</f>
        <v>0</v>
      </c>
      <c r="BH53" s="5">
        <f>sim.tbl[[#This Row],[Temp.Roll]]*sim.tbl[[#This Row],[Heavy_Sour]]</f>
        <v>0</v>
      </c>
      <c r="BI53" s="5">
        <f>sim.tbl[[#This Row],[Temp.Roll]]*sim.tbl[[#This Row],[Heavy_SW]]</f>
        <v>0</v>
      </c>
    </row>
    <row r="54" spans="4:61" x14ac:dyDescent="0.25">
      <c r="D54" s="5">
        <f ca="1">SUMPRODUCT($F$1:$BI$1,sim.tbl[[#This Row],[Intercept]:[Temp.Roll:Heavy_SW]])</f>
        <v>84.2917363936497</v>
      </c>
      <c r="E54" s="14">
        <f ca="1">DATE(YEAR(TODAY()),INDEX(mthLkUp.tbl[Num],MATCH(mth.input,mthLkUp.tbl[Month],0)),1)</f>
        <v>42795</v>
      </c>
      <c r="F54" s="6">
        <f>1</f>
        <v>1</v>
      </c>
      <c r="G54" s="5">
        <v>1.32</v>
      </c>
      <c r="H54" s="5">
        <v>826</v>
      </c>
      <c r="I54" s="5">
        <v>-3.1166666670000001</v>
      </c>
      <c r="J54" s="5">
        <v>-3.4</v>
      </c>
      <c r="K54" s="5">
        <v>-3.5</v>
      </c>
      <c r="L54" s="5">
        <v>-3.4</v>
      </c>
      <c r="M54" s="5">
        <v>-2.8</v>
      </c>
      <c r="N54" s="5">
        <v>-0.8</v>
      </c>
      <c r="O54" s="5">
        <v>-4</v>
      </c>
      <c r="P54" s="5">
        <v>-4.2</v>
      </c>
      <c r="Q54" s="6">
        <f>IF(sim.tbl[[#This Row],[Dens]]&lt;=770,1,0)</f>
        <v>0</v>
      </c>
      <c r="R54" s="6">
        <f>IF(AND(sim.tbl[[#This Row],[Sulf]]&gt;0.5,sim.tbl[[#This Row],[Dens]]&gt;770,sim.tbl[[#This Row],[Dens]]&lt;=825),1,0)</f>
        <v>0</v>
      </c>
      <c r="S54" s="6">
        <f>IF(AND(sim.tbl[[#This Row],[Sulf]]&lt;=0.5,sim.tbl[[#This Row],[Dens]]&gt;770,sim.tbl[[#This Row],[Dens]]&lt;=825),1,0)</f>
        <v>0</v>
      </c>
      <c r="T54" s="6">
        <f>IF(AND(sim.tbl[[#This Row],[Sulf]]&gt;0.5,sim.tbl[[#This Row],[Dens]]&gt;825,sim.tbl[[#This Row],[Dens]]&lt;=870),1,0)</f>
        <v>1</v>
      </c>
      <c r="U54" s="6">
        <f>IF(AND(sim.tbl[[#This Row],[Sulf]]&lt;0.5,sim.tbl[[#This Row],[Dens]]&gt;825,sim.tbl[[#This Row],[Dens]]&lt;=900),1,0)</f>
        <v>0</v>
      </c>
      <c r="V54" s="6">
        <f>IF(AND(sim.tbl[[#This Row],[Sulf]]&gt;0.5,sim.tbl[[#This Row],[Dens]]&gt;870,sim.tbl[[#This Row],[Dens]]&lt;=900),1,0)</f>
        <v>0</v>
      </c>
      <c r="W54" s="6">
        <f>IF(AND(sim.tbl[[#This Row],[Sulf]]&gt;0.5,sim.tbl[[#This Row],[Dens]]&gt;900),1,0)</f>
        <v>0</v>
      </c>
      <c r="X54" s="6">
        <f>IF(AND(sim.tbl[[#This Row],[Sulf]]&lt;=0.5,sim.tbl[[#This Row],[Dens]]&gt;900),1,0)</f>
        <v>0</v>
      </c>
      <c r="Y54" s="6">
        <f ca="1">IF(MONTH(sim.tbl[[#This Row],[SDate]])=INDEX(mthLkUp.tbl[Num],MATCH(Y$3,mthLkUp.tbl[Month],0)),1,0)</f>
        <v>0</v>
      </c>
      <c r="Z54" s="6">
        <f ca="1">IF(MONTH(sim.tbl[[#This Row],[SDate]])=INDEX(mthLkUp.tbl[Num],MATCH(Z$3,mthLkUp.tbl[Month],0)),1,0)</f>
        <v>0</v>
      </c>
      <c r="AA54" s="6">
        <f ca="1">IF(MONTH(sim.tbl[[#This Row],[SDate]])=INDEX(mthLkUp.tbl[Num],MATCH(AA$3,mthLkUp.tbl[Month],0)),1,0)</f>
        <v>1</v>
      </c>
      <c r="AB54" s="6">
        <f ca="1">IF(MONTH(sim.tbl[[#This Row],[SDate]])=INDEX(mthLkUp.tbl[Num],MATCH(AB$3,mthLkUp.tbl[Month],0)),1,0)</f>
        <v>0</v>
      </c>
      <c r="AC54" s="6">
        <f ca="1">IF(MONTH(sim.tbl[[#This Row],[SDate]])=INDEX(mthLkUp.tbl[Num],MATCH(AC$3,mthLkUp.tbl[Month],0)),1,0)</f>
        <v>0</v>
      </c>
      <c r="AD54" s="6">
        <f ca="1">IF(MONTH(sim.tbl[[#This Row],[SDate]])=INDEX(mthLkUp.tbl[Num],MATCH(AD$3,mthLkUp.tbl[Month],0)),1,0)</f>
        <v>0</v>
      </c>
      <c r="AE54" s="6">
        <f ca="1">IF(MONTH(sim.tbl[[#This Row],[SDate]])=INDEX(mthLkUp.tbl[Num],MATCH(AE$3,mthLkUp.tbl[Month],0)),1,0)</f>
        <v>0</v>
      </c>
      <c r="AF54" s="6">
        <f ca="1">IF(MONTH(sim.tbl[[#This Row],[SDate]])=INDEX(mthLkUp.tbl[Num],MATCH(AF$3,mthLkUp.tbl[Month],0)),1,0)</f>
        <v>0</v>
      </c>
      <c r="AG54" s="6">
        <f ca="1">IF(MONTH(sim.tbl[[#This Row],[SDate]])=INDEX(mthLkUp.tbl[Num],MATCH(AG$3,mthLkUp.tbl[Month],0)),1,0)</f>
        <v>0</v>
      </c>
      <c r="AH54" s="6">
        <f ca="1">IF(MONTH(sim.tbl[[#This Row],[SDate]])=INDEX(mthLkUp.tbl[Num],MATCH(AH$3,mthLkUp.tbl[Month],0)),1,0)</f>
        <v>0</v>
      </c>
      <c r="AI54" s="6">
        <f ca="1">IF(MONTH(sim.tbl[[#This Row],[SDate]])=INDEX(mthLkUp.tbl[Num],MATCH(AI$3,mthLkUp.tbl[Month],0)),1,0)</f>
        <v>0</v>
      </c>
      <c r="AJ54" s="6">
        <f ca="1">IF(MONTH(sim.tbl[[#This Row],[SDate]])=INDEX(mthLkUp.tbl[Num],MATCH(AJ$3,mthLkUp.tbl[Month],0)),1,0)</f>
        <v>0</v>
      </c>
      <c r="AK54" s="6">
        <v>1</v>
      </c>
      <c r="AL54" s="5">
        <f>sim.tbl[[#This Row],[Sulf]]*sim.tbl[[#This Row],[C5]]</f>
        <v>0</v>
      </c>
      <c r="AM54" s="5">
        <f>sim.tbl[[#This Row],[Sulf]]*sim.tbl[[#This Row],[Light_LSB]]</f>
        <v>0</v>
      </c>
      <c r="AN54" s="5">
        <f>sim.tbl[[#This Row],[Sulf]]*sim.tbl[[#This Row],[Light_SW]]</f>
        <v>0</v>
      </c>
      <c r="AO54" s="5">
        <f>sim.tbl[[#This Row],[Sulf]]*sim.tbl[[#This Row],[Medium_LSB]]</f>
        <v>1.32</v>
      </c>
      <c r="AP54" s="5">
        <f>sim.tbl[[#This Row],[Sulf]]*sim.tbl[[#This Row],[Medium_SW]]</f>
        <v>0</v>
      </c>
      <c r="AQ54" s="5">
        <f>sim.tbl[[#This Row],[Sulf]]*sim.tbl[[#This Row],[Midale]]</f>
        <v>0</v>
      </c>
      <c r="AR54" s="5">
        <f>sim.tbl[[#This Row],[Sulf]]*sim.tbl[[#This Row],[Heavy_Sour]]</f>
        <v>0</v>
      </c>
      <c r="AS54" s="5">
        <f>sim.tbl[[#This Row],[Sulf]]*sim.tbl[[#This Row],[Heavy_SW]]</f>
        <v>0</v>
      </c>
      <c r="AT54" s="5">
        <f>sim.tbl[[#This Row],[Dens]]*sim.tbl[[#This Row],[C5]]</f>
        <v>0</v>
      </c>
      <c r="AU54" s="5">
        <f>sim.tbl[[#This Row],[Dens]]*sim.tbl[[#This Row],[Light_LSB]]</f>
        <v>0</v>
      </c>
      <c r="AV54" s="5">
        <f>sim.tbl[[#This Row],[Dens]]*sim.tbl[[#This Row],[Light_SW]]</f>
        <v>0</v>
      </c>
      <c r="AW54" s="5">
        <f>sim.tbl[[#This Row],[Dens]]*sim.tbl[[#This Row],[Medium_LSB]]</f>
        <v>826</v>
      </c>
      <c r="AX54" s="5">
        <f>sim.tbl[[#This Row],[Dens]]*sim.tbl[[#This Row],[Medium_SW]]</f>
        <v>0</v>
      </c>
      <c r="AY54" s="5">
        <f>sim.tbl[[#This Row],[Dens]]*sim.tbl[[#This Row],[Midale]]</f>
        <v>0</v>
      </c>
      <c r="AZ54" s="5">
        <f>sim.tbl[[#This Row],[Dens]]*sim.tbl[[#This Row],[Heavy_Sour]]</f>
        <v>0</v>
      </c>
      <c r="BA54" s="5">
        <f>sim.tbl[[#This Row],[Dens]]*sim.tbl[[#This Row],[Heavy_SW]]</f>
        <v>0</v>
      </c>
      <c r="BB54" s="5">
        <f>sim.tbl[[#This Row],[Temp.Roll]]*sim.tbl[[#This Row],[C5]]</f>
        <v>0</v>
      </c>
      <c r="BC54" s="5">
        <f>sim.tbl[[#This Row],[Temp.Roll]]*sim.tbl[[#This Row],[Light_LSB]]</f>
        <v>0</v>
      </c>
      <c r="BD54" s="5">
        <f>sim.tbl[[#This Row],[Temp.Roll]]*sim.tbl[[#This Row],[Light_SW]]</f>
        <v>0</v>
      </c>
      <c r="BE54" s="5">
        <f>sim.tbl[[#This Row],[Temp.Roll]]*sim.tbl[[#This Row],[Medium_LSB]]</f>
        <v>-3.4</v>
      </c>
      <c r="BF54" s="5">
        <f>sim.tbl[[#This Row],[Temp.Roll]]*sim.tbl[[#This Row],[Medium_SW]]</f>
        <v>0</v>
      </c>
      <c r="BG54" s="5">
        <f>sim.tbl[[#This Row],[Temp.Roll]]*sim.tbl[[#This Row],[Midale]]</f>
        <v>0</v>
      </c>
      <c r="BH54" s="5">
        <f>sim.tbl[[#This Row],[Temp.Roll]]*sim.tbl[[#This Row],[Heavy_Sour]]</f>
        <v>0</v>
      </c>
      <c r="BI54" s="5">
        <f>sim.tbl[[#This Row],[Temp.Roll]]*sim.tbl[[#This Row],[Heavy_SW]]</f>
        <v>0</v>
      </c>
    </row>
    <row r="55" spans="4:61" x14ac:dyDescent="0.25">
      <c r="D55" s="5">
        <f ca="1">SUMPRODUCT($F$1:$BI$1,sim.tbl[[#This Row],[Intercept]:[Temp.Roll:Heavy_SW]])</f>
        <v>88.890663298355236</v>
      </c>
      <c r="E55" s="14">
        <f ca="1">DATE(YEAR(TODAY()),INDEX(mthLkUp.tbl[Num],MATCH(mth.input,mthLkUp.tbl[Month],0)),1)</f>
        <v>42795</v>
      </c>
      <c r="F55" s="6">
        <f>1</f>
        <v>1</v>
      </c>
      <c r="G55" s="5">
        <v>0.27500000000000002</v>
      </c>
      <c r="H55" s="5">
        <v>809.8</v>
      </c>
      <c r="I55" s="5">
        <v>-2.06</v>
      </c>
      <c r="J55" s="5">
        <v>-2.2000000000000002</v>
      </c>
      <c r="K55" s="5">
        <v>-2.5</v>
      </c>
      <c r="L55" s="5">
        <v>-2.2000000000000002</v>
      </c>
      <c r="M55" s="5">
        <v>2.8</v>
      </c>
      <c r="N55" s="5">
        <v>-0.3</v>
      </c>
      <c r="O55" s="5">
        <v>-2.8</v>
      </c>
      <c r="P55" s="5">
        <v>-2.5</v>
      </c>
      <c r="Q55" s="6">
        <f>IF(sim.tbl[[#This Row],[Dens]]&lt;=770,1,0)</f>
        <v>0</v>
      </c>
      <c r="R55" s="6">
        <f>IF(AND(sim.tbl[[#This Row],[Sulf]]&gt;0.5,sim.tbl[[#This Row],[Dens]]&gt;770,sim.tbl[[#This Row],[Dens]]&lt;=825),1,0)</f>
        <v>0</v>
      </c>
      <c r="S55" s="6">
        <f>IF(AND(sim.tbl[[#This Row],[Sulf]]&lt;=0.5,sim.tbl[[#This Row],[Dens]]&gt;770,sim.tbl[[#This Row],[Dens]]&lt;=825),1,0)</f>
        <v>1</v>
      </c>
      <c r="T55" s="6">
        <f>IF(AND(sim.tbl[[#This Row],[Sulf]]&gt;0.5,sim.tbl[[#This Row],[Dens]]&gt;825,sim.tbl[[#This Row],[Dens]]&lt;=870),1,0)</f>
        <v>0</v>
      </c>
      <c r="U55" s="6">
        <f>IF(AND(sim.tbl[[#This Row],[Sulf]]&lt;0.5,sim.tbl[[#This Row],[Dens]]&gt;825,sim.tbl[[#This Row],[Dens]]&lt;=900),1,0)</f>
        <v>0</v>
      </c>
      <c r="V55" s="6">
        <f>IF(AND(sim.tbl[[#This Row],[Sulf]]&gt;0.5,sim.tbl[[#This Row],[Dens]]&gt;870,sim.tbl[[#This Row],[Dens]]&lt;=900),1,0)</f>
        <v>0</v>
      </c>
      <c r="W55" s="6">
        <f>IF(AND(sim.tbl[[#This Row],[Sulf]]&gt;0.5,sim.tbl[[#This Row],[Dens]]&gt;900),1,0)</f>
        <v>0</v>
      </c>
      <c r="X55" s="6">
        <f>IF(AND(sim.tbl[[#This Row],[Sulf]]&lt;=0.5,sim.tbl[[#This Row],[Dens]]&gt;900),1,0)</f>
        <v>0</v>
      </c>
      <c r="Y55" s="6">
        <f ca="1">IF(MONTH(sim.tbl[[#This Row],[SDate]])=INDEX(mthLkUp.tbl[Num],MATCH(Y$3,mthLkUp.tbl[Month],0)),1,0)</f>
        <v>0</v>
      </c>
      <c r="Z55" s="6">
        <f ca="1">IF(MONTH(sim.tbl[[#This Row],[SDate]])=INDEX(mthLkUp.tbl[Num],MATCH(Z$3,mthLkUp.tbl[Month],0)),1,0)</f>
        <v>0</v>
      </c>
      <c r="AA55" s="6">
        <f ca="1">IF(MONTH(sim.tbl[[#This Row],[SDate]])=INDEX(mthLkUp.tbl[Num],MATCH(AA$3,mthLkUp.tbl[Month],0)),1,0)</f>
        <v>1</v>
      </c>
      <c r="AB55" s="6">
        <f ca="1">IF(MONTH(sim.tbl[[#This Row],[SDate]])=INDEX(mthLkUp.tbl[Num],MATCH(AB$3,mthLkUp.tbl[Month],0)),1,0)</f>
        <v>0</v>
      </c>
      <c r="AC55" s="6">
        <f ca="1">IF(MONTH(sim.tbl[[#This Row],[SDate]])=INDEX(mthLkUp.tbl[Num],MATCH(AC$3,mthLkUp.tbl[Month],0)),1,0)</f>
        <v>0</v>
      </c>
      <c r="AD55" s="6">
        <f ca="1">IF(MONTH(sim.tbl[[#This Row],[SDate]])=INDEX(mthLkUp.tbl[Num],MATCH(AD$3,mthLkUp.tbl[Month],0)),1,0)</f>
        <v>0</v>
      </c>
      <c r="AE55" s="6">
        <f ca="1">IF(MONTH(sim.tbl[[#This Row],[SDate]])=INDEX(mthLkUp.tbl[Num],MATCH(AE$3,mthLkUp.tbl[Month],0)),1,0)</f>
        <v>0</v>
      </c>
      <c r="AF55" s="6">
        <f ca="1">IF(MONTH(sim.tbl[[#This Row],[SDate]])=INDEX(mthLkUp.tbl[Num],MATCH(AF$3,mthLkUp.tbl[Month],0)),1,0)</f>
        <v>0</v>
      </c>
      <c r="AG55" s="6">
        <f ca="1">IF(MONTH(sim.tbl[[#This Row],[SDate]])=INDEX(mthLkUp.tbl[Num],MATCH(AG$3,mthLkUp.tbl[Month],0)),1,0)</f>
        <v>0</v>
      </c>
      <c r="AH55" s="6">
        <f ca="1">IF(MONTH(sim.tbl[[#This Row],[SDate]])=INDEX(mthLkUp.tbl[Num],MATCH(AH$3,mthLkUp.tbl[Month],0)),1,0)</f>
        <v>0</v>
      </c>
      <c r="AI55" s="6">
        <f ca="1">IF(MONTH(sim.tbl[[#This Row],[SDate]])=INDEX(mthLkUp.tbl[Num],MATCH(AI$3,mthLkUp.tbl[Month],0)),1,0)</f>
        <v>0</v>
      </c>
      <c r="AJ55" s="6">
        <f ca="1">IF(MONTH(sim.tbl[[#This Row],[SDate]])=INDEX(mthLkUp.tbl[Num],MATCH(AJ$3,mthLkUp.tbl[Month],0)),1,0)</f>
        <v>0</v>
      </c>
      <c r="AK55" s="6">
        <v>1</v>
      </c>
      <c r="AL55" s="5">
        <f>sim.tbl[[#This Row],[Sulf]]*sim.tbl[[#This Row],[C5]]</f>
        <v>0</v>
      </c>
      <c r="AM55" s="5">
        <f>sim.tbl[[#This Row],[Sulf]]*sim.tbl[[#This Row],[Light_LSB]]</f>
        <v>0</v>
      </c>
      <c r="AN55" s="5">
        <f>sim.tbl[[#This Row],[Sulf]]*sim.tbl[[#This Row],[Light_SW]]</f>
        <v>0.27500000000000002</v>
      </c>
      <c r="AO55" s="5">
        <f>sim.tbl[[#This Row],[Sulf]]*sim.tbl[[#This Row],[Medium_LSB]]</f>
        <v>0</v>
      </c>
      <c r="AP55" s="5">
        <f>sim.tbl[[#This Row],[Sulf]]*sim.tbl[[#This Row],[Medium_SW]]</f>
        <v>0</v>
      </c>
      <c r="AQ55" s="5">
        <f>sim.tbl[[#This Row],[Sulf]]*sim.tbl[[#This Row],[Midale]]</f>
        <v>0</v>
      </c>
      <c r="AR55" s="5">
        <f>sim.tbl[[#This Row],[Sulf]]*sim.tbl[[#This Row],[Heavy_Sour]]</f>
        <v>0</v>
      </c>
      <c r="AS55" s="5">
        <f>sim.tbl[[#This Row],[Sulf]]*sim.tbl[[#This Row],[Heavy_SW]]</f>
        <v>0</v>
      </c>
      <c r="AT55" s="5">
        <f>sim.tbl[[#This Row],[Dens]]*sim.tbl[[#This Row],[C5]]</f>
        <v>0</v>
      </c>
      <c r="AU55" s="5">
        <f>sim.tbl[[#This Row],[Dens]]*sim.tbl[[#This Row],[Light_LSB]]</f>
        <v>0</v>
      </c>
      <c r="AV55" s="5">
        <f>sim.tbl[[#This Row],[Dens]]*sim.tbl[[#This Row],[Light_SW]]</f>
        <v>809.8</v>
      </c>
      <c r="AW55" s="5">
        <f>sim.tbl[[#This Row],[Dens]]*sim.tbl[[#This Row],[Medium_LSB]]</f>
        <v>0</v>
      </c>
      <c r="AX55" s="5">
        <f>sim.tbl[[#This Row],[Dens]]*sim.tbl[[#This Row],[Medium_SW]]</f>
        <v>0</v>
      </c>
      <c r="AY55" s="5">
        <f>sim.tbl[[#This Row],[Dens]]*sim.tbl[[#This Row],[Midale]]</f>
        <v>0</v>
      </c>
      <c r="AZ55" s="5">
        <f>sim.tbl[[#This Row],[Dens]]*sim.tbl[[#This Row],[Heavy_Sour]]</f>
        <v>0</v>
      </c>
      <c r="BA55" s="5">
        <f>sim.tbl[[#This Row],[Dens]]*sim.tbl[[#This Row],[Heavy_SW]]</f>
        <v>0</v>
      </c>
      <c r="BB55" s="5">
        <f>sim.tbl[[#This Row],[Temp.Roll]]*sim.tbl[[#This Row],[C5]]</f>
        <v>0</v>
      </c>
      <c r="BC55" s="5">
        <f>sim.tbl[[#This Row],[Temp.Roll]]*sim.tbl[[#This Row],[Light_LSB]]</f>
        <v>0</v>
      </c>
      <c r="BD55" s="5">
        <f>sim.tbl[[#This Row],[Temp.Roll]]*sim.tbl[[#This Row],[Light_SW]]</f>
        <v>-2.2000000000000002</v>
      </c>
      <c r="BE55" s="5">
        <f>sim.tbl[[#This Row],[Temp.Roll]]*sim.tbl[[#This Row],[Medium_LSB]]</f>
        <v>0</v>
      </c>
      <c r="BF55" s="5">
        <f>sim.tbl[[#This Row],[Temp.Roll]]*sim.tbl[[#This Row],[Medium_SW]]</f>
        <v>0</v>
      </c>
      <c r="BG55" s="5">
        <f>sim.tbl[[#This Row],[Temp.Roll]]*sim.tbl[[#This Row],[Midale]]</f>
        <v>0</v>
      </c>
      <c r="BH55" s="5">
        <f>sim.tbl[[#This Row],[Temp.Roll]]*sim.tbl[[#This Row],[Heavy_Sour]]</f>
        <v>0</v>
      </c>
      <c r="BI55" s="5">
        <f>sim.tbl[[#This Row],[Temp.Roll]]*sim.tbl[[#This Row],[Heavy_SW]]</f>
        <v>0</v>
      </c>
    </row>
    <row r="56" spans="4:61" x14ac:dyDescent="0.25">
      <c r="D56" s="5">
        <f ca="1">SUMPRODUCT($F$1:$BI$1,sim.tbl[[#This Row],[Intercept]:[Temp.Roll:Heavy_SW]])</f>
        <v>93.195044423808767</v>
      </c>
      <c r="E56" s="14">
        <f ca="1">DATE(YEAR(TODAY()),INDEX(mthLkUp.tbl[Num],MATCH(mth.input,mthLkUp.tbl[Month],0)),1)</f>
        <v>42795</v>
      </c>
      <c r="F56" s="6">
        <f>1</f>
        <v>1</v>
      </c>
      <c r="G56" s="5">
        <v>0.54400000000000004</v>
      </c>
      <c r="H56" s="5">
        <v>812.6</v>
      </c>
      <c r="I56" s="5">
        <v>-9.42</v>
      </c>
      <c r="J56" s="5">
        <v>-8.9</v>
      </c>
      <c r="K56" s="5">
        <v>-10.199999999999999</v>
      </c>
      <c r="L56" s="5">
        <v>-8.9</v>
      </c>
      <c r="M56" s="5">
        <v>2.8</v>
      </c>
      <c r="N56" s="5">
        <v>-5.5</v>
      </c>
      <c r="O56" s="5">
        <v>-11.6</v>
      </c>
      <c r="P56" s="5">
        <v>-10.9</v>
      </c>
      <c r="Q56" s="6">
        <f>IF(sim.tbl[[#This Row],[Dens]]&lt;=770,1,0)</f>
        <v>0</v>
      </c>
      <c r="R56" s="6">
        <f>IF(AND(sim.tbl[[#This Row],[Sulf]]&gt;0.5,sim.tbl[[#This Row],[Dens]]&gt;770,sim.tbl[[#This Row],[Dens]]&lt;=825),1,0)</f>
        <v>1</v>
      </c>
      <c r="S56" s="6">
        <f>IF(AND(sim.tbl[[#This Row],[Sulf]]&lt;=0.5,sim.tbl[[#This Row],[Dens]]&gt;770,sim.tbl[[#This Row],[Dens]]&lt;=825),1,0)</f>
        <v>0</v>
      </c>
      <c r="T56" s="6">
        <f>IF(AND(sim.tbl[[#This Row],[Sulf]]&gt;0.5,sim.tbl[[#This Row],[Dens]]&gt;825,sim.tbl[[#This Row],[Dens]]&lt;=870),1,0)</f>
        <v>0</v>
      </c>
      <c r="U56" s="6">
        <f>IF(AND(sim.tbl[[#This Row],[Sulf]]&lt;0.5,sim.tbl[[#This Row],[Dens]]&gt;825,sim.tbl[[#This Row],[Dens]]&lt;=900),1,0)</f>
        <v>0</v>
      </c>
      <c r="V56" s="6">
        <f>IF(AND(sim.tbl[[#This Row],[Sulf]]&gt;0.5,sim.tbl[[#This Row],[Dens]]&gt;870,sim.tbl[[#This Row],[Dens]]&lt;=900),1,0)</f>
        <v>0</v>
      </c>
      <c r="W56" s="6">
        <f>IF(AND(sim.tbl[[#This Row],[Sulf]]&gt;0.5,sim.tbl[[#This Row],[Dens]]&gt;900),1,0)</f>
        <v>0</v>
      </c>
      <c r="X56" s="6">
        <f>IF(AND(sim.tbl[[#This Row],[Sulf]]&lt;=0.5,sim.tbl[[#This Row],[Dens]]&gt;900),1,0)</f>
        <v>0</v>
      </c>
      <c r="Y56" s="6">
        <f ca="1">IF(MONTH(sim.tbl[[#This Row],[SDate]])=INDEX(mthLkUp.tbl[Num],MATCH(Y$3,mthLkUp.tbl[Month],0)),1,0)</f>
        <v>0</v>
      </c>
      <c r="Z56" s="6">
        <f ca="1">IF(MONTH(sim.tbl[[#This Row],[SDate]])=INDEX(mthLkUp.tbl[Num],MATCH(Z$3,mthLkUp.tbl[Month],0)),1,0)</f>
        <v>0</v>
      </c>
      <c r="AA56" s="6">
        <f ca="1">IF(MONTH(sim.tbl[[#This Row],[SDate]])=INDEX(mthLkUp.tbl[Num],MATCH(AA$3,mthLkUp.tbl[Month],0)),1,0)</f>
        <v>1</v>
      </c>
      <c r="AB56" s="6">
        <f ca="1">IF(MONTH(sim.tbl[[#This Row],[SDate]])=INDEX(mthLkUp.tbl[Num],MATCH(AB$3,mthLkUp.tbl[Month],0)),1,0)</f>
        <v>0</v>
      </c>
      <c r="AC56" s="6">
        <f ca="1">IF(MONTH(sim.tbl[[#This Row],[SDate]])=INDEX(mthLkUp.tbl[Num],MATCH(AC$3,mthLkUp.tbl[Month],0)),1,0)</f>
        <v>0</v>
      </c>
      <c r="AD56" s="6">
        <f ca="1">IF(MONTH(sim.tbl[[#This Row],[SDate]])=INDEX(mthLkUp.tbl[Num],MATCH(AD$3,mthLkUp.tbl[Month],0)),1,0)</f>
        <v>0</v>
      </c>
      <c r="AE56" s="6">
        <f ca="1">IF(MONTH(sim.tbl[[#This Row],[SDate]])=INDEX(mthLkUp.tbl[Num],MATCH(AE$3,mthLkUp.tbl[Month],0)),1,0)</f>
        <v>0</v>
      </c>
      <c r="AF56" s="6">
        <f ca="1">IF(MONTH(sim.tbl[[#This Row],[SDate]])=INDEX(mthLkUp.tbl[Num],MATCH(AF$3,mthLkUp.tbl[Month],0)),1,0)</f>
        <v>0</v>
      </c>
      <c r="AG56" s="6">
        <f ca="1">IF(MONTH(sim.tbl[[#This Row],[SDate]])=INDEX(mthLkUp.tbl[Num],MATCH(AG$3,mthLkUp.tbl[Month],0)),1,0)</f>
        <v>0</v>
      </c>
      <c r="AH56" s="6">
        <f ca="1">IF(MONTH(sim.tbl[[#This Row],[SDate]])=INDEX(mthLkUp.tbl[Num],MATCH(AH$3,mthLkUp.tbl[Month],0)),1,0)</f>
        <v>0</v>
      </c>
      <c r="AI56" s="6">
        <f ca="1">IF(MONTH(sim.tbl[[#This Row],[SDate]])=INDEX(mthLkUp.tbl[Num],MATCH(AI$3,mthLkUp.tbl[Month],0)),1,0)</f>
        <v>0</v>
      </c>
      <c r="AJ56" s="6">
        <f ca="1">IF(MONTH(sim.tbl[[#This Row],[SDate]])=INDEX(mthLkUp.tbl[Num],MATCH(AJ$3,mthLkUp.tbl[Month],0)),1,0)</f>
        <v>0</v>
      </c>
      <c r="AK56" s="6">
        <v>1</v>
      </c>
      <c r="AL56" s="5">
        <f>sim.tbl[[#This Row],[Sulf]]*sim.tbl[[#This Row],[C5]]</f>
        <v>0</v>
      </c>
      <c r="AM56" s="5">
        <f>sim.tbl[[#This Row],[Sulf]]*sim.tbl[[#This Row],[Light_LSB]]</f>
        <v>0.54400000000000004</v>
      </c>
      <c r="AN56" s="5">
        <f>sim.tbl[[#This Row],[Sulf]]*sim.tbl[[#This Row],[Light_SW]]</f>
        <v>0</v>
      </c>
      <c r="AO56" s="5">
        <f>sim.tbl[[#This Row],[Sulf]]*sim.tbl[[#This Row],[Medium_LSB]]</f>
        <v>0</v>
      </c>
      <c r="AP56" s="5">
        <f>sim.tbl[[#This Row],[Sulf]]*sim.tbl[[#This Row],[Medium_SW]]</f>
        <v>0</v>
      </c>
      <c r="AQ56" s="5">
        <f>sim.tbl[[#This Row],[Sulf]]*sim.tbl[[#This Row],[Midale]]</f>
        <v>0</v>
      </c>
      <c r="AR56" s="5">
        <f>sim.tbl[[#This Row],[Sulf]]*sim.tbl[[#This Row],[Heavy_Sour]]</f>
        <v>0</v>
      </c>
      <c r="AS56" s="5">
        <f>sim.tbl[[#This Row],[Sulf]]*sim.tbl[[#This Row],[Heavy_SW]]</f>
        <v>0</v>
      </c>
      <c r="AT56" s="5">
        <f>sim.tbl[[#This Row],[Dens]]*sim.tbl[[#This Row],[C5]]</f>
        <v>0</v>
      </c>
      <c r="AU56" s="5">
        <f>sim.tbl[[#This Row],[Dens]]*sim.tbl[[#This Row],[Light_LSB]]</f>
        <v>812.6</v>
      </c>
      <c r="AV56" s="5">
        <f>sim.tbl[[#This Row],[Dens]]*sim.tbl[[#This Row],[Light_SW]]</f>
        <v>0</v>
      </c>
      <c r="AW56" s="5">
        <f>sim.tbl[[#This Row],[Dens]]*sim.tbl[[#This Row],[Medium_LSB]]</f>
        <v>0</v>
      </c>
      <c r="AX56" s="5">
        <f>sim.tbl[[#This Row],[Dens]]*sim.tbl[[#This Row],[Medium_SW]]</f>
        <v>0</v>
      </c>
      <c r="AY56" s="5">
        <f>sim.tbl[[#This Row],[Dens]]*sim.tbl[[#This Row],[Midale]]</f>
        <v>0</v>
      </c>
      <c r="AZ56" s="5">
        <f>sim.tbl[[#This Row],[Dens]]*sim.tbl[[#This Row],[Heavy_Sour]]</f>
        <v>0</v>
      </c>
      <c r="BA56" s="5">
        <f>sim.tbl[[#This Row],[Dens]]*sim.tbl[[#This Row],[Heavy_SW]]</f>
        <v>0</v>
      </c>
      <c r="BB56" s="5">
        <f>sim.tbl[[#This Row],[Temp.Roll]]*sim.tbl[[#This Row],[C5]]</f>
        <v>0</v>
      </c>
      <c r="BC56" s="5">
        <f>sim.tbl[[#This Row],[Temp.Roll]]*sim.tbl[[#This Row],[Light_LSB]]</f>
        <v>-8.9</v>
      </c>
      <c r="BD56" s="5">
        <f>sim.tbl[[#This Row],[Temp.Roll]]*sim.tbl[[#This Row],[Light_SW]]</f>
        <v>0</v>
      </c>
      <c r="BE56" s="5">
        <f>sim.tbl[[#This Row],[Temp.Roll]]*sim.tbl[[#This Row],[Medium_LSB]]</f>
        <v>0</v>
      </c>
      <c r="BF56" s="5">
        <f>sim.tbl[[#This Row],[Temp.Roll]]*sim.tbl[[#This Row],[Medium_SW]]</f>
        <v>0</v>
      </c>
      <c r="BG56" s="5">
        <f>sim.tbl[[#This Row],[Temp.Roll]]*sim.tbl[[#This Row],[Midale]]</f>
        <v>0</v>
      </c>
      <c r="BH56" s="5">
        <f>sim.tbl[[#This Row],[Temp.Roll]]*sim.tbl[[#This Row],[Heavy_Sour]]</f>
        <v>0</v>
      </c>
      <c r="BI56" s="5">
        <f>sim.tbl[[#This Row],[Temp.Roll]]*sim.tbl[[#This Row],[Heavy_SW]]</f>
        <v>0</v>
      </c>
    </row>
    <row r="57" spans="4:61" x14ac:dyDescent="0.25">
      <c r="D57" s="5">
        <f ca="1">SUMPRODUCT($F$1:$BI$1,sim.tbl[[#This Row],[Intercept]:[Temp.Roll:Heavy_SW]])</f>
        <v>86.580157830706227</v>
      </c>
      <c r="E57" s="14">
        <f ca="1">DATE(YEAR(TODAY()),INDEX(mthLkUp.tbl[Num],MATCH(mth.input,mthLkUp.tbl[Month],0)),1)</f>
        <v>42795</v>
      </c>
      <c r="F57" s="6">
        <f>1</f>
        <v>1</v>
      </c>
      <c r="G57" s="5">
        <v>0.17</v>
      </c>
      <c r="H57" s="5">
        <v>809.3</v>
      </c>
      <c r="I57" s="5">
        <v>3.266666667</v>
      </c>
      <c r="J57" s="5">
        <v>3.4</v>
      </c>
      <c r="K57" s="5">
        <v>3.2</v>
      </c>
      <c r="L57" s="5">
        <v>3.4</v>
      </c>
      <c r="M57" s="5">
        <v>3.5</v>
      </c>
      <c r="N57" s="5">
        <v>3</v>
      </c>
      <c r="O57" s="5">
        <v>3.7</v>
      </c>
      <c r="P57" s="5">
        <v>2.8</v>
      </c>
      <c r="Q57" s="6">
        <f>IF(sim.tbl[[#This Row],[Dens]]&lt;=770,1,0)</f>
        <v>0</v>
      </c>
      <c r="R57" s="6">
        <f>IF(AND(sim.tbl[[#This Row],[Sulf]]&gt;0.5,sim.tbl[[#This Row],[Dens]]&gt;770,sim.tbl[[#This Row],[Dens]]&lt;=825),1,0)</f>
        <v>0</v>
      </c>
      <c r="S57" s="6">
        <f>IF(AND(sim.tbl[[#This Row],[Sulf]]&lt;=0.5,sim.tbl[[#This Row],[Dens]]&gt;770,sim.tbl[[#This Row],[Dens]]&lt;=825),1,0)</f>
        <v>1</v>
      </c>
      <c r="T57" s="6">
        <f>IF(AND(sim.tbl[[#This Row],[Sulf]]&gt;0.5,sim.tbl[[#This Row],[Dens]]&gt;825,sim.tbl[[#This Row],[Dens]]&lt;=870),1,0)</f>
        <v>0</v>
      </c>
      <c r="U57" s="6">
        <f>IF(AND(sim.tbl[[#This Row],[Sulf]]&lt;0.5,sim.tbl[[#This Row],[Dens]]&gt;825,sim.tbl[[#This Row],[Dens]]&lt;=900),1,0)</f>
        <v>0</v>
      </c>
      <c r="V57" s="6">
        <f>IF(AND(sim.tbl[[#This Row],[Sulf]]&gt;0.5,sim.tbl[[#This Row],[Dens]]&gt;870,sim.tbl[[#This Row],[Dens]]&lt;=900),1,0)</f>
        <v>0</v>
      </c>
      <c r="W57" s="6">
        <f>IF(AND(sim.tbl[[#This Row],[Sulf]]&gt;0.5,sim.tbl[[#This Row],[Dens]]&gt;900),1,0)</f>
        <v>0</v>
      </c>
      <c r="X57" s="6">
        <f>IF(AND(sim.tbl[[#This Row],[Sulf]]&lt;=0.5,sim.tbl[[#This Row],[Dens]]&gt;900),1,0)</f>
        <v>0</v>
      </c>
      <c r="Y57" s="6">
        <f ca="1">IF(MONTH(sim.tbl[[#This Row],[SDate]])=INDEX(mthLkUp.tbl[Num],MATCH(Y$3,mthLkUp.tbl[Month],0)),1,0)</f>
        <v>0</v>
      </c>
      <c r="Z57" s="6">
        <f ca="1">IF(MONTH(sim.tbl[[#This Row],[SDate]])=INDEX(mthLkUp.tbl[Num],MATCH(Z$3,mthLkUp.tbl[Month],0)),1,0)</f>
        <v>0</v>
      </c>
      <c r="AA57" s="6">
        <f ca="1">IF(MONTH(sim.tbl[[#This Row],[SDate]])=INDEX(mthLkUp.tbl[Num],MATCH(AA$3,mthLkUp.tbl[Month],0)),1,0)</f>
        <v>1</v>
      </c>
      <c r="AB57" s="6">
        <f ca="1">IF(MONTH(sim.tbl[[#This Row],[SDate]])=INDEX(mthLkUp.tbl[Num],MATCH(AB$3,mthLkUp.tbl[Month],0)),1,0)</f>
        <v>0</v>
      </c>
      <c r="AC57" s="6">
        <f ca="1">IF(MONTH(sim.tbl[[#This Row],[SDate]])=INDEX(mthLkUp.tbl[Num],MATCH(AC$3,mthLkUp.tbl[Month],0)),1,0)</f>
        <v>0</v>
      </c>
      <c r="AD57" s="6">
        <f ca="1">IF(MONTH(sim.tbl[[#This Row],[SDate]])=INDEX(mthLkUp.tbl[Num],MATCH(AD$3,mthLkUp.tbl[Month],0)),1,0)</f>
        <v>0</v>
      </c>
      <c r="AE57" s="6">
        <f ca="1">IF(MONTH(sim.tbl[[#This Row],[SDate]])=INDEX(mthLkUp.tbl[Num],MATCH(AE$3,mthLkUp.tbl[Month],0)),1,0)</f>
        <v>0</v>
      </c>
      <c r="AF57" s="6">
        <f ca="1">IF(MONTH(sim.tbl[[#This Row],[SDate]])=INDEX(mthLkUp.tbl[Num],MATCH(AF$3,mthLkUp.tbl[Month],0)),1,0)</f>
        <v>0</v>
      </c>
      <c r="AG57" s="6">
        <f ca="1">IF(MONTH(sim.tbl[[#This Row],[SDate]])=INDEX(mthLkUp.tbl[Num],MATCH(AG$3,mthLkUp.tbl[Month],0)),1,0)</f>
        <v>0</v>
      </c>
      <c r="AH57" s="6">
        <f ca="1">IF(MONTH(sim.tbl[[#This Row],[SDate]])=INDEX(mthLkUp.tbl[Num],MATCH(AH$3,mthLkUp.tbl[Month],0)),1,0)</f>
        <v>0</v>
      </c>
      <c r="AI57" s="6">
        <f ca="1">IF(MONTH(sim.tbl[[#This Row],[SDate]])=INDEX(mthLkUp.tbl[Num],MATCH(AI$3,mthLkUp.tbl[Month],0)),1,0)</f>
        <v>0</v>
      </c>
      <c r="AJ57" s="6">
        <f ca="1">IF(MONTH(sim.tbl[[#This Row],[SDate]])=INDEX(mthLkUp.tbl[Num],MATCH(AJ$3,mthLkUp.tbl[Month],0)),1,0)</f>
        <v>0</v>
      </c>
      <c r="AK57" s="6">
        <v>1</v>
      </c>
      <c r="AL57" s="5">
        <f>sim.tbl[[#This Row],[Sulf]]*sim.tbl[[#This Row],[C5]]</f>
        <v>0</v>
      </c>
      <c r="AM57" s="5">
        <f>sim.tbl[[#This Row],[Sulf]]*sim.tbl[[#This Row],[Light_LSB]]</f>
        <v>0</v>
      </c>
      <c r="AN57" s="5">
        <f>sim.tbl[[#This Row],[Sulf]]*sim.tbl[[#This Row],[Light_SW]]</f>
        <v>0.17</v>
      </c>
      <c r="AO57" s="5">
        <f>sim.tbl[[#This Row],[Sulf]]*sim.tbl[[#This Row],[Medium_LSB]]</f>
        <v>0</v>
      </c>
      <c r="AP57" s="5">
        <f>sim.tbl[[#This Row],[Sulf]]*sim.tbl[[#This Row],[Medium_SW]]</f>
        <v>0</v>
      </c>
      <c r="AQ57" s="5">
        <f>sim.tbl[[#This Row],[Sulf]]*sim.tbl[[#This Row],[Midale]]</f>
        <v>0</v>
      </c>
      <c r="AR57" s="5">
        <f>sim.tbl[[#This Row],[Sulf]]*sim.tbl[[#This Row],[Heavy_Sour]]</f>
        <v>0</v>
      </c>
      <c r="AS57" s="5">
        <f>sim.tbl[[#This Row],[Sulf]]*sim.tbl[[#This Row],[Heavy_SW]]</f>
        <v>0</v>
      </c>
      <c r="AT57" s="5">
        <f>sim.tbl[[#This Row],[Dens]]*sim.tbl[[#This Row],[C5]]</f>
        <v>0</v>
      </c>
      <c r="AU57" s="5">
        <f>sim.tbl[[#This Row],[Dens]]*sim.tbl[[#This Row],[Light_LSB]]</f>
        <v>0</v>
      </c>
      <c r="AV57" s="5">
        <f>sim.tbl[[#This Row],[Dens]]*sim.tbl[[#This Row],[Light_SW]]</f>
        <v>809.3</v>
      </c>
      <c r="AW57" s="5">
        <f>sim.tbl[[#This Row],[Dens]]*sim.tbl[[#This Row],[Medium_LSB]]</f>
        <v>0</v>
      </c>
      <c r="AX57" s="5">
        <f>sim.tbl[[#This Row],[Dens]]*sim.tbl[[#This Row],[Medium_SW]]</f>
        <v>0</v>
      </c>
      <c r="AY57" s="5">
        <f>sim.tbl[[#This Row],[Dens]]*sim.tbl[[#This Row],[Midale]]</f>
        <v>0</v>
      </c>
      <c r="AZ57" s="5">
        <f>sim.tbl[[#This Row],[Dens]]*sim.tbl[[#This Row],[Heavy_Sour]]</f>
        <v>0</v>
      </c>
      <c r="BA57" s="5">
        <f>sim.tbl[[#This Row],[Dens]]*sim.tbl[[#This Row],[Heavy_SW]]</f>
        <v>0</v>
      </c>
      <c r="BB57" s="5">
        <f>sim.tbl[[#This Row],[Temp.Roll]]*sim.tbl[[#This Row],[C5]]</f>
        <v>0</v>
      </c>
      <c r="BC57" s="5">
        <f>sim.tbl[[#This Row],[Temp.Roll]]*sim.tbl[[#This Row],[Light_LSB]]</f>
        <v>0</v>
      </c>
      <c r="BD57" s="5">
        <f>sim.tbl[[#This Row],[Temp.Roll]]*sim.tbl[[#This Row],[Light_SW]]</f>
        <v>3.4</v>
      </c>
      <c r="BE57" s="5">
        <f>sim.tbl[[#This Row],[Temp.Roll]]*sim.tbl[[#This Row],[Medium_LSB]]</f>
        <v>0</v>
      </c>
      <c r="BF57" s="5">
        <f>sim.tbl[[#This Row],[Temp.Roll]]*sim.tbl[[#This Row],[Medium_SW]]</f>
        <v>0</v>
      </c>
      <c r="BG57" s="5">
        <f>sim.tbl[[#This Row],[Temp.Roll]]*sim.tbl[[#This Row],[Midale]]</f>
        <v>0</v>
      </c>
      <c r="BH57" s="5">
        <f>sim.tbl[[#This Row],[Temp.Roll]]*sim.tbl[[#This Row],[Heavy_Sour]]</f>
        <v>0</v>
      </c>
      <c r="BI57" s="5">
        <f>sim.tbl[[#This Row],[Temp.Roll]]*sim.tbl[[#This Row],[Heavy_SW]]</f>
        <v>0</v>
      </c>
    </row>
    <row r="58" spans="4:61" x14ac:dyDescent="0.25">
      <c r="D58" s="5">
        <f ca="1">SUMPRODUCT($F$1:$BI$1,sim.tbl[[#This Row],[Intercept]:[Temp.Roll:Heavy_SW]])</f>
        <v>92.330966586167122</v>
      </c>
      <c r="E58" s="14">
        <f ca="1">DATE(YEAR(TODAY()),INDEX(mthLkUp.tbl[Num],MATCH(mth.input,mthLkUp.tbl[Month],0)),1)</f>
        <v>42795</v>
      </c>
      <c r="F58" s="6">
        <f>1</f>
        <v>1</v>
      </c>
      <c r="G58" s="5">
        <v>1.31</v>
      </c>
      <c r="H58" s="5">
        <v>817.4</v>
      </c>
      <c r="I58" s="5">
        <v>-4.016666667</v>
      </c>
      <c r="J58" s="5">
        <v>-4.7</v>
      </c>
      <c r="K58" s="5">
        <v>-5.0999999999999996</v>
      </c>
      <c r="L58" s="5">
        <v>-4.7</v>
      </c>
      <c r="M58" s="5">
        <v>-4.3</v>
      </c>
      <c r="N58" s="5">
        <v>-2</v>
      </c>
      <c r="O58" s="5">
        <v>-4.8</v>
      </c>
      <c r="P58" s="5">
        <v>-3.2</v>
      </c>
      <c r="Q58" s="6">
        <f>IF(sim.tbl[[#This Row],[Dens]]&lt;=770,1,0)</f>
        <v>0</v>
      </c>
      <c r="R58" s="6">
        <f>IF(AND(sim.tbl[[#This Row],[Sulf]]&gt;0.5,sim.tbl[[#This Row],[Dens]]&gt;770,sim.tbl[[#This Row],[Dens]]&lt;=825),1,0)</f>
        <v>1</v>
      </c>
      <c r="S58" s="6">
        <f>IF(AND(sim.tbl[[#This Row],[Sulf]]&lt;=0.5,sim.tbl[[#This Row],[Dens]]&gt;770,sim.tbl[[#This Row],[Dens]]&lt;=825),1,0)</f>
        <v>0</v>
      </c>
      <c r="T58" s="6">
        <f>IF(AND(sim.tbl[[#This Row],[Sulf]]&gt;0.5,sim.tbl[[#This Row],[Dens]]&gt;825,sim.tbl[[#This Row],[Dens]]&lt;=870),1,0)</f>
        <v>0</v>
      </c>
      <c r="U58" s="6">
        <f>IF(AND(sim.tbl[[#This Row],[Sulf]]&lt;0.5,sim.tbl[[#This Row],[Dens]]&gt;825,sim.tbl[[#This Row],[Dens]]&lt;=900),1,0)</f>
        <v>0</v>
      </c>
      <c r="V58" s="6">
        <f>IF(AND(sim.tbl[[#This Row],[Sulf]]&gt;0.5,sim.tbl[[#This Row],[Dens]]&gt;870,sim.tbl[[#This Row],[Dens]]&lt;=900),1,0)</f>
        <v>0</v>
      </c>
      <c r="W58" s="6">
        <f>IF(AND(sim.tbl[[#This Row],[Sulf]]&gt;0.5,sim.tbl[[#This Row],[Dens]]&gt;900),1,0)</f>
        <v>0</v>
      </c>
      <c r="X58" s="6">
        <f>IF(AND(sim.tbl[[#This Row],[Sulf]]&lt;=0.5,sim.tbl[[#This Row],[Dens]]&gt;900),1,0)</f>
        <v>0</v>
      </c>
      <c r="Y58" s="6">
        <f ca="1">IF(MONTH(sim.tbl[[#This Row],[SDate]])=INDEX(mthLkUp.tbl[Num],MATCH(Y$3,mthLkUp.tbl[Month],0)),1,0)</f>
        <v>0</v>
      </c>
      <c r="Z58" s="6">
        <f ca="1">IF(MONTH(sim.tbl[[#This Row],[SDate]])=INDEX(mthLkUp.tbl[Num],MATCH(Z$3,mthLkUp.tbl[Month],0)),1,0)</f>
        <v>0</v>
      </c>
      <c r="AA58" s="6">
        <f ca="1">IF(MONTH(sim.tbl[[#This Row],[SDate]])=INDEX(mthLkUp.tbl[Num],MATCH(AA$3,mthLkUp.tbl[Month],0)),1,0)</f>
        <v>1</v>
      </c>
      <c r="AB58" s="6">
        <f ca="1">IF(MONTH(sim.tbl[[#This Row],[SDate]])=INDEX(mthLkUp.tbl[Num],MATCH(AB$3,mthLkUp.tbl[Month],0)),1,0)</f>
        <v>0</v>
      </c>
      <c r="AC58" s="6">
        <f ca="1">IF(MONTH(sim.tbl[[#This Row],[SDate]])=INDEX(mthLkUp.tbl[Num],MATCH(AC$3,mthLkUp.tbl[Month],0)),1,0)</f>
        <v>0</v>
      </c>
      <c r="AD58" s="6">
        <f ca="1">IF(MONTH(sim.tbl[[#This Row],[SDate]])=INDEX(mthLkUp.tbl[Num],MATCH(AD$3,mthLkUp.tbl[Month],0)),1,0)</f>
        <v>0</v>
      </c>
      <c r="AE58" s="6">
        <f ca="1">IF(MONTH(sim.tbl[[#This Row],[SDate]])=INDEX(mthLkUp.tbl[Num],MATCH(AE$3,mthLkUp.tbl[Month],0)),1,0)</f>
        <v>0</v>
      </c>
      <c r="AF58" s="6">
        <f ca="1">IF(MONTH(sim.tbl[[#This Row],[SDate]])=INDEX(mthLkUp.tbl[Num],MATCH(AF$3,mthLkUp.tbl[Month],0)),1,0)</f>
        <v>0</v>
      </c>
      <c r="AG58" s="6">
        <f ca="1">IF(MONTH(sim.tbl[[#This Row],[SDate]])=INDEX(mthLkUp.tbl[Num],MATCH(AG$3,mthLkUp.tbl[Month],0)),1,0)</f>
        <v>0</v>
      </c>
      <c r="AH58" s="6">
        <f ca="1">IF(MONTH(sim.tbl[[#This Row],[SDate]])=INDEX(mthLkUp.tbl[Num],MATCH(AH$3,mthLkUp.tbl[Month],0)),1,0)</f>
        <v>0</v>
      </c>
      <c r="AI58" s="6">
        <f ca="1">IF(MONTH(sim.tbl[[#This Row],[SDate]])=INDEX(mthLkUp.tbl[Num],MATCH(AI$3,mthLkUp.tbl[Month],0)),1,0)</f>
        <v>0</v>
      </c>
      <c r="AJ58" s="6">
        <f ca="1">IF(MONTH(sim.tbl[[#This Row],[SDate]])=INDEX(mthLkUp.tbl[Num],MATCH(AJ$3,mthLkUp.tbl[Month],0)),1,0)</f>
        <v>0</v>
      </c>
      <c r="AK58" s="6">
        <v>1</v>
      </c>
      <c r="AL58" s="5">
        <f>sim.tbl[[#This Row],[Sulf]]*sim.tbl[[#This Row],[C5]]</f>
        <v>0</v>
      </c>
      <c r="AM58" s="5">
        <f>sim.tbl[[#This Row],[Sulf]]*sim.tbl[[#This Row],[Light_LSB]]</f>
        <v>1.31</v>
      </c>
      <c r="AN58" s="5">
        <f>sim.tbl[[#This Row],[Sulf]]*sim.tbl[[#This Row],[Light_SW]]</f>
        <v>0</v>
      </c>
      <c r="AO58" s="5">
        <f>sim.tbl[[#This Row],[Sulf]]*sim.tbl[[#This Row],[Medium_LSB]]</f>
        <v>0</v>
      </c>
      <c r="AP58" s="5">
        <f>sim.tbl[[#This Row],[Sulf]]*sim.tbl[[#This Row],[Medium_SW]]</f>
        <v>0</v>
      </c>
      <c r="AQ58" s="5">
        <f>sim.tbl[[#This Row],[Sulf]]*sim.tbl[[#This Row],[Midale]]</f>
        <v>0</v>
      </c>
      <c r="AR58" s="5">
        <f>sim.tbl[[#This Row],[Sulf]]*sim.tbl[[#This Row],[Heavy_Sour]]</f>
        <v>0</v>
      </c>
      <c r="AS58" s="5">
        <f>sim.tbl[[#This Row],[Sulf]]*sim.tbl[[#This Row],[Heavy_SW]]</f>
        <v>0</v>
      </c>
      <c r="AT58" s="5">
        <f>sim.tbl[[#This Row],[Dens]]*sim.tbl[[#This Row],[C5]]</f>
        <v>0</v>
      </c>
      <c r="AU58" s="5">
        <f>sim.tbl[[#This Row],[Dens]]*sim.tbl[[#This Row],[Light_LSB]]</f>
        <v>817.4</v>
      </c>
      <c r="AV58" s="5">
        <f>sim.tbl[[#This Row],[Dens]]*sim.tbl[[#This Row],[Light_SW]]</f>
        <v>0</v>
      </c>
      <c r="AW58" s="5">
        <f>sim.tbl[[#This Row],[Dens]]*sim.tbl[[#This Row],[Medium_LSB]]</f>
        <v>0</v>
      </c>
      <c r="AX58" s="5">
        <f>sim.tbl[[#This Row],[Dens]]*sim.tbl[[#This Row],[Medium_SW]]</f>
        <v>0</v>
      </c>
      <c r="AY58" s="5">
        <f>sim.tbl[[#This Row],[Dens]]*sim.tbl[[#This Row],[Midale]]</f>
        <v>0</v>
      </c>
      <c r="AZ58" s="5">
        <f>sim.tbl[[#This Row],[Dens]]*sim.tbl[[#This Row],[Heavy_Sour]]</f>
        <v>0</v>
      </c>
      <c r="BA58" s="5">
        <f>sim.tbl[[#This Row],[Dens]]*sim.tbl[[#This Row],[Heavy_SW]]</f>
        <v>0</v>
      </c>
      <c r="BB58" s="5">
        <f>sim.tbl[[#This Row],[Temp.Roll]]*sim.tbl[[#This Row],[C5]]</f>
        <v>0</v>
      </c>
      <c r="BC58" s="5">
        <f>sim.tbl[[#This Row],[Temp.Roll]]*sim.tbl[[#This Row],[Light_LSB]]</f>
        <v>-4.7</v>
      </c>
      <c r="BD58" s="5">
        <f>sim.tbl[[#This Row],[Temp.Roll]]*sim.tbl[[#This Row],[Light_SW]]</f>
        <v>0</v>
      </c>
      <c r="BE58" s="5">
        <f>sim.tbl[[#This Row],[Temp.Roll]]*sim.tbl[[#This Row],[Medium_LSB]]</f>
        <v>0</v>
      </c>
      <c r="BF58" s="5">
        <f>sim.tbl[[#This Row],[Temp.Roll]]*sim.tbl[[#This Row],[Medium_SW]]</f>
        <v>0</v>
      </c>
      <c r="BG58" s="5">
        <f>sim.tbl[[#This Row],[Temp.Roll]]*sim.tbl[[#This Row],[Midale]]</f>
        <v>0</v>
      </c>
      <c r="BH58" s="5">
        <f>sim.tbl[[#This Row],[Temp.Roll]]*sim.tbl[[#This Row],[Heavy_Sour]]</f>
        <v>0</v>
      </c>
      <c r="BI58" s="5">
        <f>sim.tbl[[#This Row],[Temp.Roll]]*sim.tbl[[#This Row],[Heavy_SW]]</f>
        <v>0</v>
      </c>
    </row>
    <row r="59" spans="4:61" x14ac:dyDescent="0.25">
      <c r="D59" s="5">
        <f ca="1">SUMPRODUCT($F$1:$BI$1,sim.tbl[[#This Row],[Intercept]:[Temp.Roll:Heavy_SW]])</f>
        <v>78.28519165395673</v>
      </c>
      <c r="E59" s="14">
        <f ca="1">DATE(YEAR(TODAY()),INDEX(mthLkUp.tbl[Num],MATCH(mth.input,mthLkUp.tbl[Month],0)),1)</f>
        <v>42795</v>
      </c>
      <c r="F59" s="6">
        <f>1</f>
        <v>1</v>
      </c>
      <c r="G59" s="5">
        <v>1.62</v>
      </c>
      <c r="H59" s="5">
        <v>830.2</v>
      </c>
      <c r="I59" s="5">
        <v>10.483333330000001</v>
      </c>
      <c r="J59" s="5">
        <v>9.8000000000000007</v>
      </c>
      <c r="K59" s="5">
        <v>10.4</v>
      </c>
      <c r="L59" s="5">
        <v>9.8000000000000007</v>
      </c>
      <c r="M59" s="5">
        <v>10</v>
      </c>
      <c r="N59" s="5">
        <v>10.5</v>
      </c>
      <c r="O59" s="5">
        <v>12.9</v>
      </c>
      <c r="P59" s="5">
        <v>9.3000000000000007</v>
      </c>
      <c r="Q59" s="6">
        <f>IF(sim.tbl[[#This Row],[Dens]]&lt;=770,1,0)</f>
        <v>0</v>
      </c>
      <c r="R59" s="6">
        <f>IF(AND(sim.tbl[[#This Row],[Sulf]]&gt;0.5,sim.tbl[[#This Row],[Dens]]&gt;770,sim.tbl[[#This Row],[Dens]]&lt;=825),1,0)</f>
        <v>0</v>
      </c>
      <c r="S59" s="6">
        <f>IF(AND(sim.tbl[[#This Row],[Sulf]]&lt;=0.5,sim.tbl[[#This Row],[Dens]]&gt;770,sim.tbl[[#This Row],[Dens]]&lt;=825),1,0)</f>
        <v>0</v>
      </c>
      <c r="T59" s="6">
        <f>IF(AND(sim.tbl[[#This Row],[Sulf]]&gt;0.5,sim.tbl[[#This Row],[Dens]]&gt;825,sim.tbl[[#This Row],[Dens]]&lt;=870),1,0)</f>
        <v>1</v>
      </c>
      <c r="U59" s="6">
        <f>IF(AND(sim.tbl[[#This Row],[Sulf]]&lt;0.5,sim.tbl[[#This Row],[Dens]]&gt;825,sim.tbl[[#This Row],[Dens]]&lt;=900),1,0)</f>
        <v>0</v>
      </c>
      <c r="V59" s="6">
        <f>IF(AND(sim.tbl[[#This Row],[Sulf]]&gt;0.5,sim.tbl[[#This Row],[Dens]]&gt;870,sim.tbl[[#This Row],[Dens]]&lt;=900),1,0)</f>
        <v>0</v>
      </c>
      <c r="W59" s="6">
        <f>IF(AND(sim.tbl[[#This Row],[Sulf]]&gt;0.5,sim.tbl[[#This Row],[Dens]]&gt;900),1,0)</f>
        <v>0</v>
      </c>
      <c r="X59" s="6">
        <f>IF(AND(sim.tbl[[#This Row],[Sulf]]&lt;=0.5,sim.tbl[[#This Row],[Dens]]&gt;900),1,0)</f>
        <v>0</v>
      </c>
      <c r="Y59" s="6">
        <f ca="1">IF(MONTH(sim.tbl[[#This Row],[SDate]])=INDEX(mthLkUp.tbl[Num],MATCH(Y$3,mthLkUp.tbl[Month],0)),1,0)</f>
        <v>0</v>
      </c>
      <c r="Z59" s="6">
        <f ca="1">IF(MONTH(sim.tbl[[#This Row],[SDate]])=INDEX(mthLkUp.tbl[Num],MATCH(Z$3,mthLkUp.tbl[Month],0)),1,0)</f>
        <v>0</v>
      </c>
      <c r="AA59" s="6">
        <f ca="1">IF(MONTH(sim.tbl[[#This Row],[SDate]])=INDEX(mthLkUp.tbl[Num],MATCH(AA$3,mthLkUp.tbl[Month],0)),1,0)</f>
        <v>1</v>
      </c>
      <c r="AB59" s="6">
        <f ca="1">IF(MONTH(sim.tbl[[#This Row],[SDate]])=INDEX(mthLkUp.tbl[Num],MATCH(AB$3,mthLkUp.tbl[Month],0)),1,0)</f>
        <v>0</v>
      </c>
      <c r="AC59" s="6">
        <f ca="1">IF(MONTH(sim.tbl[[#This Row],[SDate]])=INDEX(mthLkUp.tbl[Num],MATCH(AC$3,mthLkUp.tbl[Month],0)),1,0)</f>
        <v>0</v>
      </c>
      <c r="AD59" s="6">
        <f ca="1">IF(MONTH(sim.tbl[[#This Row],[SDate]])=INDEX(mthLkUp.tbl[Num],MATCH(AD$3,mthLkUp.tbl[Month],0)),1,0)</f>
        <v>0</v>
      </c>
      <c r="AE59" s="6">
        <f ca="1">IF(MONTH(sim.tbl[[#This Row],[SDate]])=INDEX(mthLkUp.tbl[Num],MATCH(AE$3,mthLkUp.tbl[Month],0)),1,0)</f>
        <v>0</v>
      </c>
      <c r="AF59" s="6">
        <f ca="1">IF(MONTH(sim.tbl[[#This Row],[SDate]])=INDEX(mthLkUp.tbl[Num],MATCH(AF$3,mthLkUp.tbl[Month],0)),1,0)</f>
        <v>0</v>
      </c>
      <c r="AG59" s="6">
        <f ca="1">IF(MONTH(sim.tbl[[#This Row],[SDate]])=INDEX(mthLkUp.tbl[Num],MATCH(AG$3,mthLkUp.tbl[Month],0)),1,0)</f>
        <v>0</v>
      </c>
      <c r="AH59" s="6">
        <f ca="1">IF(MONTH(sim.tbl[[#This Row],[SDate]])=INDEX(mthLkUp.tbl[Num],MATCH(AH$3,mthLkUp.tbl[Month],0)),1,0)</f>
        <v>0</v>
      </c>
      <c r="AI59" s="6">
        <f ca="1">IF(MONTH(sim.tbl[[#This Row],[SDate]])=INDEX(mthLkUp.tbl[Num],MATCH(AI$3,mthLkUp.tbl[Month],0)),1,0)</f>
        <v>0</v>
      </c>
      <c r="AJ59" s="6">
        <f ca="1">IF(MONTH(sim.tbl[[#This Row],[SDate]])=INDEX(mthLkUp.tbl[Num],MATCH(AJ$3,mthLkUp.tbl[Month],0)),1,0)</f>
        <v>0</v>
      </c>
      <c r="AK59" s="6">
        <v>1</v>
      </c>
      <c r="AL59" s="5">
        <f>sim.tbl[[#This Row],[Sulf]]*sim.tbl[[#This Row],[C5]]</f>
        <v>0</v>
      </c>
      <c r="AM59" s="5">
        <f>sim.tbl[[#This Row],[Sulf]]*sim.tbl[[#This Row],[Light_LSB]]</f>
        <v>0</v>
      </c>
      <c r="AN59" s="5">
        <f>sim.tbl[[#This Row],[Sulf]]*sim.tbl[[#This Row],[Light_SW]]</f>
        <v>0</v>
      </c>
      <c r="AO59" s="5">
        <f>sim.tbl[[#This Row],[Sulf]]*sim.tbl[[#This Row],[Medium_LSB]]</f>
        <v>1.62</v>
      </c>
      <c r="AP59" s="5">
        <f>sim.tbl[[#This Row],[Sulf]]*sim.tbl[[#This Row],[Medium_SW]]</f>
        <v>0</v>
      </c>
      <c r="AQ59" s="5">
        <f>sim.tbl[[#This Row],[Sulf]]*sim.tbl[[#This Row],[Midale]]</f>
        <v>0</v>
      </c>
      <c r="AR59" s="5">
        <f>sim.tbl[[#This Row],[Sulf]]*sim.tbl[[#This Row],[Heavy_Sour]]</f>
        <v>0</v>
      </c>
      <c r="AS59" s="5">
        <f>sim.tbl[[#This Row],[Sulf]]*sim.tbl[[#This Row],[Heavy_SW]]</f>
        <v>0</v>
      </c>
      <c r="AT59" s="5">
        <f>sim.tbl[[#This Row],[Dens]]*sim.tbl[[#This Row],[C5]]</f>
        <v>0</v>
      </c>
      <c r="AU59" s="5">
        <f>sim.tbl[[#This Row],[Dens]]*sim.tbl[[#This Row],[Light_LSB]]</f>
        <v>0</v>
      </c>
      <c r="AV59" s="5">
        <f>sim.tbl[[#This Row],[Dens]]*sim.tbl[[#This Row],[Light_SW]]</f>
        <v>0</v>
      </c>
      <c r="AW59" s="5">
        <f>sim.tbl[[#This Row],[Dens]]*sim.tbl[[#This Row],[Medium_LSB]]</f>
        <v>830.2</v>
      </c>
      <c r="AX59" s="5">
        <f>sim.tbl[[#This Row],[Dens]]*sim.tbl[[#This Row],[Medium_SW]]</f>
        <v>0</v>
      </c>
      <c r="AY59" s="5">
        <f>sim.tbl[[#This Row],[Dens]]*sim.tbl[[#This Row],[Midale]]</f>
        <v>0</v>
      </c>
      <c r="AZ59" s="5">
        <f>sim.tbl[[#This Row],[Dens]]*sim.tbl[[#This Row],[Heavy_Sour]]</f>
        <v>0</v>
      </c>
      <c r="BA59" s="5">
        <f>sim.tbl[[#This Row],[Dens]]*sim.tbl[[#This Row],[Heavy_SW]]</f>
        <v>0</v>
      </c>
      <c r="BB59" s="5">
        <f>sim.tbl[[#This Row],[Temp.Roll]]*sim.tbl[[#This Row],[C5]]</f>
        <v>0</v>
      </c>
      <c r="BC59" s="5">
        <f>sim.tbl[[#This Row],[Temp.Roll]]*sim.tbl[[#This Row],[Light_LSB]]</f>
        <v>0</v>
      </c>
      <c r="BD59" s="5">
        <f>sim.tbl[[#This Row],[Temp.Roll]]*sim.tbl[[#This Row],[Light_SW]]</f>
        <v>0</v>
      </c>
      <c r="BE59" s="5">
        <f>sim.tbl[[#This Row],[Temp.Roll]]*sim.tbl[[#This Row],[Medium_LSB]]</f>
        <v>9.8000000000000007</v>
      </c>
      <c r="BF59" s="5">
        <f>sim.tbl[[#This Row],[Temp.Roll]]*sim.tbl[[#This Row],[Medium_SW]]</f>
        <v>0</v>
      </c>
      <c r="BG59" s="5">
        <f>sim.tbl[[#This Row],[Temp.Roll]]*sim.tbl[[#This Row],[Midale]]</f>
        <v>0</v>
      </c>
      <c r="BH59" s="5">
        <f>sim.tbl[[#This Row],[Temp.Roll]]*sim.tbl[[#This Row],[Heavy_Sour]]</f>
        <v>0</v>
      </c>
      <c r="BI59" s="5">
        <f>sim.tbl[[#This Row],[Temp.Roll]]*sim.tbl[[#This Row],[Heavy_SW]]</f>
        <v>0</v>
      </c>
    </row>
    <row r="60" spans="4:61" x14ac:dyDescent="0.25">
      <c r="D60" s="5">
        <f ca="1">SUMPRODUCT($F$1:$BI$1,sim.tbl[[#This Row],[Intercept]:[Temp.Roll:Heavy_SW]])</f>
        <v>77.919803297859545</v>
      </c>
      <c r="E60" s="14">
        <f ca="1">DATE(YEAR(TODAY()),INDEX(mthLkUp.tbl[Num],MATCH(mth.input,mthLkUp.tbl[Month],0)),1)</f>
        <v>42795</v>
      </c>
      <c r="F60" s="6">
        <f>1</f>
        <v>1</v>
      </c>
      <c r="G60" s="5">
        <v>1.1399999999999999</v>
      </c>
      <c r="H60" s="5">
        <v>845.1</v>
      </c>
      <c r="I60" s="5">
        <v>-1.38</v>
      </c>
      <c r="J60" s="5">
        <v>-1.6</v>
      </c>
      <c r="K60" s="5">
        <v>-1.3</v>
      </c>
      <c r="L60" s="5">
        <v>-1.6</v>
      </c>
      <c r="M60" s="5">
        <v>2.8</v>
      </c>
      <c r="N60" s="5">
        <v>-1.8</v>
      </c>
      <c r="O60" s="5">
        <v>-2.5</v>
      </c>
      <c r="P60" s="5">
        <v>0.3</v>
      </c>
      <c r="Q60" s="6">
        <f>IF(sim.tbl[[#This Row],[Dens]]&lt;=770,1,0)</f>
        <v>0</v>
      </c>
      <c r="R60" s="6">
        <f>IF(AND(sim.tbl[[#This Row],[Sulf]]&gt;0.5,sim.tbl[[#This Row],[Dens]]&gt;770,sim.tbl[[#This Row],[Dens]]&lt;=825),1,0)</f>
        <v>0</v>
      </c>
      <c r="S60" s="6">
        <f>IF(AND(sim.tbl[[#This Row],[Sulf]]&lt;=0.5,sim.tbl[[#This Row],[Dens]]&gt;770,sim.tbl[[#This Row],[Dens]]&lt;=825),1,0)</f>
        <v>0</v>
      </c>
      <c r="T60" s="6">
        <f>IF(AND(sim.tbl[[#This Row],[Sulf]]&gt;0.5,sim.tbl[[#This Row],[Dens]]&gt;825,sim.tbl[[#This Row],[Dens]]&lt;=870),1,0)</f>
        <v>1</v>
      </c>
      <c r="U60" s="6">
        <f>IF(AND(sim.tbl[[#This Row],[Sulf]]&lt;0.5,sim.tbl[[#This Row],[Dens]]&gt;825,sim.tbl[[#This Row],[Dens]]&lt;=900),1,0)</f>
        <v>0</v>
      </c>
      <c r="V60" s="6">
        <f>IF(AND(sim.tbl[[#This Row],[Sulf]]&gt;0.5,sim.tbl[[#This Row],[Dens]]&gt;870,sim.tbl[[#This Row],[Dens]]&lt;=900),1,0)</f>
        <v>0</v>
      </c>
      <c r="W60" s="6">
        <f>IF(AND(sim.tbl[[#This Row],[Sulf]]&gt;0.5,sim.tbl[[#This Row],[Dens]]&gt;900),1,0)</f>
        <v>0</v>
      </c>
      <c r="X60" s="6">
        <f>IF(AND(sim.tbl[[#This Row],[Sulf]]&lt;=0.5,sim.tbl[[#This Row],[Dens]]&gt;900),1,0)</f>
        <v>0</v>
      </c>
      <c r="Y60" s="6">
        <f ca="1">IF(MONTH(sim.tbl[[#This Row],[SDate]])=INDEX(mthLkUp.tbl[Num],MATCH(Y$3,mthLkUp.tbl[Month],0)),1,0)</f>
        <v>0</v>
      </c>
      <c r="Z60" s="6">
        <f ca="1">IF(MONTH(sim.tbl[[#This Row],[SDate]])=INDEX(mthLkUp.tbl[Num],MATCH(Z$3,mthLkUp.tbl[Month],0)),1,0)</f>
        <v>0</v>
      </c>
      <c r="AA60" s="6">
        <f ca="1">IF(MONTH(sim.tbl[[#This Row],[SDate]])=INDEX(mthLkUp.tbl[Num],MATCH(AA$3,mthLkUp.tbl[Month],0)),1,0)</f>
        <v>1</v>
      </c>
      <c r="AB60" s="6">
        <f ca="1">IF(MONTH(sim.tbl[[#This Row],[SDate]])=INDEX(mthLkUp.tbl[Num],MATCH(AB$3,mthLkUp.tbl[Month],0)),1,0)</f>
        <v>0</v>
      </c>
      <c r="AC60" s="6">
        <f ca="1">IF(MONTH(sim.tbl[[#This Row],[SDate]])=INDEX(mthLkUp.tbl[Num],MATCH(AC$3,mthLkUp.tbl[Month],0)),1,0)</f>
        <v>0</v>
      </c>
      <c r="AD60" s="6">
        <f ca="1">IF(MONTH(sim.tbl[[#This Row],[SDate]])=INDEX(mthLkUp.tbl[Num],MATCH(AD$3,mthLkUp.tbl[Month],0)),1,0)</f>
        <v>0</v>
      </c>
      <c r="AE60" s="6">
        <f ca="1">IF(MONTH(sim.tbl[[#This Row],[SDate]])=INDEX(mthLkUp.tbl[Num],MATCH(AE$3,mthLkUp.tbl[Month],0)),1,0)</f>
        <v>0</v>
      </c>
      <c r="AF60" s="6">
        <f ca="1">IF(MONTH(sim.tbl[[#This Row],[SDate]])=INDEX(mthLkUp.tbl[Num],MATCH(AF$3,mthLkUp.tbl[Month],0)),1,0)</f>
        <v>0</v>
      </c>
      <c r="AG60" s="6">
        <f ca="1">IF(MONTH(sim.tbl[[#This Row],[SDate]])=INDEX(mthLkUp.tbl[Num],MATCH(AG$3,mthLkUp.tbl[Month],0)),1,0)</f>
        <v>0</v>
      </c>
      <c r="AH60" s="6">
        <f ca="1">IF(MONTH(sim.tbl[[#This Row],[SDate]])=INDEX(mthLkUp.tbl[Num],MATCH(AH$3,mthLkUp.tbl[Month],0)),1,0)</f>
        <v>0</v>
      </c>
      <c r="AI60" s="6">
        <f ca="1">IF(MONTH(sim.tbl[[#This Row],[SDate]])=INDEX(mthLkUp.tbl[Num],MATCH(AI$3,mthLkUp.tbl[Month],0)),1,0)</f>
        <v>0</v>
      </c>
      <c r="AJ60" s="6">
        <f ca="1">IF(MONTH(sim.tbl[[#This Row],[SDate]])=INDEX(mthLkUp.tbl[Num],MATCH(AJ$3,mthLkUp.tbl[Month],0)),1,0)</f>
        <v>0</v>
      </c>
      <c r="AK60" s="6">
        <v>1</v>
      </c>
      <c r="AL60" s="5">
        <f>sim.tbl[[#This Row],[Sulf]]*sim.tbl[[#This Row],[C5]]</f>
        <v>0</v>
      </c>
      <c r="AM60" s="5">
        <f>sim.tbl[[#This Row],[Sulf]]*sim.tbl[[#This Row],[Light_LSB]]</f>
        <v>0</v>
      </c>
      <c r="AN60" s="5">
        <f>sim.tbl[[#This Row],[Sulf]]*sim.tbl[[#This Row],[Light_SW]]</f>
        <v>0</v>
      </c>
      <c r="AO60" s="5">
        <f>sim.tbl[[#This Row],[Sulf]]*sim.tbl[[#This Row],[Medium_LSB]]</f>
        <v>1.1399999999999999</v>
      </c>
      <c r="AP60" s="5">
        <f>sim.tbl[[#This Row],[Sulf]]*sim.tbl[[#This Row],[Medium_SW]]</f>
        <v>0</v>
      </c>
      <c r="AQ60" s="5">
        <f>sim.tbl[[#This Row],[Sulf]]*sim.tbl[[#This Row],[Midale]]</f>
        <v>0</v>
      </c>
      <c r="AR60" s="5">
        <f>sim.tbl[[#This Row],[Sulf]]*sim.tbl[[#This Row],[Heavy_Sour]]</f>
        <v>0</v>
      </c>
      <c r="AS60" s="5">
        <f>sim.tbl[[#This Row],[Sulf]]*sim.tbl[[#This Row],[Heavy_SW]]</f>
        <v>0</v>
      </c>
      <c r="AT60" s="5">
        <f>sim.tbl[[#This Row],[Dens]]*sim.tbl[[#This Row],[C5]]</f>
        <v>0</v>
      </c>
      <c r="AU60" s="5">
        <f>sim.tbl[[#This Row],[Dens]]*sim.tbl[[#This Row],[Light_LSB]]</f>
        <v>0</v>
      </c>
      <c r="AV60" s="5">
        <f>sim.tbl[[#This Row],[Dens]]*sim.tbl[[#This Row],[Light_SW]]</f>
        <v>0</v>
      </c>
      <c r="AW60" s="5">
        <f>sim.tbl[[#This Row],[Dens]]*sim.tbl[[#This Row],[Medium_LSB]]</f>
        <v>845.1</v>
      </c>
      <c r="AX60" s="5">
        <f>sim.tbl[[#This Row],[Dens]]*sim.tbl[[#This Row],[Medium_SW]]</f>
        <v>0</v>
      </c>
      <c r="AY60" s="5">
        <f>sim.tbl[[#This Row],[Dens]]*sim.tbl[[#This Row],[Midale]]</f>
        <v>0</v>
      </c>
      <c r="AZ60" s="5">
        <f>sim.tbl[[#This Row],[Dens]]*sim.tbl[[#This Row],[Heavy_Sour]]</f>
        <v>0</v>
      </c>
      <c r="BA60" s="5">
        <f>sim.tbl[[#This Row],[Dens]]*sim.tbl[[#This Row],[Heavy_SW]]</f>
        <v>0</v>
      </c>
      <c r="BB60" s="5">
        <f>sim.tbl[[#This Row],[Temp.Roll]]*sim.tbl[[#This Row],[C5]]</f>
        <v>0</v>
      </c>
      <c r="BC60" s="5">
        <f>sim.tbl[[#This Row],[Temp.Roll]]*sim.tbl[[#This Row],[Light_LSB]]</f>
        <v>0</v>
      </c>
      <c r="BD60" s="5">
        <f>sim.tbl[[#This Row],[Temp.Roll]]*sim.tbl[[#This Row],[Light_SW]]</f>
        <v>0</v>
      </c>
      <c r="BE60" s="5">
        <f>sim.tbl[[#This Row],[Temp.Roll]]*sim.tbl[[#This Row],[Medium_LSB]]</f>
        <v>-1.6</v>
      </c>
      <c r="BF60" s="5">
        <f>sim.tbl[[#This Row],[Temp.Roll]]*sim.tbl[[#This Row],[Medium_SW]]</f>
        <v>0</v>
      </c>
      <c r="BG60" s="5">
        <f>sim.tbl[[#This Row],[Temp.Roll]]*sim.tbl[[#This Row],[Midale]]</f>
        <v>0</v>
      </c>
      <c r="BH60" s="5">
        <f>sim.tbl[[#This Row],[Temp.Roll]]*sim.tbl[[#This Row],[Heavy_Sour]]</f>
        <v>0</v>
      </c>
      <c r="BI60" s="5">
        <f>sim.tbl[[#This Row],[Temp.Roll]]*sim.tbl[[#This Row],[Heavy_SW]]</f>
        <v>0</v>
      </c>
    </row>
    <row r="61" spans="4:61" x14ac:dyDescent="0.25">
      <c r="D61" s="5">
        <f ca="1">SUMPRODUCT($F$1:$BI$1,sim.tbl[[#This Row],[Intercept]:[Temp.Roll:Heavy_SW]])</f>
        <v>84.088006705841991</v>
      </c>
      <c r="E61" s="14">
        <f ca="1">DATE(YEAR(TODAY()),INDEX(mthLkUp.tbl[Num],MATCH(mth.input,mthLkUp.tbl[Month],0)),1)</f>
        <v>42795</v>
      </c>
      <c r="F61" s="6">
        <f>1</f>
        <v>1</v>
      </c>
      <c r="G61" s="5">
        <v>1.1399999999999999</v>
      </c>
      <c r="H61" s="5">
        <v>829.8</v>
      </c>
      <c r="I61" s="5">
        <v>-5.6666666670000003</v>
      </c>
      <c r="J61" s="5">
        <v>-6</v>
      </c>
      <c r="K61" s="5">
        <v>-5.5</v>
      </c>
      <c r="L61" s="5">
        <v>-6</v>
      </c>
      <c r="M61" s="5">
        <v>-5.5</v>
      </c>
      <c r="N61" s="5">
        <v>-5.5</v>
      </c>
      <c r="O61" s="5">
        <v>-5.3</v>
      </c>
      <c r="P61" s="5">
        <v>-6.2</v>
      </c>
      <c r="Q61" s="6">
        <f>IF(sim.tbl[[#This Row],[Dens]]&lt;=770,1,0)</f>
        <v>0</v>
      </c>
      <c r="R61" s="6">
        <f>IF(AND(sim.tbl[[#This Row],[Sulf]]&gt;0.5,sim.tbl[[#This Row],[Dens]]&gt;770,sim.tbl[[#This Row],[Dens]]&lt;=825),1,0)</f>
        <v>0</v>
      </c>
      <c r="S61" s="6">
        <f>IF(AND(sim.tbl[[#This Row],[Sulf]]&lt;=0.5,sim.tbl[[#This Row],[Dens]]&gt;770,sim.tbl[[#This Row],[Dens]]&lt;=825),1,0)</f>
        <v>0</v>
      </c>
      <c r="T61" s="6">
        <f>IF(AND(sim.tbl[[#This Row],[Sulf]]&gt;0.5,sim.tbl[[#This Row],[Dens]]&gt;825,sim.tbl[[#This Row],[Dens]]&lt;=870),1,0)</f>
        <v>1</v>
      </c>
      <c r="U61" s="6">
        <f>IF(AND(sim.tbl[[#This Row],[Sulf]]&lt;0.5,sim.tbl[[#This Row],[Dens]]&gt;825,sim.tbl[[#This Row],[Dens]]&lt;=900),1,0)</f>
        <v>0</v>
      </c>
      <c r="V61" s="6">
        <f>IF(AND(sim.tbl[[#This Row],[Sulf]]&gt;0.5,sim.tbl[[#This Row],[Dens]]&gt;870,sim.tbl[[#This Row],[Dens]]&lt;=900),1,0)</f>
        <v>0</v>
      </c>
      <c r="W61" s="6">
        <f>IF(AND(sim.tbl[[#This Row],[Sulf]]&gt;0.5,sim.tbl[[#This Row],[Dens]]&gt;900),1,0)</f>
        <v>0</v>
      </c>
      <c r="X61" s="6">
        <f>IF(AND(sim.tbl[[#This Row],[Sulf]]&lt;=0.5,sim.tbl[[#This Row],[Dens]]&gt;900),1,0)</f>
        <v>0</v>
      </c>
      <c r="Y61" s="6">
        <f ca="1">IF(MONTH(sim.tbl[[#This Row],[SDate]])=INDEX(mthLkUp.tbl[Num],MATCH(Y$3,mthLkUp.tbl[Month],0)),1,0)</f>
        <v>0</v>
      </c>
      <c r="Z61" s="6">
        <f ca="1">IF(MONTH(sim.tbl[[#This Row],[SDate]])=INDEX(mthLkUp.tbl[Num],MATCH(Z$3,mthLkUp.tbl[Month],0)),1,0)</f>
        <v>0</v>
      </c>
      <c r="AA61" s="6">
        <f ca="1">IF(MONTH(sim.tbl[[#This Row],[SDate]])=INDEX(mthLkUp.tbl[Num],MATCH(AA$3,mthLkUp.tbl[Month],0)),1,0)</f>
        <v>1</v>
      </c>
      <c r="AB61" s="6">
        <f ca="1">IF(MONTH(sim.tbl[[#This Row],[SDate]])=INDEX(mthLkUp.tbl[Num],MATCH(AB$3,mthLkUp.tbl[Month],0)),1,0)</f>
        <v>0</v>
      </c>
      <c r="AC61" s="6">
        <f ca="1">IF(MONTH(sim.tbl[[#This Row],[SDate]])=INDEX(mthLkUp.tbl[Num],MATCH(AC$3,mthLkUp.tbl[Month],0)),1,0)</f>
        <v>0</v>
      </c>
      <c r="AD61" s="6">
        <f ca="1">IF(MONTH(sim.tbl[[#This Row],[SDate]])=INDEX(mthLkUp.tbl[Num],MATCH(AD$3,mthLkUp.tbl[Month],0)),1,0)</f>
        <v>0</v>
      </c>
      <c r="AE61" s="6">
        <f ca="1">IF(MONTH(sim.tbl[[#This Row],[SDate]])=INDEX(mthLkUp.tbl[Num],MATCH(AE$3,mthLkUp.tbl[Month],0)),1,0)</f>
        <v>0</v>
      </c>
      <c r="AF61" s="6">
        <f ca="1">IF(MONTH(sim.tbl[[#This Row],[SDate]])=INDEX(mthLkUp.tbl[Num],MATCH(AF$3,mthLkUp.tbl[Month],0)),1,0)</f>
        <v>0</v>
      </c>
      <c r="AG61" s="6">
        <f ca="1">IF(MONTH(sim.tbl[[#This Row],[SDate]])=INDEX(mthLkUp.tbl[Num],MATCH(AG$3,mthLkUp.tbl[Month],0)),1,0)</f>
        <v>0</v>
      </c>
      <c r="AH61" s="6">
        <f ca="1">IF(MONTH(sim.tbl[[#This Row],[SDate]])=INDEX(mthLkUp.tbl[Num],MATCH(AH$3,mthLkUp.tbl[Month],0)),1,0)</f>
        <v>0</v>
      </c>
      <c r="AI61" s="6">
        <f ca="1">IF(MONTH(sim.tbl[[#This Row],[SDate]])=INDEX(mthLkUp.tbl[Num],MATCH(AI$3,mthLkUp.tbl[Month],0)),1,0)</f>
        <v>0</v>
      </c>
      <c r="AJ61" s="6">
        <f ca="1">IF(MONTH(sim.tbl[[#This Row],[SDate]])=INDEX(mthLkUp.tbl[Num],MATCH(AJ$3,mthLkUp.tbl[Month],0)),1,0)</f>
        <v>0</v>
      </c>
      <c r="AK61" s="6">
        <v>1</v>
      </c>
      <c r="AL61" s="5">
        <f>sim.tbl[[#This Row],[Sulf]]*sim.tbl[[#This Row],[C5]]</f>
        <v>0</v>
      </c>
      <c r="AM61" s="5">
        <f>sim.tbl[[#This Row],[Sulf]]*sim.tbl[[#This Row],[Light_LSB]]</f>
        <v>0</v>
      </c>
      <c r="AN61" s="5">
        <f>sim.tbl[[#This Row],[Sulf]]*sim.tbl[[#This Row],[Light_SW]]</f>
        <v>0</v>
      </c>
      <c r="AO61" s="5">
        <f>sim.tbl[[#This Row],[Sulf]]*sim.tbl[[#This Row],[Medium_LSB]]</f>
        <v>1.1399999999999999</v>
      </c>
      <c r="AP61" s="5">
        <f>sim.tbl[[#This Row],[Sulf]]*sim.tbl[[#This Row],[Medium_SW]]</f>
        <v>0</v>
      </c>
      <c r="AQ61" s="5">
        <f>sim.tbl[[#This Row],[Sulf]]*sim.tbl[[#This Row],[Midale]]</f>
        <v>0</v>
      </c>
      <c r="AR61" s="5">
        <f>sim.tbl[[#This Row],[Sulf]]*sim.tbl[[#This Row],[Heavy_Sour]]</f>
        <v>0</v>
      </c>
      <c r="AS61" s="5">
        <f>sim.tbl[[#This Row],[Sulf]]*sim.tbl[[#This Row],[Heavy_SW]]</f>
        <v>0</v>
      </c>
      <c r="AT61" s="5">
        <f>sim.tbl[[#This Row],[Dens]]*sim.tbl[[#This Row],[C5]]</f>
        <v>0</v>
      </c>
      <c r="AU61" s="5">
        <f>sim.tbl[[#This Row],[Dens]]*sim.tbl[[#This Row],[Light_LSB]]</f>
        <v>0</v>
      </c>
      <c r="AV61" s="5">
        <f>sim.tbl[[#This Row],[Dens]]*sim.tbl[[#This Row],[Light_SW]]</f>
        <v>0</v>
      </c>
      <c r="AW61" s="5">
        <f>sim.tbl[[#This Row],[Dens]]*sim.tbl[[#This Row],[Medium_LSB]]</f>
        <v>829.8</v>
      </c>
      <c r="AX61" s="5">
        <f>sim.tbl[[#This Row],[Dens]]*sim.tbl[[#This Row],[Medium_SW]]</f>
        <v>0</v>
      </c>
      <c r="AY61" s="5">
        <f>sim.tbl[[#This Row],[Dens]]*sim.tbl[[#This Row],[Midale]]</f>
        <v>0</v>
      </c>
      <c r="AZ61" s="5">
        <f>sim.tbl[[#This Row],[Dens]]*sim.tbl[[#This Row],[Heavy_Sour]]</f>
        <v>0</v>
      </c>
      <c r="BA61" s="5">
        <f>sim.tbl[[#This Row],[Dens]]*sim.tbl[[#This Row],[Heavy_SW]]</f>
        <v>0</v>
      </c>
      <c r="BB61" s="5">
        <f>sim.tbl[[#This Row],[Temp.Roll]]*sim.tbl[[#This Row],[C5]]</f>
        <v>0</v>
      </c>
      <c r="BC61" s="5">
        <f>sim.tbl[[#This Row],[Temp.Roll]]*sim.tbl[[#This Row],[Light_LSB]]</f>
        <v>0</v>
      </c>
      <c r="BD61" s="5">
        <f>sim.tbl[[#This Row],[Temp.Roll]]*sim.tbl[[#This Row],[Light_SW]]</f>
        <v>0</v>
      </c>
      <c r="BE61" s="5">
        <f>sim.tbl[[#This Row],[Temp.Roll]]*sim.tbl[[#This Row],[Medium_LSB]]</f>
        <v>-6</v>
      </c>
      <c r="BF61" s="5">
        <f>sim.tbl[[#This Row],[Temp.Roll]]*sim.tbl[[#This Row],[Medium_SW]]</f>
        <v>0</v>
      </c>
      <c r="BG61" s="5">
        <f>sim.tbl[[#This Row],[Temp.Roll]]*sim.tbl[[#This Row],[Midale]]</f>
        <v>0</v>
      </c>
      <c r="BH61" s="5">
        <f>sim.tbl[[#This Row],[Temp.Roll]]*sim.tbl[[#This Row],[Heavy_Sour]]</f>
        <v>0</v>
      </c>
      <c r="BI61" s="5">
        <f>sim.tbl[[#This Row],[Temp.Roll]]*sim.tbl[[#This Row],[Heavy_SW]]</f>
        <v>0</v>
      </c>
    </row>
    <row r="62" spans="4:61" x14ac:dyDescent="0.25">
      <c r="D62" s="5">
        <f ca="1">SUMPRODUCT($F$1:$BI$1,sim.tbl[[#This Row],[Intercept]:[Temp.Roll:Heavy_SW]])</f>
        <v>88.094458774797374</v>
      </c>
      <c r="E62" s="14">
        <f ca="1">DATE(YEAR(TODAY()),INDEX(mthLkUp.tbl[Num],MATCH(mth.input,mthLkUp.tbl[Month],0)),1)</f>
        <v>42795</v>
      </c>
      <c r="F62" s="6">
        <f>1</f>
        <v>1</v>
      </c>
      <c r="G62" s="5">
        <v>0.59099999999999997</v>
      </c>
      <c r="H62" s="5">
        <v>817.5</v>
      </c>
      <c r="I62" s="5">
        <v>-1.25</v>
      </c>
      <c r="J62" s="5">
        <v>-1</v>
      </c>
      <c r="K62" s="5">
        <v>-0.7</v>
      </c>
      <c r="L62" s="5">
        <v>-1</v>
      </c>
      <c r="M62" s="5">
        <v>-1.3</v>
      </c>
      <c r="N62" s="5">
        <v>0.3</v>
      </c>
      <c r="O62" s="5">
        <v>-0.4</v>
      </c>
      <c r="P62" s="5">
        <v>-4.4000000000000004</v>
      </c>
      <c r="Q62" s="6">
        <f>IF(sim.tbl[[#This Row],[Dens]]&lt;=770,1,0)</f>
        <v>0</v>
      </c>
      <c r="R62" s="6">
        <f>IF(AND(sim.tbl[[#This Row],[Sulf]]&gt;0.5,sim.tbl[[#This Row],[Dens]]&gt;770,sim.tbl[[#This Row],[Dens]]&lt;=825),1,0)</f>
        <v>1</v>
      </c>
      <c r="S62" s="6">
        <f>IF(AND(sim.tbl[[#This Row],[Sulf]]&lt;=0.5,sim.tbl[[#This Row],[Dens]]&gt;770,sim.tbl[[#This Row],[Dens]]&lt;=825),1,0)</f>
        <v>0</v>
      </c>
      <c r="T62" s="6">
        <f>IF(AND(sim.tbl[[#This Row],[Sulf]]&gt;0.5,sim.tbl[[#This Row],[Dens]]&gt;825,sim.tbl[[#This Row],[Dens]]&lt;=870),1,0)</f>
        <v>0</v>
      </c>
      <c r="U62" s="6">
        <f>IF(AND(sim.tbl[[#This Row],[Sulf]]&lt;0.5,sim.tbl[[#This Row],[Dens]]&gt;825,sim.tbl[[#This Row],[Dens]]&lt;=900),1,0)</f>
        <v>0</v>
      </c>
      <c r="V62" s="6">
        <f>IF(AND(sim.tbl[[#This Row],[Sulf]]&gt;0.5,sim.tbl[[#This Row],[Dens]]&gt;870,sim.tbl[[#This Row],[Dens]]&lt;=900),1,0)</f>
        <v>0</v>
      </c>
      <c r="W62" s="6">
        <f>IF(AND(sim.tbl[[#This Row],[Sulf]]&gt;0.5,sim.tbl[[#This Row],[Dens]]&gt;900),1,0)</f>
        <v>0</v>
      </c>
      <c r="X62" s="6">
        <f>IF(AND(sim.tbl[[#This Row],[Sulf]]&lt;=0.5,sim.tbl[[#This Row],[Dens]]&gt;900),1,0)</f>
        <v>0</v>
      </c>
      <c r="Y62" s="6">
        <f ca="1">IF(MONTH(sim.tbl[[#This Row],[SDate]])=INDEX(mthLkUp.tbl[Num],MATCH(Y$3,mthLkUp.tbl[Month],0)),1,0)</f>
        <v>0</v>
      </c>
      <c r="Z62" s="6">
        <f ca="1">IF(MONTH(sim.tbl[[#This Row],[SDate]])=INDEX(mthLkUp.tbl[Num],MATCH(Z$3,mthLkUp.tbl[Month],0)),1,0)</f>
        <v>0</v>
      </c>
      <c r="AA62" s="6">
        <f ca="1">IF(MONTH(sim.tbl[[#This Row],[SDate]])=INDEX(mthLkUp.tbl[Num],MATCH(AA$3,mthLkUp.tbl[Month],0)),1,0)</f>
        <v>1</v>
      </c>
      <c r="AB62" s="6">
        <f ca="1">IF(MONTH(sim.tbl[[#This Row],[SDate]])=INDEX(mthLkUp.tbl[Num],MATCH(AB$3,mthLkUp.tbl[Month],0)),1,0)</f>
        <v>0</v>
      </c>
      <c r="AC62" s="6">
        <f ca="1">IF(MONTH(sim.tbl[[#This Row],[SDate]])=INDEX(mthLkUp.tbl[Num],MATCH(AC$3,mthLkUp.tbl[Month],0)),1,0)</f>
        <v>0</v>
      </c>
      <c r="AD62" s="6">
        <f ca="1">IF(MONTH(sim.tbl[[#This Row],[SDate]])=INDEX(mthLkUp.tbl[Num],MATCH(AD$3,mthLkUp.tbl[Month],0)),1,0)</f>
        <v>0</v>
      </c>
      <c r="AE62" s="6">
        <f ca="1">IF(MONTH(sim.tbl[[#This Row],[SDate]])=INDEX(mthLkUp.tbl[Num],MATCH(AE$3,mthLkUp.tbl[Month],0)),1,0)</f>
        <v>0</v>
      </c>
      <c r="AF62" s="6">
        <f ca="1">IF(MONTH(sim.tbl[[#This Row],[SDate]])=INDEX(mthLkUp.tbl[Num],MATCH(AF$3,mthLkUp.tbl[Month],0)),1,0)</f>
        <v>0</v>
      </c>
      <c r="AG62" s="6">
        <f ca="1">IF(MONTH(sim.tbl[[#This Row],[SDate]])=INDEX(mthLkUp.tbl[Num],MATCH(AG$3,mthLkUp.tbl[Month],0)),1,0)</f>
        <v>0</v>
      </c>
      <c r="AH62" s="6">
        <f ca="1">IF(MONTH(sim.tbl[[#This Row],[SDate]])=INDEX(mthLkUp.tbl[Num],MATCH(AH$3,mthLkUp.tbl[Month],0)),1,0)</f>
        <v>0</v>
      </c>
      <c r="AI62" s="6">
        <f ca="1">IF(MONTH(sim.tbl[[#This Row],[SDate]])=INDEX(mthLkUp.tbl[Num],MATCH(AI$3,mthLkUp.tbl[Month],0)),1,0)</f>
        <v>0</v>
      </c>
      <c r="AJ62" s="6">
        <f ca="1">IF(MONTH(sim.tbl[[#This Row],[SDate]])=INDEX(mthLkUp.tbl[Num],MATCH(AJ$3,mthLkUp.tbl[Month],0)),1,0)</f>
        <v>0</v>
      </c>
      <c r="AK62" s="6">
        <v>1</v>
      </c>
      <c r="AL62" s="5">
        <f>sim.tbl[[#This Row],[Sulf]]*sim.tbl[[#This Row],[C5]]</f>
        <v>0</v>
      </c>
      <c r="AM62" s="5">
        <f>sim.tbl[[#This Row],[Sulf]]*sim.tbl[[#This Row],[Light_LSB]]</f>
        <v>0.59099999999999997</v>
      </c>
      <c r="AN62" s="5">
        <f>sim.tbl[[#This Row],[Sulf]]*sim.tbl[[#This Row],[Light_SW]]</f>
        <v>0</v>
      </c>
      <c r="AO62" s="5">
        <f>sim.tbl[[#This Row],[Sulf]]*sim.tbl[[#This Row],[Medium_LSB]]</f>
        <v>0</v>
      </c>
      <c r="AP62" s="5">
        <f>sim.tbl[[#This Row],[Sulf]]*sim.tbl[[#This Row],[Medium_SW]]</f>
        <v>0</v>
      </c>
      <c r="AQ62" s="5">
        <f>sim.tbl[[#This Row],[Sulf]]*sim.tbl[[#This Row],[Midale]]</f>
        <v>0</v>
      </c>
      <c r="AR62" s="5">
        <f>sim.tbl[[#This Row],[Sulf]]*sim.tbl[[#This Row],[Heavy_Sour]]</f>
        <v>0</v>
      </c>
      <c r="AS62" s="5">
        <f>sim.tbl[[#This Row],[Sulf]]*sim.tbl[[#This Row],[Heavy_SW]]</f>
        <v>0</v>
      </c>
      <c r="AT62" s="5">
        <f>sim.tbl[[#This Row],[Dens]]*sim.tbl[[#This Row],[C5]]</f>
        <v>0</v>
      </c>
      <c r="AU62" s="5">
        <f>sim.tbl[[#This Row],[Dens]]*sim.tbl[[#This Row],[Light_LSB]]</f>
        <v>817.5</v>
      </c>
      <c r="AV62" s="5">
        <f>sim.tbl[[#This Row],[Dens]]*sim.tbl[[#This Row],[Light_SW]]</f>
        <v>0</v>
      </c>
      <c r="AW62" s="5">
        <f>sim.tbl[[#This Row],[Dens]]*sim.tbl[[#This Row],[Medium_LSB]]</f>
        <v>0</v>
      </c>
      <c r="AX62" s="5">
        <f>sim.tbl[[#This Row],[Dens]]*sim.tbl[[#This Row],[Medium_SW]]</f>
        <v>0</v>
      </c>
      <c r="AY62" s="5">
        <f>sim.tbl[[#This Row],[Dens]]*sim.tbl[[#This Row],[Midale]]</f>
        <v>0</v>
      </c>
      <c r="AZ62" s="5">
        <f>sim.tbl[[#This Row],[Dens]]*sim.tbl[[#This Row],[Heavy_Sour]]</f>
        <v>0</v>
      </c>
      <c r="BA62" s="5">
        <f>sim.tbl[[#This Row],[Dens]]*sim.tbl[[#This Row],[Heavy_SW]]</f>
        <v>0</v>
      </c>
      <c r="BB62" s="5">
        <f>sim.tbl[[#This Row],[Temp.Roll]]*sim.tbl[[#This Row],[C5]]</f>
        <v>0</v>
      </c>
      <c r="BC62" s="5">
        <f>sim.tbl[[#This Row],[Temp.Roll]]*sim.tbl[[#This Row],[Light_LSB]]</f>
        <v>-1</v>
      </c>
      <c r="BD62" s="5">
        <f>sim.tbl[[#This Row],[Temp.Roll]]*sim.tbl[[#This Row],[Light_SW]]</f>
        <v>0</v>
      </c>
      <c r="BE62" s="5">
        <f>sim.tbl[[#This Row],[Temp.Roll]]*sim.tbl[[#This Row],[Medium_LSB]]</f>
        <v>0</v>
      </c>
      <c r="BF62" s="5">
        <f>sim.tbl[[#This Row],[Temp.Roll]]*sim.tbl[[#This Row],[Medium_SW]]</f>
        <v>0</v>
      </c>
      <c r="BG62" s="5">
        <f>sim.tbl[[#This Row],[Temp.Roll]]*sim.tbl[[#This Row],[Midale]]</f>
        <v>0</v>
      </c>
      <c r="BH62" s="5">
        <f>sim.tbl[[#This Row],[Temp.Roll]]*sim.tbl[[#This Row],[Heavy_Sour]]</f>
        <v>0</v>
      </c>
      <c r="BI62" s="5">
        <f>sim.tbl[[#This Row],[Temp.Roll]]*sim.tbl[[#This Row],[Heavy_SW]]</f>
        <v>0</v>
      </c>
    </row>
    <row r="63" spans="4:61" x14ac:dyDescent="0.25">
      <c r="D63" s="5">
        <f ca="1">SUMPRODUCT($F$1:$BI$1,sim.tbl[[#This Row],[Intercept]:[Temp.Roll:Heavy_SW]])</f>
        <v>95.450572098792435</v>
      </c>
      <c r="E63" s="14">
        <f ca="1">DATE(YEAR(TODAY()),INDEX(mthLkUp.tbl[Num],MATCH(mth.input,mthLkUp.tbl[Month],0)),1)</f>
        <v>42795</v>
      </c>
      <c r="F63" s="6">
        <f>1</f>
        <v>1</v>
      </c>
      <c r="G63" s="5">
        <v>1.31</v>
      </c>
      <c r="H63" s="5">
        <v>819</v>
      </c>
      <c r="I63" s="5">
        <v>-12.56666667</v>
      </c>
      <c r="J63" s="5">
        <v>-12.2</v>
      </c>
      <c r="K63" s="5">
        <v>-12.1</v>
      </c>
      <c r="L63" s="5">
        <v>-12.2</v>
      </c>
      <c r="M63" s="5">
        <v>-13</v>
      </c>
      <c r="N63" s="5">
        <v>-12</v>
      </c>
      <c r="O63" s="5">
        <v>-12.1</v>
      </c>
      <c r="P63" s="5">
        <v>-14</v>
      </c>
      <c r="Q63" s="6">
        <f>IF(sim.tbl[[#This Row],[Dens]]&lt;=770,1,0)</f>
        <v>0</v>
      </c>
      <c r="R63" s="6">
        <f>IF(AND(sim.tbl[[#This Row],[Sulf]]&gt;0.5,sim.tbl[[#This Row],[Dens]]&gt;770,sim.tbl[[#This Row],[Dens]]&lt;=825),1,0)</f>
        <v>1</v>
      </c>
      <c r="S63" s="6">
        <f>IF(AND(sim.tbl[[#This Row],[Sulf]]&lt;=0.5,sim.tbl[[#This Row],[Dens]]&gt;770,sim.tbl[[#This Row],[Dens]]&lt;=825),1,0)</f>
        <v>0</v>
      </c>
      <c r="T63" s="6">
        <f>IF(AND(sim.tbl[[#This Row],[Sulf]]&gt;0.5,sim.tbl[[#This Row],[Dens]]&gt;825,sim.tbl[[#This Row],[Dens]]&lt;=870),1,0)</f>
        <v>0</v>
      </c>
      <c r="U63" s="6">
        <f>IF(AND(sim.tbl[[#This Row],[Sulf]]&lt;0.5,sim.tbl[[#This Row],[Dens]]&gt;825,sim.tbl[[#This Row],[Dens]]&lt;=900),1,0)</f>
        <v>0</v>
      </c>
      <c r="V63" s="6">
        <f>IF(AND(sim.tbl[[#This Row],[Sulf]]&gt;0.5,sim.tbl[[#This Row],[Dens]]&gt;870,sim.tbl[[#This Row],[Dens]]&lt;=900),1,0)</f>
        <v>0</v>
      </c>
      <c r="W63" s="6">
        <f>IF(AND(sim.tbl[[#This Row],[Sulf]]&gt;0.5,sim.tbl[[#This Row],[Dens]]&gt;900),1,0)</f>
        <v>0</v>
      </c>
      <c r="X63" s="6">
        <f>IF(AND(sim.tbl[[#This Row],[Sulf]]&lt;=0.5,sim.tbl[[#This Row],[Dens]]&gt;900),1,0)</f>
        <v>0</v>
      </c>
      <c r="Y63" s="6">
        <f ca="1">IF(MONTH(sim.tbl[[#This Row],[SDate]])=INDEX(mthLkUp.tbl[Num],MATCH(Y$3,mthLkUp.tbl[Month],0)),1,0)</f>
        <v>0</v>
      </c>
      <c r="Z63" s="6">
        <f ca="1">IF(MONTH(sim.tbl[[#This Row],[SDate]])=INDEX(mthLkUp.tbl[Num],MATCH(Z$3,mthLkUp.tbl[Month],0)),1,0)</f>
        <v>0</v>
      </c>
      <c r="AA63" s="6">
        <f ca="1">IF(MONTH(sim.tbl[[#This Row],[SDate]])=INDEX(mthLkUp.tbl[Num],MATCH(AA$3,mthLkUp.tbl[Month],0)),1,0)</f>
        <v>1</v>
      </c>
      <c r="AB63" s="6">
        <f ca="1">IF(MONTH(sim.tbl[[#This Row],[SDate]])=INDEX(mthLkUp.tbl[Num],MATCH(AB$3,mthLkUp.tbl[Month],0)),1,0)</f>
        <v>0</v>
      </c>
      <c r="AC63" s="6">
        <f ca="1">IF(MONTH(sim.tbl[[#This Row],[SDate]])=INDEX(mthLkUp.tbl[Num],MATCH(AC$3,mthLkUp.tbl[Month],0)),1,0)</f>
        <v>0</v>
      </c>
      <c r="AD63" s="6">
        <f ca="1">IF(MONTH(sim.tbl[[#This Row],[SDate]])=INDEX(mthLkUp.tbl[Num],MATCH(AD$3,mthLkUp.tbl[Month],0)),1,0)</f>
        <v>0</v>
      </c>
      <c r="AE63" s="6">
        <f ca="1">IF(MONTH(sim.tbl[[#This Row],[SDate]])=INDEX(mthLkUp.tbl[Num],MATCH(AE$3,mthLkUp.tbl[Month],0)),1,0)</f>
        <v>0</v>
      </c>
      <c r="AF63" s="6">
        <f ca="1">IF(MONTH(sim.tbl[[#This Row],[SDate]])=INDEX(mthLkUp.tbl[Num],MATCH(AF$3,mthLkUp.tbl[Month],0)),1,0)</f>
        <v>0</v>
      </c>
      <c r="AG63" s="6">
        <f ca="1">IF(MONTH(sim.tbl[[#This Row],[SDate]])=INDEX(mthLkUp.tbl[Num],MATCH(AG$3,mthLkUp.tbl[Month],0)),1,0)</f>
        <v>0</v>
      </c>
      <c r="AH63" s="6">
        <f ca="1">IF(MONTH(sim.tbl[[#This Row],[SDate]])=INDEX(mthLkUp.tbl[Num],MATCH(AH$3,mthLkUp.tbl[Month],0)),1,0)</f>
        <v>0</v>
      </c>
      <c r="AI63" s="6">
        <f ca="1">IF(MONTH(sim.tbl[[#This Row],[SDate]])=INDEX(mthLkUp.tbl[Num],MATCH(AI$3,mthLkUp.tbl[Month],0)),1,0)</f>
        <v>0</v>
      </c>
      <c r="AJ63" s="6">
        <f ca="1">IF(MONTH(sim.tbl[[#This Row],[SDate]])=INDEX(mthLkUp.tbl[Num],MATCH(AJ$3,mthLkUp.tbl[Month],0)),1,0)</f>
        <v>0</v>
      </c>
      <c r="AK63" s="6">
        <v>1</v>
      </c>
      <c r="AL63" s="5">
        <f>sim.tbl[[#This Row],[Sulf]]*sim.tbl[[#This Row],[C5]]</f>
        <v>0</v>
      </c>
      <c r="AM63" s="5">
        <f>sim.tbl[[#This Row],[Sulf]]*sim.tbl[[#This Row],[Light_LSB]]</f>
        <v>1.31</v>
      </c>
      <c r="AN63" s="5">
        <f>sim.tbl[[#This Row],[Sulf]]*sim.tbl[[#This Row],[Light_SW]]</f>
        <v>0</v>
      </c>
      <c r="AO63" s="5">
        <f>sim.tbl[[#This Row],[Sulf]]*sim.tbl[[#This Row],[Medium_LSB]]</f>
        <v>0</v>
      </c>
      <c r="AP63" s="5">
        <f>sim.tbl[[#This Row],[Sulf]]*sim.tbl[[#This Row],[Medium_SW]]</f>
        <v>0</v>
      </c>
      <c r="AQ63" s="5">
        <f>sim.tbl[[#This Row],[Sulf]]*sim.tbl[[#This Row],[Midale]]</f>
        <v>0</v>
      </c>
      <c r="AR63" s="5">
        <f>sim.tbl[[#This Row],[Sulf]]*sim.tbl[[#This Row],[Heavy_Sour]]</f>
        <v>0</v>
      </c>
      <c r="AS63" s="5">
        <f>sim.tbl[[#This Row],[Sulf]]*sim.tbl[[#This Row],[Heavy_SW]]</f>
        <v>0</v>
      </c>
      <c r="AT63" s="5">
        <f>sim.tbl[[#This Row],[Dens]]*sim.tbl[[#This Row],[C5]]</f>
        <v>0</v>
      </c>
      <c r="AU63" s="5">
        <f>sim.tbl[[#This Row],[Dens]]*sim.tbl[[#This Row],[Light_LSB]]</f>
        <v>819</v>
      </c>
      <c r="AV63" s="5">
        <f>sim.tbl[[#This Row],[Dens]]*sim.tbl[[#This Row],[Light_SW]]</f>
        <v>0</v>
      </c>
      <c r="AW63" s="5">
        <f>sim.tbl[[#This Row],[Dens]]*sim.tbl[[#This Row],[Medium_LSB]]</f>
        <v>0</v>
      </c>
      <c r="AX63" s="5">
        <f>sim.tbl[[#This Row],[Dens]]*sim.tbl[[#This Row],[Medium_SW]]</f>
        <v>0</v>
      </c>
      <c r="AY63" s="5">
        <f>sim.tbl[[#This Row],[Dens]]*sim.tbl[[#This Row],[Midale]]</f>
        <v>0</v>
      </c>
      <c r="AZ63" s="5">
        <f>sim.tbl[[#This Row],[Dens]]*sim.tbl[[#This Row],[Heavy_Sour]]</f>
        <v>0</v>
      </c>
      <c r="BA63" s="5">
        <f>sim.tbl[[#This Row],[Dens]]*sim.tbl[[#This Row],[Heavy_SW]]</f>
        <v>0</v>
      </c>
      <c r="BB63" s="5">
        <f>sim.tbl[[#This Row],[Temp.Roll]]*sim.tbl[[#This Row],[C5]]</f>
        <v>0</v>
      </c>
      <c r="BC63" s="5">
        <f>sim.tbl[[#This Row],[Temp.Roll]]*sim.tbl[[#This Row],[Light_LSB]]</f>
        <v>-12.2</v>
      </c>
      <c r="BD63" s="5">
        <f>sim.tbl[[#This Row],[Temp.Roll]]*sim.tbl[[#This Row],[Light_SW]]</f>
        <v>0</v>
      </c>
      <c r="BE63" s="5">
        <f>sim.tbl[[#This Row],[Temp.Roll]]*sim.tbl[[#This Row],[Medium_LSB]]</f>
        <v>0</v>
      </c>
      <c r="BF63" s="5">
        <f>sim.tbl[[#This Row],[Temp.Roll]]*sim.tbl[[#This Row],[Medium_SW]]</f>
        <v>0</v>
      </c>
      <c r="BG63" s="5">
        <f>sim.tbl[[#This Row],[Temp.Roll]]*sim.tbl[[#This Row],[Midale]]</f>
        <v>0</v>
      </c>
      <c r="BH63" s="5">
        <f>sim.tbl[[#This Row],[Temp.Roll]]*sim.tbl[[#This Row],[Heavy_Sour]]</f>
        <v>0</v>
      </c>
      <c r="BI63" s="5">
        <f>sim.tbl[[#This Row],[Temp.Roll]]*sim.tbl[[#This Row],[Heavy_SW]]</f>
        <v>0</v>
      </c>
    </row>
    <row r="64" spans="4:61" x14ac:dyDescent="0.25">
      <c r="D64" s="5">
        <f ca="1">SUMPRODUCT($F$1:$BI$1,sim.tbl[[#This Row],[Intercept]:[Temp.Roll:Heavy_SW]])</f>
        <v>84.213890006915847</v>
      </c>
      <c r="E64" s="14">
        <f ca="1">DATE(YEAR(TODAY()),INDEX(mthLkUp.tbl[Num],MATCH(mth.input,mthLkUp.tbl[Month],0)),1)</f>
        <v>42795</v>
      </c>
      <c r="F64" s="6">
        <f>1</f>
        <v>1</v>
      </c>
      <c r="G64" s="5">
        <v>1.08</v>
      </c>
      <c r="H64" s="5">
        <v>828.9</v>
      </c>
      <c r="I64" s="5">
        <v>-5.6666666670000003</v>
      </c>
      <c r="J64" s="5">
        <v>-5.6</v>
      </c>
      <c r="K64" s="5">
        <v>-5.9</v>
      </c>
      <c r="L64" s="5">
        <v>-5.6</v>
      </c>
      <c r="M64" s="5">
        <v>-6.3</v>
      </c>
      <c r="N64" s="5">
        <v>-4</v>
      </c>
      <c r="O64" s="5">
        <v>-6.5</v>
      </c>
      <c r="P64" s="5">
        <v>-5.7</v>
      </c>
      <c r="Q64" s="6">
        <f>IF(sim.tbl[[#This Row],[Dens]]&lt;=770,1,0)</f>
        <v>0</v>
      </c>
      <c r="R64" s="6">
        <f>IF(AND(sim.tbl[[#This Row],[Sulf]]&gt;0.5,sim.tbl[[#This Row],[Dens]]&gt;770,sim.tbl[[#This Row],[Dens]]&lt;=825),1,0)</f>
        <v>0</v>
      </c>
      <c r="S64" s="6">
        <f>IF(AND(sim.tbl[[#This Row],[Sulf]]&lt;=0.5,sim.tbl[[#This Row],[Dens]]&gt;770,sim.tbl[[#This Row],[Dens]]&lt;=825),1,0)</f>
        <v>0</v>
      </c>
      <c r="T64" s="6">
        <f>IF(AND(sim.tbl[[#This Row],[Sulf]]&gt;0.5,sim.tbl[[#This Row],[Dens]]&gt;825,sim.tbl[[#This Row],[Dens]]&lt;=870),1,0)</f>
        <v>1</v>
      </c>
      <c r="U64" s="6">
        <f>IF(AND(sim.tbl[[#This Row],[Sulf]]&lt;0.5,sim.tbl[[#This Row],[Dens]]&gt;825,sim.tbl[[#This Row],[Dens]]&lt;=900),1,0)</f>
        <v>0</v>
      </c>
      <c r="V64" s="6">
        <f>IF(AND(sim.tbl[[#This Row],[Sulf]]&gt;0.5,sim.tbl[[#This Row],[Dens]]&gt;870,sim.tbl[[#This Row],[Dens]]&lt;=900),1,0)</f>
        <v>0</v>
      </c>
      <c r="W64" s="6">
        <f>IF(AND(sim.tbl[[#This Row],[Sulf]]&gt;0.5,sim.tbl[[#This Row],[Dens]]&gt;900),1,0)</f>
        <v>0</v>
      </c>
      <c r="X64" s="6">
        <f>IF(AND(sim.tbl[[#This Row],[Sulf]]&lt;=0.5,sim.tbl[[#This Row],[Dens]]&gt;900),1,0)</f>
        <v>0</v>
      </c>
      <c r="Y64" s="6">
        <f ca="1">IF(MONTH(sim.tbl[[#This Row],[SDate]])=INDEX(mthLkUp.tbl[Num],MATCH(Y$3,mthLkUp.tbl[Month],0)),1,0)</f>
        <v>0</v>
      </c>
      <c r="Z64" s="6">
        <f ca="1">IF(MONTH(sim.tbl[[#This Row],[SDate]])=INDEX(mthLkUp.tbl[Num],MATCH(Z$3,mthLkUp.tbl[Month],0)),1,0)</f>
        <v>0</v>
      </c>
      <c r="AA64" s="6">
        <f ca="1">IF(MONTH(sim.tbl[[#This Row],[SDate]])=INDEX(mthLkUp.tbl[Num],MATCH(AA$3,mthLkUp.tbl[Month],0)),1,0)</f>
        <v>1</v>
      </c>
      <c r="AB64" s="6">
        <f ca="1">IF(MONTH(sim.tbl[[#This Row],[SDate]])=INDEX(mthLkUp.tbl[Num],MATCH(AB$3,mthLkUp.tbl[Month],0)),1,0)</f>
        <v>0</v>
      </c>
      <c r="AC64" s="6">
        <f ca="1">IF(MONTH(sim.tbl[[#This Row],[SDate]])=INDEX(mthLkUp.tbl[Num],MATCH(AC$3,mthLkUp.tbl[Month],0)),1,0)</f>
        <v>0</v>
      </c>
      <c r="AD64" s="6">
        <f ca="1">IF(MONTH(sim.tbl[[#This Row],[SDate]])=INDEX(mthLkUp.tbl[Num],MATCH(AD$3,mthLkUp.tbl[Month],0)),1,0)</f>
        <v>0</v>
      </c>
      <c r="AE64" s="6">
        <f ca="1">IF(MONTH(sim.tbl[[#This Row],[SDate]])=INDEX(mthLkUp.tbl[Num],MATCH(AE$3,mthLkUp.tbl[Month],0)),1,0)</f>
        <v>0</v>
      </c>
      <c r="AF64" s="6">
        <f ca="1">IF(MONTH(sim.tbl[[#This Row],[SDate]])=INDEX(mthLkUp.tbl[Num],MATCH(AF$3,mthLkUp.tbl[Month],0)),1,0)</f>
        <v>0</v>
      </c>
      <c r="AG64" s="6">
        <f ca="1">IF(MONTH(sim.tbl[[#This Row],[SDate]])=INDEX(mthLkUp.tbl[Num],MATCH(AG$3,mthLkUp.tbl[Month],0)),1,0)</f>
        <v>0</v>
      </c>
      <c r="AH64" s="6">
        <f ca="1">IF(MONTH(sim.tbl[[#This Row],[SDate]])=INDEX(mthLkUp.tbl[Num],MATCH(AH$3,mthLkUp.tbl[Month],0)),1,0)</f>
        <v>0</v>
      </c>
      <c r="AI64" s="6">
        <f ca="1">IF(MONTH(sim.tbl[[#This Row],[SDate]])=INDEX(mthLkUp.tbl[Num],MATCH(AI$3,mthLkUp.tbl[Month],0)),1,0)</f>
        <v>0</v>
      </c>
      <c r="AJ64" s="6">
        <f ca="1">IF(MONTH(sim.tbl[[#This Row],[SDate]])=INDEX(mthLkUp.tbl[Num],MATCH(AJ$3,mthLkUp.tbl[Month],0)),1,0)</f>
        <v>0</v>
      </c>
      <c r="AK64" s="6">
        <v>1</v>
      </c>
      <c r="AL64" s="5">
        <f>sim.tbl[[#This Row],[Sulf]]*sim.tbl[[#This Row],[C5]]</f>
        <v>0</v>
      </c>
      <c r="AM64" s="5">
        <f>sim.tbl[[#This Row],[Sulf]]*sim.tbl[[#This Row],[Light_LSB]]</f>
        <v>0</v>
      </c>
      <c r="AN64" s="5">
        <f>sim.tbl[[#This Row],[Sulf]]*sim.tbl[[#This Row],[Light_SW]]</f>
        <v>0</v>
      </c>
      <c r="AO64" s="5">
        <f>sim.tbl[[#This Row],[Sulf]]*sim.tbl[[#This Row],[Medium_LSB]]</f>
        <v>1.08</v>
      </c>
      <c r="AP64" s="5">
        <f>sim.tbl[[#This Row],[Sulf]]*sim.tbl[[#This Row],[Medium_SW]]</f>
        <v>0</v>
      </c>
      <c r="AQ64" s="5">
        <f>sim.tbl[[#This Row],[Sulf]]*sim.tbl[[#This Row],[Midale]]</f>
        <v>0</v>
      </c>
      <c r="AR64" s="5">
        <f>sim.tbl[[#This Row],[Sulf]]*sim.tbl[[#This Row],[Heavy_Sour]]</f>
        <v>0</v>
      </c>
      <c r="AS64" s="5">
        <f>sim.tbl[[#This Row],[Sulf]]*sim.tbl[[#This Row],[Heavy_SW]]</f>
        <v>0</v>
      </c>
      <c r="AT64" s="5">
        <f>sim.tbl[[#This Row],[Dens]]*sim.tbl[[#This Row],[C5]]</f>
        <v>0</v>
      </c>
      <c r="AU64" s="5">
        <f>sim.tbl[[#This Row],[Dens]]*sim.tbl[[#This Row],[Light_LSB]]</f>
        <v>0</v>
      </c>
      <c r="AV64" s="5">
        <f>sim.tbl[[#This Row],[Dens]]*sim.tbl[[#This Row],[Light_SW]]</f>
        <v>0</v>
      </c>
      <c r="AW64" s="5">
        <f>sim.tbl[[#This Row],[Dens]]*sim.tbl[[#This Row],[Medium_LSB]]</f>
        <v>828.9</v>
      </c>
      <c r="AX64" s="5">
        <f>sim.tbl[[#This Row],[Dens]]*sim.tbl[[#This Row],[Medium_SW]]</f>
        <v>0</v>
      </c>
      <c r="AY64" s="5">
        <f>sim.tbl[[#This Row],[Dens]]*sim.tbl[[#This Row],[Midale]]</f>
        <v>0</v>
      </c>
      <c r="AZ64" s="5">
        <f>sim.tbl[[#This Row],[Dens]]*sim.tbl[[#This Row],[Heavy_Sour]]</f>
        <v>0</v>
      </c>
      <c r="BA64" s="5">
        <f>sim.tbl[[#This Row],[Dens]]*sim.tbl[[#This Row],[Heavy_SW]]</f>
        <v>0</v>
      </c>
      <c r="BB64" s="5">
        <f>sim.tbl[[#This Row],[Temp.Roll]]*sim.tbl[[#This Row],[C5]]</f>
        <v>0</v>
      </c>
      <c r="BC64" s="5">
        <f>sim.tbl[[#This Row],[Temp.Roll]]*sim.tbl[[#This Row],[Light_LSB]]</f>
        <v>0</v>
      </c>
      <c r="BD64" s="5">
        <f>sim.tbl[[#This Row],[Temp.Roll]]*sim.tbl[[#This Row],[Light_SW]]</f>
        <v>0</v>
      </c>
      <c r="BE64" s="5">
        <f>sim.tbl[[#This Row],[Temp.Roll]]*sim.tbl[[#This Row],[Medium_LSB]]</f>
        <v>-5.6</v>
      </c>
      <c r="BF64" s="5">
        <f>sim.tbl[[#This Row],[Temp.Roll]]*sim.tbl[[#This Row],[Medium_SW]]</f>
        <v>0</v>
      </c>
      <c r="BG64" s="5">
        <f>sim.tbl[[#This Row],[Temp.Roll]]*sim.tbl[[#This Row],[Midale]]</f>
        <v>0</v>
      </c>
      <c r="BH64" s="5">
        <f>sim.tbl[[#This Row],[Temp.Roll]]*sim.tbl[[#This Row],[Heavy_Sour]]</f>
        <v>0</v>
      </c>
      <c r="BI64" s="5">
        <f>sim.tbl[[#This Row],[Temp.Roll]]*sim.tbl[[#This Row],[Heavy_SW]]</f>
        <v>0</v>
      </c>
    </row>
    <row r="65" spans="4:61" x14ac:dyDescent="0.25">
      <c r="D65" s="5">
        <f ca="1">SUMPRODUCT($F$1:$BI$1,sim.tbl[[#This Row],[Intercept]:[Temp.Roll:Heavy_SW]])</f>
        <v>76.145283756891473</v>
      </c>
      <c r="E65" s="14">
        <f ca="1">DATE(YEAR(TODAY()),INDEX(mthLkUp.tbl[Num],MATCH(mth.input,mthLkUp.tbl[Month],0)),1)</f>
        <v>42795</v>
      </c>
      <c r="F65" s="6">
        <f>1</f>
        <v>1</v>
      </c>
      <c r="G65" s="5">
        <v>1.74</v>
      </c>
      <c r="H65" s="5">
        <v>838.3</v>
      </c>
      <c r="I65" s="5">
        <v>9.6166666670000005</v>
      </c>
      <c r="J65" s="5">
        <v>9</v>
      </c>
      <c r="K65" s="5">
        <v>9.6999999999999993</v>
      </c>
      <c r="L65" s="5">
        <v>9</v>
      </c>
      <c r="M65" s="5">
        <v>9.3000000000000007</v>
      </c>
      <c r="N65" s="5">
        <v>10</v>
      </c>
      <c r="O65" s="5">
        <v>11.9</v>
      </c>
      <c r="P65" s="5">
        <v>7.8</v>
      </c>
      <c r="Q65" s="6">
        <f>IF(sim.tbl[[#This Row],[Dens]]&lt;=770,1,0)</f>
        <v>0</v>
      </c>
      <c r="R65" s="6">
        <f>IF(AND(sim.tbl[[#This Row],[Sulf]]&gt;0.5,sim.tbl[[#This Row],[Dens]]&gt;770,sim.tbl[[#This Row],[Dens]]&lt;=825),1,0)</f>
        <v>0</v>
      </c>
      <c r="S65" s="6">
        <f>IF(AND(sim.tbl[[#This Row],[Sulf]]&lt;=0.5,sim.tbl[[#This Row],[Dens]]&gt;770,sim.tbl[[#This Row],[Dens]]&lt;=825),1,0)</f>
        <v>0</v>
      </c>
      <c r="T65" s="6">
        <f>IF(AND(sim.tbl[[#This Row],[Sulf]]&gt;0.5,sim.tbl[[#This Row],[Dens]]&gt;825,sim.tbl[[#This Row],[Dens]]&lt;=870),1,0)</f>
        <v>1</v>
      </c>
      <c r="U65" s="6">
        <f>IF(AND(sim.tbl[[#This Row],[Sulf]]&lt;0.5,sim.tbl[[#This Row],[Dens]]&gt;825,sim.tbl[[#This Row],[Dens]]&lt;=900),1,0)</f>
        <v>0</v>
      </c>
      <c r="V65" s="6">
        <f>IF(AND(sim.tbl[[#This Row],[Sulf]]&gt;0.5,sim.tbl[[#This Row],[Dens]]&gt;870,sim.tbl[[#This Row],[Dens]]&lt;=900),1,0)</f>
        <v>0</v>
      </c>
      <c r="W65" s="6">
        <f>IF(AND(sim.tbl[[#This Row],[Sulf]]&gt;0.5,sim.tbl[[#This Row],[Dens]]&gt;900),1,0)</f>
        <v>0</v>
      </c>
      <c r="X65" s="6">
        <f>IF(AND(sim.tbl[[#This Row],[Sulf]]&lt;=0.5,sim.tbl[[#This Row],[Dens]]&gt;900),1,0)</f>
        <v>0</v>
      </c>
      <c r="Y65" s="6">
        <f ca="1">IF(MONTH(sim.tbl[[#This Row],[SDate]])=INDEX(mthLkUp.tbl[Num],MATCH(Y$3,mthLkUp.tbl[Month],0)),1,0)</f>
        <v>0</v>
      </c>
      <c r="Z65" s="6">
        <f ca="1">IF(MONTH(sim.tbl[[#This Row],[SDate]])=INDEX(mthLkUp.tbl[Num],MATCH(Z$3,mthLkUp.tbl[Month],0)),1,0)</f>
        <v>0</v>
      </c>
      <c r="AA65" s="6">
        <f ca="1">IF(MONTH(sim.tbl[[#This Row],[SDate]])=INDEX(mthLkUp.tbl[Num],MATCH(AA$3,mthLkUp.tbl[Month],0)),1,0)</f>
        <v>1</v>
      </c>
      <c r="AB65" s="6">
        <f ca="1">IF(MONTH(sim.tbl[[#This Row],[SDate]])=INDEX(mthLkUp.tbl[Num],MATCH(AB$3,mthLkUp.tbl[Month],0)),1,0)</f>
        <v>0</v>
      </c>
      <c r="AC65" s="6">
        <f ca="1">IF(MONTH(sim.tbl[[#This Row],[SDate]])=INDEX(mthLkUp.tbl[Num],MATCH(AC$3,mthLkUp.tbl[Month],0)),1,0)</f>
        <v>0</v>
      </c>
      <c r="AD65" s="6">
        <f ca="1">IF(MONTH(sim.tbl[[#This Row],[SDate]])=INDEX(mthLkUp.tbl[Num],MATCH(AD$3,mthLkUp.tbl[Month],0)),1,0)</f>
        <v>0</v>
      </c>
      <c r="AE65" s="6">
        <f ca="1">IF(MONTH(sim.tbl[[#This Row],[SDate]])=INDEX(mthLkUp.tbl[Num],MATCH(AE$3,mthLkUp.tbl[Month],0)),1,0)</f>
        <v>0</v>
      </c>
      <c r="AF65" s="6">
        <f ca="1">IF(MONTH(sim.tbl[[#This Row],[SDate]])=INDEX(mthLkUp.tbl[Num],MATCH(AF$3,mthLkUp.tbl[Month],0)),1,0)</f>
        <v>0</v>
      </c>
      <c r="AG65" s="6">
        <f ca="1">IF(MONTH(sim.tbl[[#This Row],[SDate]])=INDEX(mthLkUp.tbl[Num],MATCH(AG$3,mthLkUp.tbl[Month],0)),1,0)</f>
        <v>0</v>
      </c>
      <c r="AH65" s="6">
        <f ca="1">IF(MONTH(sim.tbl[[#This Row],[SDate]])=INDEX(mthLkUp.tbl[Num],MATCH(AH$3,mthLkUp.tbl[Month],0)),1,0)</f>
        <v>0</v>
      </c>
      <c r="AI65" s="6">
        <f ca="1">IF(MONTH(sim.tbl[[#This Row],[SDate]])=INDEX(mthLkUp.tbl[Num],MATCH(AI$3,mthLkUp.tbl[Month],0)),1,0)</f>
        <v>0</v>
      </c>
      <c r="AJ65" s="6">
        <f ca="1">IF(MONTH(sim.tbl[[#This Row],[SDate]])=INDEX(mthLkUp.tbl[Num],MATCH(AJ$3,mthLkUp.tbl[Month],0)),1,0)</f>
        <v>0</v>
      </c>
      <c r="AK65" s="6">
        <v>1</v>
      </c>
      <c r="AL65" s="5">
        <f>sim.tbl[[#This Row],[Sulf]]*sim.tbl[[#This Row],[C5]]</f>
        <v>0</v>
      </c>
      <c r="AM65" s="5">
        <f>sim.tbl[[#This Row],[Sulf]]*sim.tbl[[#This Row],[Light_LSB]]</f>
        <v>0</v>
      </c>
      <c r="AN65" s="5">
        <f>sim.tbl[[#This Row],[Sulf]]*sim.tbl[[#This Row],[Light_SW]]</f>
        <v>0</v>
      </c>
      <c r="AO65" s="5">
        <f>sim.tbl[[#This Row],[Sulf]]*sim.tbl[[#This Row],[Medium_LSB]]</f>
        <v>1.74</v>
      </c>
      <c r="AP65" s="5">
        <f>sim.tbl[[#This Row],[Sulf]]*sim.tbl[[#This Row],[Medium_SW]]</f>
        <v>0</v>
      </c>
      <c r="AQ65" s="5">
        <f>sim.tbl[[#This Row],[Sulf]]*sim.tbl[[#This Row],[Midale]]</f>
        <v>0</v>
      </c>
      <c r="AR65" s="5">
        <f>sim.tbl[[#This Row],[Sulf]]*sim.tbl[[#This Row],[Heavy_Sour]]</f>
        <v>0</v>
      </c>
      <c r="AS65" s="5">
        <f>sim.tbl[[#This Row],[Sulf]]*sim.tbl[[#This Row],[Heavy_SW]]</f>
        <v>0</v>
      </c>
      <c r="AT65" s="5">
        <f>sim.tbl[[#This Row],[Dens]]*sim.tbl[[#This Row],[C5]]</f>
        <v>0</v>
      </c>
      <c r="AU65" s="5">
        <f>sim.tbl[[#This Row],[Dens]]*sim.tbl[[#This Row],[Light_LSB]]</f>
        <v>0</v>
      </c>
      <c r="AV65" s="5">
        <f>sim.tbl[[#This Row],[Dens]]*sim.tbl[[#This Row],[Light_SW]]</f>
        <v>0</v>
      </c>
      <c r="AW65" s="5">
        <f>sim.tbl[[#This Row],[Dens]]*sim.tbl[[#This Row],[Medium_LSB]]</f>
        <v>838.3</v>
      </c>
      <c r="AX65" s="5">
        <f>sim.tbl[[#This Row],[Dens]]*sim.tbl[[#This Row],[Medium_SW]]</f>
        <v>0</v>
      </c>
      <c r="AY65" s="5">
        <f>sim.tbl[[#This Row],[Dens]]*sim.tbl[[#This Row],[Midale]]</f>
        <v>0</v>
      </c>
      <c r="AZ65" s="5">
        <f>sim.tbl[[#This Row],[Dens]]*sim.tbl[[#This Row],[Heavy_Sour]]</f>
        <v>0</v>
      </c>
      <c r="BA65" s="5">
        <f>sim.tbl[[#This Row],[Dens]]*sim.tbl[[#This Row],[Heavy_SW]]</f>
        <v>0</v>
      </c>
      <c r="BB65" s="5">
        <f>sim.tbl[[#This Row],[Temp.Roll]]*sim.tbl[[#This Row],[C5]]</f>
        <v>0</v>
      </c>
      <c r="BC65" s="5">
        <f>sim.tbl[[#This Row],[Temp.Roll]]*sim.tbl[[#This Row],[Light_LSB]]</f>
        <v>0</v>
      </c>
      <c r="BD65" s="5">
        <f>sim.tbl[[#This Row],[Temp.Roll]]*sim.tbl[[#This Row],[Light_SW]]</f>
        <v>0</v>
      </c>
      <c r="BE65" s="5">
        <f>sim.tbl[[#This Row],[Temp.Roll]]*sim.tbl[[#This Row],[Medium_LSB]]</f>
        <v>9</v>
      </c>
      <c r="BF65" s="5">
        <f>sim.tbl[[#This Row],[Temp.Roll]]*sim.tbl[[#This Row],[Medium_SW]]</f>
        <v>0</v>
      </c>
      <c r="BG65" s="5">
        <f>sim.tbl[[#This Row],[Temp.Roll]]*sim.tbl[[#This Row],[Midale]]</f>
        <v>0</v>
      </c>
      <c r="BH65" s="5">
        <f>sim.tbl[[#This Row],[Temp.Roll]]*sim.tbl[[#This Row],[Heavy_Sour]]</f>
        <v>0</v>
      </c>
      <c r="BI65" s="5">
        <f>sim.tbl[[#This Row],[Temp.Roll]]*sim.tbl[[#This Row],[Heavy_SW]]</f>
        <v>0</v>
      </c>
    </row>
    <row r="66" spans="4:61" x14ac:dyDescent="0.25">
      <c r="D66" s="5">
        <f ca="1">SUMPRODUCT($F$1:$BI$1,sim.tbl[[#This Row],[Intercept]:[Temp.Roll:Heavy_SW]])</f>
        <v>80.005901158530492</v>
      </c>
      <c r="E66" s="14">
        <f ca="1">DATE(YEAR(TODAY()),INDEX(mthLkUp.tbl[Num],MATCH(mth.input,mthLkUp.tbl[Month],0)),1)</f>
        <v>42795</v>
      </c>
      <c r="F66" s="6">
        <f>1</f>
        <v>1</v>
      </c>
      <c r="G66" s="5">
        <v>1.24</v>
      </c>
      <c r="H66" s="5">
        <v>840.3</v>
      </c>
      <c r="I66" s="5">
        <v>-3.3166666669999998</v>
      </c>
      <c r="J66" s="5">
        <v>-3.4</v>
      </c>
      <c r="K66" s="5">
        <v>-2.7</v>
      </c>
      <c r="L66" s="5">
        <v>-3.4</v>
      </c>
      <c r="M66" s="5">
        <v>-4</v>
      </c>
      <c r="N66" s="5">
        <v>-3.5</v>
      </c>
      <c r="O66" s="5">
        <v>-3</v>
      </c>
      <c r="P66" s="5">
        <v>-3.3</v>
      </c>
      <c r="Q66" s="6">
        <f>IF(sim.tbl[[#This Row],[Dens]]&lt;=770,1,0)</f>
        <v>0</v>
      </c>
      <c r="R66" s="6">
        <f>IF(AND(sim.tbl[[#This Row],[Sulf]]&gt;0.5,sim.tbl[[#This Row],[Dens]]&gt;770,sim.tbl[[#This Row],[Dens]]&lt;=825),1,0)</f>
        <v>0</v>
      </c>
      <c r="S66" s="6">
        <f>IF(AND(sim.tbl[[#This Row],[Sulf]]&lt;=0.5,sim.tbl[[#This Row],[Dens]]&gt;770,sim.tbl[[#This Row],[Dens]]&lt;=825),1,0)</f>
        <v>0</v>
      </c>
      <c r="T66" s="6">
        <f>IF(AND(sim.tbl[[#This Row],[Sulf]]&gt;0.5,sim.tbl[[#This Row],[Dens]]&gt;825,sim.tbl[[#This Row],[Dens]]&lt;=870),1,0)</f>
        <v>1</v>
      </c>
      <c r="U66" s="6">
        <f>IF(AND(sim.tbl[[#This Row],[Sulf]]&lt;0.5,sim.tbl[[#This Row],[Dens]]&gt;825,sim.tbl[[#This Row],[Dens]]&lt;=900),1,0)</f>
        <v>0</v>
      </c>
      <c r="V66" s="6">
        <f>IF(AND(sim.tbl[[#This Row],[Sulf]]&gt;0.5,sim.tbl[[#This Row],[Dens]]&gt;870,sim.tbl[[#This Row],[Dens]]&lt;=900),1,0)</f>
        <v>0</v>
      </c>
      <c r="W66" s="6">
        <f>IF(AND(sim.tbl[[#This Row],[Sulf]]&gt;0.5,sim.tbl[[#This Row],[Dens]]&gt;900),1,0)</f>
        <v>0</v>
      </c>
      <c r="X66" s="6">
        <f>IF(AND(sim.tbl[[#This Row],[Sulf]]&lt;=0.5,sim.tbl[[#This Row],[Dens]]&gt;900),1,0)</f>
        <v>0</v>
      </c>
      <c r="Y66" s="6">
        <f ca="1">IF(MONTH(sim.tbl[[#This Row],[SDate]])=INDEX(mthLkUp.tbl[Num],MATCH(Y$3,mthLkUp.tbl[Month],0)),1,0)</f>
        <v>0</v>
      </c>
      <c r="Z66" s="6">
        <f ca="1">IF(MONTH(sim.tbl[[#This Row],[SDate]])=INDEX(mthLkUp.tbl[Num],MATCH(Z$3,mthLkUp.tbl[Month],0)),1,0)</f>
        <v>0</v>
      </c>
      <c r="AA66" s="6">
        <f ca="1">IF(MONTH(sim.tbl[[#This Row],[SDate]])=INDEX(mthLkUp.tbl[Num],MATCH(AA$3,mthLkUp.tbl[Month],0)),1,0)</f>
        <v>1</v>
      </c>
      <c r="AB66" s="6">
        <f ca="1">IF(MONTH(sim.tbl[[#This Row],[SDate]])=INDEX(mthLkUp.tbl[Num],MATCH(AB$3,mthLkUp.tbl[Month],0)),1,0)</f>
        <v>0</v>
      </c>
      <c r="AC66" s="6">
        <f ca="1">IF(MONTH(sim.tbl[[#This Row],[SDate]])=INDEX(mthLkUp.tbl[Num],MATCH(AC$3,mthLkUp.tbl[Month],0)),1,0)</f>
        <v>0</v>
      </c>
      <c r="AD66" s="6">
        <f ca="1">IF(MONTH(sim.tbl[[#This Row],[SDate]])=INDEX(mthLkUp.tbl[Num],MATCH(AD$3,mthLkUp.tbl[Month],0)),1,0)</f>
        <v>0</v>
      </c>
      <c r="AE66" s="6">
        <f ca="1">IF(MONTH(sim.tbl[[#This Row],[SDate]])=INDEX(mthLkUp.tbl[Num],MATCH(AE$3,mthLkUp.tbl[Month],0)),1,0)</f>
        <v>0</v>
      </c>
      <c r="AF66" s="6">
        <f ca="1">IF(MONTH(sim.tbl[[#This Row],[SDate]])=INDEX(mthLkUp.tbl[Num],MATCH(AF$3,mthLkUp.tbl[Month],0)),1,0)</f>
        <v>0</v>
      </c>
      <c r="AG66" s="6">
        <f ca="1">IF(MONTH(sim.tbl[[#This Row],[SDate]])=INDEX(mthLkUp.tbl[Num],MATCH(AG$3,mthLkUp.tbl[Month],0)),1,0)</f>
        <v>0</v>
      </c>
      <c r="AH66" s="6">
        <f ca="1">IF(MONTH(sim.tbl[[#This Row],[SDate]])=INDEX(mthLkUp.tbl[Num],MATCH(AH$3,mthLkUp.tbl[Month],0)),1,0)</f>
        <v>0</v>
      </c>
      <c r="AI66" s="6">
        <f ca="1">IF(MONTH(sim.tbl[[#This Row],[SDate]])=INDEX(mthLkUp.tbl[Num],MATCH(AI$3,mthLkUp.tbl[Month],0)),1,0)</f>
        <v>0</v>
      </c>
      <c r="AJ66" s="6">
        <f ca="1">IF(MONTH(sim.tbl[[#This Row],[SDate]])=INDEX(mthLkUp.tbl[Num],MATCH(AJ$3,mthLkUp.tbl[Month],0)),1,0)</f>
        <v>0</v>
      </c>
      <c r="AK66" s="6">
        <v>1</v>
      </c>
      <c r="AL66" s="5">
        <f>sim.tbl[[#This Row],[Sulf]]*sim.tbl[[#This Row],[C5]]</f>
        <v>0</v>
      </c>
      <c r="AM66" s="5">
        <f>sim.tbl[[#This Row],[Sulf]]*sim.tbl[[#This Row],[Light_LSB]]</f>
        <v>0</v>
      </c>
      <c r="AN66" s="5">
        <f>sim.tbl[[#This Row],[Sulf]]*sim.tbl[[#This Row],[Light_SW]]</f>
        <v>0</v>
      </c>
      <c r="AO66" s="5">
        <f>sim.tbl[[#This Row],[Sulf]]*sim.tbl[[#This Row],[Medium_LSB]]</f>
        <v>1.24</v>
      </c>
      <c r="AP66" s="5">
        <f>sim.tbl[[#This Row],[Sulf]]*sim.tbl[[#This Row],[Medium_SW]]</f>
        <v>0</v>
      </c>
      <c r="AQ66" s="5">
        <f>sim.tbl[[#This Row],[Sulf]]*sim.tbl[[#This Row],[Midale]]</f>
        <v>0</v>
      </c>
      <c r="AR66" s="5">
        <f>sim.tbl[[#This Row],[Sulf]]*sim.tbl[[#This Row],[Heavy_Sour]]</f>
        <v>0</v>
      </c>
      <c r="AS66" s="5">
        <f>sim.tbl[[#This Row],[Sulf]]*sim.tbl[[#This Row],[Heavy_SW]]</f>
        <v>0</v>
      </c>
      <c r="AT66" s="5">
        <f>sim.tbl[[#This Row],[Dens]]*sim.tbl[[#This Row],[C5]]</f>
        <v>0</v>
      </c>
      <c r="AU66" s="5">
        <f>sim.tbl[[#This Row],[Dens]]*sim.tbl[[#This Row],[Light_LSB]]</f>
        <v>0</v>
      </c>
      <c r="AV66" s="5">
        <f>sim.tbl[[#This Row],[Dens]]*sim.tbl[[#This Row],[Light_SW]]</f>
        <v>0</v>
      </c>
      <c r="AW66" s="5">
        <f>sim.tbl[[#This Row],[Dens]]*sim.tbl[[#This Row],[Medium_LSB]]</f>
        <v>840.3</v>
      </c>
      <c r="AX66" s="5">
        <f>sim.tbl[[#This Row],[Dens]]*sim.tbl[[#This Row],[Medium_SW]]</f>
        <v>0</v>
      </c>
      <c r="AY66" s="5">
        <f>sim.tbl[[#This Row],[Dens]]*sim.tbl[[#This Row],[Midale]]</f>
        <v>0</v>
      </c>
      <c r="AZ66" s="5">
        <f>sim.tbl[[#This Row],[Dens]]*sim.tbl[[#This Row],[Heavy_Sour]]</f>
        <v>0</v>
      </c>
      <c r="BA66" s="5">
        <f>sim.tbl[[#This Row],[Dens]]*sim.tbl[[#This Row],[Heavy_SW]]</f>
        <v>0</v>
      </c>
      <c r="BB66" s="5">
        <f>sim.tbl[[#This Row],[Temp.Roll]]*sim.tbl[[#This Row],[C5]]</f>
        <v>0</v>
      </c>
      <c r="BC66" s="5">
        <f>sim.tbl[[#This Row],[Temp.Roll]]*sim.tbl[[#This Row],[Light_LSB]]</f>
        <v>0</v>
      </c>
      <c r="BD66" s="5">
        <f>sim.tbl[[#This Row],[Temp.Roll]]*sim.tbl[[#This Row],[Light_SW]]</f>
        <v>0</v>
      </c>
      <c r="BE66" s="5">
        <f>sim.tbl[[#This Row],[Temp.Roll]]*sim.tbl[[#This Row],[Medium_LSB]]</f>
        <v>-3.4</v>
      </c>
      <c r="BF66" s="5">
        <f>sim.tbl[[#This Row],[Temp.Roll]]*sim.tbl[[#This Row],[Medium_SW]]</f>
        <v>0</v>
      </c>
      <c r="BG66" s="5">
        <f>sim.tbl[[#This Row],[Temp.Roll]]*sim.tbl[[#This Row],[Midale]]</f>
        <v>0</v>
      </c>
      <c r="BH66" s="5">
        <f>sim.tbl[[#This Row],[Temp.Roll]]*sim.tbl[[#This Row],[Heavy_Sour]]</f>
        <v>0</v>
      </c>
      <c r="BI66" s="5">
        <f>sim.tbl[[#This Row],[Temp.Roll]]*sim.tbl[[#This Row],[Heavy_SW]]</f>
        <v>0</v>
      </c>
    </row>
    <row r="67" spans="4:61" x14ac:dyDescent="0.25">
      <c r="D67" s="5">
        <f ca="1">SUMPRODUCT($F$1:$BI$1,sim.tbl[[#This Row],[Intercept]:[Temp.Roll:Heavy_SW]])</f>
        <v>78.459346110554293</v>
      </c>
      <c r="E67" s="14">
        <f ca="1">DATE(YEAR(TODAY()),INDEX(mthLkUp.tbl[Num],MATCH(mth.input,mthLkUp.tbl[Month],0)),1)</f>
        <v>42795</v>
      </c>
      <c r="F67" s="6">
        <f>1</f>
        <v>1</v>
      </c>
      <c r="G67" s="5">
        <v>1.0309999999999999</v>
      </c>
      <c r="H67" s="5">
        <v>843.9</v>
      </c>
      <c r="I67" s="5">
        <v>-1.266666667</v>
      </c>
      <c r="J67" s="5">
        <v>-2.1</v>
      </c>
      <c r="K67" s="5">
        <v>-0.2</v>
      </c>
      <c r="L67" s="5">
        <v>-2.1</v>
      </c>
      <c r="M67" s="5">
        <v>-1.5</v>
      </c>
      <c r="N67" s="5">
        <v>-2.2000000000000002</v>
      </c>
      <c r="O67" s="5">
        <v>-0.1</v>
      </c>
      <c r="P67" s="5">
        <v>-1.5</v>
      </c>
      <c r="Q67" s="6">
        <f>IF(sim.tbl[[#This Row],[Dens]]&lt;=770,1,0)</f>
        <v>0</v>
      </c>
      <c r="R67" s="6">
        <f>IF(AND(sim.tbl[[#This Row],[Sulf]]&gt;0.5,sim.tbl[[#This Row],[Dens]]&gt;770,sim.tbl[[#This Row],[Dens]]&lt;=825),1,0)</f>
        <v>0</v>
      </c>
      <c r="S67" s="6">
        <f>IF(AND(sim.tbl[[#This Row],[Sulf]]&lt;=0.5,sim.tbl[[#This Row],[Dens]]&gt;770,sim.tbl[[#This Row],[Dens]]&lt;=825),1,0)</f>
        <v>0</v>
      </c>
      <c r="T67" s="6">
        <f>IF(AND(sim.tbl[[#This Row],[Sulf]]&gt;0.5,sim.tbl[[#This Row],[Dens]]&gt;825,sim.tbl[[#This Row],[Dens]]&lt;=870),1,0)</f>
        <v>1</v>
      </c>
      <c r="U67" s="6">
        <f>IF(AND(sim.tbl[[#This Row],[Sulf]]&lt;0.5,sim.tbl[[#This Row],[Dens]]&gt;825,sim.tbl[[#This Row],[Dens]]&lt;=900),1,0)</f>
        <v>0</v>
      </c>
      <c r="V67" s="6">
        <f>IF(AND(sim.tbl[[#This Row],[Sulf]]&gt;0.5,sim.tbl[[#This Row],[Dens]]&gt;870,sim.tbl[[#This Row],[Dens]]&lt;=900),1,0)</f>
        <v>0</v>
      </c>
      <c r="W67" s="6">
        <f>IF(AND(sim.tbl[[#This Row],[Sulf]]&gt;0.5,sim.tbl[[#This Row],[Dens]]&gt;900),1,0)</f>
        <v>0</v>
      </c>
      <c r="X67" s="6">
        <f>IF(AND(sim.tbl[[#This Row],[Sulf]]&lt;=0.5,sim.tbl[[#This Row],[Dens]]&gt;900),1,0)</f>
        <v>0</v>
      </c>
      <c r="Y67" s="6">
        <f ca="1">IF(MONTH(sim.tbl[[#This Row],[SDate]])=INDEX(mthLkUp.tbl[Num],MATCH(Y$3,mthLkUp.tbl[Month],0)),1,0)</f>
        <v>0</v>
      </c>
      <c r="Z67" s="6">
        <f ca="1">IF(MONTH(sim.tbl[[#This Row],[SDate]])=INDEX(mthLkUp.tbl[Num],MATCH(Z$3,mthLkUp.tbl[Month],0)),1,0)</f>
        <v>0</v>
      </c>
      <c r="AA67" s="6">
        <f ca="1">IF(MONTH(sim.tbl[[#This Row],[SDate]])=INDEX(mthLkUp.tbl[Num],MATCH(AA$3,mthLkUp.tbl[Month],0)),1,0)</f>
        <v>1</v>
      </c>
      <c r="AB67" s="6">
        <f ca="1">IF(MONTH(sim.tbl[[#This Row],[SDate]])=INDEX(mthLkUp.tbl[Num],MATCH(AB$3,mthLkUp.tbl[Month],0)),1,0)</f>
        <v>0</v>
      </c>
      <c r="AC67" s="6">
        <f ca="1">IF(MONTH(sim.tbl[[#This Row],[SDate]])=INDEX(mthLkUp.tbl[Num],MATCH(AC$3,mthLkUp.tbl[Month],0)),1,0)</f>
        <v>0</v>
      </c>
      <c r="AD67" s="6">
        <f ca="1">IF(MONTH(sim.tbl[[#This Row],[SDate]])=INDEX(mthLkUp.tbl[Num],MATCH(AD$3,mthLkUp.tbl[Month],0)),1,0)</f>
        <v>0</v>
      </c>
      <c r="AE67" s="6">
        <f ca="1">IF(MONTH(sim.tbl[[#This Row],[SDate]])=INDEX(mthLkUp.tbl[Num],MATCH(AE$3,mthLkUp.tbl[Month],0)),1,0)</f>
        <v>0</v>
      </c>
      <c r="AF67" s="6">
        <f ca="1">IF(MONTH(sim.tbl[[#This Row],[SDate]])=INDEX(mthLkUp.tbl[Num],MATCH(AF$3,mthLkUp.tbl[Month],0)),1,0)</f>
        <v>0</v>
      </c>
      <c r="AG67" s="6">
        <f ca="1">IF(MONTH(sim.tbl[[#This Row],[SDate]])=INDEX(mthLkUp.tbl[Num],MATCH(AG$3,mthLkUp.tbl[Month],0)),1,0)</f>
        <v>0</v>
      </c>
      <c r="AH67" s="6">
        <f ca="1">IF(MONTH(sim.tbl[[#This Row],[SDate]])=INDEX(mthLkUp.tbl[Num],MATCH(AH$3,mthLkUp.tbl[Month],0)),1,0)</f>
        <v>0</v>
      </c>
      <c r="AI67" s="6">
        <f ca="1">IF(MONTH(sim.tbl[[#This Row],[SDate]])=INDEX(mthLkUp.tbl[Num],MATCH(AI$3,mthLkUp.tbl[Month],0)),1,0)</f>
        <v>0</v>
      </c>
      <c r="AJ67" s="6">
        <f ca="1">IF(MONTH(sim.tbl[[#This Row],[SDate]])=INDEX(mthLkUp.tbl[Num],MATCH(AJ$3,mthLkUp.tbl[Month],0)),1,0)</f>
        <v>0</v>
      </c>
      <c r="AK67" s="6">
        <v>1</v>
      </c>
      <c r="AL67" s="5">
        <f>sim.tbl[[#This Row],[Sulf]]*sim.tbl[[#This Row],[C5]]</f>
        <v>0</v>
      </c>
      <c r="AM67" s="5">
        <f>sim.tbl[[#This Row],[Sulf]]*sim.tbl[[#This Row],[Light_LSB]]</f>
        <v>0</v>
      </c>
      <c r="AN67" s="5">
        <f>sim.tbl[[#This Row],[Sulf]]*sim.tbl[[#This Row],[Light_SW]]</f>
        <v>0</v>
      </c>
      <c r="AO67" s="5">
        <f>sim.tbl[[#This Row],[Sulf]]*sim.tbl[[#This Row],[Medium_LSB]]</f>
        <v>1.0309999999999999</v>
      </c>
      <c r="AP67" s="5">
        <f>sim.tbl[[#This Row],[Sulf]]*sim.tbl[[#This Row],[Medium_SW]]</f>
        <v>0</v>
      </c>
      <c r="AQ67" s="5">
        <f>sim.tbl[[#This Row],[Sulf]]*sim.tbl[[#This Row],[Midale]]</f>
        <v>0</v>
      </c>
      <c r="AR67" s="5">
        <f>sim.tbl[[#This Row],[Sulf]]*sim.tbl[[#This Row],[Heavy_Sour]]</f>
        <v>0</v>
      </c>
      <c r="AS67" s="5">
        <f>sim.tbl[[#This Row],[Sulf]]*sim.tbl[[#This Row],[Heavy_SW]]</f>
        <v>0</v>
      </c>
      <c r="AT67" s="5">
        <f>sim.tbl[[#This Row],[Dens]]*sim.tbl[[#This Row],[C5]]</f>
        <v>0</v>
      </c>
      <c r="AU67" s="5">
        <f>sim.tbl[[#This Row],[Dens]]*sim.tbl[[#This Row],[Light_LSB]]</f>
        <v>0</v>
      </c>
      <c r="AV67" s="5">
        <f>sim.tbl[[#This Row],[Dens]]*sim.tbl[[#This Row],[Light_SW]]</f>
        <v>0</v>
      </c>
      <c r="AW67" s="5">
        <f>sim.tbl[[#This Row],[Dens]]*sim.tbl[[#This Row],[Medium_LSB]]</f>
        <v>843.9</v>
      </c>
      <c r="AX67" s="5">
        <f>sim.tbl[[#This Row],[Dens]]*sim.tbl[[#This Row],[Medium_SW]]</f>
        <v>0</v>
      </c>
      <c r="AY67" s="5">
        <f>sim.tbl[[#This Row],[Dens]]*sim.tbl[[#This Row],[Midale]]</f>
        <v>0</v>
      </c>
      <c r="AZ67" s="5">
        <f>sim.tbl[[#This Row],[Dens]]*sim.tbl[[#This Row],[Heavy_Sour]]</f>
        <v>0</v>
      </c>
      <c r="BA67" s="5">
        <f>sim.tbl[[#This Row],[Dens]]*sim.tbl[[#This Row],[Heavy_SW]]</f>
        <v>0</v>
      </c>
      <c r="BB67" s="5">
        <f>sim.tbl[[#This Row],[Temp.Roll]]*sim.tbl[[#This Row],[C5]]</f>
        <v>0</v>
      </c>
      <c r="BC67" s="5">
        <f>sim.tbl[[#This Row],[Temp.Roll]]*sim.tbl[[#This Row],[Light_LSB]]</f>
        <v>0</v>
      </c>
      <c r="BD67" s="5">
        <f>sim.tbl[[#This Row],[Temp.Roll]]*sim.tbl[[#This Row],[Light_SW]]</f>
        <v>0</v>
      </c>
      <c r="BE67" s="5">
        <f>sim.tbl[[#This Row],[Temp.Roll]]*sim.tbl[[#This Row],[Medium_LSB]]</f>
        <v>-2.1</v>
      </c>
      <c r="BF67" s="5">
        <f>sim.tbl[[#This Row],[Temp.Roll]]*sim.tbl[[#This Row],[Medium_SW]]</f>
        <v>0</v>
      </c>
      <c r="BG67" s="5">
        <f>sim.tbl[[#This Row],[Temp.Roll]]*sim.tbl[[#This Row],[Midale]]</f>
        <v>0</v>
      </c>
      <c r="BH67" s="5">
        <f>sim.tbl[[#This Row],[Temp.Roll]]*sim.tbl[[#This Row],[Heavy_Sour]]</f>
        <v>0</v>
      </c>
      <c r="BI67" s="5">
        <f>sim.tbl[[#This Row],[Temp.Roll]]*sim.tbl[[#This Row],[Heavy_SW]]</f>
        <v>0</v>
      </c>
    </row>
    <row r="68" spans="4:61" x14ac:dyDescent="0.25">
      <c r="D68" s="5">
        <f ca="1">SUMPRODUCT($F$1:$BI$1,sim.tbl[[#This Row],[Intercept]:[Temp.Roll:Heavy_SW]])</f>
        <v>77.859677568472563</v>
      </c>
      <c r="E68" s="14">
        <f ca="1">DATE(YEAR(TODAY()),INDEX(mthLkUp.tbl[Num],MATCH(mth.input,mthLkUp.tbl[Month],0)),1)</f>
        <v>42795</v>
      </c>
      <c r="F68" s="6">
        <f>1</f>
        <v>1</v>
      </c>
      <c r="G68" s="5">
        <v>1.0589999999999999</v>
      </c>
      <c r="H68" s="5">
        <v>833.9</v>
      </c>
      <c r="I68" s="5">
        <v>7.016666667</v>
      </c>
      <c r="J68" s="5">
        <v>7.9</v>
      </c>
      <c r="K68" s="5">
        <v>7.5</v>
      </c>
      <c r="L68" s="5">
        <v>7.9</v>
      </c>
      <c r="M68" s="5">
        <v>6.5</v>
      </c>
      <c r="N68" s="5">
        <v>7.8</v>
      </c>
      <c r="O68" s="5">
        <v>6.9</v>
      </c>
      <c r="P68" s="5">
        <v>5.5</v>
      </c>
      <c r="Q68" s="6">
        <f>IF(sim.tbl[[#This Row],[Dens]]&lt;=770,1,0)</f>
        <v>0</v>
      </c>
      <c r="R68" s="6">
        <f>IF(AND(sim.tbl[[#This Row],[Sulf]]&gt;0.5,sim.tbl[[#This Row],[Dens]]&gt;770,sim.tbl[[#This Row],[Dens]]&lt;=825),1,0)</f>
        <v>0</v>
      </c>
      <c r="S68" s="6">
        <f>IF(AND(sim.tbl[[#This Row],[Sulf]]&lt;=0.5,sim.tbl[[#This Row],[Dens]]&gt;770,sim.tbl[[#This Row],[Dens]]&lt;=825),1,0)</f>
        <v>0</v>
      </c>
      <c r="T68" s="6">
        <f>IF(AND(sim.tbl[[#This Row],[Sulf]]&gt;0.5,sim.tbl[[#This Row],[Dens]]&gt;825,sim.tbl[[#This Row],[Dens]]&lt;=870),1,0)</f>
        <v>1</v>
      </c>
      <c r="U68" s="6">
        <f>IF(AND(sim.tbl[[#This Row],[Sulf]]&lt;0.5,sim.tbl[[#This Row],[Dens]]&gt;825,sim.tbl[[#This Row],[Dens]]&lt;=900),1,0)</f>
        <v>0</v>
      </c>
      <c r="V68" s="6">
        <f>IF(AND(sim.tbl[[#This Row],[Sulf]]&gt;0.5,sim.tbl[[#This Row],[Dens]]&gt;870,sim.tbl[[#This Row],[Dens]]&lt;=900),1,0)</f>
        <v>0</v>
      </c>
      <c r="W68" s="6">
        <f>IF(AND(sim.tbl[[#This Row],[Sulf]]&gt;0.5,sim.tbl[[#This Row],[Dens]]&gt;900),1,0)</f>
        <v>0</v>
      </c>
      <c r="X68" s="6">
        <f>IF(AND(sim.tbl[[#This Row],[Sulf]]&lt;=0.5,sim.tbl[[#This Row],[Dens]]&gt;900),1,0)</f>
        <v>0</v>
      </c>
      <c r="Y68" s="6">
        <f ca="1">IF(MONTH(sim.tbl[[#This Row],[SDate]])=INDEX(mthLkUp.tbl[Num],MATCH(Y$3,mthLkUp.tbl[Month],0)),1,0)</f>
        <v>0</v>
      </c>
      <c r="Z68" s="6">
        <f ca="1">IF(MONTH(sim.tbl[[#This Row],[SDate]])=INDEX(mthLkUp.tbl[Num],MATCH(Z$3,mthLkUp.tbl[Month],0)),1,0)</f>
        <v>0</v>
      </c>
      <c r="AA68" s="6">
        <f ca="1">IF(MONTH(sim.tbl[[#This Row],[SDate]])=INDEX(mthLkUp.tbl[Num],MATCH(AA$3,mthLkUp.tbl[Month],0)),1,0)</f>
        <v>1</v>
      </c>
      <c r="AB68" s="6">
        <f ca="1">IF(MONTH(sim.tbl[[#This Row],[SDate]])=INDEX(mthLkUp.tbl[Num],MATCH(AB$3,mthLkUp.tbl[Month],0)),1,0)</f>
        <v>0</v>
      </c>
      <c r="AC68" s="6">
        <f ca="1">IF(MONTH(sim.tbl[[#This Row],[SDate]])=INDEX(mthLkUp.tbl[Num],MATCH(AC$3,mthLkUp.tbl[Month],0)),1,0)</f>
        <v>0</v>
      </c>
      <c r="AD68" s="6">
        <f ca="1">IF(MONTH(sim.tbl[[#This Row],[SDate]])=INDEX(mthLkUp.tbl[Num],MATCH(AD$3,mthLkUp.tbl[Month],0)),1,0)</f>
        <v>0</v>
      </c>
      <c r="AE68" s="6">
        <f ca="1">IF(MONTH(sim.tbl[[#This Row],[SDate]])=INDEX(mthLkUp.tbl[Num],MATCH(AE$3,mthLkUp.tbl[Month],0)),1,0)</f>
        <v>0</v>
      </c>
      <c r="AF68" s="6">
        <f ca="1">IF(MONTH(sim.tbl[[#This Row],[SDate]])=INDEX(mthLkUp.tbl[Num],MATCH(AF$3,mthLkUp.tbl[Month],0)),1,0)</f>
        <v>0</v>
      </c>
      <c r="AG68" s="6">
        <f ca="1">IF(MONTH(sim.tbl[[#This Row],[SDate]])=INDEX(mthLkUp.tbl[Num],MATCH(AG$3,mthLkUp.tbl[Month],0)),1,0)</f>
        <v>0</v>
      </c>
      <c r="AH68" s="6">
        <f ca="1">IF(MONTH(sim.tbl[[#This Row],[SDate]])=INDEX(mthLkUp.tbl[Num],MATCH(AH$3,mthLkUp.tbl[Month],0)),1,0)</f>
        <v>0</v>
      </c>
      <c r="AI68" s="6">
        <f ca="1">IF(MONTH(sim.tbl[[#This Row],[SDate]])=INDEX(mthLkUp.tbl[Num],MATCH(AI$3,mthLkUp.tbl[Month],0)),1,0)</f>
        <v>0</v>
      </c>
      <c r="AJ68" s="6">
        <f ca="1">IF(MONTH(sim.tbl[[#This Row],[SDate]])=INDEX(mthLkUp.tbl[Num],MATCH(AJ$3,mthLkUp.tbl[Month],0)),1,0)</f>
        <v>0</v>
      </c>
      <c r="AK68" s="6">
        <v>1</v>
      </c>
      <c r="AL68" s="5">
        <f>sim.tbl[[#This Row],[Sulf]]*sim.tbl[[#This Row],[C5]]</f>
        <v>0</v>
      </c>
      <c r="AM68" s="5">
        <f>sim.tbl[[#This Row],[Sulf]]*sim.tbl[[#This Row],[Light_LSB]]</f>
        <v>0</v>
      </c>
      <c r="AN68" s="5">
        <f>sim.tbl[[#This Row],[Sulf]]*sim.tbl[[#This Row],[Light_SW]]</f>
        <v>0</v>
      </c>
      <c r="AO68" s="5">
        <f>sim.tbl[[#This Row],[Sulf]]*sim.tbl[[#This Row],[Medium_LSB]]</f>
        <v>1.0589999999999999</v>
      </c>
      <c r="AP68" s="5">
        <f>sim.tbl[[#This Row],[Sulf]]*sim.tbl[[#This Row],[Medium_SW]]</f>
        <v>0</v>
      </c>
      <c r="AQ68" s="5">
        <f>sim.tbl[[#This Row],[Sulf]]*sim.tbl[[#This Row],[Midale]]</f>
        <v>0</v>
      </c>
      <c r="AR68" s="5">
        <f>sim.tbl[[#This Row],[Sulf]]*sim.tbl[[#This Row],[Heavy_Sour]]</f>
        <v>0</v>
      </c>
      <c r="AS68" s="5">
        <f>sim.tbl[[#This Row],[Sulf]]*sim.tbl[[#This Row],[Heavy_SW]]</f>
        <v>0</v>
      </c>
      <c r="AT68" s="5">
        <f>sim.tbl[[#This Row],[Dens]]*sim.tbl[[#This Row],[C5]]</f>
        <v>0</v>
      </c>
      <c r="AU68" s="5">
        <f>sim.tbl[[#This Row],[Dens]]*sim.tbl[[#This Row],[Light_LSB]]</f>
        <v>0</v>
      </c>
      <c r="AV68" s="5">
        <f>sim.tbl[[#This Row],[Dens]]*sim.tbl[[#This Row],[Light_SW]]</f>
        <v>0</v>
      </c>
      <c r="AW68" s="5">
        <f>sim.tbl[[#This Row],[Dens]]*sim.tbl[[#This Row],[Medium_LSB]]</f>
        <v>833.9</v>
      </c>
      <c r="AX68" s="5">
        <f>sim.tbl[[#This Row],[Dens]]*sim.tbl[[#This Row],[Medium_SW]]</f>
        <v>0</v>
      </c>
      <c r="AY68" s="5">
        <f>sim.tbl[[#This Row],[Dens]]*sim.tbl[[#This Row],[Midale]]</f>
        <v>0</v>
      </c>
      <c r="AZ68" s="5">
        <f>sim.tbl[[#This Row],[Dens]]*sim.tbl[[#This Row],[Heavy_Sour]]</f>
        <v>0</v>
      </c>
      <c r="BA68" s="5">
        <f>sim.tbl[[#This Row],[Dens]]*sim.tbl[[#This Row],[Heavy_SW]]</f>
        <v>0</v>
      </c>
      <c r="BB68" s="5">
        <f>sim.tbl[[#This Row],[Temp.Roll]]*sim.tbl[[#This Row],[C5]]</f>
        <v>0</v>
      </c>
      <c r="BC68" s="5">
        <f>sim.tbl[[#This Row],[Temp.Roll]]*sim.tbl[[#This Row],[Light_LSB]]</f>
        <v>0</v>
      </c>
      <c r="BD68" s="5">
        <f>sim.tbl[[#This Row],[Temp.Roll]]*sim.tbl[[#This Row],[Light_SW]]</f>
        <v>0</v>
      </c>
      <c r="BE68" s="5">
        <f>sim.tbl[[#This Row],[Temp.Roll]]*sim.tbl[[#This Row],[Medium_LSB]]</f>
        <v>7.9</v>
      </c>
      <c r="BF68" s="5">
        <f>sim.tbl[[#This Row],[Temp.Roll]]*sim.tbl[[#This Row],[Medium_SW]]</f>
        <v>0</v>
      </c>
      <c r="BG68" s="5">
        <f>sim.tbl[[#This Row],[Temp.Roll]]*sim.tbl[[#This Row],[Midale]]</f>
        <v>0</v>
      </c>
      <c r="BH68" s="5">
        <f>sim.tbl[[#This Row],[Temp.Roll]]*sim.tbl[[#This Row],[Heavy_Sour]]</f>
        <v>0</v>
      </c>
      <c r="BI68" s="5">
        <f>sim.tbl[[#This Row],[Temp.Roll]]*sim.tbl[[#This Row],[Heavy_SW]]</f>
        <v>0</v>
      </c>
    </row>
    <row r="69" spans="4:61" x14ac:dyDescent="0.25">
      <c r="D69" s="5">
        <f ca="1">SUMPRODUCT($F$1:$BI$1,sim.tbl[[#This Row],[Intercept]:[Temp.Roll:Heavy_SW]])</f>
        <v>86.284869648435276</v>
      </c>
      <c r="E69" s="14">
        <f ca="1">DATE(YEAR(TODAY()),INDEX(mthLkUp.tbl[Num],MATCH(mth.input,mthLkUp.tbl[Month],0)),1)</f>
        <v>42795</v>
      </c>
      <c r="F69" s="6">
        <f>1</f>
        <v>1</v>
      </c>
      <c r="G69" s="5">
        <v>0.189</v>
      </c>
      <c r="H69" s="5">
        <v>807.5</v>
      </c>
      <c r="I69" s="5">
        <v>4.9666666670000001</v>
      </c>
      <c r="J69" s="5">
        <v>5.3</v>
      </c>
      <c r="K69" s="5">
        <v>5.5</v>
      </c>
      <c r="L69" s="5">
        <v>5.3</v>
      </c>
      <c r="M69" s="5">
        <v>3.8</v>
      </c>
      <c r="N69" s="5">
        <v>6.3</v>
      </c>
      <c r="O69" s="5">
        <v>5.3</v>
      </c>
      <c r="P69" s="5">
        <v>3.6</v>
      </c>
      <c r="Q69" s="6">
        <f>IF(sim.tbl[[#This Row],[Dens]]&lt;=770,1,0)</f>
        <v>0</v>
      </c>
      <c r="R69" s="6">
        <f>IF(AND(sim.tbl[[#This Row],[Sulf]]&gt;0.5,sim.tbl[[#This Row],[Dens]]&gt;770,sim.tbl[[#This Row],[Dens]]&lt;=825),1,0)</f>
        <v>0</v>
      </c>
      <c r="S69" s="6">
        <f>IF(AND(sim.tbl[[#This Row],[Sulf]]&lt;=0.5,sim.tbl[[#This Row],[Dens]]&gt;770,sim.tbl[[#This Row],[Dens]]&lt;=825),1,0)</f>
        <v>1</v>
      </c>
      <c r="T69" s="6">
        <f>IF(AND(sim.tbl[[#This Row],[Sulf]]&gt;0.5,sim.tbl[[#This Row],[Dens]]&gt;825,sim.tbl[[#This Row],[Dens]]&lt;=870),1,0)</f>
        <v>0</v>
      </c>
      <c r="U69" s="6">
        <f>IF(AND(sim.tbl[[#This Row],[Sulf]]&lt;0.5,sim.tbl[[#This Row],[Dens]]&gt;825,sim.tbl[[#This Row],[Dens]]&lt;=900),1,0)</f>
        <v>0</v>
      </c>
      <c r="V69" s="6">
        <f>IF(AND(sim.tbl[[#This Row],[Sulf]]&gt;0.5,sim.tbl[[#This Row],[Dens]]&gt;870,sim.tbl[[#This Row],[Dens]]&lt;=900),1,0)</f>
        <v>0</v>
      </c>
      <c r="W69" s="6">
        <f>IF(AND(sim.tbl[[#This Row],[Sulf]]&gt;0.5,sim.tbl[[#This Row],[Dens]]&gt;900),1,0)</f>
        <v>0</v>
      </c>
      <c r="X69" s="6">
        <f>IF(AND(sim.tbl[[#This Row],[Sulf]]&lt;=0.5,sim.tbl[[#This Row],[Dens]]&gt;900),1,0)</f>
        <v>0</v>
      </c>
      <c r="Y69" s="6">
        <f ca="1">IF(MONTH(sim.tbl[[#This Row],[SDate]])=INDEX(mthLkUp.tbl[Num],MATCH(Y$3,mthLkUp.tbl[Month],0)),1,0)</f>
        <v>0</v>
      </c>
      <c r="Z69" s="6">
        <f ca="1">IF(MONTH(sim.tbl[[#This Row],[SDate]])=INDEX(mthLkUp.tbl[Num],MATCH(Z$3,mthLkUp.tbl[Month],0)),1,0)</f>
        <v>0</v>
      </c>
      <c r="AA69" s="6">
        <f ca="1">IF(MONTH(sim.tbl[[#This Row],[SDate]])=INDEX(mthLkUp.tbl[Num],MATCH(AA$3,mthLkUp.tbl[Month],0)),1,0)</f>
        <v>1</v>
      </c>
      <c r="AB69" s="6">
        <f ca="1">IF(MONTH(sim.tbl[[#This Row],[SDate]])=INDEX(mthLkUp.tbl[Num],MATCH(AB$3,mthLkUp.tbl[Month],0)),1,0)</f>
        <v>0</v>
      </c>
      <c r="AC69" s="6">
        <f ca="1">IF(MONTH(sim.tbl[[#This Row],[SDate]])=INDEX(mthLkUp.tbl[Num],MATCH(AC$3,mthLkUp.tbl[Month],0)),1,0)</f>
        <v>0</v>
      </c>
      <c r="AD69" s="6">
        <f ca="1">IF(MONTH(sim.tbl[[#This Row],[SDate]])=INDEX(mthLkUp.tbl[Num],MATCH(AD$3,mthLkUp.tbl[Month],0)),1,0)</f>
        <v>0</v>
      </c>
      <c r="AE69" s="6">
        <f ca="1">IF(MONTH(sim.tbl[[#This Row],[SDate]])=INDEX(mthLkUp.tbl[Num],MATCH(AE$3,mthLkUp.tbl[Month],0)),1,0)</f>
        <v>0</v>
      </c>
      <c r="AF69" s="6">
        <f ca="1">IF(MONTH(sim.tbl[[#This Row],[SDate]])=INDEX(mthLkUp.tbl[Num],MATCH(AF$3,mthLkUp.tbl[Month],0)),1,0)</f>
        <v>0</v>
      </c>
      <c r="AG69" s="6">
        <f ca="1">IF(MONTH(sim.tbl[[#This Row],[SDate]])=INDEX(mthLkUp.tbl[Num],MATCH(AG$3,mthLkUp.tbl[Month],0)),1,0)</f>
        <v>0</v>
      </c>
      <c r="AH69" s="6">
        <f ca="1">IF(MONTH(sim.tbl[[#This Row],[SDate]])=INDEX(mthLkUp.tbl[Num],MATCH(AH$3,mthLkUp.tbl[Month],0)),1,0)</f>
        <v>0</v>
      </c>
      <c r="AI69" s="6">
        <f ca="1">IF(MONTH(sim.tbl[[#This Row],[SDate]])=INDEX(mthLkUp.tbl[Num],MATCH(AI$3,mthLkUp.tbl[Month],0)),1,0)</f>
        <v>0</v>
      </c>
      <c r="AJ69" s="6">
        <f ca="1">IF(MONTH(sim.tbl[[#This Row],[SDate]])=INDEX(mthLkUp.tbl[Num],MATCH(AJ$3,mthLkUp.tbl[Month],0)),1,0)</f>
        <v>0</v>
      </c>
      <c r="AK69" s="6">
        <v>1</v>
      </c>
      <c r="AL69" s="5">
        <f>sim.tbl[[#This Row],[Sulf]]*sim.tbl[[#This Row],[C5]]</f>
        <v>0</v>
      </c>
      <c r="AM69" s="5">
        <f>sim.tbl[[#This Row],[Sulf]]*sim.tbl[[#This Row],[Light_LSB]]</f>
        <v>0</v>
      </c>
      <c r="AN69" s="5">
        <f>sim.tbl[[#This Row],[Sulf]]*sim.tbl[[#This Row],[Light_SW]]</f>
        <v>0.189</v>
      </c>
      <c r="AO69" s="5">
        <f>sim.tbl[[#This Row],[Sulf]]*sim.tbl[[#This Row],[Medium_LSB]]</f>
        <v>0</v>
      </c>
      <c r="AP69" s="5">
        <f>sim.tbl[[#This Row],[Sulf]]*sim.tbl[[#This Row],[Medium_SW]]</f>
        <v>0</v>
      </c>
      <c r="AQ69" s="5">
        <f>sim.tbl[[#This Row],[Sulf]]*sim.tbl[[#This Row],[Midale]]</f>
        <v>0</v>
      </c>
      <c r="AR69" s="5">
        <f>sim.tbl[[#This Row],[Sulf]]*sim.tbl[[#This Row],[Heavy_Sour]]</f>
        <v>0</v>
      </c>
      <c r="AS69" s="5">
        <f>sim.tbl[[#This Row],[Sulf]]*sim.tbl[[#This Row],[Heavy_SW]]</f>
        <v>0</v>
      </c>
      <c r="AT69" s="5">
        <f>sim.tbl[[#This Row],[Dens]]*sim.tbl[[#This Row],[C5]]</f>
        <v>0</v>
      </c>
      <c r="AU69" s="5">
        <f>sim.tbl[[#This Row],[Dens]]*sim.tbl[[#This Row],[Light_LSB]]</f>
        <v>0</v>
      </c>
      <c r="AV69" s="5">
        <f>sim.tbl[[#This Row],[Dens]]*sim.tbl[[#This Row],[Light_SW]]</f>
        <v>807.5</v>
      </c>
      <c r="AW69" s="5">
        <f>sim.tbl[[#This Row],[Dens]]*sim.tbl[[#This Row],[Medium_LSB]]</f>
        <v>0</v>
      </c>
      <c r="AX69" s="5">
        <f>sim.tbl[[#This Row],[Dens]]*sim.tbl[[#This Row],[Medium_SW]]</f>
        <v>0</v>
      </c>
      <c r="AY69" s="5">
        <f>sim.tbl[[#This Row],[Dens]]*sim.tbl[[#This Row],[Midale]]</f>
        <v>0</v>
      </c>
      <c r="AZ69" s="5">
        <f>sim.tbl[[#This Row],[Dens]]*sim.tbl[[#This Row],[Heavy_Sour]]</f>
        <v>0</v>
      </c>
      <c r="BA69" s="5">
        <f>sim.tbl[[#This Row],[Dens]]*sim.tbl[[#This Row],[Heavy_SW]]</f>
        <v>0</v>
      </c>
      <c r="BB69" s="5">
        <f>sim.tbl[[#This Row],[Temp.Roll]]*sim.tbl[[#This Row],[C5]]</f>
        <v>0</v>
      </c>
      <c r="BC69" s="5">
        <f>sim.tbl[[#This Row],[Temp.Roll]]*sim.tbl[[#This Row],[Light_LSB]]</f>
        <v>0</v>
      </c>
      <c r="BD69" s="5">
        <f>sim.tbl[[#This Row],[Temp.Roll]]*sim.tbl[[#This Row],[Light_SW]]</f>
        <v>5.3</v>
      </c>
      <c r="BE69" s="5">
        <f>sim.tbl[[#This Row],[Temp.Roll]]*sim.tbl[[#This Row],[Medium_LSB]]</f>
        <v>0</v>
      </c>
      <c r="BF69" s="5">
        <f>sim.tbl[[#This Row],[Temp.Roll]]*sim.tbl[[#This Row],[Medium_SW]]</f>
        <v>0</v>
      </c>
      <c r="BG69" s="5">
        <f>sim.tbl[[#This Row],[Temp.Roll]]*sim.tbl[[#This Row],[Midale]]</f>
        <v>0</v>
      </c>
      <c r="BH69" s="5">
        <f>sim.tbl[[#This Row],[Temp.Roll]]*sim.tbl[[#This Row],[Heavy_Sour]]</f>
        <v>0</v>
      </c>
      <c r="BI69" s="5">
        <f>sim.tbl[[#This Row],[Temp.Roll]]*sim.tbl[[#This Row],[Heavy_SW]]</f>
        <v>0</v>
      </c>
    </row>
    <row r="70" spans="4:61" x14ac:dyDescent="0.25">
      <c r="D70" s="5">
        <f ca="1">SUMPRODUCT($F$1:$BI$1,sim.tbl[[#This Row],[Intercept]:[Temp.Roll:Heavy_SW]])</f>
        <v>84.410972943546199</v>
      </c>
      <c r="E70" s="14">
        <f ca="1">DATE(YEAR(TODAY()),INDEX(mthLkUp.tbl[Num],MATCH(mth.input,mthLkUp.tbl[Month],0)),1)</f>
        <v>42795</v>
      </c>
      <c r="F70" s="6">
        <f>1</f>
        <v>1</v>
      </c>
      <c r="G70" s="5">
        <v>0.56599999999999995</v>
      </c>
      <c r="H70" s="5">
        <v>818.3</v>
      </c>
      <c r="I70" s="5">
        <v>5.7</v>
      </c>
      <c r="J70" s="5">
        <v>6</v>
      </c>
      <c r="K70" s="5">
        <v>4.4000000000000004</v>
      </c>
      <c r="L70" s="5">
        <v>6</v>
      </c>
      <c r="M70" s="5">
        <v>6.3</v>
      </c>
      <c r="N70" s="5">
        <v>7</v>
      </c>
      <c r="O70" s="5">
        <v>5.8</v>
      </c>
      <c r="P70" s="5">
        <v>5.3</v>
      </c>
      <c r="Q70" s="6">
        <f>IF(sim.tbl[[#This Row],[Dens]]&lt;=770,1,0)</f>
        <v>0</v>
      </c>
      <c r="R70" s="6">
        <f>IF(AND(sim.tbl[[#This Row],[Sulf]]&gt;0.5,sim.tbl[[#This Row],[Dens]]&gt;770,sim.tbl[[#This Row],[Dens]]&lt;=825),1,0)</f>
        <v>1</v>
      </c>
      <c r="S70" s="6">
        <f>IF(AND(sim.tbl[[#This Row],[Sulf]]&lt;=0.5,sim.tbl[[#This Row],[Dens]]&gt;770,sim.tbl[[#This Row],[Dens]]&lt;=825),1,0)</f>
        <v>0</v>
      </c>
      <c r="T70" s="6">
        <f>IF(AND(sim.tbl[[#This Row],[Sulf]]&gt;0.5,sim.tbl[[#This Row],[Dens]]&gt;825,sim.tbl[[#This Row],[Dens]]&lt;=870),1,0)</f>
        <v>0</v>
      </c>
      <c r="U70" s="6">
        <f>IF(AND(sim.tbl[[#This Row],[Sulf]]&lt;0.5,sim.tbl[[#This Row],[Dens]]&gt;825,sim.tbl[[#This Row],[Dens]]&lt;=900),1,0)</f>
        <v>0</v>
      </c>
      <c r="V70" s="6">
        <f>IF(AND(sim.tbl[[#This Row],[Sulf]]&gt;0.5,sim.tbl[[#This Row],[Dens]]&gt;870,sim.tbl[[#This Row],[Dens]]&lt;=900),1,0)</f>
        <v>0</v>
      </c>
      <c r="W70" s="6">
        <f>IF(AND(sim.tbl[[#This Row],[Sulf]]&gt;0.5,sim.tbl[[#This Row],[Dens]]&gt;900),1,0)</f>
        <v>0</v>
      </c>
      <c r="X70" s="6">
        <f>IF(AND(sim.tbl[[#This Row],[Sulf]]&lt;=0.5,sim.tbl[[#This Row],[Dens]]&gt;900),1,0)</f>
        <v>0</v>
      </c>
      <c r="Y70" s="6">
        <f ca="1">IF(MONTH(sim.tbl[[#This Row],[SDate]])=INDEX(mthLkUp.tbl[Num],MATCH(Y$3,mthLkUp.tbl[Month],0)),1,0)</f>
        <v>0</v>
      </c>
      <c r="Z70" s="6">
        <f ca="1">IF(MONTH(sim.tbl[[#This Row],[SDate]])=INDEX(mthLkUp.tbl[Num],MATCH(Z$3,mthLkUp.tbl[Month],0)),1,0)</f>
        <v>0</v>
      </c>
      <c r="AA70" s="6">
        <f ca="1">IF(MONTH(sim.tbl[[#This Row],[SDate]])=INDEX(mthLkUp.tbl[Num],MATCH(AA$3,mthLkUp.tbl[Month],0)),1,0)</f>
        <v>1</v>
      </c>
      <c r="AB70" s="6">
        <f ca="1">IF(MONTH(sim.tbl[[#This Row],[SDate]])=INDEX(mthLkUp.tbl[Num],MATCH(AB$3,mthLkUp.tbl[Month],0)),1,0)</f>
        <v>0</v>
      </c>
      <c r="AC70" s="6">
        <f ca="1">IF(MONTH(sim.tbl[[#This Row],[SDate]])=INDEX(mthLkUp.tbl[Num],MATCH(AC$3,mthLkUp.tbl[Month],0)),1,0)</f>
        <v>0</v>
      </c>
      <c r="AD70" s="6">
        <f ca="1">IF(MONTH(sim.tbl[[#This Row],[SDate]])=INDEX(mthLkUp.tbl[Num],MATCH(AD$3,mthLkUp.tbl[Month],0)),1,0)</f>
        <v>0</v>
      </c>
      <c r="AE70" s="6">
        <f ca="1">IF(MONTH(sim.tbl[[#This Row],[SDate]])=INDEX(mthLkUp.tbl[Num],MATCH(AE$3,mthLkUp.tbl[Month],0)),1,0)</f>
        <v>0</v>
      </c>
      <c r="AF70" s="6">
        <f ca="1">IF(MONTH(sim.tbl[[#This Row],[SDate]])=INDEX(mthLkUp.tbl[Num],MATCH(AF$3,mthLkUp.tbl[Month],0)),1,0)</f>
        <v>0</v>
      </c>
      <c r="AG70" s="6">
        <f ca="1">IF(MONTH(sim.tbl[[#This Row],[SDate]])=INDEX(mthLkUp.tbl[Num],MATCH(AG$3,mthLkUp.tbl[Month],0)),1,0)</f>
        <v>0</v>
      </c>
      <c r="AH70" s="6">
        <f ca="1">IF(MONTH(sim.tbl[[#This Row],[SDate]])=INDEX(mthLkUp.tbl[Num],MATCH(AH$3,mthLkUp.tbl[Month],0)),1,0)</f>
        <v>0</v>
      </c>
      <c r="AI70" s="6">
        <f ca="1">IF(MONTH(sim.tbl[[#This Row],[SDate]])=INDEX(mthLkUp.tbl[Num],MATCH(AI$3,mthLkUp.tbl[Month],0)),1,0)</f>
        <v>0</v>
      </c>
      <c r="AJ70" s="6">
        <f ca="1">IF(MONTH(sim.tbl[[#This Row],[SDate]])=INDEX(mthLkUp.tbl[Num],MATCH(AJ$3,mthLkUp.tbl[Month],0)),1,0)</f>
        <v>0</v>
      </c>
      <c r="AK70" s="6">
        <v>1</v>
      </c>
      <c r="AL70" s="5">
        <f>sim.tbl[[#This Row],[Sulf]]*sim.tbl[[#This Row],[C5]]</f>
        <v>0</v>
      </c>
      <c r="AM70" s="5">
        <f>sim.tbl[[#This Row],[Sulf]]*sim.tbl[[#This Row],[Light_LSB]]</f>
        <v>0.56599999999999995</v>
      </c>
      <c r="AN70" s="5">
        <f>sim.tbl[[#This Row],[Sulf]]*sim.tbl[[#This Row],[Light_SW]]</f>
        <v>0</v>
      </c>
      <c r="AO70" s="5">
        <f>sim.tbl[[#This Row],[Sulf]]*sim.tbl[[#This Row],[Medium_LSB]]</f>
        <v>0</v>
      </c>
      <c r="AP70" s="5">
        <f>sim.tbl[[#This Row],[Sulf]]*sim.tbl[[#This Row],[Medium_SW]]</f>
        <v>0</v>
      </c>
      <c r="AQ70" s="5">
        <f>sim.tbl[[#This Row],[Sulf]]*sim.tbl[[#This Row],[Midale]]</f>
        <v>0</v>
      </c>
      <c r="AR70" s="5">
        <f>sim.tbl[[#This Row],[Sulf]]*sim.tbl[[#This Row],[Heavy_Sour]]</f>
        <v>0</v>
      </c>
      <c r="AS70" s="5">
        <f>sim.tbl[[#This Row],[Sulf]]*sim.tbl[[#This Row],[Heavy_SW]]</f>
        <v>0</v>
      </c>
      <c r="AT70" s="5">
        <f>sim.tbl[[#This Row],[Dens]]*sim.tbl[[#This Row],[C5]]</f>
        <v>0</v>
      </c>
      <c r="AU70" s="5">
        <f>sim.tbl[[#This Row],[Dens]]*sim.tbl[[#This Row],[Light_LSB]]</f>
        <v>818.3</v>
      </c>
      <c r="AV70" s="5">
        <f>sim.tbl[[#This Row],[Dens]]*sim.tbl[[#This Row],[Light_SW]]</f>
        <v>0</v>
      </c>
      <c r="AW70" s="5">
        <f>sim.tbl[[#This Row],[Dens]]*sim.tbl[[#This Row],[Medium_LSB]]</f>
        <v>0</v>
      </c>
      <c r="AX70" s="5">
        <f>sim.tbl[[#This Row],[Dens]]*sim.tbl[[#This Row],[Medium_SW]]</f>
        <v>0</v>
      </c>
      <c r="AY70" s="5">
        <f>sim.tbl[[#This Row],[Dens]]*sim.tbl[[#This Row],[Midale]]</f>
        <v>0</v>
      </c>
      <c r="AZ70" s="5">
        <f>sim.tbl[[#This Row],[Dens]]*sim.tbl[[#This Row],[Heavy_Sour]]</f>
        <v>0</v>
      </c>
      <c r="BA70" s="5">
        <f>sim.tbl[[#This Row],[Dens]]*sim.tbl[[#This Row],[Heavy_SW]]</f>
        <v>0</v>
      </c>
      <c r="BB70" s="5">
        <f>sim.tbl[[#This Row],[Temp.Roll]]*sim.tbl[[#This Row],[C5]]</f>
        <v>0</v>
      </c>
      <c r="BC70" s="5">
        <f>sim.tbl[[#This Row],[Temp.Roll]]*sim.tbl[[#This Row],[Light_LSB]]</f>
        <v>6</v>
      </c>
      <c r="BD70" s="5">
        <f>sim.tbl[[#This Row],[Temp.Roll]]*sim.tbl[[#This Row],[Light_SW]]</f>
        <v>0</v>
      </c>
      <c r="BE70" s="5">
        <f>sim.tbl[[#This Row],[Temp.Roll]]*sim.tbl[[#This Row],[Medium_LSB]]</f>
        <v>0</v>
      </c>
      <c r="BF70" s="5">
        <f>sim.tbl[[#This Row],[Temp.Roll]]*sim.tbl[[#This Row],[Medium_SW]]</f>
        <v>0</v>
      </c>
      <c r="BG70" s="5">
        <f>sim.tbl[[#This Row],[Temp.Roll]]*sim.tbl[[#This Row],[Midale]]</f>
        <v>0</v>
      </c>
      <c r="BH70" s="5">
        <f>sim.tbl[[#This Row],[Temp.Roll]]*sim.tbl[[#This Row],[Heavy_Sour]]</f>
        <v>0</v>
      </c>
      <c r="BI70" s="5">
        <f>sim.tbl[[#This Row],[Temp.Roll]]*sim.tbl[[#This Row],[Heavy_SW]]</f>
        <v>0</v>
      </c>
    </row>
    <row r="71" spans="4:61" x14ac:dyDescent="0.25">
      <c r="D71" s="5">
        <f ca="1">SUMPRODUCT($F$1:$BI$1,sim.tbl[[#This Row],[Intercept]:[Temp.Roll:Heavy_SW]])</f>
        <v>83.98881767783304</v>
      </c>
      <c r="E71" s="14">
        <f ca="1">DATE(YEAR(TODAY()),INDEX(mthLkUp.tbl[Num],MATCH(mth.input,mthLkUp.tbl[Month],0)),1)</f>
        <v>42795</v>
      </c>
      <c r="F71" s="6">
        <f>1</f>
        <v>1</v>
      </c>
      <c r="G71" s="5">
        <v>0.88800000000000001</v>
      </c>
      <c r="H71" s="5">
        <v>821.9</v>
      </c>
      <c r="I71" s="5">
        <v>7.266666667</v>
      </c>
      <c r="J71" s="5">
        <v>6.9</v>
      </c>
      <c r="K71" s="5">
        <v>7.7</v>
      </c>
      <c r="L71" s="5">
        <v>6.9</v>
      </c>
      <c r="M71" s="5">
        <v>7.5</v>
      </c>
      <c r="N71" s="5">
        <v>7.5</v>
      </c>
      <c r="O71" s="5">
        <v>7.9</v>
      </c>
      <c r="P71" s="5">
        <v>6.1</v>
      </c>
      <c r="Q71" s="6">
        <f>IF(sim.tbl[[#This Row],[Dens]]&lt;=770,1,0)</f>
        <v>0</v>
      </c>
      <c r="R71" s="6">
        <f>IF(AND(sim.tbl[[#This Row],[Sulf]]&gt;0.5,sim.tbl[[#This Row],[Dens]]&gt;770,sim.tbl[[#This Row],[Dens]]&lt;=825),1,0)</f>
        <v>1</v>
      </c>
      <c r="S71" s="6">
        <f>IF(AND(sim.tbl[[#This Row],[Sulf]]&lt;=0.5,sim.tbl[[#This Row],[Dens]]&gt;770,sim.tbl[[#This Row],[Dens]]&lt;=825),1,0)</f>
        <v>0</v>
      </c>
      <c r="T71" s="6">
        <f>IF(AND(sim.tbl[[#This Row],[Sulf]]&gt;0.5,sim.tbl[[#This Row],[Dens]]&gt;825,sim.tbl[[#This Row],[Dens]]&lt;=870),1,0)</f>
        <v>0</v>
      </c>
      <c r="U71" s="6">
        <f>IF(AND(sim.tbl[[#This Row],[Sulf]]&lt;0.5,sim.tbl[[#This Row],[Dens]]&gt;825,sim.tbl[[#This Row],[Dens]]&lt;=900),1,0)</f>
        <v>0</v>
      </c>
      <c r="V71" s="6">
        <f>IF(AND(sim.tbl[[#This Row],[Sulf]]&gt;0.5,sim.tbl[[#This Row],[Dens]]&gt;870,sim.tbl[[#This Row],[Dens]]&lt;=900),1,0)</f>
        <v>0</v>
      </c>
      <c r="W71" s="6">
        <f>IF(AND(sim.tbl[[#This Row],[Sulf]]&gt;0.5,sim.tbl[[#This Row],[Dens]]&gt;900),1,0)</f>
        <v>0</v>
      </c>
      <c r="X71" s="6">
        <f>IF(AND(sim.tbl[[#This Row],[Sulf]]&lt;=0.5,sim.tbl[[#This Row],[Dens]]&gt;900),1,0)</f>
        <v>0</v>
      </c>
      <c r="Y71" s="6">
        <f ca="1">IF(MONTH(sim.tbl[[#This Row],[SDate]])=INDEX(mthLkUp.tbl[Num],MATCH(Y$3,mthLkUp.tbl[Month],0)),1,0)</f>
        <v>0</v>
      </c>
      <c r="Z71" s="6">
        <f ca="1">IF(MONTH(sim.tbl[[#This Row],[SDate]])=INDEX(mthLkUp.tbl[Num],MATCH(Z$3,mthLkUp.tbl[Month],0)),1,0)</f>
        <v>0</v>
      </c>
      <c r="AA71" s="6">
        <f ca="1">IF(MONTH(sim.tbl[[#This Row],[SDate]])=INDEX(mthLkUp.tbl[Num],MATCH(AA$3,mthLkUp.tbl[Month],0)),1,0)</f>
        <v>1</v>
      </c>
      <c r="AB71" s="6">
        <f ca="1">IF(MONTH(sim.tbl[[#This Row],[SDate]])=INDEX(mthLkUp.tbl[Num],MATCH(AB$3,mthLkUp.tbl[Month],0)),1,0)</f>
        <v>0</v>
      </c>
      <c r="AC71" s="6">
        <f ca="1">IF(MONTH(sim.tbl[[#This Row],[SDate]])=INDEX(mthLkUp.tbl[Num],MATCH(AC$3,mthLkUp.tbl[Month],0)),1,0)</f>
        <v>0</v>
      </c>
      <c r="AD71" s="6">
        <f ca="1">IF(MONTH(sim.tbl[[#This Row],[SDate]])=INDEX(mthLkUp.tbl[Num],MATCH(AD$3,mthLkUp.tbl[Month],0)),1,0)</f>
        <v>0</v>
      </c>
      <c r="AE71" s="6">
        <f ca="1">IF(MONTH(sim.tbl[[#This Row],[SDate]])=INDEX(mthLkUp.tbl[Num],MATCH(AE$3,mthLkUp.tbl[Month],0)),1,0)</f>
        <v>0</v>
      </c>
      <c r="AF71" s="6">
        <f ca="1">IF(MONTH(sim.tbl[[#This Row],[SDate]])=INDEX(mthLkUp.tbl[Num],MATCH(AF$3,mthLkUp.tbl[Month],0)),1,0)</f>
        <v>0</v>
      </c>
      <c r="AG71" s="6">
        <f ca="1">IF(MONTH(sim.tbl[[#This Row],[SDate]])=INDEX(mthLkUp.tbl[Num],MATCH(AG$3,mthLkUp.tbl[Month],0)),1,0)</f>
        <v>0</v>
      </c>
      <c r="AH71" s="6">
        <f ca="1">IF(MONTH(sim.tbl[[#This Row],[SDate]])=INDEX(mthLkUp.tbl[Num],MATCH(AH$3,mthLkUp.tbl[Month],0)),1,0)</f>
        <v>0</v>
      </c>
      <c r="AI71" s="6">
        <f ca="1">IF(MONTH(sim.tbl[[#This Row],[SDate]])=INDEX(mthLkUp.tbl[Num],MATCH(AI$3,mthLkUp.tbl[Month],0)),1,0)</f>
        <v>0</v>
      </c>
      <c r="AJ71" s="6">
        <f ca="1">IF(MONTH(sim.tbl[[#This Row],[SDate]])=INDEX(mthLkUp.tbl[Num],MATCH(AJ$3,mthLkUp.tbl[Month],0)),1,0)</f>
        <v>0</v>
      </c>
      <c r="AK71" s="6">
        <v>1</v>
      </c>
      <c r="AL71" s="5">
        <f>sim.tbl[[#This Row],[Sulf]]*sim.tbl[[#This Row],[C5]]</f>
        <v>0</v>
      </c>
      <c r="AM71" s="5">
        <f>sim.tbl[[#This Row],[Sulf]]*sim.tbl[[#This Row],[Light_LSB]]</f>
        <v>0.88800000000000001</v>
      </c>
      <c r="AN71" s="5">
        <f>sim.tbl[[#This Row],[Sulf]]*sim.tbl[[#This Row],[Light_SW]]</f>
        <v>0</v>
      </c>
      <c r="AO71" s="5">
        <f>sim.tbl[[#This Row],[Sulf]]*sim.tbl[[#This Row],[Medium_LSB]]</f>
        <v>0</v>
      </c>
      <c r="AP71" s="5">
        <f>sim.tbl[[#This Row],[Sulf]]*sim.tbl[[#This Row],[Medium_SW]]</f>
        <v>0</v>
      </c>
      <c r="AQ71" s="5">
        <f>sim.tbl[[#This Row],[Sulf]]*sim.tbl[[#This Row],[Midale]]</f>
        <v>0</v>
      </c>
      <c r="AR71" s="5">
        <f>sim.tbl[[#This Row],[Sulf]]*sim.tbl[[#This Row],[Heavy_Sour]]</f>
        <v>0</v>
      </c>
      <c r="AS71" s="5">
        <f>sim.tbl[[#This Row],[Sulf]]*sim.tbl[[#This Row],[Heavy_SW]]</f>
        <v>0</v>
      </c>
      <c r="AT71" s="5">
        <f>sim.tbl[[#This Row],[Dens]]*sim.tbl[[#This Row],[C5]]</f>
        <v>0</v>
      </c>
      <c r="AU71" s="5">
        <f>sim.tbl[[#This Row],[Dens]]*sim.tbl[[#This Row],[Light_LSB]]</f>
        <v>821.9</v>
      </c>
      <c r="AV71" s="5">
        <f>sim.tbl[[#This Row],[Dens]]*sim.tbl[[#This Row],[Light_SW]]</f>
        <v>0</v>
      </c>
      <c r="AW71" s="5">
        <f>sim.tbl[[#This Row],[Dens]]*sim.tbl[[#This Row],[Medium_LSB]]</f>
        <v>0</v>
      </c>
      <c r="AX71" s="5">
        <f>sim.tbl[[#This Row],[Dens]]*sim.tbl[[#This Row],[Medium_SW]]</f>
        <v>0</v>
      </c>
      <c r="AY71" s="5">
        <f>sim.tbl[[#This Row],[Dens]]*sim.tbl[[#This Row],[Midale]]</f>
        <v>0</v>
      </c>
      <c r="AZ71" s="5">
        <f>sim.tbl[[#This Row],[Dens]]*sim.tbl[[#This Row],[Heavy_Sour]]</f>
        <v>0</v>
      </c>
      <c r="BA71" s="5">
        <f>sim.tbl[[#This Row],[Dens]]*sim.tbl[[#This Row],[Heavy_SW]]</f>
        <v>0</v>
      </c>
      <c r="BB71" s="5">
        <f>sim.tbl[[#This Row],[Temp.Roll]]*sim.tbl[[#This Row],[C5]]</f>
        <v>0</v>
      </c>
      <c r="BC71" s="5">
        <f>sim.tbl[[#This Row],[Temp.Roll]]*sim.tbl[[#This Row],[Light_LSB]]</f>
        <v>6.9</v>
      </c>
      <c r="BD71" s="5">
        <f>sim.tbl[[#This Row],[Temp.Roll]]*sim.tbl[[#This Row],[Light_SW]]</f>
        <v>0</v>
      </c>
      <c r="BE71" s="5">
        <f>sim.tbl[[#This Row],[Temp.Roll]]*sim.tbl[[#This Row],[Medium_LSB]]</f>
        <v>0</v>
      </c>
      <c r="BF71" s="5">
        <f>sim.tbl[[#This Row],[Temp.Roll]]*sim.tbl[[#This Row],[Medium_SW]]</f>
        <v>0</v>
      </c>
      <c r="BG71" s="5">
        <f>sim.tbl[[#This Row],[Temp.Roll]]*sim.tbl[[#This Row],[Midale]]</f>
        <v>0</v>
      </c>
      <c r="BH71" s="5">
        <f>sim.tbl[[#This Row],[Temp.Roll]]*sim.tbl[[#This Row],[Heavy_Sour]]</f>
        <v>0</v>
      </c>
      <c r="BI71" s="5">
        <f>sim.tbl[[#This Row],[Temp.Roll]]*sim.tbl[[#This Row],[Heavy_SW]]</f>
        <v>0</v>
      </c>
    </row>
    <row r="72" spans="4:61" x14ac:dyDescent="0.25">
      <c r="D72" s="5">
        <f ca="1">SUMPRODUCT($F$1:$BI$1,sim.tbl[[#This Row],[Intercept]:[Temp.Roll:Heavy_SW]])</f>
        <v>77.560161604304511</v>
      </c>
      <c r="E72" s="14">
        <f ca="1">DATE(YEAR(TODAY()),INDEX(mthLkUp.tbl[Num],MATCH(mth.input,mthLkUp.tbl[Month],0)),1)</f>
        <v>42795</v>
      </c>
      <c r="F72" s="6">
        <f>1</f>
        <v>1</v>
      </c>
      <c r="G72" s="5">
        <v>1.2649999999999999</v>
      </c>
      <c r="H72" s="5">
        <v>845.1</v>
      </c>
      <c r="I72" s="5">
        <v>0.31666666700000001</v>
      </c>
      <c r="J72" s="5">
        <v>-0.6</v>
      </c>
      <c r="K72" s="5">
        <v>-0.6</v>
      </c>
      <c r="L72" s="5">
        <v>-0.6</v>
      </c>
      <c r="M72" s="5">
        <v>1</v>
      </c>
      <c r="N72" s="5">
        <v>0.8</v>
      </c>
      <c r="O72" s="5">
        <v>1.6</v>
      </c>
      <c r="P72" s="5">
        <v>-0.3</v>
      </c>
      <c r="Q72" s="6">
        <f>IF(sim.tbl[[#This Row],[Dens]]&lt;=770,1,0)</f>
        <v>0</v>
      </c>
      <c r="R72" s="6">
        <f>IF(AND(sim.tbl[[#This Row],[Sulf]]&gt;0.5,sim.tbl[[#This Row],[Dens]]&gt;770,sim.tbl[[#This Row],[Dens]]&lt;=825),1,0)</f>
        <v>0</v>
      </c>
      <c r="S72" s="6">
        <f>IF(AND(sim.tbl[[#This Row],[Sulf]]&lt;=0.5,sim.tbl[[#This Row],[Dens]]&gt;770,sim.tbl[[#This Row],[Dens]]&lt;=825),1,0)</f>
        <v>0</v>
      </c>
      <c r="T72" s="6">
        <f>IF(AND(sim.tbl[[#This Row],[Sulf]]&gt;0.5,sim.tbl[[#This Row],[Dens]]&gt;825,sim.tbl[[#This Row],[Dens]]&lt;=870),1,0)</f>
        <v>1</v>
      </c>
      <c r="U72" s="6">
        <f>IF(AND(sim.tbl[[#This Row],[Sulf]]&lt;0.5,sim.tbl[[#This Row],[Dens]]&gt;825,sim.tbl[[#This Row],[Dens]]&lt;=900),1,0)</f>
        <v>0</v>
      </c>
      <c r="V72" s="6">
        <f>IF(AND(sim.tbl[[#This Row],[Sulf]]&gt;0.5,sim.tbl[[#This Row],[Dens]]&gt;870,sim.tbl[[#This Row],[Dens]]&lt;=900),1,0)</f>
        <v>0</v>
      </c>
      <c r="W72" s="6">
        <f>IF(AND(sim.tbl[[#This Row],[Sulf]]&gt;0.5,sim.tbl[[#This Row],[Dens]]&gt;900),1,0)</f>
        <v>0</v>
      </c>
      <c r="X72" s="6">
        <f>IF(AND(sim.tbl[[#This Row],[Sulf]]&lt;=0.5,sim.tbl[[#This Row],[Dens]]&gt;900),1,0)</f>
        <v>0</v>
      </c>
      <c r="Y72" s="6">
        <f ca="1">IF(MONTH(sim.tbl[[#This Row],[SDate]])=INDEX(mthLkUp.tbl[Num],MATCH(Y$3,mthLkUp.tbl[Month],0)),1,0)</f>
        <v>0</v>
      </c>
      <c r="Z72" s="6">
        <f ca="1">IF(MONTH(sim.tbl[[#This Row],[SDate]])=INDEX(mthLkUp.tbl[Num],MATCH(Z$3,mthLkUp.tbl[Month],0)),1,0)</f>
        <v>0</v>
      </c>
      <c r="AA72" s="6">
        <f ca="1">IF(MONTH(sim.tbl[[#This Row],[SDate]])=INDEX(mthLkUp.tbl[Num],MATCH(AA$3,mthLkUp.tbl[Month],0)),1,0)</f>
        <v>1</v>
      </c>
      <c r="AB72" s="6">
        <f ca="1">IF(MONTH(sim.tbl[[#This Row],[SDate]])=INDEX(mthLkUp.tbl[Num],MATCH(AB$3,mthLkUp.tbl[Month],0)),1,0)</f>
        <v>0</v>
      </c>
      <c r="AC72" s="6">
        <f ca="1">IF(MONTH(sim.tbl[[#This Row],[SDate]])=INDEX(mthLkUp.tbl[Num],MATCH(AC$3,mthLkUp.tbl[Month],0)),1,0)</f>
        <v>0</v>
      </c>
      <c r="AD72" s="6">
        <f ca="1">IF(MONTH(sim.tbl[[#This Row],[SDate]])=INDEX(mthLkUp.tbl[Num],MATCH(AD$3,mthLkUp.tbl[Month],0)),1,0)</f>
        <v>0</v>
      </c>
      <c r="AE72" s="6">
        <f ca="1">IF(MONTH(sim.tbl[[#This Row],[SDate]])=INDEX(mthLkUp.tbl[Num],MATCH(AE$3,mthLkUp.tbl[Month],0)),1,0)</f>
        <v>0</v>
      </c>
      <c r="AF72" s="6">
        <f ca="1">IF(MONTH(sim.tbl[[#This Row],[SDate]])=INDEX(mthLkUp.tbl[Num],MATCH(AF$3,mthLkUp.tbl[Month],0)),1,0)</f>
        <v>0</v>
      </c>
      <c r="AG72" s="6">
        <f ca="1">IF(MONTH(sim.tbl[[#This Row],[SDate]])=INDEX(mthLkUp.tbl[Num],MATCH(AG$3,mthLkUp.tbl[Month],0)),1,0)</f>
        <v>0</v>
      </c>
      <c r="AH72" s="6">
        <f ca="1">IF(MONTH(sim.tbl[[#This Row],[SDate]])=INDEX(mthLkUp.tbl[Num],MATCH(AH$3,mthLkUp.tbl[Month],0)),1,0)</f>
        <v>0</v>
      </c>
      <c r="AI72" s="6">
        <f ca="1">IF(MONTH(sim.tbl[[#This Row],[SDate]])=INDEX(mthLkUp.tbl[Num],MATCH(AI$3,mthLkUp.tbl[Month],0)),1,0)</f>
        <v>0</v>
      </c>
      <c r="AJ72" s="6">
        <f ca="1">IF(MONTH(sim.tbl[[#This Row],[SDate]])=INDEX(mthLkUp.tbl[Num],MATCH(AJ$3,mthLkUp.tbl[Month],0)),1,0)</f>
        <v>0</v>
      </c>
      <c r="AK72" s="6">
        <v>1</v>
      </c>
      <c r="AL72" s="5">
        <f>sim.tbl[[#This Row],[Sulf]]*sim.tbl[[#This Row],[C5]]</f>
        <v>0</v>
      </c>
      <c r="AM72" s="5">
        <f>sim.tbl[[#This Row],[Sulf]]*sim.tbl[[#This Row],[Light_LSB]]</f>
        <v>0</v>
      </c>
      <c r="AN72" s="5">
        <f>sim.tbl[[#This Row],[Sulf]]*sim.tbl[[#This Row],[Light_SW]]</f>
        <v>0</v>
      </c>
      <c r="AO72" s="5">
        <f>sim.tbl[[#This Row],[Sulf]]*sim.tbl[[#This Row],[Medium_LSB]]</f>
        <v>1.2649999999999999</v>
      </c>
      <c r="AP72" s="5">
        <f>sim.tbl[[#This Row],[Sulf]]*sim.tbl[[#This Row],[Medium_SW]]</f>
        <v>0</v>
      </c>
      <c r="AQ72" s="5">
        <f>sim.tbl[[#This Row],[Sulf]]*sim.tbl[[#This Row],[Midale]]</f>
        <v>0</v>
      </c>
      <c r="AR72" s="5">
        <f>sim.tbl[[#This Row],[Sulf]]*sim.tbl[[#This Row],[Heavy_Sour]]</f>
        <v>0</v>
      </c>
      <c r="AS72" s="5">
        <f>sim.tbl[[#This Row],[Sulf]]*sim.tbl[[#This Row],[Heavy_SW]]</f>
        <v>0</v>
      </c>
      <c r="AT72" s="5">
        <f>sim.tbl[[#This Row],[Dens]]*sim.tbl[[#This Row],[C5]]</f>
        <v>0</v>
      </c>
      <c r="AU72" s="5">
        <f>sim.tbl[[#This Row],[Dens]]*sim.tbl[[#This Row],[Light_LSB]]</f>
        <v>0</v>
      </c>
      <c r="AV72" s="5">
        <f>sim.tbl[[#This Row],[Dens]]*sim.tbl[[#This Row],[Light_SW]]</f>
        <v>0</v>
      </c>
      <c r="AW72" s="5">
        <f>sim.tbl[[#This Row],[Dens]]*sim.tbl[[#This Row],[Medium_LSB]]</f>
        <v>845.1</v>
      </c>
      <c r="AX72" s="5">
        <f>sim.tbl[[#This Row],[Dens]]*sim.tbl[[#This Row],[Medium_SW]]</f>
        <v>0</v>
      </c>
      <c r="AY72" s="5">
        <f>sim.tbl[[#This Row],[Dens]]*sim.tbl[[#This Row],[Midale]]</f>
        <v>0</v>
      </c>
      <c r="AZ72" s="5">
        <f>sim.tbl[[#This Row],[Dens]]*sim.tbl[[#This Row],[Heavy_Sour]]</f>
        <v>0</v>
      </c>
      <c r="BA72" s="5">
        <f>sim.tbl[[#This Row],[Dens]]*sim.tbl[[#This Row],[Heavy_SW]]</f>
        <v>0</v>
      </c>
      <c r="BB72" s="5">
        <f>sim.tbl[[#This Row],[Temp.Roll]]*sim.tbl[[#This Row],[C5]]</f>
        <v>0</v>
      </c>
      <c r="BC72" s="5">
        <f>sim.tbl[[#This Row],[Temp.Roll]]*sim.tbl[[#This Row],[Light_LSB]]</f>
        <v>0</v>
      </c>
      <c r="BD72" s="5">
        <f>sim.tbl[[#This Row],[Temp.Roll]]*sim.tbl[[#This Row],[Light_SW]]</f>
        <v>0</v>
      </c>
      <c r="BE72" s="5">
        <f>sim.tbl[[#This Row],[Temp.Roll]]*sim.tbl[[#This Row],[Medium_LSB]]</f>
        <v>-0.6</v>
      </c>
      <c r="BF72" s="5">
        <f>sim.tbl[[#This Row],[Temp.Roll]]*sim.tbl[[#This Row],[Medium_SW]]</f>
        <v>0</v>
      </c>
      <c r="BG72" s="5">
        <f>sim.tbl[[#This Row],[Temp.Roll]]*sim.tbl[[#This Row],[Midale]]</f>
        <v>0</v>
      </c>
      <c r="BH72" s="5">
        <f>sim.tbl[[#This Row],[Temp.Roll]]*sim.tbl[[#This Row],[Heavy_Sour]]</f>
        <v>0</v>
      </c>
      <c r="BI72" s="5">
        <f>sim.tbl[[#This Row],[Temp.Roll]]*sim.tbl[[#This Row],[Heavy_SW]]</f>
        <v>0</v>
      </c>
    </row>
    <row r="73" spans="4:61" x14ac:dyDescent="0.25">
      <c r="D73" s="5">
        <f ca="1">SUMPRODUCT($F$1:$BI$1,sim.tbl[[#This Row],[Intercept]:[Temp.Roll:Heavy_SW]])</f>
        <v>74.113300829501924</v>
      </c>
      <c r="E73" s="14">
        <f ca="1">DATE(YEAR(TODAY()),INDEX(mthLkUp.tbl[Num],MATCH(mth.input,mthLkUp.tbl[Month],0)),1)</f>
        <v>42795</v>
      </c>
      <c r="F73" s="6">
        <f>1</f>
        <v>1</v>
      </c>
      <c r="G73" s="5">
        <v>1.518</v>
      </c>
      <c r="H73" s="5">
        <v>848.2</v>
      </c>
      <c r="I73" s="5">
        <v>7.95</v>
      </c>
      <c r="J73" s="5">
        <v>6.4</v>
      </c>
      <c r="K73" s="5">
        <v>9.3000000000000007</v>
      </c>
      <c r="L73" s="5">
        <v>6.4</v>
      </c>
      <c r="M73" s="5">
        <v>8.3000000000000007</v>
      </c>
      <c r="N73" s="5">
        <v>7.5</v>
      </c>
      <c r="O73" s="5">
        <v>9.6</v>
      </c>
      <c r="P73" s="5">
        <v>6.6</v>
      </c>
      <c r="Q73" s="6">
        <f>IF(sim.tbl[[#This Row],[Dens]]&lt;=770,1,0)</f>
        <v>0</v>
      </c>
      <c r="R73" s="6">
        <f>IF(AND(sim.tbl[[#This Row],[Sulf]]&gt;0.5,sim.tbl[[#This Row],[Dens]]&gt;770,sim.tbl[[#This Row],[Dens]]&lt;=825),1,0)</f>
        <v>0</v>
      </c>
      <c r="S73" s="6">
        <f>IF(AND(sim.tbl[[#This Row],[Sulf]]&lt;=0.5,sim.tbl[[#This Row],[Dens]]&gt;770,sim.tbl[[#This Row],[Dens]]&lt;=825),1,0)</f>
        <v>0</v>
      </c>
      <c r="T73" s="6">
        <f>IF(AND(sim.tbl[[#This Row],[Sulf]]&gt;0.5,sim.tbl[[#This Row],[Dens]]&gt;825,sim.tbl[[#This Row],[Dens]]&lt;=870),1,0)</f>
        <v>1</v>
      </c>
      <c r="U73" s="6">
        <f>IF(AND(sim.tbl[[#This Row],[Sulf]]&lt;0.5,sim.tbl[[#This Row],[Dens]]&gt;825,sim.tbl[[#This Row],[Dens]]&lt;=900),1,0)</f>
        <v>0</v>
      </c>
      <c r="V73" s="6">
        <f>IF(AND(sim.tbl[[#This Row],[Sulf]]&gt;0.5,sim.tbl[[#This Row],[Dens]]&gt;870,sim.tbl[[#This Row],[Dens]]&lt;=900),1,0)</f>
        <v>0</v>
      </c>
      <c r="W73" s="6">
        <f>IF(AND(sim.tbl[[#This Row],[Sulf]]&gt;0.5,sim.tbl[[#This Row],[Dens]]&gt;900),1,0)</f>
        <v>0</v>
      </c>
      <c r="X73" s="6">
        <f>IF(AND(sim.tbl[[#This Row],[Sulf]]&lt;=0.5,sim.tbl[[#This Row],[Dens]]&gt;900),1,0)</f>
        <v>0</v>
      </c>
      <c r="Y73" s="6">
        <f ca="1">IF(MONTH(sim.tbl[[#This Row],[SDate]])=INDEX(mthLkUp.tbl[Num],MATCH(Y$3,mthLkUp.tbl[Month],0)),1,0)</f>
        <v>0</v>
      </c>
      <c r="Z73" s="6">
        <f ca="1">IF(MONTH(sim.tbl[[#This Row],[SDate]])=INDEX(mthLkUp.tbl[Num],MATCH(Z$3,mthLkUp.tbl[Month],0)),1,0)</f>
        <v>0</v>
      </c>
      <c r="AA73" s="6">
        <f ca="1">IF(MONTH(sim.tbl[[#This Row],[SDate]])=INDEX(mthLkUp.tbl[Num],MATCH(AA$3,mthLkUp.tbl[Month],0)),1,0)</f>
        <v>1</v>
      </c>
      <c r="AB73" s="6">
        <f ca="1">IF(MONTH(sim.tbl[[#This Row],[SDate]])=INDEX(mthLkUp.tbl[Num],MATCH(AB$3,mthLkUp.tbl[Month],0)),1,0)</f>
        <v>0</v>
      </c>
      <c r="AC73" s="6">
        <f ca="1">IF(MONTH(sim.tbl[[#This Row],[SDate]])=INDEX(mthLkUp.tbl[Num],MATCH(AC$3,mthLkUp.tbl[Month],0)),1,0)</f>
        <v>0</v>
      </c>
      <c r="AD73" s="6">
        <f ca="1">IF(MONTH(sim.tbl[[#This Row],[SDate]])=INDEX(mthLkUp.tbl[Num],MATCH(AD$3,mthLkUp.tbl[Month],0)),1,0)</f>
        <v>0</v>
      </c>
      <c r="AE73" s="6">
        <f ca="1">IF(MONTH(sim.tbl[[#This Row],[SDate]])=INDEX(mthLkUp.tbl[Num],MATCH(AE$3,mthLkUp.tbl[Month],0)),1,0)</f>
        <v>0</v>
      </c>
      <c r="AF73" s="6">
        <f ca="1">IF(MONTH(sim.tbl[[#This Row],[SDate]])=INDEX(mthLkUp.tbl[Num],MATCH(AF$3,mthLkUp.tbl[Month],0)),1,0)</f>
        <v>0</v>
      </c>
      <c r="AG73" s="6">
        <f ca="1">IF(MONTH(sim.tbl[[#This Row],[SDate]])=INDEX(mthLkUp.tbl[Num],MATCH(AG$3,mthLkUp.tbl[Month],0)),1,0)</f>
        <v>0</v>
      </c>
      <c r="AH73" s="6">
        <f ca="1">IF(MONTH(sim.tbl[[#This Row],[SDate]])=INDEX(mthLkUp.tbl[Num],MATCH(AH$3,mthLkUp.tbl[Month],0)),1,0)</f>
        <v>0</v>
      </c>
      <c r="AI73" s="6">
        <f ca="1">IF(MONTH(sim.tbl[[#This Row],[SDate]])=INDEX(mthLkUp.tbl[Num],MATCH(AI$3,mthLkUp.tbl[Month],0)),1,0)</f>
        <v>0</v>
      </c>
      <c r="AJ73" s="6">
        <f ca="1">IF(MONTH(sim.tbl[[#This Row],[SDate]])=INDEX(mthLkUp.tbl[Num],MATCH(AJ$3,mthLkUp.tbl[Month],0)),1,0)</f>
        <v>0</v>
      </c>
      <c r="AK73" s="6">
        <v>1</v>
      </c>
      <c r="AL73" s="5">
        <f>sim.tbl[[#This Row],[Sulf]]*sim.tbl[[#This Row],[C5]]</f>
        <v>0</v>
      </c>
      <c r="AM73" s="5">
        <f>sim.tbl[[#This Row],[Sulf]]*sim.tbl[[#This Row],[Light_LSB]]</f>
        <v>0</v>
      </c>
      <c r="AN73" s="5">
        <f>sim.tbl[[#This Row],[Sulf]]*sim.tbl[[#This Row],[Light_SW]]</f>
        <v>0</v>
      </c>
      <c r="AO73" s="5">
        <f>sim.tbl[[#This Row],[Sulf]]*sim.tbl[[#This Row],[Medium_LSB]]</f>
        <v>1.518</v>
      </c>
      <c r="AP73" s="5">
        <f>sim.tbl[[#This Row],[Sulf]]*sim.tbl[[#This Row],[Medium_SW]]</f>
        <v>0</v>
      </c>
      <c r="AQ73" s="5">
        <f>sim.tbl[[#This Row],[Sulf]]*sim.tbl[[#This Row],[Midale]]</f>
        <v>0</v>
      </c>
      <c r="AR73" s="5">
        <f>sim.tbl[[#This Row],[Sulf]]*sim.tbl[[#This Row],[Heavy_Sour]]</f>
        <v>0</v>
      </c>
      <c r="AS73" s="5">
        <f>sim.tbl[[#This Row],[Sulf]]*sim.tbl[[#This Row],[Heavy_SW]]</f>
        <v>0</v>
      </c>
      <c r="AT73" s="5">
        <f>sim.tbl[[#This Row],[Dens]]*sim.tbl[[#This Row],[C5]]</f>
        <v>0</v>
      </c>
      <c r="AU73" s="5">
        <f>sim.tbl[[#This Row],[Dens]]*sim.tbl[[#This Row],[Light_LSB]]</f>
        <v>0</v>
      </c>
      <c r="AV73" s="5">
        <f>sim.tbl[[#This Row],[Dens]]*sim.tbl[[#This Row],[Light_SW]]</f>
        <v>0</v>
      </c>
      <c r="AW73" s="5">
        <f>sim.tbl[[#This Row],[Dens]]*sim.tbl[[#This Row],[Medium_LSB]]</f>
        <v>848.2</v>
      </c>
      <c r="AX73" s="5">
        <f>sim.tbl[[#This Row],[Dens]]*sim.tbl[[#This Row],[Medium_SW]]</f>
        <v>0</v>
      </c>
      <c r="AY73" s="5">
        <f>sim.tbl[[#This Row],[Dens]]*sim.tbl[[#This Row],[Midale]]</f>
        <v>0</v>
      </c>
      <c r="AZ73" s="5">
        <f>sim.tbl[[#This Row],[Dens]]*sim.tbl[[#This Row],[Heavy_Sour]]</f>
        <v>0</v>
      </c>
      <c r="BA73" s="5">
        <f>sim.tbl[[#This Row],[Dens]]*sim.tbl[[#This Row],[Heavy_SW]]</f>
        <v>0</v>
      </c>
      <c r="BB73" s="5">
        <f>sim.tbl[[#This Row],[Temp.Roll]]*sim.tbl[[#This Row],[C5]]</f>
        <v>0</v>
      </c>
      <c r="BC73" s="5">
        <f>sim.tbl[[#This Row],[Temp.Roll]]*sim.tbl[[#This Row],[Light_LSB]]</f>
        <v>0</v>
      </c>
      <c r="BD73" s="5">
        <f>sim.tbl[[#This Row],[Temp.Roll]]*sim.tbl[[#This Row],[Light_SW]]</f>
        <v>0</v>
      </c>
      <c r="BE73" s="5">
        <f>sim.tbl[[#This Row],[Temp.Roll]]*sim.tbl[[#This Row],[Medium_LSB]]</f>
        <v>6.4</v>
      </c>
      <c r="BF73" s="5">
        <f>sim.tbl[[#This Row],[Temp.Roll]]*sim.tbl[[#This Row],[Medium_SW]]</f>
        <v>0</v>
      </c>
      <c r="BG73" s="5">
        <f>sim.tbl[[#This Row],[Temp.Roll]]*sim.tbl[[#This Row],[Midale]]</f>
        <v>0</v>
      </c>
      <c r="BH73" s="5">
        <f>sim.tbl[[#This Row],[Temp.Roll]]*sim.tbl[[#This Row],[Heavy_Sour]]</f>
        <v>0</v>
      </c>
      <c r="BI73" s="5">
        <f>sim.tbl[[#This Row],[Temp.Roll]]*sim.tbl[[#This Row],[Heavy_SW]]</f>
        <v>0</v>
      </c>
    </row>
    <row r="74" spans="4:61" x14ac:dyDescent="0.25">
      <c r="D74" s="5">
        <f ca="1">SUMPRODUCT($F$1:$BI$1,sim.tbl[[#This Row],[Intercept]:[Temp.Roll:Heavy_SW]])</f>
        <v>88.186358458339015</v>
      </c>
      <c r="E74" s="14">
        <f ca="1">DATE(YEAR(TODAY()),INDEX(mthLkUp.tbl[Num],MATCH(mth.input,mthLkUp.tbl[Month],0)),1)</f>
        <v>42795</v>
      </c>
      <c r="F74" s="6">
        <f>1</f>
        <v>1</v>
      </c>
      <c r="G74" s="5">
        <v>0.3</v>
      </c>
      <c r="H74" s="5">
        <v>805.7</v>
      </c>
      <c r="I74" s="5">
        <v>1.85</v>
      </c>
      <c r="J74" s="5">
        <v>2.2000000000000002</v>
      </c>
      <c r="K74" s="5">
        <v>2.4</v>
      </c>
      <c r="L74" s="5">
        <v>2.2000000000000002</v>
      </c>
      <c r="M74" s="5">
        <v>1.5</v>
      </c>
      <c r="N74" s="5">
        <v>4</v>
      </c>
      <c r="O74" s="5">
        <v>-0.7</v>
      </c>
      <c r="P74" s="5">
        <v>1.7</v>
      </c>
      <c r="Q74" s="6">
        <f>IF(sim.tbl[[#This Row],[Dens]]&lt;=770,1,0)</f>
        <v>0</v>
      </c>
      <c r="R74" s="6">
        <f>IF(AND(sim.tbl[[#This Row],[Sulf]]&gt;0.5,sim.tbl[[#This Row],[Dens]]&gt;770,sim.tbl[[#This Row],[Dens]]&lt;=825),1,0)</f>
        <v>0</v>
      </c>
      <c r="S74" s="6">
        <f>IF(AND(sim.tbl[[#This Row],[Sulf]]&lt;=0.5,sim.tbl[[#This Row],[Dens]]&gt;770,sim.tbl[[#This Row],[Dens]]&lt;=825),1,0)</f>
        <v>1</v>
      </c>
      <c r="T74" s="6">
        <f>IF(AND(sim.tbl[[#This Row],[Sulf]]&gt;0.5,sim.tbl[[#This Row],[Dens]]&gt;825,sim.tbl[[#This Row],[Dens]]&lt;=870),1,0)</f>
        <v>0</v>
      </c>
      <c r="U74" s="6">
        <f>IF(AND(sim.tbl[[#This Row],[Sulf]]&lt;0.5,sim.tbl[[#This Row],[Dens]]&gt;825,sim.tbl[[#This Row],[Dens]]&lt;=900),1,0)</f>
        <v>0</v>
      </c>
      <c r="V74" s="6">
        <f>IF(AND(sim.tbl[[#This Row],[Sulf]]&gt;0.5,sim.tbl[[#This Row],[Dens]]&gt;870,sim.tbl[[#This Row],[Dens]]&lt;=900),1,0)</f>
        <v>0</v>
      </c>
      <c r="W74" s="6">
        <f>IF(AND(sim.tbl[[#This Row],[Sulf]]&gt;0.5,sim.tbl[[#This Row],[Dens]]&gt;900),1,0)</f>
        <v>0</v>
      </c>
      <c r="X74" s="6">
        <f>IF(AND(sim.tbl[[#This Row],[Sulf]]&lt;=0.5,sim.tbl[[#This Row],[Dens]]&gt;900),1,0)</f>
        <v>0</v>
      </c>
      <c r="Y74" s="6">
        <f ca="1">IF(MONTH(sim.tbl[[#This Row],[SDate]])=INDEX(mthLkUp.tbl[Num],MATCH(Y$3,mthLkUp.tbl[Month],0)),1,0)</f>
        <v>0</v>
      </c>
      <c r="Z74" s="6">
        <f ca="1">IF(MONTH(sim.tbl[[#This Row],[SDate]])=INDEX(mthLkUp.tbl[Num],MATCH(Z$3,mthLkUp.tbl[Month],0)),1,0)</f>
        <v>0</v>
      </c>
      <c r="AA74" s="6">
        <f ca="1">IF(MONTH(sim.tbl[[#This Row],[SDate]])=INDEX(mthLkUp.tbl[Num],MATCH(AA$3,mthLkUp.tbl[Month],0)),1,0)</f>
        <v>1</v>
      </c>
      <c r="AB74" s="6">
        <f ca="1">IF(MONTH(sim.tbl[[#This Row],[SDate]])=INDEX(mthLkUp.tbl[Num],MATCH(AB$3,mthLkUp.tbl[Month],0)),1,0)</f>
        <v>0</v>
      </c>
      <c r="AC74" s="6">
        <f ca="1">IF(MONTH(sim.tbl[[#This Row],[SDate]])=INDEX(mthLkUp.tbl[Num],MATCH(AC$3,mthLkUp.tbl[Month],0)),1,0)</f>
        <v>0</v>
      </c>
      <c r="AD74" s="6">
        <f ca="1">IF(MONTH(sim.tbl[[#This Row],[SDate]])=INDEX(mthLkUp.tbl[Num],MATCH(AD$3,mthLkUp.tbl[Month],0)),1,0)</f>
        <v>0</v>
      </c>
      <c r="AE74" s="6">
        <f ca="1">IF(MONTH(sim.tbl[[#This Row],[SDate]])=INDEX(mthLkUp.tbl[Num],MATCH(AE$3,mthLkUp.tbl[Month],0)),1,0)</f>
        <v>0</v>
      </c>
      <c r="AF74" s="6">
        <f ca="1">IF(MONTH(sim.tbl[[#This Row],[SDate]])=INDEX(mthLkUp.tbl[Num],MATCH(AF$3,mthLkUp.tbl[Month],0)),1,0)</f>
        <v>0</v>
      </c>
      <c r="AG74" s="6">
        <f ca="1">IF(MONTH(sim.tbl[[#This Row],[SDate]])=INDEX(mthLkUp.tbl[Num],MATCH(AG$3,mthLkUp.tbl[Month],0)),1,0)</f>
        <v>0</v>
      </c>
      <c r="AH74" s="6">
        <f ca="1">IF(MONTH(sim.tbl[[#This Row],[SDate]])=INDEX(mthLkUp.tbl[Num],MATCH(AH$3,mthLkUp.tbl[Month],0)),1,0)</f>
        <v>0</v>
      </c>
      <c r="AI74" s="6">
        <f ca="1">IF(MONTH(sim.tbl[[#This Row],[SDate]])=INDEX(mthLkUp.tbl[Num],MATCH(AI$3,mthLkUp.tbl[Month],0)),1,0)</f>
        <v>0</v>
      </c>
      <c r="AJ74" s="6">
        <f ca="1">IF(MONTH(sim.tbl[[#This Row],[SDate]])=INDEX(mthLkUp.tbl[Num],MATCH(AJ$3,mthLkUp.tbl[Month],0)),1,0)</f>
        <v>0</v>
      </c>
      <c r="AK74" s="6">
        <v>1</v>
      </c>
      <c r="AL74" s="5">
        <f>sim.tbl[[#This Row],[Sulf]]*sim.tbl[[#This Row],[C5]]</f>
        <v>0</v>
      </c>
      <c r="AM74" s="5">
        <f>sim.tbl[[#This Row],[Sulf]]*sim.tbl[[#This Row],[Light_LSB]]</f>
        <v>0</v>
      </c>
      <c r="AN74" s="5">
        <f>sim.tbl[[#This Row],[Sulf]]*sim.tbl[[#This Row],[Light_SW]]</f>
        <v>0.3</v>
      </c>
      <c r="AO74" s="5">
        <f>sim.tbl[[#This Row],[Sulf]]*sim.tbl[[#This Row],[Medium_LSB]]</f>
        <v>0</v>
      </c>
      <c r="AP74" s="5">
        <f>sim.tbl[[#This Row],[Sulf]]*sim.tbl[[#This Row],[Medium_SW]]</f>
        <v>0</v>
      </c>
      <c r="AQ74" s="5">
        <f>sim.tbl[[#This Row],[Sulf]]*sim.tbl[[#This Row],[Midale]]</f>
        <v>0</v>
      </c>
      <c r="AR74" s="5">
        <f>sim.tbl[[#This Row],[Sulf]]*sim.tbl[[#This Row],[Heavy_Sour]]</f>
        <v>0</v>
      </c>
      <c r="AS74" s="5">
        <f>sim.tbl[[#This Row],[Sulf]]*sim.tbl[[#This Row],[Heavy_SW]]</f>
        <v>0</v>
      </c>
      <c r="AT74" s="5">
        <f>sim.tbl[[#This Row],[Dens]]*sim.tbl[[#This Row],[C5]]</f>
        <v>0</v>
      </c>
      <c r="AU74" s="5">
        <f>sim.tbl[[#This Row],[Dens]]*sim.tbl[[#This Row],[Light_LSB]]</f>
        <v>0</v>
      </c>
      <c r="AV74" s="5">
        <f>sim.tbl[[#This Row],[Dens]]*sim.tbl[[#This Row],[Light_SW]]</f>
        <v>805.7</v>
      </c>
      <c r="AW74" s="5">
        <f>sim.tbl[[#This Row],[Dens]]*sim.tbl[[#This Row],[Medium_LSB]]</f>
        <v>0</v>
      </c>
      <c r="AX74" s="5">
        <f>sim.tbl[[#This Row],[Dens]]*sim.tbl[[#This Row],[Medium_SW]]</f>
        <v>0</v>
      </c>
      <c r="AY74" s="5">
        <f>sim.tbl[[#This Row],[Dens]]*sim.tbl[[#This Row],[Midale]]</f>
        <v>0</v>
      </c>
      <c r="AZ74" s="5">
        <f>sim.tbl[[#This Row],[Dens]]*sim.tbl[[#This Row],[Heavy_Sour]]</f>
        <v>0</v>
      </c>
      <c r="BA74" s="5">
        <f>sim.tbl[[#This Row],[Dens]]*sim.tbl[[#This Row],[Heavy_SW]]</f>
        <v>0</v>
      </c>
      <c r="BB74" s="5">
        <f>sim.tbl[[#This Row],[Temp.Roll]]*sim.tbl[[#This Row],[C5]]</f>
        <v>0</v>
      </c>
      <c r="BC74" s="5">
        <f>sim.tbl[[#This Row],[Temp.Roll]]*sim.tbl[[#This Row],[Light_LSB]]</f>
        <v>0</v>
      </c>
      <c r="BD74" s="5">
        <f>sim.tbl[[#This Row],[Temp.Roll]]*sim.tbl[[#This Row],[Light_SW]]</f>
        <v>2.2000000000000002</v>
      </c>
      <c r="BE74" s="5">
        <f>sim.tbl[[#This Row],[Temp.Roll]]*sim.tbl[[#This Row],[Medium_LSB]]</f>
        <v>0</v>
      </c>
      <c r="BF74" s="5">
        <f>sim.tbl[[#This Row],[Temp.Roll]]*sim.tbl[[#This Row],[Medium_SW]]</f>
        <v>0</v>
      </c>
      <c r="BG74" s="5">
        <f>sim.tbl[[#This Row],[Temp.Roll]]*sim.tbl[[#This Row],[Midale]]</f>
        <v>0</v>
      </c>
      <c r="BH74" s="5">
        <f>sim.tbl[[#This Row],[Temp.Roll]]*sim.tbl[[#This Row],[Heavy_Sour]]</f>
        <v>0</v>
      </c>
      <c r="BI74" s="5">
        <f>sim.tbl[[#This Row],[Temp.Roll]]*sim.tbl[[#This Row],[Heavy_SW]]</f>
        <v>0</v>
      </c>
    </row>
    <row r="75" spans="4:61" x14ac:dyDescent="0.25">
      <c r="D75" s="5">
        <f ca="1">SUMPRODUCT($F$1:$BI$1,sim.tbl[[#This Row],[Intercept]:[Temp.Roll:Heavy_SW]])</f>
        <v>84.701091277119616</v>
      </c>
      <c r="E75" s="14">
        <f ca="1">DATE(YEAR(TODAY()),INDEX(mthLkUp.tbl[Num],MATCH(mth.input,mthLkUp.tbl[Month],0)),1)</f>
        <v>42795</v>
      </c>
      <c r="F75" s="6">
        <f>1</f>
        <v>1</v>
      </c>
      <c r="G75" s="5">
        <v>0.19</v>
      </c>
      <c r="H75" s="5">
        <v>807.8</v>
      </c>
      <c r="I75" s="5">
        <v>9.2166666670000001</v>
      </c>
      <c r="J75" s="5">
        <v>8.6999999999999993</v>
      </c>
      <c r="K75" s="5">
        <v>9.5</v>
      </c>
      <c r="L75" s="5">
        <v>8.6999999999999993</v>
      </c>
      <c r="M75" s="5">
        <v>9.8000000000000007</v>
      </c>
      <c r="N75" s="5">
        <v>9</v>
      </c>
      <c r="O75" s="5">
        <v>9.6</v>
      </c>
      <c r="P75" s="5">
        <v>8.6999999999999993</v>
      </c>
      <c r="Q75" s="6">
        <f>IF(sim.tbl[[#This Row],[Dens]]&lt;=770,1,0)</f>
        <v>0</v>
      </c>
      <c r="R75" s="6">
        <f>IF(AND(sim.tbl[[#This Row],[Sulf]]&gt;0.5,sim.tbl[[#This Row],[Dens]]&gt;770,sim.tbl[[#This Row],[Dens]]&lt;=825),1,0)</f>
        <v>0</v>
      </c>
      <c r="S75" s="6">
        <f>IF(AND(sim.tbl[[#This Row],[Sulf]]&lt;=0.5,sim.tbl[[#This Row],[Dens]]&gt;770,sim.tbl[[#This Row],[Dens]]&lt;=825),1,0)</f>
        <v>1</v>
      </c>
      <c r="T75" s="6">
        <f>IF(AND(sim.tbl[[#This Row],[Sulf]]&gt;0.5,sim.tbl[[#This Row],[Dens]]&gt;825,sim.tbl[[#This Row],[Dens]]&lt;=870),1,0)</f>
        <v>0</v>
      </c>
      <c r="U75" s="6">
        <f>IF(AND(sim.tbl[[#This Row],[Sulf]]&lt;0.5,sim.tbl[[#This Row],[Dens]]&gt;825,sim.tbl[[#This Row],[Dens]]&lt;=900),1,0)</f>
        <v>0</v>
      </c>
      <c r="V75" s="6">
        <f>IF(AND(sim.tbl[[#This Row],[Sulf]]&gt;0.5,sim.tbl[[#This Row],[Dens]]&gt;870,sim.tbl[[#This Row],[Dens]]&lt;=900),1,0)</f>
        <v>0</v>
      </c>
      <c r="W75" s="6">
        <f>IF(AND(sim.tbl[[#This Row],[Sulf]]&gt;0.5,sim.tbl[[#This Row],[Dens]]&gt;900),1,0)</f>
        <v>0</v>
      </c>
      <c r="X75" s="6">
        <f>IF(AND(sim.tbl[[#This Row],[Sulf]]&lt;=0.5,sim.tbl[[#This Row],[Dens]]&gt;900),1,0)</f>
        <v>0</v>
      </c>
      <c r="Y75" s="6">
        <f ca="1">IF(MONTH(sim.tbl[[#This Row],[SDate]])=INDEX(mthLkUp.tbl[Num],MATCH(Y$3,mthLkUp.tbl[Month],0)),1,0)</f>
        <v>0</v>
      </c>
      <c r="Z75" s="6">
        <f ca="1">IF(MONTH(sim.tbl[[#This Row],[SDate]])=INDEX(mthLkUp.tbl[Num],MATCH(Z$3,mthLkUp.tbl[Month],0)),1,0)</f>
        <v>0</v>
      </c>
      <c r="AA75" s="6">
        <f ca="1">IF(MONTH(sim.tbl[[#This Row],[SDate]])=INDEX(mthLkUp.tbl[Num],MATCH(AA$3,mthLkUp.tbl[Month],0)),1,0)</f>
        <v>1</v>
      </c>
      <c r="AB75" s="6">
        <f ca="1">IF(MONTH(sim.tbl[[#This Row],[SDate]])=INDEX(mthLkUp.tbl[Num],MATCH(AB$3,mthLkUp.tbl[Month],0)),1,0)</f>
        <v>0</v>
      </c>
      <c r="AC75" s="6">
        <f ca="1">IF(MONTH(sim.tbl[[#This Row],[SDate]])=INDEX(mthLkUp.tbl[Num],MATCH(AC$3,mthLkUp.tbl[Month],0)),1,0)</f>
        <v>0</v>
      </c>
      <c r="AD75" s="6">
        <f ca="1">IF(MONTH(sim.tbl[[#This Row],[SDate]])=INDEX(mthLkUp.tbl[Num],MATCH(AD$3,mthLkUp.tbl[Month],0)),1,0)</f>
        <v>0</v>
      </c>
      <c r="AE75" s="6">
        <f ca="1">IF(MONTH(sim.tbl[[#This Row],[SDate]])=INDEX(mthLkUp.tbl[Num],MATCH(AE$3,mthLkUp.tbl[Month],0)),1,0)</f>
        <v>0</v>
      </c>
      <c r="AF75" s="6">
        <f ca="1">IF(MONTH(sim.tbl[[#This Row],[SDate]])=INDEX(mthLkUp.tbl[Num],MATCH(AF$3,mthLkUp.tbl[Month],0)),1,0)</f>
        <v>0</v>
      </c>
      <c r="AG75" s="6">
        <f ca="1">IF(MONTH(sim.tbl[[#This Row],[SDate]])=INDEX(mthLkUp.tbl[Num],MATCH(AG$3,mthLkUp.tbl[Month],0)),1,0)</f>
        <v>0</v>
      </c>
      <c r="AH75" s="6">
        <f ca="1">IF(MONTH(sim.tbl[[#This Row],[SDate]])=INDEX(mthLkUp.tbl[Num],MATCH(AH$3,mthLkUp.tbl[Month],0)),1,0)</f>
        <v>0</v>
      </c>
      <c r="AI75" s="6">
        <f ca="1">IF(MONTH(sim.tbl[[#This Row],[SDate]])=INDEX(mthLkUp.tbl[Num],MATCH(AI$3,mthLkUp.tbl[Month],0)),1,0)</f>
        <v>0</v>
      </c>
      <c r="AJ75" s="6">
        <f ca="1">IF(MONTH(sim.tbl[[#This Row],[SDate]])=INDEX(mthLkUp.tbl[Num],MATCH(AJ$3,mthLkUp.tbl[Month],0)),1,0)</f>
        <v>0</v>
      </c>
      <c r="AK75" s="6">
        <v>1</v>
      </c>
      <c r="AL75" s="5">
        <f>sim.tbl[[#This Row],[Sulf]]*sim.tbl[[#This Row],[C5]]</f>
        <v>0</v>
      </c>
      <c r="AM75" s="5">
        <f>sim.tbl[[#This Row],[Sulf]]*sim.tbl[[#This Row],[Light_LSB]]</f>
        <v>0</v>
      </c>
      <c r="AN75" s="5">
        <f>sim.tbl[[#This Row],[Sulf]]*sim.tbl[[#This Row],[Light_SW]]</f>
        <v>0.19</v>
      </c>
      <c r="AO75" s="5">
        <f>sim.tbl[[#This Row],[Sulf]]*sim.tbl[[#This Row],[Medium_LSB]]</f>
        <v>0</v>
      </c>
      <c r="AP75" s="5">
        <f>sim.tbl[[#This Row],[Sulf]]*sim.tbl[[#This Row],[Medium_SW]]</f>
        <v>0</v>
      </c>
      <c r="AQ75" s="5">
        <f>sim.tbl[[#This Row],[Sulf]]*sim.tbl[[#This Row],[Midale]]</f>
        <v>0</v>
      </c>
      <c r="AR75" s="5">
        <f>sim.tbl[[#This Row],[Sulf]]*sim.tbl[[#This Row],[Heavy_Sour]]</f>
        <v>0</v>
      </c>
      <c r="AS75" s="5">
        <f>sim.tbl[[#This Row],[Sulf]]*sim.tbl[[#This Row],[Heavy_SW]]</f>
        <v>0</v>
      </c>
      <c r="AT75" s="5">
        <f>sim.tbl[[#This Row],[Dens]]*sim.tbl[[#This Row],[C5]]</f>
        <v>0</v>
      </c>
      <c r="AU75" s="5">
        <f>sim.tbl[[#This Row],[Dens]]*sim.tbl[[#This Row],[Light_LSB]]</f>
        <v>0</v>
      </c>
      <c r="AV75" s="5">
        <f>sim.tbl[[#This Row],[Dens]]*sim.tbl[[#This Row],[Light_SW]]</f>
        <v>807.8</v>
      </c>
      <c r="AW75" s="5">
        <f>sim.tbl[[#This Row],[Dens]]*sim.tbl[[#This Row],[Medium_LSB]]</f>
        <v>0</v>
      </c>
      <c r="AX75" s="5">
        <f>sim.tbl[[#This Row],[Dens]]*sim.tbl[[#This Row],[Medium_SW]]</f>
        <v>0</v>
      </c>
      <c r="AY75" s="5">
        <f>sim.tbl[[#This Row],[Dens]]*sim.tbl[[#This Row],[Midale]]</f>
        <v>0</v>
      </c>
      <c r="AZ75" s="5">
        <f>sim.tbl[[#This Row],[Dens]]*sim.tbl[[#This Row],[Heavy_Sour]]</f>
        <v>0</v>
      </c>
      <c r="BA75" s="5">
        <f>sim.tbl[[#This Row],[Dens]]*sim.tbl[[#This Row],[Heavy_SW]]</f>
        <v>0</v>
      </c>
      <c r="BB75" s="5">
        <f>sim.tbl[[#This Row],[Temp.Roll]]*sim.tbl[[#This Row],[C5]]</f>
        <v>0</v>
      </c>
      <c r="BC75" s="5">
        <f>sim.tbl[[#This Row],[Temp.Roll]]*sim.tbl[[#This Row],[Light_LSB]]</f>
        <v>0</v>
      </c>
      <c r="BD75" s="5">
        <f>sim.tbl[[#This Row],[Temp.Roll]]*sim.tbl[[#This Row],[Light_SW]]</f>
        <v>8.6999999999999993</v>
      </c>
      <c r="BE75" s="5">
        <f>sim.tbl[[#This Row],[Temp.Roll]]*sim.tbl[[#This Row],[Medium_LSB]]</f>
        <v>0</v>
      </c>
      <c r="BF75" s="5">
        <f>sim.tbl[[#This Row],[Temp.Roll]]*sim.tbl[[#This Row],[Medium_SW]]</f>
        <v>0</v>
      </c>
      <c r="BG75" s="5">
        <f>sim.tbl[[#This Row],[Temp.Roll]]*sim.tbl[[#This Row],[Midale]]</f>
        <v>0</v>
      </c>
      <c r="BH75" s="5">
        <f>sim.tbl[[#This Row],[Temp.Roll]]*sim.tbl[[#This Row],[Heavy_Sour]]</f>
        <v>0</v>
      </c>
      <c r="BI75" s="5">
        <f>sim.tbl[[#This Row],[Temp.Roll]]*sim.tbl[[#This Row],[Heavy_SW]]</f>
        <v>0</v>
      </c>
    </row>
    <row r="76" spans="4:61" x14ac:dyDescent="0.25">
      <c r="D76" s="5">
        <f ca="1">SUMPRODUCT($F$1:$BI$1,sim.tbl[[#This Row],[Intercept]:[Temp.Roll:Heavy_SW]])</f>
        <v>89.663827376370349</v>
      </c>
      <c r="E76" s="14">
        <f ca="1">DATE(YEAR(TODAY()),INDEX(mthLkUp.tbl[Num],MATCH(mth.input,mthLkUp.tbl[Month],0)),1)</f>
        <v>42795</v>
      </c>
      <c r="F76" s="6">
        <f>1</f>
        <v>1</v>
      </c>
      <c r="G76" s="5">
        <v>0.53</v>
      </c>
      <c r="H76" s="5">
        <v>817.5</v>
      </c>
      <c r="I76" s="5">
        <v>-7.4666666670000001</v>
      </c>
      <c r="J76" s="5">
        <v>-4.7</v>
      </c>
      <c r="K76" s="5">
        <v>-5.0999999999999996</v>
      </c>
      <c r="L76" s="5">
        <v>-4.7</v>
      </c>
      <c r="M76" s="5">
        <v>-8.3000000000000007</v>
      </c>
      <c r="N76" s="5">
        <v>-4</v>
      </c>
      <c r="O76" s="5">
        <v>-13</v>
      </c>
      <c r="P76" s="5">
        <v>-9.6999999999999993</v>
      </c>
      <c r="Q76" s="6">
        <f>IF(sim.tbl[[#This Row],[Dens]]&lt;=770,1,0)</f>
        <v>0</v>
      </c>
      <c r="R76" s="6">
        <f>IF(AND(sim.tbl[[#This Row],[Sulf]]&gt;0.5,sim.tbl[[#This Row],[Dens]]&gt;770,sim.tbl[[#This Row],[Dens]]&lt;=825),1,0)</f>
        <v>1</v>
      </c>
      <c r="S76" s="6">
        <f>IF(AND(sim.tbl[[#This Row],[Sulf]]&lt;=0.5,sim.tbl[[#This Row],[Dens]]&gt;770,sim.tbl[[#This Row],[Dens]]&lt;=825),1,0)</f>
        <v>0</v>
      </c>
      <c r="T76" s="6">
        <f>IF(AND(sim.tbl[[#This Row],[Sulf]]&gt;0.5,sim.tbl[[#This Row],[Dens]]&gt;825,sim.tbl[[#This Row],[Dens]]&lt;=870),1,0)</f>
        <v>0</v>
      </c>
      <c r="U76" s="6">
        <f>IF(AND(sim.tbl[[#This Row],[Sulf]]&lt;0.5,sim.tbl[[#This Row],[Dens]]&gt;825,sim.tbl[[#This Row],[Dens]]&lt;=900),1,0)</f>
        <v>0</v>
      </c>
      <c r="V76" s="6">
        <f>IF(AND(sim.tbl[[#This Row],[Sulf]]&gt;0.5,sim.tbl[[#This Row],[Dens]]&gt;870,sim.tbl[[#This Row],[Dens]]&lt;=900),1,0)</f>
        <v>0</v>
      </c>
      <c r="W76" s="6">
        <f>IF(AND(sim.tbl[[#This Row],[Sulf]]&gt;0.5,sim.tbl[[#This Row],[Dens]]&gt;900),1,0)</f>
        <v>0</v>
      </c>
      <c r="X76" s="6">
        <f>IF(AND(sim.tbl[[#This Row],[Sulf]]&lt;=0.5,sim.tbl[[#This Row],[Dens]]&gt;900),1,0)</f>
        <v>0</v>
      </c>
      <c r="Y76" s="6">
        <f ca="1">IF(MONTH(sim.tbl[[#This Row],[SDate]])=INDEX(mthLkUp.tbl[Num],MATCH(Y$3,mthLkUp.tbl[Month],0)),1,0)</f>
        <v>0</v>
      </c>
      <c r="Z76" s="6">
        <f ca="1">IF(MONTH(sim.tbl[[#This Row],[SDate]])=INDEX(mthLkUp.tbl[Num],MATCH(Z$3,mthLkUp.tbl[Month],0)),1,0)</f>
        <v>0</v>
      </c>
      <c r="AA76" s="6">
        <f ca="1">IF(MONTH(sim.tbl[[#This Row],[SDate]])=INDEX(mthLkUp.tbl[Num],MATCH(AA$3,mthLkUp.tbl[Month],0)),1,0)</f>
        <v>1</v>
      </c>
      <c r="AB76" s="6">
        <f ca="1">IF(MONTH(sim.tbl[[#This Row],[SDate]])=INDEX(mthLkUp.tbl[Num],MATCH(AB$3,mthLkUp.tbl[Month],0)),1,0)</f>
        <v>0</v>
      </c>
      <c r="AC76" s="6">
        <f ca="1">IF(MONTH(sim.tbl[[#This Row],[SDate]])=INDEX(mthLkUp.tbl[Num],MATCH(AC$3,mthLkUp.tbl[Month],0)),1,0)</f>
        <v>0</v>
      </c>
      <c r="AD76" s="6">
        <f ca="1">IF(MONTH(sim.tbl[[#This Row],[SDate]])=INDEX(mthLkUp.tbl[Num],MATCH(AD$3,mthLkUp.tbl[Month],0)),1,0)</f>
        <v>0</v>
      </c>
      <c r="AE76" s="6">
        <f ca="1">IF(MONTH(sim.tbl[[#This Row],[SDate]])=INDEX(mthLkUp.tbl[Num],MATCH(AE$3,mthLkUp.tbl[Month],0)),1,0)</f>
        <v>0</v>
      </c>
      <c r="AF76" s="6">
        <f ca="1">IF(MONTH(sim.tbl[[#This Row],[SDate]])=INDEX(mthLkUp.tbl[Num],MATCH(AF$3,mthLkUp.tbl[Month],0)),1,0)</f>
        <v>0</v>
      </c>
      <c r="AG76" s="6">
        <f ca="1">IF(MONTH(sim.tbl[[#This Row],[SDate]])=INDEX(mthLkUp.tbl[Num],MATCH(AG$3,mthLkUp.tbl[Month],0)),1,0)</f>
        <v>0</v>
      </c>
      <c r="AH76" s="6">
        <f ca="1">IF(MONTH(sim.tbl[[#This Row],[SDate]])=INDEX(mthLkUp.tbl[Num],MATCH(AH$3,mthLkUp.tbl[Month],0)),1,0)</f>
        <v>0</v>
      </c>
      <c r="AI76" s="6">
        <f ca="1">IF(MONTH(sim.tbl[[#This Row],[SDate]])=INDEX(mthLkUp.tbl[Num],MATCH(AI$3,mthLkUp.tbl[Month],0)),1,0)</f>
        <v>0</v>
      </c>
      <c r="AJ76" s="6">
        <f ca="1">IF(MONTH(sim.tbl[[#This Row],[SDate]])=INDEX(mthLkUp.tbl[Num],MATCH(AJ$3,mthLkUp.tbl[Month],0)),1,0)</f>
        <v>0</v>
      </c>
      <c r="AK76" s="6">
        <v>1</v>
      </c>
      <c r="AL76" s="5">
        <f>sim.tbl[[#This Row],[Sulf]]*sim.tbl[[#This Row],[C5]]</f>
        <v>0</v>
      </c>
      <c r="AM76" s="5">
        <f>sim.tbl[[#This Row],[Sulf]]*sim.tbl[[#This Row],[Light_LSB]]</f>
        <v>0.53</v>
      </c>
      <c r="AN76" s="5">
        <f>sim.tbl[[#This Row],[Sulf]]*sim.tbl[[#This Row],[Light_SW]]</f>
        <v>0</v>
      </c>
      <c r="AO76" s="5">
        <f>sim.tbl[[#This Row],[Sulf]]*sim.tbl[[#This Row],[Medium_LSB]]</f>
        <v>0</v>
      </c>
      <c r="AP76" s="5">
        <f>sim.tbl[[#This Row],[Sulf]]*sim.tbl[[#This Row],[Medium_SW]]</f>
        <v>0</v>
      </c>
      <c r="AQ76" s="5">
        <f>sim.tbl[[#This Row],[Sulf]]*sim.tbl[[#This Row],[Midale]]</f>
        <v>0</v>
      </c>
      <c r="AR76" s="5">
        <f>sim.tbl[[#This Row],[Sulf]]*sim.tbl[[#This Row],[Heavy_Sour]]</f>
        <v>0</v>
      </c>
      <c r="AS76" s="5">
        <f>sim.tbl[[#This Row],[Sulf]]*sim.tbl[[#This Row],[Heavy_SW]]</f>
        <v>0</v>
      </c>
      <c r="AT76" s="5">
        <f>sim.tbl[[#This Row],[Dens]]*sim.tbl[[#This Row],[C5]]</f>
        <v>0</v>
      </c>
      <c r="AU76" s="5">
        <f>sim.tbl[[#This Row],[Dens]]*sim.tbl[[#This Row],[Light_LSB]]</f>
        <v>817.5</v>
      </c>
      <c r="AV76" s="5">
        <f>sim.tbl[[#This Row],[Dens]]*sim.tbl[[#This Row],[Light_SW]]</f>
        <v>0</v>
      </c>
      <c r="AW76" s="5">
        <f>sim.tbl[[#This Row],[Dens]]*sim.tbl[[#This Row],[Medium_LSB]]</f>
        <v>0</v>
      </c>
      <c r="AX76" s="5">
        <f>sim.tbl[[#This Row],[Dens]]*sim.tbl[[#This Row],[Medium_SW]]</f>
        <v>0</v>
      </c>
      <c r="AY76" s="5">
        <f>sim.tbl[[#This Row],[Dens]]*sim.tbl[[#This Row],[Midale]]</f>
        <v>0</v>
      </c>
      <c r="AZ76" s="5">
        <f>sim.tbl[[#This Row],[Dens]]*sim.tbl[[#This Row],[Heavy_Sour]]</f>
        <v>0</v>
      </c>
      <c r="BA76" s="5">
        <f>sim.tbl[[#This Row],[Dens]]*sim.tbl[[#This Row],[Heavy_SW]]</f>
        <v>0</v>
      </c>
      <c r="BB76" s="5">
        <f>sim.tbl[[#This Row],[Temp.Roll]]*sim.tbl[[#This Row],[C5]]</f>
        <v>0</v>
      </c>
      <c r="BC76" s="5">
        <f>sim.tbl[[#This Row],[Temp.Roll]]*sim.tbl[[#This Row],[Light_LSB]]</f>
        <v>-4.7</v>
      </c>
      <c r="BD76" s="5">
        <f>sim.tbl[[#This Row],[Temp.Roll]]*sim.tbl[[#This Row],[Light_SW]]</f>
        <v>0</v>
      </c>
      <c r="BE76" s="5">
        <f>sim.tbl[[#This Row],[Temp.Roll]]*sim.tbl[[#This Row],[Medium_LSB]]</f>
        <v>0</v>
      </c>
      <c r="BF76" s="5">
        <f>sim.tbl[[#This Row],[Temp.Roll]]*sim.tbl[[#This Row],[Medium_SW]]</f>
        <v>0</v>
      </c>
      <c r="BG76" s="5">
        <f>sim.tbl[[#This Row],[Temp.Roll]]*sim.tbl[[#This Row],[Midale]]</f>
        <v>0</v>
      </c>
      <c r="BH76" s="5">
        <f>sim.tbl[[#This Row],[Temp.Roll]]*sim.tbl[[#This Row],[Heavy_Sour]]</f>
        <v>0</v>
      </c>
      <c r="BI76" s="5">
        <f>sim.tbl[[#This Row],[Temp.Roll]]*sim.tbl[[#This Row],[Heavy_SW]]</f>
        <v>0</v>
      </c>
    </row>
    <row r="77" spans="4:61" x14ac:dyDescent="0.25">
      <c r="D77" s="5">
        <f ca="1">SUMPRODUCT($F$1:$BI$1,sim.tbl[[#This Row],[Intercept]:[Temp.Roll:Heavy_SW]])</f>
        <v>84.753360149728309</v>
      </c>
      <c r="E77" s="14">
        <f ca="1">DATE(YEAR(TODAY()),INDEX(mthLkUp.tbl[Num],MATCH(mth.input,mthLkUp.tbl[Month],0)),1)</f>
        <v>42795</v>
      </c>
      <c r="F77" s="6">
        <f>1</f>
        <v>1</v>
      </c>
      <c r="G77" s="5">
        <v>1.36</v>
      </c>
      <c r="H77" s="5">
        <v>825.3</v>
      </c>
      <c r="I77" s="5">
        <v>-5.35</v>
      </c>
      <c r="J77" s="5">
        <v>-4.0999999999999996</v>
      </c>
      <c r="K77" s="5">
        <v>-4.5</v>
      </c>
      <c r="L77" s="5">
        <v>-4.0999999999999996</v>
      </c>
      <c r="M77" s="5">
        <v>-7.3</v>
      </c>
      <c r="N77" s="5">
        <v>-3.3</v>
      </c>
      <c r="O77" s="5">
        <v>-6.6</v>
      </c>
      <c r="P77" s="5">
        <v>-6.3</v>
      </c>
      <c r="Q77" s="6">
        <f>IF(sim.tbl[[#This Row],[Dens]]&lt;=770,1,0)</f>
        <v>0</v>
      </c>
      <c r="R77" s="6">
        <f>IF(AND(sim.tbl[[#This Row],[Sulf]]&gt;0.5,sim.tbl[[#This Row],[Dens]]&gt;770,sim.tbl[[#This Row],[Dens]]&lt;=825),1,0)</f>
        <v>0</v>
      </c>
      <c r="S77" s="6">
        <f>IF(AND(sim.tbl[[#This Row],[Sulf]]&lt;=0.5,sim.tbl[[#This Row],[Dens]]&gt;770,sim.tbl[[#This Row],[Dens]]&lt;=825),1,0)</f>
        <v>0</v>
      </c>
      <c r="T77" s="6">
        <f>IF(AND(sim.tbl[[#This Row],[Sulf]]&gt;0.5,sim.tbl[[#This Row],[Dens]]&gt;825,sim.tbl[[#This Row],[Dens]]&lt;=870),1,0)</f>
        <v>1</v>
      </c>
      <c r="U77" s="6">
        <f>IF(AND(sim.tbl[[#This Row],[Sulf]]&lt;0.5,sim.tbl[[#This Row],[Dens]]&gt;825,sim.tbl[[#This Row],[Dens]]&lt;=900),1,0)</f>
        <v>0</v>
      </c>
      <c r="V77" s="6">
        <f>IF(AND(sim.tbl[[#This Row],[Sulf]]&gt;0.5,sim.tbl[[#This Row],[Dens]]&gt;870,sim.tbl[[#This Row],[Dens]]&lt;=900),1,0)</f>
        <v>0</v>
      </c>
      <c r="W77" s="6">
        <f>IF(AND(sim.tbl[[#This Row],[Sulf]]&gt;0.5,sim.tbl[[#This Row],[Dens]]&gt;900),1,0)</f>
        <v>0</v>
      </c>
      <c r="X77" s="6">
        <f>IF(AND(sim.tbl[[#This Row],[Sulf]]&lt;=0.5,sim.tbl[[#This Row],[Dens]]&gt;900),1,0)</f>
        <v>0</v>
      </c>
      <c r="Y77" s="6">
        <f ca="1">IF(MONTH(sim.tbl[[#This Row],[SDate]])=INDEX(mthLkUp.tbl[Num],MATCH(Y$3,mthLkUp.tbl[Month],0)),1,0)</f>
        <v>0</v>
      </c>
      <c r="Z77" s="6">
        <f ca="1">IF(MONTH(sim.tbl[[#This Row],[SDate]])=INDEX(mthLkUp.tbl[Num],MATCH(Z$3,mthLkUp.tbl[Month],0)),1,0)</f>
        <v>0</v>
      </c>
      <c r="AA77" s="6">
        <f ca="1">IF(MONTH(sim.tbl[[#This Row],[SDate]])=INDEX(mthLkUp.tbl[Num],MATCH(AA$3,mthLkUp.tbl[Month],0)),1,0)</f>
        <v>1</v>
      </c>
      <c r="AB77" s="6">
        <f ca="1">IF(MONTH(sim.tbl[[#This Row],[SDate]])=INDEX(mthLkUp.tbl[Num],MATCH(AB$3,mthLkUp.tbl[Month],0)),1,0)</f>
        <v>0</v>
      </c>
      <c r="AC77" s="6">
        <f ca="1">IF(MONTH(sim.tbl[[#This Row],[SDate]])=INDEX(mthLkUp.tbl[Num],MATCH(AC$3,mthLkUp.tbl[Month],0)),1,0)</f>
        <v>0</v>
      </c>
      <c r="AD77" s="6">
        <f ca="1">IF(MONTH(sim.tbl[[#This Row],[SDate]])=INDEX(mthLkUp.tbl[Num],MATCH(AD$3,mthLkUp.tbl[Month],0)),1,0)</f>
        <v>0</v>
      </c>
      <c r="AE77" s="6">
        <f ca="1">IF(MONTH(sim.tbl[[#This Row],[SDate]])=INDEX(mthLkUp.tbl[Num],MATCH(AE$3,mthLkUp.tbl[Month],0)),1,0)</f>
        <v>0</v>
      </c>
      <c r="AF77" s="6">
        <f ca="1">IF(MONTH(sim.tbl[[#This Row],[SDate]])=INDEX(mthLkUp.tbl[Num],MATCH(AF$3,mthLkUp.tbl[Month],0)),1,0)</f>
        <v>0</v>
      </c>
      <c r="AG77" s="6">
        <f ca="1">IF(MONTH(sim.tbl[[#This Row],[SDate]])=INDEX(mthLkUp.tbl[Num],MATCH(AG$3,mthLkUp.tbl[Month],0)),1,0)</f>
        <v>0</v>
      </c>
      <c r="AH77" s="6">
        <f ca="1">IF(MONTH(sim.tbl[[#This Row],[SDate]])=INDEX(mthLkUp.tbl[Num],MATCH(AH$3,mthLkUp.tbl[Month],0)),1,0)</f>
        <v>0</v>
      </c>
      <c r="AI77" s="6">
        <f ca="1">IF(MONTH(sim.tbl[[#This Row],[SDate]])=INDEX(mthLkUp.tbl[Num],MATCH(AI$3,mthLkUp.tbl[Month],0)),1,0)</f>
        <v>0</v>
      </c>
      <c r="AJ77" s="6">
        <f ca="1">IF(MONTH(sim.tbl[[#This Row],[SDate]])=INDEX(mthLkUp.tbl[Num],MATCH(AJ$3,mthLkUp.tbl[Month],0)),1,0)</f>
        <v>0</v>
      </c>
      <c r="AK77" s="6">
        <v>1</v>
      </c>
      <c r="AL77" s="5">
        <f>sim.tbl[[#This Row],[Sulf]]*sim.tbl[[#This Row],[C5]]</f>
        <v>0</v>
      </c>
      <c r="AM77" s="5">
        <f>sim.tbl[[#This Row],[Sulf]]*sim.tbl[[#This Row],[Light_LSB]]</f>
        <v>0</v>
      </c>
      <c r="AN77" s="5">
        <f>sim.tbl[[#This Row],[Sulf]]*sim.tbl[[#This Row],[Light_SW]]</f>
        <v>0</v>
      </c>
      <c r="AO77" s="5">
        <f>sim.tbl[[#This Row],[Sulf]]*sim.tbl[[#This Row],[Medium_LSB]]</f>
        <v>1.36</v>
      </c>
      <c r="AP77" s="5">
        <f>sim.tbl[[#This Row],[Sulf]]*sim.tbl[[#This Row],[Medium_SW]]</f>
        <v>0</v>
      </c>
      <c r="AQ77" s="5">
        <f>sim.tbl[[#This Row],[Sulf]]*sim.tbl[[#This Row],[Midale]]</f>
        <v>0</v>
      </c>
      <c r="AR77" s="5">
        <f>sim.tbl[[#This Row],[Sulf]]*sim.tbl[[#This Row],[Heavy_Sour]]</f>
        <v>0</v>
      </c>
      <c r="AS77" s="5">
        <f>sim.tbl[[#This Row],[Sulf]]*sim.tbl[[#This Row],[Heavy_SW]]</f>
        <v>0</v>
      </c>
      <c r="AT77" s="5">
        <f>sim.tbl[[#This Row],[Dens]]*sim.tbl[[#This Row],[C5]]</f>
        <v>0</v>
      </c>
      <c r="AU77" s="5">
        <f>sim.tbl[[#This Row],[Dens]]*sim.tbl[[#This Row],[Light_LSB]]</f>
        <v>0</v>
      </c>
      <c r="AV77" s="5">
        <f>sim.tbl[[#This Row],[Dens]]*sim.tbl[[#This Row],[Light_SW]]</f>
        <v>0</v>
      </c>
      <c r="AW77" s="5">
        <f>sim.tbl[[#This Row],[Dens]]*sim.tbl[[#This Row],[Medium_LSB]]</f>
        <v>825.3</v>
      </c>
      <c r="AX77" s="5">
        <f>sim.tbl[[#This Row],[Dens]]*sim.tbl[[#This Row],[Medium_SW]]</f>
        <v>0</v>
      </c>
      <c r="AY77" s="5">
        <f>sim.tbl[[#This Row],[Dens]]*sim.tbl[[#This Row],[Midale]]</f>
        <v>0</v>
      </c>
      <c r="AZ77" s="5">
        <f>sim.tbl[[#This Row],[Dens]]*sim.tbl[[#This Row],[Heavy_Sour]]</f>
        <v>0</v>
      </c>
      <c r="BA77" s="5">
        <f>sim.tbl[[#This Row],[Dens]]*sim.tbl[[#This Row],[Heavy_SW]]</f>
        <v>0</v>
      </c>
      <c r="BB77" s="5">
        <f>sim.tbl[[#This Row],[Temp.Roll]]*sim.tbl[[#This Row],[C5]]</f>
        <v>0</v>
      </c>
      <c r="BC77" s="5">
        <f>sim.tbl[[#This Row],[Temp.Roll]]*sim.tbl[[#This Row],[Light_LSB]]</f>
        <v>0</v>
      </c>
      <c r="BD77" s="5">
        <f>sim.tbl[[#This Row],[Temp.Roll]]*sim.tbl[[#This Row],[Light_SW]]</f>
        <v>0</v>
      </c>
      <c r="BE77" s="5">
        <f>sim.tbl[[#This Row],[Temp.Roll]]*sim.tbl[[#This Row],[Medium_LSB]]</f>
        <v>-4.0999999999999996</v>
      </c>
      <c r="BF77" s="5">
        <f>sim.tbl[[#This Row],[Temp.Roll]]*sim.tbl[[#This Row],[Medium_SW]]</f>
        <v>0</v>
      </c>
      <c r="BG77" s="5">
        <f>sim.tbl[[#This Row],[Temp.Roll]]*sim.tbl[[#This Row],[Midale]]</f>
        <v>0</v>
      </c>
      <c r="BH77" s="5">
        <f>sim.tbl[[#This Row],[Temp.Roll]]*sim.tbl[[#This Row],[Heavy_Sour]]</f>
        <v>0</v>
      </c>
      <c r="BI77" s="5">
        <f>sim.tbl[[#This Row],[Temp.Roll]]*sim.tbl[[#This Row],[Heavy_SW]]</f>
        <v>0</v>
      </c>
    </row>
    <row r="78" spans="4:61" x14ac:dyDescent="0.25">
      <c r="D78" s="5">
        <f ca="1">SUMPRODUCT($F$1:$BI$1,sim.tbl[[#This Row],[Intercept]:[Temp.Roll:Heavy_SW]])</f>
        <v>83.080856788077142</v>
      </c>
      <c r="E78" s="14">
        <f ca="1">DATE(YEAR(TODAY()),INDEX(mthLkUp.tbl[Num],MATCH(mth.input,mthLkUp.tbl[Month],0)),1)</f>
        <v>42795</v>
      </c>
      <c r="F78" s="6">
        <f>1</f>
        <v>1</v>
      </c>
      <c r="G78" s="5">
        <v>1.08</v>
      </c>
      <c r="H78" s="5">
        <v>829.2</v>
      </c>
      <c r="I78" s="5">
        <v>-1.74</v>
      </c>
      <c r="J78" s="5">
        <v>-2.7</v>
      </c>
      <c r="K78" s="5">
        <v>-2.8</v>
      </c>
      <c r="L78" s="5">
        <v>-2.7</v>
      </c>
      <c r="M78" s="5">
        <v>0.3</v>
      </c>
      <c r="N78" s="5">
        <v>-0.5</v>
      </c>
      <c r="O78" s="5">
        <v>-1.9</v>
      </c>
      <c r="P78" s="5">
        <v>-1.6</v>
      </c>
      <c r="Q78" s="6">
        <f>IF(sim.tbl[[#This Row],[Dens]]&lt;=770,1,0)</f>
        <v>0</v>
      </c>
      <c r="R78" s="6">
        <f>IF(AND(sim.tbl[[#This Row],[Sulf]]&gt;0.5,sim.tbl[[#This Row],[Dens]]&gt;770,sim.tbl[[#This Row],[Dens]]&lt;=825),1,0)</f>
        <v>0</v>
      </c>
      <c r="S78" s="6">
        <f>IF(AND(sim.tbl[[#This Row],[Sulf]]&lt;=0.5,sim.tbl[[#This Row],[Dens]]&gt;770,sim.tbl[[#This Row],[Dens]]&lt;=825),1,0)</f>
        <v>0</v>
      </c>
      <c r="T78" s="6">
        <f>IF(AND(sim.tbl[[#This Row],[Sulf]]&gt;0.5,sim.tbl[[#This Row],[Dens]]&gt;825,sim.tbl[[#This Row],[Dens]]&lt;=870),1,0)</f>
        <v>1</v>
      </c>
      <c r="U78" s="6">
        <f>IF(AND(sim.tbl[[#This Row],[Sulf]]&lt;0.5,sim.tbl[[#This Row],[Dens]]&gt;825,sim.tbl[[#This Row],[Dens]]&lt;=900),1,0)</f>
        <v>0</v>
      </c>
      <c r="V78" s="6">
        <f>IF(AND(sim.tbl[[#This Row],[Sulf]]&gt;0.5,sim.tbl[[#This Row],[Dens]]&gt;870,sim.tbl[[#This Row],[Dens]]&lt;=900),1,0)</f>
        <v>0</v>
      </c>
      <c r="W78" s="6">
        <f>IF(AND(sim.tbl[[#This Row],[Sulf]]&gt;0.5,sim.tbl[[#This Row],[Dens]]&gt;900),1,0)</f>
        <v>0</v>
      </c>
      <c r="X78" s="6">
        <f>IF(AND(sim.tbl[[#This Row],[Sulf]]&lt;=0.5,sim.tbl[[#This Row],[Dens]]&gt;900),1,0)</f>
        <v>0</v>
      </c>
      <c r="Y78" s="6">
        <f ca="1">IF(MONTH(sim.tbl[[#This Row],[SDate]])=INDEX(mthLkUp.tbl[Num],MATCH(Y$3,mthLkUp.tbl[Month],0)),1,0)</f>
        <v>0</v>
      </c>
      <c r="Z78" s="6">
        <f ca="1">IF(MONTH(sim.tbl[[#This Row],[SDate]])=INDEX(mthLkUp.tbl[Num],MATCH(Z$3,mthLkUp.tbl[Month],0)),1,0)</f>
        <v>0</v>
      </c>
      <c r="AA78" s="6">
        <f ca="1">IF(MONTH(sim.tbl[[#This Row],[SDate]])=INDEX(mthLkUp.tbl[Num],MATCH(AA$3,mthLkUp.tbl[Month],0)),1,0)</f>
        <v>1</v>
      </c>
      <c r="AB78" s="6">
        <f ca="1">IF(MONTH(sim.tbl[[#This Row],[SDate]])=INDEX(mthLkUp.tbl[Num],MATCH(AB$3,mthLkUp.tbl[Month],0)),1,0)</f>
        <v>0</v>
      </c>
      <c r="AC78" s="6">
        <f ca="1">IF(MONTH(sim.tbl[[#This Row],[SDate]])=INDEX(mthLkUp.tbl[Num],MATCH(AC$3,mthLkUp.tbl[Month],0)),1,0)</f>
        <v>0</v>
      </c>
      <c r="AD78" s="6">
        <f ca="1">IF(MONTH(sim.tbl[[#This Row],[SDate]])=INDEX(mthLkUp.tbl[Num],MATCH(AD$3,mthLkUp.tbl[Month],0)),1,0)</f>
        <v>0</v>
      </c>
      <c r="AE78" s="6">
        <f ca="1">IF(MONTH(sim.tbl[[#This Row],[SDate]])=INDEX(mthLkUp.tbl[Num],MATCH(AE$3,mthLkUp.tbl[Month],0)),1,0)</f>
        <v>0</v>
      </c>
      <c r="AF78" s="6">
        <f ca="1">IF(MONTH(sim.tbl[[#This Row],[SDate]])=INDEX(mthLkUp.tbl[Num],MATCH(AF$3,mthLkUp.tbl[Month],0)),1,0)</f>
        <v>0</v>
      </c>
      <c r="AG78" s="6">
        <f ca="1">IF(MONTH(sim.tbl[[#This Row],[SDate]])=INDEX(mthLkUp.tbl[Num],MATCH(AG$3,mthLkUp.tbl[Month],0)),1,0)</f>
        <v>0</v>
      </c>
      <c r="AH78" s="6">
        <f ca="1">IF(MONTH(sim.tbl[[#This Row],[SDate]])=INDEX(mthLkUp.tbl[Num],MATCH(AH$3,mthLkUp.tbl[Month],0)),1,0)</f>
        <v>0</v>
      </c>
      <c r="AI78" s="6">
        <f ca="1">IF(MONTH(sim.tbl[[#This Row],[SDate]])=INDEX(mthLkUp.tbl[Num],MATCH(AI$3,mthLkUp.tbl[Month],0)),1,0)</f>
        <v>0</v>
      </c>
      <c r="AJ78" s="6">
        <f ca="1">IF(MONTH(sim.tbl[[#This Row],[SDate]])=INDEX(mthLkUp.tbl[Num],MATCH(AJ$3,mthLkUp.tbl[Month],0)),1,0)</f>
        <v>0</v>
      </c>
      <c r="AK78" s="6">
        <v>1</v>
      </c>
      <c r="AL78" s="5">
        <f>sim.tbl[[#This Row],[Sulf]]*sim.tbl[[#This Row],[C5]]</f>
        <v>0</v>
      </c>
      <c r="AM78" s="5">
        <f>sim.tbl[[#This Row],[Sulf]]*sim.tbl[[#This Row],[Light_LSB]]</f>
        <v>0</v>
      </c>
      <c r="AN78" s="5">
        <f>sim.tbl[[#This Row],[Sulf]]*sim.tbl[[#This Row],[Light_SW]]</f>
        <v>0</v>
      </c>
      <c r="AO78" s="5">
        <f>sim.tbl[[#This Row],[Sulf]]*sim.tbl[[#This Row],[Medium_LSB]]</f>
        <v>1.08</v>
      </c>
      <c r="AP78" s="5">
        <f>sim.tbl[[#This Row],[Sulf]]*sim.tbl[[#This Row],[Medium_SW]]</f>
        <v>0</v>
      </c>
      <c r="AQ78" s="5">
        <f>sim.tbl[[#This Row],[Sulf]]*sim.tbl[[#This Row],[Midale]]</f>
        <v>0</v>
      </c>
      <c r="AR78" s="5">
        <f>sim.tbl[[#This Row],[Sulf]]*sim.tbl[[#This Row],[Heavy_Sour]]</f>
        <v>0</v>
      </c>
      <c r="AS78" s="5">
        <f>sim.tbl[[#This Row],[Sulf]]*sim.tbl[[#This Row],[Heavy_SW]]</f>
        <v>0</v>
      </c>
      <c r="AT78" s="5">
        <f>sim.tbl[[#This Row],[Dens]]*sim.tbl[[#This Row],[C5]]</f>
        <v>0</v>
      </c>
      <c r="AU78" s="5">
        <f>sim.tbl[[#This Row],[Dens]]*sim.tbl[[#This Row],[Light_LSB]]</f>
        <v>0</v>
      </c>
      <c r="AV78" s="5">
        <f>sim.tbl[[#This Row],[Dens]]*sim.tbl[[#This Row],[Light_SW]]</f>
        <v>0</v>
      </c>
      <c r="AW78" s="5">
        <f>sim.tbl[[#This Row],[Dens]]*sim.tbl[[#This Row],[Medium_LSB]]</f>
        <v>829.2</v>
      </c>
      <c r="AX78" s="5">
        <f>sim.tbl[[#This Row],[Dens]]*sim.tbl[[#This Row],[Medium_SW]]</f>
        <v>0</v>
      </c>
      <c r="AY78" s="5">
        <f>sim.tbl[[#This Row],[Dens]]*sim.tbl[[#This Row],[Midale]]</f>
        <v>0</v>
      </c>
      <c r="AZ78" s="5">
        <f>sim.tbl[[#This Row],[Dens]]*sim.tbl[[#This Row],[Heavy_Sour]]</f>
        <v>0</v>
      </c>
      <c r="BA78" s="5">
        <f>sim.tbl[[#This Row],[Dens]]*sim.tbl[[#This Row],[Heavy_SW]]</f>
        <v>0</v>
      </c>
      <c r="BB78" s="5">
        <f>sim.tbl[[#This Row],[Temp.Roll]]*sim.tbl[[#This Row],[C5]]</f>
        <v>0</v>
      </c>
      <c r="BC78" s="5">
        <f>sim.tbl[[#This Row],[Temp.Roll]]*sim.tbl[[#This Row],[Light_LSB]]</f>
        <v>0</v>
      </c>
      <c r="BD78" s="5">
        <f>sim.tbl[[#This Row],[Temp.Roll]]*sim.tbl[[#This Row],[Light_SW]]</f>
        <v>0</v>
      </c>
      <c r="BE78" s="5">
        <f>sim.tbl[[#This Row],[Temp.Roll]]*sim.tbl[[#This Row],[Medium_LSB]]</f>
        <v>-2.7</v>
      </c>
      <c r="BF78" s="5">
        <f>sim.tbl[[#This Row],[Temp.Roll]]*sim.tbl[[#This Row],[Medium_SW]]</f>
        <v>0</v>
      </c>
      <c r="BG78" s="5">
        <f>sim.tbl[[#This Row],[Temp.Roll]]*sim.tbl[[#This Row],[Midale]]</f>
        <v>0</v>
      </c>
      <c r="BH78" s="5">
        <f>sim.tbl[[#This Row],[Temp.Roll]]*sim.tbl[[#This Row],[Heavy_Sour]]</f>
        <v>0</v>
      </c>
      <c r="BI78" s="5">
        <f>sim.tbl[[#This Row],[Temp.Roll]]*sim.tbl[[#This Row],[Heavy_SW]]</f>
        <v>0</v>
      </c>
    </row>
    <row r="79" spans="4:61" x14ac:dyDescent="0.25">
      <c r="D79" s="5">
        <f ca="1">SUMPRODUCT($F$1:$BI$1,sim.tbl[[#This Row],[Intercept]:[Temp.Roll:Heavy_SW]])</f>
        <v>83.278734860616282</v>
      </c>
      <c r="E79" s="14">
        <f ca="1">DATE(YEAR(TODAY()),INDEX(mthLkUp.tbl[Num],MATCH(mth.input,mthLkUp.tbl[Month],0)),1)</f>
        <v>42795</v>
      </c>
      <c r="F79" s="6">
        <f>1</f>
        <v>1</v>
      </c>
      <c r="G79" s="5">
        <v>1.31</v>
      </c>
      <c r="H79" s="5">
        <v>830.1</v>
      </c>
      <c r="I79" s="5">
        <v>-3.6833333330000002</v>
      </c>
      <c r="J79" s="5">
        <v>-4</v>
      </c>
      <c r="K79" s="5">
        <v>-4.0999999999999996</v>
      </c>
      <c r="L79" s="5">
        <v>-4</v>
      </c>
      <c r="M79" s="5">
        <v>-3.5</v>
      </c>
      <c r="N79" s="5">
        <v>-3.8</v>
      </c>
      <c r="O79" s="5">
        <v>-2.2000000000000002</v>
      </c>
      <c r="P79" s="5">
        <v>-4.5</v>
      </c>
      <c r="Q79" s="6">
        <f>IF(sim.tbl[[#This Row],[Dens]]&lt;=770,1,0)</f>
        <v>0</v>
      </c>
      <c r="R79" s="6">
        <f>IF(AND(sim.tbl[[#This Row],[Sulf]]&gt;0.5,sim.tbl[[#This Row],[Dens]]&gt;770,sim.tbl[[#This Row],[Dens]]&lt;=825),1,0)</f>
        <v>0</v>
      </c>
      <c r="S79" s="6">
        <f>IF(AND(sim.tbl[[#This Row],[Sulf]]&lt;=0.5,sim.tbl[[#This Row],[Dens]]&gt;770,sim.tbl[[#This Row],[Dens]]&lt;=825),1,0)</f>
        <v>0</v>
      </c>
      <c r="T79" s="6">
        <f>IF(AND(sim.tbl[[#This Row],[Sulf]]&gt;0.5,sim.tbl[[#This Row],[Dens]]&gt;825,sim.tbl[[#This Row],[Dens]]&lt;=870),1,0)</f>
        <v>1</v>
      </c>
      <c r="U79" s="6">
        <f>IF(AND(sim.tbl[[#This Row],[Sulf]]&lt;0.5,sim.tbl[[#This Row],[Dens]]&gt;825,sim.tbl[[#This Row],[Dens]]&lt;=900),1,0)</f>
        <v>0</v>
      </c>
      <c r="V79" s="6">
        <f>IF(AND(sim.tbl[[#This Row],[Sulf]]&gt;0.5,sim.tbl[[#This Row],[Dens]]&gt;870,sim.tbl[[#This Row],[Dens]]&lt;=900),1,0)</f>
        <v>0</v>
      </c>
      <c r="W79" s="6">
        <f>IF(AND(sim.tbl[[#This Row],[Sulf]]&gt;0.5,sim.tbl[[#This Row],[Dens]]&gt;900),1,0)</f>
        <v>0</v>
      </c>
      <c r="X79" s="6">
        <f>IF(AND(sim.tbl[[#This Row],[Sulf]]&lt;=0.5,sim.tbl[[#This Row],[Dens]]&gt;900),1,0)</f>
        <v>0</v>
      </c>
      <c r="Y79" s="6">
        <f ca="1">IF(MONTH(sim.tbl[[#This Row],[SDate]])=INDEX(mthLkUp.tbl[Num],MATCH(Y$3,mthLkUp.tbl[Month],0)),1,0)</f>
        <v>0</v>
      </c>
      <c r="Z79" s="6">
        <f ca="1">IF(MONTH(sim.tbl[[#This Row],[SDate]])=INDEX(mthLkUp.tbl[Num],MATCH(Z$3,mthLkUp.tbl[Month],0)),1,0)</f>
        <v>0</v>
      </c>
      <c r="AA79" s="6">
        <f ca="1">IF(MONTH(sim.tbl[[#This Row],[SDate]])=INDEX(mthLkUp.tbl[Num],MATCH(AA$3,mthLkUp.tbl[Month],0)),1,0)</f>
        <v>1</v>
      </c>
      <c r="AB79" s="6">
        <f ca="1">IF(MONTH(sim.tbl[[#This Row],[SDate]])=INDEX(mthLkUp.tbl[Num],MATCH(AB$3,mthLkUp.tbl[Month],0)),1,0)</f>
        <v>0</v>
      </c>
      <c r="AC79" s="6">
        <f ca="1">IF(MONTH(sim.tbl[[#This Row],[SDate]])=INDEX(mthLkUp.tbl[Num],MATCH(AC$3,mthLkUp.tbl[Month],0)),1,0)</f>
        <v>0</v>
      </c>
      <c r="AD79" s="6">
        <f ca="1">IF(MONTH(sim.tbl[[#This Row],[SDate]])=INDEX(mthLkUp.tbl[Num],MATCH(AD$3,mthLkUp.tbl[Month],0)),1,0)</f>
        <v>0</v>
      </c>
      <c r="AE79" s="6">
        <f ca="1">IF(MONTH(sim.tbl[[#This Row],[SDate]])=INDEX(mthLkUp.tbl[Num],MATCH(AE$3,mthLkUp.tbl[Month],0)),1,0)</f>
        <v>0</v>
      </c>
      <c r="AF79" s="6">
        <f ca="1">IF(MONTH(sim.tbl[[#This Row],[SDate]])=INDEX(mthLkUp.tbl[Num],MATCH(AF$3,mthLkUp.tbl[Month],0)),1,0)</f>
        <v>0</v>
      </c>
      <c r="AG79" s="6">
        <f ca="1">IF(MONTH(sim.tbl[[#This Row],[SDate]])=INDEX(mthLkUp.tbl[Num],MATCH(AG$3,mthLkUp.tbl[Month],0)),1,0)</f>
        <v>0</v>
      </c>
      <c r="AH79" s="6">
        <f ca="1">IF(MONTH(sim.tbl[[#This Row],[SDate]])=INDEX(mthLkUp.tbl[Num],MATCH(AH$3,mthLkUp.tbl[Month],0)),1,0)</f>
        <v>0</v>
      </c>
      <c r="AI79" s="6">
        <f ca="1">IF(MONTH(sim.tbl[[#This Row],[SDate]])=INDEX(mthLkUp.tbl[Num],MATCH(AI$3,mthLkUp.tbl[Month],0)),1,0)</f>
        <v>0</v>
      </c>
      <c r="AJ79" s="6">
        <f ca="1">IF(MONTH(sim.tbl[[#This Row],[SDate]])=INDEX(mthLkUp.tbl[Num],MATCH(AJ$3,mthLkUp.tbl[Month],0)),1,0)</f>
        <v>0</v>
      </c>
      <c r="AK79" s="6">
        <v>1</v>
      </c>
      <c r="AL79" s="5">
        <f>sim.tbl[[#This Row],[Sulf]]*sim.tbl[[#This Row],[C5]]</f>
        <v>0</v>
      </c>
      <c r="AM79" s="5">
        <f>sim.tbl[[#This Row],[Sulf]]*sim.tbl[[#This Row],[Light_LSB]]</f>
        <v>0</v>
      </c>
      <c r="AN79" s="5">
        <f>sim.tbl[[#This Row],[Sulf]]*sim.tbl[[#This Row],[Light_SW]]</f>
        <v>0</v>
      </c>
      <c r="AO79" s="5">
        <f>sim.tbl[[#This Row],[Sulf]]*sim.tbl[[#This Row],[Medium_LSB]]</f>
        <v>1.31</v>
      </c>
      <c r="AP79" s="5">
        <f>sim.tbl[[#This Row],[Sulf]]*sim.tbl[[#This Row],[Medium_SW]]</f>
        <v>0</v>
      </c>
      <c r="AQ79" s="5">
        <f>sim.tbl[[#This Row],[Sulf]]*sim.tbl[[#This Row],[Midale]]</f>
        <v>0</v>
      </c>
      <c r="AR79" s="5">
        <f>sim.tbl[[#This Row],[Sulf]]*sim.tbl[[#This Row],[Heavy_Sour]]</f>
        <v>0</v>
      </c>
      <c r="AS79" s="5">
        <f>sim.tbl[[#This Row],[Sulf]]*sim.tbl[[#This Row],[Heavy_SW]]</f>
        <v>0</v>
      </c>
      <c r="AT79" s="5">
        <f>sim.tbl[[#This Row],[Dens]]*sim.tbl[[#This Row],[C5]]</f>
        <v>0</v>
      </c>
      <c r="AU79" s="5">
        <f>sim.tbl[[#This Row],[Dens]]*sim.tbl[[#This Row],[Light_LSB]]</f>
        <v>0</v>
      </c>
      <c r="AV79" s="5">
        <f>sim.tbl[[#This Row],[Dens]]*sim.tbl[[#This Row],[Light_SW]]</f>
        <v>0</v>
      </c>
      <c r="AW79" s="5">
        <f>sim.tbl[[#This Row],[Dens]]*sim.tbl[[#This Row],[Medium_LSB]]</f>
        <v>830.1</v>
      </c>
      <c r="AX79" s="5">
        <f>sim.tbl[[#This Row],[Dens]]*sim.tbl[[#This Row],[Medium_SW]]</f>
        <v>0</v>
      </c>
      <c r="AY79" s="5">
        <f>sim.tbl[[#This Row],[Dens]]*sim.tbl[[#This Row],[Midale]]</f>
        <v>0</v>
      </c>
      <c r="AZ79" s="5">
        <f>sim.tbl[[#This Row],[Dens]]*sim.tbl[[#This Row],[Heavy_Sour]]</f>
        <v>0</v>
      </c>
      <c r="BA79" s="5">
        <f>sim.tbl[[#This Row],[Dens]]*sim.tbl[[#This Row],[Heavy_SW]]</f>
        <v>0</v>
      </c>
      <c r="BB79" s="5">
        <f>sim.tbl[[#This Row],[Temp.Roll]]*sim.tbl[[#This Row],[C5]]</f>
        <v>0</v>
      </c>
      <c r="BC79" s="5">
        <f>sim.tbl[[#This Row],[Temp.Roll]]*sim.tbl[[#This Row],[Light_LSB]]</f>
        <v>0</v>
      </c>
      <c r="BD79" s="5">
        <f>sim.tbl[[#This Row],[Temp.Roll]]*sim.tbl[[#This Row],[Light_SW]]</f>
        <v>0</v>
      </c>
      <c r="BE79" s="5">
        <f>sim.tbl[[#This Row],[Temp.Roll]]*sim.tbl[[#This Row],[Medium_LSB]]</f>
        <v>-4</v>
      </c>
      <c r="BF79" s="5">
        <f>sim.tbl[[#This Row],[Temp.Roll]]*sim.tbl[[#This Row],[Medium_SW]]</f>
        <v>0</v>
      </c>
      <c r="BG79" s="5">
        <f>sim.tbl[[#This Row],[Temp.Roll]]*sim.tbl[[#This Row],[Midale]]</f>
        <v>0</v>
      </c>
      <c r="BH79" s="5">
        <f>sim.tbl[[#This Row],[Temp.Roll]]*sim.tbl[[#This Row],[Heavy_Sour]]</f>
        <v>0</v>
      </c>
      <c r="BI79" s="5">
        <f>sim.tbl[[#This Row],[Temp.Roll]]*sim.tbl[[#This Row],[Heavy_SW]]</f>
        <v>0</v>
      </c>
    </row>
    <row r="80" spans="4:61" x14ac:dyDescent="0.25">
      <c r="D80" s="5">
        <f ca="1">SUMPRODUCT($F$1:$BI$1,sim.tbl[[#This Row],[Intercept]:[Temp.Roll:Heavy_SW]])</f>
        <v>82.361547536945267</v>
      </c>
      <c r="E80" s="14">
        <f ca="1">DATE(YEAR(TODAY()),INDEX(mthLkUp.tbl[Num],MATCH(mth.input,mthLkUp.tbl[Month],0)),1)</f>
        <v>42795</v>
      </c>
      <c r="F80" s="6">
        <f>1</f>
        <v>1</v>
      </c>
      <c r="G80" s="5">
        <v>0.79</v>
      </c>
      <c r="H80" s="5">
        <v>834</v>
      </c>
      <c r="I80" s="5">
        <v>-4.5999999999999996</v>
      </c>
      <c r="J80" s="5">
        <v>-4.7</v>
      </c>
      <c r="K80" s="5">
        <v>-2.5</v>
      </c>
      <c r="L80" s="5">
        <v>-4.7</v>
      </c>
      <c r="M80" s="5">
        <v>2.8</v>
      </c>
      <c r="N80" s="5">
        <v>-6.5</v>
      </c>
      <c r="O80" s="5">
        <v>-4.2</v>
      </c>
      <c r="P80" s="5">
        <v>-5.0999999999999996</v>
      </c>
      <c r="Q80" s="6">
        <f>IF(sim.tbl[[#This Row],[Dens]]&lt;=770,1,0)</f>
        <v>0</v>
      </c>
      <c r="R80" s="6">
        <f>IF(AND(sim.tbl[[#This Row],[Sulf]]&gt;0.5,sim.tbl[[#This Row],[Dens]]&gt;770,sim.tbl[[#This Row],[Dens]]&lt;=825),1,0)</f>
        <v>0</v>
      </c>
      <c r="S80" s="6">
        <f>IF(AND(sim.tbl[[#This Row],[Sulf]]&lt;=0.5,sim.tbl[[#This Row],[Dens]]&gt;770,sim.tbl[[#This Row],[Dens]]&lt;=825),1,0)</f>
        <v>0</v>
      </c>
      <c r="T80" s="6">
        <f>IF(AND(sim.tbl[[#This Row],[Sulf]]&gt;0.5,sim.tbl[[#This Row],[Dens]]&gt;825,sim.tbl[[#This Row],[Dens]]&lt;=870),1,0)</f>
        <v>1</v>
      </c>
      <c r="U80" s="6">
        <f>IF(AND(sim.tbl[[#This Row],[Sulf]]&lt;0.5,sim.tbl[[#This Row],[Dens]]&gt;825,sim.tbl[[#This Row],[Dens]]&lt;=900),1,0)</f>
        <v>0</v>
      </c>
      <c r="V80" s="6">
        <f>IF(AND(sim.tbl[[#This Row],[Sulf]]&gt;0.5,sim.tbl[[#This Row],[Dens]]&gt;870,sim.tbl[[#This Row],[Dens]]&lt;=900),1,0)</f>
        <v>0</v>
      </c>
      <c r="W80" s="6">
        <f>IF(AND(sim.tbl[[#This Row],[Sulf]]&gt;0.5,sim.tbl[[#This Row],[Dens]]&gt;900),1,0)</f>
        <v>0</v>
      </c>
      <c r="X80" s="6">
        <f>IF(AND(sim.tbl[[#This Row],[Sulf]]&lt;=0.5,sim.tbl[[#This Row],[Dens]]&gt;900),1,0)</f>
        <v>0</v>
      </c>
      <c r="Y80" s="6">
        <f ca="1">IF(MONTH(sim.tbl[[#This Row],[SDate]])=INDEX(mthLkUp.tbl[Num],MATCH(Y$3,mthLkUp.tbl[Month],0)),1,0)</f>
        <v>0</v>
      </c>
      <c r="Z80" s="6">
        <f ca="1">IF(MONTH(sim.tbl[[#This Row],[SDate]])=INDEX(mthLkUp.tbl[Num],MATCH(Z$3,mthLkUp.tbl[Month],0)),1,0)</f>
        <v>0</v>
      </c>
      <c r="AA80" s="6">
        <f ca="1">IF(MONTH(sim.tbl[[#This Row],[SDate]])=INDEX(mthLkUp.tbl[Num],MATCH(AA$3,mthLkUp.tbl[Month],0)),1,0)</f>
        <v>1</v>
      </c>
      <c r="AB80" s="6">
        <f ca="1">IF(MONTH(sim.tbl[[#This Row],[SDate]])=INDEX(mthLkUp.tbl[Num],MATCH(AB$3,mthLkUp.tbl[Month],0)),1,0)</f>
        <v>0</v>
      </c>
      <c r="AC80" s="6">
        <f ca="1">IF(MONTH(sim.tbl[[#This Row],[SDate]])=INDEX(mthLkUp.tbl[Num],MATCH(AC$3,mthLkUp.tbl[Month],0)),1,0)</f>
        <v>0</v>
      </c>
      <c r="AD80" s="6">
        <f ca="1">IF(MONTH(sim.tbl[[#This Row],[SDate]])=INDEX(mthLkUp.tbl[Num],MATCH(AD$3,mthLkUp.tbl[Month],0)),1,0)</f>
        <v>0</v>
      </c>
      <c r="AE80" s="6">
        <f ca="1">IF(MONTH(sim.tbl[[#This Row],[SDate]])=INDEX(mthLkUp.tbl[Num],MATCH(AE$3,mthLkUp.tbl[Month],0)),1,0)</f>
        <v>0</v>
      </c>
      <c r="AF80" s="6">
        <f ca="1">IF(MONTH(sim.tbl[[#This Row],[SDate]])=INDEX(mthLkUp.tbl[Num],MATCH(AF$3,mthLkUp.tbl[Month],0)),1,0)</f>
        <v>0</v>
      </c>
      <c r="AG80" s="6">
        <f ca="1">IF(MONTH(sim.tbl[[#This Row],[SDate]])=INDEX(mthLkUp.tbl[Num],MATCH(AG$3,mthLkUp.tbl[Month],0)),1,0)</f>
        <v>0</v>
      </c>
      <c r="AH80" s="6">
        <f ca="1">IF(MONTH(sim.tbl[[#This Row],[SDate]])=INDEX(mthLkUp.tbl[Num],MATCH(AH$3,mthLkUp.tbl[Month],0)),1,0)</f>
        <v>0</v>
      </c>
      <c r="AI80" s="6">
        <f ca="1">IF(MONTH(sim.tbl[[#This Row],[SDate]])=INDEX(mthLkUp.tbl[Num],MATCH(AI$3,mthLkUp.tbl[Month],0)),1,0)</f>
        <v>0</v>
      </c>
      <c r="AJ80" s="6">
        <f ca="1">IF(MONTH(sim.tbl[[#This Row],[SDate]])=INDEX(mthLkUp.tbl[Num],MATCH(AJ$3,mthLkUp.tbl[Month],0)),1,0)</f>
        <v>0</v>
      </c>
      <c r="AK80" s="6">
        <v>1</v>
      </c>
      <c r="AL80" s="5">
        <f>sim.tbl[[#This Row],[Sulf]]*sim.tbl[[#This Row],[C5]]</f>
        <v>0</v>
      </c>
      <c r="AM80" s="5">
        <f>sim.tbl[[#This Row],[Sulf]]*sim.tbl[[#This Row],[Light_LSB]]</f>
        <v>0</v>
      </c>
      <c r="AN80" s="5">
        <f>sim.tbl[[#This Row],[Sulf]]*sim.tbl[[#This Row],[Light_SW]]</f>
        <v>0</v>
      </c>
      <c r="AO80" s="5">
        <f>sim.tbl[[#This Row],[Sulf]]*sim.tbl[[#This Row],[Medium_LSB]]</f>
        <v>0.79</v>
      </c>
      <c r="AP80" s="5">
        <f>sim.tbl[[#This Row],[Sulf]]*sim.tbl[[#This Row],[Medium_SW]]</f>
        <v>0</v>
      </c>
      <c r="AQ80" s="5">
        <f>sim.tbl[[#This Row],[Sulf]]*sim.tbl[[#This Row],[Midale]]</f>
        <v>0</v>
      </c>
      <c r="AR80" s="5">
        <f>sim.tbl[[#This Row],[Sulf]]*sim.tbl[[#This Row],[Heavy_Sour]]</f>
        <v>0</v>
      </c>
      <c r="AS80" s="5">
        <f>sim.tbl[[#This Row],[Sulf]]*sim.tbl[[#This Row],[Heavy_SW]]</f>
        <v>0</v>
      </c>
      <c r="AT80" s="5">
        <f>sim.tbl[[#This Row],[Dens]]*sim.tbl[[#This Row],[C5]]</f>
        <v>0</v>
      </c>
      <c r="AU80" s="5">
        <f>sim.tbl[[#This Row],[Dens]]*sim.tbl[[#This Row],[Light_LSB]]</f>
        <v>0</v>
      </c>
      <c r="AV80" s="5">
        <f>sim.tbl[[#This Row],[Dens]]*sim.tbl[[#This Row],[Light_SW]]</f>
        <v>0</v>
      </c>
      <c r="AW80" s="5">
        <f>sim.tbl[[#This Row],[Dens]]*sim.tbl[[#This Row],[Medium_LSB]]</f>
        <v>834</v>
      </c>
      <c r="AX80" s="5">
        <f>sim.tbl[[#This Row],[Dens]]*sim.tbl[[#This Row],[Medium_SW]]</f>
        <v>0</v>
      </c>
      <c r="AY80" s="5">
        <f>sim.tbl[[#This Row],[Dens]]*sim.tbl[[#This Row],[Midale]]</f>
        <v>0</v>
      </c>
      <c r="AZ80" s="5">
        <f>sim.tbl[[#This Row],[Dens]]*sim.tbl[[#This Row],[Heavy_Sour]]</f>
        <v>0</v>
      </c>
      <c r="BA80" s="5">
        <f>sim.tbl[[#This Row],[Dens]]*sim.tbl[[#This Row],[Heavy_SW]]</f>
        <v>0</v>
      </c>
      <c r="BB80" s="5">
        <f>sim.tbl[[#This Row],[Temp.Roll]]*sim.tbl[[#This Row],[C5]]</f>
        <v>0</v>
      </c>
      <c r="BC80" s="5">
        <f>sim.tbl[[#This Row],[Temp.Roll]]*sim.tbl[[#This Row],[Light_LSB]]</f>
        <v>0</v>
      </c>
      <c r="BD80" s="5">
        <f>sim.tbl[[#This Row],[Temp.Roll]]*sim.tbl[[#This Row],[Light_SW]]</f>
        <v>0</v>
      </c>
      <c r="BE80" s="5">
        <f>sim.tbl[[#This Row],[Temp.Roll]]*sim.tbl[[#This Row],[Medium_LSB]]</f>
        <v>-4.7</v>
      </c>
      <c r="BF80" s="5">
        <f>sim.tbl[[#This Row],[Temp.Roll]]*sim.tbl[[#This Row],[Medium_SW]]</f>
        <v>0</v>
      </c>
      <c r="BG80" s="5">
        <f>sim.tbl[[#This Row],[Temp.Roll]]*sim.tbl[[#This Row],[Midale]]</f>
        <v>0</v>
      </c>
      <c r="BH80" s="5">
        <f>sim.tbl[[#This Row],[Temp.Roll]]*sim.tbl[[#This Row],[Heavy_Sour]]</f>
        <v>0</v>
      </c>
      <c r="BI80" s="5">
        <f>sim.tbl[[#This Row],[Temp.Roll]]*sim.tbl[[#This Row],[Heavy_SW]]</f>
        <v>0</v>
      </c>
    </row>
    <row r="81" spans="4:61" x14ac:dyDescent="0.25">
      <c r="D81" s="5">
        <f ca="1">SUMPRODUCT($F$1:$BI$1,sim.tbl[[#This Row],[Intercept]:[Temp.Roll:Heavy_SW]])</f>
        <v>85.730641029544586</v>
      </c>
      <c r="E81" s="14">
        <f ca="1">DATE(YEAR(TODAY()),INDEX(mthLkUp.tbl[Num],MATCH(mth.input,mthLkUp.tbl[Month],0)),1)</f>
        <v>42795</v>
      </c>
      <c r="F81" s="6">
        <f>1</f>
        <v>1</v>
      </c>
      <c r="G81" s="5">
        <v>1.32</v>
      </c>
      <c r="H81" s="5">
        <v>835.6</v>
      </c>
      <c r="I81" s="5">
        <v>-14.1</v>
      </c>
      <c r="J81" s="5">
        <v>-15.4</v>
      </c>
      <c r="K81" s="5">
        <v>-15.2</v>
      </c>
      <c r="L81" s="5">
        <v>-15.4</v>
      </c>
      <c r="M81" s="5">
        <v>-12.3</v>
      </c>
      <c r="N81" s="5">
        <v>-11.5</v>
      </c>
      <c r="O81" s="5">
        <v>-16.5</v>
      </c>
      <c r="P81" s="5">
        <v>-13.7</v>
      </c>
      <c r="Q81" s="6">
        <f>IF(sim.tbl[[#This Row],[Dens]]&lt;=770,1,0)</f>
        <v>0</v>
      </c>
      <c r="R81" s="6">
        <f>IF(AND(sim.tbl[[#This Row],[Sulf]]&gt;0.5,sim.tbl[[#This Row],[Dens]]&gt;770,sim.tbl[[#This Row],[Dens]]&lt;=825),1,0)</f>
        <v>0</v>
      </c>
      <c r="S81" s="6">
        <f>IF(AND(sim.tbl[[#This Row],[Sulf]]&lt;=0.5,sim.tbl[[#This Row],[Dens]]&gt;770,sim.tbl[[#This Row],[Dens]]&lt;=825),1,0)</f>
        <v>0</v>
      </c>
      <c r="T81" s="6">
        <f>IF(AND(sim.tbl[[#This Row],[Sulf]]&gt;0.5,sim.tbl[[#This Row],[Dens]]&gt;825,sim.tbl[[#This Row],[Dens]]&lt;=870),1,0)</f>
        <v>1</v>
      </c>
      <c r="U81" s="6">
        <f>IF(AND(sim.tbl[[#This Row],[Sulf]]&lt;0.5,sim.tbl[[#This Row],[Dens]]&gt;825,sim.tbl[[#This Row],[Dens]]&lt;=900),1,0)</f>
        <v>0</v>
      </c>
      <c r="V81" s="6">
        <f>IF(AND(sim.tbl[[#This Row],[Sulf]]&gt;0.5,sim.tbl[[#This Row],[Dens]]&gt;870,sim.tbl[[#This Row],[Dens]]&lt;=900),1,0)</f>
        <v>0</v>
      </c>
      <c r="W81" s="6">
        <f>IF(AND(sim.tbl[[#This Row],[Sulf]]&gt;0.5,sim.tbl[[#This Row],[Dens]]&gt;900),1,0)</f>
        <v>0</v>
      </c>
      <c r="X81" s="6">
        <f>IF(AND(sim.tbl[[#This Row],[Sulf]]&lt;=0.5,sim.tbl[[#This Row],[Dens]]&gt;900),1,0)</f>
        <v>0</v>
      </c>
      <c r="Y81" s="6">
        <f ca="1">IF(MONTH(sim.tbl[[#This Row],[SDate]])=INDEX(mthLkUp.tbl[Num],MATCH(Y$3,mthLkUp.tbl[Month],0)),1,0)</f>
        <v>0</v>
      </c>
      <c r="Z81" s="6">
        <f ca="1">IF(MONTH(sim.tbl[[#This Row],[SDate]])=INDEX(mthLkUp.tbl[Num],MATCH(Z$3,mthLkUp.tbl[Month],0)),1,0)</f>
        <v>0</v>
      </c>
      <c r="AA81" s="6">
        <f ca="1">IF(MONTH(sim.tbl[[#This Row],[SDate]])=INDEX(mthLkUp.tbl[Num],MATCH(AA$3,mthLkUp.tbl[Month],0)),1,0)</f>
        <v>1</v>
      </c>
      <c r="AB81" s="6">
        <f ca="1">IF(MONTH(sim.tbl[[#This Row],[SDate]])=INDEX(mthLkUp.tbl[Num],MATCH(AB$3,mthLkUp.tbl[Month],0)),1,0)</f>
        <v>0</v>
      </c>
      <c r="AC81" s="6">
        <f ca="1">IF(MONTH(sim.tbl[[#This Row],[SDate]])=INDEX(mthLkUp.tbl[Num],MATCH(AC$3,mthLkUp.tbl[Month],0)),1,0)</f>
        <v>0</v>
      </c>
      <c r="AD81" s="6">
        <f ca="1">IF(MONTH(sim.tbl[[#This Row],[SDate]])=INDEX(mthLkUp.tbl[Num],MATCH(AD$3,mthLkUp.tbl[Month],0)),1,0)</f>
        <v>0</v>
      </c>
      <c r="AE81" s="6">
        <f ca="1">IF(MONTH(sim.tbl[[#This Row],[SDate]])=INDEX(mthLkUp.tbl[Num],MATCH(AE$3,mthLkUp.tbl[Month],0)),1,0)</f>
        <v>0</v>
      </c>
      <c r="AF81" s="6">
        <f ca="1">IF(MONTH(sim.tbl[[#This Row],[SDate]])=INDEX(mthLkUp.tbl[Num],MATCH(AF$3,mthLkUp.tbl[Month],0)),1,0)</f>
        <v>0</v>
      </c>
      <c r="AG81" s="6">
        <f ca="1">IF(MONTH(sim.tbl[[#This Row],[SDate]])=INDEX(mthLkUp.tbl[Num],MATCH(AG$3,mthLkUp.tbl[Month],0)),1,0)</f>
        <v>0</v>
      </c>
      <c r="AH81" s="6">
        <f ca="1">IF(MONTH(sim.tbl[[#This Row],[SDate]])=INDEX(mthLkUp.tbl[Num],MATCH(AH$3,mthLkUp.tbl[Month],0)),1,0)</f>
        <v>0</v>
      </c>
      <c r="AI81" s="6">
        <f ca="1">IF(MONTH(sim.tbl[[#This Row],[SDate]])=INDEX(mthLkUp.tbl[Num],MATCH(AI$3,mthLkUp.tbl[Month],0)),1,0)</f>
        <v>0</v>
      </c>
      <c r="AJ81" s="6">
        <f ca="1">IF(MONTH(sim.tbl[[#This Row],[SDate]])=INDEX(mthLkUp.tbl[Num],MATCH(AJ$3,mthLkUp.tbl[Month],0)),1,0)</f>
        <v>0</v>
      </c>
      <c r="AK81" s="6">
        <v>1</v>
      </c>
      <c r="AL81" s="5">
        <f>sim.tbl[[#This Row],[Sulf]]*sim.tbl[[#This Row],[C5]]</f>
        <v>0</v>
      </c>
      <c r="AM81" s="5">
        <f>sim.tbl[[#This Row],[Sulf]]*sim.tbl[[#This Row],[Light_LSB]]</f>
        <v>0</v>
      </c>
      <c r="AN81" s="5">
        <f>sim.tbl[[#This Row],[Sulf]]*sim.tbl[[#This Row],[Light_SW]]</f>
        <v>0</v>
      </c>
      <c r="AO81" s="5">
        <f>sim.tbl[[#This Row],[Sulf]]*sim.tbl[[#This Row],[Medium_LSB]]</f>
        <v>1.32</v>
      </c>
      <c r="AP81" s="5">
        <f>sim.tbl[[#This Row],[Sulf]]*sim.tbl[[#This Row],[Medium_SW]]</f>
        <v>0</v>
      </c>
      <c r="AQ81" s="5">
        <f>sim.tbl[[#This Row],[Sulf]]*sim.tbl[[#This Row],[Midale]]</f>
        <v>0</v>
      </c>
      <c r="AR81" s="5">
        <f>sim.tbl[[#This Row],[Sulf]]*sim.tbl[[#This Row],[Heavy_Sour]]</f>
        <v>0</v>
      </c>
      <c r="AS81" s="5">
        <f>sim.tbl[[#This Row],[Sulf]]*sim.tbl[[#This Row],[Heavy_SW]]</f>
        <v>0</v>
      </c>
      <c r="AT81" s="5">
        <f>sim.tbl[[#This Row],[Dens]]*sim.tbl[[#This Row],[C5]]</f>
        <v>0</v>
      </c>
      <c r="AU81" s="5">
        <f>sim.tbl[[#This Row],[Dens]]*sim.tbl[[#This Row],[Light_LSB]]</f>
        <v>0</v>
      </c>
      <c r="AV81" s="5">
        <f>sim.tbl[[#This Row],[Dens]]*sim.tbl[[#This Row],[Light_SW]]</f>
        <v>0</v>
      </c>
      <c r="AW81" s="5">
        <f>sim.tbl[[#This Row],[Dens]]*sim.tbl[[#This Row],[Medium_LSB]]</f>
        <v>835.6</v>
      </c>
      <c r="AX81" s="5">
        <f>sim.tbl[[#This Row],[Dens]]*sim.tbl[[#This Row],[Medium_SW]]</f>
        <v>0</v>
      </c>
      <c r="AY81" s="5">
        <f>sim.tbl[[#This Row],[Dens]]*sim.tbl[[#This Row],[Midale]]</f>
        <v>0</v>
      </c>
      <c r="AZ81" s="5">
        <f>sim.tbl[[#This Row],[Dens]]*sim.tbl[[#This Row],[Heavy_Sour]]</f>
        <v>0</v>
      </c>
      <c r="BA81" s="5">
        <f>sim.tbl[[#This Row],[Dens]]*sim.tbl[[#This Row],[Heavy_SW]]</f>
        <v>0</v>
      </c>
      <c r="BB81" s="5">
        <f>sim.tbl[[#This Row],[Temp.Roll]]*sim.tbl[[#This Row],[C5]]</f>
        <v>0</v>
      </c>
      <c r="BC81" s="5">
        <f>sim.tbl[[#This Row],[Temp.Roll]]*sim.tbl[[#This Row],[Light_LSB]]</f>
        <v>0</v>
      </c>
      <c r="BD81" s="5">
        <f>sim.tbl[[#This Row],[Temp.Roll]]*sim.tbl[[#This Row],[Light_SW]]</f>
        <v>0</v>
      </c>
      <c r="BE81" s="5">
        <f>sim.tbl[[#This Row],[Temp.Roll]]*sim.tbl[[#This Row],[Medium_LSB]]</f>
        <v>-15.4</v>
      </c>
      <c r="BF81" s="5">
        <f>sim.tbl[[#This Row],[Temp.Roll]]*sim.tbl[[#This Row],[Medium_SW]]</f>
        <v>0</v>
      </c>
      <c r="BG81" s="5">
        <f>sim.tbl[[#This Row],[Temp.Roll]]*sim.tbl[[#This Row],[Midale]]</f>
        <v>0</v>
      </c>
      <c r="BH81" s="5">
        <f>sim.tbl[[#This Row],[Temp.Roll]]*sim.tbl[[#This Row],[Heavy_Sour]]</f>
        <v>0</v>
      </c>
      <c r="BI81" s="5">
        <f>sim.tbl[[#This Row],[Temp.Roll]]*sim.tbl[[#This Row],[Heavy_SW]]</f>
        <v>0</v>
      </c>
    </row>
    <row r="82" spans="4:61" x14ac:dyDescent="0.25">
      <c r="D82" s="5">
        <f ca="1">SUMPRODUCT($F$1:$BI$1,sim.tbl[[#This Row],[Intercept]:[Temp.Roll:Heavy_SW]])</f>
        <v>84.795622828983511</v>
      </c>
      <c r="E82" s="14">
        <f ca="1">DATE(YEAR(TODAY()),INDEX(mthLkUp.tbl[Num],MATCH(mth.input,mthLkUp.tbl[Month],0)),1)</f>
        <v>42795</v>
      </c>
      <c r="F82" s="6">
        <f>1</f>
        <v>1</v>
      </c>
      <c r="G82" s="5">
        <v>1.74</v>
      </c>
      <c r="H82" s="5">
        <v>841</v>
      </c>
      <c r="I82" s="5">
        <v>-16.366666670000001</v>
      </c>
      <c r="J82" s="5">
        <v>-17.3</v>
      </c>
      <c r="K82" s="5">
        <v>-17.2</v>
      </c>
      <c r="L82" s="5">
        <v>-17.3</v>
      </c>
      <c r="M82" s="5">
        <v>-16</v>
      </c>
      <c r="N82" s="5">
        <v>-15.2</v>
      </c>
      <c r="O82" s="5">
        <v>-18.7</v>
      </c>
      <c r="P82" s="5">
        <v>-13.8</v>
      </c>
      <c r="Q82" s="6">
        <f>IF(sim.tbl[[#This Row],[Dens]]&lt;=770,1,0)</f>
        <v>0</v>
      </c>
      <c r="R82" s="6">
        <f>IF(AND(sim.tbl[[#This Row],[Sulf]]&gt;0.5,sim.tbl[[#This Row],[Dens]]&gt;770,sim.tbl[[#This Row],[Dens]]&lt;=825),1,0)</f>
        <v>0</v>
      </c>
      <c r="S82" s="6">
        <f>IF(AND(sim.tbl[[#This Row],[Sulf]]&lt;=0.5,sim.tbl[[#This Row],[Dens]]&gt;770,sim.tbl[[#This Row],[Dens]]&lt;=825),1,0)</f>
        <v>0</v>
      </c>
      <c r="T82" s="6">
        <f>IF(AND(sim.tbl[[#This Row],[Sulf]]&gt;0.5,sim.tbl[[#This Row],[Dens]]&gt;825,sim.tbl[[#This Row],[Dens]]&lt;=870),1,0)</f>
        <v>1</v>
      </c>
      <c r="U82" s="6">
        <f>IF(AND(sim.tbl[[#This Row],[Sulf]]&lt;0.5,sim.tbl[[#This Row],[Dens]]&gt;825,sim.tbl[[#This Row],[Dens]]&lt;=900),1,0)</f>
        <v>0</v>
      </c>
      <c r="V82" s="6">
        <f>IF(AND(sim.tbl[[#This Row],[Sulf]]&gt;0.5,sim.tbl[[#This Row],[Dens]]&gt;870,sim.tbl[[#This Row],[Dens]]&lt;=900),1,0)</f>
        <v>0</v>
      </c>
      <c r="W82" s="6">
        <f>IF(AND(sim.tbl[[#This Row],[Sulf]]&gt;0.5,sim.tbl[[#This Row],[Dens]]&gt;900),1,0)</f>
        <v>0</v>
      </c>
      <c r="X82" s="6">
        <f>IF(AND(sim.tbl[[#This Row],[Sulf]]&lt;=0.5,sim.tbl[[#This Row],[Dens]]&gt;900),1,0)</f>
        <v>0</v>
      </c>
      <c r="Y82" s="6">
        <f ca="1">IF(MONTH(sim.tbl[[#This Row],[SDate]])=INDEX(mthLkUp.tbl[Num],MATCH(Y$3,mthLkUp.tbl[Month],0)),1,0)</f>
        <v>0</v>
      </c>
      <c r="Z82" s="6">
        <f ca="1">IF(MONTH(sim.tbl[[#This Row],[SDate]])=INDEX(mthLkUp.tbl[Num],MATCH(Z$3,mthLkUp.tbl[Month],0)),1,0)</f>
        <v>0</v>
      </c>
      <c r="AA82" s="6">
        <f ca="1">IF(MONTH(sim.tbl[[#This Row],[SDate]])=INDEX(mthLkUp.tbl[Num],MATCH(AA$3,mthLkUp.tbl[Month],0)),1,0)</f>
        <v>1</v>
      </c>
      <c r="AB82" s="6">
        <f ca="1">IF(MONTH(sim.tbl[[#This Row],[SDate]])=INDEX(mthLkUp.tbl[Num],MATCH(AB$3,mthLkUp.tbl[Month],0)),1,0)</f>
        <v>0</v>
      </c>
      <c r="AC82" s="6">
        <f ca="1">IF(MONTH(sim.tbl[[#This Row],[SDate]])=INDEX(mthLkUp.tbl[Num],MATCH(AC$3,mthLkUp.tbl[Month],0)),1,0)</f>
        <v>0</v>
      </c>
      <c r="AD82" s="6">
        <f ca="1">IF(MONTH(sim.tbl[[#This Row],[SDate]])=INDEX(mthLkUp.tbl[Num],MATCH(AD$3,mthLkUp.tbl[Month],0)),1,0)</f>
        <v>0</v>
      </c>
      <c r="AE82" s="6">
        <f ca="1">IF(MONTH(sim.tbl[[#This Row],[SDate]])=INDEX(mthLkUp.tbl[Num],MATCH(AE$3,mthLkUp.tbl[Month],0)),1,0)</f>
        <v>0</v>
      </c>
      <c r="AF82" s="6">
        <f ca="1">IF(MONTH(sim.tbl[[#This Row],[SDate]])=INDEX(mthLkUp.tbl[Num],MATCH(AF$3,mthLkUp.tbl[Month],0)),1,0)</f>
        <v>0</v>
      </c>
      <c r="AG82" s="6">
        <f ca="1">IF(MONTH(sim.tbl[[#This Row],[SDate]])=INDEX(mthLkUp.tbl[Num],MATCH(AG$3,mthLkUp.tbl[Month],0)),1,0)</f>
        <v>0</v>
      </c>
      <c r="AH82" s="6">
        <f ca="1">IF(MONTH(sim.tbl[[#This Row],[SDate]])=INDEX(mthLkUp.tbl[Num],MATCH(AH$3,mthLkUp.tbl[Month],0)),1,0)</f>
        <v>0</v>
      </c>
      <c r="AI82" s="6">
        <f ca="1">IF(MONTH(sim.tbl[[#This Row],[SDate]])=INDEX(mthLkUp.tbl[Num],MATCH(AI$3,mthLkUp.tbl[Month],0)),1,0)</f>
        <v>0</v>
      </c>
      <c r="AJ82" s="6">
        <f ca="1">IF(MONTH(sim.tbl[[#This Row],[SDate]])=INDEX(mthLkUp.tbl[Num],MATCH(AJ$3,mthLkUp.tbl[Month],0)),1,0)</f>
        <v>0</v>
      </c>
      <c r="AK82" s="6">
        <v>1</v>
      </c>
      <c r="AL82" s="5">
        <f>sim.tbl[[#This Row],[Sulf]]*sim.tbl[[#This Row],[C5]]</f>
        <v>0</v>
      </c>
      <c r="AM82" s="5">
        <f>sim.tbl[[#This Row],[Sulf]]*sim.tbl[[#This Row],[Light_LSB]]</f>
        <v>0</v>
      </c>
      <c r="AN82" s="5">
        <f>sim.tbl[[#This Row],[Sulf]]*sim.tbl[[#This Row],[Light_SW]]</f>
        <v>0</v>
      </c>
      <c r="AO82" s="5">
        <f>sim.tbl[[#This Row],[Sulf]]*sim.tbl[[#This Row],[Medium_LSB]]</f>
        <v>1.74</v>
      </c>
      <c r="AP82" s="5">
        <f>sim.tbl[[#This Row],[Sulf]]*sim.tbl[[#This Row],[Medium_SW]]</f>
        <v>0</v>
      </c>
      <c r="AQ82" s="5">
        <f>sim.tbl[[#This Row],[Sulf]]*sim.tbl[[#This Row],[Midale]]</f>
        <v>0</v>
      </c>
      <c r="AR82" s="5">
        <f>sim.tbl[[#This Row],[Sulf]]*sim.tbl[[#This Row],[Heavy_Sour]]</f>
        <v>0</v>
      </c>
      <c r="AS82" s="5">
        <f>sim.tbl[[#This Row],[Sulf]]*sim.tbl[[#This Row],[Heavy_SW]]</f>
        <v>0</v>
      </c>
      <c r="AT82" s="5">
        <f>sim.tbl[[#This Row],[Dens]]*sim.tbl[[#This Row],[C5]]</f>
        <v>0</v>
      </c>
      <c r="AU82" s="5">
        <f>sim.tbl[[#This Row],[Dens]]*sim.tbl[[#This Row],[Light_LSB]]</f>
        <v>0</v>
      </c>
      <c r="AV82" s="5">
        <f>sim.tbl[[#This Row],[Dens]]*sim.tbl[[#This Row],[Light_SW]]</f>
        <v>0</v>
      </c>
      <c r="AW82" s="5">
        <f>sim.tbl[[#This Row],[Dens]]*sim.tbl[[#This Row],[Medium_LSB]]</f>
        <v>841</v>
      </c>
      <c r="AX82" s="5">
        <f>sim.tbl[[#This Row],[Dens]]*sim.tbl[[#This Row],[Medium_SW]]</f>
        <v>0</v>
      </c>
      <c r="AY82" s="5">
        <f>sim.tbl[[#This Row],[Dens]]*sim.tbl[[#This Row],[Midale]]</f>
        <v>0</v>
      </c>
      <c r="AZ82" s="5">
        <f>sim.tbl[[#This Row],[Dens]]*sim.tbl[[#This Row],[Heavy_Sour]]</f>
        <v>0</v>
      </c>
      <c r="BA82" s="5">
        <f>sim.tbl[[#This Row],[Dens]]*sim.tbl[[#This Row],[Heavy_SW]]</f>
        <v>0</v>
      </c>
      <c r="BB82" s="5">
        <f>sim.tbl[[#This Row],[Temp.Roll]]*sim.tbl[[#This Row],[C5]]</f>
        <v>0</v>
      </c>
      <c r="BC82" s="5">
        <f>sim.tbl[[#This Row],[Temp.Roll]]*sim.tbl[[#This Row],[Light_LSB]]</f>
        <v>0</v>
      </c>
      <c r="BD82" s="5">
        <f>sim.tbl[[#This Row],[Temp.Roll]]*sim.tbl[[#This Row],[Light_SW]]</f>
        <v>0</v>
      </c>
      <c r="BE82" s="5">
        <f>sim.tbl[[#This Row],[Temp.Roll]]*sim.tbl[[#This Row],[Medium_LSB]]</f>
        <v>-17.3</v>
      </c>
      <c r="BF82" s="5">
        <f>sim.tbl[[#This Row],[Temp.Roll]]*sim.tbl[[#This Row],[Medium_SW]]</f>
        <v>0</v>
      </c>
      <c r="BG82" s="5">
        <f>sim.tbl[[#This Row],[Temp.Roll]]*sim.tbl[[#This Row],[Midale]]</f>
        <v>0</v>
      </c>
      <c r="BH82" s="5">
        <f>sim.tbl[[#This Row],[Temp.Roll]]*sim.tbl[[#This Row],[Heavy_Sour]]</f>
        <v>0</v>
      </c>
      <c r="BI82" s="5">
        <f>sim.tbl[[#This Row],[Temp.Roll]]*sim.tbl[[#This Row],[Heavy_SW]]</f>
        <v>0</v>
      </c>
    </row>
    <row r="83" spans="4:61" x14ac:dyDescent="0.25">
      <c r="D83" s="5">
        <f ca="1">SUMPRODUCT($F$1:$BI$1,sim.tbl[[#This Row],[Intercept]:[Temp.Roll:Heavy_SW]])</f>
        <v>90.909388490818543</v>
      </c>
      <c r="E83" s="14">
        <f ca="1">DATE(YEAR(TODAY()),INDEX(mthLkUp.tbl[Num],MATCH(mth.input,mthLkUp.tbl[Month],0)),1)</f>
        <v>42795</v>
      </c>
      <c r="F83" s="6">
        <f>1</f>
        <v>1</v>
      </c>
      <c r="G83" s="5">
        <v>0.217</v>
      </c>
      <c r="H83" s="5">
        <v>805.85</v>
      </c>
      <c r="I83" s="5">
        <v>-4.1666666670000003</v>
      </c>
      <c r="J83" s="5">
        <v>-4.0999999999999996</v>
      </c>
      <c r="K83" s="5">
        <v>-3.8</v>
      </c>
      <c r="L83" s="5">
        <v>-4.0999999999999996</v>
      </c>
      <c r="M83" s="5">
        <v>-5.3</v>
      </c>
      <c r="N83" s="5">
        <v>-3.3</v>
      </c>
      <c r="O83" s="5">
        <v>-3.6</v>
      </c>
      <c r="P83" s="5">
        <v>-4.9000000000000004</v>
      </c>
      <c r="Q83" s="6">
        <f>IF(sim.tbl[[#This Row],[Dens]]&lt;=770,1,0)</f>
        <v>0</v>
      </c>
      <c r="R83" s="6">
        <f>IF(AND(sim.tbl[[#This Row],[Sulf]]&gt;0.5,sim.tbl[[#This Row],[Dens]]&gt;770,sim.tbl[[#This Row],[Dens]]&lt;=825),1,0)</f>
        <v>0</v>
      </c>
      <c r="S83" s="6">
        <f>IF(AND(sim.tbl[[#This Row],[Sulf]]&lt;=0.5,sim.tbl[[#This Row],[Dens]]&gt;770,sim.tbl[[#This Row],[Dens]]&lt;=825),1,0)</f>
        <v>1</v>
      </c>
      <c r="T83" s="6">
        <f>IF(AND(sim.tbl[[#This Row],[Sulf]]&gt;0.5,sim.tbl[[#This Row],[Dens]]&gt;825,sim.tbl[[#This Row],[Dens]]&lt;=870),1,0)</f>
        <v>0</v>
      </c>
      <c r="U83" s="6">
        <f>IF(AND(sim.tbl[[#This Row],[Sulf]]&lt;0.5,sim.tbl[[#This Row],[Dens]]&gt;825,sim.tbl[[#This Row],[Dens]]&lt;=900),1,0)</f>
        <v>0</v>
      </c>
      <c r="V83" s="6">
        <f>IF(AND(sim.tbl[[#This Row],[Sulf]]&gt;0.5,sim.tbl[[#This Row],[Dens]]&gt;870,sim.tbl[[#This Row],[Dens]]&lt;=900),1,0)</f>
        <v>0</v>
      </c>
      <c r="W83" s="6">
        <f>IF(AND(sim.tbl[[#This Row],[Sulf]]&gt;0.5,sim.tbl[[#This Row],[Dens]]&gt;900),1,0)</f>
        <v>0</v>
      </c>
      <c r="X83" s="6">
        <f>IF(AND(sim.tbl[[#This Row],[Sulf]]&lt;=0.5,sim.tbl[[#This Row],[Dens]]&gt;900),1,0)</f>
        <v>0</v>
      </c>
      <c r="Y83" s="6">
        <f ca="1">IF(MONTH(sim.tbl[[#This Row],[SDate]])=INDEX(mthLkUp.tbl[Num],MATCH(Y$3,mthLkUp.tbl[Month],0)),1,0)</f>
        <v>0</v>
      </c>
      <c r="Z83" s="6">
        <f ca="1">IF(MONTH(sim.tbl[[#This Row],[SDate]])=INDEX(mthLkUp.tbl[Num],MATCH(Z$3,mthLkUp.tbl[Month],0)),1,0)</f>
        <v>0</v>
      </c>
      <c r="AA83" s="6">
        <f ca="1">IF(MONTH(sim.tbl[[#This Row],[SDate]])=INDEX(mthLkUp.tbl[Num],MATCH(AA$3,mthLkUp.tbl[Month],0)),1,0)</f>
        <v>1</v>
      </c>
      <c r="AB83" s="6">
        <f ca="1">IF(MONTH(sim.tbl[[#This Row],[SDate]])=INDEX(mthLkUp.tbl[Num],MATCH(AB$3,mthLkUp.tbl[Month],0)),1,0)</f>
        <v>0</v>
      </c>
      <c r="AC83" s="6">
        <f ca="1">IF(MONTH(sim.tbl[[#This Row],[SDate]])=INDEX(mthLkUp.tbl[Num],MATCH(AC$3,mthLkUp.tbl[Month],0)),1,0)</f>
        <v>0</v>
      </c>
      <c r="AD83" s="6">
        <f ca="1">IF(MONTH(sim.tbl[[#This Row],[SDate]])=INDEX(mthLkUp.tbl[Num],MATCH(AD$3,mthLkUp.tbl[Month],0)),1,0)</f>
        <v>0</v>
      </c>
      <c r="AE83" s="6">
        <f ca="1">IF(MONTH(sim.tbl[[#This Row],[SDate]])=INDEX(mthLkUp.tbl[Num],MATCH(AE$3,mthLkUp.tbl[Month],0)),1,0)</f>
        <v>0</v>
      </c>
      <c r="AF83" s="6">
        <f ca="1">IF(MONTH(sim.tbl[[#This Row],[SDate]])=INDEX(mthLkUp.tbl[Num],MATCH(AF$3,mthLkUp.tbl[Month],0)),1,0)</f>
        <v>0</v>
      </c>
      <c r="AG83" s="6">
        <f ca="1">IF(MONTH(sim.tbl[[#This Row],[SDate]])=INDEX(mthLkUp.tbl[Num],MATCH(AG$3,mthLkUp.tbl[Month],0)),1,0)</f>
        <v>0</v>
      </c>
      <c r="AH83" s="6">
        <f ca="1">IF(MONTH(sim.tbl[[#This Row],[SDate]])=INDEX(mthLkUp.tbl[Num],MATCH(AH$3,mthLkUp.tbl[Month],0)),1,0)</f>
        <v>0</v>
      </c>
      <c r="AI83" s="6">
        <f ca="1">IF(MONTH(sim.tbl[[#This Row],[SDate]])=INDEX(mthLkUp.tbl[Num],MATCH(AI$3,mthLkUp.tbl[Month],0)),1,0)</f>
        <v>0</v>
      </c>
      <c r="AJ83" s="6">
        <f ca="1">IF(MONTH(sim.tbl[[#This Row],[SDate]])=INDEX(mthLkUp.tbl[Num],MATCH(AJ$3,mthLkUp.tbl[Month],0)),1,0)</f>
        <v>0</v>
      </c>
      <c r="AK83" s="6">
        <v>1</v>
      </c>
      <c r="AL83" s="5">
        <f>sim.tbl[[#This Row],[Sulf]]*sim.tbl[[#This Row],[C5]]</f>
        <v>0</v>
      </c>
      <c r="AM83" s="5">
        <f>sim.tbl[[#This Row],[Sulf]]*sim.tbl[[#This Row],[Light_LSB]]</f>
        <v>0</v>
      </c>
      <c r="AN83" s="5">
        <f>sim.tbl[[#This Row],[Sulf]]*sim.tbl[[#This Row],[Light_SW]]</f>
        <v>0.217</v>
      </c>
      <c r="AO83" s="5">
        <f>sim.tbl[[#This Row],[Sulf]]*sim.tbl[[#This Row],[Medium_LSB]]</f>
        <v>0</v>
      </c>
      <c r="AP83" s="5">
        <f>sim.tbl[[#This Row],[Sulf]]*sim.tbl[[#This Row],[Medium_SW]]</f>
        <v>0</v>
      </c>
      <c r="AQ83" s="5">
        <f>sim.tbl[[#This Row],[Sulf]]*sim.tbl[[#This Row],[Midale]]</f>
        <v>0</v>
      </c>
      <c r="AR83" s="5">
        <f>sim.tbl[[#This Row],[Sulf]]*sim.tbl[[#This Row],[Heavy_Sour]]</f>
        <v>0</v>
      </c>
      <c r="AS83" s="5">
        <f>sim.tbl[[#This Row],[Sulf]]*sim.tbl[[#This Row],[Heavy_SW]]</f>
        <v>0</v>
      </c>
      <c r="AT83" s="5">
        <f>sim.tbl[[#This Row],[Dens]]*sim.tbl[[#This Row],[C5]]</f>
        <v>0</v>
      </c>
      <c r="AU83" s="5">
        <f>sim.tbl[[#This Row],[Dens]]*sim.tbl[[#This Row],[Light_LSB]]</f>
        <v>0</v>
      </c>
      <c r="AV83" s="5">
        <f>sim.tbl[[#This Row],[Dens]]*sim.tbl[[#This Row],[Light_SW]]</f>
        <v>805.85</v>
      </c>
      <c r="AW83" s="5">
        <f>sim.tbl[[#This Row],[Dens]]*sim.tbl[[#This Row],[Medium_LSB]]</f>
        <v>0</v>
      </c>
      <c r="AX83" s="5">
        <f>sim.tbl[[#This Row],[Dens]]*sim.tbl[[#This Row],[Medium_SW]]</f>
        <v>0</v>
      </c>
      <c r="AY83" s="5">
        <f>sim.tbl[[#This Row],[Dens]]*sim.tbl[[#This Row],[Midale]]</f>
        <v>0</v>
      </c>
      <c r="AZ83" s="5">
        <f>sim.tbl[[#This Row],[Dens]]*sim.tbl[[#This Row],[Heavy_Sour]]</f>
        <v>0</v>
      </c>
      <c r="BA83" s="5">
        <f>sim.tbl[[#This Row],[Dens]]*sim.tbl[[#This Row],[Heavy_SW]]</f>
        <v>0</v>
      </c>
      <c r="BB83" s="5">
        <f>sim.tbl[[#This Row],[Temp.Roll]]*sim.tbl[[#This Row],[C5]]</f>
        <v>0</v>
      </c>
      <c r="BC83" s="5">
        <f>sim.tbl[[#This Row],[Temp.Roll]]*sim.tbl[[#This Row],[Light_LSB]]</f>
        <v>0</v>
      </c>
      <c r="BD83" s="5">
        <f>sim.tbl[[#This Row],[Temp.Roll]]*sim.tbl[[#This Row],[Light_SW]]</f>
        <v>-4.0999999999999996</v>
      </c>
      <c r="BE83" s="5">
        <f>sim.tbl[[#This Row],[Temp.Roll]]*sim.tbl[[#This Row],[Medium_LSB]]</f>
        <v>0</v>
      </c>
      <c r="BF83" s="5">
        <f>sim.tbl[[#This Row],[Temp.Roll]]*sim.tbl[[#This Row],[Medium_SW]]</f>
        <v>0</v>
      </c>
      <c r="BG83" s="5">
        <f>sim.tbl[[#This Row],[Temp.Roll]]*sim.tbl[[#This Row],[Midale]]</f>
        <v>0</v>
      </c>
      <c r="BH83" s="5">
        <f>sim.tbl[[#This Row],[Temp.Roll]]*sim.tbl[[#This Row],[Heavy_Sour]]</f>
        <v>0</v>
      </c>
      <c r="BI83" s="5">
        <f>sim.tbl[[#This Row],[Temp.Roll]]*sim.tbl[[#This Row],[Heavy_SW]]</f>
        <v>0</v>
      </c>
    </row>
    <row r="84" spans="4:61" x14ac:dyDescent="0.25">
      <c r="D84" s="5">
        <f ca="1">SUMPRODUCT($F$1:$BI$1,sim.tbl[[#This Row],[Intercept]:[Temp.Roll:Heavy_SW]])</f>
        <v>82.892669421031329</v>
      </c>
      <c r="E84" s="14">
        <f ca="1">DATE(YEAR(TODAY()),INDEX(mthLkUp.tbl[Num],MATCH(mth.input,mthLkUp.tbl[Month],0)),1)</f>
        <v>42795</v>
      </c>
      <c r="F84" s="6">
        <f>1</f>
        <v>1</v>
      </c>
      <c r="G84" s="5">
        <v>0.48499999999999999</v>
      </c>
      <c r="H84" s="5">
        <v>815.3</v>
      </c>
      <c r="I84" s="5">
        <v>6.483333333</v>
      </c>
      <c r="J84" s="5">
        <v>7.7</v>
      </c>
      <c r="K84" s="5">
        <v>7.9</v>
      </c>
      <c r="L84" s="5">
        <v>7.7</v>
      </c>
      <c r="M84" s="5">
        <v>5.8</v>
      </c>
      <c r="N84" s="5">
        <v>9.3000000000000007</v>
      </c>
      <c r="O84" s="5">
        <v>1.2</v>
      </c>
      <c r="P84" s="5">
        <v>7</v>
      </c>
      <c r="Q84" s="6">
        <f>IF(sim.tbl[[#This Row],[Dens]]&lt;=770,1,0)</f>
        <v>0</v>
      </c>
      <c r="R84" s="6">
        <f>IF(AND(sim.tbl[[#This Row],[Sulf]]&gt;0.5,sim.tbl[[#This Row],[Dens]]&gt;770,sim.tbl[[#This Row],[Dens]]&lt;=825),1,0)</f>
        <v>0</v>
      </c>
      <c r="S84" s="6">
        <f>IF(AND(sim.tbl[[#This Row],[Sulf]]&lt;=0.5,sim.tbl[[#This Row],[Dens]]&gt;770,sim.tbl[[#This Row],[Dens]]&lt;=825),1,0)</f>
        <v>1</v>
      </c>
      <c r="T84" s="6">
        <f>IF(AND(sim.tbl[[#This Row],[Sulf]]&gt;0.5,sim.tbl[[#This Row],[Dens]]&gt;825,sim.tbl[[#This Row],[Dens]]&lt;=870),1,0)</f>
        <v>0</v>
      </c>
      <c r="U84" s="6">
        <f>IF(AND(sim.tbl[[#This Row],[Sulf]]&lt;0.5,sim.tbl[[#This Row],[Dens]]&gt;825,sim.tbl[[#This Row],[Dens]]&lt;=900),1,0)</f>
        <v>0</v>
      </c>
      <c r="V84" s="6">
        <f>IF(AND(sim.tbl[[#This Row],[Sulf]]&gt;0.5,sim.tbl[[#This Row],[Dens]]&gt;870,sim.tbl[[#This Row],[Dens]]&lt;=900),1,0)</f>
        <v>0</v>
      </c>
      <c r="W84" s="6">
        <f>IF(AND(sim.tbl[[#This Row],[Sulf]]&gt;0.5,sim.tbl[[#This Row],[Dens]]&gt;900),1,0)</f>
        <v>0</v>
      </c>
      <c r="X84" s="6">
        <f>IF(AND(sim.tbl[[#This Row],[Sulf]]&lt;=0.5,sim.tbl[[#This Row],[Dens]]&gt;900),1,0)</f>
        <v>0</v>
      </c>
      <c r="Y84" s="6">
        <f ca="1">IF(MONTH(sim.tbl[[#This Row],[SDate]])=INDEX(mthLkUp.tbl[Num],MATCH(Y$3,mthLkUp.tbl[Month],0)),1,0)</f>
        <v>0</v>
      </c>
      <c r="Z84" s="6">
        <f ca="1">IF(MONTH(sim.tbl[[#This Row],[SDate]])=INDEX(mthLkUp.tbl[Num],MATCH(Z$3,mthLkUp.tbl[Month],0)),1,0)</f>
        <v>0</v>
      </c>
      <c r="AA84" s="6">
        <f ca="1">IF(MONTH(sim.tbl[[#This Row],[SDate]])=INDEX(mthLkUp.tbl[Num],MATCH(AA$3,mthLkUp.tbl[Month],0)),1,0)</f>
        <v>1</v>
      </c>
      <c r="AB84" s="6">
        <f ca="1">IF(MONTH(sim.tbl[[#This Row],[SDate]])=INDEX(mthLkUp.tbl[Num],MATCH(AB$3,mthLkUp.tbl[Month],0)),1,0)</f>
        <v>0</v>
      </c>
      <c r="AC84" s="6">
        <f ca="1">IF(MONTH(sim.tbl[[#This Row],[SDate]])=INDEX(mthLkUp.tbl[Num],MATCH(AC$3,mthLkUp.tbl[Month],0)),1,0)</f>
        <v>0</v>
      </c>
      <c r="AD84" s="6">
        <f ca="1">IF(MONTH(sim.tbl[[#This Row],[SDate]])=INDEX(mthLkUp.tbl[Num],MATCH(AD$3,mthLkUp.tbl[Month],0)),1,0)</f>
        <v>0</v>
      </c>
      <c r="AE84" s="6">
        <f ca="1">IF(MONTH(sim.tbl[[#This Row],[SDate]])=INDEX(mthLkUp.tbl[Num],MATCH(AE$3,mthLkUp.tbl[Month],0)),1,0)</f>
        <v>0</v>
      </c>
      <c r="AF84" s="6">
        <f ca="1">IF(MONTH(sim.tbl[[#This Row],[SDate]])=INDEX(mthLkUp.tbl[Num],MATCH(AF$3,mthLkUp.tbl[Month],0)),1,0)</f>
        <v>0</v>
      </c>
      <c r="AG84" s="6">
        <f ca="1">IF(MONTH(sim.tbl[[#This Row],[SDate]])=INDEX(mthLkUp.tbl[Num],MATCH(AG$3,mthLkUp.tbl[Month],0)),1,0)</f>
        <v>0</v>
      </c>
      <c r="AH84" s="6">
        <f ca="1">IF(MONTH(sim.tbl[[#This Row],[SDate]])=INDEX(mthLkUp.tbl[Num],MATCH(AH$3,mthLkUp.tbl[Month],0)),1,0)</f>
        <v>0</v>
      </c>
      <c r="AI84" s="6">
        <f ca="1">IF(MONTH(sim.tbl[[#This Row],[SDate]])=INDEX(mthLkUp.tbl[Num],MATCH(AI$3,mthLkUp.tbl[Month],0)),1,0)</f>
        <v>0</v>
      </c>
      <c r="AJ84" s="6">
        <f ca="1">IF(MONTH(sim.tbl[[#This Row],[SDate]])=INDEX(mthLkUp.tbl[Num],MATCH(AJ$3,mthLkUp.tbl[Month],0)),1,0)</f>
        <v>0</v>
      </c>
      <c r="AK84" s="6">
        <v>1</v>
      </c>
      <c r="AL84" s="5">
        <f>sim.tbl[[#This Row],[Sulf]]*sim.tbl[[#This Row],[C5]]</f>
        <v>0</v>
      </c>
      <c r="AM84" s="5">
        <f>sim.tbl[[#This Row],[Sulf]]*sim.tbl[[#This Row],[Light_LSB]]</f>
        <v>0</v>
      </c>
      <c r="AN84" s="5">
        <f>sim.tbl[[#This Row],[Sulf]]*sim.tbl[[#This Row],[Light_SW]]</f>
        <v>0.48499999999999999</v>
      </c>
      <c r="AO84" s="5">
        <f>sim.tbl[[#This Row],[Sulf]]*sim.tbl[[#This Row],[Medium_LSB]]</f>
        <v>0</v>
      </c>
      <c r="AP84" s="5">
        <f>sim.tbl[[#This Row],[Sulf]]*sim.tbl[[#This Row],[Medium_SW]]</f>
        <v>0</v>
      </c>
      <c r="AQ84" s="5">
        <f>sim.tbl[[#This Row],[Sulf]]*sim.tbl[[#This Row],[Midale]]</f>
        <v>0</v>
      </c>
      <c r="AR84" s="5">
        <f>sim.tbl[[#This Row],[Sulf]]*sim.tbl[[#This Row],[Heavy_Sour]]</f>
        <v>0</v>
      </c>
      <c r="AS84" s="5">
        <f>sim.tbl[[#This Row],[Sulf]]*sim.tbl[[#This Row],[Heavy_SW]]</f>
        <v>0</v>
      </c>
      <c r="AT84" s="5">
        <f>sim.tbl[[#This Row],[Dens]]*sim.tbl[[#This Row],[C5]]</f>
        <v>0</v>
      </c>
      <c r="AU84" s="5">
        <f>sim.tbl[[#This Row],[Dens]]*sim.tbl[[#This Row],[Light_LSB]]</f>
        <v>0</v>
      </c>
      <c r="AV84" s="5">
        <f>sim.tbl[[#This Row],[Dens]]*sim.tbl[[#This Row],[Light_SW]]</f>
        <v>815.3</v>
      </c>
      <c r="AW84" s="5">
        <f>sim.tbl[[#This Row],[Dens]]*sim.tbl[[#This Row],[Medium_LSB]]</f>
        <v>0</v>
      </c>
      <c r="AX84" s="5">
        <f>sim.tbl[[#This Row],[Dens]]*sim.tbl[[#This Row],[Medium_SW]]</f>
        <v>0</v>
      </c>
      <c r="AY84" s="5">
        <f>sim.tbl[[#This Row],[Dens]]*sim.tbl[[#This Row],[Midale]]</f>
        <v>0</v>
      </c>
      <c r="AZ84" s="5">
        <f>sim.tbl[[#This Row],[Dens]]*sim.tbl[[#This Row],[Heavy_Sour]]</f>
        <v>0</v>
      </c>
      <c r="BA84" s="5">
        <f>sim.tbl[[#This Row],[Dens]]*sim.tbl[[#This Row],[Heavy_SW]]</f>
        <v>0</v>
      </c>
      <c r="BB84" s="5">
        <f>sim.tbl[[#This Row],[Temp.Roll]]*sim.tbl[[#This Row],[C5]]</f>
        <v>0</v>
      </c>
      <c r="BC84" s="5">
        <f>sim.tbl[[#This Row],[Temp.Roll]]*sim.tbl[[#This Row],[Light_LSB]]</f>
        <v>0</v>
      </c>
      <c r="BD84" s="5">
        <f>sim.tbl[[#This Row],[Temp.Roll]]*sim.tbl[[#This Row],[Light_SW]]</f>
        <v>7.7</v>
      </c>
      <c r="BE84" s="5">
        <f>sim.tbl[[#This Row],[Temp.Roll]]*sim.tbl[[#This Row],[Medium_LSB]]</f>
        <v>0</v>
      </c>
      <c r="BF84" s="5">
        <f>sim.tbl[[#This Row],[Temp.Roll]]*sim.tbl[[#This Row],[Medium_SW]]</f>
        <v>0</v>
      </c>
      <c r="BG84" s="5">
        <f>sim.tbl[[#This Row],[Temp.Roll]]*sim.tbl[[#This Row],[Midale]]</f>
        <v>0</v>
      </c>
      <c r="BH84" s="5">
        <f>sim.tbl[[#This Row],[Temp.Roll]]*sim.tbl[[#This Row],[Heavy_Sour]]</f>
        <v>0</v>
      </c>
      <c r="BI84" s="5">
        <f>sim.tbl[[#This Row],[Temp.Roll]]*sim.tbl[[#This Row],[Heavy_SW]]</f>
        <v>0</v>
      </c>
    </row>
    <row r="85" spans="4:61" x14ac:dyDescent="0.25">
      <c r="D85" s="5">
        <f ca="1">SUMPRODUCT($F$1:$BI$1,sim.tbl[[#This Row],[Intercept]:[Temp.Roll:Heavy_SW]])</f>
        <v>84.626594727567451</v>
      </c>
      <c r="E85" s="14">
        <f ca="1">DATE(YEAR(TODAY()),INDEX(mthLkUp.tbl[Num],MATCH(mth.input,mthLkUp.tbl[Month],0)),1)</f>
        <v>42795</v>
      </c>
      <c r="F85" s="6">
        <f>1</f>
        <v>1</v>
      </c>
      <c r="G85" s="5">
        <v>0.499</v>
      </c>
      <c r="H85" s="5">
        <v>812.3</v>
      </c>
      <c r="I85" s="5">
        <v>5.1666666670000003</v>
      </c>
      <c r="J85" s="5">
        <v>5.8</v>
      </c>
      <c r="K85" s="5">
        <v>7.2</v>
      </c>
      <c r="L85" s="5">
        <v>5.8</v>
      </c>
      <c r="M85" s="5">
        <v>3.3</v>
      </c>
      <c r="N85" s="5">
        <v>5.3</v>
      </c>
      <c r="O85" s="5">
        <v>2.6</v>
      </c>
      <c r="P85" s="5">
        <v>6.8</v>
      </c>
      <c r="Q85" s="6">
        <f>IF(sim.tbl[[#This Row],[Dens]]&lt;=770,1,0)</f>
        <v>0</v>
      </c>
      <c r="R85" s="6">
        <f>IF(AND(sim.tbl[[#This Row],[Sulf]]&gt;0.5,sim.tbl[[#This Row],[Dens]]&gt;770,sim.tbl[[#This Row],[Dens]]&lt;=825),1,0)</f>
        <v>0</v>
      </c>
      <c r="S85" s="6">
        <f>IF(AND(sim.tbl[[#This Row],[Sulf]]&lt;=0.5,sim.tbl[[#This Row],[Dens]]&gt;770,sim.tbl[[#This Row],[Dens]]&lt;=825),1,0)</f>
        <v>1</v>
      </c>
      <c r="T85" s="6">
        <f>IF(AND(sim.tbl[[#This Row],[Sulf]]&gt;0.5,sim.tbl[[#This Row],[Dens]]&gt;825,sim.tbl[[#This Row],[Dens]]&lt;=870),1,0)</f>
        <v>0</v>
      </c>
      <c r="U85" s="6">
        <f>IF(AND(sim.tbl[[#This Row],[Sulf]]&lt;0.5,sim.tbl[[#This Row],[Dens]]&gt;825,sim.tbl[[#This Row],[Dens]]&lt;=900),1,0)</f>
        <v>0</v>
      </c>
      <c r="V85" s="6">
        <f>IF(AND(sim.tbl[[#This Row],[Sulf]]&gt;0.5,sim.tbl[[#This Row],[Dens]]&gt;870,sim.tbl[[#This Row],[Dens]]&lt;=900),1,0)</f>
        <v>0</v>
      </c>
      <c r="W85" s="6">
        <f>IF(AND(sim.tbl[[#This Row],[Sulf]]&gt;0.5,sim.tbl[[#This Row],[Dens]]&gt;900),1,0)</f>
        <v>0</v>
      </c>
      <c r="X85" s="6">
        <f>IF(AND(sim.tbl[[#This Row],[Sulf]]&lt;=0.5,sim.tbl[[#This Row],[Dens]]&gt;900),1,0)</f>
        <v>0</v>
      </c>
      <c r="Y85" s="6">
        <f ca="1">IF(MONTH(sim.tbl[[#This Row],[SDate]])=INDEX(mthLkUp.tbl[Num],MATCH(Y$3,mthLkUp.tbl[Month],0)),1,0)</f>
        <v>0</v>
      </c>
      <c r="Z85" s="6">
        <f ca="1">IF(MONTH(sim.tbl[[#This Row],[SDate]])=INDEX(mthLkUp.tbl[Num],MATCH(Z$3,mthLkUp.tbl[Month],0)),1,0)</f>
        <v>0</v>
      </c>
      <c r="AA85" s="6">
        <f ca="1">IF(MONTH(sim.tbl[[#This Row],[SDate]])=INDEX(mthLkUp.tbl[Num],MATCH(AA$3,mthLkUp.tbl[Month],0)),1,0)</f>
        <v>1</v>
      </c>
      <c r="AB85" s="6">
        <f ca="1">IF(MONTH(sim.tbl[[#This Row],[SDate]])=INDEX(mthLkUp.tbl[Num],MATCH(AB$3,mthLkUp.tbl[Month],0)),1,0)</f>
        <v>0</v>
      </c>
      <c r="AC85" s="6">
        <f ca="1">IF(MONTH(sim.tbl[[#This Row],[SDate]])=INDEX(mthLkUp.tbl[Num],MATCH(AC$3,mthLkUp.tbl[Month],0)),1,0)</f>
        <v>0</v>
      </c>
      <c r="AD85" s="6">
        <f ca="1">IF(MONTH(sim.tbl[[#This Row],[SDate]])=INDEX(mthLkUp.tbl[Num],MATCH(AD$3,mthLkUp.tbl[Month],0)),1,0)</f>
        <v>0</v>
      </c>
      <c r="AE85" s="6">
        <f ca="1">IF(MONTH(sim.tbl[[#This Row],[SDate]])=INDEX(mthLkUp.tbl[Num],MATCH(AE$3,mthLkUp.tbl[Month],0)),1,0)</f>
        <v>0</v>
      </c>
      <c r="AF85" s="6">
        <f ca="1">IF(MONTH(sim.tbl[[#This Row],[SDate]])=INDEX(mthLkUp.tbl[Num],MATCH(AF$3,mthLkUp.tbl[Month],0)),1,0)</f>
        <v>0</v>
      </c>
      <c r="AG85" s="6">
        <f ca="1">IF(MONTH(sim.tbl[[#This Row],[SDate]])=INDEX(mthLkUp.tbl[Num],MATCH(AG$3,mthLkUp.tbl[Month],0)),1,0)</f>
        <v>0</v>
      </c>
      <c r="AH85" s="6">
        <f ca="1">IF(MONTH(sim.tbl[[#This Row],[SDate]])=INDEX(mthLkUp.tbl[Num],MATCH(AH$3,mthLkUp.tbl[Month],0)),1,0)</f>
        <v>0</v>
      </c>
      <c r="AI85" s="6">
        <f ca="1">IF(MONTH(sim.tbl[[#This Row],[SDate]])=INDEX(mthLkUp.tbl[Num],MATCH(AI$3,mthLkUp.tbl[Month],0)),1,0)</f>
        <v>0</v>
      </c>
      <c r="AJ85" s="6">
        <f ca="1">IF(MONTH(sim.tbl[[#This Row],[SDate]])=INDEX(mthLkUp.tbl[Num],MATCH(AJ$3,mthLkUp.tbl[Month],0)),1,0)</f>
        <v>0</v>
      </c>
      <c r="AK85" s="6">
        <v>1</v>
      </c>
      <c r="AL85" s="5">
        <f>sim.tbl[[#This Row],[Sulf]]*sim.tbl[[#This Row],[C5]]</f>
        <v>0</v>
      </c>
      <c r="AM85" s="5">
        <f>sim.tbl[[#This Row],[Sulf]]*sim.tbl[[#This Row],[Light_LSB]]</f>
        <v>0</v>
      </c>
      <c r="AN85" s="5">
        <f>sim.tbl[[#This Row],[Sulf]]*sim.tbl[[#This Row],[Light_SW]]</f>
        <v>0.499</v>
      </c>
      <c r="AO85" s="5">
        <f>sim.tbl[[#This Row],[Sulf]]*sim.tbl[[#This Row],[Medium_LSB]]</f>
        <v>0</v>
      </c>
      <c r="AP85" s="5">
        <f>sim.tbl[[#This Row],[Sulf]]*sim.tbl[[#This Row],[Medium_SW]]</f>
        <v>0</v>
      </c>
      <c r="AQ85" s="5">
        <f>sim.tbl[[#This Row],[Sulf]]*sim.tbl[[#This Row],[Midale]]</f>
        <v>0</v>
      </c>
      <c r="AR85" s="5">
        <f>sim.tbl[[#This Row],[Sulf]]*sim.tbl[[#This Row],[Heavy_Sour]]</f>
        <v>0</v>
      </c>
      <c r="AS85" s="5">
        <f>sim.tbl[[#This Row],[Sulf]]*sim.tbl[[#This Row],[Heavy_SW]]</f>
        <v>0</v>
      </c>
      <c r="AT85" s="5">
        <f>sim.tbl[[#This Row],[Dens]]*sim.tbl[[#This Row],[C5]]</f>
        <v>0</v>
      </c>
      <c r="AU85" s="5">
        <f>sim.tbl[[#This Row],[Dens]]*sim.tbl[[#This Row],[Light_LSB]]</f>
        <v>0</v>
      </c>
      <c r="AV85" s="5">
        <f>sim.tbl[[#This Row],[Dens]]*sim.tbl[[#This Row],[Light_SW]]</f>
        <v>812.3</v>
      </c>
      <c r="AW85" s="5">
        <f>sim.tbl[[#This Row],[Dens]]*sim.tbl[[#This Row],[Medium_LSB]]</f>
        <v>0</v>
      </c>
      <c r="AX85" s="5">
        <f>sim.tbl[[#This Row],[Dens]]*sim.tbl[[#This Row],[Medium_SW]]</f>
        <v>0</v>
      </c>
      <c r="AY85" s="5">
        <f>sim.tbl[[#This Row],[Dens]]*sim.tbl[[#This Row],[Midale]]</f>
        <v>0</v>
      </c>
      <c r="AZ85" s="5">
        <f>sim.tbl[[#This Row],[Dens]]*sim.tbl[[#This Row],[Heavy_Sour]]</f>
        <v>0</v>
      </c>
      <c r="BA85" s="5">
        <f>sim.tbl[[#This Row],[Dens]]*sim.tbl[[#This Row],[Heavy_SW]]</f>
        <v>0</v>
      </c>
      <c r="BB85" s="5">
        <f>sim.tbl[[#This Row],[Temp.Roll]]*sim.tbl[[#This Row],[C5]]</f>
        <v>0</v>
      </c>
      <c r="BC85" s="5">
        <f>sim.tbl[[#This Row],[Temp.Roll]]*sim.tbl[[#This Row],[Light_LSB]]</f>
        <v>0</v>
      </c>
      <c r="BD85" s="5">
        <f>sim.tbl[[#This Row],[Temp.Roll]]*sim.tbl[[#This Row],[Light_SW]]</f>
        <v>5.8</v>
      </c>
      <c r="BE85" s="5">
        <f>sim.tbl[[#This Row],[Temp.Roll]]*sim.tbl[[#This Row],[Medium_LSB]]</f>
        <v>0</v>
      </c>
      <c r="BF85" s="5">
        <f>sim.tbl[[#This Row],[Temp.Roll]]*sim.tbl[[#This Row],[Medium_SW]]</f>
        <v>0</v>
      </c>
      <c r="BG85" s="5">
        <f>sim.tbl[[#This Row],[Temp.Roll]]*sim.tbl[[#This Row],[Midale]]</f>
        <v>0</v>
      </c>
      <c r="BH85" s="5">
        <f>sim.tbl[[#This Row],[Temp.Roll]]*sim.tbl[[#This Row],[Heavy_Sour]]</f>
        <v>0</v>
      </c>
      <c r="BI85" s="5">
        <f>sim.tbl[[#This Row],[Temp.Roll]]*sim.tbl[[#This Row],[Heavy_SW]]</f>
        <v>0</v>
      </c>
    </row>
    <row r="86" spans="4:61" x14ac:dyDescent="0.25">
      <c r="D86" s="5">
        <f ca="1">SUMPRODUCT($F$1:$BI$1,sim.tbl[[#This Row],[Intercept]:[Temp.Roll:Heavy_SW]])</f>
        <v>87.107440069268009</v>
      </c>
      <c r="E86" s="14">
        <f ca="1">DATE(YEAR(TODAY()),INDEX(mthLkUp.tbl[Num],MATCH(mth.input,mthLkUp.tbl[Month],0)),1)</f>
        <v>42795</v>
      </c>
      <c r="F86" s="6">
        <f>1</f>
        <v>1</v>
      </c>
      <c r="G86" s="5">
        <v>0.51900000000000002</v>
      </c>
      <c r="H86" s="5">
        <v>818.7</v>
      </c>
      <c r="I86" s="5">
        <v>0.63333333300000005</v>
      </c>
      <c r="J86" s="5">
        <v>-0.2</v>
      </c>
      <c r="K86" s="5">
        <v>1.2</v>
      </c>
      <c r="L86" s="5">
        <v>-0.2</v>
      </c>
      <c r="M86" s="5">
        <v>1.3</v>
      </c>
      <c r="N86" s="5">
        <v>0.8</v>
      </c>
      <c r="O86" s="5">
        <v>1</v>
      </c>
      <c r="P86" s="5">
        <v>-0.3</v>
      </c>
      <c r="Q86" s="6">
        <f>IF(sim.tbl[[#This Row],[Dens]]&lt;=770,1,0)</f>
        <v>0</v>
      </c>
      <c r="R86" s="6">
        <f>IF(AND(sim.tbl[[#This Row],[Sulf]]&gt;0.5,sim.tbl[[#This Row],[Dens]]&gt;770,sim.tbl[[#This Row],[Dens]]&lt;=825),1,0)</f>
        <v>1</v>
      </c>
      <c r="S86" s="6">
        <f>IF(AND(sim.tbl[[#This Row],[Sulf]]&lt;=0.5,sim.tbl[[#This Row],[Dens]]&gt;770,sim.tbl[[#This Row],[Dens]]&lt;=825),1,0)</f>
        <v>0</v>
      </c>
      <c r="T86" s="6">
        <f>IF(AND(sim.tbl[[#This Row],[Sulf]]&gt;0.5,sim.tbl[[#This Row],[Dens]]&gt;825,sim.tbl[[#This Row],[Dens]]&lt;=870),1,0)</f>
        <v>0</v>
      </c>
      <c r="U86" s="6">
        <f>IF(AND(sim.tbl[[#This Row],[Sulf]]&lt;0.5,sim.tbl[[#This Row],[Dens]]&gt;825,sim.tbl[[#This Row],[Dens]]&lt;=900),1,0)</f>
        <v>0</v>
      </c>
      <c r="V86" s="6">
        <f>IF(AND(sim.tbl[[#This Row],[Sulf]]&gt;0.5,sim.tbl[[#This Row],[Dens]]&gt;870,sim.tbl[[#This Row],[Dens]]&lt;=900),1,0)</f>
        <v>0</v>
      </c>
      <c r="W86" s="6">
        <f>IF(AND(sim.tbl[[#This Row],[Sulf]]&gt;0.5,sim.tbl[[#This Row],[Dens]]&gt;900),1,0)</f>
        <v>0</v>
      </c>
      <c r="X86" s="6">
        <f>IF(AND(sim.tbl[[#This Row],[Sulf]]&lt;=0.5,sim.tbl[[#This Row],[Dens]]&gt;900),1,0)</f>
        <v>0</v>
      </c>
      <c r="Y86" s="6">
        <f ca="1">IF(MONTH(sim.tbl[[#This Row],[SDate]])=INDEX(mthLkUp.tbl[Num],MATCH(Y$3,mthLkUp.tbl[Month],0)),1,0)</f>
        <v>0</v>
      </c>
      <c r="Z86" s="6">
        <f ca="1">IF(MONTH(sim.tbl[[#This Row],[SDate]])=INDEX(mthLkUp.tbl[Num],MATCH(Z$3,mthLkUp.tbl[Month],0)),1,0)</f>
        <v>0</v>
      </c>
      <c r="AA86" s="6">
        <f ca="1">IF(MONTH(sim.tbl[[#This Row],[SDate]])=INDEX(mthLkUp.tbl[Num],MATCH(AA$3,mthLkUp.tbl[Month],0)),1,0)</f>
        <v>1</v>
      </c>
      <c r="AB86" s="6">
        <f ca="1">IF(MONTH(sim.tbl[[#This Row],[SDate]])=INDEX(mthLkUp.tbl[Num],MATCH(AB$3,mthLkUp.tbl[Month],0)),1,0)</f>
        <v>0</v>
      </c>
      <c r="AC86" s="6">
        <f ca="1">IF(MONTH(sim.tbl[[#This Row],[SDate]])=INDEX(mthLkUp.tbl[Num],MATCH(AC$3,mthLkUp.tbl[Month],0)),1,0)</f>
        <v>0</v>
      </c>
      <c r="AD86" s="6">
        <f ca="1">IF(MONTH(sim.tbl[[#This Row],[SDate]])=INDEX(mthLkUp.tbl[Num],MATCH(AD$3,mthLkUp.tbl[Month],0)),1,0)</f>
        <v>0</v>
      </c>
      <c r="AE86" s="6">
        <f ca="1">IF(MONTH(sim.tbl[[#This Row],[SDate]])=INDEX(mthLkUp.tbl[Num],MATCH(AE$3,mthLkUp.tbl[Month],0)),1,0)</f>
        <v>0</v>
      </c>
      <c r="AF86" s="6">
        <f ca="1">IF(MONTH(sim.tbl[[#This Row],[SDate]])=INDEX(mthLkUp.tbl[Num],MATCH(AF$3,mthLkUp.tbl[Month],0)),1,0)</f>
        <v>0</v>
      </c>
      <c r="AG86" s="6">
        <f ca="1">IF(MONTH(sim.tbl[[#This Row],[SDate]])=INDEX(mthLkUp.tbl[Num],MATCH(AG$3,mthLkUp.tbl[Month],0)),1,0)</f>
        <v>0</v>
      </c>
      <c r="AH86" s="6">
        <f ca="1">IF(MONTH(sim.tbl[[#This Row],[SDate]])=INDEX(mthLkUp.tbl[Num],MATCH(AH$3,mthLkUp.tbl[Month],0)),1,0)</f>
        <v>0</v>
      </c>
      <c r="AI86" s="6">
        <f ca="1">IF(MONTH(sim.tbl[[#This Row],[SDate]])=INDEX(mthLkUp.tbl[Num],MATCH(AI$3,mthLkUp.tbl[Month],0)),1,0)</f>
        <v>0</v>
      </c>
      <c r="AJ86" s="6">
        <f ca="1">IF(MONTH(sim.tbl[[#This Row],[SDate]])=INDEX(mthLkUp.tbl[Num],MATCH(AJ$3,mthLkUp.tbl[Month],0)),1,0)</f>
        <v>0</v>
      </c>
      <c r="AK86" s="6">
        <v>1</v>
      </c>
      <c r="AL86" s="5">
        <f>sim.tbl[[#This Row],[Sulf]]*sim.tbl[[#This Row],[C5]]</f>
        <v>0</v>
      </c>
      <c r="AM86" s="5">
        <f>sim.tbl[[#This Row],[Sulf]]*sim.tbl[[#This Row],[Light_LSB]]</f>
        <v>0.51900000000000002</v>
      </c>
      <c r="AN86" s="5">
        <f>sim.tbl[[#This Row],[Sulf]]*sim.tbl[[#This Row],[Light_SW]]</f>
        <v>0</v>
      </c>
      <c r="AO86" s="5">
        <f>sim.tbl[[#This Row],[Sulf]]*sim.tbl[[#This Row],[Medium_LSB]]</f>
        <v>0</v>
      </c>
      <c r="AP86" s="5">
        <f>sim.tbl[[#This Row],[Sulf]]*sim.tbl[[#This Row],[Medium_SW]]</f>
        <v>0</v>
      </c>
      <c r="AQ86" s="5">
        <f>sim.tbl[[#This Row],[Sulf]]*sim.tbl[[#This Row],[Midale]]</f>
        <v>0</v>
      </c>
      <c r="AR86" s="5">
        <f>sim.tbl[[#This Row],[Sulf]]*sim.tbl[[#This Row],[Heavy_Sour]]</f>
        <v>0</v>
      </c>
      <c r="AS86" s="5">
        <f>sim.tbl[[#This Row],[Sulf]]*sim.tbl[[#This Row],[Heavy_SW]]</f>
        <v>0</v>
      </c>
      <c r="AT86" s="5">
        <f>sim.tbl[[#This Row],[Dens]]*sim.tbl[[#This Row],[C5]]</f>
        <v>0</v>
      </c>
      <c r="AU86" s="5">
        <f>sim.tbl[[#This Row],[Dens]]*sim.tbl[[#This Row],[Light_LSB]]</f>
        <v>818.7</v>
      </c>
      <c r="AV86" s="5">
        <f>sim.tbl[[#This Row],[Dens]]*sim.tbl[[#This Row],[Light_SW]]</f>
        <v>0</v>
      </c>
      <c r="AW86" s="5">
        <f>sim.tbl[[#This Row],[Dens]]*sim.tbl[[#This Row],[Medium_LSB]]</f>
        <v>0</v>
      </c>
      <c r="AX86" s="5">
        <f>sim.tbl[[#This Row],[Dens]]*sim.tbl[[#This Row],[Medium_SW]]</f>
        <v>0</v>
      </c>
      <c r="AY86" s="5">
        <f>sim.tbl[[#This Row],[Dens]]*sim.tbl[[#This Row],[Midale]]</f>
        <v>0</v>
      </c>
      <c r="AZ86" s="5">
        <f>sim.tbl[[#This Row],[Dens]]*sim.tbl[[#This Row],[Heavy_Sour]]</f>
        <v>0</v>
      </c>
      <c r="BA86" s="5">
        <f>sim.tbl[[#This Row],[Dens]]*sim.tbl[[#This Row],[Heavy_SW]]</f>
        <v>0</v>
      </c>
      <c r="BB86" s="5">
        <f>sim.tbl[[#This Row],[Temp.Roll]]*sim.tbl[[#This Row],[C5]]</f>
        <v>0</v>
      </c>
      <c r="BC86" s="5">
        <f>sim.tbl[[#This Row],[Temp.Roll]]*sim.tbl[[#This Row],[Light_LSB]]</f>
        <v>-0.2</v>
      </c>
      <c r="BD86" s="5">
        <f>sim.tbl[[#This Row],[Temp.Roll]]*sim.tbl[[#This Row],[Light_SW]]</f>
        <v>0</v>
      </c>
      <c r="BE86" s="5">
        <f>sim.tbl[[#This Row],[Temp.Roll]]*sim.tbl[[#This Row],[Medium_LSB]]</f>
        <v>0</v>
      </c>
      <c r="BF86" s="5">
        <f>sim.tbl[[#This Row],[Temp.Roll]]*sim.tbl[[#This Row],[Medium_SW]]</f>
        <v>0</v>
      </c>
      <c r="BG86" s="5">
        <f>sim.tbl[[#This Row],[Temp.Roll]]*sim.tbl[[#This Row],[Midale]]</f>
        <v>0</v>
      </c>
      <c r="BH86" s="5">
        <f>sim.tbl[[#This Row],[Temp.Roll]]*sim.tbl[[#This Row],[Heavy_Sour]]</f>
        <v>0</v>
      </c>
      <c r="BI86" s="5">
        <f>sim.tbl[[#This Row],[Temp.Roll]]*sim.tbl[[#This Row],[Heavy_SW]]</f>
        <v>0</v>
      </c>
    </row>
    <row r="87" spans="4:61" x14ac:dyDescent="0.25">
      <c r="D87" s="5">
        <f ca="1">SUMPRODUCT($F$1:$BI$1,sim.tbl[[#This Row],[Intercept]:[Temp.Roll:Heavy_SW]])</f>
        <v>84.091219586423023</v>
      </c>
      <c r="E87" s="14">
        <f ca="1">DATE(YEAR(TODAY()),INDEX(mthLkUp.tbl[Num],MATCH(mth.input,mthLkUp.tbl[Month],0)),1)</f>
        <v>42795</v>
      </c>
      <c r="F87" s="6">
        <f>1</f>
        <v>1</v>
      </c>
      <c r="G87" s="5">
        <v>0.57599999999999996</v>
      </c>
      <c r="H87" s="5">
        <v>819.8</v>
      </c>
      <c r="I87" s="5">
        <v>5.35</v>
      </c>
      <c r="J87" s="5">
        <v>5.8</v>
      </c>
      <c r="K87" s="5">
        <v>5.7</v>
      </c>
      <c r="L87" s="5">
        <v>5.8</v>
      </c>
      <c r="M87" s="5">
        <v>4.3</v>
      </c>
      <c r="N87" s="5">
        <v>5.5</v>
      </c>
      <c r="O87" s="5">
        <v>5</v>
      </c>
      <c r="P87" s="5">
        <v>5.8</v>
      </c>
      <c r="Q87" s="6">
        <f>IF(sim.tbl[[#This Row],[Dens]]&lt;=770,1,0)</f>
        <v>0</v>
      </c>
      <c r="R87" s="6">
        <f>IF(AND(sim.tbl[[#This Row],[Sulf]]&gt;0.5,sim.tbl[[#This Row],[Dens]]&gt;770,sim.tbl[[#This Row],[Dens]]&lt;=825),1,0)</f>
        <v>1</v>
      </c>
      <c r="S87" s="6">
        <f>IF(AND(sim.tbl[[#This Row],[Sulf]]&lt;=0.5,sim.tbl[[#This Row],[Dens]]&gt;770,sim.tbl[[#This Row],[Dens]]&lt;=825),1,0)</f>
        <v>0</v>
      </c>
      <c r="T87" s="6">
        <f>IF(AND(sim.tbl[[#This Row],[Sulf]]&gt;0.5,sim.tbl[[#This Row],[Dens]]&gt;825,sim.tbl[[#This Row],[Dens]]&lt;=870),1,0)</f>
        <v>0</v>
      </c>
      <c r="U87" s="6">
        <f>IF(AND(sim.tbl[[#This Row],[Sulf]]&lt;0.5,sim.tbl[[#This Row],[Dens]]&gt;825,sim.tbl[[#This Row],[Dens]]&lt;=900),1,0)</f>
        <v>0</v>
      </c>
      <c r="V87" s="6">
        <f>IF(AND(sim.tbl[[#This Row],[Sulf]]&gt;0.5,sim.tbl[[#This Row],[Dens]]&gt;870,sim.tbl[[#This Row],[Dens]]&lt;=900),1,0)</f>
        <v>0</v>
      </c>
      <c r="W87" s="6">
        <f>IF(AND(sim.tbl[[#This Row],[Sulf]]&gt;0.5,sim.tbl[[#This Row],[Dens]]&gt;900),1,0)</f>
        <v>0</v>
      </c>
      <c r="X87" s="6">
        <f>IF(AND(sim.tbl[[#This Row],[Sulf]]&lt;=0.5,sim.tbl[[#This Row],[Dens]]&gt;900),1,0)</f>
        <v>0</v>
      </c>
      <c r="Y87" s="6">
        <f ca="1">IF(MONTH(sim.tbl[[#This Row],[SDate]])=INDEX(mthLkUp.tbl[Num],MATCH(Y$3,mthLkUp.tbl[Month],0)),1,0)</f>
        <v>0</v>
      </c>
      <c r="Z87" s="6">
        <f ca="1">IF(MONTH(sim.tbl[[#This Row],[SDate]])=INDEX(mthLkUp.tbl[Num],MATCH(Z$3,mthLkUp.tbl[Month],0)),1,0)</f>
        <v>0</v>
      </c>
      <c r="AA87" s="6">
        <f ca="1">IF(MONTH(sim.tbl[[#This Row],[SDate]])=INDEX(mthLkUp.tbl[Num],MATCH(AA$3,mthLkUp.tbl[Month],0)),1,0)</f>
        <v>1</v>
      </c>
      <c r="AB87" s="6">
        <f ca="1">IF(MONTH(sim.tbl[[#This Row],[SDate]])=INDEX(mthLkUp.tbl[Num],MATCH(AB$3,mthLkUp.tbl[Month],0)),1,0)</f>
        <v>0</v>
      </c>
      <c r="AC87" s="6">
        <f ca="1">IF(MONTH(sim.tbl[[#This Row],[SDate]])=INDEX(mthLkUp.tbl[Num],MATCH(AC$3,mthLkUp.tbl[Month],0)),1,0)</f>
        <v>0</v>
      </c>
      <c r="AD87" s="6">
        <f ca="1">IF(MONTH(sim.tbl[[#This Row],[SDate]])=INDEX(mthLkUp.tbl[Num],MATCH(AD$3,mthLkUp.tbl[Month],0)),1,0)</f>
        <v>0</v>
      </c>
      <c r="AE87" s="6">
        <f ca="1">IF(MONTH(sim.tbl[[#This Row],[SDate]])=INDEX(mthLkUp.tbl[Num],MATCH(AE$3,mthLkUp.tbl[Month],0)),1,0)</f>
        <v>0</v>
      </c>
      <c r="AF87" s="6">
        <f ca="1">IF(MONTH(sim.tbl[[#This Row],[SDate]])=INDEX(mthLkUp.tbl[Num],MATCH(AF$3,mthLkUp.tbl[Month],0)),1,0)</f>
        <v>0</v>
      </c>
      <c r="AG87" s="6">
        <f ca="1">IF(MONTH(sim.tbl[[#This Row],[SDate]])=INDEX(mthLkUp.tbl[Num],MATCH(AG$3,mthLkUp.tbl[Month],0)),1,0)</f>
        <v>0</v>
      </c>
      <c r="AH87" s="6">
        <f ca="1">IF(MONTH(sim.tbl[[#This Row],[SDate]])=INDEX(mthLkUp.tbl[Num],MATCH(AH$3,mthLkUp.tbl[Month],0)),1,0)</f>
        <v>0</v>
      </c>
      <c r="AI87" s="6">
        <f ca="1">IF(MONTH(sim.tbl[[#This Row],[SDate]])=INDEX(mthLkUp.tbl[Num],MATCH(AI$3,mthLkUp.tbl[Month],0)),1,0)</f>
        <v>0</v>
      </c>
      <c r="AJ87" s="6">
        <f ca="1">IF(MONTH(sim.tbl[[#This Row],[SDate]])=INDEX(mthLkUp.tbl[Num],MATCH(AJ$3,mthLkUp.tbl[Month],0)),1,0)</f>
        <v>0</v>
      </c>
      <c r="AK87" s="6">
        <v>1</v>
      </c>
      <c r="AL87" s="5">
        <f>sim.tbl[[#This Row],[Sulf]]*sim.tbl[[#This Row],[C5]]</f>
        <v>0</v>
      </c>
      <c r="AM87" s="5">
        <f>sim.tbl[[#This Row],[Sulf]]*sim.tbl[[#This Row],[Light_LSB]]</f>
        <v>0.57599999999999996</v>
      </c>
      <c r="AN87" s="5">
        <f>sim.tbl[[#This Row],[Sulf]]*sim.tbl[[#This Row],[Light_SW]]</f>
        <v>0</v>
      </c>
      <c r="AO87" s="5">
        <f>sim.tbl[[#This Row],[Sulf]]*sim.tbl[[#This Row],[Medium_LSB]]</f>
        <v>0</v>
      </c>
      <c r="AP87" s="5">
        <f>sim.tbl[[#This Row],[Sulf]]*sim.tbl[[#This Row],[Medium_SW]]</f>
        <v>0</v>
      </c>
      <c r="AQ87" s="5">
        <f>sim.tbl[[#This Row],[Sulf]]*sim.tbl[[#This Row],[Midale]]</f>
        <v>0</v>
      </c>
      <c r="AR87" s="5">
        <f>sim.tbl[[#This Row],[Sulf]]*sim.tbl[[#This Row],[Heavy_Sour]]</f>
        <v>0</v>
      </c>
      <c r="AS87" s="5">
        <f>sim.tbl[[#This Row],[Sulf]]*sim.tbl[[#This Row],[Heavy_SW]]</f>
        <v>0</v>
      </c>
      <c r="AT87" s="5">
        <f>sim.tbl[[#This Row],[Dens]]*sim.tbl[[#This Row],[C5]]</f>
        <v>0</v>
      </c>
      <c r="AU87" s="5">
        <f>sim.tbl[[#This Row],[Dens]]*sim.tbl[[#This Row],[Light_LSB]]</f>
        <v>819.8</v>
      </c>
      <c r="AV87" s="5">
        <f>sim.tbl[[#This Row],[Dens]]*sim.tbl[[#This Row],[Light_SW]]</f>
        <v>0</v>
      </c>
      <c r="AW87" s="5">
        <f>sim.tbl[[#This Row],[Dens]]*sim.tbl[[#This Row],[Medium_LSB]]</f>
        <v>0</v>
      </c>
      <c r="AX87" s="5">
        <f>sim.tbl[[#This Row],[Dens]]*sim.tbl[[#This Row],[Medium_SW]]</f>
        <v>0</v>
      </c>
      <c r="AY87" s="5">
        <f>sim.tbl[[#This Row],[Dens]]*sim.tbl[[#This Row],[Midale]]</f>
        <v>0</v>
      </c>
      <c r="AZ87" s="5">
        <f>sim.tbl[[#This Row],[Dens]]*sim.tbl[[#This Row],[Heavy_Sour]]</f>
        <v>0</v>
      </c>
      <c r="BA87" s="5">
        <f>sim.tbl[[#This Row],[Dens]]*sim.tbl[[#This Row],[Heavy_SW]]</f>
        <v>0</v>
      </c>
      <c r="BB87" s="5">
        <f>sim.tbl[[#This Row],[Temp.Roll]]*sim.tbl[[#This Row],[C5]]</f>
        <v>0</v>
      </c>
      <c r="BC87" s="5">
        <f>sim.tbl[[#This Row],[Temp.Roll]]*sim.tbl[[#This Row],[Light_LSB]]</f>
        <v>5.8</v>
      </c>
      <c r="BD87" s="5">
        <f>sim.tbl[[#This Row],[Temp.Roll]]*sim.tbl[[#This Row],[Light_SW]]</f>
        <v>0</v>
      </c>
      <c r="BE87" s="5">
        <f>sim.tbl[[#This Row],[Temp.Roll]]*sim.tbl[[#This Row],[Medium_LSB]]</f>
        <v>0</v>
      </c>
      <c r="BF87" s="5">
        <f>sim.tbl[[#This Row],[Temp.Roll]]*sim.tbl[[#This Row],[Medium_SW]]</f>
        <v>0</v>
      </c>
      <c r="BG87" s="5">
        <f>sim.tbl[[#This Row],[Temp.Roll]]*sim.tbl[[#This Row],[Midale]]</f>
        <v>0</v>
      </c>
      <c r="BH87" s="5">
        <f>sim.tbl[[#This Row],[Temp.Roll]]*sim.tbl[[#This Row],[Heavy_Sour]]</f>
        <v>0</v>
      </c>
      <c r="BI87" s="5">
        <f>sim.tbl[[#This Row],[Temp.Roll]]*sim.tbl[[#This Row],[Heavy_SW]]</f>
        <v>0</v>
      </c>
    </row>
    <row r="88" spans="4:61" x14ac:dyDescent="0.25">
      <c r="D88" s="5">
        <f ca="1">SUMPRODUCT($F$1:$BI$1,sim.tbl[[#This Row],[Intercept]:[Temp.Roll:Heavy_SW]])</f>
        <v>83.366400685904381</v>
      </c>
      <c r="E88" s="14">
        <f ca="1">DATE(YEAR(TODAY()),INDEX(mthLkUp.tbl[Num],MATCH(mth.input,mthLkUp.tbl[Month],0)),1)</f>
        <v>42795</v>
      </c>
      <c r="F88" s="6">
        <f>1</f>
        <v>1</v>
      </c>
      <c r="G88" s="5">
        <v>0.59599999999999997</v>
      </c>
      <c r="H88" s="5">
        <v>817</v>
      </c>
      <c r="I88" s="5">
        <v>9.3666666670000005</v>
      </c>
      <c r="J88" s="5">
        <v>9.1999999999999993</v>
      </c>
      <c r="K88" s="5">
        <v>9.5</v>
      </c>
      <c r="L88" s="5">
        <v>9.1999999999999993</v>
      </c>
      <c r="M88" s="5">
        <v>9.5</v>
      </c>
      <c r="N88" s="5">
        <v>10.5</v>
      </c>
      <c r="O88" s="5">
        <v>9</v>
      </c>
      <c r="P88" s="5">
        <v>8.5</v>
      </c>
      <c r="Q88" s="6">
        <f>IF(sim.tbl[[#This Row],[Dens]]&lt;=770,1,0)</f>
        <v>0</v>
      </c>
      <c r="R88" s="6">
        <f>IF(AND(sim.tbl[[#This Row],[Sulf]]&gt;0.5,sim.tbl[[#This Row],[Dens]]&gt;770,sim.tbl[[#This Row],[Dens]]&lt;=825),1,0)</f>
        <v>1</v>
      </c>
      <c r="S88" s="6">
        <f>IF(AND(sim.tbl[[#This Row],[Sulf]]&lt;=0.5,sim.tbl[[#This Row],[Dens]]&gt;770,sim.tbl[[#This Row],[Dens]]&lt;=825),1,0)</f>
        <v>0</v>
      </c>
      <c r="T88" s="6">
        <f>IF(AND(sim.tbl[[#This Row],[Sulf]]&gt;0.5,sim.tbl[[#This Row],[Dens]]&gt;825,sim.tbl[[#This Row],[Dens]]&lt;=870),1,0)</f>
        <v>0</v>
      </c>
      <c r="U88" s="6">
        <f>IF(AND(sim.tbl[[#This Row],[Sulf]]&lt;0.5,sim.tbl[[#This Row],[Dens]]&gt;825,sim.tbl[[#This Row],[Dens]]&lt;=900),1,0)</f>
        <v>0</v>
      </c>
      <c r="V88" s="6">
        <f>IF(AND(sim.tbl[[#This Row],[Sulf]]&gt;0.5,sim.tbl[[#This Row],[Dens]]&gt;870,sim.tbl[[#This Row],[Dens]]&lt;=900),1,0)</f>
        <v>0</v>
      </c>
      <c r="W88" s="6">
        <f>IF(AND(sim.tbl[[#This Row],[Sulf]]&gt;0.5,sim.tbl[[#This Row],[Dens]]&gt;900),1,0)</f>
        <v>0</v>
      </c>
      <c r="X88" s="6">
        <f>IF(AND(sim.tbl[[#This Row],[Sulf]]&lt;=0.5,sim.tbl[[#This Row],[Dens]]&gt;900),1,0)</f>
        <v>0</v>
      </c>
      <c r="Y88" s="6">
        <f ca="1">IF(MONTH(sim.tbl[[#This Row],[SDate]])=INDEX(mthLkUp.tbl[Num],MATCH(Y$3,mthLkUp.tbl[Month],0)),1,0)</f>
        <v>0</v>
      </c>
      <c r="Z88" s="6">
        <f ca="1">IF(MONTH(sim.tbl[[#This Row],[SDate]])=INDEX(mthLkUp.tbl[Num],MATCH(Z$3,mthLkUp.tbl[Month],0)),1,0)</f>
        <v>0</v>
      </c>
      <c r="AA88" s="6">
        <f ca="1">IF(MONTH(sim.tbl[[#This Row],[SDate]])=INDEX(mthLkUp.tbl[Num],MATCH(AA$3,mthLkUp.tbl[Month],0)),1,0)</f>
        <v>1</v>
      </c>
      <c r="AB88" s="6">
        <f ca="1">IF(MONTH(sim.tbl[[#This Row],[SDate]])=INDEX(mthLkUp.tbl[Num],MATCH(AB$3,mthLkUp.tbl[Month],0)),1,0)</f>
        <v>0</v>
      </c>
      <c r="AC88" s="6">
        <f ca="1">IF(MONTH(sim.tbl[[#This Row],[SDate]])=INDEX(mthLkUp.tbl[Num],MATCH(AC$3,mthLkUp.tbl[Month],0)),1,0)</f>
        <v>0</v>
      </c>
      <c r="AD88" s="6">
        <f ca="1">IF(MONTH(sim.tbl[[#This Row],[SDate]])=INDEX(mthLkUp.tbl[Num],MATCH(AD$3,mthLkUp.tbl[Month],0)),1,0)</f>
        <v>0</v>
      </c>
      <c r="AE88" s="6">
        <f ca="1">IF(MONTH(sim.tbl[[#This Row],[SDate]])=INDEX(mthLkUp.tbl[Num],MATCH(AE$3,mthLkUp.tbl[Month],0)),1,0)</f>
        <v>0</v>
      </c>
      <c r="AF88" s="6">
        <f ca="1">IF(MONTH(sim.tbl[[#This Row],[SDate]])=INDEX(mthLkUp.tbl[Num],MATCH(AF$3,mthLkUp.tbl[Month],0)),1,0)</f>
        <v>0</v>
      </c>
      <c r="AG88" s="6">
        <f ca="1">IF(MONTH(sim.tbl[[#This Row],[SDate]])=INDEX(mthLkUp.tbl[Num],MATCH(AG$3,mthLkUp.tbl[Month],0)),1,0)</f>
        <v>0</v>
      </c>
      <c r="AH88" s="6">
        <f ca="1">IF(MONTH(sim.tbl[[#This Row],[SDate]])=INDEX(mthLkUp.tbl[Num],MATCH(AH$3,mthLkUp.tbl[Month],0)),1,0)</f>
        <v>0</v>
      </c>
      <c r="AI88" s="6">
        <f ca="1">IF(MONTH(sim.tbl[[#This Row],[SDate]])=INDEX(mthLkUp.tbl[Num],MATCH(AI$3,mthLkUp.tbl[Month],0)),1,0)</f>
        <v>0</v>
      </c>
      <c r="AJ88" s="6">
        <f ca="1">IF(MONTH(sim.tbl[[#This Row],[SDate]])=INDEX(mthLkUp.tbl[Num],MATCH(AJ$3,mthLkUp.tbl[Month],0)),1,0)</f>
        <v>0</v>
      </c>
      <c r="AK88" s="6">
        <v>1</v>
      </c>
      <c r="AL88" s="5">
        <f>sim.tbl[[#This Row],[Sulf]]*sim.tbl[[#This Row],[C5]]</f>
        <v>0</v>
      </c>
      <c r="AM88" s="5">
        <f>sim.tbl[[#This Row],[Sulf]]*sim.tbl[[#This Row],[Light_LSB]]</f>
        <v>0.59599999999999997</v>
      </c>
      <c r="AN88" s="5">
        <f>sim.tbl[[#This Row],[Sulf]]*sim.tbl[[#This Row],[Light_SW]]</f>
        <v>0</v>
      </c>
      <c r="AO88" s="5">
        <f>sim.tbl[[#This Row],[Sulf]]*sim.tbl[[#This Row],[Medium_LSB]]</f>
        <v>0</v>
      </c>
      <c r="AP88" s="5">
        <f>sim.tbl[[#This Row],[Sulf]]*sim.tbl[[#This Row],[Medium_SW]]</f>
        <v>0</v>
      </c>
      <c r="AQ88" s="5">
        <f>sim.tbl[[#This Row],[Sulf]]*sim.tbl[[#This Row],[Midale]]</f>
        <v>0</v>
      </c>
      <c r="AR88" s="5">
        <f>sim.tbl[[#This Row],[Sulf]]*sim.tbl[[#This Row],[Heavy_Sour]]</f>
        <v>0</v>
      </c>
      <c r="AS88" s="5">
        <f>sim.tbl[[#This Row],[Sulf]]*sim.tbl[[#This Row],[Heavy_SW]]</f>
        <v>0</v>
      </c>
      <c r="AT88" s="5">
        <f>sim.tbl[[#This Row],[Dens]]*sim.tbl[[#This Row],[C5]]</f>
        <v>0</v>
      </c>
      <c r="AU88" s="5">
        <f>sim.tbl[[#This Row],[Dens]]*sim.tbl[[#This Row],[Light_LSB]]</f>
        <v>817</v>
      </c>
      <c r="AV88" s="5">
        <f>sim.tbl[[#This Row],[Dens]]*sim.tbl[[#This Row],[Light_SW]]</f>
        <v>0</v>
      </c>
      <c r="AW88" s="5">
        <f>sim.tbl[[#This Row],[Dens]]*sim.tbl[[#This Row],[Medium_LSB]]</f>
        <v>0</v>
      </c>
      <c r="AX88" s="5">
        <f>sim.tbl[[#This Row],[Dens]]*sim.tbl[[#This Row],[Medium_SW]]</f>
        <v>0</v>
      </c>
      <c r="AY88" s="5">
        <f>sim.tbl[[#This Row],[Dens]]*sim.tbl[[#This Row],[Midale]]</f>
        <v>0</v>
      </c>
      <c r="AZ88" s="5">
        <f>sim.tbl[[#This Row],[Dens]]*sim.tbl[[#This Row],[Heavy_Sour]]</f>
        <v>0</v>
      </c>
      <c r="BA88" s="5">
        <f>sim.tbl[[#This Row],[Dens]]*sim.tbl[[#This Row],[Heavy_SW]]</f>
        <v>0</v>
      </c>
      <c r="BB88" s="5">
        <f>sim.tbl[[#This Row],[Temp.Roll]]*sim.tbl[[#This Row],[C5]]</f>
        <v>0</v>
      </c>
      <c r="BC88" s="5">
        <f>sim.tbl[[#This Row],[Temp.Roll]]*sim.tbl[[#This Row],[Light_LSB]]</f>
        <v>9.1999999999999993</v>
      </c>
      <c r="BD88" s="5">
        <f>sim.tbl[[#This Row],[Temp.Roll]]*sim.tbl[[#This Row],[Light_SW]]</f>
        <v>0</v>
      </c>
      <c r="BE88" s="5">
        <f>sim.tbl[[#This Row],[Temp.Roll]]*sim.tbl[[#This Row],[Medium_LSB]]</f>
        <v>0</v>
      </c>
      <c r="BF88" s="5">
        <f>sim.tbl[[#This Row],[Temp.Roll]]*sim.tbl[[#This Row],[Medium_SW]]</f>
        <v>0</v>
      </c>
      <c r="BG88" s="5">
        <f>sim.tbl[[#This Row],[Temp.Roll]]*sim.tbl[[#This Row],[Midale]]</f>
        <v>0</v>
      </c>
      <c r="BH88" s="5">
        <f>sim.tbl[[#This Row],[Temp.Roll]]*sim.tbl[[#This Row],[Heavy_Sour]]</f>
        <v>0</v>
      </c>
      <c r="BI88" s="5">
        <f>sim.tbl[[#This Row],[Temp.Roll]]*sim.tbl[[#This Row],[Heavy_SW]]</f>
        <v>0</v>
      </c>
    </row>
    <row r="89" spans="4:61" x14ac:dyDescent="0.25">
      <c r="D89" s="5">
        <f ca="1">SUMPRODUCT($F$1:$BI$1,sim.tbl[[#This Row],[Intercept]:[Temp.Roll:Heavy_SW]])</f>
        <v>98.471891254254331</v>
      </c>
      <c r="E89" s="14">
        <f ca="1">DATE(YEAR(TODAY()),INDEX(mthLkUp.tbl[Num],MATCH(mth.input,mthLkUp.tbl[Month],0)),1)</f>
        <v>42795</v>
      </c>
      <c r="F89" s="6">
        <f>1</f>
        <v>1</v>
      </c>
      <c r="G89" s="5">
        <v>0.62849999999999995</v>
      </c>
      <c r="H89" s="5">
        <v>815</v>
      </c>
      <c r="I89" s="5">
        <v>-20.399999999999999</v>
      </c>
      <c r="J89" s="5">
        <v>-20.8</v>
      </c>
      <c r="K89" s="5">
        <v>-19.399999999999999</v>
      </c>
      <c r="L89" s="5">
        <v>-20.8</v>
      </c>
      <c r="M89" s="5">
        <v>2.8</v>
      </c>
      <c r="N89" s="5">
        <v>-20</v>
      </c>
      <c r="O89" s="5">
        <v>-21.6</v>
      </c>
      <c r="P89" s="5">
        <v>-20.2</v>
      </c>
      <c r="Q89" s="6">
        <f>IF(sim.tbl[[#This Row],[Dens]]&lt;=770,1,0)</f>
        <v>0</v>
      </c>
      <c r="R89" s="6">
        <f>IF(AND(sim.tbl[[#This Row],[Sulf]]&gt;0.5,sim.tbl[[#This Row],[Dens]]&gt;770,sim.tbl[[#This Row],[Dens]]&lt;=825),1,0)</f>
        <v>1</v>
      </c>
      <c r="S89" s="6">
        <f>IF(AND(sim.tbl[[#This Row],[Sulf]]&lt;=0.5,sim.tbl[[#This Row],[Dens]]&gt;770,sim.tbl[[#This Row],[Dens]]&lt;=825),1,0)</f>
        <v>0</v>
      </c>
      <c r="T89" s="6">
        <f>IF(AND(sim.tbl[[#This Row],[Sulf]]&gt;0.5,sim.tbl[[#This Row],[Dens]]&gt;825,sim.tbl[[#This Row],[Dens]]&lt;=870),1,0)</f>
        <v>0</v>
      </c>
      <c r="U89" s="6">
        <f>IF(AND(sim.tbl[[#This Row],[Sulf]]&lt;0.5,sim.tbl[[#This Row],[Dens]]&gt;825,sim.tbl[[#This Row],[Dens]]&lt;=900),1,0)</f>
        <v>0</v>
      </c>
      <c r="V89" s="6">
        <f>IF(AND(sim.tbl[[#This Row],[Sulf]]&gt;0.5,sim.tbl[[#This Row],[Dens]]&gt;870,sim.tbl[[#This Row],[Dens]]&lt;=900),1,0)</f>
        <v>0</v>
      </c>
      <c r="W89" s="6">
        <f>IF(AND(sim.tbl[[#This Row],[Sulf]]&gt;0.5,sim.tbl[[#This Row],[Dens]]&gt;900),1,0)</f>
        <v>0</v>
      </c>
      <c r="X89" s="6">
        <f>IF(AND(sim.tbl[[#This Row],[Sulf]]&lt;=0.5,sim.tbl[[#This Row],[Dens]]&gt;900),1,0)</f>
        <v>0</v>
      </c>
      <c r="Y89" s="6">
        <f ca="1">IF(MONTH(sim.tbl[[#This Row],[SDate]])=INDEX(mthLkUp.tbl[Num],MATCH(Y$3,mthLkUp.tbl[Month],0)),1,0)</f>
        <v>0</v>
      </c>
      <c r="Z89" s="6">
        <f ca="1">IF(MONTH(sim.tbl[[#This Row],[SDate]])=INDEX(mthLkUp.tbl[Num],MATCH(Z$3,mthLkUp.tbl[Month],0)),1,0)</f>
        <v>0</v>
      </c>
      <c r="AA89" s="6">
        <f ca="1">IF(MONTH(sim.tbl[[#This Row],[SDate]])=INDEX(mthLkUp.tbl[Num],MATCH(AA$3,mthLkUp.tbl[Month],0)),1,0)</f>
        <v>1</v>
      </c>
      <c r="AB89" s="6">
        <f ca="1">IF(MONTH(sim.tbl[[#This Row],[SDate]])=INDEX(mthLkUp.tbl[Num],MATCH(AB$3,mthLkUp.tbl[Month],0)),1,0)</f>
        <v>0</v>
      </c>
      <c r="AC89" s="6">
        <f ca="1">IF(MONTH(sim.tbl[[#This Row],[SDate]])=INDEX(mthLkUp.tbl[Num],MATCH(AC$3,mthLkUp.tbl[Month],0)),1,0)</f>
        <v>0</v>
      </c>
      <c r="AD89" s="6">
        <f ca="1">IF(MONTH(sim.tbl[[#This Row],[SDate]])=INDEX(mthLkUp.tbl[Num],MATCH(AD$3,mthLkUp.tbl[Month],0)),1,0)</f>
        <v>0</v>
      </c>
      <c r="AE89" s="6">
        <f ca="1">IF(MONTH(sim.tbl[[#This Row],[SDate]])=INDEX(mthLkUp.tbl[Num],MATCH(AE$3,mthLkUp.tbl[Month],0)),1,0)</f>
        <v>0</v>
      </c>
      <c r="AF89" s="6">
        <f ca="1">IF(MONTH(sim.tbl[[#This Row],[SDate]])=INDEX(mthLkUp.tbl[Num],MATCH(AF$3,mthLkUp.tbl[Month],0)),1,0)</f>
        <v>0</v>
      </c>
      <c r="AG89" s="6">
        <f ca="1">IF(MONTH(sim.tbl[[#This Row],[SDate]])=INDEX(mthLkUp.tbl[Num],MATCH(AG$3,mthLkUp.tbl[Month],0)),1,0)</f>
        <v>0</v>
      </c>
      <c r="AH89" s="6">
        <f ca="1">IF(MONTH(sim.tbl[[#This Row],[SDate]])=INDEX(mthLkUp.tbl[Num],MATCH(AH$3,mthLkUp.tbl[Month],0)),1,0)</f>
        <v>0</v>
      </c>
      <c r="AI89" s="6">
        <f ca="1">IF(MONTH(sim.tbl[[#This Row],[SDate]])=INDEX(mthLkUp.tbl[Num],MATCH(AI$3,mthLkUp.tbl[Month],0)),1,0)</f>
        <v>0</v>
      </c>
      <c r="AJ89" s="6">
        <f ca="1">IF(MONTH(sim.tbl[[#This Row],[SDate]])=INDEX(mthLkUp.tbl[Num],MATCH(AJ$3,mthLkUp.tbl[Month],0)),1,0)</f>
        <v>0</v>
      </c>
      <c r="AK89" s="6">
        <v>1</v>
      </c>
      <c r="AL89" s="5">
        <f>sim.tbl[[#This Row],[Sulf]]*sim.tbl[[#This Row],[C5]]</f>
        <v>0</v>
      </c>
      <c r="AM89" s="5">
        <f>sim.tbl[[#This Row],[Sulf]]*sim.tbl[[#This Row],[Light_LSB]]</f>
        <v>0.62849999999999995</v>
      </c>
      <c r="AN89" s="5">
        <f>sim.tbl[[#This Row],[Sulf]]*sim.tbl[[#This Row],[Light_SW]]</f>
        <v>0</v>
      </c>
      <c r="AO89" s="5">
        <f>sim.tbl[[#This Row],[Sulf]]*sim.tbl[[#This Row],[Medium_LSB]]</f>
        <v>0</v>
      </c>
      <c r="AP89" s="5">
        <f>sim.tbl[[#This Row],[Sulf]]*sim.tbl[[#This Row],[Medium_SW]]</f>
        <v>0</v>
      </c>
      <c r="AQ89" s="5">
        <f>sim.tbl[[#This Row],[Sulf]]*sim.tbl[[#This Row],[Midale]]</f>
        <v>0</v>
      </c>
      <c r="AR89" s="5">
        <f>sim.tbl[[#This Row],[Sulf]]*sim.tbl[[#This Row],[Heavy_Sour]]</f>
        <v>0</v>
      </c>
      <c r="AS89" s="5">
        <f>sim.tbl[[#This Row],[Sulf]]*sim.tbl[[#This Row],[Heavy_SW]]</f>
        <v>0</v>
      </c>
      <c r="AT89" s="5">
        <f>sim.tbl[[#This Row],[Dens]]*sim.tbl[[#This Row],[C5]]</f>
        <v>0</v>
      </c>
      <c r="AU89" s="5">
        <f>sim.tbl[[#This Row],[Dens]]*sim.tbl[[#This Row],[Light_LSB]]</f>
        <v>815</v>
      </c>
      <c r="AV89" s="5">
        <f>sim.tbl[[#This Row],[Dens]]*sim.tbl[[#This Row],[Light_SW]]</f>
        <v>0</v>
      </c>
      <c r="AW89" s="5">
        <f>sim.tbl[[#This Row],[Dens]]*sim.tbl[[#This Row],[Medium_LSB]]</f>
        <v>0</v>
      </c>
      <c r="AX89" s="5">
        <f>sim.tbl[[#This Row],[Dens]]*sim.tbl[[#This Row],[Medium_SW]]</f>
        <v>0</v>
      </c>
      <c r="AY89" s="5">
        <f>sim.tbl[[#This Row],[Dens]]*sim.tbl[[#This Row],[Midale]]</f>
        <v>0</v>
      </c>
      <c r="AZ89" s="5">
        <f>sim.tbl[[#This Row],[Dens]]*sim.tbl[[#This Row],[Heavy_Sour]]</f>
        <v>0</v>
      </c>
      <c r="BA89" s="5">
        <f>sim.tbl[[#This Row],[Dens]]*sim.tbl[[#This Row],[Heavy_SW]]</f>
        <v>0</v>
      </c>
      <c r="BB89" s="5">
        <f>sim.tbl[[#This Row],[Temp.Roll]]*sim.tbl[[#This Row],[C5]]</f>
        <v>0</v>
      </c>
      <c r="BC89" s="5">
        <f>sim.tbl[[#This Row],[Temp.Roll]]*sim.tbl[[#This Row],[Light_LSB]]</f>
        <v>-20.8</v>
      </c>
      <c r="BD89" s="5">
        <f>sim.tbl[[#This Row],[Temp.Roll]]*sim.tbl[[#This Row],[Light_SW]]</f>
        <v>0</v>
      </c>
      <c r="BE89" s="5">
        <f>sim.tbl[[#This Row],[Temp.Roll]]*sim.tbl[[#This Row],[Medium_LSB]]</f>
        <v>0</v>
      </c>
      <c r="BF89" s="5">
        <f>sim.tbl[[#This Row],[Temp.Roll]]*sim.tbl[[#This Row],[Medium_SW]]</f>
        <v>0</v>
      </c>
      <c r="BG89" s="5">
        <f>sim.tbl[[#This Row],[Temp.Roll]]*sim.tbl[[#This Row],[Midale]]</f>
        <v>0</v>
      </c>
      <c r="BH89" s="5">
        <f>sim.tbl[[#This Row],[Temp.Roll]]*sim.tbl[[#This Row],[Heavy_Sour]]</f>
        <v>0</v>
      </c>
      <c r="BI89" s="5">
        <f>sim.tbl[[#This Row],[Temp.Roll]]*sim.tbl[[#This Row],[Heavy_SW]]</f>
        <v>0</v>
      </c>
    </row>
    <row r="90" spans="4:61" x14ac:dyDescent="0.25">
      <c r="D90" s="5">
        <f ca="1">SUMPRODUCT($F$1:$BI$1,sim.tbl[[#This Row],[Intercept]:[Temp.Roll:Heavy_SW]])</f>
        <v>98.077770986868273</v>
      </c>
      <c r="E90" s="14">
        <f ca="1">DATE(YEAR(TODAY()),INDEX(mthLkUp.tbl[Num],MATCH(mth.input,mthLkUp.tbl[Month],0)),1)</f>
        <v>42795</v>
      </c>
      <c r="F90" s="6">
        <f>1</f>
        <v>1</v>
      </c>
      <c r="G90" s="5">
        <v>0.19</v>
      </c>
      <c r="H90" s="5">
        <v>807</v>
      </c>
      <c r="I90" s="5">
        <v>-19.866666670000001</v>
      </c>
      <c r="J90" s="5">
        <v>-21.2</v>
      </c>
      <c r="K90" s="5">
        <v>-19.399999999999999</v>
      </c>
      <c r="L90" s="5">
        <v>-21.2</v>
      </c>
      <c r="M90" s="5">
        <v>-19.5</v>
      </c>
      <c r="N90" s="5">
        <v>-19.3</v>
      </c>
      <c r="O90" s="5">
        <v>-20.8</v>
      </c>
      <c r="P90" s="5">
        <v>-19</v>
      </c>
      <c r="Q90" s="6">
        <f>IF(sim.tbl[[#This Row],[Dens]]&lt;=770,1,0)</f>
        <v>0</v>
      </c>
      <c r="R90" s="6">
        <f>IF(AND(sim.tbl[[#This Row],[Sulf]]&gt;0.5,sim.tbl[[#This Row],[Dens]]&gt;770,sim.tbl[[#This Row],[Dens]]&lt;=825),1,0)</f>
        <v>0</v>
      </c>
      <c r="S90" s="6">
        <f>IF(AND(sim.tbl[[#This Row],[Sulf]]&lt;=0.5,sim.tbl[[#This Row],[Dens]]&gt;770,sim.tbl[[#This Row],[Dens]]&lt;=825),1,0)</f>
        <v>1</v>
      </c>
      <c r="T90" s="6">
        <f>IF(AND(sim.tbl[[#This Row],[Sulf]]&gt;0.5,sim.tbl[[#This Row],[Dens]]&gt;825,sim.tbl[[#This Row],[Dens]]&lt;=870),1,0)</f>
        <v>0</v>
      </c>
      <c r="U90" s="6">
        <f>IF(AND(sim.tbl[[#This Row],[Sulf]]&lt;0.5,sim.tbl[[#This Row],[Dens]]&gt;825,sim.tbl[[#This Row],[Dens]]&lt;=900),1,0)</f>
        <v>0</v>
      </c>
      <c r="V90" s="6">
        <f>IF(AND(sim.tbl[[#This Row],[Sulf]]&gt;0.5,sim.tbl[[#This Row],[Dens]]&gt;870,sim.tbl[[#This Row],[Dens]]&lt;=900),1,0)</f>
        <v>0</v>
      </c>
      <c r="W90" s="6">
        <f>IF(AND(sim.tbl[[#This Row],[Sulf]]&gt;0.5,sim.tbl[[#This Row],[Dens]]&gt;900),1,0)</f>
        <v>0</v>
      </c>
      <c r="X90" s="6">
        <f>IF(AND(sim.tbl[[#This Row],[Sulf]]&lt;=0.5,sim.tbl[[#This Row],[Dens]]&gt;900),1,0)</f>
        <v>0</v>
      </c>
      <c r="Y90" s="6">
        <f ca="1">IF(MONTH(sim.tbl[[#This Row],[SDate]])=INDEX(mthLkUp.tbl[Num],MATCH(Y$3,mthLkUp.tbl[Month],0)),1,0)</f>
        <v>0</v>
      </c>
      <c r="Z90" s="6">
        <f ca="1">IF(MONTH(sim.tbl[[#This Row],[SDate]])=INDEX(mthLkUp.tbl[Num],MATCH(Z$3,mthLkUp.tbl[Month],0)),1,0)</f>
        <v>0</v>
      </c>
      <c r="AA90" s="6">
        <f ca="1">IF(MONTH(sim.tbl[[#This Row],[SDate]])=INDEX(mthLkUp.tbl[Num],MATCH(AA$3,mthLkUp.tbl[Month],0)),1,0)</f>
        <v>1</v>
      </c>
      <c r="AB90" s="6">
        <f ca="1">IF(MONTH(sim.tbl[[#This Row],[SDate]])=INDEX(mthLkUp.tbl[Num],MATCH(AB$3,mthLkUp.tbl[Month],0)),1,0)</f>
        <v>0</v>
      </c>
      <c r="AC90" s="6">
        <f ca="1">IF(MONTH(sim.tbl[[#This Row],[SDate]])=INDEX(mthLkUp.tbl[Num],MATCH(AC$3,mthLkUp.tbl[Month],0)),1,0)</f>
        <v>0</v>
      </c>
      <c r="AD90" s="6">
        <f ca="1">IF(MONTH(sim.tbl[[#This Row],[SDate]])=INDEX(mthLkUp.tbl[Num],MATCH(AD$3,mthLkUp.tbl[Month],0)),1,0)</f>
        <v>0</v>
      </c>
      <c r="AE90" s="6">
        <f ca="1">IF(MONTH(sim.tbl[[#This Row],[SDate]])=INDEX(mthLkUp.tbl[Num],MATCH(AE$3,mthLkUp.tbl[Month],0)),1,0)</f>
        <v>0</v>
      </c>
      <c r="AF90" s="6">
        <f ca="1">IF(MONTH(sim.tbl[[#This Row],[SDate]])=INDEX(mthLkUp.tbl[Num],MATCH(AF$3,mthLkUp.tbl[Month],0)),1,0)</f>
        <v>0</v>
      </c>
      <c r="AG90" s="6">
        <f ca="1">IF(MONTH(sim.tbl[[#This Row],[SDate]])=INDEX(mthLkUp.tbl[Num],MATCH(AG$3,mthLkUp.tbl[Month],0)),1,0)</f>
        <v>0</v>
      </c>
      <c r="AH90" s="6">
        <f ca="1">IF(MONTH(sim.tbl[[#This Row],[SDate]])=INDEX(mthLkUp.tbl[Num],MATCH(AH$3,mthLkUp.tbl[Month],0)),1,0)</f>
        <v>0</v>
      </c>
      <c r="AI90" s="6">
        <f ca="1">IF(MONTH(sim.tbl[[#This Row],[SDate]])=INDEX(mthLkUp.tbl[Num],MATCH(AI$3,mthLkUp.tbl[Month],0)),1,0)</f>
        <v>0</v>
      </c>
      <c r="AJ90" s="6">
        <f ca="1">IF(MONTH(sim.tbl[[#This Row],[SDate]])=INDEX(mthLkUp.tbl[Num],MATCH(AJ$3,mthLkUp.tbl[Month],0)),1,0)</f>
        <v>0</v>
      </c>
      <c r="AK90" s="6">
        <v>1</v>
      </c>
      <c r="AL90" s="5">
        <f>sim.tbl[[#This Row],[Sulf]]*sim.tbl[[#This Row],[C5]]</f>
        <v>0</v>
      </c>
      <c r="AM90" s="5">
        <f>sim.tbl[[#This Row],[Sulf]]*sim.tbl[[#This Row],[Light_LSB]]</f>
        <v>0</v>
      </c>
      <c r="AN90" s="5">
        <f>sim.tbl[[#This Row],[Sulf]]*sim.tbl[[#This Row],[Light_SW]]</f>
        <v>0.19</v>
      </c>
      <c r="AO90" s="5">
        <f>sim.tbl[[#This Row],[Sulf]]*sim.tbl[[#This Row],[Medium_LSB]]</f>
        <v>0</v>
      </c>
      <c r="AP90" s="5">
        <f>sim.tbl[[#This Row],[Sulf]]*sim.tbl[[#This Row],[Medium_SW]]</f>
        <v>0</v>
      </c>
      <c r="AQ90" s="5">
        <f>sim.tbl[[#This Row],[Sulf]]*sim.tbl[[#This Row],[Midale]]</f>
        <v>0</v>
      </c>
      <c r="AR90" s="5">
        <f>sim.tbl[[#This Row],[Sulf]]*sim.tbl[[#This Row],[Heavy_Sour]]</f>
        <v>0</v>
      </c>
      <c r="AS90" s="5">
        <f>sim.tbl[[#This Row],[Sulf]]*sim.tbl[[#This Row],[Heavy_SW]]</f>
        <v>0</v>
      </c>
      <c r="AT90" s="5">
        <f>sim.tbl[[#This Row],[Dens]]*sim.tbl[[#This Row],[C5]]</f>
        <v>0</v>
      </c>
      <c r="AU90" s="5">
        <f>sim.tbl[[#This Row],[Dens]]*sim.tbl[[#This Row],[Light_LSB]]</f>
        <v>0</v>
      </c>
      <c r="AV90" s="5">
        <f>sim.tbl[[#This Row],[Dens]]*sim.tbl[[#This Row],[Light_SW]]</f>
        <v>807</v>
      </c>
      <c r="AW90" s="5">
        <f>sim.tbl[[#This Row],[Dens]]*sim.tbl[[#This Row],[Medium_LSB]]</f>
        <v>0</v>
      </c>
      <c r="AX90" s="5">
        <f>sim.tbl[[#This Row],[Dens]]*sim.tbl[[#This Row],[Medium_SW]]</f>
        <v>0</v>
      </c>
      <c r="AY90" s="5">
        <f>sim.tbl[[#This Row],[Dens]]*sim.tbl[[#This Row],[Midale]]</f>
        <v>0</v>
      </c>
      <c r="AZ90" s="5">
        <f>sim.tbl[[#This Row],[Dens]]*sim.tbl[[#This Row],[Heavy_Sour]]</f>
        <v>0</v>
      </c>
      <c r="BA90" s="5">
        <f>sim.tbl[[#This Row],[Dens]]*sim.tbl[[#This Row],[Heavy_SW]]</f>
        <v>0</v>
      </c>
      <c r="BB90" s="5">
        <f>sim.tbl[[#This Row],[Temp.Roll]]*sim.tbl[[#This Row],[C5]]</f>
        <v>0</v>
      </c>
      <c r="BC90" s="5">
        <f>sim.tbl[[#This Row],[Temp.Roll]]*sim.tbl[[#This Row],[Light_LSB]]</f>
        <v>0</v>
      </c>
      <c r="BD90" s="5">
        <f>sim.tbl[[#This Row],[Temp.Roll]]*sim.tbl[[#This Row],[Light_SW]]</f>
        <v>-21.2</v>
      </c>
      <c r="BE90" s="5">
        <f>sim.tbl[[#This Row],[Temp.Roll]]*sim.tbl[[#This Row],[Medium_LSB]]</f>
        <v>0</v>
      </c>
      <c r="BF90" s="5">
        <f>sim.tbl[[#This Row],[Temp.Roll]]*sim.tbl[[#This Row],[Medium_SW]]</f>
        <v>0</v>
      </c>
      <c r="BG90" s="5">
        <f>sim.tbl[[#This Row],[Temp.Roll]]*sim.tbl[[#This Row],[Midale]]</f>
        <v>0</v>
      </c>
      <c r="BH90" s="5">
        <f>sim.tbl[[#This Row],[Temp.Roll]]*sim.tbl[[#This Row],[Heavy_Sour]]</f>
        <v>0</v>
      </c>
      <c r="BI90" s="5">
        <f>sim.tbl[[#This Row],[Temp.Roll]]*sim.tbl[[#This Row],[Heavy_SW]]</f>
        <v>0</v>
      </c>
    </row>
    <row r="91" spans="4:61" x14ac:dyDescent="0.25">
      <c r="D91" s="5">
        <f ca="1">SUMPRODUCT($F$1:$BI$1,sim.tbl[[#This Row],[Intercept]:[Temp.Roll:Heavy_SW]])</f>
        <v>85.204166794202848</v>
      </c>
      <c r="E91" s="14">
        <f ca="1">DATE(YEAR(TODAY()),INDEX(mthLkUp.tbl[Num],MATCH(mth.input,mthLkUp.tbl[Month],0)),1)</f>
        <v>42795</v>
      </c>
      <c r="F91" s="6">
        <f>1</f>
        <v>1</v>
      </c>
      <c r="G91" s="5">
        <v>0.17</v>
      </c>
      <c r="H91" s="5">
        <v>809.2</v>
      </c>
      <c r="I91" s="5">
        <v>6.6166666669999996</v>
      </c>
      <c r="J91" s="5">
        <v>6.6</v>
      </c>
      <c r="K91" s="5">
        <v>7.8</v>
      </c>
      <c r="L91" s="5">
        <v>6.6</v>
      </c>
      <c r="M91" s="5">
        <v>7</v>
      </c>
      <c r="N91" s="5">
        <v>5</v>
      </c>
      <c r="O91" s="5">
        <v>8.3000000000000007</v>
      </c>
      <c r="P91" s="5">
        <v>5</v>
      </c>
      <c r="Q91" s="6">
        <f>IF(sim.tbl[[#This Row],[Dens]]&lt;=770,1,0)</f>
        <v>0</v>
      </c>
      <c r="R91" s="6">
        <f>IF(AND(sim.tbl[[#This Row],[Sulf]]&gt;0.5,sim.tbl[[#This Row],[Dens]]&gt;770,sim.tbl[[#This Row],[Dens]]&lt;=825),1,0)</f>
        <v>0</v>
      </c>
      <c r="S91" s="6">
        <f>IF(AND(sim.tbl[[#This Row],[Sulf]]&lt;=0.5,sim.tbl[[#This Row],[Dens]]&gt;770,sim.tbl[[#This Row],[Dens]]&lt;=825),1,0)</f>
        <v>1</v>
      </c>
      <c r="T91" s="6">
        <f>IF(AND(sim.tbl[[#This Row],[Sulf]]&gt;0.5,sim.tbl[[#This Row],[Dens]]&gt;825,sim.tbl[[#This Row],[Dens]]&lt;=870),1,0)</f>
        <v>0</v>
      </c>
      <c r="U91" s="6">
        <f>IF(AND(sim.tbl[[#This Row],[Sulf]]&lt;0.5,sim.tbl[[#This Row],[Dens]]&gt;825,sim.tbl[[#This Row],[Dens]]&lt;=900),1,0)</f>
        <v>0</v>
      </c>
      <c r="V91" s="6">
        <f>IF(AND(sim.tbl[[#This Row],[Sulf]]&gt;0.5,sim.tbl[[#This Row],[Dens]]&gt;870,sim.tbl[[#This Row],[Dens]]&lt;=900),1,0)</f>
        <v>0</v>
      </c>
      <c r="W91" s="6">
        <f>IF(AND(sim.tbl[[#This Row],[Sulf]]&gt;0.5,sim.tbl[[#This Row],[Dens]]&gt;900),1,0)</f>
        <v>0</v>
      </c>
      <c r="X91" s="6">
        <f>IF(AND(sim.tbl[[#This Row],[Sulf]]&lt;=0.5,sim.tbl[[#This Row],[Dens]]&gt;900),1,0)</f>
        <v>0</v>
      </c>
      <c r="Y91" s="6">
        <f ca="1">IF(MONTH(sim.tbl[[#This Row],[SDate]])=INDEX(mthLkUp.tbl[Num],MATCH(Y$3,mthLkUp.tbl[Month],0)),1,0)</f>
        <v>0</v>
      </c>
      <c r="Z91" s="6">
        <f ca="1">IF(MONTH(sim.tbl[[#This Row],[SDate]])=INDEX(mthLkUp.tbl[Num],MATCH(Z$3,mthLkUp.tbl[Month],0)),1,0)</f>
        <v>0</v>
      </c>
      <c r="AA91" s="6">
        <f ca="1">IF(MONTH(sim.tbl[[#This Row],[SDate]])=INDEX(mthLkUp.tbl[Num],MATCH(AA$3,mthLkUp.tbl[Month],0)),1,0)</f>
        <v>1</v>
      </c>
      <c r="AB91" s="6">
        <f ca="1">IF(MONTH(sim.tbl[[#This Row],[SDate]])=INDEX(mthLkUp.tbl[Num],MATCH(AB$3,mthLkUp.tbl[Month],0)),1,0)</f>
        <v>0</v>
      </c>
      <c r="AC91" s="6">
        <f ca="1">IF(MONTH(sim.tbl[[#This Row],[SDate]])=INDEX(mthLkUp.tbl[Num],MATCH(AC$3,mthLkUp.tbl[Month],0)),1,0)</f>
        <v>0</v>
      </c>
      <c r="AD91" s="6">
        <f ca="1">IF(MONTH(sim.tbl[[#This Row],[SDate]])=INDEX(mthLkUp.tbl[Num],MATCH(AD$3,mthLkUp.tbl[Month],0)),1,0)</f>
        <v>0</v>
      </c>
      <c r="AE91" s="6">
        <f ca="1">IF(MONTH(sim.tbl[[#This Row],[SDate]])=INDEX(mthLkUp.tbl[Num],MATCH(AE$3,mthLkUp.tbl[Month],0)),1,0)</f>
        <v>0</v>
      </c>
      <c r="AF91" s="6">
        <f ca="1">IF(MONTH(sim.tbl[[#This Row],[SDate]])=INDEX(mthLkUp.tbl[Num],MATCH(AF$3,mthLkUp.tbl[Month],0)),1,0)</f>
        <v>0</v>
      </c>
      <c r="AG91" s="6">
        <f ca="1">IF(MONTH(sim.tbl[[#This Row],[SDate]])=INDEX(mthLkUp.tbl[Num],MATCH(AG$3,mthLkUp.tbl[Month],0)),1,0)</f>
        <v>0</v>
      </c>
      <c r="AH91" s="6">
        <f ca="1">IF(MONTH(sim.tbl[[#This Row],[SDate]])=INDEX(mthLkUp.tbl[Num],MATCH(AH$3,mthLkUp.tbl[Month],0)),1,0)</f>
        <v>0</v>
      </c>
      <c r="AI91" s="6">
        <f ca="1">IF(MONTH(sim.tbl[[#This Row],[SDate]])=INDEX(mthLkUp.tbl[Num],MATCH(AI$3,mthLkUp.tbl[Month],0)),1,0)</f>
        <v>0</v>
      </c>
      <c r="AJ91" s="6">
        <f ca="1">IF(MONTH(sim.tbl[[#This Row],[SDate]])=INDEX(mthLkUp.tbl[Num],MATCH(AJ$3,mthLkUp.tbl[Month],0)),1,0)</f>
        <v>0</v>
      </c>
      <c r="AK91" s="6">
        <v>1</v>
      </c>
      <c r="AL91" s="5">
        <f>sim.tbl[[#This Row],[Sulf]]*sim.tbl[[#This Row],[C5]]</f>
        <v>0</v>
      </c>
      <c r="AM91" s="5">
        <f>sim.tbl[[#This Row],[Sulf]]*sim.tbl[[#This Row],[Light_LSB]]</f>
        <v>0</v>
      </c>
      <c r="AN91" s="5">
        <f>sim.tbl[[#This Row],[Sulf]]*sim.tbl[[#This Row],[Light_SW]]</f>
        <v>0.17</v>
      </c>
      <c r="AO91" s="5">
        <f>sim.tbl[[#This Row],[Sulf]]*sim.tbl[[#This Row],[Medium_LSB]]</f>
        <v>0</v>
      </c>
      <c r="AP91" s="5">
        <f>sim.tbl[[#This Row],[Sulf]]*sim.tbl[[#This Row],[Medium_SW]]</f>
        <v>0</v>
      </c>
      <c r="AQ91" s="5">
        <f>sim.tbl[[#This Row],[Sulf]]*sim.tbl[[#This Row],[Midale]]</f>
        <v>0</v>
      </c>
      <c r="AR91" s="5">
        <f>sim.tbl[[#This Row],[Sulf]]*sim.tbl[[#This Row],[Heavy_Sour]]</f>
        <v>0</v>
      </c>
      <c r="AS91" s="5">
        <f>sim.tbl[[#This Row],[Sulf]]*sim.tbl[[#This Row],[Heavy_SW]]</f>
        <v>0</v>
      </c>
      <c r="AT91" s="5">
        <f>sim.tbl[[#This Row],[Dens]]*sim.tbl[[#This Row],[C5]]</f>
        <v>0</v>
      </c>
      <c r="AU91" s="5">
        <f>sim.tbl[[#This Row],[Dens]]*sim.tbl[[#This Row],[Light_LSB]]</f>
        <v>0</v>
      </c>
      <c r="AV91" s="5">
        <f>sim.tbl[[#This Row],[Dens]]*sim.tbl[[#This Row],[Light_SW]]</f>
        <v>809.2</v>
      </c>
      <c r="AW91" s="5">
        <f>sim.tbl[[#This Row],[Dens]]*sim.tbl[[#This Row],[Medium_LSB]]</f>
        <v>0</v>
      </c>
      <c r="AX91" s="5">
        <f>sim.tbl[[#This Row],[Dens]]*sim.tbl[[#This Row],[Medium_SW]]</f>
        <v>0</v>
      </c>
      <c r="AY91" s="5">
        <f>sim.tbl[[#This Row],[Dens]]*sim.tbl[[#This Row],[Midale]]</f>
        <v>0</v>
      </c>
      <c r="AZ91" s="5">
        <f>sim.tbl[[#This Row],[Dens]]*sim.tbl[[#This Row],[Heavy_Sour]]</f>
        <v>0</v>
      </c>
      <c r="BA91" s="5">
        <f>sim.tbl[[#This Row],[Dens]]*sim.tbl[[#This Row],[Heavy_SW]]</f>
        <v>0</v>
      </c>
      <c r="BB91" s="5">
        <f>sim.tbl[[#This Row],[Temp.Roll]]*sim.tbl[[#This Row],[C5]]</f>
        <v>0</v>
      </c>
      <c r="BC91" s="5">
        <f>sim.tbl[[#This Row],[Temp.Roll]]*sim.tbl[[#This Row],[Light_LSB]]</f>
        <v>0</v>
      </c>
      <c r="BD91" s="5">
        <f>sim.tbl[[#This Row],[Temp.Roll]]*sim.tbl[[#This Row],[Light_SW]]</f>
        <v>6.6</v>
      </c>
      <c r="BE91" s="5">
        <f>sim.tbl[[#This Row],[Temp.Roll]]*sim.tbl[[#This Row],[Medium_LSB]]</f>
        <v>0</v>
      </c>
      <c r="BF91" s="5">
        <f>sim.tbl[[#This Row],[Temp.Roll]]*sim.tbl[[#This Row],[Medium_SW]]</f>
        <v>0</v>
      </c>
      <c r="BG91" s="5">
        <f>sim.tbl[[#This Row],[Temp.Roll]]*sim.tbl[[#This Row],[Midale]]</f>
        <v>0</v>
      </c>
      <c r="BH91" s="5">
        <f>sim.tbl[[#This Row],[Temp.Roll]]*sim.tbl[[#This Row],[Heavy_Sour]]</f>
        <v>0</v>
      </c>
      <c r="BI91" s="5">
        <f>sim.tbl[[#This Row],[Temp.Roll]]*sim.tbl[[#This Row],[Heavy_SW]]</f>
        <v>0</v>
      </c>
    </row>
    <row r="92" spans="4:61" x14ac:dyDescent="0.25">
      <c r="D92" s="5">
        <f ca="1">SUMPRODUCT($F$1:$BI$1,sim.tbl[[#This Row],[Intercept]:[Temp.Roll:Heavy_SW]])</f>
        <v>89.045648634894974</v>
      </c>
      <c r="E92" s="14">
        <f ca="1">DATE(YEAR(TODAY()),INDEX(mthLkUp.tbl[Num],MATCH(mth.input,mthLkUp.tbl[Month],0)),1)</f>
        <v>42795</v>
      </c>
      <c r="F92" s="6">
        <f>1</f>
        <v>1</v>
      </c>
      <c r="G92" s="5">
        <v>1.31</v>
      </c>
      <c r="H92" s="5">
        <v>830.9</v>
      </c>
      <c r="I92" s="5">
        <v>-21.166666670000001</v>
      </c>
      <c r="J92" s="5">
        <v>-20.7</v>
      </c>
      <c r="K92" s="5">
        <v>-20.9</v>
      </c>
      <c r="L92" s="5">
        <v>-20.7</v>
      </c>
      <c r="M92" s="5">
        <v>-22.8</v>
      </c>
      <c r="N92" s="5">
        <v>-20.2</v>
      </c>
      <c r="O92" s="5">
        <v>-20.6</v>
      </c>
      <c r="P92" s="5">
        <v>-21.8</v>
      </c>
      <c r="Q92" s="6">
        <f>IF(sim.tbl[[#This Row],[Dens]]&lt;=770,1,0)</f>
        <v>0</v>
      </c>
      <c r="R92" s="6">
        <f>IF(AND(sim.tbl[[#This Row],[Sulf]]&gt;0.5,sim.tbl[[#This Row],[Dens]]&gt;770,sim.tbl[[#This Row],[Dens]]&lt;=825),1,0)</f>
        <v>0</v>
      </c>
      <c r="S92" s="6">
        <f>IF(AND(sim.tbl[[#This Row],[Sulf]]&lt;=0.5,sim.tbl[[#This Row],[Dens]]&gt;770,sim.tbl[[#This Row],[Dens]]&lt;=825),1,0)</f>
        <v>0</v>
      </c>
      <c r="T92" s="6">
        <f>IF(AND(sim.tbl[[#This Row],[Sulf]]&gt;0.5,sim.tbl[[#This Row],[Dens]]&gt;825,sim.tbl[[#This Row],[Dens]]&lt;=870),1,0)</f>
        <v>1</v>
      </c>
      <c r="U92" s="6">
        <f>IF(AND(sim.tbl[[#This Row],[Sulf]]&lt;0.5,sim.tbl[[#This Row],[Dens]]&gt;825,sim.tbl[[#This Row],[Dens]]&lt;=900),1,0)</f>
        <v>0</v>
      </c>
      <c r="V92" s="6">
        <f>IF(AND(sim.tbl[[#This Row],[Sulf]]&gt;0.5,sim.tbl[[#This Row],[Dens]]&gt;870,sim.tbl[[#This Row],[Dens]]&lt;=900),1,0)</f>
        <v>0</v>
      </c>
      <c r="W92" s="6">
        <f>IF(AND(sim.tbl[[#This Row],[Sulf]]&gt;0.5,sim.tbl[[#This Row],[Dens]]&gt;900),1,0)</f>
        <v>0</v>
      </c>
      <c r="X92" s="6">
        <f>IF(AND(sim.tbl[[#This Row],[Sulf]]&lt;=0.5,sim.tbl[[#This Row],[Dens]]&gt;900),1,0)</f>
        <v>0</v>
      </c>
      <c r="Y92" s="6">
        <f ca="1">IF(MONTH(sim.tbl[[#This Row],[SDate]])=INDEX(mthLkUp.tbl[Num],MATCH(Y$3,mthLkUp.tbl[Month],0)),1,0)</f>
        <v>0</v>
      </c>
      <c r="Z92" s="6">
        <f ca="1">IF(MONTH(sim.tbl[[#This Row],[SDate]])=INDEX(mthLkUp.tbl[Num],MATCH(Z$3,mthLkUp.tbl[Month],0)),1,0)</f>
        <v>0</v>
      </c>
      <c r="AA92" s="6">
        <f ca="1">IF(MONTH(sim.tbl[[#This Row],[SDate]])=INDEX(mthLkUp.tbl[Num],MATCH(AA$3,mthLkUp.tbl[Month],0)),1,0)</f>
        <v>1</v>
      </c>
      <c r="AB92" s="6">
        <f ca="1">IF(MONTH(sim.tbl[[#This Row],[SDate]])=INDEX(mthLkUp.tbl[Num],MATCH(AB$3,mthLkUp.tbl[Month],0)),1,0)</f>
        <v>0</v>
      </c>
      <c r="AC92" s="6">
        <f ca="1">IF(MONTH(sim.tbl[[#This Row],[SDate]])=INDEX(mthLkUp.tbl[Num],MATCH(AC$3,mthLkUp.tbl[Month],0)),1,0)</f>
        <v>0</v>
      </c>
      <c r="AD92" s="6">
        <f ca="1">IF(MONTH(sim.tbl[[#This Row],[SDate]])=INDEX(mthLkUp.tbl[Num],MATCH(AD$3,mthLkUp.tbl[Month],0)),1,0)</f>
        <v>0</v>
      </c>
      <c r="AE92" s="6">
        <f ca="1">IF(MONTH(sim.tbl[[#This Row],[SDate]])=INDEX(mthLkUp.tbl[Num],MATCH(AE$3,mthLkUp.tbl[Month],0)),1,0)</f>
        <v>0</v>
      </c>
      <c r="AF92" s="6">
        <f ca="1">IF(MONTH(sim.tbl[[#This Row],[SDate]])=INDEX(mthLkUp.tbl[Num],MATCH(AF$3,mthLkUp.tbl[Month],0)),1,0)</f>
        <v>0</v>
      </c>
      <c r="AG92" s="6">
        <f ca="1">IF(MONTH(sim.tbl[[#This Row],[SDate]])=INDEX(mthLkUp.tbl[Num],MATCH(AG$3,mthLkUp.tbl[Month],0)),1,0)</f>
        <v>0</v>
      </c>
      <c r="AH92" s="6">
        <f ca="1">IF(MONTH(sim.tbl[[#This Row],[SDate]])=INDEX(mthLkUp.tbl[Num],MATCH(AH$3,mthLkUp.tbl[Month],0)),1,0)</f>
        <v>0</v>
      </c>
      <c r="AI92" s="6">
        <f ca="1">IF(MONTH(sim.tbl[[#This Row],[SDate]])=INDEX(mthLkUp.tbl[Num],MATCH(AI$3,mthLkUp.tbl[Month],0)),1,0)</f>
        <v>0</v>
      </c>
      <c r="AJ92" s="6">
        <f ca="1">IF(MONTH(sim.tbl[[#This Row],[SDate]])=INDEX(mthLkUp.tbl[Num],MATCH(AJ$3,mthLkUp.tbl[Month],0)),1,0)</f>
        <v>0</v>
      </c>
      <c r="AK92" s="6">
        <v>1</v>
      </c>
      <c r="AL92" s="5">
        <f>sim.tbl[[#This Row],[Sulf]]*sim.tbl[[#This Row],[C5]]</f>
        <v>0</v>
      </c>
      <c r="AM92" s="5">
        <f>sim.tbl[[#This Row],[Sulf]]*sim.tbl[[#This Row],[Light_LSB]]</f>
        <v>0</v>
      </c>
      <c r="AN92" s="5">
        <f>sim.tbl[[#This Row],[Sulf]]*sim.tbl[[#This Row],[Light_SW]]</f>
        <v>0</v>
      </c>
      <c r="AO92" s="5">
        <f>sim.tbl[[#This Row],[Sulf]]*sim.tbl[[#This Row],[Medium_LSB]]</f>
        <v>1.31</v>
      </c>
      <c r="AP92" s="5">
        <f>sim.tbl[[#This Row],[Sulf]]*sim.tbl[[#This Row],[Medium_SW]]</f>
        <v>0</v>
      </c>
      <c r="AQ92" s="5">
        <f>sim.tbl[[#This Row],[Sulf]]*sim.tbl[[#This Row],[Midale]]</f>
        <v>0</v>
      </c>
      <c r="AR92" s="5">
        <f>sim.tbl[[#This Row],[Sulf]]*sim.tbl[[#This Row],[Heavy_Sour]]</f>
        <v>0</v>
      </c>
      <c r="AS92" s="5">
        <f>sim.tbl[[#This Row],[Sulf]]*sim.tbl[[#This Row],[Heavy_SW]]</f>
        <v>0</v>
      </c>
      <c r="AT92" s="5">
        <f>sim.tbl[[#This Row],[Dens]]*sim.tbl[[#This Row],[C5]]</f>
        <v>0</v>
      </c>
      <c r="AU92" s="5">
        <f>sim.tbl[[#This Row],[Dens]]*sim.tbl[[#This Row],[Light_LSB]]</f>
        <v>0</v>
      </c>
      <c r="AV92" s="5">
        <f>sim.tbl[[#This Row],[Dens]]*sim.tbl[[#This Row],[Light_SW]]</f>
        <v>0</v>
      </c>
      <c r="AW92" s="5">
        <f>sim.tbl[[#This Row],[Dens]]*sim.tbl[[#This Row],[Medium_LSB]]</f>
        <v>830.9</v>
      </c>
      <c r="AX92" s="5">
        <f>sim.tbl[[#This Row],[Dens]]*sim.tbl[[#This Row],[Medium_SW]]</f>
        <v>0</v>
      </c>
      <c r="AY92" s="5">
        <f>sim.tbl[[#This Row],[Dens]]*sim.tbl[[#This Row],[Midale]]</f>
        <v>0</v>
      </c>
      <c r="AZ92" s="5">
        <f>sim.tbl[[#This Row],[Dens]]*sim.tbl[[#This Row],[Heavy_Sour]]</f>
        <v>0</v>
      </c>
      <c r="BA92" s="5">
        <f>sim.tbl[[#This Row],[Dens]]*sim.tbl[[#This Row],[Heavy_SW]]</f>
        <v>0</v>
      </c>
      <c r="BB92" s="5">
        <f>sim.tbl[[#This Row],[Temp.Roll]]*sim.tbl[[#This Row],[C5]]</f>
        <v>0</v>
      </c>
      <c r="BC92" s="5">
        <f>sim.tbl[[#This Row],[Temp.Roll]]*sim.tbl[[#This Row],[Light_LSB]]</f>
        <v>0</v>
      </c>
      <c r="BD92" s="5">
        <f>sim.tbl[[#This Row],[Temp.Roll]]*sim.tbl[[#This Row],[Light_SW]]</f>
        <v>0</v>
      </c>
      <c r="BE92" s="5">
        <f>sim.tbl[[#This Row],[Temp.Roll]]*sim.tbl[[#This Row],[Medium_LSB]]</f>
        <v>-20.7</v>
      </c>
      <c r="BF92" s="5">
        <f>sim.tbl[[#This Row],[Temp.Roll]]*sim.tbl[[#This Row],[Medium_SW]]</f>
        <v>0</v>
      </c>
      <c r="BG92" s="5">
        <f>sim.tbl[[#This Row],[Temp.Roll]]*sim.tbl[[#This Row],[Midale]]</f>
        <v>0</v>
      </c>
      <c r="BH92" s="5">
        <f>sim.tbl[[#This Row],[Temp.Roll]]*sim.tbl[[#This Row],[Heavy_Sour]]</f>
        <v>0</v>
      </c>
      <c r="BI92" s="5">
        <f>sim.tbl[[#This Row],[Temp.Roll]]*sim.tbl[[#This Row],[Heavy_SW]]</f>
        <v>0</v>
      </c>
    </row>
    <row r="93" spans="4:61" x14ac:dyDescent="0.25">
      <c r="D93" s="5">
        <f ca="1">SUMPRODUCT($F$1:$BI$1,sim.tbl[[#This Row],[Intercept]:[Temp.Roll:Heavy_SW]])</f>
        <v>79.867894353275005</v>
      </c>
      <c r="E93" s="14">
        <f ca="1">DATE(YEAR(TODAY()),INDEX(mthLkUp.tbl[Num],MATCH(mth.input,mthLkUp.tbl[Month],0)),1)</f>
        <v>42795</v>
      </c>
      <c r="F93" s="6">
        <f>1</f>
        <v>1</v>
      </c>
      <c r="G93" s="5">
        <v>1.74</v>
      </c>
      <c r="H93" s="5">
        <v>838</v>
      </c>
      <c r="I93" s="5">
        <v>-0.02</v>
      </c>
      <c r="J93" s="5">
        <v>-1.1000000000000001</v>
      </c>
      <c r="K93" s="5">
        <v>0</v>
      </c>
      <c r="L93" s="5">
        <v>-1.1000000000000001</v>
      </c>
      <c r="M93" s="5">
        <v>4</v>
      </c>
      <c r="N93" s="5">
        <v>0.5</v>
      </c>
      <c r="O93" s="5">
        <v>1</v>
      </c>
      <c r="P93" s="5">
        <v>-0.5</v>
      </c>
      <c r="Q93" s="6">
        <f>IF(sim.tbl[[#This Row],[Dens]]&lt;=770,1,0)</f>
        <v>0</v>
      </c>
      <c r="R93" s="6">
        <f>IF(AND(sim.tbl[[#This Row],[Sulf]]&gt;0.5,sim.tbl[[#This Row],[Dens]]&gt;770,sim.tbl[[#This Row],[Dens]]&lt;=825),1,0)</f>
        <v>0</v>
      </c>
      <c r="S93" s="6">
        <f>IF(AND(sim.tbl[[#This Row],[Sulf]]&lt;=0.5,sim.tbl[[#This Row],[Dens]]&gt;770,sim.tbl[[#This Row],[Dens]]&lt;=825),1,0)</f>
        <v>0</v>
      </c>
      <c r="T93" s="6">
        <f>IF(AND(sim.tbl[[#This Row],[Sulf]]&gt;0.5,sim.tbl[[#This Row],[Dens]]&gt;825,sim.tbl[[#This Row],[Dens]]&lt;=870),1,0)</f>
        <v>1</v>
      </c>
      <c r="U93" s="6">
        <f>IF(AND(sim.tbl[[#This Row],[Sulf]]&lt;0.5,sim.tbl[[#This Row],[Dens]]&gt;825,sim.tbl[[#This Row],[Dens]]&lt;=900),1,0)</f>
        <v>0</v>
      </c>
      <c r="V93" s="6">
        <f>IF(AND(sim.tbl[[#This Row],[Sulf]]&gt;0.5,sim.tbl[[#This Row],[Dens]]&gt;870,sim.tbl[[#This Row],[Dens]]&lt;=900),1,0)</f>
        <v>0</v>
      </c>
      <c r="W93" s="6">
        <f>IF(AND(sim.tbl[[#This Row],[Sulf]]&gt;0.5,sim.tbl[[#This Row],[Dens]]&gt;900),1,0)</f>
        <v>0</v>
      </c>
      <c r="X93" s="6">
        <f>IF(AND(sim.tbl[[#This Row],[Sulf]]&lt;=0.5,sim.tbl[[#This Row],[Dens]]&gt;900),1,0)</f>
        <v>0</v>
      </c>
      <c r="Y93" s="6">
        <f ca="1">IF(MONTH(sim.tbl[[#This Row],[SDate]])=INDEX(mthLkUp.tbl[Num],MATCH(Y$3,mthLkUp.tbl[Month],0)),1,0)</f>
        <v>0</v>
      </c>
      <c r="Z93" s="6">
        <f ca="1">IF(MONTH(sim.tbl[[#This Row],[SDate]])=INDEX(mthLkUp.tbl[Num],MATCH(Z$3,mthLkUp.tbl[Month],0)),1,0)</f>
        <v>0</v>
      </c>
      <c r="AA93" s="6">
        <f ca="1">IF(MONTH(sim.tbl[[#This Row],[SDate]])=INDEX(mthLkUp.tbl[Num],MATCH(AA$3,mthLkUp.tbl[Month],0)),1,0)</f>
        <v>1</v>
      </c>
      <c r="AB93" s="6">
        <f ca="1">IF(MONTH(sim.tbl[[#This Row],[SDate]])=INDEX(mthLkUp.tbl[Num],MATCH(AB$3,mthLkUp.tbl[Month],0)),1,0)</f>
        <v>0</v>
      </c>
      <c r="AC93" s="6">
        <f ca="1">IF(MONTH(sim.tbl[[#This Row],[SDate]])=INDEX(mthLkUp.tbl[Num],MATCH(AC$3,mthLkUp.tbl[Month],0)),1,0)</f>
        <v>0</v>
      </c>
      <c r="AD93" s="6">
        <f ca="1">IF(MONTH(sim.tbl[[#This Row],[SDate]])=INDEX(mthLkUp.tbl[Num],MATCH(AD$3,mthLkUp.tbl[Month],0)),1,0)</f>
        <v>0</v>
      </c>
      <c r="AE93" s="6">
        <f ca="1">IF(MONTH(sim.tbl[[#This Row],[SDate]])=INDEX(mthLkUp.tbl[Num],MATCH(AE$3,mthLkUp.tbl[Month],0)),1,0)</f>
        <v>0</v>
      </c>
      <c r="AF93" s="6">
        <f ca="1">IF(MONTH(sim.tbl[[#This Row],[SDate]])=INDEX(mthLkUp.tbl[Num],MATCH(AF$3,mthLkUp.tbl[Month],0)),1,0)</f>
        <v>0</v>
      </c>
      <c r="AG93" s="6">
        <f ca="1">IF(MONTH(sim.tbl[[#This Row],[SDate]])=INDEX(mthLkUp.tbl[Num],MATCH(AG$3,mthLkUp.tbl[Month],0)),1,0)</f>
        <v>0</v>
      </c>
      <c r="AH93" s="6">
        <f ca="1">IF(MONTH(sim.tbl[[#This Row],[SDate]])=INDEX(mthLkUp.tbl[Num],MATCH(AH$3,mthLkUp.tbl[Month],0)),1,0)</f>
        <v>0</v>
      </c>
      <c r="AI93" s="6">
        <f ca="1">IF(MONTH(sim.tbl[[#This Row],[SDate]])=INDEX(mthLkUp.tbl[Num],MATCH(AI$3,mthLkUp.tbl[Month],0)),1,0)</f>
        <v>0</v>
      </c>
      <c r="AJ93" s="6">
        <f ca="1">IF(MONTH(sim.tbl[[#This Row],[SDate]])=INDEX(mthLkUp.tbl[Num],MATCH(AJ$3,mthLkUp.tbl[Month],0)),1,0)</f>
        <v>0</v>
      </c>
      <c r="AK93" s="6">
        <v>1</v>
      </c>
      <c r="AL93" s="5">
        <f>sim.tbl[[#This Row],[Sulf]]*sim.tbl[[#This Row],[C5]]</f>
        <v>0</v>
      </c>
      <c r="AM93" s="5">
        <f>sim.tbl[[#This Row],[Sulf]]*sim.tbl[[#This Row],[Light_LSB]]</f>
        <v>0</v>
      </c>
      <c r="AN93" s="5">
        <f>sim.tbl[[#This Row],[Sulf]]*sim.tbl[[#This Row],[Light_SW]]</f>
        <v>0</v>
      </c>
      <c r="AO93" s="5">
        <f>sim.tbl[[#This Row],[Sulf]]*sim.tbl[[#This Row],[Medium_LSB]]</f>
        <v>1.74</v>
      </c>
      <c r="AP93" s="5">
        <f>sim.tbl[[#This Row],[Sulf]]*sim.tbl[[#This Row],[Medium_SW]]</f>
        <v>0</v>
      </c>
      <c r="AQ93" s="5">
        <f>sim.tbl[[#This Row],[Sulf]]*sim.tbl[[#This Row],[Midale]]</f>
        <v>0</v>
      </c>
      <c r="AR93" s="5">
        <f>sim.tbl[[#This Row],[Sulf]]*sim.tbl[[#This Row],[Heavy_Sour]]</f>
        <v>0</v>
      </c>
      <c r="AS93" s="5">
        <f>sim.tbl[[#This Row],[Sulf]]*sim.tbl[[#This Row],[Heavy_SW]]</f>
        <v>0</v>
      </c>
      <c r="AT93" s="5">
        <f>sim.tbl[[#This Row],[Dens]]*sim.tbl[[#This Row],[C5]]</f>
        <v>0</v>
      </c>
      <c r="AU93" s="5">
        <f>sim.tbl[[#This Row],[Dens]]*sim.tbl[[#This Row],[Light_LSB]]</f>
        <v>0</v>
      </c>
      <c r="AV93" s="5">
        <f>sim.tbl[[#This Row],[Dens]]*sim.tbl[[#This Row],[Light_SW]]</f>
        <v>0</v>
      </c>
      <c r="AW93" s="5">
        <f>sim.tbl[[#This Row],[Dens]]*sim.tbl[[#This Row],[Medium_LSB]]</f>
        <v>838</v>
      </c>
      <c r="AX93" s="5">
        <f>sim.tbl[[#This Row],[Dens]]*sim.tbl[[#This Row],[Medium_SW]]</f>
        <v>0</v>
      </c>
      <c r="AY93" s="5">
        <f>sim.tbl[[#This Row],[Dens]]*sim.tbl[[#This Row],[Midale]]</f>
        <v>0</v>
      </c>
      <c r="AZ93" s="5">
        <f>sim.tbl[[#This Row],[Dens]]*sim.tbl[[#This Row],[Heavy_Sour]]</f>
        <v>0</v>
      </c>
      <c r="BA93" s="5">
        <f>sim.tbl[[#This Row],[Dens]]*sim.tbl[[#This Row],[Heavy_SW]]</f>
        <v>0</v>
      </c>
      <c r="BB93" s="5">
        <f>sim.tbl[[#This Row],[Temp.Roll]]*sim.tbl[[#This Row],[C5]]</f>
        <v>0</v>
      </c>
      <c r="BC93" s="5">
        <f>sim.tbl[[#This Row],[Temp.Roll]]*sim.tbl[[#This Row],[Light_LSB]]</f>
        <v>0</v>
      </c>
      <c r="BD93" s="5">
        <f>sim.tbl[[#This Row],[Temp.Roll]]*sim.tbl[[#This Row],[Light_SW]]</f>
        <v>0</v>
      </c>
      <c r="BE93" s="5">
        <f>sim.tbl[[#This Row],[Temp.Roll]]*sim.tbl[[#This Row],[Medium_LSB]]</f>
        <v>-1.1000000000000001</v>
      </c>
      <c r="BF93" s="5">
        <f>sim.tbl[[#This Row],[Temp.Roll]]*sim.tbl[[#This Row],[Medium_SW]]</f>
        <v>0</v>
      </c>
      <c r="BG93" s="5">
        <f>sim.tbl[[#This Row],[Temp.Roll]]*sim.tbl[[#This Row],[Midale]]</f>
        <v>0</v>
      </c>
      <c r="BH93" s="5">
        <f>sim.tbl[[#This Row],[Temp.Roll]]*sim.tbl[[#This Row],[Heavy_Sour]]</f>
        <v>0</v>
      </c>
      <c r="BI93" s="5">
        <f>sim.tbl[[#This Row],[Temp.Roll]]*sim.tbl[[#This Row],[Heavy_SW]]</f>
        <v>0</v>
      </c>
    </row>
    <row r="94" spans="4:61" x14ac:dyDescent="0.25">
      <c r="D94" s="5">
        <f ca="1">SUMPRODUCT($F$1:$BI$1,sim.tbl[[#This Row],[Intercept]:[Temp.Roll:Heavy_SW]])</f>
        <v>84.141960968970494</v>
      </c>
      <c r="E94" s="14">
        <f ca="1">DATE(YEAR(TODAY()),INDEX(mthLkUp.tbl[Num],MATCH(mth.input,mthLkUp.tbl[Month],0)),1)</f>
        <v>42795</v>
      </c>
      <c r="F94" s="6">
        <f>1</f>
        <v>1</v>
      </c>
      <c r="G94" s="5">
        <v>1.24</v>
      </c>
      <c r="H94" s="5">
        <v>839.7</v>
      </c>
      <c r="I94" s="5">
        <v>-12.475</v>
      </c>
      <c r="J94" s="5">
        <v>-14.4</v>
      </c>
      <c r="K94" s="5">
        <v>-12.4</v>
      </c>
      <c r="L94" s="5">
        <v>-14.4</v>
      </c>
      <c r="M94" s="5">
        <v>2.8</v>
      </c>
      <c r="N94" s="5">
        <v>-10.5</v>
      </c>
      <c r="O94" s="5">
        <v>-10</v>
      </c>
      <c r="P94" s="5">
        <v>-13.1</v>
      </c>
      <c r="Q94" s="6">
        <f>IF(sim.tbl[[#This Row],[Dens]]&lt;=770,1,0)</f>
        <v>0</v>
      </c>
      <c r="R94" s="6">
        <f>IF(AND(sim.tbl[[#This Row],[Sulf]]&gt;0.5,sim.tbl[[#This Row],[Dens]]&gt;770,sim.tbl[[#This Row],[Dens]]&lt;=825),1,0)</f>
        <v>0</v>
      </c>
      <c r="S94" s="6">
        <f>IF(AND(sim.tbl[[#This Row],[Sulf]]&lt;=0.5,sim.tbl[[#This Row],[Dens]]&gt;770,sim.tbl[[#This Row],[Dens]]&lt;=825),1,0)</f>
        <v>0</v>
      </c>
      <c r="T94" s="6">
        <f>IF(AND(sim.tbl[[#This Row],[Sulf]]&gt;0.5,sim.tbl[[#This Row],[Dens]]&gt;825,sim.tbl[[#This Row],[Dens]]&lt;=870),1,0)</f>
        <v>1</v>
      </c>
      <c r="U94" s="6">
        <f>IF(AND(sim.tbl[[#This Row],[Sulf]]&lt;0.5,sim.tbl[[#This Row],[Dens]]&gt;825,sim.tbl[[#This Row],[Dens]]&lt;=900),1,0)</f>
        <v>0</v>
      </c>
      <c r="V94" s="6">
        <f>IF(AND(sim.tbl[[#This Row],[Sulf]]&gt;0.5,sim.tbl[[#This Row],[Dens]]&gt;870,sim.tbl[[#This Row],[Dens]]&lt;=900),1,0)</f>
        <v>0</v>
      </c>
      <c r="W94" s="6">
        <f>IF(AND(sim.tbl[[#This Row],[Sulf]]&gt;0.5,sim.tbl[[#This Row],[Dens]]&gt;900),1,0)</f>
        <v>0</v>
      </c>
      <c r="X94" s="6">
        <f>IF(AND(sim.tbl[[#This Row],[Sulf]]&lt;=0.5,sim.tbl[[#This Row],[Dens]]&gt;900),1,0)</f>
        <v>0</v>
      </c>
      <c r="Y94" s="6">
        <f ca="1">IF(MONTH(sim.tbl[[#This Row],[SDate]])=INDEX(mthLkUp.tbl[Num],MATCH(Y$3,mthLkUp.tbl[Month],0)),1,0)</f>
        <v>0</v>
      </c>
      <c r="Z94" s="6">
        <f ca="1">IF(MONTH(sim.tbl[[#This Row],[SDate]])=INDEX(mthLkUp.tbl[Num],MATCH(Z$3,mthLkUp.tbl[Month],0)),1,0)</f>
        <v>0</v>
      </c>
      <c r="AA94" s="6">
        <f ca="1">IF(MONTH(sim.tbl[[#This Row],[SDate]])=INDEX(mthLkUp.tbl[Num],MATCH(AA$3,mthLkUp.tbl[Month],0)),1,0)</f>
        <v>1</v>
      </c>
      <c r="AB94" s="6">
        <f ca="1">IF(MONTH(sim.tbl[[#This Row],[SDate]])=INDEX(mthLkUp.tbl[Num],MATCH(AB$3,mthLkUp.tbl[Month],0)),1,0)</f>
        <v>0</v>
      </c>
      <c r="AC94" s="6">
        <f ca="1">IF(MONTH(sim.tbl[[#This Row],[SDate]])=INDEX(mthLkUp.tbl[Num],MATCH(AC$3,mthLkUp.tbl[Month],0)),1,0)</f>
        <v>0</v>
      </c>
      <c r="AD94" s="6">
        <f ca="1">IF(MONTH(sim.tbl[[#This Row],[SDate]])=INDEX(mthLkUp.tbl[Num],MATCH(AD$3,mthLkUp.tbl[Month],0)),1,0)</f>
        <v>0</v>
      </c>
      <c r="AE94" s="6">
        <f ca="1">IF(MONTH(sim.tbl[[#This Row],[SDate]])=INDEX(mthLkUp.tbl[Num],MATCH(AE$3,mthLkUp.tbl[Month],0)),1,0)</f>
        <v>0</v>
      </c>
      <c r="AF94" s="6">
        <f ca="1">IF(MONTH(sim.tbl[[#This Row],[SDate]])=INDEX(mthLkUp.tbl[Num],MATCH(AF$3,mthLkUp.tbl[Month],0)),1,0)</f>
        <v>0</v>
      </c>
      <c r="AG94" s="6">
        <f ca="1">IF(MONTH(sim.tbl[[#This Row],[SDate]])=INDEX(mthLkUp.tbl[Num],MATCH(AG$3,mthLkUp.tbl[Month],0)),1,0)</f>
        <v>0</v>
      </c>
      <c r="AH94" s="6">
        <f ca="1">IF(MONTH(sim.tbl[[#This Row],[SDate]])=INDEX(mthLkUp.tbl[Num],MATCH(AH$3,mthLkUp.tbl[Month],0)),1,0)</f>
        <v>0</v>
      </c>
      <c r="AI94" s="6">
        <f ca="1">IF(MONTH(sim.tbl[[#This Row],[SDate]])=INDEX(mthLkUp.tbl[Num],MATCH(AI$3,mthLkUp.tbl[Month],0)),1,0)</f>
        <v>0</v>
      </c>
      <c r="AJ94" s="6">
        <f ca="1">IF(MONTH(sim.tbl[[#This Row],[SDate]])=INDEX(mthLkUp.tbl[Num],MATCH(AJ$3,mthLkUp.tbl[Month],0)),1,0)</f>
        <v>0</v>
      </c>
      <c r="AK94" s="6">
        <v>1</v>
      </c>
      <c r="AL94" s="5">
        <f>sim.tbl[[#This Row],[Sulf]]*sim.tbl[[#This Row],[C5]]</f>
        <v>0</v>
      </c>
      <c r="AM94" s="5">
        <f>sim.tbl[[#This Row],[Sulf]]*sim.tbl[[#This Row],[Light_LSB]]</f>
        <v>0</v>
      </c>
      <c r="AN94" s="5">
        <f>sim.tbl[[#This Row],[Sulf]]*sim.tbl[[#This Row],[Light_SW]]</f>
        <v>0</v>
      </c>
      <c r="AO94" s="5">
        <f>sim.tbl[[#This Row],[Sulf]]*sim.tbl[[#This Row],[Medium_LSB]]</f>
        <v>1.24</v>
      </c>
      <c r="AP94" s="5">
        <f>sim.tbl[[#This Row],[Sulf]]*sim.tbl[[#This Row],[Medium_SW]]</f>
        <v>0</v>
      </c>
      <c r="AQ94" s="5">
        <f>sim.tbl[[#This Row],[Sulf]]*sim.tbl[[#This Row],[Midale]]</f>
        <v>0</v>
      </c>
      <c r="AR94" s="5">
        <f>sim.tbl[[#This Row],[Sulf]]*sim.tbl[[#This Row],[Heavy_Sour]]</f>
        <v>0</v>
      </c>
      <c r="AS94" s="5">
        <f>sim.tbl[[#This Row],[Sulf]]*sim.tbl[[#This Row],[Heavy_SW]]</f>
        <v>0</v>
      </c>
      <c r="AT94" s="5">
        <f>sim.tbl[[#This Row],[Dens]]*sim.tbl[[#This Row],[C5]]</f>
        <v>0</v>
      </c>
      <c r="AU94" s="5">
        <f>sim.tbl[[#This Row],[Dens]]*sim.tbl[[#This Row],[Light_LSB]]</f>
        <v>0</v>
      </c>
      <c r="AV94" s="5">
        <f>sim.tbl[[#This Row],[Dens]]*sim.tbl[[#This Row],[Light_SW]]</f>
        <v>0</v>
      </c>
      <c r="AW94" s="5">
        <f>sim.tbl[[#This Row],[Dens]]*sim.tbl[[#This Row],[Medium_LSB]]</f>
        <v>839.7</v>
      </c>
      <c r="AX94" s="5">
        <f>sim.tbl[[#This Row],[Dens]]*sim.tbl[[#This Row],[Medium_SW]]</f>
        <v>0</v>
      </c>
      <c r="AY94" s="5">
        <f>sim.tbl[[#This Row],[Dens]]*sim.tbl[[#This Row],[Midale]]</f>
        <v>0</v>
      </c>
      <c r="AZ94" s="5">
        <f>sim.tbl[[#This Row],[Dens]]*sim.tbl[[#This Row],[Heavy_Sour]]</f>
        <v>0</v>
      </c>
      <c r="BA94" s="5">
        <f>sim.tbl[[#This Row],[Dens]]*sim.tbl[[#This Row],[Heavy_SW]]</f>
        <v>0</v>
      </c>
      <c r="BB94" s="5">
        <f>sim.tbl[[#This Row],[Temp.Roll]]*sim.tbl[[#This Row],[C5]]</f>
        <v>0</v>
      </c>
      <c r="BC94" s="5">
        <f>sim.tbl[[#This Row],[Temp.Roll]]*sim.tbl[[#This Row],[Light_LSB]]</f>
        <v>0</v>
      </c>
      <c r="BD94" s="5">
        <f>sim.tbl[[#This Row],[Temp.Roll]]*sim.tbl[[#This Row],[Light_SW]]</f>
        <v>0</v>
      </c>
      <c r="BE94" s="5">
        <f>sim.tbl[[#This Row],[Temp.Roll]]*sim.tbl[[#This Row],[Medium_LSB]]</f>
        <v>-14.4</v>
      </c>
      <c r="BF94" s="5">
        <f>sim.tbl[[#This Row],[Temp.Roll]]*sim.tbl[[#This Row],[Medium_SW]]</f>
        <v>0</v>
      </c>
      <c r="BG94" s="5">
        <f>sim.tbl[[#This Row],[Temp.Roll]]*sim.tbl[[#This Row],[Midale]]</f>
        <v>0</v>
      </c>
      <c r="BH94" s="5">
        <f>sim.tbl[[#This Row],[Temp.Roll]]*sim.tbl[[#This Row],[Heavy_Sour]]</f>
        <v>0</v>
      </c>
      <c r="BI94" s="5">
        <f>sim.tbl[[#This Row],[Temp.Roll]]*sim.tbl[[#This Row],[Heavy_SW]]</f>
        <v>0</v>
      </c>
    </row>
    <row r="95" spans="4:61" x14ac:dyDescent="0.25">
      <c r="D95" s="5">
        <f ca="1">SUMPRODUCT($F$1:$BI$1,sim.tbl[[#This Row],[Intercept]:[Temp.Roll:Heavy_SW]])</f>
        <v>74.56282038534394</v>
      </c>
      <c r="E95" s="14">
        <f ca="1">DATE(YEAR(TODAY()),INDEX(mthLkUp.tbl[Num],MATCH(mth.input,mthLkUp.tbl[Month],0)),1)</f>
        <v>42795</v>
      </c>
      <c r="F95" s="6">
        <f>1</f>
        <v>1</v>
      </c>
      <c r="G95" s="5">
        <v>1.2</v>
      </c>
      <c r="H95" s="5">
        <v>842.5</v>
      </c>
      <c r="I95" s="5">
        <v>9.4749999999999996</v>
      </c>
      <c r="J95" s="5">
        <v>9.9</v>
      </c>
      <c r="K95" s="5">
        <v>11.8</v>
      </c>
      <c r="L95" s="5">
        <v>9.9</v>
      </c>
      <c r="M95" s="5">
        <v>8</v>
      </c>
      <c r="N95" s="5">
        <v>1.8</v>
      </c>
      <c r="O95" s="5">
        <v>8.1999999999999993</v>
      </c>
      <c r="P95" s="5">
        <v>8</v>
      </c>
      <c r="Q95" s="6">
        <f>IF(sim.tbl[[#This Row],[Dens]]&lt;=770,1,0)</f>
        <v>0</v>
      </c>
      <c r="R95" s="6">
        <f>IF(AND(sim.tbl[[#This Row],[Sulf]]&gt;0.5,sim.tbl[[#This Row],[Dens]]&gt;770,sim.tbl[[#This Row],[Dens]]&lt;=825),1,0)</f>
        <v>0</v>
      </c>
      <c r="S95" s="6">
        <f>IF(AND(sim.tbl[[#This Row],[Sulf]]&lt;=0.5,sim.tbl[[#This Row],[Dens]]&gt;770,sim.tbl[[#This Row],[Dens]]&lt;=825),1,0)</f>
        <v>0</v>
      </c>
      <c r="T95" s="6">
        <f>IF(AND(sim.tbl[[#This Row],[Sulf]]&gt;0.5,sim.tbl[[#This Row],[Dens]]&gt;825,sim.tbl[[#This Row],[Dens]]&lt;=870),1,0)</f>
        <v>1</v>
      </c>
      <c r="U95" s="6">
        <f>IF(AND(sim.tbl[[#This Row],[Sulf]]&lt;0.5,sim.tbl[[#This Row],[Dens]]&gt;825,sim.tbl[[#This Row],[Dens]]&lt;=900),1,0)</f>
        <v>0</v>
      </c>
      <c r="V95" s="6">
        <f>IF(AND(sim.tbl[[#This Row],[Sulf]]&gt;0.5,sim.tbl[[#This Row],[Dens]]&gt;870,sim.tbl[[#This Row],[Dens]]&lt;=900),1,0)</f>
        <v>0</v>
      </c>
      <c r="W95" s="6">
        <f>IF(AND(sim.tbl[[#This Row],[Sulf]]&gt;0.5,sim.tbl[[#This Row],[Dens]]&gt;900),1,0)</f>
        <v>0</v>
      </c>
      <c r="X95" s="6">
        <f>IF(AND(sim.tbl[[#This Row],[Sulf]]&lt;=0.5,sim.tbl[[#This Row],[Dens]]&gt;900),1,0)</f>
        <v>0</v>
      </c>
      <c r="Y95" s="6">
        <f ca="1">IF(MONTH(sim.tbl[[#This Row],[SDate]])=INDEX(mthLkUp.tbl[Num],MATCH(Y$3,mthLkUp.tbl[Month],0)),1,0)</f>
        <v>0</v>
      </c>
      <c r="Z95" s="6">
        <f ca="1">IF(MONTH(sim.tbl[[#This Row],[SDate]])=INDEX(mthLkUp.tbl[Num],MATCH(Z$3,mthLkUp.tbl[Month],0)),1,0)</f>
        <v>0</v>
      </c>
      <c r="AA95" s="6">
        <f ca="1">IF(MONTH(sim.tbl[[#This Row],[SDate]])=INDEX(mthLkUp.tbl[Num],MATCH(AA$3,mthLkUp.tbl[Month],0)),1,0)</f>
        <v>1</v>
      </c>
      <c r="AB95" s="6">
        <f ca="1">IF(MONTH(sim.tbl[[#This Row],[SDate]])=INDEX(mthLkUp.tbl[Num],MATCH(AB$3,mthLkUp.tbl[Month],0)),1,0)</f>
        <v>0</v>
      </c>
      <c r="AC95" s="6">
        <f ca="1">IF(MONTH(sim.tbl[[#This Row],[SDate]])=INDEX(mthLkUp.tbl[Num],MATCH(AC$3,mthLkUp.tbl[Month],0)),1,0)</f>
        <v>0</v>
      </c>
      <c r="AD95" s="6">
        <f ca="1">IF(MONTH(sim.tbl[[#This Row],[SDate]])=INDEX(mthLkUp.tbl[Num],MATCH(AD$3,mthLkUp.tbl[Month],0)),1,0)</f>
        <v>0</v>
      </c>
      <c r="AE95" s="6">
        <f ca="1">IF(MONTH(sim.tbl[[#This Row],[SDate]])=INDEX(mthLkUp.tbl[Num],MATCH(AE$3,mthLkUp.tbl[Month],0)),1,0)</f>
        <v>0</v>
      </c>
      <c r="AF95" s="6">
        <f ca="1">IF(MONTH(sim.tbl[[#This Row],[SDate]])=INDEX(mthLkUp.tbl[Num],MATCH(AF$3,mthLkUp.tbl[Month],0)),1,0)</f>
        <v>0</v>
      </c>
      <c r="AG95" s="6">
        <f ca="1">IF(MONTH(sim.tbl[[#This Row],[SDate]])=INDEX(mthLkUp.tbl[Num],MATCH(AG$3,mthLkUp.tbl[Month],0)),1,0)</f>
        <v>0</v>
      </c>
      <c r="AH95" s="6">
        <f ca="1">IF(MONTH(sim.tbl[[#This Row],[SDate]])=INDEX(mthLkUp.tbl[Num],MATCH(AH$3,mthLkUp.tbl[Month],0)),1,0)</f>
        <v>0</v>
      </c>
      <c r="AI95" s="6">
        <f ca="1">IF(MONTH(sim.tbl[[#This Row],[SDate]])=INDEX(mthLkUp.tbl[Num],MATCH(AI$3,mthLkUp.tbl[Month],0)),1,0)</f>
        <v>0</v>
      </c>
      <c r="AJ95" s="6">
        <f ca="1">IF(MONTH(sim.tbl[[#This Row],[SDate]])=INDEX(mthLkUp.tbl[Num],MATCH(AJ$3,mthLkUp.tbl[Month],0)),1,0)</f>
        <v>0</v>
      </c>
      <c r="AK95" s="6">
        <v>1</v>
      </c>
      <c r="AL95" s="5">
        <f>sim.tbl[[#This Row],[Sulf]]*sim.tbl[[#This Row],[C5]]</f>
        <v>0</v>
      </c>
      <c r="AM95" s="5">
        <f>sim.tbl[[#This Row],[Sulf]]*sim.tbl[[#This Row],[Light_LSB]]</f>
        <v>0</v>
      </c>
      <c r="AN95" s="5">
        <f>sim.tbl[[#This Row],[Sulf]]*sim.tbl[[#This Row],[Light_SW]]</f>
        <v>0</v>
      </c>
      <c r="AO95" s="5">
        <f>sim.tbl[[#This Row],[Sulf]]*sim.tbl[[#This Row],[Medium_LSB]]</f>
        <v>1.2</v>
      </c>
      <c r="AP95" s="5">
        <f>sim.tbl[[#This Row],[Sulf]]*sim.tbl[[#This Row],[Medium_SW]]</f>
        <v>0</v>
      </c>
      <c r="AQ95" s="5">
        <f>sim.tbl[[#This Row],[Sulf]]*sim.tbl[[#This Row],[Midale]]</f>
        <v>0</v>
      </c>
      <c r="AR95" s="5">
        <f>sim.tbl[[#This Row],[Sulf]]*sim.tbl[[#This Row],[Heavy_Sour]]</f>
        <v>0</v>
      </c>
      <c r="AS95" s="5">
        <f>sim.tbl[[#This Row],[Sulf]]*sim.tbl[[#This Row],[Heavy_SW]]</f>
        <v>0</v>
      </c>
      <c r="AT95" s="5">
        <f>sim.tbl[[#This Row],[Dens]]*sim.tbl[[#This Row],[C5]]</f>
        <v>0</v>
      </c>
      <c r="AU95" s="5">
        <f>sim.tbl[[#This Row],[Dens]]*sim.tbl[[#This Row],[Light_LSB]]</f>
        <v>0</v>
      </c>
      <c r="AV95" s="5">
        <f>sim.tbl[[#This Row],[Dens]]*sim.tbl[[#This Row],[Light_SW]]</f>
        <v>0</v>
      </c>
      <c r="AW95" s="5">
        <f>sim.tbl[[#This Row],[Dens]]*sim.tbl[[#This Row],[Medium_LSB]]</f>
        <v>842.5</v>
      </c>
      <c r="AX95" s="5">
        <f>sim.tbl[[#This Row],[Dens]]*sim.tbl[[#This Row],[Medium_SW]]</f>
        <v>0</v>
      </c>
      <c r="AY95" s="5">
        <f>sim.tbl[[#This Row],[Dens]]*sim.tbl[[#This Row],[Midale]]</f>
        <v>0</v>
      </c>
      <c r="AZ95" s="5">
        <f>sim.tbl[[#This Row],[Dens]]*sim.tbl[[#This Row],[Heavy_Sour]]</f>
        <v>0</v>
      </c>
      <c r="BA95" s="5">
        <f>sim.tbl[[#This Row],[Dens]]*sim.tbl[[#This Row],[Heavy_SW]]</f>
        <v>0</v>
      </c>
      <c r="BB95" s="5">
        <f>sim.tbl[[#This Row],[Temp.Roll]]*sim.tbl[[#This Row],[C5]]</f>
        <v>0</v>
      </c>
      <c r="BC95" s="5">
        <f>sim.tbl[[#This Row],[Temp.Roll]]*sim.tbl[[#This Row],[Light_LSB]]</f>
        <v>0</v>
      </c>
      <c r="BD95" s="5">
        <f>sim.tbl[[#This Row],[Temp.Roll]]*sim.tbl[[#This Row],[Light_SW]]</f>
        <v>0</v>
      </c>
      <c r="BE95" s="5">
        <f>sim.tbl[[#This Row],[Temp.Roll]]*sim.tbl[[#This Row],[Medium_LSB]]</f>
        <v>9.9</v>
      </c>
      <c r="BF95" s="5">
        <f>sim.tbl[[#This Row],[Temp.Roll]]*sim.tbl[[#This Row],[Medium_SW]]</f>
        <v>0</v>
      </c>
      <c r="BG95" s="5">
        <f>sim.tbl[[#This Row],[Temp.Roll]]*sim.tbl[[#This Row],[Midale]]</f>
        <v>0</v>
      </c>
      <c r="BH95" s="5">
        <f>sim.tbl[[#This Row],[Temp.Roll]]*sim.tbl[[#This Row],[Heavy_Sour]]</f>
        <v>0</v>
      </c>
      <c r="BI95" s="5">
        <f>sim.tbl[[#This Row],[Temp.Roll]]*sim.tbl[[#This Row],[Heavy_SW]]</f>
        <v>0</v>
      </c>
    </row>
    <row r="96" spans="4:61" x14ac:dyDescent="0.25">
      <c r="D96" s="5">
        <f ca="1">SUMPRODUCT($F$1:$BI$1,sim.tbl[[#This Row],[Intercept]:[Temp.Roll:Heavy_SW]])</f>
        <v>85.443084356935344</v>
      </c>
      <c r="E96" s="14">
        <f ca="1">DATE(YEAR(TODAY()),INDEX(mthLkUp.tbl[Num],MATCH(mth.input,mthLkUp.tbl[Month],0)),1)</f>
        <v>42795</v>
      </c>
      <c r="F96" s="6">
        <f>1</f>
        <v>1</v>
      </c>
      <c r="G96" s="5">
        <v>1.63</v>
      </c>
      <c r="H96" s="5">
        <v>845.2</v>
      </c>
      <c r="I96" s="5">
        <v>-21.92</v>
      </c>
      <c r="J96" s="5">
        <v>-22.6</v>
      </c>
      <c r="K96" s="5">
        <v>-21.5</v>
      </c>
      <c r="L96" s="5">
        <v>-22.6</v>
      </c>
      <c r="M96" s="5">
        <v>-17</v>
      </c>
      <c r="N96" s="5">
        <v>-21</v>
      </c>
      <c r="O96" s="5">
        <v>-21.5</v>
      </c>
      <c r="P96" s="5">
        <v>-23</v>
      </c>
      <c r="Q96" s="6">
        <f>IF(sim.tbl[[#This Row],[Dens]]&lt;=770,1,0)</f>
        <v>0</v>
      </c>
      <c r="R96" s="6">
        <f>IF(AND(sim.tbl[[#This Row],[Sulf]]&gt;0.5,sim.tbl[[#This Row],[Dens]]&gt;770,sim.tbl[[#This Row],[Dens]]&lt;=825),1,0)</f>
        <v>0</v>
      </c>
      <c r="S96" s="6">
        <f>IF(AND(sim.tbl[[#This Row],[Sulf]]&lt;=0.5,sim.tbl[[#This Row],[Dens]]&gt;770,sim.tbl[[#This Row],[Dens]]&lt;=825),1,0)</f>
        <v>0</v>
      </c>
      <c r="T96" s="6">
        <f>IF(AND(sim.tbl[[#This Row],[Sulf]]&gt;0.5,sim.tbl[[#This Row],[Dens]]&gt;825,sim.tbl[[#This Row],[Dens]]&lt;=870),1,0)</f>
        <v>1</v>
      </c>
      <c r="U96" s="6">
        <f>IF(AND(sim.tbl[[#This Row],[Sulf]]&lt;0.5,sim.tbl[[#This Row],[Dens]]&gt;825,sim.tbl[[#This Row],[Dens]]&lt;=900),1,0)</f>
        <v>0</v>
      </c>
      <c r="V96" s="6">
        <f>IF(AND(sim.tbl[[#This Row],[Sulf]]&gt;0.5,sim.tbl[[#This Row],[Dens]]&gt;870,sim.tbl[[#This Row],[Dens]]&lt;=900),1,0)</f>
        <v>0</v>
      </c>
      <c r="W96" s="6">
        <f>IF(AND(sim.tbl[[#This Row],[Sulf]]&gt;0.5,sim.tbl[[#This Row],[Dens]]&gt;900),1,0)</f>
        <v>0</v>
      </c>
      <c r="X96" s="6">
        <f>IF(AND(sim.tbl[[#This Row],[Sulf]]&lt;=0.5,sim.tbl[[#This Row],[Dens]]&gt;900),1,0)</f>
        <v>0</v>
      </c>
      <c r="Y96" s="6">
        <f ca="1">IF(MONTH(sim.tbl[[#This Row],[SDate]])=INDEX(mthLkUp.tbl[Num],MATCH(Y$3,mthLkUp.tbl[Month],0)),1,0)</f>
        <v>0</v>
      </c>
      <c r="Z96" s="6">
        <f ca="1">IF(MONTH(sim.tbl[[#This Row],[SDate]])=INDEX(mthLkUp.tbl[Num],MATCH(Z$3,mthLkUp.tbl[Month],0)),1,0)</f>
        <v>0</v>
      </c>
      <c r="AA96" s="6">
        <f ca="1">IF(MONTH(sim.tbl[[#This Row],[SDate]])=INDEX(mthLkUp.tbl[Num],MATCH(AA$3,mthLkUp.tbl[Month],0)),1,0)</f>
        <v>1</v>
      </c>
      <c r="AB96" s="6">
        <f ca="1">IF(MONTH(sim.tbl[[#This Row],[SDate]])=INDEX(mthLkUp.tbl[Num],MATCH(AB$3,mthLkUp.tbl[Month],0)),1,0)</f>
        <v>0</v>
      </c>
      <c r="AC96" s="6">
        <f ca="1">IF(MONTH(sim.tbl[[#This Row],[SDate]])=INDEX(mthLkUp.tbl[Num],MATCH(AC$3,mthLkUp.tbl[Month],0)),1,0)</f>
        <v>0</v>
      </c>
      <c r="AD96" s="6">
        <f ca="1">IF(MONTH(sim.tbl[[#This Row],[SDate]])=INDEX(mthLkUp.tbl[Num],MATCH(AD$3,mthLkUp.tbl[Month],0)),1,0)</f>
        <v>0</v>
      </c>
      <c r="AE96" s="6">
        <f ca="1">IF(MONTH(sim.tbl[[#This Row],[SDate]])=INDEX(mthLkUp.tbl[Num],MATCH(AE$3,mthLkUp.tbl[Month],0)),1,0)</f>
        <v>0</v>
      </c>
      <c r="AF96" s="6">
        <f ca="1">IF(MONTH(sim.tbl[[#This Row],[SDate]])=INDEX(mthLkUp.tbl[Num],MATCH(AF$3,mthLkUp.tbl[Month],0)),1,0)</f>
        <v>0</v>
      </c>
      <c r="AG96" s="6">
        <f ca="1">IF(MONTH(sim.tbl[[#This Row],[SDate]])=INDEX(mthLkUp.tbl[Num],MATCH(AG$3,mthLkUp.tbl[Month],0)),1,0)</f>
        <v>0</v>
      </c>
      <c r="AH96" s="6">
        <f ca="1">IF(MONTH(sim.tbl[[#This Row],[SDate]])=INDEX(mthLkUp.tbl[Num],MATCH(AH$3,mthLkUp.tbl[Month],0)),1,0)</f>
        <v>0</v>
      </c>
      <c r="AI96" s="6">
        <f ca="1">IF(MONTH(sim.tbl[[#This Row],[SDate]])=INDEX(mthLkUp.tbl[Num],MATCH(AI$3,mthLkUp.tbl[Month],0)),1,0)</f>
        <v>0</v>
      </c>
      <c r="AJ96" s="6">
        <f ca="1">IF(MONTH(sim.tbl[[#This Row],[SDate]])=INDEX(mthLkUp.tbl[Num],MATCH(AJ$3,mthLkUp.tbl[Month],0)),1,0)</f>
        <v>0</v>
      </c>
      <c r="AK96" s="6">
        <v>1</v>
      </c>
      <c r="AL96" s="5">
        <f>sim.tbl[[#This Row],[Sulf]]*sim.tbl[[#This Row],[C5]]</f>
        <v>0</v>
      </c>
      <c r="AM96" s="5">
        <f>sim.tbl[[#This Row],[Sulf]]*sim.tbl[[#This Row],[Light_LSB]]</f>
        <v>0</v>
      </c>
      <c r="AN96" s="5">
        <f>sim.tbl[[#This Row],[Sulf]]*sim.tbl[[#This Row],[Light_SW]]</f>
        <v>0</v>
      </c>
      <c r="AO96" s="5">
        <f>sim.tbl[[#This Row],[Sulf]]*sim.tbl[[#This Row],[Medium_LSB]]</f>
        <v>1.63</v>
      </c>
      <c r="AP96" s="5">
        <f>sim.tbl[[#This Row],[Sulf]]*sim.tbl[[#This Row],[Medium_SW]]</f>
        <v>0</v>
      </c>
      <c r="AQ96" s="5">
        <f>sim.tbl[[#This Row],[Sulf]]*sim.tbl[[#This Row],[Midale]]</f>
        <v>0</v>
      </c>
      <c r="AR96" s="5">
        <f>sim.tbl[[#This Row],[Sulf]]*sim.tbl[[#This Row],[Heavy_Sour]]</f>
        <v>0</v>
      </c>
      <c r="AS96" s="5">
        <f>sim.tbl[[#This Row],[Sulf]]*sim.tbl[[#This Row],[Heavy_SW]]</f>
        <v>0</v>
      </c>
      <c r="AT96" s="5">
        <f>sim.tbl[[#This Row],[Dens]]*sim.tbl[[#This Row],[C5]]</f>
        <v>0</v>
      </c>
      <c r="AU96" s="5">
        <f>sim.tbl[[#This Row],[Dens]]*sim.tbl[[#This Row],[Light_LSB]]</f>
        <v>0</v>
      </c>
      <c r="AV96" s="5">
        <f>sim.tbl[[#This Row],[Dens]]*sim.tbl[[#This Row],[Light_SW]]</f>
        <v>0</v>
      </c>
      <c r="AW96" s="5">
        <f>sim.tbl[[#This Row],[Dens]]*sim.tbl[[#This Row],[Medium_LSB]]</f>
        <v>845.2</v>
      </c>
      <c r="AX96" s="5">
        <f>sim.tbl[[#This Row],[Dens]]*sim.tbl[[#This Row],[Medium_SW]]</f>
        <v>0</v>
      </c>
      <c r="AY96" s="5">
        <f>sim.tbl[[#This Row],[Dens]]*sim.tbl[[#This Row],[Midale]]</f>
        <v>0</v>
      </c>
      <c r="AZ96" s="5">
        <f>sim.tbl[[#This Row],[Dens]]*sim.tbl[[#This Row],[Heavy_Sour]]</f>
        <v>0</v>
      </c>
      <c r="BA96" s="5">
        <f>sim.tbl[[#This Row],[Dens]]*sim.tbl[[#This Row],[Heavy_SW]]</f>
        <v>0</v>
      </c>
      <c r="BB96" s="5">
        <f>sim.tbl[[#This Row],[Temp.Roll]]*sim.tbl[[#This Row],[C5]]</f>
        <v>0</v>
      </c>
      <c r="BC96" s="5">
        <f>sim.tbl[[#This Row],[Temp.Roll]]*sim.tbl[[#This Row],[Light_LSB]]</f>
        <v>0</v>
      </c>
      <c r="BD96" s="5">
        <f>sim.tbl[[#This Row],[Temp.Roll]]*sim.tbl[[#This Row],[Light_SW]]</f>
        <v>0</v>
      </c>
      <c r="BE96" s="5">
        <f>sim.tbl[[#This Row],[Temp.Roll]]*sim.tbl[[#This Row],[Medium_LSB]]</f>
        <v>-22.6</v>
      </c>
      <c r="BF96" s="5">
        <f>sim.tbl[[#This Row],[Temp.Roll]]*sim.tbl[[#This Row],[Medium_SW]]</f>
        <v>0</v>
      </c>
      <c r="BG96" s="5">
        <f>sim.tbl[[#This Row],[Temp.Roll]]*sim.tbl[[#This Row],[Midale]]</f>
        <v>0</v>
      </c>
      <c r="BH96" s="5">
        <f>sim.tbl[[#This Row],[Temp.Roll]]*sim.tbl[[#This Row],[Heavy_Sour]]</f>
        <v>0</v>
      </c>
      <c r="BI96" s="5">
        <f>sim.tbl[[#This Row],[Temp.Roll]]*sim.tbl[[#This Row],[Heavy_SW]]</f>
        <v>0</v>
      </c>
    </row>
    <row r="97" spans="4:61" x14ac:dyDescent="0.25">
      <c r="D97" s="5">
        <f ca="1">SUMPRODUCT($F$1:$BI$1,sim.tbl[[#This Row],[Intercept]:[Temp.Roll:Heavy_SW]])</f>
        <v>79.790323386309012</v>
      </c>
      <c r="E97" s="14">
        <f ca="1">DATE(YEAR(TODAY()),INDEX(mthLkUp.tbl[Num],MATCH(mth.input,mthLkUp.tbl[Month],0)),1)</f>
        <v>42795</v>
      </c>
      <c r="F97" s="6">
        <f>1</f>
        <v>1</v>
      </c>
      <c r="G97" s="5">
        <v>1.21</v>
      </c>
      <c r="H97" s="5">
        <v>852.3</v>
      </c>
      <c r="I97" s="5">
        <v>-10.93333333</v>
      </c>
      <c r="J97" s="5">
        <v>-12.8</v>
      </c>
      <c r="K97" s="5">
        <v>-11.2</v>
      </c>
      <c r="L97" s="5">
        <v>-12.8</v>
      </c>
      <c r="M97" s="5">
        <v>-10</v>
      </c>
      <c r="N97" s="5">
        <v>-10.8</v>
      </c>
      <c r="O97" s="5">
        <v>-11.8</v>
      </c>
      <c r="P97" s="5">
        <v>-9</v>
      </c>
      <c r="Q97" s="6">
        <f>IF(sim.tbl[[#This Row],[Dens]]&lt;=770,1,0)</f>
        <v>0</v>
      </c>
      <c r="R97" s="6">
        <f>IF(AND(sim.tbl[[#This Row],[Sulf]]&gt;0.5,sim.tbl[[#This Row],[Dens]]&gt;770,sim.tbl[[#This Row],[Dens]]&lt;=825),1,0)</f>
        <v>0</v>
      </c>
      <c r="S97" s="6">
        <f>IF(AND(sim.tbl[[#This Row],[Sulf]]&lt;=0.5,sim.tbl[[#This Row],[Dens]]&gt;770,sim.tbl[[#This Row],[Dens]]&lt;=825),1,0)</f>
        <v>0</v>
      </c>
      <c r="T97" s="6">
        <f>IF(AND(sim.tbl[[#This Row],[Sulf]]&gt;0.5,sim.tbl[[#This Row],[Dens]]&gt;825,sim.tbl[[#This Row],[Dens]]&lt;=870),1,0)</f>
        <v>1</v>
      </c>
      <c r="U97" s="6">
        <f>IF(AND(sim.tbl[[#This Row],[Sulf]]&lt;0.5,sim.tbl[[#This Row],[Dens]]&gt;825,sim.tbl[[#This Row],[Dens]]&lt;=900),1,0)</f>
        <v>0</v>
      </c>
      <c r="V97" s="6">
        <f>IF(AND(sim.tbl[[#This Row],[Sulf]]&gt;0.5,sim.tbl[[#This Row],[Dens]]&gt;870,sim.tbl[[#This Row],[Dens]]&lt;=900),1,0)</f>
        <v>0</v>
      </c>
      <c r="W97" s="6">
        <f>IF(AND(sim.tbl[[#This Row],[Sulf]]&gt;0.5,sim.tbl[[#This Row],[Dens]]&gt;900),1,0)</f>
        <v>0</v>
      </c>
      <c r="X97" s="6">
        <f>IF(AND(sim.tbl[[#This Row],[Sulf]]&lt;=0.5,sim.tbl[[#This Row],[Dens]]&gt;900),1,0)</f>
        <v>0</v>
      </c>
      <c r="Y97" s="6">
        <f ca="1">IF(MONTH(sim.tbl[[#This Row],[SDate]])=INDEX(mthLkUp.tbl[Num],MATCH(Y$3,mthLkUp.tbl[Month],0)),1,0)</f>
        <v>0</v>
      </c>
      <c r="Z97" s="6">
        <f ca="1">IF(MONTH(sim.tbl[[#This Row],[SDate]])=INDEX(mthLkUp.tbl[Num],MATCH(Z$3,mthLkUp.tbl[Month],0)),1,0)</f>
        <v>0</v>
      </c>
      <c r="AA97" s="6">
        <f ca="1">IF(MONTH(sim.tbl[[#This Row],[SDate]])=INDEX(mthLkUp.tbl[Num],MATCH(AA$3,mthLkUp.tbl[Month],0)),1,0)</f>
        <v>1</v>
      </c>
      <c r="AB97" s="6">
        <f ca="1">IF(MONTH(sim.tbl[[#This Row],[SDate]])=INDEX(mthLkUp.tbl[Num],MATCH(AB$3,mthLkUp.tbl[Month],0)),1,0)</f>
        <v>0</v>
      </c>
      <c r="AC97" s="6">
        <f ca="1">IF(MONTH(sim.tbl[[#This Row],[SDate]])=INDEX(mthLkUp.tbl[Num],MATCH(AC$3,mthLkUp.tbl[Month],0)),1,0)</f>
        <v>0</v>
      </c>
      <c r="AD97" s="6">
        <f ca="1">IF(MONTH(sim.tbl[[#This Row],[SDate]])=INDEX(mthLkUp.tbl[Num],MATCH(AD$3,mthLkUp.tbl[Month],0)),1,0)</f>
        <v>0</v>
      </c>
      <c r="AE97" s="6">
        <f ca="1">IF(MONTH(sim.tbl[[#This Row],[SDate]])=INDEX(mthLkUp.tbl[Num],MATCH(AE$3,mthLkUp.tbl[Month],0)),1,0)</f>
        <v>0</v>
      </c>
      <c r="AF97" s="6">
        <f ca="1">IF(MONTH(sim.tbl[[#This Row],[SDate]])=INDEX(mthLkUp.tbl[Num],MATCH(AF$3,mthLkUp.tbl[Month],0)),1,0)</f>
        <v>0</v>
      </c>
      <c r="AG97" s="6">
        <f ca="1">IF(MONTH(sim.tbl[[#This Row],[SDate]])=INDEX(mthLkUp.tbl[Num],MATCH(AG$3,mthLkUp.tbl[Month],0)),1,0)</f>
        <v>0</v>
      </c>
      <c r="AH97" s="6">
        <f ca="1">IF(MONTH(sim.tbl[[#This Row],[SDate]])=INDEX(mthLkUp.tbl[Num],MATCH(AH$3,mthLkUp.tbl[Month],0)),1,0)</f>
        <v>0</v>
      </c>
      <c r="AI97" s="6">
        <f ca="1">IF(MONTH(sim.tbl[[#This Row],[SDate]])=INDEX(mthLkUp.tbl[Num],MATCH(AI$3,mthLkUp.tbl[Month],0)),1,0)</f>
        <v>0</v>
      </c>
      <c r="AJ97" s="6">
        <f ca="1">IF(MONTH(sim.tbl[[#This Row],[SDate]])=INDEX(mthLkUp.tbl[Num],MATCH(AJ$3,mthLkUp.tbl[Month],0)),1,0)</f>
        <v>0</v>
      </c>
      <c r="AK97" s="6">
        <v>1</v>
      </c>
      <c r="AL97" s="5">
        <f>sim.tbl[[#This Row],[Sulf]]*sim.tbl[[#This Row],[C5]]</f>
        <v>0</v>
      </c>
      <c r="AM97" s="5">
        <f>sim.tbl[[#This Row],[Sulf]]*sim.tbl[[#This Row],[Light_LSB]]</f>
        <v>0</v>
      </c>
      <c r="AN97" s="5">
        <f>sim.tbl[[#This Row],[Sulf]]*sim.tbl[[#This Row],[Light_SW]]</f>
        <v>0</v>
      </c>
      <c r="AO97" s="5">
        <f>sim.tbl[[#This Row],[Sulf]]*sim.tbl[[#This Row],[Medium_LSB]]</f>
        <v>1.21</v>
      </c>
      <c r="AP97" s="5">
        <f>sim.tbl[[#This Row],[Sulf]]*sim.tbl[[#This Row],[Medium_SW]]</f>
        <v>0</v>
      </c>
      <c r="AQ97" s="5">
        <f>sim.tbl[[#This Row],[Sulf]]*sim.tbl[[#This Row],[Midale]]</f>
        <v>0</v>
      </c>
      <c r="AR97" s="5">
        <f>sim.tbl[[#This Row],[Sulf]]*sim.tbl[[#This Row],[Heavy_Sour]]</f>
        <v>0</v>
      </c>
      <c r="AS97" s="5">
        <f>sim.tbl[[#This Row],[Sulf]]*sim.tbl[[#This Row],[Heavy_SW]]</f>
        <v>0</v>
      </c>
      <c r="AT97" s="5">
        <f>sim.tbl[[#This Row],[Dens]]*sim.tbl[[#This Row],[C5]]</f>
        <v>0</v>
      </c>
      <c r="AU97" s="5">
        <f>sim.tbl[[#This Row],[Dens]]*sim.tbl[[#This Row],[Light_LSB]]</f>
        <v>0</v>
      </c>
      <c r="AV97" s="5">
        <f>sim.tbl[[#This Row],[Dens]]*sim.tbl[[#This Row],[Light_SW]]</f>
        <v>0</v>
      </c>
      <c r="AW97" s="5">
        <f>sim.tbl[[#This Row],[Dens]]*sim.tbl[[#This Row],[Medium_LSB]]</f>
        <v>852.3</v>
      </c>
      <c r="AX97" s="5">
        <f>sim.tbl[[#This Row],[Dens]]*sim.tbl[[#This Row],[Medium_SW]]</f>
        <v>0</v>
      </c>
      <c r="AY97" s="5">
        <f>sim.tbl[[#This Row],[Dens]]*sim.tbl[[#This Row],[Midale]]</f>
        <v>0</v>
      </c>
      <c r="AZ97" s="5">
        <f>sim.tbl[[#This Row],[Dens]]*sim.tbl[[#This Row],[Heavy_Sour]]</f>
        <v>0</v>
      </c>
      <c r="BA97" s="5">
        <f>sim.tbl[[#This Row],[Dens]]*sim.tbl[[#This Row],[Heavy_SW]]</f>
        <v>0</v>
      </c>
      <c r="BB97" s="5">
        <f>sim.tbl[[#This Row],[Temp.Roll]]*sim.tbl[[#This Row],[C5]]</f>
        <v>0</v>
      </c>
      <c r="BC97" s="5">
        <f>sim.tbl[[#This Row],[Temp.Roll]]*sim.tbl[[#This Row],[Light_LSB]]</f>
        <v>0</v>
      </c>
      <c r="BD97" s="5">
        <f>sim.tbl[[#This Row],[Temp.Roll]]*sim.tbl[[#This Row],[Light_SW]]</f>
        <v>0</v>
      </c>
      <c r="BE97" s="5">
        <f>sim.tbl[[#This Row],[Temp.Roll]]*sim.tbl[[#This Row],[Medium_LSB]]</f>
        <v>-12.8</v>
      </c>
      <c r="BF97" s="5">
        <f>sim.tbl[[#This Row],[Temp.Roll]]*sim.tbl[[#This Row],[Medium_SW]]</f>
        <v>0</v>
      </c>
      <c r="BG97" s="5">
        <f>sim.tbl[[#This Row],[Temp.Roll]]*sim.tbl[[#This Row],[Midale]]</f>
        <v>0</v>
      </c>
      <c r="BH97" s="5">
        <f>sim.tbl[[#This Row],[Temp.Roll]]*sim.tbl[[#This Row],[Heavy_Sour]]</f>
        <v>0</v>
      </c>
      <c r="BI97" s="5">
        <f>sim.tbl[[#This Row],[Temp.Roll]]*sim.tbl[[#This Row],[Heavy_SW]]</f>
        <v>0</v>
      </c>
    </row>
    <row r="98" spans="4:61" x14ac:dyDescent="0.25">
      <c r="D98" s="5">
        <f ca="1">SUMPRODUCT($F$1:$BI$1,sim.tbl[[#This Row],[Intercept]:[Temp.Roll:Heavy_SW]])</f>
        <v>71.445833801832805</v>
      </c>
      <c r="E98" s="14">
        <f ca="1">DATE(YEAR(TODAY()),INDEX(mthLkUp.tbl[Num],MATCH(mth.input,mthLkUp.tbl[Month],0)),1)</f>
        <v>42795</v>
      </c>
      <c r="F98" s="6">
        <f>1</f>
        <v>1</v>
      </c>
      <c r="G98" s="5">
        <v>1.41</v>
      </c>
      <c r="H98" s="5">
        <v>853.5</v>
      </c>
      <c r="I98" s="5">
        <v>8.9833333329999991</v>
      </c>
      <c r="J98" s="5">
        <v>9.4</v>
      </c>
      <c r="K98" s="5">
        <v>9.9</v>
      </c>
      <c r="L98" s="5">
        <v>9.4</v>
      </c>
      <c r="M98" s="5">
        <v>8.8000000000000007</v>
      </c>
      <c r="N98" s="5">
        <v>9</v>
      </c>
      <c r="O98" s="5">
        <v>9</v>
      </c>
      <c r="P98" s="5">
        <v>7.8</v>
      </c>
      <c r="Q98" s="6">
        <f>IF(sim.tbl[[#This Row],[Dens]]&lt;=770,1,0)</f>
        <v>0</v>
      </c>
      <c r="R98" s="6">
        <f>IF(AND(sim.tbl[[#This Row],[Sulf]]&gt;0.5,sim.tbl[[#This Row],[Dens]]&gt;770,sim.tbl[[#This Row],[Dens]]&lt;=825),1,0)</f>
        <v>0</v>
      </c>
      <c r="S98" s="6">
        <f>IF(AND(sim.tbl[[#This Row],[Sulf]]&lt;=0.5,sim.tbl[[#This Row],[Dens]]&gt;770,sim.tbl[[#This Row],[Dens]]&lt;=825),1,0)</f>
        <v>0</v>
      </c>
      <c r="T98" s="6">
        <f>IF(AND(sim.tbl[[#This Row],[Sulf]]&gt;0.5,sim.tbl[[#This Row],[Dens]]&gt;825,sim.tbl[[#This Row],[Dens]]&lt;=870),1,0)</f>
        <v>1</v>
      </c>
      <c r="U98" s="6">
        <f>IF(AND(sim.tbl[[#This Row],[Sulf]]&lt;0.5,sim.tbl[[#This Row],[Dens]]&gt;825,sim.tbl[[#This Row],[Dens]]&lt;=900),1,0)</f>
        <v>0</v>
      </c>
      <c r="V98" s="6">
        <f>IF(AND(sim.tbl[[#This Row],[Sulf]]&gt;0.5,sim.tbl[[#This Row],[Dens]]&gt;870,sim.tbl[[#This Row],[Dens]]&lt;=900),1,0)</f>
        <v>0</v>
      </c>
      <c r="W98" s="6">
        <f>IF(AND(sim.tbl[[#This Row],[Sulf]]&gt;0.5,sim.tbl[[#This Row],[Dens]]&gt;900),1,0)</f>
        <v>0</v>
      </c>
      <c r="X98" s="6">
        <f>IF(AND(sim.tbl[[#This Row],[Sulf]]&lt;=0.5,sim.tbl[[#This Row],[Dens]]&gt;900),1,0)</f>
        <v>0</v>
      </c>
      <c r="Y98" s="6">
        <f ca="1">IF(MONTH(sim.tbl[[#This Row],[SDate]])=INDEX(mthLkUp.tbl[Num],MATCH(Y$3,mthLkUp.tbl[Month],0)),1,0)</f>
        <v>0</v>
      </c>
      <c r="Z98" s="6">
        <f ca="1">IF(MONTH(sim.tbl[[#This Row],[SDate]])=INDEX(mthLkUp.tbl[Num],MATCH(Z$3,mthLkUp.tbl[Month],0)),1,0)</f>
        <v>0</v>
      </c>
      <c r="AA98" s="6">
        <f ca="1">IF(MONTH(sim.tbl[[#This Row],[SDate]])=INDEX(mthLkUp.tbl[Num],MATCH(AA$3,mthLkUp.tbl[Month],0)),1,0)</f>
        <v>1</v>
      </c>
      <c r="AB98" s="6">
        <f ca="1">IF(MONTH(sim.tbl[[#This Row],[SDate]])=INDEX(mthLkUp.tbl[Num],MATCH(AB$3,mthLkUp.tbl[Month],0)),1,0)</f>
        <v>0</v>
      </c>
      <c r="AC98" s="6">
        <f ca="1">IF(MONTH(sim.tbl[[#This Row],[SDate]])=INDEX(mthLkUp.tbl[Num],MATCH(AC$3,mthLkUp.tbl[Month],0)),1,0)</f>
        <v>0</v>
      </c>
      <c r="AD98" s="6">
        <f ca="1">IF(MONTH(sim.tbl[[#This Row],[SDate]])=INDEX(mthLkUp.tbl[Num],MATCH(AD$3,mthLkUp.tbl[Month],0)),1,0)</f>
        <v>0</v>
      </c>
      <c r="AE98" s="6">
        <f ca="1">IF(MONTH(sim.tbl[[#This Row],[SDate]])=INDEX(mthLkUp.tbl[Num],MATCH(AE$3,mthLkUp.tbl[Month],0)),1,0)</f>
        <v>0</v>
      </c>
      <c r="AF98" s="6">
        <f ca="1">IF(MONTH(sim.tbl[[#This Row],[SDate]])=INDEX(mthLkUp.tbl[Num],MATCH(AF$3,mthLkUp.tbl[Month],0)),1,0)</f>
        <v>0</v>
      </c>
      <c r="AG98" s="6">
        <f ca="1">IF(MONTH(sim.tbl[[#This Row],[SDate]])=INDEX(mthLkUp.tbl[Num],MATCH(AG$3,mthLkUp.tbl[Month],0)),1,0)</f>
        <v>0</v>
      </c>
      <c r="AH98" s="6">
        <f ca="1">IF(MONTH(sim.tbl[[#This Row],[SDate]])=INDEX(mthLkUp.tbl[Num],MATCH(AH$3,mthLkUp.tbl[Month],0)),1,0)</f>
        <v>0</v>
      </c>
      <c r="AI98" s="6">
        <f ca="1">IF(MONTH(sim.tbl[[#This Row],[SDate]])=INDEX(mthLkUp.tbl[Num],MATCH(AI$3,mthLkUp.tbl[Month],0)),1,0)</f>
        <v>0</v>
      </c>
      <c r="AJ98" s="6">
        <f ca="1">IF(MONTH(sim.tbl[[#This Row],[SDate]])=INDEX(mthLkUp.tbl[Num],MATCH(AJ$3,mthLkUp.tbl[Month],0)),1,0)</f>
        <v>0</v>
      </c>
      <c r="AK98" s="6">
        <v>1</v>
      </c>
      <c r="AL98" s="5">
        <f>sim.tbl[[#This Row],[Sulf]]*sim.tbl[[#This Row],[C5]]</f>
        <v>0</v>
      </c>
      <c r="AM98" s="5">
        <f>sim.tbl[[#This Row],[Sulf]]*sim.tbl[[#This Row],[Light_LSB]]</f>
        <v>0</v>
      </c>
      <c r="AN98" s="5">
        <f>sim.tbl[[#This Row],[Sulf]]*sim.tbl[[#This Row],[Light_SW]]</f>
        <v>0</v>
      </c>
      <c r="AO98" s="5">
        <f>sim.tbl[[#This Row],[Sulf]]*sim.tbl[[#This Row],[Medium_LSB]]</f>
        <v>1.41</v>
      </c>
      <c r="AP98" s="5">
        <f>sim.tbl[[#This Row],[Sulf]]*sim.tbl[[#This Row],[Medium_SW]]</f>
        <v>0</v>
      </c>
      <c r="AQ98" s="5">
        <f>sim.tbl[[#This Row],[Sulf]]*sim.tbl[[#This Row],[Midale]]</f>
        <v>0</v>
      </c>
      <c r="AR98" s="5">
        <f>sim.tbl[[#This Row],[Sulf]]*sim.tbl[[#This Row],[Heavy_Sour]]</f>
        <v>0</v>
      </c>
      <c r="AS98" s="5">
        <f>sim.tbl[[#This Row],[Sulf]]*sim.tbl[[#This Row],[Heavy_SW]]</f>
        <v>0</v>
      </c>
      <c r="AT98" s="5">
        <f>sim.tbl[[#This Row],[Dens]]*sim.tbl[[#This Row],[C5]]</f>
        <v>0</v>
      </c>
      <c r="AU98" s="5">
        <f>sim.tbl[[#This Row],[Dens]]*sim.tbl[[#This Row],[Light_LSB]]</f>
        <v>0</v>
      </c>
      <c r="AV98" s="5">
        <f>sim.tbl[[#This Row],[Dens]]*sim.tbl[[#This Row],[Light_SW]]</f>
        <v>0</v>
      </c>
      <c r="AW98" s="5">
        <f>sim.tbl[[#This Row],[Dens]]*sim.tbl[[#This Row],[Medium_LSB]]</f>
        <v>853.5</v>
      </c>
      <c r="AX98" s="5">
        <f>sim.tbl[[#This Row],[Dens]]*sim.tbl[[#This Row],[Medium_SW]]</f>
        <v>0</v>
      </c>
      <c r="AY98" s="5">
        <f>sim.tbl[[#This Row],[Dens]]*sim.tbl[[#This Row],[Midale]]</f>
        <v>0</v>
      </c>
      <c r="AZ98" s="5">
        <f>sim.tbl[[#This Row],[Dens]]*sim.tbl[[#This Row],[Heavy_Sour]]</f>
        <v>0</v>
      </c>
      <c r="BA98" s="5">
        <f>sim.tbl[[#This Row],[Dens]]*sim.tbl[[#This Row],[Heavy_SW]]</f>
        <v>0</v>
      </c>
      <c r="BB98" s="5">
        <f>sim.tbl[[#This Row],[Temp.Roll]]*sim.tbl[[#This Row],[C5]]</f>
        <v>0</v>
      </c>
      <c r="BC98" s="5">
        <f>sim.tbl[[#This Row],[Temp.Roll]]*sim.tbl[[#This Row],[Light_LSB]]</f>
        <v>0</v>
      </c>
      <c r="BD98" s="5">
        <f>sim.tbl[[#This Row],[Temp.Roll]]*sim.tbl[[#This Row],[Light_SW]]</f>
        <v>0</v>
      </c>
      <c r="BE98" s="5">
        <f>sim.tbl[[#This Row],[Temp.Roll]]*sim.tbl[[#This Row],[Medium_LSB]]</f>
        <v>9.4</v>
      </c>
      <c r="BF98" s="5">
        <f>sim.tbl[[#This Row],[Temp.Roll]]*sim.tbl[[#This Row],[Medium_SW]]</f>
        <v>0</v>
      </c>
      <c r="BG98" s="5">
        <f>sim.tbl[[#This Row],[Temp.Roll]]*sim.tbl[[#This Row],[Midale]]</f>
        <v>0</v>
      </c>
      <c r="BH98" s="5">
        <f>sim.tbl[[#This Row],[Temp.Roll]]*sim.tbl[[#This Row],[Heavy_Sour]]</f>
        <v>0</v>
      </c>
      <c r="BI98" s="5">
        <f>sim.tbl[[#This Row],[Temp.Roll]]*sim.tbl[[#This Row],[Heavy_SW]]</f>
        <v>0</v>
      </c>
    </row>
    <row r="99" spans="4:61" x14ac:dyDescent="0.25">
      <c r="D99" s="5">
        <f ca="1">SUMPRODUCT($F$1:$BI$1,sim.tbl[[#This Row],[Intercept]:[Temp.Roll:Heavy_SW]])</f>
        <v>79.568238386786504</v>
      </c>
      <c r="E99" s="14">
        <f ca="1">DATE(YEAR(TODAY()),INDEX(mthLkUp.tbl[Num],MATCH(mth.input,mthLkUp.tbl[Month],0)),1)</f>
        <v>42795</v>
      </c>
      <c r="F99" s="6">
        <f>1</f>
        <v>1</v>
      </c>
      <c r="G99" s="5">
        <v>1.181</v>
      </c>
      <c r="H99" s="5">
        <v>839</v>
      </c>
      <c r="I99" s="5">
        <v>-8.3333332999999996E-2</v>
      </c>
      <c r="J99" s="5">
        <v>-1.1000000000000001</v>
      </c>
      <c r="K99" s="5">
        <v>-0.8</v>
      </c>
      <c r="L99" s="5">
        <v>-1.1000000000000001</v>
      </c>
      <c r="M99" s="5">
        <v>0</v>
      </c>
      <c r="N99" s="5">
        <v>2.8</v>
      </c>
      <c r="O99" s="5">
        <v>-0.3</v>
      </c>
      <c r="P99" s="5">
        <v>-1.1000000000000001</v>
      </c>
      <c r="Q99" s="6">
        <f>IF(sim.tbl[[#This Row],[Dens]]&lt;=770,1,0)</f>
        <v>0</v>
      </c>
      <c r="R99" s="6">
        <f>IF(AND(sim.tbl[[#This Row],[Sulf]]&gt;0.5,sim.tbl[[#This Row],[Dens]]&gt;770,sim.tbl[[#This Row],[Dens]]&lt;=825),1,0)</f>
        <v>0</v>
      </c>
      <c r="S99" s="6">
        <f>IF(AND(sim.tbl[[#This Row],[Sulf]]&lt;=0.5,sim.tbl[[#This Row],[Dens]]&gt;770,sim.tbl[[#This Row],[Dens]]&lt;=825),1,0)</f>
        <v>0</v>
      </c>
      <c r="T99" s="6">
        <f>IF(AND(sim.tbl[[#This Row],[Sulf]]&gt;0.5,sim.tbl[[#This Row],[Dens]]&gt;825,sim.tbl[[#This Row],[Dens]]&lt;=870),1,0)</f>
        <v>1</v>
      </c>
      <c r="U99" s="6">
        <f>IF(AND(sim.tbl[[#This Row],[Sulf]]&lt;0.5,sim.tbl[[#This Row],[Dens]]&gt;825,sim.tbl[[#This Row],[Dens]]&lt;=900),1,0)</f>
        <v>0</v>
      </c>
      <c r="V99" s="6">
        <f>IF(AND(sim.tbl[[#This Row],[Sulf]]&gt;0.5,sim.tbl[[#This Row],[Dens]]&gt;870,sim.tbl[[#This Row],[Dens]]&lt;=900),1,0)</f>
        <v>0</v>
      </c>
      <c r="W99" s="6">
        <f>IF(AND(sim.tbl[[#This Row],[Sulf]]&gt;0.5,sim.tbl[[#This Row],[Dens]]&gt;900),1,0)</f>
        <v>0</v>
      </c>
      <c r="X99" s="6">
        <f>IF(AND(sim.tbl[[#This Row],[Sulf]]&lt;=0.5,sim.tbl[[#This Row],[Dens]]&gt;900),1,0)</f>
        <v>0</v>
      </c>
      <c r="Y99" s="6">
        <f ca="1">IF(MONTH(sim.tbl[[#This Row],[SDate]])=INDEX(mthLkUp.tbl[Num],MATCH(Y$3,mthLkUp.tbl[Month],0)),1,0)</f>
        <v>0</v>
      </c>
      <c r="Z99" s="6">
        <f ca="1">IF(MONTH(sim.tbl[[#This Row],[SDate]])=INDEX(mthLkUp.tbl[Num],MATCH(Z$3,mthLkUp.tbl[Month],0)),1,0)</f>
        <v>0</v>
      </c>
      <c r="AA99" s="6">
        <f ca="1">IF(MONTH(sim.tbl[[#This Row],[SDate]])=INDEX(mthLkUp.tbl[Num],MATCH(AA$3,mthLkUp.tbl[Month],0)),1,0)</f>
        <v>1</v>
      </c>
      <c r="AB99" s="6">
        <f ca="1">IF(MONTH(sim.tbl[[#This Row],[SDate]])=INDEX(mthLkUp.tbl[Num],MATCH(AB$3,mthLkUp.tbl[Month],0)),1,0)</f>
        <v>0</v>
      </c>
      <c r="AC99" s="6">
        <f ca="1">IF(MONTH(sim.tbl[[#This Row],[SDate]])=INDEX(mthLkUp.tbl[Num],MATCH(AC$3,mthLkUp.tbl[Month],0)),1,0)</f>
        <v>0</v>
      </c>
      <c r="AD99" s="6">
        <f ca="1">IF(MONTH(sim.tbl[[#This Row],[SDate]])=INDEX(mthLkUp.tbl[Num],MATCH(AD$3,mthLkUp.tbl[Month],0)),1,0)</f>
        <v>0</v>
      </c>
      <c r="AE99" s="6">
        <f ca="1">IF(MONTH(sim.tbl[[#This Row],[SDate]])=INDEX(mthLkUp.tbl[Num],MATCH(AE$3,mthLkUp.tbl[Month],0)),1,0)</f>
        <v>0</v>
      </c>
      <c r="AF99" s="6">
        <f ca="1">IF(MONTH(sim.tbl[[#This Row],[SDate]])=INDEX(mthLkUp.tbl[Num],MATCH(AF$3,mthLkUp.tbl[Month],0)),1,0)</f>
        <v>0</v>
      </c>
      <c r="AG99" s="6">
        <f ca="1">IF(MONTH(sim.tbl[[#This Row],[SDate]])=INDEX(mthLkUp.tbl[Num],MATCH(AG$3,mthLkUp.tbl[Month],0)),1,0)</f>
        <v>0</v>
      </c>
      <c r="AH99" s="6">
        <f ca="1">IF(MONTH(sim.tbl[[#This Row],[SDate]])=INDEX(mthLkUp.tbl[Num],MATCH(AH$3,mthLkUp.tbl[Month],0)),1,0)</f>
        <v>0</v>
      </c>
      <c r="AI99" s="6">
        <f ca="1">IF(MONTH(sim.tbl[[#This Row],[SDate]])=INDEX(mthLkUp.tbl[Num],MATCH(AI$3,mthLkUp.tbl[Month],0)),1,0)</f>
        <v>0</v>
      </c>
      <c r="AJ99" s="6">
        <f ca="1">IF(MONTH(sim.tbl[[#This Row],[SDate]])=INDEX(mthLkUp.tbl[Num],MATCH(AJ$3,mthLkUp.tbl[Month],0)),1,0)</f>
        <v>0</v>
      </c>
      <c r="AK99" s="6">
        <v>1</v>
      </c>
      <c r="AL99" s="5">
        <f>sim.tbl[[#This Row],[Sulf]]*sim.tbl[[#This Row],[C5]]</f>
        <v>0</v>
      </c>
      <c r="AM99" s="5">
        <f>sim.tbl[[#This Row],[Sulf]]*sim.tbl[[#This Row],[Light_LSB]]</f>
        <v>0</v>
      </c>
      <c r="AN99" s="5">
        <f>sim.tbl[[#This Row],[Sulf]]*sim.tbl[[#This Row],[Light_SW]]</f>
        <v>0</v>
      </c>
      <c r="AO99" s="5">
        <f>sim.tbl[[#This Row],[Sulf]]*sim.tbl[[#This Row],[Medium_LSB]]</f>
        <v>1.181</v>
      </c>
      <c r="AP99" s="5">
        <f>sim.tbl[[#This Row],[Sulf]]*sim.tbl[[#This Row],[Medium_SW]]</f>
        <v>0</v>
      </c>
      <c r="AQ99" s="5">
        <f>sim.tbl[[#This Row],[Sulf]]*sim.tbl[[#This Row],[Midale]]</f>
        <v>0</v>
      </c>
      <c r="AR99" s="5">
        <f>sim.tbl[[#This Row],[Sulf]]*sim.tbl[[#This Row],[Heavy_Sour]]</f>
        <v>0</v>
      </c>
      <c r="AS99" s="5">
        <f>sim.tbl[[#This Row],[Sulf]]*sim.tbl[[#This Row],[Heavy_SW]]</f>
        <v>0</v>
      </c>
      <c r="AT99" s="5">
        <f>sim.tbl[[#This Row],[Dens]]*sim.tbl[[#This Row],[C5]]</f>
        <v>0</v>
      </c>
      <c r="AU99" s="5">
        <f>sim.tbl[[#This Row],[Dens]]*sim.tbl[[#This Row],[Light_LSB]]</f>
        <v>0</v>
      </c>
      <c r="AV99" s="5">
        <f>sim.tbl[[#This Row],[Dens]]*sim.tbl[[#This Row],[Light_SW]]</f>
        <v>0</v>
      </c>
      <c r="AW99" s="5">
        <f>sim.tbl[[#This Row],[Dens]]*sim.tbl[[#This Row],[Medium_LSB]]</f>
        <v>839</v>
      </c>
      <c r="AX99" s="5">
        <f>sim.tbl[[#This Row],[Dens]]*sim.tbl[[#This Row],[Medium_SW]]</f>
        <v>0</v>
      </c>
      <c r="AY99" s="5">
        <f>sim.tbl[[#This Row],[Dens]]*sim.tbl[[#This Row],[Midale]]</f>
        <v>0</v>
      </c>
      <c r="AZ99" s="5">
        <f>sim.tbl[[#This Row],[Dens]]*sim.tbl[[#This Row],[Heavy_Sour]]</f>
        <v>0</v>
      </c>
      <c r="BA99" s="5">
        <f>sim.tbl[[#This Row],[Dens]]*sim.tbl[[#This Row],[Heavy_SW]]</f>
        <v>0</v>
      </c>
      <c r="BB99" s="5">
        <f>sim.tbl[[#This Row],[Temp.Roll]]*sim.tbl[[#This Row],[C5]]</f>
        <v>0</v>
      </c>
      <c r="BC99" s="5">
        <f>sim.tbl[[#This Row],[Temp.Roll]]*sim.tbl[[#This Row],[Light_LSB]]</f>
        <v>0</v>
      </c>
      <c r="BD99" s="5">
        <f>sim.tbl[[#This Row],[Temp.Roll]]*sim.tbl[[#This Row],[Light_SW]]</f>
        <v>0</v>
      </c>
      <c r="BE99" s="5">
        <f>sim.tbl[[#This Row],[Temp.Roll]]*sim.tbl[[#This Row],[Medium_LSB]]</f>
        <v>-1.1000000000000001</v>
      </c>
      <c r="BF99" s="5">
        <f>sim.tbl[[#This Row],[Temp.Roll]]*sim.tbl[[#This Row],[Medium_SW]]</f>
        <v>0</v>
      </c>
      <c r="BG99" s="5">
        <f>sim.tbl[[#This Row],[Temp.Roll]]*sim.tbl[[#This Row],[Midale]]</f>
        <v>0</v>
      </c>
      <c r="BH99" s="5">
        <f>sim.tbl[[#This Row],[Temp.Roll]]*sim.tbl[[#This Row],[Heavy_Sour]]</f>
        <v>0</v>
      </c>
      <c r="BI99" s="5">
        <f>sim.tbl[[#This Row],[Temp.Roll]]*sim.tbl[[#This Row],[Heavy_SW]]</f>
        <v>0</v>
      </c>
    </row>
    <row r="100" spans="4:61" x14ac:dyDescent="0.25">
      <c r="D100" s="5">
        <f ca="1">SUMPRODUCT($F$1:$BI$1,sim.tbl[[#This Row],[Intercept]:[Temp.Roll:Heavy_SW]])</f>
        <v>76.912621277480298</v>
      </c>
      <c r="E100" s="14">
        <f ca="1">DATE(YEAR(TODAY()),INDEX(mthLkUp.tbl[Num],MATCH(mth.input,mthLkUp.tbl[Month],0)),1)</f>
        <v>42795</v>
      </c>
      <c r="F100" s="6">
        <f>1</f>
        <v>1</v>
      </c>
      <c r="G100" s="5">
        <v>1.1259999999999999</v>
      </c>
      <c r="H100" s="5">
        <v>839.7</v>
      </c>
      <c r="I100" s="5">
        <v>6.3166666669999998</v>
      </c>
      <c r="J100" s="5">
        <v>5.7</v>
      </c>
      <c r="K100" s="5">
        <v>5.9</v>
      </c>
      <c r="L100" s="5">
        <v>5.7</v>
      </c>
      <c r="M100" s="5">
        <v>6.8</v>
      </c>
      <c r="N100" s="5">
        <v>6</v>
      </c>
      <c r="O100" s="5">
        <v>7.5</v>
      </c>
      <c r="P100" s="5">
        <v>6</v>
      </c>
      <c r="Q100" s="6">
        <f>IF(sim.tbl[[#This Row],[Dens]]&lt;=770,1,0)</f>
        <v>0</v>
      </c>
      <c r="R100" s="6">
        <f>IF(AND(sim.tbl[[#This Row],[Sulf]]&gt;0.5,sim.tbl[[#This Row],[Dens]]&gt;770,sim.tbl[[#This Row],[Dens]]&lt;=825),1,0)</f>
        <v>0</v>
      </c>
      <c r="S100" s="6">
        <f>IF(AND(sim.tbl[[#This Row],[Sulf]]&lt;=0.5,sim.tbl[[#This Row],[Dens]]&gt;770,sim.tbl[[#This Row],[Dens]]&lt;=825),1,0)</f>
        <v>0</v>
      </c>
      <c r="T100" s="6">
        <f>IF(AND(sim.tbl[[#This Row],[Sulf]]&gt;0.5,sim.tbl[[#This Row],[Dens]]&gt;825,sim.tbl[[#This Row],[Dens]]&lt;=870),1,0)</f>
        <v>1</v>
      </c>
      <c r="U100" s="6">
        <f>IF(AND(sim.tbl[[#This Row],[Sulf]]&lt;0.5,sim.tbl[[#This Row],[Dens]]&gt;825,sim.tbl[[#This Row],[Dens]]&lt;=900),1,0)</f>
        <v>0</v>
      </c>
      <c r="V100" s="6">
        <f>IF(AND(sim.tbl[[#This Row],[Sulf]]&gt;0.5,sim.tbl[[#This Row],[Dens]]&gt;870,sim.tbl[[#This Row],[Dens]]&lt;=900),1,0)</f>
        <v>0</v>
      </c>
      <c r="W100" s="6">
        <f>IF(AND(sim.tbl[[#This Row],[Sulf]]&gt;0.5,sim.tbl[[#This Row],[Dens]]&gt;900),1,0)</f>
        <v>0</v>
      </c>
      <c r="X100" s="6">
        <f>IF(AND(sim.tbl[[#This Row],[Sulf]]&lt;=0.5,sim.tbl[[#This Row],[Dens]]&gt;900),1,0)</f>
        <v>0</v>
      </c>
      <c r="Y100" s="6">
        <f ca="1">IF(MONTH(sim.tbl[[#This Row],[SDate]])=INDEX(mthLkUp.tbl[Num],MATCH(Y$3,mthLkUp.tbl[Month],0)),1,0)</f>
        <v>0</v>
      </c>
      <c r="Z100" s="6">
        <f ca="1">IF(MONTH(sim.tbl[[#This Row],[SDate]])=INDEX(mthLkUp.tbl[Num],MATCH(Z$3,mthLkUp.tbl[Month],0)),1,0)</f>
        <v>0</v>
      </c>
      <c r="AA100" s="6">
        <f ca="1">IF(MONTH(sim.tbl[[#This Row],[SDate]])=INDEX(mthLkUp.tbl[Num],MATCH(AA$3,mthLkUp.tbl[Month],0)),1,0)</f>
        <v>1</v>
      </c>
      <c r="AB100" s="6">
        <f ca="1">IF(MONTH(sim.tbl[[#This Row],[SDate]])=INDEX(mthLkUp.tbl[Num],MATCH(AB$3,mthLkUp.tbl[Month],0)),1,0)</f>
        <v>0</v>
      </c>
      <c r="AC100" s="6">
        <f ca="1">IF(MONTH(sim.tbl[[#This Row],[SDate]])=INDEX(mthLkUp.tbl[Num],MATCH(AC$3,mthLkUp.tbl[Month],0)),1,0)</f>
        <v>0</v>
      </c>
      <c r="AD100" s="6">
        <f ca="1">IF(MONTH(sim.tbl[[#This Row],[SDate]])=INDEX(mthLkUp.tbl[Num],MATCH(AD$3,mthLkUp.tbl[Month],0)),1,0)</f>
        <v>0</v>
      </c>
      <c r="AE100" s="6">
        <f ca="1">IF(MONTH(sim.tbl[[#This Row],[SDate]])=INDEX(mthLkUp.tbl[Num],MATCH(AE$3,mthLkUp.tbl[Month],0)),1,0)</f>
        <v>0</v>
      </c>
      <c r="AF100" s="6">
        <f ca="1">IF(MONTH(sim.tbl[[#This Row],[SDate]])=INDEX(mthLkUp.tbl[Num],MATCH(AF$3,mthLkUp.tbl[Month],0)),1,0)</f>
        <v>0</v>
      </c>
      <c r="AG100" s="6">
        <f ca="1">IF(MONTH(sim.tbl[[#This Row],[SDate]])=INDEX(mthLkUp.tbl[Num],MATCH(AG$3,mthLkUp.tbl[Month],0)),1,0)</f>
        <v>0</v>
      </c>
      <c r="AH100" s="6">
        <f ca="1">IF(MONTH(sim.tbl[[#This Row],[SDate]])=INDEX(mthLkUp.tbl[Num],MATCH(AH$3,mthLkUp.tbl[Month],0)),1,0)</f>
        <v>0</v>
      </c>
      <c r="AI100" s="6">
        <f ca="1">IF(MONTH(sim.tbl[[#This Row],[SDate]])=INDEX(mthLkUp.tbl[Num],MATCH(AI$3,mthLkUp.tbl[Month],0)),1,0)</f>
        <v>0</v>
      </c>
      <c r="AJ100" s="6">
        <f ca="1">IF(MONTH(sim.tbl[[#This Row],[SDate]])=INDEX(mthLkUp.tbl[Num],MATCH(AJ$3,mthLkUp.tbl[Month],0)),1,0)</f>
        <v>0</v>
      </c>
      <c r="AK100" s="6">
        <v>1</v>
      </c>
      <c r="AL100" s="5">
        <f>sim.tbl[[#This Row],[Sulf]]*sim.tbl[[#This Row],[C5]]</f>
        <v>0</v>
      </c>
      <c r="AM100" s="5">
        <f>sim.tbl[[#This Row],[Sulf]]*sim.tbl[[#This Row],[Light_LSB]]</f>
        <v>0</v>
      </c>
      <c r="AN100" s="5">
        <f>sim.tbl[[#This Row],[Sulf]]*sim.tbl[[#This Row],[Light_SW]]</f>
        <v>0</v>
      </c>
      <c r="AO100" s="5">
        <f>sim.tbl[[#This Row],[Sulf]]*sim.tbl[[#This Row],[Medium_LSB]]</f>
        <v>1.1259999999999999</v>
      </c>
      <c r="AP100" s="5">
        <f>sim.tbl[[#This Row],[Sulf]]*sim.tbl[[#This Row],[Medium_SW]]</f>
        <v>0</v>
      </c>
      <c r="AQ100" s="5">
        <f>sim.tbl[[#This Row],[Sulf]]*sim.tbl[[#This Row],[Midale]]</f>
        <v>0</v>
      </c>
      <c r="AR100" s="5">
        <f>sim.tbl[[#This Row],[Sulf]]*sim.tbl[[#This Row],[Heavy_Sour]]</f>
        <v>0</v>
      </c>
      <c r="AS100" s="5">
        <f>sim.tbl[[#This Row],[Sulf]]*sim.tbl[[#This Row],[Heavy_SW]]</f>
        <v>0</v>
      </c>
      <c r="AT100" s="5">
        <f>sim.tbl[[#This Row],[Dens]]*sim.tbl[[#This Row],[C5]]</f>
        <v>0</v>
      </c>
      <c r="AU100" s="5">
        <f>sim.tbl[[#This Row],[Dens]]*sim.tbl[[#This Row],[Light_LSB]]</f>
        <v>0</v>
      </c>
      <c r="AV100" s="5">
        <f>sim.tbl[[#This Row],[Dens]]*sim.tbl[[#This Row],[Light_SW]]</f>
        <v>0</v>
      </c>
      <c r="AW100" s="5">
        <f>sim.tbl[[#This Row],[Dens]]*sim.tbl[[#This Row],[Medium_LSB]]</f>
        <v>839.7</v>
      </c>
      <c r="AX100" s="5">
        <f>sim.tbl[[#This Row],[Dens]]*sim.tbl[[#This Row],[Medium_SW]]</f>
        <v>0</v>
      </c>
      <c r="AY100" s="5">
        <f>sim.tbl[[#This Row],[Dens]]*sim.tbl[[#This Row],[Midale]]</f>
        <v>0</v>
      </c>
      <c r="AZ100" s="5">
        <f>sim.tbl[[#This Row],[Dens]]*sim.tbl[[#This Row],[Heavy_Sour]]</f>
        <v>0</v>
      </c>
      <c r="BA100" s="5">
        <f>sim.tbl[[#This Row],[Dens]]*sim.tbl[[#This Row],[Heavy_SW]]</f>
        <v>0</v>
      </c>
      <c r="BB100" s="5">
        <f>sim.tbl[[#This Row],[Temp.Roll]]*sim.tbl[[#This Row],[C5]]</f>
        <v>0</v>
      </c>
      <c r="BC100" s="5">
        <f>sim.tbl[[#This Row],[Temp.Roll]]*sim.tbl[[#This Row],[Light_LSB]]</f>
        <v>0</v>
      </c>
      <c r="BD100" s="5">
        <f>sim.tbl[[#This Row],[Temp.Roll]]*sim.tbl[[#This Row],[Light_SW]]</f>
        <v>0</v>
      </c>
      <c r="BE100" s="5">
        <f>sim.tbl[[#This Row],[Temp.Roll]]*sim.tbl[[#This Row],[Medium_LSB]]</f>
        <v>5.7</v>
      </c>
      <c r="BF100" s="5">
        <f>sim.tbl[[#This Row],[Temp.Roll]]*sim.tbl[[#This Row],[Medium_SW]]</f>
        <v>0</v>
      </c>
      <c r="BG100" s="5">
        <f>sim.tbl[[#This Row],[Temp.Roll]]*sim.tbl[[#This Row],[Midale]]</f>
        <v>0</v>
      </c>
      <c r="BH100" s="5">
        <f>sim.tbl[[#This Row],[Temp.Roll]]*sim.tbl[[#This Row],[Heavy_Sour]]</f>
        <v>0</v>
      </c>
      <c r="BI100" s="5">
        <f>sim.tbl[[#This Row],[Temp.Roll]]*sim.tbl[[#This Row],[Heavy_SW]]</f>
        <v>0</v>
      </c>
    </row>
    <row r="101" spans="4:61" x14ac:dyDescent="0.25">
      <c r="D101" s="5">
        <f ca="1">SUMPRODUCT($F$1:$BI$1,sim.tbl[[#This Row],[Intercept]:[Temp.Roll:Heavy_SW]])</f>
        <v>85.754621464650114</v>
      </c>
      <c r="E101" s="14">
        <f ca="1">DATE(YEAR(TODAY()),INDEX(mthLkUp.tbl[Num],MATCH(mth.input,mthLkUp.tbl[Month],0)),1)</f>
        <v>42795</v>
      </c>
      <c r="F101" s="6">
        <f>1</f>
        <v>1</v>
      </c>
      <c r="G101" s="5">
        <v>0.88500000000000001</v>
      </c>
      <c r="H101" s="5">
        <v>823.5</v>
      </c>
      <c r="I101" s="5">
        <v>2.3666666670000001</v>
      </c>
      <c r="J101" s="5">
        <v>2.2000000000000002</v>
      </c>
      <c r="K101" s="5">
        <v>2.1</v>
      </c>
      <c r="L101" s="5">
        <v>2.2000000000000002</v>
      </c>
      <c r="M101" s="5">
        <v>0.5</v>
      </c>
      <c r="N101" s="5">
        <v>1.3</v>
      </c>
      <c r="O101" s="5">
        <v>3.9</v>
      </c>
      <c r="P101" s="5">
        <v>4.2</v>
      </c>
      <c r="Q101" s="6">
        <f>IF(sim.tbl[[#This Row],[Dens]]&lt;=770,1,0)</f>
        <v>0</v>
      </c>
      <c r="R101" s="6">
        <f>IF(AND(sim.tbl[[#This Row],[Sulf]]&gt;0.5,sim.tbl[[#This Row],[Dens]]&gt;770,sim.tbl[[#This Row],[Dens]]&lt;=825),1,0)</f>
        <v>1</v>
      </c>
      <c r="S101" s="6">
        <f>IF(AND(sim.tbl[[#This Row],[Sulf]]&lt;=0.5,sim.tbl[[#This Row],[Dens]]&gt;770,sim.tbl[[#This Row],[Dens]]&lt;=825),1,0)</f>
        <v>0</v>
      </c>
      <c r="T101" s="6">
        <f>IF(AND(sim.tbl[[#This Row],[Sulf]]&gt;0.5,sim.tbl[[#This Row],[Dens]]&gt;825,sim.tbl[[#This Row],[Dens]]&lt;=870),1,0)</f>
        <v>0</v>
      </c>
      <c r="U101" s="6">
        <f>IF(AND(sim.tbl[[#This Row],[Sulf]]&lt;0.5,sim.tbl[[#This Row],[Dens]]&gt;825,sim.tbl[[#This Row],[Dens]]&lt;=900),1,0)</f>
        <v>0</v>
      </c>
      <c r="V101" s="6">
        <f>IF(AND(sim.tbl[[#This Row],[Sulf]]&gt;0.5,sim.tbl[[#This Row],[Dens]]&gt;870,sim.tbl[[#This Row],[Dens]]&lt;=900),1,0)</f>
        <v>0</v>
      </c>
      <c r="W101" s="6">
        <f>IF(AND(sim.tbl[[#This Row],[Sulf]]&gt;0.5,sim.tbl[[#This Row],[Dens]]&gt;900),1,0)</f>
        <v>0</v>
      </c>
      <c r="X101" s="6">
        <f>IF(AND(sim.tbl[[#This Row],[Sulf]]&lt;=0.5,sim.tbl[[#This Row],[Dens]]&gt;900),1,0)</f>
        <v>0</v>
      </c>
      <c r="Y101" s="6">
        <f ca="1">IF(MONTH(sim.tbl[[#This Row],[SDate]])=INDEX(mthLkUp.tbl[Num],MATCH(Y$3,mthLkUp.tbl[Month],0)),1,0)</f>
        <v>0</v>
      </c>
      <c r="Z101" s="6">
        <f ca="1">IF(MONTH(sim.tbl[[#This Row],[SDate]])=INDEX(mthLkUp.tbl[Num],MATCH(Z$3,mthLkUp.tbl[Month],0)),1,0)</f>
        <v>0</v>
      </c>
      <c r="AA101" s="6">
        <f ca="1">IF(MONTH(sim.tbl[[#This Row],[SDate]])=INDEX(mthLkUp.tbl[Num],MATCH(AA$3,mthLkUp.tbl[Month],0)),1,0)</f>
        <v>1</v>
      </c>
      <c r="AB101" s="6">
        <f ca="1">IF(MONTH(sim.tbl[[#This Row],[SDate]])=INDEX(mthLkUp.tbl[Num],MATCH(AB$3,mthLkUp.tbl[Month],0)),1,0)</f>
        <v>0</v>
      </c>
      <c r="AC101" s="6">
        <f ca="1">IF(MONTH(sim.tbl[[#This Row],[SDate]])=INDEX(mthLkUp.tbl[Num],MATCH(AC$3,mthLkUp.tbl[Month],0)),1,0)</f>
        <v>0</v>
      </c>
      <c r="AD101" s="6">
        <f ca="1">IF(MONTH(sim.tbl[[#This Row],[SDate]])=INDEX(mthLkUp.tbl[Num],MATCH(AD$3,mthLkUp.tbl[Month],0)),1,0)</f>
        <v>0</v>
      </c>
      <c r="AE101" s="6">
        <f ca="1">IF(MONTH(sim.tbl[[#This Row],[SDate]])=INDEX(mthLkUp.tbl[Num],MATCH(AE$3,mthLkUp.tbl[Month],0)),1,0)</f>
        <v>0</v>
      </c>
      <c r="AF101" s="6">
        <f ca="1">IF(MONTH(sim.tbl[[#This Row],[SDate]])=INDEX(mthLkUp.tbl[Num],MATCH(AF$3,mthLkUp.tbl[Month],0)),1,0)</f>
        <v>0</v>
      </c>
      <c r="AG101" s="6">
        <f ca="1">IF(MONTH(sim.tbl[[#This Row],[SDate]])=INDEX(mthLkUp.tbl[Num],MATCH(AG$3,mthLkUp.tbl[Month],0)),1,0)</f>
        <v>0</v>
      </c>
      <c r="AH101" s="6">
        <f ca="1">IF(MONTH(sim.tbl[[#This Row],[SDate]])=INDEX(mthLkUp.tbl[Num],MATCH(AH$3,mthLkUp.tbl[Month],0)),1,0)</f>
        <v>0</v>
      </c>
      <c r="AI101" s="6">
        <f ca="1">IF(MONTH(sim.tbl[[#This Row],[SDate]])=INDEX(mthLkUp.tbl[Num],MATCH(AI$3,mthLkUp.tbl[Month],0)),1,0)</f>
        <v>0</v>
      </c>
      <c r="AJ101" s="6">
        <f ca="1">IF(MONTH(sim.tbl[[#This Row],[SDate]])=INDEX(mthLkUp.tbl[Num],MATCH(AJ$3,mthLkUp.tbl[Month],0)),1,0)</f>
        <v>0</v>
      </c>
      <c r="AK101" s="6">
        <v>1</v>
      </c>
      <c r="AL101" s="5">
        <f>sim.tbl[[#This Row],[Sulf]]*sim.tbl[[#This Row],[C5]]</f>
        <v>0</v>
      </c>
      <c r="AM101" s="5">
        <f>sim.tbl[[#This Row],[Sulf]]*sim.tbl[[#This Row],[Light_LSB]]</f>
        <v>0.88500000000000001</v>
      </c>
      <c r="AN101" s="5">
        <f>sim.tbl[[#This Row],[Sulf]]*sim.tbl[[#This Row],[Light_SW]]</f>
        <v>0</v>
      </c>
      <c r="AO101" s="5">
        <f>sim.tbl[[#This Row],[Sulf]]*sim.tbl[[#This Row],[Medium_LSB]]</f>
        <v>0</v>
      </c>
      <c r="AP101" s="5">
        <f>sim.tbl[[#This Row],[Sulf]]*sim.tbl[[#This Row],[Medium_SW]]</f>
        <v>0</v>
      </c>
      <c r="AQ101" s="5">
        <f>sim.tbl[[#This Row],[Sulf]]*sim.tbl[[#This Row],[Midale]]</f>
        <v>0</v>
      </c>
      <c r="AR101" s="5">
        <f>sim.tbl[[#This Row],[Sulf]]*sim.tbl[[#This Row],[Heavy_Sour]]</f>
        <v>0</v>
      </c>
      <c r="AS101" s="5">
        <f>sim.tbl[[#This Row],[Sulf]]*sim.tbl[[#This Row],[Heavy_SW]]</f>
        <v>0</v>
      </c>
      <c r="AT101" s="5">
        <f>sim.tbl[[#This Row],[Dens]]*sim.tbl[[#This Row],[C5]]</f>
        <v>0</v>
      </c>
      <c r="AU101" s="5">
        <f>sim.tbl[[#This Row],[Dens]]*sim.tbl[[#This Row],[Light_LSB]]</f>
        <v>823.5</v>
      </c>
      <c r="AV101" s="5">
        <f>sim.tbl[[#This Row],[Dens]]*sim.tbl[[#This Row],[Light_SW]]</f>
        <v>0</v>
      </c>
      <c r="AW101" s="5">
        <f>sim.tbl[[#This Row],[Dens]]*sim.tbl[[#This Row],[Medium_LSB]]</f>
        <v>0</v>
      </c>
      <c r="AX101" s="5">
        <f>sim.tbl[[#This Row],[Dens]]*sim.tbl[[#This Row],[Medium_SW]]</f>
        <v>0</v>
      </c>
      <c r="AY101" s="5">
        <f>sim.tbl[[#This Row],[Dens]]*sim.tbl[[#This Row],[Midale]]</f>
        <v>0</v>
      </c>
      <c r="AZ101" s="5">
        <f>sim.tbl[[#This Row],[Dens]]*sim.tbl[[#This Row],[Heavy_Sour]]</f>
        <v>0</v>
      </c>
      <c r="BA101" s="5">
        <f>sim.tbl[[#This Row],[Dens]]*sim.tbl[[#This Row],[Heavy_SW]]</f>
        <v>0</v>
      </c>
      <c r="BB101" s="5">
        <f>sim.tbl[[#This Row],[Temp.Roll]]*sim.tbl[[#This Row],[C5]]</f>
        <v>0</v>
      </c>
      <c r="BC101" s="5">
        <f>sim.tbl[[#This Row],[Temp.Roll]]*sim.tbl[[#This Row],[Light_LSB]]</f>
        <v>2.2000000000000002</v>
      </c>
      <c r="BD101" s="5">
        <f>sim.tbl[[#This Row],[Temp.Roll]]*sim.tbl[[#This Row],[Light_SW]]</f>
        <v>0</v>
      </c>
      <c r="BE101" s="5">
        <f>sim.tbl[[#This Row],[Temp.Roll]]*sim.tbl[[#This Row],[Medium_LSB]]</f>
        <v>0</v>
      </c>
      <c r="BF101" s="5">
        <f>sim.tbl[[#This Row],[Temp.Roll]]*sim.tbl[[#This Row],[Medium_SW]]</f>
        <v>0</v>
      </c>
      <c r="BG101" s="5">
        <f>sim.tbl[[#This Row],[Temp.Roll]]*sim.tbl[[#This Row],[Midale]]</f>
        <v>0</v>
      </c>
      <c r="BH101" s="5">
        <f>sim.tbl[[#This Row],[Temp.Roll]]*sim.tbl[[#This Row],[Heavy_Sour]]</f>
        <v>0</v>
      </c>
      <c r="BI101" s="5">
        <f>sim.tbl[[#This Row],[Temp.Roll]]*sim.tbl[[#This Row],[Heavy_SW]]</f>
        <v>0</v>
      </c>
    </row>
    <row r="102" spans="4:61" x14ac:dyDescent="0.25">
      <c r="D102" s="5">
        <f ca="1">SUMPRODUCT($F$1:$BI$1,sim.tbl[[#This Row],[Intercept]:[Temp.Roll:Heavy_SW]])</f>
        <v>85.269303728581349</v>
      </c>
      <c r="E102" s="14">
        <f ca="1">DATE(YEAR(TODAY()),INDEX(mthLkUp.tbl[Num],MATCH(mth.input,mthLkUp.tbl[Month],0)),1)</f>
        <v>42795</v>
      </c>
      <c r="F102" s="6">
        <f>1</f>
        <v>1</v>
      </c>
      <c r="G102" s="5">
        <v>1.2430000000000001</v>
      </c>
      <c r="H102" s="5">
        <v>842.9</v>
      </c>
      <c r="I102" s="5">
        <v>-21.1</v>
      </c>
      <c r="J102" s="5">
        <v>-20.2</v>
      </c>
      <c r="K102" s="5">
        <v>-19.5</v>
      </c>
      <c r="L102" s="5">
        <v>-20.2</v>
      </c>
      <c r="M102" s="5">
        <v>-23.3</v>
      </c>
      <c r="N102" s="5">
        <v>-19</v>
      </c>
      <c r="O102" s="5">
        <v>-22.6</v>
      </c>
      <c r="P102" s="5">
        <v>-22</v>
      </c>
      <c r="Q102" s="6">
        <f>IF(sim.tbl[[#This Row],[Dens]]&lt;=770,1,0)</f>
        <v>0</v>
      </c>
      <c r="R102" s="6">
        <f>IF(AND(sim.tbl[[#This Row],[Sulf]]&gt;0.5,sim.tbl[[#This Row],[Dens]]&gt;770,sim.tbl[[#This Row],[Dens]]&lt;=825),1,0)</f>
        <v>0</v>
      </c>
      <c r="S102" s="6">
        <f>IF(AND(sim.tbl[[#This Row],[Sulf]]&lt;=0.5,sim.tbl[[#This Row],[Dens]]&gt;770,sim.tbl[[#This Row],[Dens]]&lt;=825),1,0)</f>
        <v>0</v>
      </c>
      <c r="T102" s="6">
        <f>IF(AND(sim.tbl[[#This Row],[Sulf]]&gt;0.5,sim.tbl[[#This Row],[Dens]]&gt;825,sim.tbl[[#This Row],[Dens]]&lt;=870),1,0)</f>
        <v>1</v>
      </c>
      <c r="U102" s="6">
        <f>IF(AND(sim.tbl[[#This Row],[Sulf]]&lt;0.5,sim.tbl[[#This Row],[Dens]]&gt;825,sim.tbl[[#This Row],[Dens]]&lt;=900),1,0)</f>
        <v>0</v>
      </c>
      <c r="V102" s="6">
        <f>IF(AND(sim.tbl[[#This Row],[Sulf]]&gt;0.5,sim.tbl[[#This Row],[Dens]]&gt;870,sim.tbl[[#This Row],[Dens]]&lt;=900),1,0)</f>
        <v>0</v>
      </c>
      <c r="W102" s="6">
        <f>IF(AND(sim.tbl[[#This Row],[Sulf]]&gt;0.5,sim.tbl[[#This Row],[Dens]]&gt;900),1,0)</f>
        <v>0</v>
      </c>
      <c r="X102" s="6">
        <f>IF(AND(sim.tbl[[#This Row],[Sulf]]&lt;=0.5,sim.tbl[[#This Row],[Dens]]&gt;900),1,0)</f>
        <v>0</v>
      </c>
      <c r="Y102" s="6">
        <f ca="1">IF(MONTH(sim.tbl[[#This Row],[SDate]])=INDEX(mthLkUp.tbl[Num],MATCH(Y$3,mthLkUp.tbl[Month],0)),1,0)</f>
        <v>0</v>
      </c>
      <c r="Z102" s="6">
        <f ca="1">IF(MONTH(sim.tbl[[#This Row],[SDate]])=INDEX(mthLkUp.tbl[Num],MATCH(Z$3,mthLkUp.tbl[Month],0)),1,0)</f>
        <v>0</v>
      </c>
      <c r="AA102" s="6">
        <f ca="1">IF(MONTH(sim.tbl[[#This Row],[SDate]])=INDEX(mthLkUp.tbl[Num],MATCH(AA$3,mthLkUp.tbl[Month],0)),1,0)</f>
        <v>1</v>
      </c>
      <c r="AB102" s="6">
        <f ca="1">IF(MONTH(sim.tbl[[#This Row],[SDate]])=INDEX(mthLkUp.tbl[Num],MATCH(AB$3,mthLkUp.tbl[Month],0)),1,0)</f>
        <v>0</v>
      </c>
      <c r="AC102" s="6">
        <f ca="1">IF(MONTH(sim.tbl[[#This Row],[SDate]])=INDEX(mthLkUp.tbl[Num],MATCH(AC$3,mthLkUp.tbl[Month],0)),1,0)</f>
        <v>0</v>
      </c>
      <c r="AD102" s="6">
        <f ca="1">IF(MONTH(sim.tbl[[#This Row],[SDate]])=INDEX(mthLkUp.tbl[Num],MATCH(AD$3,mthLkUp.tbl[Month],0)),1,0)</f>
        <v>0</v>
      </c>
      <c r="AE102" s="6">
        <f ca="1">IF(MONTH(sim.tbl[[#This Row],[SDate]])=INDEX(mthLkUp.tbl[Num],MATCH(AE$3,mthLkUp.tbl[Month],0)),1,0)</f>
        <v>0</v>
      </c>
      <c r="AF102" s="6">
        <f ca="1">IF(MONTH(sim.tbl[[#This Row],[SDate]])=INDEX(mthLkUp.tbl[Num],MATCH(AF$3,mthLkUp.tbl[Month],0)),1,0)</f>
        <v>0</v>
      </c>
      <c r="AG102" s="6">
        <f ca="1">IF(MONTH(sim.tbl[[#This Row],[SDate]])=INDEX(mthLkUp.tbl[Num],MATCH(AG$3,mthLkUp.tbl[Month],0)),1,0)</f>
        <v>0</v>
      </c>
      <c r="AH102" s="6">
        <f ca="1">IF(MONTH(sim.tbl[[#This Row],[SDate]])=INDEX(mthLkUp.tbl[Num],MATCH(AH$3,mthLkUp.tbl[Month],0)),1,0)</f>
        <v>0</v>
      </c>
      <c r="AI102" s="6">
        <f ca="1">IF(MONTH(sim.tbl[[#This Row],[SDate]])=INDEX(mthLkUp.tbl[Num],MATCH(AI$3,mthLkUp.tbl[Month],0)),1,0)</f>
        <v>0</v>
      </c>
      <c r="AJ102" s="6">
        <f ca="1">IF(MONTH(sim.tbl[[#This Row],[SDate]])=INDEX(mthLkUp.tbl[Num],MATCH(AJ$3,mthLkUp.tbl[Month],0)),1,0)</f>
        <v>0</v>
      </c>
      <c r="AK102" s="6">
        <v>1</v>
      </c>
      <c r="AL102" s="5">
        <f>sim.tbl[[#This Row],[Sulf]]*sim.tbl[[#This Row],[C5]]</f>
        <v>0</v>
      </c>
      <c r="AM102" s="5">
        <f>sim.tbl[[#This Row],[Sulf]]*sim.tbl[[#This Row],[Light_LSB]]</f>
        <v>0</v>
      </c>
      <c r="AN102" s="5">
        <f>sim.tbl[[#This Row],[Sulf]]*sim.tbl[[#This Row],[Light_SW]]</f>
        <v>0</v>
      </c>
      <c r="AO102" s="5">
        <f>sim.tbl[[#This Row],[Sulf]]*sim.tbl[[#This Row],[Medium_LSB]]</f>
        <v>1.2430000000000001</v>
      </c>
      <c r="AP102" s="5">
        <f>sim.tbl[[#This Row],[Sulf]]*sim.tbl[[#This Row],[Medium_SW]]</f>
        <v>0</v>
      </c>
      <c r="AQ102" s="5">
        <f>sim.tbl[[#This Row],[Sulf]]*sim.tbl[[#This Row],[Midale]]</f>
        <v>0</v>
      </c>
      <c r="AR102" s="5">
        <f>sim.tbl[[#This Row],[Sulf]]*sim.tbl[[#This Row],[Heavy_Sour]]</f>
        <v>0</v>
      </c>
      <c r="AS102" s="5">
        <f>sim.tbl[[#This Row],[Sulf]]*sim.tbl[[#This Row],[Heavy_SW]]</f>
        <v>0</v>
      </c>
      <c r="AT102" s="5">
        <f>sim.tbl[[#This Row],[Dens]]*sim.tbl[[#This Row],[C5]]</f>
        <v>0</v>
      </c>
      <c r="AU102" s="5">
        <f>sim.tbl[[#This Row],[Dens]]*sim.tbl[[#This Row],[Light_LSB]]</f>
        <v>0</v>
      </c>
      <c r="AV102" s="5">
        <f>sim.tbl[[#This Row],[Dens]]*sim.tbl[[#This Row],[Light_SW]]</f>
        <v>0</v>
      </c>
      <c r="AW102" s="5">
        <f>sim.tbl[[#This Row],[Dens]]*sim.tbl[[#This Row],[Medium_LSB]]</f>
        <v>842.9</v>
      </c>
      <c r="AX102" s="5">
        <f>sim.tbl[[#This Row],[Dens]]*sim.tbl[[#This Row],[Medium_SW]]</f>
        <v>0</v>
      </c>
      <c r="AY102" s="5">
        <f>sim.tbl[[#This Row],[Dens]]*sim.tbl[[#This Row],[Midale]]</f>
        <v>0</v>
      </c>
      <c r="AZ102" s="5">
        <f>sim.tbl[[#This Row],[Dens]]*sim.tbl[[#This Row],[Heavy_Sour]]</f>
        <v>0</v>
      </c>
      <c r="BA102" s="5">
        <f>sim.tbl[[#This Row],[Dens]]*sim.tbl[[#This Row],[Heavy_SW]]</f>
        <v>0</v>
      </c>
      <c r="BB102" s="5">
        <f>sim.tbl[[#This Row],[Temp.Roll]]*sim.tbl[[#This Row],[C5]]</f>
        <v>0</v>
      </c>
      <c r="BC102" s="5">
        <f>sim.tbl[[#This Row],[Temp.Roll]]*sim.tbl[[#This Row],[Light_LSB]]</f>
        <v>0</v>
      </c>
      <c r="BD102" s="5">
        <f>sim.tbl[[#This Row],[Temp.Roll]]*sim.tbl[[#This Row],[Light_SW]]</f>
        <v>0</v>
      </c>
      <c r="BE102" s="5">
        <f>sim.tbl[[#This Row],[Temp.Roll]]*sim.tbl[[#This Row],[Medium_LSB]]</f>
        <v>-20.2</v>
      </c>
      <c r="BF102" s="5">
        <f>sim.tbl[[#This Row],[Temp.Roll]]*sim.tbl[[#This Row],[Medium_SW]]</f>
        <v>0</v>
      </c>
      <c r="BG102" s="5">
        <f>sim.tbl[[#This Row],[Temp.Roll]]*sim.tbl[[#This Row],[Midale]]</f>
        <v>0</v>
      </c>
      <c r="BH102" s="5">
        <f>sim.tbl[[#This Row],[Temp.Roll]]*sim.tbl[[#This Row],[Heavy_Sour]]</f>
        <v>0</v>
      </c>
      <c r="BI102" s="5">
        <f>sim.tbl[[#This Row],[Temp.Roll]]*sim.tbl[[#This Row],[Heavy_SW]]</f>
        <v>0</v>
      </c>
    </row>
    <row r="103" spans="4:61" x14ac:dyDescent="0.25">
      <c r="D103" s="5">
        <f ca="1">SUMPRODUCT($F$1:$BI$1,sim.tbl[[#This Row],[Intercept]:[Temp.Roll:Heavy_SW]])</f>
        <v>74.215167084181331</v>
      </c>
      <c r="E103" s="14">
        <f ca="1">DATE(YEAR(TODAY()),INDEX(mthLkUp.tbl[Num],MATCH(mth.input,mthLkUp.tbl[Month],0)),1)</f>
        <v>42795</v>
      </c>
      <c r="F103" s="6">
        <f>1</f>
        <v>1</v>
      </c>
      <c r="G103" s="5">
        <v>1.3819999999999999</v>
      </c>
      <c r="H103" s="5">
        <v>845.1</v>
      </c>
      <c r="I103" s="5">
        <v>8.6666666669999994</v>
      </c>
      <c r="J103" s="5">
        <v>8.6999999999999993</v>
      </c>
      <c r="K103" s="5">
        <v>9.1999999999999993</v>
      </c>
      <c r="L103" s="5">
        <v>8.6999999999999993</v>
      </c>
      <c r="M103" s="5">
        <v>8.5</v>
      </c>
      <c r="N103" s="5">
        <v>10.5</v>
      </c>
      <c r="O103" s="5">
        <v>8.3000000000000007</v>
      </c>
      <c r="P103" s="5">
        <v>6.8</v>
      </c>
      <c r="Q103" s="6">
        <f>IF(sim.tbl[[#This Row],[Dens]]&lt;=770,1,0)</f>
        <v>0</v>
      </c>
      <c r="R103" s="6">
        <f>IF(AND(sim.tbl[[#This Row],[Sulf]]&gt;0.5,sim.tbl[[#This Row],[Dens]]&gt;770,sim.tbl[[#This Row],[Dens]]&lt;=825),1,0)</f>
        <v>0</v>
      </c>
      <c r="S103" s="6">
        <f>IF(AND(sim.tbl[[#This Row],[Sulf]]&lt;=0.5,sim.tbl[[#This Row],[Dens]]&gt;770,sim.tbl[[#This Row],[Dens]]&lt;=825),1,0)</f>
        <v>0</v>
      </c>
      <c r="T103" s="6">
        <f>IF(AND(sim.tbl[[#This Row],[Sulf]]&gt;0.5,sim.tbl[[#This Row],[Dens]]&gt;825,sim.tbl[[#This Row],[Dens]]&lt;=870),1,0)</f>
        <v>1</v>
      </c>
      <c r="U103" s="6">
        <f>IF(AND(sim.tbl[[#This Row],[Sulf]]&lt;0.5,sim.tbl[[#This Row],[Dens]]&gt;825,sim.tbl[[#This Row],[Dens]]&lt;=900),1,0)</f>
        <v>0</v>
      </c>
      <c r="V103" s="6">
        <f>IF(AND(sim.tbl[[#This Row],[Sulf]]&gt;0.5,sim.tbl[[#This Row],[Dens]]&gt;870,sim.tbl[[#This Row],[Dens]]&lt;=900),1,0)</f>
        <v>0</v>
      </c>
      <c r="W103" s="6">
        <f>IF(AND(sim.tbl[[#This Row],[Sulf]]&gt;0.5,sim.tbl[[#This Row],[Dens]]&gt;900),1,0)</f>
        <v>0</v>
      </c>
      <c r="X103" s="6">
        <f>IF(AND(sim.tbl[[#This Row],[Sulf]]&lt;=0.5,sim.tbl[[#This Row],[Dens]]&gt;900),1,0)</f>
        <v>0</v>
      </c>
      <c r="Y103" s="6">
        <f ca="1">IF(MONTH(sim.tbl[[#This Row],[SDate]])=INDEX(mthLkUp.tbl[Num],MATCH(Y$3,mthLkUp.tbl[Month],0)),1,0)</f>
        <v>0</v>
      </c>
      <c r="Z103" s="6">
        <f ca="1">IF(MONTH(sim.tbl[[#This Row],[SDate]])=INDEX(mthLkUp.tbl[Num],MATCH(Z$3,mthLkUp.tbl[Month],0)),1,0)</f>
        <v>0</v>
      </c>
      <c r="AA103" s="6">
        <f ca="1">IF(MONTH(sim.tbl[[#This Row],[SDate]])=INDEX(mthLkUp.tbl[Num],MATCH(AA$3,mthLkUp.tbl[Month],0)),1,0)</f>
        <v>1</v>
      </c>
      <c r="AB103" s="6">
        <f ca="1">IF(MONTH(sim.tbl[[#This Row],[SDate]])=INDEX(mthLkUp.tbl[Num],MATCH(AB$3,mthLkUp.tbl[Month],0)),1,0)</f>
        <v>0</v>
      </c>
      <c r="AC103" s="6">
        <f ca="1">IF(MONTH(sim.tbl[[#This Row],[SDate]])=INDEX(mthLkUp.tbl[Num],MATCH(AC$3,mthLkUp.tbl[Month],0)),1,0)</f>
        <v>0</v>
      </c>
      <c r="AD103" s="6">
        <f ca="1">IF(MONTH(sim.tbl[[#This Row],[SDate]])=INDEX(mthLkUp.tbl[Num],MATCH(AD$3,mthLkUp.tbl[Month],0)),1,0)</f>
        <v>0</v>
      </c>
      <c r="AE103" s="6">
        <f ca="1">IF(MONTH(sim.tbl[[#This Row],[SDate]])=INDEX(mthLkUp.tbl[Num],MATCH(AE$3,mthLkUp.tbl[Month],0)),1,0)</f>
        <v>0</v>
      </c>
      <c r="AF103" s="6">
        <f ca="1">IF(MONTH(sim.tbl[[#This Row],[SDate]])=INDEX(mthLkUp.tbl[Num],MATCH(AF$3,mthLkUp.tbl[Month],0)),1,0)</f>
        <v>0</v>
      </c>
      <c r="AG103" s="6">
        <f ca="1">IF(MONTH(sim.tbl[[#This Row],[SDate]])=INDEX(mthLkUp.tbl[Num],MATCH(AG$3,mthLkUp.tbl[Month],0)),1,0)</f>
        <v>0</v>
      </c>
      <c r="AH103" s="6">
        <f ca="1">IF(MONTH(sim.tbl[[#This Row],[SDate]])=INDEX(mthLkUp.tbl[Num],MATCH(AH$3,mthLkUp.tbl[Month],0)),1,0)</f>
        <v>0</v>
      </c>
      <c r="AI103" s="6">
        <f ca="1">IF(MONTH(sim.tbl[[#This Row],[SDate]])=INDEX(mthLkUp.tbl[Num],MATCH(AI$3,mthLkUp.tbl[Month],0)),1,0)</f>
        <v>0</v>
      </c>
      <c r="AJ103" s="6">
        <f ca="1">IF(MONTH(sim.tbl[[#This Row],[SDate]])=INDEX(mthLkUp.tbl[Num],MATCH(AJ$3,mthLkUp.tbl[Month],0)),1,0)</f>
        <v>0</v>
      </c>
      <c r="AK103" s="6">
        <v>1</v>
      </c>
      <c r="AL103" s="5">
        <f>sim.tbl[[#This Row],[Sulf]]*sim.tbl[[#This Row],[C5]]</f>
        <v>0</v>
      </c>
      <c r="AM103" s="5">
        <f>sim.tbl[[#This Row],[Sulf]]*sim.tbl[[#This Row],[Light_LSB]]</f>
        <v>0</v>
      </c>
      <c r="AN103" s="5">
        <f>sim.tbl[[#This Row],[Sulf]]*sim.tbl[[#This Row],[Light_SW]]</f>
        <v>0</v>
      </c>
      <c r="AO103" s="5">
        <f>sim.tbl[[#This Row],[Sulf]]*sim.tbl[[#This Row],[Medium_LSB]]</f>
        <v>1.3819999999999999</v>
      </c>
      <c r="AP103" s="5">
        <f>sim.tbl[[#This Row],[Sulf]]*sim.tbl[[#This Row],[Medium_SW]]</f>
        <v>0</v>
      </c>
      <c r="AQ103" s="5">
        <f>sim.tbl[[#This Row],[Sulf]]*sim.tbl[[#This Row],[Midale]]</f>
        <v>0</v>
      </c>
      <c r="AR103" s="5">
        <f>sim.tbl[[#This Row],[Sulf]]*sim.tbl[[#This Row],[Heavy_Sour]]</f>
        <v>0</v>
      </c>
      <c r="AS103" s="5">
        <f>sim.tbl[[#This Row],[Sulf]]*sim.tbl[[#This Row],[Heavy_SW]]</f>
        <v>0</v>
      </c>
      <c r="AT103" s="5">
        <f>sim.tbl[[#This Row],[Dens]]*sim.tbl[[#This Row],[C5]]</f>
        <v>0</v>
      </c>
      <c r="AU103" s="5">
        <f>sim.tbl[[#This Row],[Dens]]*sim.tbl[[#This Row],[Light_LSB]]</f>
        <v>0</v>
      </c>
      <c r="AV103" s="5">
        <f>sim.tbl[[#This Row],[Dens]]*sim.tbl[[#This Row],[Light_SW]]</f>
        <v>0</v>
      </c>
      <c r="AW103" s="5">
        <f>sim.tbl[[#This Row],[Dens]]*sim.tbl[[#This Row],[Medium_LSB]]</f>
        <v>845.1</v>
      </c>
      <c r="AX103" s="5">
        <f>sim.tbl[[#This Row],[Dens]]*sim.tbl[[#This Row],[Medium_SW]]</f>
        <v>0</v>
      </c>
      <c r="AY103" s="5">
        <f>sim.tbl[[#This Row],[Dens]]*sim.tbl[[#This Row],[Midale]]</f>
        <v>0</v>
      </c>
      <c r="AZ103" s="5">
        <f>sim.tbl[[#This Row],[Dens]]*sim.tbl[[#This Row],[Heavy_Sour]]</f>
        <v>0</v>
      </c>
      <c r="BA103" s="5">
        <f>sim.tbl[[#This Row],[Dens]]*sim.tbl[[#This Row],[Heavy_SW]]</f>
        <v>0</v>
      </c>
      <c r="BB103" s="5">
        <f>sim.tbl[[#This Row],[Temp.Roll]]*sim.tbl[[#This Row],[C5]]</f>
        <v>0</v>
      </c>
      <c r="BC103" s="5">
        <f>sim.tbl[[#This Row],[Temp.Roll]]*sim.tbl[[#This Row],[Light_LSB]]</f>
        <v>0</v>
      </c>
      <c r="BD103" s="5">
        <f>sim.tbl[[#This Row],[Temp.Roll]]*sim.tbl[[#This Row],[Light_SW]]</f>
        <v>0</v>
      </c>
      <c r="BE103" s="5">
        <f>sim.tbl[[#This Row],[Temp.Roll]]*sim.tbl[[#This Row],[Medium_LSB]]</f>
        <v>8.6999999999999993</v>
      </c>
      <c r="BF103" s="5">
        <f>sim.tbl[[#This Row],[Temp.Roll]]*sim.tbl[[#This Row],[Medium_SW]]</f>
        <v>0</v>
      </c>
      <c r="BG103" s="5">
        <f>sim.tbl[[#This Row],[Temp.Roll]]*sim.tbl[[#This Row],[Midale]]</f>
        <v>0</v>
      </c>
      <c r="BH103" s="5">
        <f>sim.tbl[[#This Row],[Temp.Roll]]*sim.tbl[[#This Row],[Heavy_Sour]]</f>
        <v>0</v>
      </c>
      <c r="BI103" s="5">
        <f>sim.tbl[[#This Row],[Temp.Roll]]*sim.tbl[[#This Row],[Heavy_SW]]</f>
        <v>0</v>
      </c>
    </row>
    <row r="104" spans="4:61" x14ac:dyDescent="0.25">
      <c r="D104" s="5">
        <f ca="1">SUMPRODUCT($F$1:$BI$1,sim.tbl[[#This Row],[Intercept]:[Temp.Roll:Heavy_SW]])</f>
        <v>87.510518304467055</v>
      </c>
      <c r="E104" s="14">
        <f ca="1">DATE(YEAR(TODAY()),INDEX(mthLkUp.tbl[Num],MATCH(mth.input,mthLkUp.tbl[Month],0)),1)</f>
        <v>42795</v>
      </c>
      <c r="F104" s="6">
        <f>1</f>
        <v>1</v>
      </c>
      <c r="G104" s="5">
        <v>0.53</v>
      </c>
      <c r="H104" s="5">
        <v>818.6</v>
      </c>
      <c r="I104" s="5">
        <v>0.43333333299999999</v>
      </c>
      <c r="J104" s="5">
        <v>-0.9</v>
      </c>
      <c r="K104" s="5">
        <v>0.4</v>
      </c>
      <c r="L104" s="5">
        <v>-0.9</v>
      </c>
      <c r="M104" s="5">
        <v>0.8</v>
      </c>
      <c r="N104" s="5">
        <v>2.2999999999999998</v>
      </c>
      <c r="O104" s="5">
        <v>-0.4</v>
      </c>
      <c r="P104" s="5">
        <v>0.4</v>
      </c>
      <c r="Q104" s="6">
        <f>IF(sim.tbl[[#This Row],[Dens]]&lt;=770,1,0)</f>
        <v>0</v>
      </c>
      <c r="R104" s="6">
        <f>IF(AND(sim.tbl[[#This Row],[Sulf]]&gt;0.5,sim.tbl[[#This Row],[Dens]]&gt;770,sim.tbl[[#This Row],[Dens]]&lt;=825),1,0)</f>
        <v>1</v>
      </c>
      <c r="S104" s="6">
        <f>IF(AND(sim.tbl[[#This Row],[Sulf]]&lt;=0.5,sim.tbl[[#This Row],[Dens]]&gt;770,sim.tbl[[#This Row],[Dens]]&lt;=825),1,0)</f>
        <v>0</v>
      </c>
      <c r="T104" s="6">
        <f>IF(AND(sim.tbl[[#This Row],[Sulf]]&gt;0.5,sim.tbl[[#This Row],[Dens]]&gt;825,sim.tbl[[#This Row],[Dens]]&lt;=870),1,0)</f>
        <v>0</v>
      </c>
      <c r="U104" s="6">
        <f>IF(AND(sim.tbl[[#This Row],[Sulf]]&lt;0.5,sim.tbl[[#This Row],[Dens]]&gt;825,sim.tbl[[#This Row],[Dens]]&lt;=900),1,0)</f>
        <v>0</v>
      </c>
      <c r="V104" s="6">
        <f>IF(AND(sim.tbl[[#This Row],[Sulf]]&gt;0.5,sim.tbl[[#This Row],[Dens]]&gt;870,sim.tbl[[#This Row],[Dens]]&lt;=900),1,0)</f>
        <v>0</v>
      </c>
      <c r="W104" s="6">
        <f>IF(AND(sim.tbl[[#This Row],[Sulf]]&gt;0.5,sim.tbl[[#This Row],[Dens]]&gt;900),1,0)</f>
        <v>0</v>
      </c>
      <c r="X104" s="6">
        <f>IF(AND(sim.tbl[[#This Row],[Sulf]]&lt;=0.5,sim.tbl[[#This Row],[Dens]]&gt;900),1,0)</f>
        <v>0</v>
      </c>
      <c r="Y104" s="6">
        <f ca="1">IF(MONTH(sim.tbl[[#This Row],[SDate]])=INDEX(mthLkUp.tbl[Num],MATCH(Y$3,mthLkUp.tbl[Month],0)),1,0)</f>
        <v>0</v>
      </c>
      <c r="Z104" s="6">
        <f ca="1">IF(MONTH(sim.tbl[[#This Row],[SDate]])=INDEX(mthLkUp.tbl[Num],MATCH(Z$3,mthLkUp.tbl[Month],0)),1,0)</f>
        <v>0</v>
      </c>
      <c r="AA104" s="6">
        <f ca="1">IF(MONTH(sim.tbl[[#This Row],[SDate]])=INDEX(mthLkUp.tbl[Num],MATCH(AA$3,mthLkUp.tbl[Month],0)),1,0)</f>
        <v>1</v>
      </c>
      <c r="AB104" s="6">
        <f ca="1">IF(MONTH(sim.tbl[[#This Row],[SDate]])=INDEX(mthLkUp.tbl[Num],MATCH(AB$3,mthLkUp.tbl[Month],0)),1,0)</f>
        <v>0</v>
      </c>
      <c r="AC104" s="6">
        <f ca="1">IF(MONTH(sim.tbl[[#This Row],[SDate]])=INDEX(mthLkUp.tbl[Num],MATCH(AC$3,mthLkUp.tbl[Month],0)),1,0)</f>
        <v>0</v>
      </c>
      <c r="AD104" s="6">
        <f ca="1">IF(MONTH(sim.tbl[[#This Row],[SDate]])=INDEX(mthLkUp.tbl[Num],MATCH(AD$3,mthLkUp.tbl[Month],0)),1,0)</f>
        <v>0</v>
      </c>
      <c r="AE104" s="6">
        <f ca="1">IF(MONTH(sim.tbl[[#This Row],[SDate]])=INDEX(mthLkUp.tbl[Num],MATCH(AE$3,mthLkUp.tbl[Month],0)),1,0)</f>
        <v>0</v>
      </c>
      <c r="AF104" s="6">
        <f ca="1">IF(MONTH(sim.tbl[[#This Row],[SDate]])=INDEX(mthLkUp.tbl[Num],MATCH(AF$3,mthLkUp.tbl[Month],0)),1,0)</f>
        <v>0</v>
      </c>
      <c r="AG104" s="6">
        <f ca="1">IF(MONTH(sim.tbl[[#This Row],[SDate]])=INDEX(mthLkUp.tbl[Num],MATCH(AG$3,mthLkUp.tbl[Month],0)),1,0)</f>
        <v>0</v>
      </c>
      <c r="AH104" s="6">
        <f ca="1">IF(MONTH(sim.tbl[[#This Row],[SDate]])=INDEX(mthLkUp.tbl[Num],MATCH(AH$3,mthLkUp.tbl[Month],0)),1,0)</f>
        <v>0</v>
      </c>
      <c r="AI104" s="6">
        <f ca="1">IF(MONTH(sim.tbl[[#This Row],[SDate]])=INDEX(mthLkUp.tbl[Num],MATCH(AI$3,mthLkUp.tbl[Month],0)),1,0)</f>
        <v>0</v>
      </c>
      <c r="AJ104" s="6">
        <f ca="1">IF(MONTH(sim.tbl[[#This Row],[SDate]])=INDEX(mthLkUp.tbl[Num],MATCH(AJ$3,mthLkUp.tbl[Month],0)),1,0)</f>
        <v>0</v>
      </c>
      <c r="AK104" s="6">
        <v>1</v>
      </c>
      <c r="AL104" s="5">
        <f>sim.tbl[[#This Row],[Sulf]]*sim.tbl[[#This Row],[C5]]</f>
        <v>0</v>
      </c>
      <c r="AM104" s="5">
        <f>sim.tbl[[#This Row],[Sulf]]*sim.tbl[[#This Row],[Light_LSB]]</f>
        <v>0.53</v>
      </c>
      <c r="AN104" s="5">
        <f>sim.tbl[[#This Row],[Sulf]]*sim.tbl[[#This Row],[Light_SW]]</f>
        <v>0</v>
      </c>
      <c r="AO104" s="5">
        <f>sim.tbl[[#This Row],[Sulf]]*sim.tbl[[#This Row],[Medium_LSB]]</f>
        <v>0</v>
      </c>
      <c r="AP104" s="5">
        <f>sim.tbl[[#This Row],[Sulf]]*sim.tbl[[#This Row],[Medium_SW]]</f>
        <v>0</v>
      </c>
      <c r="AQ104" s="5">
        <f>sim.tbl[[#This Row],[Sulf]]*sim.tbl[[#This Row],[Midale]]</f>
        <v>0</v>
      </c>
      <c r="AR104" s="5">
        <f>sim.tbl[[#This Row],[Sulf]]*sim.tbl[[#This Row],[Heavy_Sour]]</f>
        <v>0</v>
      </c>
      <c r="AS104" s="5">
        <f>sim.tbl[[#This Row],[Sulf]]*sim.tbl[[#This Row],[Heavy_SW]]</f>
        <v>0</v>
      </c>
      <c r="AT104" s="5">
        <f>sim.tbl[[#This Row],[Dens]]*sim.tbl[[#This Row],[C5]]</f>
        <v>0</v>
      </c>
      <c r="AU104" s="5">
        <f>sim.tbl[[#This Row],[Dens]]*sim.tbl[[#This Row],[Light_LSB]]</f>
        <v>818.6</v>
      </c>
      <c r="AV104" s="5">
        <f>sim.tbl[[#This Row],[Dens]]*sim.tbl[[#This Row],[Light_SW]]</f>
        <v>0</v>
      </c>
      <c r="AW104" s="5">
        <f>sim.tbl[[#This Row],[Dens]]*sim.tbl[[#This Row],[Medium_LSB]]</f>
        <v>0</v>
      </c>
      <c r="AX104" s="5">
        <f>sim.tbl[[#This Row],[Dens]]*sim.tbl[[#This Row],[Medium_SW]]</f>
        <v>0</v>
      </c>
      <c r="AY104" s="5">
        <f>sim.tbl[[#This Row],[Dens]]*sim.tbl[[#This Row],[Midale]]</f>
        <v>0</v>
      </c>
      <c r="AZ104" s="5">
        <f>sim.tbl[[#This Row],[Dens]]*sim.tbl[[#This Row],[Heavy_Sour]]</f>
        <v>0</v>
      </c>
      <c r="BA104" s="5">
        <f>sim.tbl[[#This Row],[Dens]]*sim.tbl[[#This Row],[Heavy_SW]]</f>
        <v>0</v>
      </c>
      <c r="BB104" s="5">
        <f>sim.tbl[[#This Row],[Temp.Roll]]*sim.tbl[[#This Row],[C5]]</f>
        <v>0</v>
      </c>
      <c r="BC104" s="5">
        <f>sim.tbl[[#This Row],[Temp.Roll]]*sim.tbl[[#This Row],[Light_LSB]]</f>
        <v>-0.9</v>
      </c>
      <c r="BD104" s="5">
        <f>sim.tbl[[#This Row],[Temp.Roll]]*sim.tbl[[#This Row],[Light_SW]]</f>
        <v>0</v>
      </c>
      <c r="BE104" s="5">
        <f>sim.tbl[[#This Row],[Temp.Roll]]*sim.tbl[[#This Row],[Medium_LSB]]</f>
        <v>0</v>
      </c>
      <c r="BF104" s="5">
        <f>sim.tbl[[#This Row],[Temp.Roll]]*sim.tbl[[#This Row],[Medium_SW]]</f>
        <v>0</v>
      </c>
      <c r="BG104" s="5">
        <f>sim.tbl[[#This Row],[Temp.Roll]]*sim.tbl[[#This Row],[Midale]]</f>
        <v>0</v>
      </c>
      <c r="BH104" s="5">
        <f>sim.tbl[[#This Row],[Temp.Roll]]*sim.tbl[[#This Row],[Heavy_Sour]]</f>
        <v>0</v>
      </c>
      <c r="BI104" s="5">
        <f>sim.tbl[[#This Row],[Temp.Roll]]*sim.tbl[[#This Row],[Heavy_SW]]</f>
        <v>0</v>
      </c>
    </row>
    <row r="105" spans="4:61" x14ac:dyDescent="0.25">
      <c r="D105" s="5">
        <f ca="1">SUMPRODUCT($F$1:$BI$1,sim.tbl[[#This Row],[Intercept]:[Temp.Roll:Heavy_SW]])</f>
        <v>89.880250167780034</v>
      </c>
      <c r="E105" s="14">
        <f ca="1">DATE(YEAR(TODAY()),INDEX(mthLkUp.tbl[Num],MATCH(mth.input,mthLkUp.tbl[Month],0)),1)</f>
        <v>42795</v>
      </c>
      <c r="F105" s="6">
        <f>1</f>
        <v>1</v>
      </c>
      <c r="G105" s="5">
        <v>1.36</v>
      </c>
      <c r="H105" s="5">
        <v>824.7</v>
      </c>
      <c r="I105" s="5">
        <v>-3.8</v>
      </c>
      <c r="J105" s="5">
        <v>-3.8</v>
      </c>
      <c r="K105" s="5">
        <v>-4.5</v>
      </c>
      <c r="L105" s="5">
        <v>-3.8</v>
      </c>
      <c r="M105" s="5">
        <v>-4</v>
      </c>
      <c r="N105" s="5">
        <v>-3</v>
      </c>
      <c r="O105" s="5">
        <v>-3.1</v>
      </c>
      <c r="P105" s="5">
        <v>-4.4000000000000004</v>
      </c>
      <c r="Q105" s="6">
        <f>IF(sim.tbl[[#This Row],[Dens]]&lt;=770,1,0)</f>
        <v>0</v>
      </c>
      <c r="R105" s="6">
        <f>IF(AND(sim.tbl[[#This Row],[Sulf]]&gt;0.5,sim.tbl[[#This Row],[Dens]]&gt;770,sim.tbl[[#This Row],[Dens]]&lt;=825),1,0)</f>
        <v>1</v>
      </c>
      <c r="S105" s="6">
        <f>IF(AND(sim.tbl[[#This Row],[Sulf]]&lt;=0.5,sim.tbl[[#This Row],[Dens]]&gt;770,sim.tbl[[#This Row],[Dens]]&lt;=825),1,0)</f>
        <v>0</v>
      </c>
      <c r="T105" s="6">
        <f>IF(AND(sim.tbl[[#This Row],[Sulf]]&gt;0.5,sim.tbl[[#This Row],[Dens]]&gt;825,sim.tbl[[#This Row],[Dens]]&lt;=870),1,0)</f>
        <v>0</v>
      </c>
      <c r="U105" s="6">
        <f>IF(AND(sim.tbl[[#This Row],[Sulf]]&lt;0.5,sim.tbl[[#This Row],[Dens]]&gt;825,sim.tbl[[#This Row],[Dens]]&lt;=900),1,0)</f>
        <v>0</v>
      </c>
      <c r="V105" s="6">
        <f>IF(AND(sim.tbl[[#This Row],[Sulf]]&gt;0.5,sim.tbl[[#This Row],[Dens]]&gt;870,sim.tbl[[#This Row],[Dens]]&lt;=900),1,0)</f>
        <v>0</v>
      </c>
      <c r="W105" s="6">
        <f>IF(AND(sim.tbl[[#This Row],[Sulf]]&gt;0.5,sim.tbl[[#This Row],[Dens]]&gt;900),1,0)</f>
        <v>0</v>
      </c>
      <c r="X105" s="6">
        <f>IF(AND(sim.tbl[[#This Row],[Sulf]]&lt;=0.5,sim.tbl[[#This Row],[Dens]]&gt;900),1,0)</f>
        <v>0</v>
      </c>
      <c r="Y105" s="6">
        <f ca="1">IF(MONTH(sim.tbl[[#This Row],[SDate]])=INDEX(mthLkUp.tbl[Num],MATCH(Y$3,mthLkUp.tbl[Month],0)),1,0)</f>
        <v>0</v>
      </c>
      <c r="Z105" s="6">
        <f ca="1">IF(MONTH(sim.tbl[[#This Row],[SDate]])=INDEX(mthLkUp.tbl[Num],MATCH(Z$3,mthLkUp.tbl[Month],0)),1,0)</f>
        <v>0</v>
      </c>
      <c r="AA105" s="6">
        <f ca="1">IF(MONTH(sim.tbl[[#This Row],[SDate]])=INDEX(mthLkUp.tbl[Num],MATCH(AA$3,mthLkUp.tbl[Month],0)),1,0)</f>
        <v>1</v>
      </c>
      <c r="AB105" s="6">
        <f ca="1">IF(MONTH(sim.tbl[[#This Row],[SDate]])=INDEX(mthLkUp.tbl[Num],MATCH(AB$3,mthLkUp.tbl[Month],0)),1,0)</f>
        <v>0</v>
      </c>
      <c r="AC105" s="6">
        <f ca="1">IF(MONTH(sim.tbl[[#This Row],[SDate]])=INDEX(mthLkUp.tbl[Num],MATCH(AC$3,mthLkUp.tbl[Month],0)),1,0)</f>
        <v>0</v>
      </c>
      <c r="AD105" s="6">
        <f ca="1">IF(MONTH(sim.tbl[[#This Row],[SDate]])=INDEX(mthLkUp.tbl[Num],MATCH(AD$3,mthLkUp.tbl[Month],0)),1,0)</f>
        <v>0</v>
      </c>
      <c r="AE105" s="6">
        <f ca="1">IF(MONTH(sim.tbl[[#This Row],[SDate]])=INDEX(mthLkUp.tbl[Num],MATCH(AE$3,mthLkUp.tbl[Month],0)),1,0)</f>
        <v>0</v>
      </c>
      <c r="AF105" s="6">
        <f ca="1">IF(MONTH(sim.tbl[[#This Row],[SDate]])=INDEX(mthLkUp.tbl[Num],MATCH(AF$3,mthLkUp.tbl[Month],0)),1,0)</f>
        <v>0</v>
      </c>
      <c r="AG105" s="6">
        <f ca="1">IF(MONTH(sim.tbl[[#This Row],[SDate]])=INDEX(mthLkUp.tbl[Num],MATCH(AG$3,mthLkUp.tbl[Month],0)),1,0)</f>
        <v>0</v>
      </c>
      <c r="AH105" s="6">
        <f ca="1">IF(MONTH(sim.tbl[[#This Row],[SDate]])=INDEX(mthLkUp.tbl[Num],MATCH(AH$3,mthLkUp.tbl[Month],0)),1,0)</f>
        <v>0</v>
      </c>
      <c r="AI105" s="6">
        <f ca="1">IF(MONTH(sim.tbl[[#This Row],[SDate]])=INDEX(mthLkUp.tbl[Num],MATCH(AI$3,mthLkUp.tbl[Month],0)),1,0)</f>
        <v>0</v>
      </c>
      <c r="AJ105" s="6">
        <f ca="1">IF(MONTH(sim.tbl[[#This Row],[SDate]])=INDEX(mthLkUp.tbl[Num],MATCH(AJ$3,mthLkUp.tbl[Month],0)),1,0)</f>
        <v>0</v>
      </c>
      <c r="AK105" s="6">
        <v>1</v>
      </c>
      <c r="AL105" s="5">
        <f>sim.tbl[[#This Row],[Sulf]]*sim.tbl[[#This Row],[C5]]</f>
        <v>0</v>
      </c>
      <c r="AM105" s="5">
        <f>sim.tbl[[#This Row],[Sulf]]*sim.tbl[[#This Row],[Light_LSB]]</f>
        <v>1.36</v>
      </c>
      <c r="AN105" s="5">
        <f>sim.tbl[[#This Row],[Sulf]]*sim.tbl[[#This Row],[Light_SW]]</f>
        <v>0</v>
      </c>
      <c r="AO105" s="5">
        <f>sim.tbl[[#This Row],[Sulf]]*sim.tbl[[#This Row],[Medium_LSB]]</f>
        <v>0</v>
      </c>
      <c r="AP105" s="5">
        <f>sim.tbl[[#This Row],[Sulf]]*sim.tbl[[#This Row],[Medium_SW]]</f>
        <v>0</v>
      </c>
      <c r="AQ105" s="5">
        <f>sim.tbl[[#This Row],[Sulf]]*sim.tbl[[#This Row],[Midale]]</f>
        <v>0</v>
      </c>
      <c r="AR105" s="5">
        <f>sim.tbl[[#This Row],[Sulf]]*sim.tbl[[#This Row],[Heavy_Sour]]</f>
        <v>0</v>
      </c>
      <c r="AS105" s="5">
        <f>sim.tbl[[#This Row],[Sulf]]*sim.tbl[[#This Row],[Heavy_SW]]</f>
        <v>0</v>
      </c>
      <c r="AT105" s="5">
        <f>sim.tbl[[#This Row],[Dens]]*sim.tbl[[#This Row],[C5]]</f>
        <v>0</v>
      </c>
      <c r="AU105" s="5">
        <f>sim.tbl[[#This Row],[Dens]]*sim.tbl[[#This Row],[Light_LSB]]</f>
        <v>824.7</v>
      </c>
      <c r="AV105" s="5">
        <f>sim.tbl[[#This Row],[Dens]]*sim.tbl[[#This Row],[Light_SW]]</f>
        <v>0</v>
      </c>
      <c r="AW105" s="5">
        <f>sim.tbl[[#This Row],[Dens]]*sim.tbl[[#This Row],[Medium_LSB]]</f>
        <v>0</v>
      </c>
      <c r="AX105" s="5">
        <f>sim.tbl[[#This Row],[Dens]]*sim.tbl[[#This Row],[Medium_SW]]</f>
        <v>0</v>
      </c>
      <c r="AY105" s="5">
        <f>sim.tbl[[#This Row],[Dens]]*sim.tbl[[#This Row],[Midale]]</f>
        <v>0</v>
      </c>
      <c r="AZ105" s="5">
        <f>sim.tbl[[#This Row],[Dens]]*sim.tbl[[#This Row],[Heavy_Sour]]</f>
        <v>0</v>
      </c>
      <c r="BA105" s="5">
        <f>sim.tbl[[#This Row],[Dens]]*sim.tbl[[#This Row],[Heavy_SW]]</f>
        <v>0</v>
      </c>
      <c r="BB105" s="5">
        <f>sim.tbl[[#This Row],[Temp.Roll]]*sim.tbl[[#This Row],[C5]]</f>
        <v>0</v>
      </c>
      <c r="BC105" s="5">
        <f>sim.tbl[[#This Row],[Temp.Roll]]*sim.tbl[[#This Row],[Light_LSB]]</f>
        <v>-3.8</v>
      </c>
      <c r="BD105" s="5">
        <f>sim.tbl[[#This Row],[Temp.Roll]]*sim.tbl[[#This Row],[Light_SW]]</f>
        <v>0</v>
      </c>
      <c r="BE105" s="5">
        <f>sim.tbl[[#This Row],[Temp.Roll]]*sim.tbl[[#This Row],[Medium_LSB]]</f>
        <v>0</v>
      </c>
      <c r="BF105" s="5">
        <f>sim.tbl[[#This Row],[Temp.Roll]]*sim.tbl[[#This Row],[Medium_SW]]</f>
        <v>0</v>
      </c>
      <c r="BG105" s="5">
        <f>sim.tbl[[#This Row],[Temp.Roll]]*sim.tbl[[#This Row],[Midale]]</f>
        <v>0</v>
      </c>
      <c r="BH105" s="5">
        <f>sim.tbl[[#This Row],[Temp.Roll]]*sim.tbl[[#This Row],[Heavy_Sour]]</f>
        <v>0</v>
      </c>
      <c r="BI105" s="5">
        <f>sim.tbl[[#This Row],[Temp.Roll]]*sim.tbl[[#This Row],[Heavy_SW]]</f>
        <v>0</v>
      </c>
    </row>
    <row r="106" spans="4:61" x14ac:dyDescent="0.25">
      <c r="D106" s="5">
        <f ca="1">SUMPRODUCT($F$1:$BI$1,sim.tbl[[#This Row],[Intercept]:[Temp.Roll:Heavy_SW]])</f>
        <v>82.055757489455488</v>
      </c>
      <c r="E106" s="14">
        <f ca="1">DATE(YEAR(TODAY()),INDEX(mthLkUp.tbl[Num],MATCH(mth.input,mthLkUp.tbl[Month],0)),1)</f>
        <v>42795</v>
      </c>
      <c r="F106" s="6">
        <f>1</f>
        <v>1</v>
      </c>
      <c r="G106" s="5">
        <v>1.62</v>
      </c>
      <c r="H106" s="5">
        <v>827.7</v>
      </c>
      <c r="I106" s="5">
        <v>1.5</v>
      </c>
      <c r="J106" s="5">
        <v>1.4</v>
      </c>
      <c r="K106" s="5">
        <v>1.2</v>
      </c>
      <c r="L106" s="5">
        <v>1.4</v>
      </c>
      <c r="M106" s="5">
        <v>2.8</v>
      </c>
      <c r="N106" s="5">
        <v>1.5</v>
      </c>
      <c r="O106" s="5">
        <v>-0.1</v>
      </c>
      <c r="P106" s="5">
        <v>3.5</v>
      </c>
      <c r="Q106" s="6">
        <f>IF(sim.tbl[[#This Row],[Dens]]&lt;=770,1,0)</f>
        <v>0</v>
      </c>
      <c r="R106" s="6">
        <f>IF(AND(sim.tbl[[#This Row],[Sulf]]&gt;0.5,sim.tbl[[#This Row],[Dens]]&gt;770,sim.tbl[[#This Row],[Dens]]&lt;=825),1,0)</f>
        <v>0</v>
      </c>
      <c r="S106" s="6">
        <f>IF(AND(sim.tbl[[#This Row],[Sulf]]&lt;=0.5,sim.tbl[[#This Row],[Dens]]&gt;770,sim.tbl[[#This Row],[Dens]]&lt;=825),1,0)</f>
        <v>0</v>
      </c>
      <c r="T106" s="6">
        <f>IF(AND(sim.tbl[[#This Row],[Sulf]]&gt;0.5,sim.tbl[[#This Row],[Dens]]&gt;825,sim.tbl[[#This Row],[Dens]]&lt;=870),1,0)</f>
        <v>1</v>
      </c>
      <c r="U106" s="6">
        <f>IF(AND(sim.tbl[[#This Row],[Sulf]]&lt;0.5,sim.tbl[[#This Row],[Dens]]&gt;825,sim.tbl[[#This Row],[Dens]]&lt;=900),1,0)</f>
        <v>0</v>
      </c>
      <c r="V106" s="6">
        <f>IF(AND(sim.tbl[[#This Row],[Sulf]]&gt;0.5,sim.tbl[[#This Row],[Dens]]&gt;870,sim.tbl[[#This Row],[Dens]]&lt;=900),1,0)</f>
        <v>0</v>
      </c>
      <c r="W106" s="6">
        <f>IF(AND(sim.tbl[[#This Row],[Sulf]]&gt;0.5,sim.tbl[[#This Row],[Dens]]&gt;900),1,0)</f>
        <v>0</v>
      </c>
      <c r="X106" s="6">
        <f>IF(AND(sim.tbl[[#This Row],[Sulf]]&lt;=0.5,sim.tbl[[#This Row],[Dens]]&gt;900),1,0)</f>
        <v>0</v>
      </c>
      <c r="Y106" s="6">
        <f ca="1">IF(MONTH(sim.tbl[[#This Row],[SDate]])=INDEX(mthLkUp.tbl[Num],MATCH(Y$3,mthLkUp.tbl[Month],0)),1,0)</f>
        <v>0</v>
      </c>
      <c r="Z106" s="6">
        <f ca="1">IF(MONTH(sim.tbl[[#This Row],[SDate]])=INDEX(mthLkUp.tbl[Num],MATCH(Z$3,mthLkUp.tbl[Month],0)),1,0)</f>
        <v>0</v>
      </c>
      <c r="AA106" s="6">
        <f ca="1">IF(MONTH(sim.tbl[[#This Row],[SDate]])=INDEX(mthLkUp.tbl[Num],MATCH(AA$3,mthLkUp.tbl[Month],0)),1,0)</f>
        <v>1</v>
      </c>
      <c r="AB106" s="6">
        <f ca="1">IF(MONTH(sim.tbl[[#This Row],[SDate]])=INDEX(mthLkUp.tbl[Num],MATCH(AB$3,mthLkUp.tbl[Month],0)),1,0)</f>
        <v>0</v>
      </c>
      <c r="AC106" s="6">
        <f ca="1">IF(MONTH(sim.tbl[[#This Row],[SDate]])=INDEX(mthLkUp.tbl[Num],MATCH(AC$3,mthLkUp.tbl[Month],0)),1,0)</f>
        <v>0</v>
      </c>
      <c r="AD106" s="6">
        <f ca="1">IF(MONTH(sim.tbl[[#This Row],[SDate]])=INDEX(mthLkUp.tbl[Num],MATCH(AD$3,mthLkUp.tbl[Month],0)),1,0)</f>
        <v>0</v>
      </c>
      <c r="AE106" s="6">
        <f ca="1">IF(MONTH(sim.tbl[[#This Row],[SDate]])=INDEX(mthLkUp.tbl[Num],MATCH(AE$3,mthLkUp.tbl[Month],0)),1,0)</f>
        <v>0</v>
      </c>
      <c r="AF106" s="6">
        <f ca="1">IF(MONTH(sim.tbl[[#This Row],[SDate]])=INDEX(mthLkUp.tbl[Num],MATCH(AF$3,mthLkUp.tbl[Month],0)),1,0)</f>
        <v>0</v>
      </c>
      <c r="AG106" s="6">
        <f ca="1">IF(MONTH(sim.tbl[[#This Row],[SDate]])=INDEX(mthLkUp.tbl[Num],MATCH(AG$3,mthLkUp.tbl[Month],0)),1,0)</f>
        <v>0</v>
      </c>
      <c r="AH106" s="6">
        <f ca="1">IF(MONTH(sim.tbl[[#This Row],[SDate]])=INDEX(mthLkUp.tbl[Num],MATCH(AH$3,mthLkUp.tbl[Month],0)),1,0)</f>
        <v>0</v>
      </c>
      <c r="AI106" s="6">
        <f ca="1">IF(MONTH(sim.tbl[[#This Row],[SDate]])=INDEX(mthLkUp.tbl[Num],MATCH(AI$3,mthLkUp.tbl[Month],0)),1,0)</f>
        <v>0</v>
      </c>
      <c r="AJ106" s="6">
        <f ca="1">IF(MONTH(sim.tbl[[#This Row],[SDate]])=INDEX(mthLkUp.tbl[Num],MATCH(AJ$3,mthLkUp.tbl[Month],0)),1,0)</f>
        <v>0</v>
      </c>
      <c r="AK106" s="6">
        <v>1</v>
      </c>
      <c r="AL106" s="5">
        <f>sim.tbl[[#This Row],[Sulf]]*sim.tbl[[#This Row],[C5]]</f>
        <v>0</v>
      </c>
      <c r="AM106" s="5">
        <f>sim.tbl[[#This Row],[Sulf]]*sim.tbl[[#This Row],[Light_LSB]]</f>
        <v>0</v>
      </c>
      <c r="AN106" s="5">
        <f>sim.tbl[[#This Row],[Sulf]]*sim.tbl[[#This Row],[Light_SW]]</f>
        <v>0</v>
      </c>
      <c r="AO106" s="5">
        <f>sim.tbl[[#This Row],[Sulf]]*sim.tbl[[#This Row],[Medium_LSB]]</f>
        <v>1.62</v>
      </c>
      <c r="AP106" s="5">
        <f>sim.tbl[[#This Row],[Sulf]]*sim.tbl[[#This Row],[Medium_SW]]</f>
        <v>0</v>
      </c>
      <c r="AQ106" s="5">
        <f>sim.tbl[[#This Row],[Sulf]]*sim.tbl[[#This Row],[Midale]]</f>
        <v>0</v>
      </c>
      <c r="AR106" s="5">
        <f>sim.tbl[[#This Row],[Sulf]]*sim.tbl[[#This Row],[Heavy_Sour]]</f>
        <v>0</v>
      </c>
      <c r="AS106" s="5">
        <f>sim.tbl[[#This Row],[Sulf]]*sim.tbl[[#This Row],[Heavy_SW]]</f>
        <v>0</v>
      </c>
      <c r="AT106" s="5">
        <f>sim.tbl[[#This Row],[Dens]]*sim.tbl[[#This Row],[C5]]</f>
        <v>0</v>
      </c>
      <c r="AU106" s="5">
        <f>sim.tbl[[#This Row],[Dens]]*sim.tbl[[#This Row],[Light_LSB]]</f>
        <v>0</v>
      </c>
      <c r="AV106" s="5">
        <f>sim.tbl[[#This Row],[Dens]]*sim.tbl[[#This Row],[Light_SW]]</f>
        <v>0</v>
      </c>
      <c r="AW106" s="5">
        <f>sim.tbl[[#This Row],[Dens]]*sim.tbl[[#This Row],[Medium_LSB]]</f>
        <v>827.7</v>
      </c>
      <c r="AX106" s="5">
        <f>sim.tbl[[#This Row],[Dens]]*sim.tbl[[#This Row],[Medium_SW]]</f>
        <v>0</v>
      </c>
      <c r="AY106" s="5">
        <f>sim.tbl[[#This Row],[Dens]]*sim.tbl[[#This Row],[Midale]]</f>
        <v>0</v>
      </c>
      <c r="AZ106" s="5">
        <f>sim.tbl[[#This Row],[Dens]]*sim.tbl[[#This Row],[Heavy_Sour]]</f>
        <v>0</v>
      </c>
      <c r="BA106" s="5">
        <f>sim.tbl[[#This Row],[Dens]]*sim.tbl[[#This Row],[Heavy_SW]]</f>
        <v>0</v>
      </c>
      <c r="BB106" s="5">
        <f>sim.tbl[[#This Row],[Temp.Roll]]*sim.tbl[[#This Row],[C5]]</f>
        <v>0</v>
      </c>
      <c r="BC106" s="5">
        <f>sim.tbl[[#This Row],[Temp.Roll]]*sim.tbl[[#This Row],[Light_LSB]]</f>
        <v>0</v>
      </c>
      <c r="BD106" s="5">
        <f>sim.tbl[[#This Row],[Temp.Roll]]*sim.tbl[[#This Row],[Light_SW]]</f>
        <v>0</v>
      </c>
      <c r="BE106" s="5">
        <f>sim.tbl[[#This Row],[Temp.Roll]]*sim.tbl[[#This Row],[Medium_LSB]]</f>
        <v>1.4</v>
      </c>
      <c r="BF106" s="5">
        <f>sim.tbl[[#This Row],[Temp.Roll]]*sim.tbl[[#This Row],[Medium_SW]]</f>
        <v>0</v>
      </c>
      <c r="BG106" s="5">
        <f>sim.tbl[[#This Row],[Temp.Roll]]*sim.tbl[[#This Row],[Midale]]</f>
        <v>0</v>
      </c>
      <c r="BH106" s="5">
        <f>sim.tbl[[#This Row],[Temp.Roll]]*sim.tbl[[#This Row],[Heavy_Sour]]</f>
        <v>0</v>
      </c>
      <c r="BI106" s="5">
        <f>sim.tbl[[#This Row],[Temp.Roll]]*sim.tbl[[#This Row],[Heavy_SW]]</f>
        <v>0</v>
      </c>
    </row>
    <row r="107" spans="4:61" x14ac:dyDescent="0.25">
      <c r="D107" s="5">
        <f ca="1">SUMPRODUCT($F$1:$BI$1,sim.tbl[[#This Row],[Intercept]:[Temp.Roll:Heavy_SW]])</f>
        <v>85.184928835397642</v>
      </c>
      <c r="E107" s="14">
        <f ca="1">DATE(YEAR(TODAY()),INDEX(mthLkUp.tbl[Num],MATCH(mth.input,mthLkUp.tbl[Month],0)),1)</f>
        <v>42795</v>
      </c>
      <c r="F107" s="6">
        <f>1</f>
        <v>1</v>
      </c>
      <c r="G107" s="5">
        <v>0.79</v>
      </c>
      <c r="H107" s="5">
        <v>834.3</v>
      </c>
      <c r="I107" s="5">
        <v>-11.46</v>
      </c>
      <c r="J107" s="5">
        <v>-12.8</v>
      </c>
      <c r="K107" s="5">
        <v>-12.3</v>
      </c>
      <c r="L107" s="5">
        <v>-12.8</v>
      </c>
      <c r="M107" s="5">
        <v>2.8</v>
      </c>
      <c r="N107" s="5">
        <v>-10</v>
      </c>
      <c r="O107" s="5">
        <v>-13</v>
      </c>
      <c r="P107" s="5">
        <v>-9.1999999999999993</v>
      </c>
      <c r="Q107" s="6">
        <f>IF(sim.tbl[[#This Row],[Dens]]&lt;=770,1,0)</f>
        <v>0</v>
      </c>
      <c r="R107" s="6">
        <f>IF(AND(sim.tbl[[#This Row],[Sulf]]&gt;0.5,sim.tbl[[#This Row],[Dens]]&gt;770,sim.tbl[[#This Row],[Dens]]&lt;=825),1,0)</f>
        <v>0</v>
      </c>
      <c r="S107" s="6">
        <f>IF(AND(sim.tbl[[#This Row],[Sulf]]&lt;=0.5,sim.tbl[[#This Row],[Dens]]&gt;770,sim.tbl[[#This Row],[Dens]]&lt;=825),1,0)</f>
        <v>0</v>
      </c>
      <c r="T107" s="6">
        <f>IF(AND(sim.tbl[[#This Row],[Sulf]]&gt;0.5,sim.tbl[[#This Row],[Dens]]&gt;825,sim.tbl[[#This Row],[Dens]]&lt;=870),1,0)</f>
        <v>1</v>
      </c>
      <c r="U107" s="6">
        <f>IF(AND(sim.tbl[[#This Row],[Sulf]]&lt;0.5,sim.tbl[[#This Row],[Dens]]&gt;825,sim.tbl[[#This Row],[Dens]]&lt;=900),1,0)</f>
        <v>0</v>
      </c>
      <c r="V107" s="6">
        <f>IF(AND(sim.tbl[[#This Row],[Sulf]]&gt;0.5,sim.tbl[[#This Row],[Dens]]&gt;870,sim.tbl[[#This Row],[Dens]]&lt;=900),1,0)</f>
        <v>0</v>
      </c>
      <c r="W107" s="6">
        <f>IF(AND(sim.tbl[[#This Row],[Sulf]]&gt;0.5,sim.tbl[[#This Row],[Dens]]&gt;900),1,0)</f>
        <v>0</v>
      </c>
      <c r="X107" s="6">
        <f>IF(AND(sim.tbl[[#This Row],[Sulf]]&lt;=0.5,sim.tbl[[#This Row],[Dens]]&gt;900),1,0)</f>
        <v>0</v>
      </c>
      <c r="Y107" s="6">
        <f ca="1">IF(MONTH(sim.tbl[[#This Row],[SDate]])=INDEX(mthLkUp.tbl[Num],MATCH(Y$3,mthLkUp.tbl[Month],0)),1,0)</f>
        <v>0</v>
      </c>
      <c r="Z107" s="6">
        <f ca="1">IF(MONTH(sim.tbl[[#This Row],[SDate]])=INDEX(mthLkUp.tbl[Num],MATCH(Z$3,mthLkUp.tbl[Month],0)),1,0)</f>
        <v>0</v>
      </c>
      <c r="AA107" s="6">
        <f ca="1">IF(MONTH(sim.tbl[[#This Row],[SDate]])=INDEX(mthLkUp.tbl[Num],MATCH(AA$3,mthLkUp.tbl[Month],0)),1,0)</f>
        <v>1</v>
      </c>
      <c r="AB107" s="6">
        <f ca="1">IF(MONTH(sim.tbl[[#This Row],[SDate]])=INDEX(mthLkUp.tbl[Num],MATCH(AB$3,mthLkUp.tbl[Month],0)),1,0)</f>
        <v>0</v>
      </c>
      <c r="AC107" s="6">
        <f ca="1">IF(MONTH(sim.tbl[[#This Row],[SDate]])=INDEX(mthLkUp.tbl[Num],MATCH(AC$3,mthLkUp.tbl[Month],0)),1,0)</f>
        <v>0</v>
      </c>
      <c r="AD107" s="6">
        <f ca="1">IF(MONTH(sim.tbl[[#This Row],[SDate]])=INDEX(mthLkUp.tbl[Num],MATCH(AD$3,mthLkUp.tbl[Month],0)),1,0)</f>
        <v>0</v>
      </c>
      <c r="AE107" s="6">
        <f ca="1">IF(MONTH(sim.tbl[[#This Row],[SDate]])=INDEX(mthLkUp.tbl[Num],MATCH(AE$3,mthLkUp.tbl[Month],0)),1,0)</f>
        <v>0</v>
      </c>
      <c r="AF107" s="6">
        <f ca="1">IF(MONTH(sim.tbl[[#This Row],[SDate]])=INDEX(mthLkUp.tbl[Num],MATCH(AF$3,mthLkUp.tbl[Month],0)),1,0)</f>
        <v>0</v>
      </c>
      <c r="AG107" s="6">
        <f ca="1">IF(MONTH(sim.tbl[[#This Row],[SDate]])=INDEX(mthLkUp.tbl[Num],MATCH(AG$3,mthLkUp.tbl[Month],0)),1,0)</f>
        <v>0</v>
      </c>
      <c r="AH107" s="6">
        <f ca="1">IF(MONTH(sim.tbl[[#This Row],[SDate]])=INDEX(mthLkUp.tbl[Num],MATCH(AH$3,mthLkUp.tbl[Month],0)),1,0)</f>
        <v>0</v>
      </c>
      <c r="AI107" s="6">
        <f ca="1">IF(MONTH(sim.tbl[[#This Row],[SDate]])=INDEX(mthLkUp.tbl[Num],MATCH(AI$3,mthLkUp.tbl[Month],0)),1,0)</f>
        <v>0</v>
      </c>
      <c r="AJ107" s="6">
        <f ca="1">IF(MONTH(sim.tbl[[#This Row],[SDate]])=INDEX(mthLkUp.tbl[Num],MATCH(AJ$3,mthLkUp.tbl[Month],0)),1,0)</f>
        <v>0</v>
      </c>
      <c r="AK107" s="6">
        <v>1</v>
      </c>
      <c r="AL107" s="5">
        <f>sim.tbl[[#This Row],[Sulf]]*sim.tbl[[#This Row],[C5]]</f>
        <v>0</v>
      </c>
      <c r="AM107" s="5">
        <f>sim.tbl[[#This Row],[Sulf]]*sim.tbl[[#This Row],[Light_LSB]]</f>
        <v>0</v>
      </c>
      <c r="AN107" s="5">
        <f>sim.tbl[[#This Row],[Sulf]]*sim.tbl[[#This Row],[Light_SW]]</f>
        <v>0</v>
      </c>
      <c r="AO107" s="5">
        <f>sim.tbl[[#This Row],[Sulf]]*sim.tbl[[#This Row],[Medium_LSB]]</f>
        <v>0.79</v>
      </c>
      <c r="AP107" s="5">
        <f>sim.tbl[[#This Row],[Sulf]]*sim.tbl[[#This Row],[Medium_SW]]</f>
        <v>0</v>
      </c>
      <c r="AQ107" s="5">
        <f>sim.tbl[[#This Row],[Sulf]]*sim.tbl[[#This Row],[Midale]]</f>
        <v>0</v>
      </c>
      <c r="AR107" s="5">
        <f>sim.tbl[[#This Row],[Sulf]]*sim.tbl[[#This Row],[Heavy_Sour]]</f>
        <v>0</v>
      </c>
      <c r="AS107" s="5">
        <f>sim.tbl[[#This Row],[Sulf]]*sim.tbl[[#This Row],[Heavy_SW]]</f>
        <v>0</v>
      </c>
      <c r="AT107" s="5">
        <f>sim.tbl[[#This Row],[Dens]]*sim.tbl[[#This Row],[C5]]</f>
        <v>0</v>
      </c>
      <c r="AU107" s="5">
        <f>sim.tbl[[#This Row],[Dens]]*sim.tbl[[#This Row],[Light_LSB]]</f>
        <v>0</v>
      </c>
      <c r="AV107" s="5">
        <f>sim.tbl[[#This Row],[Dens]]*sim.tbl[[#This Row],[Light_SW]]</f>
        <v>0</v>
      </c>
      <c r="AW107" s="5">
        <f>sim.tbl[[#This Row],[Dens]]*sim.tbl[[#This Row],[Medium_LSB]]</f>
        <v>834.3</v>
      </c>
      <c r="AX107" s="5">
        <f>sim.tbl[[#This Row],[Dens]]*sim.tbl[[#This Row],[Medium_SW]]</f>
        <v>0</v>
      </c>
      <c r="AY107" s="5">
        <f>sim.tbl[[#This Row],[Dens]]*sim.tbl[[#This Row],[Midale]]</f>
        <v>0</v>
      </c>
      <c r="AZ107" s="5">
        <f>sim.tbl[[#This Row],[Dens]]*sim.tbl[[#This Row],[Heavy_Sour]]</f>
        <v>0</v>
      </c>
      <c r="BA107" s="5">
        <f>sim.tbl[[#This Row],[Dens]]*sim.tbl[[#This Row],[Heavy_SW]]</f>
        <v>0</v>
      </c>
      <c r="BB107" s="5">
        <f>sim.tbl[[#This Row],[Temp.Roll]]*sim.tbl[[#This Row],[C5]]</f>
        <v>0</v>
      </c>
      <c r="BC107" s="5">
        <f>sim.tbl[[#This Row],[Temp.Roll]]*sim.tbl[[#This Row],[Light_LSB]]</f>
        <v>0</v>
      </c>
      <c r="BD107" s="5">
        <f>sim.tbl[[#This Row],[Temp.Roll]]*sim.tbl[[#This Row],[Light_SW]]</f>
        <v>0</v>
      </c>
      <c r="BE107" s="5">
        <f>sim.tbl[[#This Row],[Temp.Roll]]*sim.tbl[[#This Row],[Medium_LSB]]</f>
        <v>-12.8</v>
      </c>
      <c r="BF107" s="5">
        <f>sim.tbl[[#This Row],[Temp.Roll]]*sim.tbl[[#This Row],[Medium_SW]]</f>
        <v>0</v>
      </c>
      <c r="BG107" s="5">
        <f>sim.tbl[[#This Row],[Temp.Roll]]*sim.tbl[[#This Row],[Midale]]</f>
        <v>0</v>
      </c>
      <c r="BH107" s="5">
        <f>sim.tbl[[#This Row],[Temp.Roll]]*sim.tbl[[#This Row],[Heavy_Sour]]</f>
        <v>0</v>
      </c>
      <c r="BI107" s="5">
        <f>sim.tbl[[#This Row],[Temp.Roll]]*sim.tbl[[#This Row],[Heavy_SW]]</f>
        <v>0</v>
      </c>
    </row>
    <row r="108" spans="4:61" x14ac:dyDescent="0.25">
      <c r="D108" s="5">
        <f ca="1">SUMPRODUCT($F$1:$BI$1,sim.tbl[[#This Row],[Intercept]:[Temp.Roll:Heavy_SW]])</f>
        <v>81.666053261100615</v>
      </c>
      <c r="E108" s="14">
        <f ca="1">DATE(YEAR(TODAY()),INDEX(mthLkUp.tbl[Num],MATCH(mth.input,mthLkUp.tbl[Month],0)),1)</f>
        <v>42795</v>
      </c>
      <c r="F108" s="6">
        <f>1</f>
        <v>1</v>
      </c>
      <c r="G108" s="5">
        <v>1.32</v>
      </c>
      <c r="H108" s="5">
        <v>828.04</v>
      </c>
      <c r="I108" s="5">
        <v>3.04</v>
      </c>
      <c r="J108" s="5">
        <v>2.2000000000000002</v>
      </c>
      <c r="K108" s="5">
        <v>2.2000000000000002</v>
      </c>
      <c r="L108" s="5">
        <v>2.2000000000000002</v>
      </c>
      <c r="M108" s="5">
        <v>8</v>
      </c>
      <c r="N108" s="5">
        <v>1.8</v>
      </c>
      <c r="O108" s="5">
        <v>2</v>
      </c>
      <c r="P108" s="5">
        <v>0.8</v>
      </c>
      <c r="Q108" s="6">
        <f>IF(sim.tbl[[#This Row],[Dens]]&lt;=770,1,0)</f>
        <v>0</v>
      </c>
      <c r="R108" s="6">
        <f>IF(AND(sim.tbl[[#This Row],[Sulf]]&gt;0.5,sim.tbl[[#This Row],[Dens]]&gt;770,sim.tbl[[#This Row],[Dens]]&lt;=825),1,0)</f>
        <v>0</v>
      </c>
      <c r="S108" s="6">
        <f>IF(AND(sim.tbl[[#This Row],[Sulf]]&lt;=0.5,sim.tbl[[#This Row],[Dens]]&gt;770,sim.tbl[[#This Row],[Dens]]&lt;=825),1,0)</f>
        <v>0</v>
      </c>
      <c r="T108" s="6">
        <f>IF(AND(sim.tbl[[#This Row],[Sulf]]&gt;0.5,sim.tbl[[#This Row],[Dens]]&gt;825,sim.tbl[[#This Row],[Dens]]&lt;=870),1,0)</f>
        <v>1</v>
      </c>
      <c r="U108" s="6">
        <f>IF(AND(sim.tbl[[#This Row],[Sulf]]&lt;0.5,sim.tbl[[#This Row],[Dens]]&gt;825,sim.tbl[[#This Row],[Dens]]&lt;=900),1,0)</f>
        <v>0</v>
      </c>
      <c r="V108" s="6">
        <f>IF(AND(sim.tbl[[#This Row],[Sulf]]&gt;0.5,sim.tbl[[#This Row],[Dens]]&gt;870,sim.tbl[[#This Row],[Dens]]&lt;=900),1,0)</f>
        <v>0</v>
      </c>
      <c r="W108" s="6">
        <f>IF(AND(sim.tbl[[#This Row],[Sulf]]&gt;0.5,sim.tbl[[#This Row],[Dens]]&gt;900),1,0)</f>
        <v>0</v>
      </c>
      <c r="X108" s="6">
        <f>IF(AND(sim.tbl[[#This Row],[Sulf]]&lt;=0.5,sim.tbl[[#This Row],[Dens]]&gt;900),1,0)</f>
        <v>0</v>
      </c>
      <c r="Y108" s="6">
        <f ca="1">IF(MONTH(sim.tbl[[#This Row],[SDate]])=INDEX(mthLkUp.tbl[Num],MATCH(Y$3,mthLkUp.tbl[Month],0)),1,0)</f>
        <v>0</v>
      </c>
      <c r="Z108" s="6">
        <f ca="1">IF(MONTH(sim.tbl[[#This Row],[SDate]])=INDEX(mthLkUp.tbl[Num],MATCH(Z$3,mthLkUp.tbl[Month],0)),1,0)</f>
        <v>0</v>
      </c>
      <c r="AA108" s="6">
        <f ca="1">IF(MONTH(sim.tbl[[#This Row],[SDate]])=INDEX(mthLkUp.tbl[Num],MATCH(AA$3,mthLkUp.tbl[Month],0)),1,0)</f>
        <v>1</v>
      </c>
      <c r="AB108" s="6">
        <f ca="1">IF(MONTH(sim.tbl[[#This Row],[SDate]])=INDEX(mthLkUp.tbl[Num],MATCH(AB$3,mthLkUp.tbl[Month],0)),1,0)</f>
        <v>0</v>
      </c>
      <c r="AC108" s="6">
        <f ca="1">IF(MONTH(sim.tbl[[#This Row],[SDate]])=INDEX(mthLkUp.tbl[Num],MATCH(AC$3,mthLkUp.tbl[Month],0)),1,0)</f>
        <v>0</v>
      </c>
      <c r="AD108" s="6">
        <f ca="1">IF(MONTH(sim.tbl[[#This Row],[SDate]])=INDEX(mthLkUp.tbl[Num],MATCH(AD$3,mthLkUp.tbl[Month],0)),1,0)</f>
        <v>0</v>
      </c>
      <c r="AE108" s="6">
        <f ca="1">IF(MONTH(sim.tbl[[#This Row],[SDate]])=INDEX(mthLkUp.tbl[Num],MATCH(AE$3,mthLkUp.tbl[Month],0)),1,0)</f>
        <v>0</v>
      </c>
      <c r="AF108" s="6">
        <f ca="1">IF(MONTH(sim.tbl[[#This Row],[SDate]])=INDEX(mthLkUp.tbl[Num],MATCH(AF$3,mthLkUp.tbl[Month],0)),1,0)</f>
        <v>0</v>
      </c>
      <c r="AG108" s="6">
        <f ca="1">IF(MONTH(sim.tbl[[#This Row],[SDate]])=INDEX(mthLkUp.tbl[Num],MATCH(AG$3,mthLkUp.tbl[Month],0)),1,0)</f>
        <v>0</v>
      </c>
      <c r="AH108" s="6">
        <f ca="1">IF(MONTH(sim.tbl[[#This Row],[SDate]])=INDEX(mthLkUp.tbl[Num],MATCH(AH$3,mthLkUp.tbl[Month],0)),1,0)</f>
        <v>0</v>
      </c>
      <c r="AI108" s="6">
        <f ca="1">IF(MONTH(sim.tbl[[#This Row],[SDate]])=INDEX(mthLkUp.tbl[Num],MATCH(AI$3,mthLkUp.tbl[Month],0)),1,0)</f>
        <v>0</v>
      </c>
      <c r="AJ108" s="6">
        <f ca="1">IF(MONTH(sim.tbl[[#This Row],[SDate]])=INDEX(mthLkUp.tbl[Num],MATCH(AJ$3,mthLkUp.tbl[Month],0)),1,0)</f>
        <v>0</v>
      </c>
      <c r="AK108" s="6">
        <v>1</v>
      </c>
      <c r="AL108" s="5">
        <f>sim.tbl[[#This Row],[Sulf]]*sim.tbl[[#This Row],[C5]]</f>
        <v>0</v>
      </c>
      <c r="AM108" s="5">
        <f>sim.tbl[[#This Row],[Sulf]]*sim.tbl[[#This Row],[Light_LSB]]</f>
        <v>0</v>
      </c>
      <c r="AN108" s="5">
        <f>sim.tbl[[#This Row],[Sulf]]*sim.tbl[[#This Row],[Light_SW]]</f>
        <v>0</v>
      </c>
      <c r="AO108" s="5">
        <f>sim.tbl[[#This Row],[Sulf]]*sim.tbl[[#This Row],[Medium_LSB]]</f>
        <v>1.32</v>
      </c>
      <c r="AP108" s="5">
        <f>sim.tbl[[#This Row],[Sulf]]*sim.tbl[[#This Row],[Medium_SW]]</f>
        <v>0</v>
      </c>
      <c r="AQ108" s="5">
        <f>sim.tbl[[#This Row],[Sulf]]*sim.tbl[[#This Row],[Midale]]</f>
        <v>0</v>
      </c>
      <c r="AR108" s="5">
        <f>sim.tbl[[#This Row],[Sulf]]*sim.tbl[[#This Row],[Heavy_Sour]]</f>
        <v>0</v>
      </c>
      <c r="AS108" s="5">
        <f>sim.tbl[[#This Row],[Sulf]]*sim.tbl[[#This Row],[Heavy_SW]]</f>
        <v>0</v>
      </c>
      <c r="AT108" s="5">
        <f>sim.tbl[[#This Row],[Dens]]*sim.tbl[[#This Row],[C5]]</f>
        <v>0</v>
      </c>
      <c r="AU108" s="5">
        <f>sim.tbl[[#This Row],[Dens]]*sim.tbl[[#This Row],[Light_LSB]]</f>
        <v>0</v>
      </c>
      <c r="AV108" s="5">
        <f>sim.tbl[[#This Row],[Dens]]*sim.tbl[[#This Row],[Light_SW]]</f>
        <v>0</v>
      </c>
      <c r="AW108" s="5">
        <f>sim.tbl[[#This Row],[Dens]]*sim.tbl[[#This Row],[Medium_LSB]]</f>
        <v>828.04</v>
      </c>
      <c r="AX108" s="5">
        <f>sim.tbl[[#This Row],[Dens]]*sim.tbl[[#This Row],[Medium_SW]]</f>
        <v>0</v>
      </c>
      <c r="AY108" s="5">
        <f>sim.tbl[[#This Row],[Dens]]*sim.tbl[[#This Row],[Midale]]</f>
        <v>0</v>
      </c>
      <c r="AZ108" s="5">
        <f>sim.tbl[[#This Row],[Dens]]*sim.tbl[[#This Row],[Heavy_Sour]]</f>
        <v>0</v>
      </c>
      <c r="BA108" s="5">
        <f>sim.tbl[[#This Row],[Dens]]*sim.tbl[[#This Row],[Heavy_SW]]</f>
        <v>0</v>
      </c>
      <c r="BB108" s="5">
        <f>sim.tbl[[#This Row],[Temp.Roll]]*sim.tbl[[#This Row],[C5]]</f>
        <v>0</v>
      </c>
      <c r="BC108" s="5">
        <f>sim.tbl[[#This Row],[Temp.Roll]]*sim.tbl[[#This Row],[Light_LSB]]</f>
        <v>0</v>
      </c>
      <c r="BD108" s="5">
        <f>sim.tbl[[#This Row],[Temp.Roll]]*sim.tbl[[#This Row],[Light_SW]]</f>
        <v>0</v>
      </c>
      <c r="BE108" s="5">
        <f>sim.tbl[[#This Row],[Temp.Roll]]*sim.tbl[[#This Row],[Medium_LSB]]</f>
        <v>2.2000000000000002</v>
      </c>
      <c r="BF108" s="5">
        <f>sim.tbl[[#This Row],[Temp.Roll]]*sim.tbl[[#This Row],[Medium_SW]]</f>
        <v>0</v>
      </c>
      <c r="BG108" s="5">
        <f>sim.tbl[[#This Row],[Temp.Roll]]*sim.tbl[[#This Row],[Midale]]</f>
        <v>0</v>
      </c>
      <c r="BH108" s="5">
        <f>sim.tbl[[#This Row],[Temp.Roll]]*sim.tbl[[#This Row],[Heavy_Sour]]</f>
        <v>0</v>
      </c>
      <c r="BI108" s="5">
        <f>sim.tbl[[#This Row],[Temp.Roll]]*sim.tbl[[#This Row],[Heavy_SW]]</f>
        <v>0</v>
      </c>
    </row>
    <row r="109" spans="4:61" x14ac:dyDescent="0.25">
      <c r="D109" s="5">
        <f ca="1">SUMPRODUCT($F$1:$BI$1,sim.tbl[[#This Row],[Intercept]:[Temp.Roll:Heavy_SW]])</f>
        <v>81.409471604895884</v>
      </c>
      <c r="E109" s="14">
        <f ca="1">DATE(YEAR(TODAY()),INDEX(mthLkUp.tbl[Num],MATCH(mth.input,mthLkUp.tbl[Month],0)),1)</f>
        <v>42795</v>
      </c>
      <c r="F109" s="6">
        <f>1</f>
        <v>1</v>
      </c>
      <c r="G109" s="5">
        <v>0.44600000000000001</v>
      </c>
      <c r="H109" s="5">
        <v>818.05</v>
      </c>
      <c r="I109" s="5">
        <v>9.42</v>
      </c>
      <c r="J109" s="5">
        <v>9.1999999999999993</v>
      </c>
      <c r="K109" s="5">
        <v>9.5</v>
      </c>
      <c r="L109" s="5">
        <v>9.1999999999999993</v>
      </c>
      <c r="M109" s="5">
        <v>3.8</v>
      </c>
      <c r="N109" s="5">
        <v>9.3000000000000007</v>
      </c>
      <c r="O109" s="5">
        <v>8.3000000000000007</v>
      </c>
      <c r="P109" s="5">
        <v>10.8</v>
      </c>
      <c r="Q109" s="6">
        <f>IF(sim.tbl[[#This Row],[Dens]]&lt;=770,1,0)</f>
        <v>0</v>
      </c>
      <c r="R109" s="6">
        <f>IF(AND(sim.tbl[[#This Row],[Sulf]]&gt;0.5,sim.tbl[[#This Row],[Dens]]&gt;770,sim.tbl[[#This Row],[Dens]]&lt;=825),1,0)</f>
        <v>0</v>
      </c>
      <c r="S109" s="6">
        <f>IF(AND(sim.tbl[[#This Row],[Sulf]]&lt;=0.5,sim.tbl[[#This Row],[Dens]]&gt;770,sim.tbl[[#This Row],[Dens]]&lt;=825),1,0)</f>
        <v>1</v>
      </c>
      <c r="T109" s="6">
        <f>IF(AND(sim.tbl[[#This Row],[Sulf]]&gt;0.5,sim.tbl[[#This Row],[Dens]]&gt;825,sim.tbl[[#This Row],[Dens]]&lt;=870),1,0)</f>
        <v>0</v>
      </c>
      <c r="U109" s="6">
        <f>IF(AND(sim.tbl[[#This Row],[Sulf]]&lt;0.5,sim.tbl[[#This Row],[Dens]]&gt;825,sim.tbl[[#This Row],[Dens]]&lt;=900),1,0)</f>
        <v>0</v>
      </c>
      <c r="V109" s="6">
        <f>IF(AND(sim.tbl[[#This Row],[Sulf]]&gt;0.5,sim.tbl[[#This Row],[Dens]]&gt;870,sim.tbl[[#This Row],[Dens]]&lt;=900),1,0)</f>
        <v>0</v>
      </c>
      <c r="W109" s="6">
        <f>IF(AND(sim.tbl[[#This Row],[Sulf]]&gt;0.5,sim.tbl[[#This Row],[Dens]]&gt;900),1,0)</f>
        <v>0</v>
      </c>
      <c r="X109" s="6">
        <f>IF(AND(sim.tbl[[#This Row],[Sulf]]&lt;=0.5,sim.tbl[[#This Row],[Dens]]&gt;900),1,0)</f>
        <v>0</v>
      </c>
      <c r="Y109" s="6">
        <f ca="1">IF(MONTH(sim.tbl[[#This Row],[SDate]])=INDEX(mthLkUp.tbl[Num],MATCH(Y$3,mthLkUp.tbl[Month],0)),1,0)</f>
        <v>0</v>
      </c>
      <c r="Z109" s="6">
        <f ca="1">IF(MONTH(sim.tbl[[#This Row],[SDate]])=INDEX(mthLkUp.tbl[Num],MATCH(Z$3,mthLkUp.tbl[Month],0)),1,0)</f>
        <v>0</v>
      </c>
      <c r="AA109" s="6">
        <f ca="1">IF(MONTH(sim.tbl[[#This Row],[SDate]])=INDEX(mthLkUp.tbl[Num],MATCH(AA$3,mthLkUp.tbl[Month],0)),1,0)</f>
        <v>1</v>
      </c>
      <c r="AB109" s="6">
        <f ca="1">IF(MONTH(sim.tbl[[#This Row],[SDate]])=INDEX(mthLkUp.tbl[Num],MATCH(AB$3,mthLkUp.tbl[Month],0)),1,0)</f>
        <v>0</v>
      </c>
      <c r="AC109" s="6">
        <f ca="1">IF(MONTH(sim.tbl[[#This Row],[SDate]])=INDEX(mthLkUp.tbl[Num],MATCH(AC$3,mthLkUp.tbl[Month],0)),1,0)</f>
        <v>0</v>
      </c>
      <c r="AD109" s="6">
        <f ca="1">IF(MONTH(sim.tbl[[#This Row],[SDate]])=INDEX(mthLkUp.tbl[Num],MATCH(AD$3,mthLkUp.tbl[Month],0)),1,0)</f>
        <v>0</v>
      </c>
      <c r="AE109" s="6">
        <f ca="1">IF(MONTH(sim.tbl[[#This Row],[SDate]])=INDEX(mthLkUp.tbl[Num],MATCH(AE$3,mthLkUp.tbl[Month],0)),1,0)</f>
        <v>0</v>
      </c>
      <c r="AF109" s="6">
        <f ca="1">IF(MONTH(sim.tbl[[#This Row],[SDate]])=INDEX(mthLkUp.tbl[Num],MATCH(AF$3,mthLkUp.tbl[Month],0)),1,0)</f>
        <v>0</v>
      </c>
      <c r="AG109" s="6">
        <f ca="1">IF(MONTH(sim.tbl[[#This Row],[SDate]])=INDEX(mthLkUp.tbl[Num],MATCH(AG$3,mthLkUp.tbl[Month],0)),1,0)</f>
        <v>0</v>
      </c>
      <c r="AH109" s="6">
        <f ca="1">IF(MONTH(sim.tbl[[#This Row],[SDate]])=INDEX(mthLkUp.tbl[Num],MATCH(AH$3,mthLkUp.tbl[Month],0)),1,0)</f>
        <v>0</v>
      </c>
      <c r="AI109" s="6">
        <f ca="1">IF(MONTH(sim.tbl[[#This Row],[SDate]])=INDEX(mthLkUp.tbl[Num],MATCH(AI$3,mthLkUp.tbl[Month],0)),1,0)</f>
        <v>0</v>
      </c>
      <c r="AJ109" s="6">
        <f ca="1">IF(MONTH(sim.tbl[[#This Row],[SDate]])=INDEX(mthLkUp.tbl[Num],MATCH(AJ$3,mthLkUp.tbl[Month],0)),1,0)</f>
        <v>0</v>
      </c>
      <c r="AK109" s="6">
        <v>1</v>
      </c>
      <c r="AL109" s="5">
        <f>sim.tbl[[#This Row],[Sulf]]*sim.tbl[[#This Row],[C5]]</f>
        <v>0</v>
      </c>
      <c r="AM109" s="5">
        <f>sim.tbl[[#This Row],[Sulf]]*sim.tbl[[#This Row],[Light_LSB]]</f>
        <v>0</v>
      </c>
      <c r="AN109" s="5">
        <f>sim.tbl[[#This Row],[Sulf]]*sim.tbl[[#This Row],[Light_SW]]</f>
        <v>0.44600000000000001</v>
      </c>
      <c r="AO109" s="5">
        <f>sim.tbl[[#This Row],[Sulf]]*sim.tbl[[#This Row],[Medium_LSB]]</f>
        <v>0</v>
      </c>
      <c r="AP109" s="5">
        <f>sim.tbl[[#This Row],[Sulf]]*sim.tbl[[#This Row],[Medium_SW]]</f>
        <v>0</v>
      </c>
      <c r="AQ109" s="5">
        <f>sim.tbl[[#This Row],[Sulf]]*sim.tbl[[#This Row],[Midale]]</f>
        <v>0</v>
      </c>
      <c r="AR109" s="5">
        <f>sim.tbl[[#This Row],[Sulf]]*sim.tbl[[#This Row],[Heavy_Sour]]</f>
        <v>0</v>
      </c>
      <c r="AS109" s="5">
        <f>sim.tbl[[#This Row],[Sulf]]*sim.tbl[[#This Row],[Heavy_SW]]</f>
        <v>0</v>
      </c>
      <c r="AT109" s="5">
        <f>sim.tbl[[#This Row],[Dens]]*sim.tbl[[#This Row],[C5]]</f>
        <v>0</v>
      </c>
      <c r="AU109" s="5">
        <f>sim.tbl[[#This Row],[Dens]]*sim.tbl[[#This Row],[Light_LSB]]</f>
        <v>0</v>
      </c>
      <c r="AV109" s="5">
        <f>sim.tbl[[#This Row],[Dens]]*sim.tbl[[#This Row],[Light_SW]]</f>
        <v>818.05</v>
      </c>
      <c r="AW109" s="5">
        <f>sim.tbl[[#This Row],[Dens]]*sim.tbl[[#This Row],[Medium_LSB]]</f>
        <v>0</v>
      </c>
      <c r="AX109" s="5">
        <f>sim.tbl[[#This Row],[Dens]]*sim.tbl[[#This Row],[Medium_SW]]</f>
        <v>0</v>
      </c>
      <c r="AY109" s="5">
        <f>sim.tbl[[#This Row],[Dens]]*sim.tbl[[#This Row],[Midale]]</f>
        <v>0</v>
      </c>
      <c r="AZ109" s="5">
        <f>sim.tbl[[#This Row],[Dens]]*sim.tbl[[#This Row],[Heavy_Sour]]</f>
        <v>0</v>
      </c>
      <c r="BA109" s="5">
        <f>sim.tbl[[#This Row],[Dens]]*sim.tbl[[#This Row],[Heavy_SW]]</f>
        <v>0</v>
      </c>
      <c r="BB109" s="5">
        <f>sim.tbl[[#This Row],[Temp.Roll]]*sim.tbl[[#This Row],[C5]]</f>
        <v>0</v>
      </c>
      <c r="BC109" s="5">
        <f>sim.tbl[[#This Row],[Temp.Roll]]*sim.tbl[[#This Row],[Light_LSB]]</f>
        <v>0</v>
      </c>
      <c r="BD109" s="5">
        <f>sim.tbl[[#This Row],[Temp.Roll]]*sim.tbl[[#This Row],[Light_SW]]</f>
        <v>9.1999999999999993</v>
      </c>
      <c r="BE109" s="5">
        <f>sim.tbl[[#This Row],[Temp.Roll]]*sim.tbl[[#This Row],[Medium_LSB]]</f>
        <v>0</v>
      </c>
      <c r="BF109" s="5">
        <f>sim.tbl[[#This Row],[Temp.Roll]]*sim.tbl[[#This Row],[Medium_SW]]</f>
        <v>0</v>
      </c>
      <c r="BG109" s="5">
        <f>sim.tbl[[#This Row],[Temp.Roll]]*sim.tbl[[#This Row],[Midale]]</f>
        <v>0</v>
      </c>
      <c r="BH109" s="5">
        <f>sim.tbl[[#This Row],[Temp.Roll]]*sim.tbl[[#This Row],[Heavy_Sour]]</f>
        <v>0</v>
      </c>
      <c r="BI109" s="5">
        <f>sim.tbl[[#This Row],[Temp.Roll]]*sim.tbl[[#This Row],[Heavy_SW]]</f>
        <v>0</v>
      </c>
    </row>
    <row r="110" spans="4:61" x14ac:dyDescent="0.25">
      <c r="D110" s="5">
        <f ca="1">SUMPRODUCT($F$1:$BI$1,sim.tbl[[#This Row],[Intercept]:[Temp.Roll:Heavy_SW]])</f>
        <v>85.898363930504132</v>
      </c>
      <c r="E110" s="14">
        <f ca="1">DATE(YEAR(TODAY()),INDEX(mthLkUp.tbl[Num],MATCH(mth.input,mthLkUp.tbl[Month],0)),1)</f>
        <v>42795</v>
      </c>
      <c r="F110" s="6">
        <f>1</f>
        <v>1</v>
      </c>
      <c r="G110" s="5">
        <v>0.73</v>
      </c>
      <c r="H110" s="5">
        <v>827</v>
      </c>
      <c r="I110" s="5">
        <v>-10.233333330000001</v>
      </c>
      <c r="J110" s="5">
        <v>-8.6999999999999993</v>
      </c>
      <c r="K110" s="5">
        <v>-9.1999999999999993</v>
      </c>
      <c r="L110" s="5">
        <v>-8.6999999999999993</v>
      </c>
      <c r="M110" s="5">
        <v>-10.8</v>
      </c>
      <c r="N110" s="5">
        <v>-8.5</v>
      </c>
      <c r="O110" s="5">
        <v>-14.3</v>
      </c>
      <c r="P110" s="5">
        <v>-9.9</v>
      </c>
      <c r="Q110" s="6">
        <f>IF(sim.tbl[[#This Row],[Dens]]&lt;=770,1,0)</f>
        <v>0</v>
      </c>
      <c r="R110" s="6">
        <f>IF(AND(sim.tbl[[#This Row],[Sulf]]&gt;0.5,sim.tbl[[#This Row],[Dens]]&gt;770,sim.tbl[[#This Row],[Dens]]&lt;=825),1,0)</f>
        <v>0</v>
      </c>
      <c r="S110" s="6">
        <f>IF(AND(sim.tbl[[#This Row],[Sulf]]&lt;=0.5,sim.tbl[[#This Row],[Dens]]&gt;770,sim.tbl[[#This Row],[Dens]]&lt;=825),1,0)</f>
        <v>0</v>
      </c>
      <c r="T110" s="6">
        <f>IF(AND(sim.tbl[[#This Row],[Sulf]]&gt;0.5,sim.tbl[[#This Row],[Dens]]&gt;825,sim.tbl[[#This Row],[Dens]]&lt;=870),1,0)</f>
        <v>1</v>
      </c>
      <c r="U110" s="6">
        <f>IF(AND(sim.tbl[[#This Row],[Sulf]]&lt;0.5,sim.tbl[[#This Row],[Dens]]&gt;825,sim.tbl[[#This Row],[Dens]]&lt;=900),1,0)</f>
        <v>0</v>
      </c>
      <c r="V110" s="6">
        <f>IF(AND(sim.tbl[[#This Row],[Sulf]]&gt;0.5,sim.tbl[[#This Row],[Dens]]&gt;870,sim.tbl[[#This Row],[Dens]]&lt;=900),1,0)</f>
        <v>0</v>
      </c>
      <c r="W110" s="6">
        <f>IF(AND(sim.tbl[[#This Row],[Sulf]]&gt;0.5,sim.tbl[[#This Row],[Dens]]&gt;900),1,0)</f>
        <v>0</v>
      </c>
      <c r="X110" s="6">
        <f>IF(AND(sim.tbl[[#This Row],[Sulf]]&lt;=0.5,sim.tbl[[#This Row],[Dens]]&gt;900),1,0)</f>
        <v>0</v>
      </c>
      <c r="Y110" s="6">
        <f ca="1">IF(MONTH(sim.tbl[[#This Row],[SDate]])=INDEX(mthLkUp.tbl[Num],MATCH(Y$3,mthLkUp.tbl[Month],0)),1,0)</f>
        <v>0</v>
      </c>
      <c r="Z110" s="6">
        <f ca="1">IF(MONTH(sim.tbl[[#This Row],[SDate]])=INDEX(mthLkUp.tbl[Num],MATCH(Z$3,mthLkUp.tbl[Month],0)),1,0)</f>
        <v>0</v>
      </c>
      <c r="AA110" s="6">
        <f ca="1">IF(MONTH(sim.tbl[[#This Row],[SDate]])=INDEX(mthLkUp.tbl[Num],MATCH(AA$3,mthLkUp.tbl[Month],0)),1,0)</f>
        <v>1</v>
      </c>
      <c r="AB110" s="6">
        <f ca="1">IF(MONTH(sim.tbl[[#This Row],[SDate]])=INDEX(mthLkUp.tbl[Num],MATCH(AB$3,mthLkUp.tbl[Month],0)),1,0)</f>
        <v>0</v>
      </c>
      <c r="AC110" s="6">
        <f ca="1">IF(MONTH(sim.tbl[[#This Row],[SDate]])=INDEX(mthLkUp.tbl[Num],MATCH(AC$3,mthLkUp.tbl[Month],0)),1,0)</f>
        <v>0</v>
      </c>
      <c r="AD110" s="6">
        <f ca="1">IF(MONTH(sim.tbl[[#This Row],[SDate]])=INDEX(mthLkUp.tbl[Num],MATCH(AD$3,mthLkUp.tbl[Month],0)),1,0)</f>
        <v>0</v>
      </c>
      <c r="AE110" s="6">
        <f ca="1">IF(MONTH(sim.tbl[[#This Row],[SDate]])=INDEX(mthLkUp.tbl[Num],MATCH(AE$3,mthLkUp.tbl[Month],0)),1,0)</f>
        <v>0</v>
      </c>
      <c r="AF110" s="6">
        <f ca="1">IF(MONTH(sim.tbl[[#This Row],[SDate]])=INDEX(mthLkUp.tbl[Num],MATCH(AF$3,mthLkUp.tbl[Month],0)),1,0)</f>
        <v>0</v>
      </c>
      <c r="AG110" s="6">
        <f ca="1">IF(MONTH(sim.tbl[[#This Row],[SDate]])=INDEX(mthLkUp.tbl[Num],MATCH(AG$3,mthLkUp.tbl[Month],0)),1,0)</f>
        <v>0</v>
      </c>
      <c r="AH110" s="6">
        <f ca="1">IF(MONTH(sim.tbl[[#This Row],[SDate]])=INDEX(mthLkUp.tbl[Num],MATCH(AH$3,mthLkUp.tbl[Month],0)),1,0)</f>
        <v>0</v>
      </c>
      <c r="AI110" s="6">
        <f ca="1">IF(MONTH(sim.tbl[[#This Row],[SDate]])=INDEX(mthLkUp.tbl[Num],MATCH(AI$3,mthLkUp.tbl[Month],0)),1,0)</f>
        <v>0</v>
      </c>
      <c r="AJ110" s="6">
        <f ca="1">IF(MONTH(sim.tbl[[#This Row],[SDate]])=INDEX(mthLkUp.tbl[Num],MATCH(AJ$3,mthLkUp.tbl[Month],0)),1,0)</f>
        <v>0</v>
      </c>
      <c r="AK110" s="6">
        <v>1</v>
      </c>
      <c r="AL110" s="5">
        <f>sim.tbl[[#This Row],[Sulf]]*sim.tbl[[#This Row],[C5]]</f>
        <v>0</v>
      </c>
      <c r="AM110" s="5">
        <f>sim.tbl[[#This Row],[Sulf]]*sim.tbl[[#This Row],[Light_LSB]]</f>
        <v>0</v>
      </c>
      <c r="AN110" s="5">
        <f>sim.tbl[[#This Row],[Sulf]]*sim.tbl[[#This Row],[Light_SW]]</f>
        <v>0</v>
      </c>
      <c r="AO110" s="5">
        <f>sim.tbl[[#This Row],[Sulf]]*sim.tbl[[#This Row],[Medium_LSB]]</f>
        <v>0.73</v>
      </c>
      <c r="AP110" s="5">
        <f>sim.tbl[[#This Row],[Sulf]]*sim.tbl[[#This Row],[Medium_SW]]</f>
        <v>0</v>
      </c>
      <c r="AQ110" s="5">
        <f>sim.tbl[[#This Row],[Sulf]]*sim.tbl[[#This Row],[Midale]]</f>
        <v>0</v>
      </c>
      <c r="AR110" s="5">
        <f>sim.tbl[[#This Row],[Sulf]]*sim.tbl[[#This Row],[Heavy_Sour]]</f>
        <v>0</v>
      </c>
      <c r="AS110" s="5">
        <f>sim.tbl[[#This Row],[Sulf]]*sim.tbl[[#This Row],[Heavy_SW]]</f>
        <v>0</v>
      </c>
      <c r="AT110" s="5">
        <f>sim.tbl[[#This Row],[Dens]]*sim.tbl[[#This Row],[C5]]</f>
        <v>0</v>
      </c>
      <c r="AU110" s="5">
        <f>sim.tbl[[#This Row],[Dens]]*sim.tbl[[#This Row],[Light_LSB]]</f>
        <v>0</v>
      </c>
      <c r="AV110" s="5">
        <f>sim.tbl[[#This Row],[Dens]]*sim.tbl[[#This Row],[Light_SW]]</f>
        <v>0</v>
      </c>
      <c r="AW110" s="5">
        <f>sim.tbl[[#This Row],[Dens]]*sim.tbl[[#This Row],[Medium_LSB]]</f>
        <v>827</v>
      </c>
      <c r="AX110" s="5">
        <f>sim.tbl[[#This Row],[Dens]]*sim.tbl[[#This Row],[Medium_SW]]</f>
        <v>0</v>
      </c>
      <c r="AY110" s="5">
        <f>sim.tbl[[#This Row],[Dens]]*sim.tbl[[#This Row],[Midale]]</f>
        <v>0</v>
      </c>
      <c r="AZ110" s="5">
        <f>sim.tbl[[#This Row],[Dens]]*sim.tbl[[#This Row],[Heavy_Sour]]</f>
        <v>0</v>
      </c>
      <c r="BA110" s="5">
        <f>sim.tbl[[#This Row],[Dens]]*sim.tbl[[#This Row],[Heavy_SW]]</f>
        <v>0</v>
      </c>
      <c r="BB110" s="5">
        <f>sim.tbl[[#This Row],[Temp.Roll]]*sim.tbl[[#This Row],[C5]]</f>
        <v>0</v>
      </c>
      <c r="BC110" s="5">
        <f>sim.tbl[[#This Row],[Temp.Roll]]*sim.tbl[[#This Row],[Light_LSB]]</f>
        <v>0</v>
      </c>
      <c r="BD110" s="5">
        <f>sim.tbl[[#This Row],[Temp.Roll]]*sim.tbl[[#This Row],[Light_SW]]</f>
        <v>0</v>
      </c>
      <c r="BE110" s="5">
        <f>sim.tbl[[#This Row],[Temp.Roll]]*sim.tbl[[#This Row],[Medium_LSB]]</f>
        <v>-8.6999999999999993</v>
      </c>
      <c r="BF110" s="5">
        <f>sim.tbl[[#This Row],[Temp.Roll]]*sim.tbl[[#This Row],[Medium_SW]]</f>
        <v>0</v>
      </c>
      <c r="BG110" s="5">
        <f>sim.tbl[[#This Row],[Temp.Roll]]*sim.tbl[[#This Row],[Midale]]</f>
        <v>0</v>
      </c>
      <c r="BH110" s="5">
        <f>sim.tbl[[#This Row],[Temp.Roll]]*sim.tbl[[#This Row],[Heavy_Sour]]</f>
        <v>0</v>
      </c>
      <c r="BI110" s="5">
        <f>sim.tbl[[#This Row],[Temp.Roll]]*sim.tbl[[#This Row],[Heavy_SW]]</f>
        <v>0</v>
      </c>
    </row>
    <row r="111" spans="4:61" x14ac:dyDescent="0.25">
      <c r="D111" s="5">
        <f ca="1">SUMPRODUCT($F$1:$BI$1,sim.tbl[[#This Row],[Intercept]:[Temp.Roll:Heavy_SW]])</f>
        <v>84.028371764548211</v>
      </c>
      <c r="E111" s="14">
        <f ca="1">DATE(YEAR(TODAY()),INDEX(mthLkUp.tbl[Num],MATCH(mth.input,mthLkUp.tbl[Month],0)),1)</f>
        <v>42795</v>
      </c>
      <c r="F111" s="6">
        <f>1</f>
        <v>1</v>
      </c>
      <c r="G111" s="5">
        <v>1.3380000000000001</v>
      </c>
      <c r="H111" s="5">
        <v>842.6</v>
      </c>
      <c r="I111" s="5">
        <v>-16.883333329999999</v>
      </c>
      <c r="J111" s="5">
        <v>-16.5</v>
      </c>
      <c r="K111" s="5">
        <v>-16.8</v>
      </c>
      <c r="L111" s="5">
        <v>-16.5</v>
      </c>
      <c r="M111" s="5">
        <v>-17.3</v>
      </c>
      <c r="N111" s="5">
        <v>-16.8</v>
      </c>
      <c r="O111" s="5">
        <v>-16.899999999999999</v>
      </c>
      <c r="P111" s="5">
        <v>-17</v>
      </c>
      <c r="Q111" s="6">
        <f>IF(sim.tbl[[#This Row],[Dens]]&lt;=770,1,0)</f>
        <v>0</v>
      </c>
      <c r="R111" s="6">
        <f>IF(AND(sim.tbl[[#This Row],[Sulf]]&gt;0.5,sim.tbl[[#This Row],[Dens]]&gt;770,sim.tbl[[#This Row],[Dens]]&lt;=825),1,0)</f>
        <v>0</v>
      </c>
      <c r="S111" s="6">
        <f>IF(AND(sim.tbl[[#This Row],[Sulf]]&lt;=0.5,sim.tbl[[#This Row],[Dens]]&gt;770,sim.tbl[[#This Row],[Dens]]&lt;=825),1,0)</f>
        <v>0</v>
      </c>
      <c r="T111" s="6">
        <f>IF(AND(sim.tbl[[#This Row],[Sulf]]&gt;0.5,sim.tbl[[#This Row],[Dens]]&gt;825,sim.tbl[[#This Row],[Dens]]&lt;=870),1,0)</f>
        <v>1</v>
      </c>
      <c r="U111" s="6">
        <f>IF(AND(sim.tbl[[#This Row],[Sulf]]&lt;0.5,sim.tbl[[#This Row],[Dens]]&gt;825,sim.tbl[[#This Row],[Dens]]&lt;=900),1,0)</f>
        <v>0</v>
      </c>
      <c r="V111" s="6">
        <f>IF(AND(sim.tbl[[#This Row],[Sulf]]&gt;0.5,sim.tbl[[#This Row],[Dens]]&gt;870,sim.tbl[[#This Row],[Dens]]&lt;=900),1,0)</f>
        <v>0</v>
      </c>
      <c r="W111" s="6">
        <f>IF(AND(sim.tbl[[#This Row],[Sulf]]&gt;0.5,sim.tbl[[#This Row],[Dens]]&gt;900),1,0)</f>
        <v>0</v>
      </c>
      <c r="X111" s="6">
        <f>IF(AND(sim.tbl[[#This Row],[Sulf]]&lt;=0.5,sim.tbl[[#This Row],[Dens]]&gt;900),1,0)</f>
        <v>0</v>
      </c>
      <c r="Y111" s="6">
        <f ca="1">IF(MONTH(sim.tbl[[#This Row],[SDate]])=INDEX(mthLkUp.tbl[Num],MATCH(Y$3,mthLkUp.tbl[Month],0)),1,0)</f>
        <v>0</v>
      </c>
      <c r="Z111" s="6">
        <f ca="1">IF(MONTH(sim.tbl[[#This Row],[SDate]])=INDEX(mthLkUp.tbl[Num],MATCH(Z$3,mthLkUp.tbl[Month],0)),1,0)</f>
        <v>0</v>
      </c>
      <c r="AA111" s="6">
        <f ca="1">IF(MONTH(sim.tbl[[#This Row],[SDate]])=INDEX(mthLkUp.tbl[Num],MATCH(AA$3,mthLkUp.tbl[Month],0)),1,0)</f>
        <v>1</v>
      </c>
      <c r="AB111" s="6">
        <f ca="1">IF(MONTH(sim.tbl[[#This Row],[SDate]])=INDEX(mthLkUp.tbl[Num],MATCH(AB$3,mthLkUp.tbl[Month],0)),1,0)</f>
        <v>0</v>
      </c>
      <c r="AC111" s="6">
        <f ca="1">IF(MONTH(sim.tbl[[#This Row],[SDate]])=INDEX(mthLkUp.tbl[Num],MATCH(AC$3,mthLkUp.tbl[Month],0)),1,0)</f>
        <v>0</v>
      </c>
      <c r="AD111" s="6">
        <f ca="1">IF(MONTH(sim.tbl[[#This Row],[SDate]])=INDEX(mthLkUp.tbl[Num],MATCH(AD$3,mthLkUp.tbl[Month],0)),1,0)</f>
        <v>0</v>
      </c>
      <c r="AE111" s="6">
        <f ca="1">IF(MONTH(sim.tbl[[#This Row],[SDate]])=INDEX(mthLkUp.tbl[Num],MATCH(AE$3,mthLkUp.tbl[Month],0)),1,0)</f>
        <v>0</v>
      </c>
      <c r="AF111" s="6">
        <f ca="1">IF(MONTH(sim.tbl[[#This Row],[SDate]])=INDEX(mthLkUp.tbl[Num],MATCH(AF$3,mthLkUp.tbl[Month],0)),1,0)</f>
        <v>0</v>
      </c>
      <c r="AG111" s="6">
        <f ca="1">IF(MONTH(sim.tbl[[#This Row],[SDate]])=INDEX(mthLkUp.tbl[Num],MATCH(AG$3,mthLkUp.tbl[Month],0)),1,0)</f>
        <v>0</v>
      </c>
      <c r="AH111" s="6">
        <f ca="1">IF(MONTH(sim.tbl[[#This Row],[SDate]])=INDEX(mthLkUp.tbl[Num],MATCH(AH$3,mthLkUp.tbl[Month],0)),1,0)</f>
        <v>0</v>
      </c>
      <c r="AI111" s="6">
        <f ca="1">IF(MONTH(sim.tbl[[#This Row],[SDate]])=INDEX(mthLkUp.tbl[Num],MATCH(AI$3,mthLkUp.tbl[Month],0)),1,0)</f>
        <v>0</v>
      </c>
      <c r="AJ111" s="6">
        <f ca="1">IF(MONTH(sim.tbl[[#This Row],[SDate]])=INDEX(mthLkUp.tbl[Num],MATCH(AJ$3,mthLkUp.tbl[Month],0)),1,0)</f>
        <v>0</v>
      </c>
      <c r="AK111" s="6">
        <v>1</v>
      </c>
      <c r="AL111" s="5">
        <f>sim.tbl[[#This Row],[Sulf]]*sim.tbl[[#This Row],[C5]]</f>
        <v>0</v>
      </c>
      <c r="AM111" s="5">
        <f>sim.tbl[[#This Row],[Sulf]]*sim.tbl[[#This Row],[Light_LSB]]</f>
        <v>0</v>
      </c>
      <c r="AN111" s="5">
        <f>sim.tbl[[#This Row],[Sulf]]*sim.tbl[[#This Row],[Light_SW]]</f>
        <v>0</v>
      </c>
      <c r="AO111" s="5">
        <f>sim.tbl[[#This Row],[Sulf]]*sim.tbl[[#This Row],[Medium_LSB]]</f>
        <v>1.3380000000000001</v>
      </c>
      <c r="AP111" s="5">
        <f>sim.tbl[[#This Row],[Sulf]]*sim.tbl[[#This Row],[Medium_SW]]</f>
        <v>0</v>
      </c>
      <c r="AQ111" s="5">
        <f>sim.tbl[[#This Row],[Sulf]]*sim.tbl[[#This Row],[Midale]]</f>
        <v>0</v>
      </c>
      <c r="AR111" s="5">
        <f>sim.tbl[[#This Row],[Sulf]]*sim.tbl[[#This Row],[Heavy_Sour]]</f>
        <v>0</v>
      </c>
      <c r="AS111" s="5">
        <f>sim.tbl[[#This Row],[Sulf]]*sim.tbl[[#This Row],[Heavy_SW]]</f>
        <v>0</v>
      </c>
      <c r="AT111" s="5">
        <f>sim.tbl[[#This Row],[Dens]]*sim.tbl[[#This Row],[C5]]</f>
        <v>0</v>
      </c>
      <c r="AU111" s="5">
        <f>sim.tbl[[#This Row],[Dens]]*sim.tbl[[#This Row],[Light_LSB]]</f>
        <v>0</v>
      </c>
      <c r="AV111" s="5">
        <f>sim.tbl[[#This Row],[Dens]]*sim.tbl[[#This Row],[Light_SW]]</f>
        <v>0</v>
      </c>
      <c r="AW111" s="5">
        <f>sim.tbl[[#This Row],[Dens]]*sim.tbl[[#This Row],[Medium_LSB]]</f>
        <v>842.6</v>
      </c>
      <c r="AX111" s="5">
        <f>sim.tbl[[#This Row],[Dens]]*sim.tbl[[#This Row],[Medium_SW]]</f>
        <v>0</v>
      </c>
      <c r="AY111" s="5">
        <f>sim.tbl[[#This Row],[Dens]]*sim.tbl[[#This Row],[Midale]]</f>
        <v>0</v>
      </c>
      <c r="AZ111" s="5">
        <f>sim.tbl[[#This Row],[Dens]]*sim.tbl[[#This Row],[Heavy_Sour]]</f>
        <v>0</v>
      </c>
      <c r="BA111" s="5">
        <f>sim.tbl[[#This Row],[Dens]]*sim.tbl[[#This Row],[Heavy_SW]]</f>
        <v>0</v>
      </c>
      <c r="BB111" s="5">
        <f>sim.tbl[[#This Row],[Temp.Roll]]*sim.tbl[[#This Row],[C5]]</f>
        <v>0</v>
      </c>
      <c r="BC111" s="5">
        <f>sim.tbl[[#This Row],[Temp.Roll]]*sim.tbl[[#This Row],[Light_LSB]]</f>
        <v>0</v>
      </c>
      <c r="BD111" s="5">
        <f>sim.tbl[[#This Row],[Temp.Roll]]*sim.tbl[[#This Row],[Light_SW]]</f>
        <v>0</v>
      </c>
      <c r="BE111" s="5">
        <f>sim.tbl[[#This Row],[Temp.Roll]]*sim.tbl[[#This Row],[Medium_LSB]]</f>
        <v>-16.5</v>
      </c>
      <c r="BF111" s="5">
        <f>sim.tbl[[#This Row],[Temp.Roll]]*sim.tbl[[#This Row],[Medium_SW]]</f>
        <v>0</v>
      </c>
      <c r="BG111" s="5">
        <f>sim.tbl[[#This Row],[Temp.Roll]]*sim.tbl[[#This Row],[Midale]]</f>
        <v>0</v>
      </c>
      <c r="BH111" s="5">
        <f>sim.tbl[[#This Row],[Temp.Roll]]*sim.tbl[[#This Row],[Heavy_Sour]]</f>
        <v>0</v>
      </c>
      <c r="BI111" s="5">
        <f>sim.tbl[[#This Row],[Temp.Roll]]*sim.tbl[[#This Row],[Heavy_SW]]</f>
        <v>0</v>
      </c>
    </row>
    <row r="112" spans="4:61" x14ac:dyDescent="0.25">
      <c r="D112" s="5">
        <f ca="1">SUMPRODUCT($F$1:$BI$1,sim.tbl[[#This Row],[Intercept]:[Temp.Roll:Heavy_SW]])</f>
        <v>89.734398902242503</v>
      </c>
      <c r="E112" s="14">
        <f ca="1">DATE(YEAR(TODAY()),INDEX(mthLkUp.tbl[Num],MATCH(mth.input,mthLkUp.tbl[Month],0)),1)</f>
        <v>42795</v>
      </c>
      <c r="F112" s="6">
        <f>1</f>
        <v>1</v>
      </c>
      <c r="G112" s="5">
        <v>1.31</v>
      </c>
      <c r="H112" s="5">
        <v>821.1</v>
      </c>
      <c r="I112" s="5">
        <v>-0.55000000000000004</v>
      </c>
      <c r="J112" s="5">
        <v>-1.6</v>
      </c>
      <c r="K112" s="5">
        <v>-1.9</v>
      </c>
      <c r="L112" s="5">
        <v>-1.6</v>
      </c>
      <c r="M112" s="5">
        <v>-1</v>
      </c>
      <c r="N112" s="5">
        <v>-0.6</v>
      </c>
      <c r="O112" s="5">
        <v>-0.2</v>
      </c>
      <c r="P112" s="5">
        <v>2</v>
      </c>
      <c r="Q112" s="6">
        <f>IF(sim.tbl[[#This Row],[Dens]]&lt;=770,1,0)</f>
        <v>0</v>
      </c>
      <c r="R112" s="6">
        <f>IF(AND(sim.tbl[[#This Row],[Sulf]]&gt;0.5,sim.tbl[[#This Row],[Dens]]&gt;770,sim.tbl[[#This Row],[Dens]]&lt;=825),1,0)</f>
        <v>1</v>
      </c>
      <c r="S112" s="6">
        <f>IF(AND(sim.tbl[[#This Row],[Sulf]]&lt;=0.5,sim.tbl[[#This Row],[Dens]]&gt;770,sim.tbl[[#This Row],[Dens]]&lt;=825),1,0)</f>
        <v>0</v>
      </c>
      <c r="T112" s="6">
        <f>IF(AND(sim.tbl[[#This Row],[Sulf]]&gt;0.5,sim.tbl[[#This Row],[Dens]]&gt;825,sim.tbl[[#This Row],[Dens]]&lt;=870),1,0)</f>
        <v>0</v>
      </c>
      <c r="U112" s="6">
        <f>IF(AND(sim.tbl[[#This Row],[Sulf]]&lt;0.5,sim.tbl[[#This Row],[Dens]]&gt;825,sim.tbl[[#This Row],[Dens]]&lt;=900),1,0)</f>
        <v>0</v>
      </c>
      <c r="V112" s="6">
        <f>IF(AND(sim.tbl[[#This Row],[Sulf]]&gt;0.5,sim.tbl[[#This Row],[Dens]]&gt;870,sim.tbl[[#This Row],[Dens]]&lt;=900),1,0)</f>
        <v>0</v>
      </c>
      <c r="W112" s="6">
        <f>IF(AND(sim.tbl[[#This Row],[Sulf]]&gt;0.5,sim.tbl[[#This Row],[Dens]]&gt;900),1,0)</f>
        <v>0</v>
      </c>
      <c r="X112" s="6">
        <f>IF(AND(sim.tbl[[#This Row],[Sulf]]&lt;=0.5,sim.tbl[[#This Row],[Dens]]&gt;900),1,0)</f>
        <v>0</v>
      </c>
      <c r="Y112" s="6">
        <f ca="1">IF(MONTH(sim.tbl[[#This Row],[SDate]])=INDEX(mthLkUp.tbl[Num],MATCH(Y$3,mthLkUp.tbl[Month],0)),1,0)</f>
        <v>0</v>
      </c>
      <c r="Z112" s="6">
        <f ca="1">IF(MONTH(sim.tbl[[#This Row],[SDate]])=INDEX(mthLkUp.tbl[Num],MATCH(Z$3,mthLkUp.tbl[Month],0)),1,0)</f>
        <v>0</v>
      </c>
      <c r="AA112" s="6">
        <f ca="1">IF(MONTH(sim.tbl[[#This Row],[SDate]])=INDEX(mthLkUp.tbl[Num],MATCH(AA$3,mthLkUp.tbl[Month],0)),1,0)</f>
        <v>1</v>
      </c>
      <c r="AB112" s="6">
        <f ca="1">IF(MONTH(sim.tbl[[#This Row],[SDate]])=INDEX(mthLkUp.tbl[Num],MATCH(AB$3,mthLkUp.tbl[Month],0)),1,0)</f>
        <v>0</v>
      </c>
      <c r="AC112" s="6">
        <f ca="1">IF(MONTH(sim.tbl[[#This Row],[SDate]])=INDEX(mthLkUp.tbl[Num],MATCH(AC$3,mthLkUp.tbl[Month],0)),1,0)</f>
        <v>0</v>
      </c>
      <c r="AD112" s="6">
        <f ca="1">IF(MONTH(sim.tbl[[#This Row],[SDate]])=INDEX(mthLkUp.tbl[Num],MATCH(AD$3,mthLkUp.tbl[Month],0)),1,0)</f>
        <v>0</v>
      </c>
      <c r="AE112" s="6">
        <f ca="1">IF(MONTH(sim.tbl[[#This Row],[SDate]])=INDEX(mthLkUp.tbl[Num],MATCH(AE$3,mthLkUp.tbl[Month],0)),1,0)</f>
        <v>0</v>
      </c>
      <c r="AF112" s="6">
        <f ca="1">IF(MONTH(sim.tbl[[#This Row],[SDate]])=INDEX(mthLkUp.tbl[Num],MATCH(AF$3,mthLkUp.tbl[Month],0)),1,0)</f>
        <v>0</v>
      </c>
      <c r="AG112" s="6">
        <f ca="1">IF(MONTH(sim.tbl[[#This Row],[SDate]])=INDEX(mthLkUp.tbl[Num],MATCH(AG$3,mthLkUp.tbl[Month],0)),1,0)</f>
        <v>0</v>
      </c>
      <c r="AH112" s="6">
        <f ca="1">IF(MONTH(sim.tbl[[#This Row],[SDate]])=INDEX(mthLkUp.tbl[Num],MATCH(AH$3,mthLkUp.tbl[Month],0)),1,0)</f>
        <v>0</v>
      </c>
      <c r="AI112" s="6">
        <f ca="1">IF(MONTH(sim.tbl[[#This Row],[SDate]])=INDEX(mthLkUp.tbl[Num],MATCH(AI$3,mthLkUp.tbl[Month],0)),1,0)</f>
        <v>0</v>
      </c>
      <c r="AJ112" s="6">
        <f ca="1">IF(MONTH(sim.tbl[[#This Row],[SDate]])=INDEX(mthLkUp.tbl[Num],MATCH(AJ$3,mthLkUp.tbl[Month],0)),1,0)</f>
        <v>0</v>
      </c>
      <c r="AK112" s="6">
        <v>1</v>
      </c>
      <c r="AL112" s="5">
        <f>sim.tbl[[#This Row],[Sulf]]*sim.tbl[[#This Row],[C5]]</f>
        <v>0</v>
      </c>
      <c r="AM112" s="5">
        <f>sim.tbl[[#This Row],[Sulf]]*sim.tbl[[#This Row],[Light_LSB]]</f>
        <v>1.31</v>
      </c>
      <c r="AN112" s="5">
        <f>sim.tbl[[#This Row],[Sulf]]*sim.tbl[[#This Row],[Light_SW]]</f>
        <v>0</v>
      </c>
      <c r="AO112" s="5">
        <f>sim.tbl[[#This Row],[Sulf]]*sim.tbl[[#This Row],[Medium_LSB]]</f>
        <v>0</v>
      </c>
      <c r="AP112" s="5">
        <f>sim.tbl[[#This Row],[Sulf]]*sim.tbl[[#This Row],[Medium_SW]]</f>
        <v>0</v>
      </c>
      <c r="AQ112" s="5">
        <f>sim.tbl[[#This Row],[Sulf]]*sim.tbl[[#This Row],[Midale]]</f>
        <v>0</v>
      </c>
      <c r="AR112" s="5">
        <f>sim.tbl[[#This Row],[Sulf]]*sim.tbl[[#This Row],[Heavy_Sour]]</f>
        <v>0</v>
      </c>
      <c r="AS112" s="5">
        <f>sim.tbl[[#This Row],[Sulf]]*sim.tbl[[#This Row],[Heavy_SW]]</f>
        <v>0</v>
      </c>
      <c r="AT112" s="5">
        <f>sim.tbl[[#This Row],[Dens]]*sim.tbl[[#This Row],[C5]]</f>
        <v>0</v>
      </c>
      <c r="AU112" s="5">
        <f>sim.tbl[[#This Row],[Dens]]*sim.tbl[[#This Row],[Light_LSB]]</f>
        <v>821.1</v>
      </c>
      <c r="AV112" s="5">
        <f>sim.tbl[[#This Row],[Dens]]*sim.tbl[[#This Row],[Light_SW]]</f>
        <v>0</v>
      </c>
      <c r="AW112" s="5">
        <f>sim.tbl[[#This Row],[Dens]]*sim.tbl[[#This Row],[Medium_LSB]]</f>
        <v>0</v>
      </c>
      <c r="AX112" s="5">
        <f>sim.tbl[[#This Row],[Dens]]*sim.tbl[[#This Row],[Medium_SW]]</f>
        <v>0</v>
      </c>
      <c r="AY112" s="5">
        <f>sim.tbl[[#This Row],[Dens]]*sim.tbl[[#This Row],[Midale]]</f>
        <v>0</v>
      </c>
      <c r="AZ112" s="5">
        <f>sim.tbl[[#This Row],[Dens]]*sim.tbl[[#This Row],[Heavy_Sour]]</f>
        <v>0</v>
      </c>
      <c r="BA112" s="5">
        <f>sim.tbl[[#This Row],[Dens]]*sim.tbl[[#This Row],[Heavy_SW]]</f>
        <v>0</v>
      </c>
      <c r="BB112" s="5">
        <f>sim.tbl[[#This Row],[Temp.Roll]]*sim.tbl[[#This Row],[C5]]</f>
        <v>0</v>
      </c>
      <c r="BC112" s="5">
        <f>sim.tbl[[#This Row],[Temp.Roll]]*sim.tbl[[#This Row],[Light_LSB]]</f>
        <v>-1.6</v>
      </c>
      <c r="BD112" s="5">
        <f>sim.tbl[[#This Row],[Temp.Roll]]*sim.tbl[[#This Row],[Light_SW]]</f>
        <v>0</v>
      </c>
      <c r="BE112" s="5">
        <f>sim.tbl[[#This Row],[Temp.Roll]]*sim.tbl[[#This Row],[Medium_LSB]]</f>
        <v>0</v>
      </c>
      <c r="BF112" s="5">
        <f>sim.tbl[[#This Row],[Temp.Roll]]*sim.tbl[[#This Row],[Medium_SW]]</f>
        <v>0</v>
      </c>
      <c r="BG112" s="5">
        <f>sim.tbl[[#This Row],[Temp.Roll]]*sim.tbl[[#This Row],[Midale]]</f>
        <v>0</v>
      </c>
      <c r="BH112" s="5">
        <f>sim.tbl[[#This Row],[Temp.Roll]]*sim.tbl[[#This Row],[Heavy_Sour]]</f>
        <v>0</v>
      </c>
      <c r="BI112" s="5">
        <f>sim.tbl[[#This Row],[Temp.Roll]]*sim.tbl[[#This Row],[Heavy_SW]]</f>
        <v>0</v>
      </c>
    </row>
    <row r="113" spans="4:61" x14ac:dyDescent="0.25">
      <c r="D113" s="5">
        <f ca="1">SUMPRODUCT($F$1:$BI$1,sim.tbl[[#This Row],[Intercept]:[Temp.Roll:Heavy_SW]])</f>
        <v>79.022525346292156</v>
      </c>
      <c r="E113" s="14">
        <f ca="1">DATE(YEAR(TODAY()),INDEX(mthLkUp.tbl[Num],MATCH(mth.input,mthLkUp.tbl[Month],0)),1)</f>
        <v>42795</v>
      </c>
      <c r="F113" s="6">
        <f>1</f>
        <v>1</v>
      </c>
      <c r="G113" s="5">
        <v>1.08</v>
      </c>
      <c r="H113" s="5">
        <v>828.1</v>
      </c>
      <c r="I113" s="5">
        <v>7.7</v>
      </c>
      <c r="J113" s="5">
        <v>9.5</v>
      </c>
      <c r="K113" s="5">
        <v>8.3000000000000007</v>
      </c>
      <c r="L113" s="5">
        <v>9.5</v>
      </c>
      <c r="M113" s="5">
        <v>6.8</v>
      </c>
      <c r="N113" s="5">
        <v>9.8000000000000007</v>
      </c>
      <c r="O113" s="5">
        <v>5.9</v>
      </c>
      <c r="P113" s="5">
        <v>5.9</v>
      </c>
      <c r="Q113" s="6">
        <f>IF(sim.tbl[[#This Row],[Dens]]&lt;=770,1,0)</f>
        <v>0</v>
      </c>
      <c r="R113" s="6">
        <f>IF(AND(sim.tbl[[#This Row],[Sulf]]&gt;0.5,sim.tbl[[#This Row],[Dens]]&gt;770,sim.tbl[[#This Row],[Dens]]&lt;=825),1,0)</f>
        <v>0</v>
      </c>
      <c r="S113" s="6">
        <f>IF(AND(sim.tbl[[#This Row],[Sulf]]&lt;=0.5,sim.tbl[[#This Row],[Dens]]&gt;770,sim.tbl[[#This Row],[Dens]]&lt;=825),1,0)</f>
        <v>0</v>
      </c>
      <c r="T113" s="6">
        <f>IF(AND(sim.tbl[[#This Row],[Sulf]]&gt;0.5,sim.tbl[[#This Row],[Dens]]&gt;825,sim.tbl[[#This Row],[Dens]]&lt;=870),1,0)</f>
        <v>1</v>
      </c>
      <c r="U113" s="6">
        <f>IF(AND(sim.tbl[[#This Row],[Sulf]]&lt;0.5,sim.tbl[[#This Row],[Dens]]&gt;825,sim.tbl[[#This Row],[Dens]]&lt;=900),1,0)</f>
        <v>0</v>
      </c>
      <c r="V113" s="6">
        <f>IF(AND(sim.tbl[[#This Row],[Sulf]]&gt;0.5,sim.tbl[[#This Row],[Dens]]&gt;870,sim.tbl[[#This Row],[Dens]]&lt;=900),1,0)</f>
        <v>0</v>
      </c>
      <c r="W113" s="6">
        <f>IF(AND(sim.tbl[[#This Row],[Sulf]]&gt;0.5,sim.tbl[[#This Row],[Dens]]&gt;900),1,0)</f>
        <v>0</v>
      </c>
      <c r="X113" s="6">
        <f>IF(AND(sim.tbl[[#This Row],[Sulf]]&lt;=0.5,sim.tbl[[#This Row],[Dens]]&gt;900),1,0)</f>
        <v>0</v>
      </c>
      <c r="Y113" s="6">
        <f ca="1">IF(MONTH(sim.tbl[[#This Row],[SDate]])=INDEX(mthLkUp.tbl[Num],MATCH(Y$3,mthLkUp.tbl[Month],0)),1,0)</f>
        <v>0</v>
      </c>
      <c r="Z113" s="6">
        <f ca="1">IF(MONTH(sim.tbl[[#This Row],[SDate]])=INDEX(mthLkUp.tbl[Num],MATCH(Z$3,mthLkUp.tbl[Month],0)),1,0)</f>
        <v>0</v>
      </c>
      <c r="AA113" s="6">
        <f ca="1">IF(MONTH(sim.tbl[[#This Row],[SDate]])=INDEX(mthLkUp.tbl[Num],MATCH(AA$3,mthLkUp.tbl[Month],0)),1,0)</f>
        <v>1</v>
      </c>
      <c r="AB113" s="6">
        <f ca="1">IF(MONTH(sim.tbl[[#This Row],[SDate]])=INDEX(mthLkUp.tbl[Num],MATCH(AB$3,mthLkUp.tbl[Month],0)),1,0)</f>
        <v>0</v>
      </c>
      <c r="AC113" s="6">
        <f ca="1">IF(MONTH(sim.tbl[[#This Row],[SDate]])=INDEX(mthLkUp.tbl[Num],MATCH(AC$3,mthLkUp.tbl[Month],0)),1,0)</f>
        <v>0</v>
      </c>
      <c r="AD113" s="6">
        <f ca="1">IF(MONTH(sim.tbl[[#This Row],[SDate]])=INDEX(mthLkUp.tbl[Num],MATCH(AD$3,mthLkUp.tbl[Month],0)),1,0)</f>
        <v>0</v>
      </c>
      <c r="AE113" s="6">
        <f ca="1">IF(MONTH(sim.tbl[[#This Row],[SDate]])=INDEX(mthLkUp.tbl[Num],MATCH(AE$3,mthLkUp.tbl[Month],0)),1,0)</f>
        <v>0</v>
      </c>
      <c r="AF113" s="6">
        <f ca="1">IF(MONTH(sim.tbl[[#This Row],[SDate]])=INDEX(mthLkUp.tbl[Num],MATCH(AF$3,mthLkUp.tbl[Month],0)),1,0)</f>
        <v>0</v>
      </c>
      <c r="AG113" s="6">
        <f ca="1">IF(MONTH(sim.tbl[[#This Row],[SDate]])=INDEX(mthLkUp.tbl[Num],MATCH(AG$3,mthLkUp.tbl[Month],0)),1,0)</f>
        <v>0</v>
      </c>
      <c r="AH113" s="6">
        <f ca="1">IF(MONTH(sim.tbl[[#This Row],[SDate]])=INDEX(mthLkUp.tbl[Num],MATCH(AH$3,mthLkUp.tbl[Month],0)),1,0)</f>
        <v>0</v>
      </c>
      <c r="AI113" s="6">
        <f ca="1">IF(MONTH(sim.tbl[[#This Row],[SDate]])=INDEX(mthLkUp.tbl[Num],MATCH(AI$3,mthLkUp.tbl[Month],0)),1,0)</f>
        <v>0</v>
      </c>
      <c r="AJ113" s="6">
        <f ca="1">IF(MONTH(sim.tbl[[#This Row],[SDate]])=INDEX(mthLkUp.tbl[Num],MATCH(AJ$3,mthLkUp.tbl[Month],0)),1,0)</f>
        <v>0</v>
      </c>
      <c r="AK113" s="6">
        <v>1</v>
      </c>
      <c r="AL113" s="5">
        <f>sim.tbl[[#This Row],[Sulf]]*sim.tbl[[#This Row],[C5]]</f>
        <v>0</v>
      </c>
      <c r="AM113" s="5">
        <f>sim.tbl[[#This Row],[Sulf]]*sim.tbl[[#This Row],[Light_LSB]]</f>
        <v>0</v>
      </c>
      <c r="AN113" s="5">
        <f>sim.tbl[[#This Row],[Sulf]]*sim.tbl[[#This Row],[Light_SW]]</f>
        <v>0</v>
      </c>
      <c r="AO113" s="5">
        <f>sim.tbl[[#This Row],[Sulf]]*sim.tbl[[#This Row],[Medium_LSB]]</f>
        <v>1.08</v>
      </c>
      <c r="AP113" s="5">
        <f>sim.tbl[[#This Row],[Sulf]]*sim.tbl[[#This Row],[Medium_SW]]</f>
        <v>0</v>
      </c>
      <c r="AQ113" s="5">
        <f>sim.tbl[[#This Row],[Sulf]]*sim.tbl[[#This Row],[Midale]]</f>
        <v>0</v>
      </c>
      <c r="AR113" s="5">
        <f>sim.tbl[[#This Row],[Sulf]]*sim.tbl[[#This Row],[Heavy_Sour]]</f>
        <v>0</v>
      </c>
      <c r="AS113" s="5">
        <f>sim.tbl[[#This Row],[Sulf]]*sim.tbl[[#This Row],[Heavy_SW]]</f>
        <v>0</v>
      </c>
      <c r="AT113" s="5">
        <f>sim.tbl[[#This Row],[Dens]]*sim.tbl[[#This Row],[C5]]</f>
        <v>0</v>
      </c>
      <c r="AU113" s="5">
        <f>sim.tbl[[#This Row],[Dens]]*sim.tbl[[#This Row],[Light_LSB]]</f>
        <v>0</v>
      </c>
      <c r="AV113" s="5">
        <f>sim.tbl[[#This Row],[Dens]]*sim.tbl[[#This Row],[Light_SW]]</f>
        <v>0</v>
      </c>
      <c r="AW113" s="5">
        <f>sim.tbl[[#This Row],[Dens]]*sim.tbl[[#This Row],[Medium_LSB]]</f>
        <v>828.1</v>
      </c>
      <c r="AX113" s="5">
        <f>sim.tbl[[#This Row],[Dens]]*sim.tbl[[#This Row],[Medium_SW]]</f>
        <v>0</v>
      </c>
      <c r="AY113" s="5">
        <f>sim.tbl[[#This Row],[Dens]]*sim.tbl[[#This Row],[Midale]]</f>
        <v>0</v>
      </c>
      <c r="AZ113" s="5">
        <f>sim.tbl[[#This Row],[Dens]]*sim.tbl[[#This Row],[Heavy_Sour]]</f>
        <v>0</v>
      </c>
      <c r="BA113" s="5">
        <f>sim.tbl[[#This Row],[Dens]]*sim.tbl[[#This Row],[Heavy_SW]]</f>
        <v>0</v>
      </c>
      <c r="BB113" s="5">
        <f>sim.tbl[[#This Row],[Temp.Roll]]*sim.tbl[[#This Row],[C5]]</f>
        <v>0</v>
      </c>
      <c r="BC113" s="5">
        <f>sim.tbl[[#This Row],[Temp.Roll]]*sim.tbl[[#This Row],[Light_LSB]]</f>
        <v>0</v>
      </c>
      <c r="BD113" s="5">
        <f>sim.tbl[[#This Row],[Temp.Roll]]*sim.tbl[[#This Row],[Light_SW]]</f>
        <v>0</v>
      </c>
      <c r="BE113" s="5">
        <f>sim.tbl[[#This Row],[Temp.Roll]]*sim.tbl[[#This Row],[Medium_LSB]]</f>
        <v>9.5</v>
      </c>
      <c r="BF113" s="5">
        <f>sim.tbl[[#This Row],[Temp.Roll]]*sim.tbl[[#This Row],[Medium_SW]]</f>
        <v>0</v>
      </c>
      <c r="BG113" s="5">
        <f>sim.tbl[[#This Row],[Temp.Roll]]*sim.tbl[[#This Row],[Midale]]</f>
        <v>0</v>
      </c>
      <c r="BH113" s="5">
        <f>sim.tbl[[#This Row],[Temp.Roll]]*sim.tbl[[#This Row],[Heavy_Sour]]</f>
        <v>0</v>
      </c>
      <c r="BI113" s="5">
        <f>sim.tbl[[#This Row],[Temp.Roll]]*sim.tbl[[#This Row],[Heavy_SW]]</f>
        <v>0</v>
      </c>
    </row>
    <row r="114" spans="4:61" x14ac:dyDescent="0.25">
      <c r="D114" s="5">
        <f ca="1">SUMPRODUCT($F$1:$BI$1,sim.tbl[[#This Row],[Intercept]:[Temp.Roll:Heavy_SW]])</f>
        <v>85.874212258208416</v>
      </c>
      <c r="E114" s="14">
        <f ca="1">DATE(YEAR(TODAY()),INDEX(mthLkUp.tbl[Num],MATCH(mth.input,mthLkUp.tbl[Month],0)),1)</f>
        <v>42795</v>
      </c>
      <c r="F114" s="6">
        <f>1</f>
        <v>1</v>
      </c>
      <c r="G114" s="5">
        <v>1.74</v>
      </c>
      <c r="H114" s="5">
        <v>827.8</v>
      </c>
      <c r="I114" s="5">
        <v>-10.16</v>
      </c>
      <c r="J114" s="5">
        <v>-9.3000000000000007</v>
      </c>
      <c r="K114" s="5">
        <v>-9.9</v>
      </c>
      <c r="L114" s="5">
        <v>-9.3000000000000007</v>
      </c>
      <c r="M114" s="5">
        <v>2.8</v>
      </c>
      <c r="N114" s="5">
        <v>-8.3000000000000007</v>
      </c>
      <c r="O114" s="5">
        <v>-10.9</v>
      </c>
      <c r="P114" s="5">
        <v>-12.4</v>
      </c>
      <c r="Q114" s="6">
        <f>IF(sim.tbl[[#This Row],[Dens]]&lt;=770,1,0)</f>
        <v>0</v>
      </c>
      <c r="R114" s="6">
        <f>IF(AND(sim.tbl[[#This Row],[Sulf]]&gt;0.5,sim.tbl[[#This Row],[Dens]]&gt;770,sim.tbl[[#This Row],[Dens]]&lt;=825),1,0)</f>
        <v>0</v>
      </c>
      <c r="S114" s="6">
        <f>IF(AND(sim.tbl[[#This Row],[Sulf]]&lt;=0.5,sim.tbl[[#This Row],[Dens]]&gt;770,sim.tbl[[#This Row],[Dens]]&lt;=825),1,0)</f>
        <v>0</v>
      </c>
      <c r="T114" s="6">
        <f>IF(AND(sim.tbl[[#This Row],[Sulf]]&gt;0.5,sim.tbl[[#This Row],[Dens]]&gt;825,sim.tbl[[#This Row],[Dens]]&lt;=870),1,0)</f>
        <v>1</v>
      </c>
      <c r="U114" s="6">
        <f>IF(AND(sim.tbl[[#This Row],[Sulf]]&lt;0.5,sim.tbl[[#This Row],[Dens]]&gt;825,sim.tbl[[#This Row],[Dens]]&lt;=900),1,0)</f>
        <v>0</v>
      </c>
      <c r="V114" s="6">
        <f>IF(AND(sim.tbl[[#This Row],[Sulf]]&gt;0.5,sim.tbl[[#This Row],[Dens]]&gt;870,sim.tbl[[#This Row],[Dens]]&lt;=900),1,0)</f>
        <v>0</v>
      </c>
      <c r="W114" s="6">
        <f>IF(AND(sim.tbl[[#This Row],[Sulf]]&gt;0.5,sim.tbl[[#This Row],[Dens]]&gt;900),1,0)</f>
        <v>0</v>
      </c>
      <c r="X114" s="6">
        <f>IF(AND(sim.tbl[[#This Row],[Sulf]]&lt;=0.5,sim.tbl[[#This Row],[Dens]]&gt;900),1,0)</f>
        <v>0</v>
      </c>
      <c r="Y114" s="6">
        <f ca="1">IF(MONTH(sim.tbl[[#This Row],[SDate]])=INDEX(mthLkUp.tbl[Num],MATCH(Y$3,mthLkUp.tbl[Month],0)),1,0)</f>
        <v>0</v>
      </c>
      <c r="Z114" s="6">
        <f ca="1">IF(MONTH(sim.tbl[[#This Row],[SDate]])=INDEX(mthLkUp.tbl[Num],MATCH(Z$3,mthLkUp.tbl[Month],0)),1,0)</f>
        <v>0</v>
      </c>
      <c r="AA114" s="6">
        <f ca="1">IF(MONTH(sim.tbl[[#This Row],[SDate]])=INDEX(mthLkUp.tbl[Num],MATCH(AA$3,mthLkUp.tbl[Month],0)),1,0)</f>
        <v>1</v>
      </c>
      <c r="AB114" s="6">
        <f ca="1">IF(MONTH(sim.tbl[[#This Row],[SDate]])=INDEX(mthLkUp.tbl[Num],MATCH(AB$3,mthLkUp.tbl[Month],0)),1,0)</f>
        <v>0</v>
      </c>
      <c r="AC114" s="6">
        <f ca="1">IF(MONTH(sim.tbl[[#This Row],[SDate]])=INDEX(mthLkUp.tbl[Num],MATCH(AC$3,mthLkUp.tbl[Month],0)),1,0)</f>
        <v>0</v>
      </c>
      <c r="AD114" s="6">
        <f ca="1">IF(MONTH(sim.tbl[[#This Row],[SDate]])=INDEX(mthLkUp.tbl[Num],MATCH(AD$3,mthLkUp.tbl[Month],0)),1,0)</f>
        <v>0</v>
      </c>
      <c r="AE114" s="6">
        <f ca="1">IF(MONTH(sim.tbl[[#This Row],[SDate]])=INDEX(mthLkUp.tbl[Num],MATCH(AE$3,mthLkUp.tbl[Month],0)),1,0)</f>
        <v>0</v>
      </c>
      <c r="AF114" s="6">
        <f ca="1">IF(MONTH(sim.tbl[[#This Row],[SDate]])=INDEX(mthLkUp.tbl[Num],MATCH(AF$3,mthLkUp.tbl[Month],0)),1,0)</f>
        <v>0</v>
      </c>
      <c r="AG114" s="6">
        <f ca="1">IF(MONTH(sim.tbl[[#This Row],[SDate]])=INDEX(mthLkUp.tbl[Num],MATCH(AG$3,mthLkUp.tbl[Month],0)),1,0)</f>
        <v>0</v>
      </c>
      <c r="AH114" s="6">
        <f ca="1">IF(MONTH(sim.tbl[[#This Row],[SDate]])=INDEX(mthLkUp.tbl[Num],MATCH(AH$3,mthLkUp.tbl[Month],0)),1,0)</f>
        <v>0</v>
      </c>
      <c r="AI114" s="6">
        <f ca="1">IF(MONTH(sim.tbl[[#This Row],[SDate]])=INDEX(mthLkUp.tbl[Num],MATCH(AI$3,mthLkUp.tbl[Month],0)),1,0)</f>
        <v>0</v>
      </c>
      <c r="AJ114" s="6">
        <f ca="1">IF(MONTH(sim.tbl[[#This Row],[SDate]])=INDEX(mthLkUp.tbl[Num],MATCH(AJ$3,mthLkUp.tbl[Month],0)),1,0)</f>
        <v>0</v>
      </c>
      <c r="AK114" s="6">
        <v>1</v>
      </c>
      <c r="AL114" s="5">
        <f>sim.tbl[[#This Row],[Sulf]]*sim.tbl[[#This Row],[C5]]</f>
        <v>0</v>
      </c>
      <c r="AM114" s="5">
        <f>sim.tbl[[#This Row],[Sulf]]*sim.tbl[[#This Row],[Light_LSB]]</f>
        <v>0</v>
      </c>
      <c r="AN114" s="5">
        <f>sim.tbl[[#This Row],[Sulf]]*sim.tbl[[#This Row],[Light_SW]]</f>
        <v>0</v>
      </c>
      <c r="AO114" s="5">
        <f>sim.tbl[[#This Row],[Sulf]]*sim.tbl[[#This Row],[Medium_LSB]]</f>
        <v>1.74</v>
      </c>
      <c r="AP114" s="5">
        <f>sim.tbl[[#This Row],[Sulf]]*sim.tbl[[#This Row],[Medium_SW]]</f>
        <v>0</v>
      </c>
      <c r="AQ114" s="5">
        <f>sim.tbl[[#This Row],[Sulf]]*sim.tbl[[#This Row],[Midale]]</f>
        <v>0</v>
      </c>
      <c r="AR114" s="5">
        <f>sim.tbl[[#This Row],[Sulf]]*sim.tbl[[#This Row],[Heavy_Sour]]</f>
        <v>0</v>
      </c>
      <c r="AS114" s="5">
        <f>sim.tbl[[#This Row],[Sulf]]*sim.tbl[[#This Row],[Heavy_SW]]</f>
        <v>0</v>
      </c>
      <c r="AT114" s="5">
        <f>sim.tbl[[#This Row],[Dens]]*sim.tbl[[#This Row],[C5]]</f>
        <v>0</v>
      </c>
      <c r="AU114" s="5">
        <f>sim.tbl[[#This Row],[Dens]]*sim.tbl[[#This Row],[Light_LSB]]</f>
        <v>0</v>
      </c>
      <c r="AV114" s="5">
        <f>sim.tbl[[#This Row],[Dens]]*sim.tbl[[#This Row],[Light_SW]]</f>
        <v>0</v>
      </c>
      <c r="AW114" s="5">
        <f>sim.tbl[[#This Row],[Dens]]*sim.tbl[[#This Row],[Medium_LSB]]</f>
        <v>827.8</v>
      </c>
      <c r="AX114" s="5">
        <f>sim.tbl[[#This Row],[Dens]]*sim.tbl[[#This Row],[Medium_SW]]</f>
        <v>0</v>
      </c>
      <c r="AY114" s="5">
        <f>sim.tbl[[#This Row],[Dens]]*sim.tbl[[#This Row],[Midale]]</f>
        <v>0</v>
      </c>
      <c r="AZ114" s="5">
        <f>sim.tbl[[#This Row],[Dens]]*sim.tbl[[#This Row],[Heavy_Sour]]</f>
        <v>0</v>
      </c>
      <c r="BA114" s="5">
        <f>sim.tbl[[#This Row],[Dens]]*sim.tbl[[#This Row],[Heavy_SW]]</f>
        <v>0</v>
      </c>
      <c r="BB114" s="5">
        <f>sim.tbl[[#This Row],[Temp.Roll]]*sim.tbl[[#This Row],[C5]]</f>
        <v>0</v>
      </c>
      <c r="BC114" s="5">
        <f>sim.tbl[[#This Row],[Temp.Roll]]*sim.tbl[[#This Row],[Light_LSB]]</f>
        <v>0</v>
      </c>
      <c r="BD114" s="5">
        <f>sim.tbl[[#This Row],[Temp.Roll]]*sim.tbl[[#This Row],[Light_SW]]</f>
        <v>0</v>
      </c>
      <c r="BE114" s="5">
        <f>sim.tbl[[#This Row],[Temp.Roll]]*sim.tbl[[#This Row],[Medium_LSB]]</f>
        <v>-9.3000000000000007</v>
      </c>
      <c r="BF114" s="5">
        <f>sim.tbl[[#This Row],[Temp.Roll]]*sim.tbl[[#This Row],[Medium_SW]]</f>
        <v>0</v>
      </c>
      <c r="BG114" s="5">
        <f>sim.tbl[[#This Row],[Temp.Roll]]*sim.tbl[[#This Row],[Midale]]</f>
        <v>0</v>
      </c>
      <c r="BH114" s="5">
        <f>sim.tbl[[#This Row],[Temp.Roll]]*sim.tbl[[#This Row],[Heavy_Sour]]</f>
        <v>0</v>
      </c>
      <c r="BI114" s="5">
        <f>sim.tbl[[#This Row],[Temp.Roll]]*sim.tbl[[#This Row],[Heavy_SW]]</f>
        <v>0</v>
      </c>
    </row>
    <row r="115" spans="4:61" x14ac:dyDescent="0.25">
      <c r="D115" s="5">
        <f ca="1">SUMPRODUCT($F$1:$BI$1,sim.tbl[[#This Row],[Intercept]:[Temp.Roll:Heavy_SW]])</f>
        <v>82.859478626916911</v>
      </c>
      <c r="E115" s="14">
        <f ca="1">DATE(YEAR(TODAY()),INDEX(mthLkUp.tbl[Num],MATCH(mth.input,mthLkUp.tbl[Month],0)),1)</f>
        <v>42795</v>
      </c>
      <c r="F115" s="6">
        <f>1</f>
        <v>1</v>
      </c>
      <c r="G115" s="5">
        <v>1.077</v>
      </c>
      <c r="H115" s="5">
        <v>845.9</v>
      </c>
      <c r="I115" s="5">
        <v>-15.7</v>
      </c>
      <c r="J115" s="5">
        <v>-16</v>
      </c>
      <c r="K115" s="5">
        <v>-15.3</v>
      </c>
      <c r="L115" s="5">
        <v>-16</v>
      </c>
      <c r="M115" s="5">
        <v>-16</v>
      </c>
      <c r="N115" s="5">
        <v>-15.5</v>
      </c>
      <c r="O115" s="5">
        <v>-16.2</v>
      </c>
      <c r="P115" s="5">
        <v>-15.2</v>
      </c>
      <c r="Q115" s="6">
        <f>IF(sim.tbl[[#This Row],[Dens]]&lt;=770,1,0)</f>
        <v>0</v>
      </c>
      <c r="R115" s="6">
        <f>IF(AND(sim.tbl[[#This Row],[Sulf]]&gt;0.5,sim.tbl[[#This Row],[Dens]]&gt;770,sim.tbl[[#This Row],[Dens]]&lt;=825),1,0)</f>
        <v>0</v>
      </c>
      <c r="S115" s="6">
        <f>IF(AND(sim.tbl[[#This Row],[Sulf]]&lt;=0.5,sim.tbl[[#This Row],[Dens]]&gt;770,sim.tbl[[#This Row],[Dens]]&lt;=825),1,0)</f>
        <v>0</v>
      </c>
      <c r="T115" s="6">
        <f>IF(AND(sim.tbl[[#This Row],[Sulf]]&gt;0.5,sim.tbl[[#This Row],[Dens]]&gt;825,sim.tbl[[#This Row],[Dens]]&lt;=870),1,0)</f>
        <v>1</v>
      </c>
      <c r="U115" s="6">
        <f>IF(AND(sim.tbl[[#This Row],[Sulf]]&lt;0.5,sim.tbl[[#This Row],[Dens]]&gt;825,sim.tbl[[#This Row],[Dens]]&lt;=900),1,0)</f>
        <v>0</v>
      </c>
      <c r="V115" s="6">
        <f>IF(AND(sim.tbl[[#This Row],[Sulf]]&gt;0.5,sim.tbl[[#This Row],[Dens]]&gt;870,sim.tbl[[#This Row],[Dens]]&lt;=900),1,0)</f>
        <v>0</v>
      </c>
      <c r="W115" s="6">
        <f>IF(AND(sim.tbl[[#This Row],[Sulf]]&gt;0.5,sim.tbl[[#This Row],[Dens]]&gt;900),1,0)</f>
        <v>0</v>
      </c>
      <c r="X115" s="6">
        <f>IF(AND(sim.tbl[[#This Row],[Sulf]]&lt;=0.5,sim.tbl[[#This Row],[Dens]]&gt;900),1,0)</f>
        <v>0</v>
      </c>
      <c r="Y115" s="6">
        <f ca="1">IF(MONTH(sim.tbl[[#This Row],[SDate]])=INDEX(mthLkUp.tbl[Num],MATCH(Y$3,mthLkUp.tbl[Month],0)),1,0)</f>
        <v>0</v>
      </c>
      <c r="Z115" s="6">
        <f ca="1">IF(MONTH(sim.tbl[[#This Row],[SDate]])=INDEX(mthLkUp.tbl[Num],MATCH(Z$3,mthLkUp.tbl[Month],0)),1,0)</f>
        <v>0</v>
      </c>
      <c r="AA115" s="6">
        <f ca="1">IF(MONTH(sim.tbl[[#This Row],[SDate]])=INDEX(mthLkUp.tbl[Num],MATCH(AA$3,mthLkUp.tbl[Month],0)),1,0)</f>
        <v>1</v>
      </c>
      <c r="AB115" s="6">
        <f ca="1">IF(MONTH(sim.tbl[[#This Row],[SDate]])=INDEX(mthLkUp.tbl[Num],MATCH(AB$3,mthLkUp.tbl[Month],0)),1,0)</f>
        <v>0</v>
      </c>
      <c r="AC115" s="6">
        <f ca="1">IF(MONTH(sim.tbl[[#This Row],[SDate]])=INDEX(mthLkUp.tbl[Num],MATCH(AC$3,mthLkUp.tbl[Month],0)),1,0)</f>
        <v>0</v>
      </c>
      <c r="AD115" s="6">
        <f ca="1">IF(MONTH(sim.tbl[[#This Row],[SDate]])=INDEX(mthLkUp.tbl[Num],MATCH(AD$3,mthLkUp.tbl[Month],0)),1,0)</f>
        <v>0</v>
      </c>
      <c r="AE115" s="6">
        <f ca="1">IF(MONTH(sim.tbl[[#This Row],[SDate]])=INDEX(mthLkUp.tbl[Num],MATCH(AE$3,mthLkUp.tbl[Month],0)),1,0)</f>
        <v>0</v>
      </c>
      <c r="AF115" s="6">
        <f ca="1">IF(MONTH(sim.tbl[[#This Row],[SDate]])=INDEX(mthLkUp.tbl[Num],MATCH(AF$3,mthLkUp.tbl[Month],0)),1,0)</f>
        <v>0</v>
      </c>
      <c r="AG115" s="6">
        <f ca="1">IF(MONTH(sim.tbl[[#This Row],[SDate]])=INDEX(mthLkUp.tbl[Num],MATCH(AG$3,mthLkUp.tbl[Month],0)),1,0)</f>
        <v>0</v>
      </c>
      <c r="AH115" s="6">
        <f ca="1">IF(MONTH(sim.tbl[[#This Row],[SDate]])=INDEX(mthLkUp.tbl[Num],MATCH(AH$3,mthLkUp.tbl[Month],0)),1,0)</f>
        <v>0</v>
      </c>
      <c r="AI115" s="6">
        <f ca="1">IF(MONTH(sim.tbl[[#This Row],[SDate]])=INDEX(mthLkUp.tbl[Num],MATCH(AI$3,mthLkUp.tbl[Month],0)),1,0)</f>
        <v>0</v>
      </c>
      <c r="AJ115" s="6">
        <f ca="1">IF(MONTH(sim.tbl[[#This Row],[SDate]])=INDEX(mthLkUp.tbl[Num],MATCH(AJ$3,mthLkUp.tbl[Month],0)),1,0)</f>
        <v>0</v>
      </c>
      <c r="AK115" s="6">
        <v>1</v>
      </c>
      <c r="AL115" s="5">
        <f>sim.tbl[[#This Row],[Sulf]]*sim.tbl[[#This Row],[C5]]</f>
        <v>0</v>
      </c>
      <c r="AM115" s="5">
        <f>sim.tbl[[#This Row],[Sulf]]*sim.tbl[[#This Row],[Light_LSB]]</f>
        <v>0</v>
      </c>
      <c r="AN115" s="5">
        <f>sim.tbl[[#This Row],[Sulf]]*sim.tbl[[#This Row],[Light_SW]]</f>
        <v>0</v>
      </c>
      <c r="AO115" s="5">
        <f>sim.tbl[[#This Row],[Sulf]]*sim.tbl[[#This Row],[Medium_LSB]]</f>
        <v>1.077</v>
      </c>
      <c r="AP115" s="5">
        <f>sim.tbl[[#This Row],[Sulf]]*sim.tbl[[#This Row],[Medium_SW]]</f>
        <v>0</v>
      </c>
      <c r="AQ115" s="5">
        <f>sim.tbl[[#This Row],[Sulf]]*sim.tbl[[#This Row],[Midale]]</f>
        <v>0</v>
      </c>
      <c r="AR115" s="5">
        <f>sim.tbl[[#This Row],[Sulf]]*sim.tbl[[#This Row],[Heavy_Sour]]</f>
        <v>0</v>
      </c>
      <c r="AS115" s="5">
        <f>sim.tbl[[#This Row],[Sulf]]*sim.tbl[[#This Row],[Heavy_SW]]</f>
        <v>0</v>
      </c>
      <c r="AT115" s="5">
        <f>sim.tbl[[#This Row],[Dens]]*sim.tbl[[#This Row],[C5]]</f>
        <v>0</v>
      </c>
      <c r="AU115" s="5">
        <f>sim.tbl[[#This Row],[Dens]]*sim.tbl[[#This Row],[Light_LSB]]</f>
        <v>0</v>
      </c>
      <c r="AV115" s="5">
        <f>sim.tbl[[#This Row],[Dens]]*sim.tbl[[#This Row],[Light_SW]]</f>
        <v>0</v>
      </c>
      <c r="AW115" s="5">
        <f>sim.tbl[[#This Row],[Dens]]*sim.tbl[[#This Row],[Medium_LSB]]</f>
        <v>845.9</v>
      </c>
      <c r="AX115" s="5">
        <f>sim.tbl[[#This Row],[Dens]]*sim.tbl[[#This Row],[Medium_SW]]</f>
        <v>0</v>
      </c>
      <c r="AY115" s="5">
        <f>sim.tbl[[#This Row],[Dens]]*sim.tbl[[#This Row],[Midale]]</f>
        <v>0</v>
      </c>
      <c r="AZ115" s="5">
        <f>sim.tbl[[#This Row],[Dens]]*sim.tbl[[#This Row],[Heavy_Sour]]</f>
        <v>0</v>
      </c>
      <c r="BA115" s="5">
        <f>sim.tbl[[#This Row],[Dens]]*sim.tbl[[#This Row],[Heavy_SW]]</f>
        <v>0</v>
      </c>
      <c r="BB115" s="5">
        <f>sim.tbl[[#This Row],[Temp.Roll]]*sim.tbl[[#This Row],[C5]]</f>
        <v>0</v>
      </c>
      <c r="BC115" s="5">
        <f>sim.tbl[[#This Row],[Temp.Roll]]*sim.tbl[[#This Row],[Light_LSB]]</f>
        <v>0</v>
      </c>
      <c r="BD115" s="5">
        <f>sim.tbl[[#This Row],[Temp.Roll]]*sim.tbl[[#This Row],[Light_SW]]</f>
        <v>0</v>
      </c>
      <c r="BE115" s="5">
        <f>sim.tbl[[#This Row],[Temp.Roll]]*sim.tbl[[#This Row],[Medium_LSB]]</f>
        <v>-16</v>
      </c>
      <c r="BF115" s="5">
        <f>sim.tbl[[#This Row],[Temp.Roll]]*sim.tbl[[#This Row],[Medium_SW]]</f>
        <v>0</v>
      </c>
      <c r="BG115" s="5">
        <f>sim.tbl[[#This Row],[Temp.Roll]]*sim.tbl[[#This Row],[Midale]]</f>
        <v>0</v>
      </c>
      <c r="BH115" s="5">
        <f>sim.tbl[[#This Row],[Temp.Roll]]*sim.tbl[[#This Row],[Heavy_Sour]]</f>
        <v>0</v>
      </c>
      <c r="BI115" s="5">
        <f>sim.tbl[[#This Row],[Temp.Roll]]*sim.tbl[[#This Row],[Heavy_SW]]</f>
        <v>0</v>
      </c>
    </row>
    <row r="116" spans="4:61" x14ac:dyDescent="0.25">
      <c r="D116" s="5">
        <f ca="1">SUMPRODUCT($F$1:$BI$1,sim.tbl[[#This Row],[Intercept]:[Temp.Roll:Heavy_SW]])</f>
        <v>86.767803475247121</v>
      </c>
      <c r="E116" s="14">
        <f ca="1">DATE(YEAR(TODAY()),INDEX(mthLkUp.tbl[Num],MATCH(mth.input,mthLkUp.tbl[Month],0)),1)</f>
        <v>42795</v>
      </c>
      <c r="F116" s="6">
        <f>1</f>
        <v>1</v>
      </c>
      <c r="G116" s="5">
        <v>1.1100000000000001</v>
      </c>
      <c r="H116" s="5">
        <v>840.9</v>
      </c>
      <c r="I116" s="5">
        <v>-22.06</v>
      </c>
      <c r="J116" s="5">
        <v>-22.7</v>
      </c>
      <c r="K116" s="5">
        <v>-20.7</v>
      </c>
      <c r="L116" s="5">
        <v>-22.7</v>
      </c>
      <c r="M116" s="5">
        <v>-17</v>
      </c>
      <c r="N116" s="5">
        <v>-21</v>
      </c>
      <c r="O116" s="5">
        <v>-24.7</v>
      </c>
      <c r="P116" s="5">
        <v>-21.2</v>
      </c>
      <c r="Q116" s="6">
        <f>IF(sim.tbl[[#This Row],[Dens]]&lt;=770,1,0)</f>
        <v>0</v>
      </c>
      <c r="R116" s="6">
        <f>IF(AND(sim.tbl[[#This Row],[Sulf]]&gt;0.5,sim.tbl[[#This Row],[Dens]]&gt;770,sim.tbl[[#This Row],[Dens]]&lt;=825),1,0)</f>
        <v>0</v>
      </c>
      <c r="S116" s="6">
        <f>IF(AND(sim.tbl[[#This Row],[Sulf]]&lt;=0.5,sim.tbl[[#This Row],[Dens]]&gt;770,sim.tbl[[#This Row],[Dens]]&lt;=825),1,0)</f>
        <v>0</v>
      </c>
      <c r="T116" s="6">
        <f>IF(AND(sim.tbl[[#This Row],[Sulf]]&gt;0.5,sim.tbl[[#This Row],[Dens]]&gt;825,sim.tbl[[#This Row],[Dens]]&lt;=870),1,0)</f>
        <v>1</v>
      </c>
      <c r="U116" s="6">
        <f>IF(AND(sim.tbl[[#This Row],[Sulf]]&lt;0.5,sim.tbl[[#This Row],[Dens]]&gt;825,sim.tbl[[#This Row],[Dens]]&lt;=900),1,0)</f>
        <v>0</v>
      </c>
      <c r="V116" s="6">
        <f>IF(AND(sim.tbl[[#This Row],[Sulf]]&gt;0.5,sim.tbl[[#This Row],[Dens]]&gt;870,sim.tbl[[#This Row],[Dens]]&lt;=900),1,0)</f>
        <v>0</v>
      </c>
      <c r="W116" s="6">
        <f>IF(AND(sim.tbl[[#This Row],[Sulf]]&gt;0.5,sim.tbl[[#This Row],[Dens]]&gt;900),1,0)</f>
        <v>0</v>
      </c>
      <c r="X116" s="6">
        <f>IF(AND(sim.tbl[[#This Row],[Sulf]]&lt;=0.5,sim.tbl[[#This Row],[Dens]]&gt;900),1,0)</f>
        <v>0</v>
      </c>
      <c r="Y116" s="6">
        <f ca="1">IF(MONTH(sim.tbl[[#This Row],[SDate]])=INDEX(mthLkUp.tbl[Num],MATCH(Y$3,mthLkUp.tbl[Month],0)),1,0)</f>
        <v>0</v>
      </c>
      <c r="Z116" s="6">
        <f ca="1">IF(MONTH(sim.tbl[[#This Row],[SDate]])=INDEX(mthLkUp.tbl[Num],MATCH(Z$3,mthLkUp.tbl[Month],0)),1,0)</f>
        <v>0</v>
      </c>
      <c r="AA116" s="6">
        <f ca="1">IF(MONTH(sim.tbl[[#This Row],[SDate]])=INDEX(mthLkUp.tbl[Num],MATCH(AA$3,mthLkUp.tbl[Month],0)),1,0)</f>
        <v>1</v>
      </c>
      <c r="AB116" s="6">
        <f ca="1">IF(MONTH(sim.tbl[[#This Row],[SDate]])=INDEX(mthLkUp.tbl[Num],MATCH(AB$3,mthLkUp.tbl[Month],0)),1,0)</f>
        <v>0</v>
      </c>
      <c r="AC116" s="6">
        <f ca="1">IF(MONTH(sim.tbl[[#This Row],[SDate]])=INDEX(mthLkUp.tbl[Num],MATCH(AC$3,mthLkUp.tbl[Month],0)),1,0)</f>
        <v>0</v>
      </c>
      <c r="AD116" s="6">
        <f ca="1">IF(MONTH(sim.tbl[[#This Row],[SDate]])=INDEX(mthLkUp.tbl[Num],MATCH(AD$3,mthLkUp.tbl[Month],0)),1,0)</f>
        <v>0</v>
      </c>
      <c r="AE116" s="6">
        <f ca="1">IF(MONTH(sim.tbl[[#This Row],[SDate]])=INDEX(mthLkUp.tbl[Num],MATCH(AE$3,mthLkUp.tbl[Month],0)),1,0)</f>
        <v>0</v>
      </c>
      <c r="AF116" s="6">
        <f ca="1">IF(MONTH(sim.tbl[[#This Row],[SDate]])=INDEX(mthLkUp.tbl[Num],MATCH(AF$3,mthLkUp.tbl[Month],0)),1,0)</f>
        <v>0</v>
      </c>
      <c r="AG116" s="6">
        <f ca="1">IF(MONTH(sim.tbl[[#This Row],[SDate]])=INDEX(mthLkUp.tbl[Num],MATCH(AG$3,mthLkUp.tbl[Month],0)),1,0)</f>
        <v>0</v>
      </c>
      <c r="AH116" s="6">
        <f ca="1">IF(MONTH(sim.tbl[[#This Row],[SDate]])=INDEX(mthLkUp.tbl[Num],MATCH(AH$3,mthLkUp.tbl[Month],0)),1,0)</f>
        <v>0</v>
      </c>
      <c r="AI116" s="6">
        <f ca="1">IF(MONTH(sim.tbl[[#This Row],[SDate]])=INDEX(mthLkUp.tbl[Num],MATCH(AI$3,mthLkUp.tbl[Month],0)),1,0)</f>
        <v>0</v>
      </c>
      <c r="AJ116" s="6">
        <f ca="1">IF(MONTH(sim.tbl[[#This Row],[SDate]])=INDEX(mthLkUp.tbl[Num],MATCH(AJ$3,mthLkUp.tbl[Month],0)),1,0)</f>
        <v>0</v>
      </c>
      <c r="AK116" s="6">
        <v>1</v>
      </c>
      <c r="AL116" s="5">
        <f>sim.tbl[[#This Row],[Sulf]]*sim.tbl[[#This Row],[C5]]</f>
        <v>0</v>
      </c>
      <c r="AM116" s="5">
        <f>sim.tbl[[#This Row],[Sulf]]*sim.tbl[[#This Row],[Light_LSB]]</f>
        <v>0</v>
      </c>
      <c r="AN116" s="5">
        <f>sim.tbl[[#This Row],[Sulf]]*sim.tbl[[#This Row],[Light_SW]]</f>
        <v>0</v>
      </c>
      <c r="AO116" s="5">
        <f>sim.tbl[[#This Row],[Sulf]]*sim.tbl[[#This Row],[Medium_LSB]]</f>
        <v>1.1100000000000001</v>
      </c>
      <c r="AP116" s="5">
        <f>sim.tbl[[#This Row],[Sulf]]*sim.tbl[[#This Row],[Medium_SW]]</f>
        <v>0</v>
      </c>
      <c r="AQ116" s="5">
        <f>sim.tbl[[#This Row],[Sulf]]*sim.tbl[[#This Row],[Midale]]</f>
        <v>0</v>
      </c>
      <c r="AR116" s="5">
        <f>sim.tbl[[#This Row],[Sulf]]*sim.tbl[[#This Row],[Heavy_Sour]]</f>
        <v>0</v>
      </c>
      <c r="AS116" s="5">
        <f>sim.tbl[[#This Row],[Sulf]]*sim.tbl[[#This Row],[Heavy_SW]]</f>
        <v>0</v>
      </c>
      <c r="AT116" s="5">
        <f>sim.tbl[[#This Row],[Dens]]*sim.tbl[[#This Row],[C5]]</f>
        <v>0</v>
      </c>
      <c r="AU116" s="5">
        <f>sim.tbl[[#This Row],[Dens]]*sim.tbl[[#This Row],[Light_LSB]]</f>
        <v>0</v>
      </c>
      <c r="AV116" s="5">
        <f>sim.tbl[[#This Row],[Dens]]*sim.tbl[[#This Row],[Light_SW]]</f>
        <v>0</v>
      </c>
      <c r="AW116" s="5">
        <f>sim.tbl[[#This Row],[Dens]]*sim.tbl[[#This Row],[Medium_LSB]]</f>
        <v>840.9</v>
      </c>
      <c r="AX116" s="5">
        <f>sim.tbl[[#This Row],[Dens]]*sim.tbl[[#This Row],[Medium_SW]]</f>
        <v>0</v>
      </c>
      <c r="AY116" s="5">
        <f>sim.tbl[[#This Row],[Dens]]*sim.tbl[[#This Row],[Midale]]</f>
        <v>0</v>
      </c>
      <c r="AZ116" s="5">
        <f>sim.tbl[[#This Row],[Dens]]*sim.tbl[[#This Row],[Heavy_Sour]]</f>
        <v>0</v>
      </c>
      <c r="BA116" s="5">
        <f>sim.tbl[[#This Row],[Dens]]*sim.tbl[[#This Row],[Heavy_SW]]</f>
        <v>0</v>
      </c>
      <c r="BB116" s="5">
        <f>sim.tbl[[#This Row],[Temp.Roll]]*sim.tbl[[#This Row],[C5]]</f>
        <v>0</v>
      </c>
      <c r="BC116" s="5">
        <f>sim.tbl[[#This Row],[Temp.Roll]]*sim.tbl[[#This Row],[Light_LSB]]</f>
        <v>0</v>
      </c>
      <c r="BD116" s="5">
        <f>sim.tbl[[#This Row],[Temp.Roll]]*sim.tbl[[#This Row],[Light_SW]]</f>
        <v>0</v>
      </c>
      <c r="BE116" s="5">
        <f>sim.tbl[[#This Row],[Temp.Roll]]*sim.tbl[[#This Row],[Medium_LSB]]</f>
        <v>-22.7</v>
      </c>
      <c r="BF116" s="5">
        <f>sim.tbl[[#This Row],[Temp.Roll]]*sim.tbl[[#This Row],[Medium_SW]]</f>
        <v>0</v>
      </c>
      <c r="BG116" s="5">
        <f>sim.tbl[[#This Row],[Temp.Roll]]*sim.tbl[[#This Row],[Midale]]</f>
        <v>0</v>
      </c>
      <c r="BH116" s="5">
        <f>sim.tbl[[#This Row],[Temp.Roll]]*sim.tbl[[#This Row],[Heavy_Sour]]</f>
        <v>0</v>
      </c>
      <c r="BI116" s="5">
        <f>sim.tbl[[#This Row],[Temp.Roll]]*sim.tbl[[#This Row],[Heavy_SW]]</f>
        <v>0</v>
      </c>
    </row>
    <row r="117" spans="4:61" x14ac:dyDescent="0.25">
      <c r="D117" s="5">
        <f ca="1">SUMPRODUCT($F$1:$BI$1,sim.tbl[[#This Row],[Intercept]:[Temp.Roll:Heavy_SW]])</f>
        <v>81.984335737823386</v>
      </c>
      <c r="E117" s="14">
        <f ca="1">DATE(YEAR(TODAY()),INDEX(mthLkUp.tbl[Num],MATCH(mth.input,mthLkUp.tbl[Month],0)),1)</f>
        <v>42795</v>
      </c>
      <c r="F117" s="6">
        <f>1</f>
        <v>1</v>
      </c>
      <c r="G117" s="5">
        <v>1.405</v>
      </c>
      <c r="H117" s="5">
        <v>849.9</v>
      </c>
      <c r="I117" s="5">
        <v>-16.166666670000001</v>
      </c>
      <c r="J117" s="5">
        <v>-16.899999999999999</v>
      </c>
      <c r="K117" s="5">
        <v>-16</v>
      </c>
      <c r="L117" s="5">
        <v>-16.899999999999999</v>
      </c>
      <c r="M117" s="5">
        <v>-15.8</v>
      </c>
      <c r="N117" s="5">
        <v>-17</v>
      </c>
      <c r="O117" s="5">
        <v>-13.5</v>
      </c>
      <c r="P117" s="5">
        <v>-17.8</v>
      </c>
      <c r="Q117" s="6">
        <f>IF(sim.tbl[[#This Row],[Dens]]&lt;=770,1,0)</f>
        <v>0</v>
      </c>
      <c r="R117" s="6">
        <f>IF(AND(sim.tbl[[#This Row],[Sulf]]&gt;0.5,sim.tbl[[#This Row],[Dens]]&gt;770,sim.tbl[[#This Row],[Dens]]&lt;=825),1,0)</f>
        <v>0</v>
      </c>
      <c r="S117" s="6">
        <f>IF(AND(sim.tbl[[#This Row],[Sulf]]&lt;=0.5,sim.tbl[[#This Row],[Dens]]&gt;770,sim.tbl[[#This Row],[Dens]]&lt;=825),1,0)</f>
        <v>0</v>
      </c>
      <c r="T117" s="6">
        <f>IF(AND(sim.tbl[[#This Row],[Sulf]]&gt;0.5,sim.tbl[[#This Row],[Dens]]&gt;825,sim.tbl[[#This Row],[Dens]]&lt;=870),1,0)</f>
        <v>1</v>
      </c>
      <c r="U117" s="6">
        <f>IF(AND(sim.tbl[[#This Row],[Sulf]]&lt;0.5,sim.tbl[[#This Row],[Dens]]&gt;825,sim.tbl[[#This Row],[Dens]]&lt;=900),1,0)</f>
        <v>0</v>
      </c>
      <c r="V117" s="6">
        <f>IF(AND(sim.tbl[[#This Row],[Sulf]]&gt;0.5,sim.tbl[[#This Row],[Dens]]&gt;870,sim.tbl[[#This Row],[Dens]]&lt;=900),1,0)</f>
        <v>0</v>
      </c>
      <c r="W117" s="6">
        <f>IF(AND(sim.tbl[[#This Row],[Sulf]]&gt;0.5,sim.tbl[[#This Row],[Dens]]&gt;900),1,0)</f>
        <v>0</v>
      </c>
      <c r="X117" s="6">
        <f>IF(AND(sim.tbl[[#This Row],[Sulf]]&lt;=0.5,sim.tbl[[#This Row],[Dens]]&gt;900),1,0)</f>
        <v>0</v>
      </c>
      <c r="Y117" s="6">
        <f ca="1">IF(MONTH(sim.tbl[[#This Row],[SDate]])=INDEX(mthLkUp.tbl[Num],MATCH(Y$3,mthLkUp.tbl[Month],0)),1,0)</f>
        <v>0</v>
      </c>
      <c r="Z117" s="6">
        <f ca="1">IF(MONTH(sim.tbl[[#This Row],[SDate]])=INDEX(mthLkUp.tbl[Num],MATCH(Z$3,mthLkUp.tbl[Month],0)),1,0)</f>
        <v>0</v>
      </c>
      <c r="AA117" s="6">
        <f ca="1">IF(MONTH(sim.tbl[[#This Row],[SDate]])=INDEX(mthLkUp.tbl[Num],MATCH(AA$3,mthLkUp.tbl[Month],0)),1,0)</f>
        <v>1</v>
      </c>
      <c r="AB117" s="6">
        <f ca="1">IF(MONTH(sim.tbl[[#This Row],[SDate]])=INDEX(mthLkUp.tbl[Num],MATCH(AB$3,mthLkUp.tbl[Month],0)),1,0)</f>
        <v>0</v>
      </c>
      <c r="AC117" s="6">
        <f ca="1">IF(MONTH(sim.tbl[[#This Row],[SDate]])=INDEX(mthLkUp.tbl[Num],MATCH(AC$3,mthLkUp.tbl[Month],0)),1,0)</f>
        <v>0</v>
      </c>
      <c r="AD117" s="6">
        <f ca="1">IF(MONTH(sim.tbl[[#This Row],[SDate]])=INDEX(mthLkUp.tbl[Num],MATCH(AD$3,mthLkUp.tbl[Month],0)),1,0)</f>
        <v>0</v>
      </c>
      <c r="AE117" s="6">
        <f ca="1">IF(MONTH(sim.tbl[[#This Row],[SDate]])=INDEX(mthLkUp.tbl[Num],MATCH(AE$3,mthLkUp.tbl[Month],0)),1,0)</f>
        <v>0</v>
      </c>
      <c r="AF117" s="6">
        <f ca="1">IF(MONTH(sim.tbl[[#This Row],[SDate]])=INDEX(mthLkUp.tbl[Num],MATCH(AF$3,mthLkUp.tbl[Month],0)),1,0)</f>
        <v>0</v>
      </c>
      <c r="AG117" s="6">
        <f ca="1">IF(MONTH(sim.tbl[[#This Row],[SDate]])=INDEX(mthLkUp.tbl[Num],MATCH(AG$3,mthLkUp.tbl[Month],0)),1,0)</f>
        <v>0</v>
      </c>
      <c r="AH117" s="6">
        <f ca="1">IF(MONTH(sim.tbl[[#This Row],[SDate]])=INDEX(mthLkUp.tbl[Num],MATCH(AH$3,mthLkUp.tbl[Month],0)),1,0)</f>
        <v>0</v>
      </c>
      <c r="AI117" s="6">
        <f ca="1">IF(MONTH(sim.tbl[[#This Row],[SDate]])=INDEX(mthLkUp.tbl[Num],MATCH(AI$3,mthLkUp.tbl[Month],0)),1,0)</f>
        <v>0</v>
      </c>
      <c r="AJ117" s="6">
        <f ca="1">IF(MONTH(sim.tbl[[#This Row],[SDate]])=INDEX(mthLkUp.tbl[Num],MATCH(AJ$3,mthLkUp.tbl[Month],0)),1,0)</f>
        <v>0</v>
      </c>
      <c r="AK117" s="6">
        <v>1</v>
      </c>
      <c r="AL117" s="5">
        <f>sim.tbl[[#This Row],[Sulf]]*sim.tbl[[#This Row],[C5]]</f>
        <v>0</v>
      </c>
      <c r="AM117" s="5">
        <f>sim.tbl[[#This Row],[Sulf]]*sim.tbl[[#This Row],[Light_LSB]]</f>
        <v>0</v>
      </c>
      <c r="AN117" s="5">
        <f>sim.tbl[[#This Row],[Sulf]]*sim.tbl[[#This Row],[Light_SW]]</f>
        <v>0</v>
      </c>
      <c r="AO117" s="5">
        <f>sim.tbl[[#This Row],[Sulf]]*sim.tbl[[#This Row],[Medium_LSB]]</f>
        <v>1.405</v>
      </c>
      <c r="AP117" s="5">
        <f>sim.tbl[[#This Row],[Sulf]]*sim.tbl[[#This Row],[Medium_SW]]</f>
        <v>0</v>
      </c>
      <c r="AQ117" s="5">
        <f>sim.tbl[[#This Row],[Sulf]]*sim.tbl[[#This Row],[Midale]]</f>
        <v>0</v>
      </c>
      <c r="AR117" s="5">
        <f>sim.tbl[[#This Row],[Sulf]]*sim.tbl[[#This Row],[Heavy_Sour]]</f>
        <v>0</v>
      </c>
      <c r="AS117" s="5">
        <f>sim.tbl[[#This Row],[Sulf]]*sim.tbl[[#This Row],[Heavy_SW]]</f>
        <v>0</v>
      </c>
      <c r="AT117" s="5">
        <f>sim.tbl[[#This Row],[Dens]]*sim.tbl[[#This Row],[C5]]</f>
        <v>0</v>
      </c>
      <c r="AU117" s="5">
        <f>sim.tbl[[#This Row],[Dens]]*sim.tbl[[#This Row],[Light_LSB]]</f>
        <v>0</v>
      </c>
      <c r="AV117" s="5">
        <f>sim.tbl[[#This Row],[Dens]]*sim.tbl[[#This Row],[Light_SW]]</f>
        <v>0</v>
      </c>
      <c r="AW117" s="5">
        <f>sim.tbl[[#This Row],[Dens]]*sim.tbl[[#This Row],[Medium_LSB]]</f>
        <v>849.9</v>
      </c>
      <c r="AX117" s="5">
        <f>sim.tbl[[#This Row],[Dens]]*sim.tbl[[#This Row],[Medium_SW]]</f>
        <v>0</v>
      </c>
      <c r="AY117" s="5">
        <f>sim.tbl[[#This Row],[Dens]]*sim.tbl[[#This Row],[Midale]]</f>
        <v>0</v>
      </c>
      <c r="AZ117" s="5">
        <f>sim.tbl[[#This Row],[Dens]]*sim.tbl[[#This Row],[Heavy_Sour]]</f>
        <v>0</v>
      </c>
      <c r="BA117" s="5">
        <f>sim.tbl[[#This Row],[Dens]]*sim.tbl[[#This Row],[Heavy_SW]]</f>
        <v>0</v>
      </c>
      <c r="BB117" s="5">
        <f>sim.tbl[[#This Row],[Temp.Roll]]*sim.tbl[[#This Row],[C5]]</f>
        <v>0</v>
      </c>
      <c r="BC117" s="5">
        <f>sim.tbl[[#This Row],[Temp.Roll]]*sim.tbl[[#This Row],[Light_LSB]]</f>
        <v>0</v>
      </c>
      <c r="BD117" s="5">
        <f>sim.tbl[[#This Row],[Temp.Roll]]*sim.tbl[[#This Row],[Light_SW]]</f>
        <v>0</v>
      </c>
      <c r="BE117" s="5">
        <f>sim.tbl[[#This Row],[Temp.Roll]]*sim.tbl[[#This Row],[Medium_LSB]]</f>
        <v>-16.899999999999999</v>
      </c>
      <c r="BF117" s="5">
        <f>sim.tbl[[#This Row],[Temp.Roll]]*sim.tbl[[#This Row],[Medium_SW]]</f>
        <v>0</v>
      </c>
      <c r="BG117" s="5">
        <f>sim.tbl[[#This Row],[Temp.Roll]]*sim.tbl[[#This Row],[Midale]]</f>
        <v>0</v>
      </c>
      <c r="BH117" s="5">
        <f>sim.tbl[[#This Row],[Temp.Roll]]*sim.tbl[[#This Row],[Heavy_Sour]]</f>
        <v>0</v>
      </c>
      <c r="BI117" s="5">
        <f>sim.tbl[[#This Row],[Temp.Roll]]*sim.tbl[[#This Row],[Heavy_SW]]</f>
        <v>0</v>
      </c>
    </row>
    <row r="118" spans="4:61" x14ac:dyDescent="0.25">
      <c r="D118" s="5">
        <f ca="1">SUMPRODUCT($F$1:$BI$1,sim.tbl[[#This Row],[Intercept]:[Temp.Roll:Heavy_SW]])</f>
        <v>81.828521584036565</v>
      </c>
      <c r="E118" s="14">
        <f ca="1">DATE(YEAR(TODAY()),INDEX(mthLkUp.tbl[Num],MATCH(mth.input,mthLkUp.tbl[Month],0)),1)</f>
        <v>42795</v>
      </c>
      <c r="F118" s="6">
        <f>1</f>
        <v>1</v>
      </c>
      <c r="G118" s="5">
        <v>1.5509999999999999</v>
      </c>
      <c r="H118" s="5">
        <v>850.3</v>
      </c>
      <c r="I118" s="5">
        <v>-17.8</v>
      </c>
      <c r="J118" s="5">
        <v>-16.8</v>
      </c>
      <c r="K118" s="5">
        <v>-18.2</v>
      </c>
      <c r="L118" s="5">
        <v>-16.8</v>
      </c>
      <c r="M118" s="5">
        <v>-18.5</v>
      </c>
      <c r="N118" s="5">
        <v>-16.8</v>
      </c>
      <c r="O118" s="5">
        <v>-19</v>
      </c>
      <c r="P118" s="5">
        <v>-17.5</v>
      </c>
      <c r="Q118" s="6">
        <f>IF(sim.tbl[[#This Row],[Dens]]&lt;=770,1,0)</f>
        <v>0</v>
      </c>
      <c r="R118" s="6">
        <f>IF(AND(sim.tbl[[#This Row],[Sulf]]&gt;0.5,sim.tbl[[#This Row],[Dens]]&gt;770,sim.tbl[[#This Row],[Dens]]&lt;=825),1,0)</f>
        <v>0</v>
      </c>
      <c r="S118" s="6">
        <f>IF(AND(sim.tbl[[#This Row],[Sulf]]&lt;=0.5,sim.tbl[[#This Row],[Dens]]&gt;770,sim.tbl[[#This Row],[Dens]]&lt;=825),1,0)</f>
        <v>0</v>
      </c>
      <c r="T118" s="6">
        <f>IF(AND(sim.tbl[[#This Row],[Sulf]]&gt;0.5,sim.tbl[[#This Row],[Dens]]&gt;825,sim.tbl[[#This Row],[Dens]]&lt;=870),1,0)</f>
        <v>1</v>
      </c>
      <c r="U118" s="6">
        <f>IF(AND(sim.tbl[[#This Row],[Sulf]]&lt;0.5,sim.tbl[[#This Row],[Dens]]&gt;825,sim.tbl[[#This Row],[Dens]]&lt;=900),1,0)</f>
        <v>0</v>
      </c>
      <c r="V118" s="6">
        <f>IF(AND(sim.tbl[[#This Row],[Sulf]]&gt;0.5,sim.tbl[[#This Row],[Dens]]&gt;870,sim.tbl[[#This Row],[Dens]]&lt;=900),1,0)</f>
        <v>0</v>
      </c>
      <c r="W118" s="6">
        <f>IF(AND(sim.tbl[[#This Row],[Sulf]]&gt;0.5,sim.tbl[[#This Row],[Dens]]&gt;900),1,0)</f>
        <v>0</v>
      </c>
      <c r="X118" s="6">
        <f>IF(AND(sim.tbl[[#This Row],[Sulf]]&lt;=0.5,sim.tbl[[#This Row],[Dens]]&gt;900),1,0)</f>
        <v>0</v>
      </c>
      <c r="Y118" s="6">
        <f ca="1">IF(MONTH(sim.tbl[[#This Row],[SDate]])=INDEX(mthLkUp.tbl[Num],MATCH(Y$3,mthLkUp.tbl[Month],0)),1,0)</f>
        <v>0</v>
      </c>
      <c r="Z118" s="6">
        <f ca="1">IF(MONTH(sim.tbl[[#This Row],[SDate]])=INDEX(mthLkUp.tbl[Num],MATCH(Z$3,mthLkUp.tbl[Month],0)),1,0)</f>
        <v>0</v>
      </c>
      <c r="AA118" s="6">
        <f ca="1">IF(MONTH(sim.tbl[[#This Row],[SDate]])=INDEX(mthLkUp.tbl[Num],MATCH(AA$3,mthLkUp.tbl[Month],0)),1,0)</f>
        <v>1</v>
      </c>
      <c r="AB118" s="6">
        <f ca="1">IF(MONTH(sim.tbl[[#This Row],[SDate]])=INDEX(mthLkUp.tbl[Num],MATCH(AB$3,mthLkUp.tbl[Month],0)),1,0)</f>
        <v>0</v>
      </c>
      <c r="AC118" s="6">
        <f ca="1">IF(MONTH(sim.tbl[[#This Row],[SDate]])=INDEX(mthLkUp.tbl[Num],MATCH(AC$3,mthLkUp.tbl[Month],0)),1,0)</f>
        <v>0</v>
      </c>
      <c r="AD118" s="6">
        <f ca="1">IF(MONTH(sim.tbl[[#This Row],[SDate]])=INDEX(mthLkUp.tbl[Num],MATCH(AD$3,mthLkUp.tbl[Month],0)),1,0)</f>
        <v>0</v>
      </c>
      <c r="AE118" s="6">
        <f ca="1">IF(MONTH(sim.tbl[[#This Row],[SDate]])=INDEX(mthLkUp.tbl[Num],MATCH(AE$3,mthLkUp.tbl[Month],0)),1,0)</f>
        <v>0</v>
      </c>
      <c r="AF118" s="6">
        <f ca="1">IF(MONTH(sim.tbl[[#This Row],[SDate]])=INDEX(mthLkUp.tbl[Num],MATCH(AF$3,mthLkUp.tbl[Month],0)),1,0)</f>
        <v>0</v>
      </c>
      <c r="AG118" s="6">
        <f ca="1">IF(MONTH(sim.tbl[[#This Row],[SDate]])=INDEX(mthLkUp.tbl[Num],MATCH(AG$3,mthLkUp.tbl[Month],0)),1,0)</f>
        <v>0</v>
      </c>
      <c r="AH118" s="6">
        <f ca="1">IF(MONTH(sim.tbl[[#This Row],[SDate]])=INDEX(mthLkUp.tbl[Num],MATCH(AH$3,mthLkUp.tbl[Month],0)),1,0)</f>
        <v>0</v>
      </c>
      <c r="AI118" s="6">
        <f ca="1">IF(MONTH(sim.tbl[[#This Row],[SDate]])=INDEX(mthLkUp.tbl[Num],MATCH(AI$3,mthLkUp.tbl[Month],0)),1,0)</f>
        <v>0</v>
      </c>
      <c r="AJ118" s="6">
        <f ca="1">IF(MONTH(sim.tbl[[#This Row],[SDate]])=INDEX(mthLkUp.tbl[Num],MATCH(AJ$3,mthLkUp.tbl[Month],0)),1,0)</f>
        <v>0</v>
      </c>
      <c r="AK118" s="6">
        <v>1</v>
      </c>
      <c r="AL118" s="5">
        <f>sim.tbl[[#This Row],[Sulf]]*sim.tbl[[#This Row],[C5]]</f>
        <v>0</v>
      </c>
      <c r="AM118" s="5">
        <f>sim.tbl[[#This Row],[Sulf]]*sim.tbl[[#This Row],[Light_LSB]]</f>
        <v>0</v>
      </c>
      <c r="AN118" s="5">
        <f>sim.tbl[[#This Row],[Sulf]]*sim.tbl[[#This Row],[Light_SW]]</f>
        <v>0</v>
      </c>
      <c r="AO118" s="5">
        <f>sim.tbl[[#This Row],[Sulf]]*sim.tbl[[#This Row],[Medium_LSB]]</f>
        <v>1.5509999999999999</v>
      </c>
      <c r="AP118" s="5">
        <f>sim.tbl[[#This Row],[Sulf]]*sim.tbl[[#This Row],[Medium_SW]]</f>
        <v>0</v>
      </c>
      <c r="AQ118" s="5">
        <f>sim.tbl[[#This Row],[Sulf]]*sim.tbl[[#This Row],[Midale]]</f>
        <v>0</v>
      </c>
      <c r="AR118" s="5">
        <f>sim.tbl[[#This Row],[Sulf]]*sim.tbl[[#This Row],[Heavy_Sour]]</f>
        <v>0</v>
      </c>
      <c r="AS118" s="5">
        <f>sim.tbl[[#This Row],[Sulf]]*sim.tbl[[#This Row],[Heavy_SW]]</f>
        <v>0</v>
      </c>
      <c r="AT118" s="5">
        <f>sim.tbl[[#This Row],[Dens]]*sim.tbl[[#This Row],[C5]]</f>
        <v>0</v>
      </c>
      <c r="AU118" s="5">
        <f>sim.tbl[[#This Row],[Dens]]*sim.tbl[[#This Row],[Light_LSB]]</f>
        <v>0</v>
      </c>
      <c r="AV118" s="5">
        <f>sim.tbl[[#This Row],[Dens]]*sim.tbl[[#This Row],[Light_SW]]</f>
        <v>0</v>
      </c>
      <c r="AW118" s="5">
        <f>sim.tbl[[#This Row],[Dens]]*sim.tbl[[#This Row],[Medium_LSB]]</f>
        <v>850.3</v>
      </c>
      <c r="AX118" s="5">
        <f>sim.tbl[[#This Row],[Dens]]*sim.tbl[[#This Row],[Medium_SW]]</f>
        <v>0</v>
      </c>
      <c r="AY118" s="5">
        <f>sim.tbl[[#This Row],[Dens]]*sim.tbl[[#This Row],[Midale]]</f>
        <v>0</v>
      </c>
      <c r="AZ118" s="5">
        <f>sim.tbl[[#This Row],[Dens]]*sim.tbl[[#This Row],[Heavy_Sour]]</f>
        <v>0</v>
      </c>
      <c r="BA118" s="5">
        <f>sim.tbl[[#This Row],[Dens]]*sim.tbl[[#This Row],[Heavy_SW]]</f>
        <v>0</v>
      </c>
      <c r="BB118" s="5">
        <f>sim.tbl[[#This Row],[Temp.Roll]]*sim.tbl[[#This Row],[C5]]</f>
        <v>0</v>
      </c>
      <c r="BC118" s="5">
        <f>sim.tbl[[#This Row],[Temp.Roll]]*sim.tbl[[#This Row],[Light_LSB]]</f>
        <v>0</v>
      </c>
      <c r="BD118" s="5">
        <f>sim.tbl[[#This Row],[Temp.Roll]]*sim.tbl[[#This Row],[Light_SW]]</f>
        <v>0</v>
      </c>
      <c r="BE118" s="5">
        <f>sim.tbl[[#This Row],[Temp.Roll]]*sim.tbl[[#This Row],[Medium_LSB]]</f>
        <v>-16.8</v>
      </c>
      <c r="BF118" s="5">
        <f>sim.tbl[[#This Row],[Temp.Roll]]*sim.tbl[[#This Row],[Medium_SW]]</f>
        <v>0</v>
      </c>
      <c r="BG118" s="5">
        <f>sim.tbl[[#This Row],[Temp.Roll]]*sim.tbl[[#This Row],[Midale]]</f>
        <v>0</v>
      </c>
      <c r="BH118" s="5">
        <f>sim.tbl[[#This Row],[Temp.Roll]]*sim.tbl[[#This Row],[Heavy_Sour]]</f>
        <v>0</v>
      </c>
      <c r="BI118" s="5">
        <f>sim.tbl[[#This Row],[Temp.Roll]]*sim.tbl[[#This Row],[Heavy_SW]]</f>
        <v>0</v>
      </c>
    </row>
    <row r="119" spans="4:61" x14ac:dyDescent="0.25">
      <c r="D119" s="5">
        <f ca="1">SUMPRODUCT($F$1:$BI$1,sim.tbl[[#This Row],[Intercept]:[Temp.Roll:Heavy_SW]])</f>
        <v>73.885495948433743</v>
      </c>
      <c r="E119" s="14">
        <f ca="1">DATE(YEAR(TODAY()),INDEX(mthLkUp.tbl[Num],MATCH(mth.input,mthLkUp.tbl[Month],0)),1)</f>
        <v>42795</v>
      </c>
      <c r="F119" s="6">
        <f>1</f>
        <v>1</v>
      </c>
      <c r="G119" s="5">
        <v>1.28</v>
      </c>
      <c r="H119" s="5">
        <v>846.8</v>
      </c>
      <c r="I119" s="5">
        <v>7.5833333329999997</v>
      </c>
      <c r="J119" s="5">
        <v>8.1999999999999993</v>
      </c>
      <c r="K119" s="5">
        <v>7.3</v>
      </c>
      <c r="L119" s="5">
        <v>8.1999999999999993</v>
      </c>
      <c r="M119" s="5">
        <v>8.3000000000000007</v>
      </c>
      <c r="N119" s="5">
        <v>7</v>
      </c>
      <c r="O119" s="5">
        <v>7.8</v>
      </c>
      <c r="P119" s="5">
        <v>6.9</v>
      </c>
      <c r="Q119" s="6">
        <f>IF(sim.tbl[[#This Row],[Dens]]&lt;=770,1,0)</f>
        <v>0</v>
      </c>
      <c r="R119" s="6">
        <f>IF(AND(sim.tbl[[#This Row],[Sulf]]&gt;0.5,sim.tbl[[#This Row],[Dens]]&gt;770,sim.tbl[[#This Row],[Dens]]&lt;=825),1,0)</f>
        <v>0</v>
      </c>
      <c r="S119" s="6">
        <f>IF(AND(sim.tbl[[#This Row],[Sulf]]&lt;=0.5,sim.tbl[[#This Row],[Dens]]&gt;770,sim.tbl[[#This Row],[Dens]]&lt;=825),1,0)</f>
        <v>0</v>
      </c>
      <c r="T119" s="6">
        <f>IF(AND(sim.tbl[[#This Row],[Sulf]]&gt;0.5,sim.tbl[[#This Row],[Dens]]&gt;825,sim.tbl[[#This Row],[Dens]]&lt;=870),1,0)</f>
        <v>1</v>
      </c>
      <c r="U119" s="6">
        <f>IF(AND(sim.tbl[[#This Row],[Sulf]]&lt;0.5,sim.tbl[[#This Row],[Dens]]&gt;825,sim.tbl[[#This Row],[Dens]]&lt;=900),1,0)</f>
        <v>0</v>
      </c>
      <c r="V119" s="6">
        <f>IF(AND(sim.tbl[[#This Row],[Sulf]]&gt;0.5,sim.tbl[[#This Row],[Dens]]&gt;870,sim.tbl[[#This Row],[Dens]]&lt;=900),1,0)</f>
        <v>0</v>
      </c>
      <c r="W119" s="6">
        <f>IF(AND(sim.tbl[[#This Row],[Sulf]]&gt;0.5,sim.tbl[[#This Row],[Dens]]&gt;900),1,0)</f>
        <v>0</v>
      </c>
      <c r="X119" s="6">
        <f>IF(AND(sim.tbl[[#This Row],[Sulf]]&lt;=0.5,sim.tbl[[#This Row],[Dens]]&gt;900),1,0)</f>
        <v>0</v>
      </c>
      <c r="Y119" s="6">
        <f ca="1">IF(MONTH(sim.tbl[[#This Row],[SDate]])=INDEX(mthLkUp.tbl[Num],MATCH(Y$3,mthLkUp.tbl[Month],0)),1,0)</f>
        <v>0</v>
      </c>
      <c r="Z119" s="6">
        <f ca="1">IF(MONTH(sim.tbl[[#This Row],[SDate]])=INDEX(mthLkUp.tbl[Num],MATCH(Z$3,mthLkUp.tbl[Month],0)),1,0)</f>
        <v>0</v>
      </c>
      <c r="AA119" s="6">
        <f ca="1">IF(MONTH(sim.tbl[[#This Row],[SDate]])=INDEX(mthLkUp.tbl[Num],MATCH(AA$3,mthLkUp.tbl[Month],0)),1,0)</f>
        <v>1</v>
      </c>
      <c r="AB119" s="6">
        <f ca="1">IF(MONTH(sim.tbl[[#This Row],[SDate]])=INDEX(mthLkUp.tbl[Num],MATCH(AB$3,mthLkUp.tbl[Month],0)),1,0)</f>
        <v>0</v>
      </c>
      <c r="AC119" s="6">
        <f ca="1">IF(MONTH(sim.tbl[[#This Row],[SDate]])=INDEX(mthLkUp.tbl[Num],MATCH(AC$3,mthLkUp.tbl[Month],0)),1,0)</f>
        <v>0</v>
      </c>
      <c r="AD119" s="6">
        <f ca="1">IF(MONTH(sim.tbl[[#This Row],[SDate]])=INDEX(mthLkUp.tbl[Num],MATCH(AD$3,mthLkUp.tbl[Month],0)),1,0)</f>
        <v>0</v>
      </c>
      <c r="AE119" s="6">
        <f ca="1">IF(MONTH(sim.tbl[[#This Row],[SDate]])=INDEX(mthLkUp.tbl[Num],MATCH(AE$3,mthLkUp.tbl[Month],0)),1,0)</f>
        <v>0</v>
      </c>
      <c r="AF119" s="6">
        <f ca="1">IF(MONTH(sim.tbl[[#This Row],[SDate]])=INDEX(mthLkUp.tbl[Num],MATCH(AF$3,mthLkUp.tbl[Month],0)),1,0)</f>
        <v>0</v>
      </c>
      <c r="AG119" s="6">
        <f ca="1">IF(MONTH(sim.tbl[[#This Row],[SDate]])=INDEX(mthLkUp.tbl[Num],MATCH(AG$3,mthLkUp.tbl[Month],0)),1,0)</f>
        <v>0</v>
      </c>
      <c r="AH119" s="6">
        <f ca="1">IF(MONTH(sim.tbl[[#This Row],[SDate]])=INDEX(mthLkUp.tbl[Num],MATCH(AH$3,mthLkUp.tbl[Month],0)),1,0)</f>
        <v>0</v>
      </c>
      <c r="AI119" s="6">
        <f ca="1">IF(MONTH(sim.tbl[[#This Row],[SDate]])=INDEX(mthLkUp.tbl[Num],MATCH(AI$3,mthLkUp.tbl[Month],0)),1,0)</f>
        <v>0</v>
      </c>
      <c r="AJ119" s="6">
        <f ca="1">IF(MONTH(sim.tbl[[#This Row],[SDate]])=INDEX(mthLkUp.tbl[Num],MATCH(AJ$3,mthLkUp.tbl[Month],0)),1,0)</f>
        <v>0</v>
      </c>
      <c r="AK119" s="6">
        <v>1</v>
      </c>
      <c r="AL119" s="5">
        <f>sim.tbl[[#This Row],[Sulf]]*sim.tbl[[#This Row],[C5]]</f>
        <v>0</v>
      </c>
      <c r="AM119" s="5">
        <f>sim.tbl[[#This Row],[Sulf]]*sim.tbl[[#This Row],[Light_LSB]]</f>
        <v>0</v>
      </c>
      <c r="AN119" s="5">
        <f>sim.tbl[[#This Row],[Sulf]]*sim.tbl[[#This Row],[Light_SW]]</f>
        <v>0</v>
      </c>
      <c r="AO119" s="5">
        <f>sim.tbl[[#This Row],[Sulf]]*sim.tbl[[#This Row],[Medium_LSB]]</f>
        <v>1.28</v>
      </c>
      <c r="AP119" s="5">
        <f>sim.tbl[[#This Row],[Sulf]]*sim.tbl[[#This Row],[Medium_SW]]</f>
        <v>0</v>
      </c>
      <c r="AQ119" s="5">
        <f>sim.tbl[[#This Row],[Sulf]]*sim.tbl[[#This Row],[Midale]]</f>
        <v>0</v>
      </c>
      <c r="AR119" s="5">
        <f>sim.tbl[[#This Row],[Sulf]]*sim.tbl[[#This Row],[Heavy_Sour]]</f>
        <v>0</v>
      </c>
      <c r="AS119" s="5">
        <f>sim.tbl[[#This Row],[Sulf]]*sim.tbl[[#This Row],[Heavy_SW]]</f>
        <v>0</v>
      </c>
      <c r="AT119" s="5">
        <f>sim.tbl[[#This Row],[Dens]]*sim.tbl[[#This Row],[C5]]</f>
        <v>0</v>
      </c>
      <c r="AU119" s="5">
        <f>sim.tbl[[#This Row],[Dens]]*sim.tbl[[#This Row],[Light_LSB]]</f>
        <v>0</v>
      </c>
      <c r="AV119" s="5">
        <f>sim.tbl[[#This Row],[Dens]]*sim.tbl[[#This Row],[Light_SW]]</f>
        <v>0</v>
      </c>
      <c r="AW119" s="5">
        <f>sim.tbl[[#This Row],[Dens]]*sim.tbl[[#This Row],[Medium_LSB]]</f>
        <v>846.8</v>
      </c>
      <c r="AX119" s="5">
        <f>sim.tbl[[#This Row],[Dens]]*sim.tbl[[#This Row],[Medium_SW]]</f>
        <v>0</v>
      </c>
      <c r="AY119" s="5">
        <f>sim.tbl[[#This Row],[Dens]]*sim.tbl[[#This Row],[Midale]]</f>
        <v>0</v>
      </c>
      <c r="AZ119" s="5">
        <f>sim.tbl[[#This Row],[Dens]]*sim.tbl[[#This Row],[Heavy_Sour]]</f>
        <v>0</v>
      </c>
      <c r="BA119" s="5">
        <f>sim.tbl[[#This Row],[Dens]]*sim.tbl[[#This Row],[Heavy_SW]]</f>
        <v>0</v>
      </c>
      <c r="BB119" s="5">
        <f>sim.tbl[[#This Row],[Temp.Roll]]*sim.tbl[[#This Row],[C5]]</f>
        <v>0</v>
      </c>
      <c r="BC119" s="5">
        <f>sim.tbl[[#This Row],[Temp.Roll]]*sim.tbl[[#This Row],[Light_LSB]]</f>
        <v>0</v>
      </c>
      <c r="BD119" s="5">
        <f>sim.tbl[[#This Row],[Temp.Roll]]*sim.tbl[[#This Row],[Light_SW]]</f>
        <v>0</v>
      </c>
      <c r="BE119" s="5">
        <f>sim.tbl[[#This Row],[Temp.Roll]]*sim.tbl[[#This Row],[Medium_LSB]]</f>
        <v>8.1999999999999993</v>
      </c>
      <c r="BF119" s="5">
        <f>sim.tbl[[#This Row],[Temp.Roll]]*sim.tbl[[#This Row],[Medium_SW]]</f>
        <v>0</v>
      </c>
      <c r="BG119" s="5">
        <f>sim.tbl[[#This Row],[Temp.Roll]]*sim.tbl[[#This Row],[Midale]]</f>
        <v>0</v>
      </c>
      <c r="BH119" s="5">
        <f>sim.tbl[[#This Row],[Temp.Roll]]*sim.tbl[[#This Row],[Heavy_Sour]]</f>
        <v>0</v>
      </c>
      <c r="BI119" s="5">
        <f>sim.tbl[[#This Row],[Temp.Roll]]*sim.tbl[[#This Row],[Heavy_SW]]</f>
        <v>0</v>
      </c>
    </row>
    <row r="120" spans="4:61" x14ac:dyDescent="0.25">
      <c r="D120" s="5">
        <f ca="1">SUMPRODUCT($F$1:$BI$1,sim.tbl[[#This Row],[Intercept]:[Temp.Roll:Heavy_SW]])</f>
        <v>73.172166684053053</v>
      </c>
      <c r="E120" s="14">
        <f ca="1">DATE(YEAR(TODAY()),INDEX(mthLkUp.tbl[Num],MATCH(mth.input,mthLkUp.tbl[Month],0)),1)</f>
        <v>42795</v>
      </c>
      <c r="F120" s="6">
        <f>1</f>
        <v>1</v>
      </c>
      <c r="G120" s="5">
        <v>1.27</v>
      </c>
      <c r="H120" s="5">
        <v>847.5</v>
      </c>
      <c r="I120" s="5">
        <v>9.3666666670000005</v>
      </c>
      <c r="J120" s="5">
        <v>9.6</v>
      </c>
      <c r="K120" s="5">
        <v>9.6999999999999993</v>
      </c>
      <c r="L120" s="5">
        <v>9.6</v>
      </c>
      <c r="M120" s="5">
        <v>8.3000000000000007</v>
      </c>
      <c r="N120" s="5">
        <v>10.8</v>
      </c>
      <c r="O120" s="5">
        <v>9.5</v>
      </c>
      <c r="P120" s="5">
        <v>8.3000000000000007</v>
      </c>
      <c r="Q120" s="6">
        <f>IF(sim.tbl[[#This Row],[Dens]]&lt;=770,1,0)</f>
        <v>0</v>
      </c>
      <c r="R120" s="6">
        <f>IF(AND(sim.tbl[[#This Row],[Sulf]]&gt;0.5,sim.tbl[[#This Row],[Dens]]&gt;770,sim.tbl[[#This Row],[Dens]]&lt;=825),1,0)</f>
        <v>0</v>
      </c>
      <c r="S120" s="6">
        <f>IF(AND(sim.tbl[[#This Row],[Sulf]]&lt;=0.5,sim.tbl[[#This Row],[Dens]]&gt;770,sim.tbl[[#This Row],[Dens]]&lt;=825),1,0)</f>
        <v>0</v>
      </c>
      <c r="T120" s="6">
        <f>IF(AND(sim.tbl[[#This Row],[Sulf]]&gt;0.5,sim.tbl[[#This Row],[Dens]]&gt;825,sim.tbl[[#This Row],[Dens]]&lt;=870),1,0)</f>
        <v>1</v>
      </c>
      <c r="U120" s="6">
        <f>IF(AND(sim.tbl[[#This Row],[Sulf]]&lt;0.5,sim.tbl[[#This Row],[Dens]]&gt;825,sim.tbl[[#This Row],[Dens]]&lt;=900),1,0)</f>
        <v>0</v>
      </c>
      <c r="V120" s="6">
        <f>IF(AND(sim.tbl[[#This Row],[Sulf]]&gt;0.5,sim.tbl[[#This Row],[Dens]]&gt;870,sim.tbl[[#This Row],[Dens]]&lt;=900),1,0)</f>
        <v>0</v>
      </c>
      <c r="W120" s="6">
        <f>IF(AND(sim.tbl[[#This Row],[Sulf]]&gt;0.5,sim.tbl[[#This Row],[Dens]]&gt;900),1,0)</f>
        <v>0</v>
      </c>
      <c r="X120" s="6">
        <f>IF(AND(sim.tbl[[#This Row],[Sulf]]&lt;=0.5,sim.tbl[[#This Row],[Dens]]&gt;900),1,0)</f>
        <v>0</v>
      </c>
      <c r="Y120" s="6">
        <f ca="1">IF(MONTH(sim.tbl[[#This Row],[SDate]])=INDEX(mthLkUp.tbl[Num],MATCH(Y$3,mthLkUp.tbl[Month],0)),1,0)</f>
        <v>0</v>
      </c>
      <c r="Z120" s="6">
        <f ca="1">IF(MONTH(sim.tbl[[#This Row],[SDate]])=INDEX(mthLkUp.tbl[Num],MATCH(Z$3,mthLkUp.tbl[Month],0)),1,0)</f>
        <v>0</v>
      </c>
      <c r="AA120" s="6">
        <f ca="1">IF(MONTH(sim.tbl[[#This Row],[SDate]])=INDEX(mthLkUp.tbl[Num],MATCH(AA$3,mthLkUp.tbl[Month],0)),1,0)</f>
        <v>1</v>
      </c>
      <c r="AB120" s="6">
        <f ca="1">IF(MONTH(sim.tbl[[#This Row],[SDate]])=INDEX(mthLkUp.tbl[Num],MATCH(AB$3,mthLkUp.tbl[Month],0)),1,0)</f>
        <v>0</v>
      </c>
      <c r="AC120" s="6">
        <f ca="1">IF(MONTH(sim.tbl[[#This Row],[SDate]])=INDEX(mthLkUp.tbl[Num],MATCH(AC$3,mthLkUp.tbl[Month],0)),1,0)</f>
        <v>0</v>
      </c>
      <c r="AD120" s="6">
        <f ca="1">IF(MONTH(sim.tbl[[#This Row],[SDate]])=INDEX(mthLkUp.tbl[Num],MATCH(AD$3,mthLkUp.tbl[Month],0)),1,0)</f>
        <v>0</v>
      </c>
      <c r="AE120" s="6">
        <f ca="1">IF(MONTH(sim.tbl[[#This Row],[SDate]])=INDEX(mthLkUp.tbl[Num],MATCH(AE$3,mthLkUp.tbl[Month],0)),1,0)</f>
        <v>0</v>
      </c>
      <c r="AF120" s="6">
        <f ca="1">IF(MONTH(sim.tbl[[#This Row],[SDate]])=INDEX(mthLkUp.tbl[Num],MATCH(AF$3,mthLkUp.tbl[Month],0)),1,0)</f>
        <v>0</v>
      </c>
      <c r="AG120" s="6">
        <f ca="1">IF(MONTH(sim.tbl[[#This Row],[SDate]])=INDEX(mthLkUp.tbl[Num],MATCH(AG$3,mthLkUp.tbl[Month],0)),1,0)</f>
        <v>0</v>
      </c>
      <c r="AH120" s="6">
        <f ca="1">IF(MONTH(sim.tbl[[#This Row],[SDate]])=INDEX(mthLkUp.tbl[Num],MATCH(AH$3,mthLkUp.tbl[Month],0)),1,0)</f>
        <v>0</v>
      </c>
      <c r="AI120" s="6">
        <f ca="1">IF(MONTH(sim.tbl[[#This Row],[SDate]])=INDEX(mthLkUp.tbl[Num],MATCH(AI$3,mthLkUp.tbl[Month],0)),1,0)</f>
        <v>0</v>
      </c>
      <c r="AJ120" s="6">
        <f ca="1">IF(MONTH(sim.tbl[[#This Row],[SDate]])=INDEX(mthLkUp.tbl[Num],MATCH(AJ$3,mthLkUp.tbl[Month],0)),1,0)</f>
        <v>0</v>
      </c>
      <c r="AK120" s="6">
        <v>1</v>
      </c>
      <c r="AL120" s="5">
        <f>sim.tbl[[#This Row],[Sulf]]*sim.tbl[[#This Row],[C5]]</f>
        <v>0</v>
      </c>
      <c r="AM120" s="5">
        <f>sim.tbl[[#This Row],[Sulf]]*sim.tbl[[#This Row],[Light_LSB]]</f>
        <v>0</v>
      </c>
      <c r="AN120" s="5">
        <f>sim.tbl[[#This Row],[Sulf]]*sim.tbl[[#This Row],[Light_SW]]</f>
        <v>0</v>
      </c>
      <c r="AO120" s="5">
        <f>sim.tbl[[#This Row],[Sulf]]*sim.tbl[[#This Row],[Medium_LSB]]</f>
        <v>1.27</v>
      </c>
      <c r="AP120" s="5">
        <f>sim.tbl[[#This Row],[Sulf]]*sim.tbl[[#This Row],[Medium_SW]]</f>
        <v>0</v>
      </c>
      <c r="AQ120" s="5">
        <f>sim.tbl[[#This Row],[Sulf]]*sim.tbl[[#This Row],[Midale]]</f>
        <v>0</v>
      </c>
      <c r="AR120" s="5">
        <f>sim.tbl[[#This Row],[Sulf]]*sim.tbl[[#This Row],[Heavy_Sour]]</f>
        <v>0</v>
      </c>
      <c r="AS120" s="5">
        <f>sim.tbl[[#This Row],[Sulf]]*sim.tbl[[#This Row],[Heavy_SW]]</f>
        <v>0</v>
      </c>
      <c r="AT120" s="5">
        <f>sim.tbl[[#This Row],[Dens]]*sim.tbl[[#This Row],[C5]]</f>
        <v>0</v>
      </c>
      <c r="AU120" s="5">
        <f>sim.tbl[[#This Row],[Dens]]*sim.tbl[[#This Row],[Light_LSB]]</f>
        <v>0</v>
      </c>
      <c r="AV120" s="5">
        <f>sim.tbl[[#This Row],[Dens]]*sim.tbl[[#This Row],[Light_SW]]</f>
        <v>0</v>
      </c>
      <c r="AW120" s="5">
        <f>sim.tbl[[#This Row],[Dens]]*sim.tbl[[#This Row],[Medium_LSB]]</f>
        <v>847.5</v>
      </c>
      <c r="AX120" s="5">
        <f>sim.tbl[[#This Row],[Dens]]*sim.tbl[[#This Row],[Medium_SW]]</f>
        <v>0</v>
      </c>
      <c r="AY120" s="5">
        <f>sim.tbl[[#This Row],[Dens]]*sim.tbl[[#This Row],[Midale]]</f>
        <v>0</v>
      </c>
      <c r="AZ120" s="5">
        <f>sim.tbl[[#This Row],[Dens]]*sim.tbl[[#This Row],[Heavy_Sour]]</f>
        <v>0</v>
      </c>
      <c r="BA120" s="5">
        <f>sim.tbl[[#This Row],[Dens]]*sim.tbl[[#This Row],[Heavy_SW]]</f>
        <v>0</v>
      </c>
      <c r="BB120" s="5">
        <f>sim.tbl[[#This Row],[Temp.Roll]]*sim.tbl[[#This Row],[C5]]</f>
        <v>0</v>
      </c>
      <c r="BC120" s="5">
        <f>sim.tbl[[#This Row],[Temp.Roll]]*sim.tbl[[#This Row],[Light_LSB]]</f>
        <v>0</v>
      </c>
      <c r="BD120" s="5">
        <f>sim.tbl[[#This Row],[Temp.Roll]]*sim.tbl[[#This Row],[Light_SW]]</f>
        <v>0</v>
      </c>
      <c r="BE120" s="5">
        <f>sim.tbl[[#This Row],[Temp.Roll]]*sim.tbl[[#This Row],[Medium_LSB]]</f>
        <v>9.6</v>
      </c>
      <c r="BF120" s="5">
        <f>sim.tbl[[#This Row],[Temp.Roll]]*sim.tbl[[#This Row],[Medium_SW]]</f>
        <v>0</v>
      </c>
      <c r="BG120" s="5">
        <f>sim.tbl[[#This Row],[Temp.Roll]]*sim.tbl[[#This Row],[Midale]]</f>
        <v>0</v>
      </c>
      <c r="BH120" s="5">
        <f>sim.tbl[[#This Row],[Temp.Roll]]*sim.tbl[[#This Row],[Heavy_Sour]]</f>
        <v>0</v>
      </c>
      <c r="BI120" s="5">
        <f>sim.tbl[[#This Row],[Temp.Roll]]*sim.tbl[[#This Row],[Heavy_SW]]</f>
        <v>0</v>
      </c>
    </row>
    <row r="121" spans="4:61" x14ac:dyDescent="0.25">
      <c r="D121" s="5">
        <f ca="1">SUMPRODUCT($F$1:$BI$1,sim.tbl[[#This Row],[Intercept]:[Temp.Roll:Heavy_SW]])</f>
        <v>75.054556911785141</v>
      </c>
      <c r="E121" s="14">
        <f ca="1">DATE(YEAR(TODAY()),INDEX(mthLkUp.tbl[Num],MATCH(mth.input,mthLkUp.tbl[Month],0)),1)</f>
        <v>42795</v>
      </c>
      <c r="F121" s="6">
        <f>1</f>
        <v>1</v>
      </c>
      <c r="G121" s="5">
        <v>1.4</v>
      </c>
      <c r="H121" s="5">
        <v>850.1</v>
      </c>
      <c r="I121" s="5">
        <v>1.66</v>
      </c>
      <c r="J121" s="5">
        <v>2.2000000000000002</v>
      </c>
      <c r="K121" s="5">
        <v>1.8</v>
      </c>
      <c r="L121" s="5">
        <v>2.2000000000000002</v>
      </c>
      <c r="M121" s="5">
        <v>0.3</v>
      </c>
      <c r="N121" s="5">
        <v>-5.5</v>
      </c>
      <c r="O121" s="5">
        <v>1.9</v>
      </c>
      <c r="P121" s="5">
        <v>2.1</v>
      </c>
      <c r="Q121" s="6">
        <f>IF(sim.tbl[[#This Row],[Dens]]&lt;=770,1,0)</f>
        <v>0</v>
      </c>
      <c r="R121" s="6">
        <f>IF(AND(sim.tbl[[#This Row],[Sulf]]&gt;0.5,sim.tbl[[#This Row],[Dens]]&gt;770,sim.tbl[[#This Row],[Dens]]&lt;=825),1,0)</f>
        <v>0</v>
      </c>
      <c r="S121" s="6">
        <f>IF(AND(sim.tbl[[#This Row],[Sulf]]&lt;=0.5,sim.tbl[[#This Row],[Dens]]&gt;770,sim.tbl[[#This Row],[Dens]]&lt;=825),1,0)</f>
        <v>0</v>
      </c>
      <c r="T121" s="6">
        <f>IF(AND(sim.tbl[[#This Row],[Sulf]]&gt;0.5,sim.tbl[[#This Row],[Dens]]&gt;825,sim.tbl[[#This Row],[Dens]]&lt;=870),1,0)</f>
        <v>1</v>
      </c>
      <c r="U121" s="6">
        <f>IF(AND(sim.tbl[[#This Row],[Sulf]]&lt;0.5,sim.tbl[[#This Row],[Dens]]&gt;825,sim.tbl[[#This Row],[Dens]]&lt;=900),1,0)</f>
        <v>0</v>
      </c>
      <c r="V121" s="6">
        <f>IF(AND(sim.tbl[[#This Row],[Sulf]]&gt;0.5,sim.tbl[[#This Row],[Dens]]&gt;870,sim.tbl[[#This Row],[Dens]]&lt;=900),1,0)</f>
        <v>0</v>
      </c>
      <c r="W121" s="6">
        <f>IF(AND(sim.tbl[[#This Row],[Sulf]]&gt;0.5,sim.tbl[[#This Row],[Dens]]&gt;900),1,0)</f>
        <v>0</v>
      </c>
      <c r="X121" s="6">
        <f>IF(AND(sim.tbl[[#This Row],[Sulf]]&lt;=0.5,sim.tbl[[#This Row],[Dens]]&gt;900),1,0)</f>
        <v>0</v>
      </c>
      <c r="Y121" s="6">
        <f ca="1">IF(MONTH(sim.tbl[[#This Row],[SDate]])=INDEX(mthLkUp.tbl[Num],MATCH(Y$3,mthLkUp.tbl[Month],0)),1,0)</f>
        <v>0</v>
      </c>
      <c r="Z121" s="6">
        <f ca="1">IF(MONTH(sim.tbl[[#This Row],[SDate]])=INDEX(mthLkUp.tbl[Num],MATCH(Z$3,mthLkUp.tbl[Month],0)),1,0)</f>
        <v>0</v>
      </c>
      <c r="AA121" s="6">
        <f ca="1">IF(MONTH(sim.tbl[[#This Row],[SDate]])=INDEX(mthLkUp.tbl[Num],MATCH(AA$3,mthLkUp.tbl[Month],0)),1,0)</f>
        <v>1</v>
      </c>
      <c r="AB121" s="6">
        <f ca="1">IF(MONTH(sim.tbl[[#This Row],[SDate]])=INDEX(mthLkUp.tbl[Num],MATCH(AB$3,mthLkUp.tbl[Month],0)),1,0)</f>
        <v>0</v>
      </c>
      <c r="AC121" s="6">
        <f ca="1">IF(MONTH(sim.tbl[[#This Row],[SDate]])=INDEX(mthLkUp.tbl[Num],MATCH(AC$3,mthLkUp.tbl[Month],0)),1,0)</f>
        <v>0</v>
      </c>
      <c r="AD121" s="6">
        <f ca="1">IF(MONTH(sim.tbl[[#This Row],[SDate]])=INDEX(mthLkUp.tbl[Num],MATCH(AD$3,mthLkUp.tbl[Month],0)),1,0)</f>
        <v>0</v>
      </c>
      <c r="AE121" s="6">
        <f ca="1">IF(MONTH(sim.tbl[[#This Row],[SDate]])=INDEX(mthLkUp.tbl[Num],MATCH(AE$3,mthLkUp.tbl[Month],0)),1,0)</f>
        <v>0</v>
      </c>
      <c r="AF121" s="6">
        <f ca="1">IF(MONTH(sim.tbl[[#This Row],[SDate]])=INDEX(mthLkUp.tbl[Num],MATCH(AF$3,mthLkUp.tbl[Month],0)),1,0)</f>
        <v>0</v>
      </c>
      <c r="AG121" s="6">
        <f ca="1">IF(MONTH(sim.tbl[[#This Row],[SDate]])=INDEX(mthLkUp.tbl[Num],MATCH(AG$3,mthLkUp.tbl[Month],0)),1,0)</f>
        <v>0</v>
      </c>
      <c r="AH121" s="6">
        <f ca="1">IF(MONTH(sim.tbl[[#This Row],[SDate]])=INDEX(mthLkUp.tbl[Num],MATCH(AH$3,mthLkUp.tbl[Month],0)),1,0)</f>
        <v>0</v>
      </c>
      <c r="AI121" s="6">
        <f ca="1">IF(MONTH(sim.tbl[[#This Row],[SDate]])=INDEX(mthLkUp.tbl[Num],MATCH(AI$3,mthLkUp.tbl[Month],0)),1,0)</f>
        <v>0</v>
      </c>
      <c r="AJ121" s="6">
        <f ca="1">IF(MONTH(sim.tbl[[#This Row],[SDate]])=INDEX(mthLkUp.tbl[Num],MATCH(AJ$3,mthLkUp.tbl[Month],0)),1,0)</f>
        <v>0</v>
      </c>
      <c r="AK121" s="6">
        <v>1</v>
      </c>
      <c r="AL121" s="5">
        <f>sim.tbl[[#This Row],[Sulf]]*sim.tbl[[#This Row],[C5]]</f>
        <v>0</v>
      </c>
      <c r="AM121" s="5">
        <f>sim.tbl[[#This Row],[Sulf]]*sim.tbl[[#This Row],[Light_LSB]]</f>
        <v>0</v>
      </c>
      <c r="AN121" s="5">
        <f>sim.tbl[[#This Row],[Sulf]]*sim.tbl[[#This Row],[Light_SW]]</f>
        <v>0</v>
      </c>
      <c r="AO121" s="5">
        <f>sim.tbl[[#This Row],[Sulf]]*sim.tbl[[#This Row],[Medium_LSB]]</f>
        <v>1.4</v>
      </c>
      <c r="AP121" s="5">
        <f>sim.tbl[[#This Row],[Sulf]]*sim.tbl[[#This Row],[Medium_SW]]</f>
        <v>0</v>
      </c>
      <c r="AQ121" s="5">
        <f>sim.tbl[[#This Row],[Sulf]]*sim.tbl[[#This Row],[Midale]]</f>
        <v>0</v>
      </c>
      <c r="AR121" s="5">
        <f>sim.tbl[[#This Row],[Sulf]]*sim.tbl[[#This Row],[Heavy_Sour]]</f>
        <v>0</v>
      </c>
      <c r="AS121" s="5">
        <f>sim.tbl[[#This Row],[Sulf]]*sim.tbl[[#This Row],[Heavy_SW]]</f>
        <v>0</v>
      </c>
      <c r="AT121" s="5">
        <f>sim.tbl[[#This Row],[Dens]]*sim.tbl[[#This Row],[C5]]</f>
        <v>0</v>
      </c>
      <c r="AU121" s="5">
        <f>sim.tbl[[#This Row],[Dens]]*sim.tbl[[#This Row],[Light_LSB]]</f>
        <v>0</v>
      </c>
      <c r="AV121" s="5">
        <f>sim.tbl[[#This Row],[Dens]]*sim.tbl[[#This Row],[Light_SW]]</f>
        <v>0</v>
      </c>
      <c r="AW121" s="5">
        <f>sim.tbl[[#This Row],[Dens]]*sim.tbl[[#This Row],[Medium_LSB]]</f>
        <v>850.1</v>
      </c>
      <c r="AX121" s="5">
        <f>sim.tbl[[#This Row],[Dens]]*sim.tbl[[#This Row],[Medium_SW]]</f>
        <v>0</v>
      </c>
      <c r="AY121" s="5">
        <f>sim.tbl[[#This Row],[Dens]]*sim.tbl[[#This Row],[Midale]]</f>
        <v>0</v>
      </c>
      <c r="AZ121" s="5">
        <f>sim.tbl[[#This Row],[Dens]]*sim.tbl[[#This Row],[Heavy_Sour]]</f>
        <v>0</v>
      </c>
      <c r="BA121" s="5">
        <f>sim.tbl[[#This Row],[Dens]]*sim.tbl[[#This Row],[Heavy_SW]]</f>
        <v>0</v>
      </c>
      <c r="BB121" s="5">
        <f>sim.tbl[[#This Row],[Temp.Roll]]*sim.tbl[[#This Row],[C5]]</f>
        <v>0</v>
      </c>
      <c r="BC121" s="5">
        <f>sim.tbl[[#This Row],[Temp.Roll]]*sim.tbl[[#This Row],[Light_LSB]]</f>
        <v>0</v>
      </c>
      <c r="BD121" s="5">
        <f>sim.tbl[[#This Row],[Temp.Roll]]*sim.tbl[[#This Row],[Light_SW]]</f>
        <v>0</v>
      </c>
      <c r="BE121" s="5">
        <f>sim.tbl[[#This Row],[Temp.Roll]]*sim.tbl[[#This Row],[Medium_LSB]]</f>
        <v>2.2000000000000002</v>
      </c>
      <c r="BF121" s="5">
        <f>sim.tbl[[#This Row],[Temp.Roll]]*sim.tbl[[#This Row],[Medium_SW]]</f>
        <v>0</v>
      </c>
      <c r="BG121" s="5">
        <f>sim.tbl[[#This Row],[Temp.Roll]]*sim.tbl[[#This Row],[Midale]]</f>
        <v>0</v>
      </c>
      <c r="BH121" s="5">
        <f>sim.tbl[[#This Row],[Temp.Roll]]*sim.tbl[[#This Row],[Heavy_Sour]]</f>
        <v>0</v>
      </c>
      <c r="BI121" s="5">
        <f>sim.tbl[[#This Row],[Temp.Roll]]*sim.tbl[[#This Row],[Heavy_SW]]</f>
        <v>0</v>
      </c>
    </row>
    <row r="122" spans="4:61" x14ac:dyDescent="0.25">
      <c r="D122" s="5">
        <f ca="1">SUMPRODUCT($F$1:$BI$1,sim.tbl[[#This Row],[Intercept]:[Temp.Roll:Heavy_SW]])</f>
        <v>79.868337724191434</v>
      </c>
      <c r="E122" s="14">
        <f ca="1">DATE(YEAR(TODAY()),INDEX(mthLkUp.tbl[Num],MATCH(mth.input,mthLkUp.tbl[Month],0)),1)</f>
        <v>42795</v>
      </c>
      <c r="F122" s="6">
        <f>1</f>
        <v>1</v>
      </c>
      <c r="G122" s="5">
        <v>1.47</v>
      </c>
      <c r="H122" s="5">
        <v>853.6</v>
      </c>
      <c r="I122" s="5">
        <v>-14.76</v>
      </c>
      <c r="J122" s="5">
        <v>-14.1</v>
      </c>
      <c r="K122" s="5">
        <v>-14.1</v>
      </c>
      <c r="L122" s="5">
        <v>-14.1</v>
      </c>
      <c r="M122" s="5">
        <v>-15.3</v>
      </c>
      <c r="N122" s="5">
        <v>-13.5</v>
      </c>
      <c r="O122" s="5">
        <v>-16.100000000000001</v>
      </c>
      <c r="P122" s="5">
        <v>-16</v>
      </c>
      <c r="Q122" s="6">
        <f>IF(sim.tbl[[#This Row],[Dens]]&lt;=770,1,0)</f>
        <v>0</v>
      </c>
      <c r="R122" s="6">
        <f>IF(AND(sim.tbl[[#This Row],[Sulf]]&gt;0.5,sim.tbl[[#This Row],[Dens]]&gt;770,sim.tbl[[#This Row],[Dens]]&lt;=825),1,0)</f>
        <v>0</v>
      </c>
      <c r="S122" s="6">
        <f>IF(AND(sim.tbl[[#This Row],[Sulf]]&lt;=0.5,sim.tbl[[#This Row],[Dens]]&gt;770,sim.tbl[[#This Row],[Dens]]&lt;=825),1,0)</f>
        <v>0</v>
      </c>
      <c r="T122" s="6">
        <f>IF(AND(sim.tbl[[#This Row],[Sulf]]&gt;0.5,sim.tbl[[#This Row],[Dens]]&gt;825,sim.tbl[[#This Row],[Dens]]&lt;=870),1,0)</f>
        <v>1</v>
      </c>
      <c r="U122" s="6">
        <f>IF(AND(sim.tbl[[#This Row],[Sulf]]&lt;0.5,sim.tbl[[#This Row],[Dens]]&gt;825,sim.tbl[[#This Row],[Dens]]&lt;=900),1,0)</f>
        <v>0</v>
      </c>
      <c r="V122" s="6">
        <f>IF(AND(sim.tbl[[#This Row],[Sulf]]&gt;0.5,sim.tbl[[#This Row],[Dens]]&gt;870,sim.tbl[[#This Row],[Dens]]&lt;=900),1,0)</f>
        <v>0</v>
      </c>
      <c r="W122" s="6">
        <f>IF(AND(sim.tbl[[#This Row],[Sulf]]&gt;0.5,sim.tbl[[#This Row],[Dens]]&gt;900),1,0)</f>
        <v>0</v>
      </c>
      <c r="X122" s="6">
        <f>IF(AND(sim.tbl[[#This Row],[Sulf]]&lt;=0.5,sim.tbl[[#This Row],[Dens]]&gt;900),1,0)</f>
        <v>0</v>
      </c>
      <c r="Y122" s="6">
        <f ca="1">IF(MONTH(sim.tbl[[#This Row],[SDate]])=INDEX(mthLkUp.tbl[Num],MATCH(Y$3,mthLkUp.tbl[Month],0)),1,0)</f>
        <v>0</v>
      </c>
      <c r="Z122" s="6">
        <f ca="1">IF(MONTH(sim.tbl[[#This Row],[SDate]])=INDEX(mthLkUp.tbl[Num],MATCH(Z$3,mthLkUp.tbl[Month],0)),1,0)</f>
        <v>0</v>
      </c>
      <c r="AA122" s="6">
        <f ca="1">IF(MONTH(sim.tbl[[#This Row],[SDate]])=INDEX(mthLkUp.tbl[Num],MATCH(AA$3,mthLkUp.tbl[Month],0)),1,0)</f>
        <v>1</v>
      </c>
      <c r="AB122" s="6">
        <f ca="1">IF(MONTH(sim.tbl[[#This Row],[SDate]])=INDEX(mthLkUp.tbl[Num],MATCH(AB$3,mthLkUp.tbl[Month],0)),1,0)</f>
        <v>0</v>
      </c>
      <c r="AC122" s="6">
        <f ca="1">IF(MONTH(sim.tbl[[#This Row],[SDate]])=INDEX(mthLkUp.tbl[Num],MATCH(AC$3,mthLkUp.tbl[Month],0)),1,0)</f>
        <v>0</v>
      </c>
      <c r="AD122" s="6">
        <f ca="1">IF(MONTH(sim.tbl[[#This Row],[SDate]])=INDEX(mthLkUp.tbl[Num],MATCH(AD$3,mthLkUp.tbl[Month],0)),1,0)</f>
        <v>0</v>
      </c>
      <c r="AE122" s="6">
        <f ca="1">IF(MONTH(sim.tbl[[#This Row],[SDate]])=INDEX(mthLkUp.tbl[Num],MATCH(AE$3,mthLkUp.tbl[Month],0)),1,0)</f>
        <v>0</v>
      </c>
      <c r="AF122" s="6">
        <f ca="1">IF(MONTH(sim.tbl[[#This Row],[SDate]])=INDEX(mthLkUp.tbl[Num],MATCH(AF$3,mthLkUp.tbl[Month],0)),1,0)</f>
        <v>0</v>
      </c>
      <c r="AG122" s="6">
        <f ca="1">IF(MONTH(sim.tbl[[#This Row],[SDate]])=INDEX(mthLkUp.tbl[Num],MATCH(AG$3,mthLkUp.tbl[Month],0)),1,0)</f>
        <v>0</v>
      </c>
      <c r="AH122" s="6">
        <f ca="1">IF(MONTH(sim.tbl[[#This Row],[SDate]])=INDEX(mthLkUp.tbl[Num],MATCH(AH$3,mthLkUp.tbl[Month],0)),1,0)</f>
        <v>0</v>
      </c>
      <c r="AI122" s="6">
        <f ca="1">IF(MONTH(sim.tbl[[#This Row],[SDate]])=INDEX(mthLkUp.tbl[Num],MATCH(AI$3,mthLkUp.tbl[Month],0)),1,0)</f>
        <v>0</v>
      </c>
      <c r="AJ122" s="6">
        <f ca="1">IF(MONTH(sim.tbl[[#This Row],[SDate]])=INDEX(mthLkUp.tbl[Num],MATCH(AJ$3,mthLkUp.tbl[Month],0)),1,0)</f>
        <v>0</v>
      </c>
      <c r="AK122" s="6">
        <v>1</v>
      </c>
      <c r="AL122" s="5">
        <f>sim.tbl[[#This Row],[Sulf]]*sim.tbl[[#This Row],[C5]]</f>
        <v>0</v>
      </c>
      <c r="AM122" s="5">
        <f>sim.tbl[[#This Row],[Sulf]]*sim.tbl[[#This Row],[Light_LSB]]</f>
        <v>0</v>
      </c>
      <c r="AN122" s="5">
        <f>sim.tbl[[#This Row],[Sulf]]*sim.tbl[[#This Row],[Light_SW]]</f>
        <v>0</v>
      </c>
      <c r="AO122" s="5">
        <f>sim.tbl[[#This Row],[Sulf]]*sim.tbl[[#This Row],[Medium_LSB]]</f>
        <v>1.47</v>
      </c>
      <c r="AP122" s="5">
        <f>sim.tbl[[#This Row],[Sulf]]*sim.tbl[[#This Row],[Medium_SW]]</f>
        <v>0</v>
      </c>
      <c r="AQ122" s="5">
        <f>sim.tbl[[#This Row],[Sulf]]*sim.tbl[[#This Row],[Midale]]</f>
        <v>0</v>
      </c>
      <c r="AR122" s="5">
        <f>sim.tbl[[#This Row],[Sulf]]*sim.tbl[[#This Row],[Heavy_Sour]]</f>
        <v>0</v>
      </c>
      <c r="AS122" s="5">
        <f>sim.tbl[[#This Row],[Sulf]]*sim.tbl[[#This Row],[Heavy_SW]]</f>
        <v>0</v>
      </c>
      <c r="AT122" s="5">
        <f>sim.tbl[[#This Row],[Dens]]*sim.tbl[[#This Row],[C5]]</f>
        <v>0</v>
      </c>
      <c r="AU122" s="5">
        <f>sim.tbl[[#This Row],[Dens]]*sim.tbl[[#This Row],[Light_LSB]]</f>
        <v>0</v>
      </c>
      <c r="AV122" s="5">
        <f>sim.tbl[[#This Row],[Dens]]*sim.tbl[[#This Row],[Light_SW]]</f>
        <v>0</v>
      </c>
      <c r="AW122" s="5">
        <f>sim.tbl[[#This Row],[Dens]]*sim.tbl[[#This Row],[Medium_LSB]]</f>
        <v>853.6</v>
      </c>
      <c r="AX122" s="5">
        <f>sim.tbl[[#This Row],[Dens]]*sim.tbl[[#This Row],[Medium_SW]]</f>
        <v>0</v>
      </c>
      <c r="AY122" s="5">
        <f>sim.tbl[[#This Row],[Dens]]*sim.tbl[[#This Row],[Midale]]</f>
        <v>0</v>
      </c>
      <c r="AZ122" s="5">
        <f>sim.tbl[[#This Row],[Dens]]*sim.tbl[[#This Row],[Heavy_Sour]]</f>
        <v>0</v>
      </c>
      <c r="BA122" s="5">
        <f>sim.tbl[[#This Row],[Dens]]*sim.tbl[[#This Row],[Heavy_SW]]</f>
        <v>0</v>
      </c>
      <c r="BB122" s="5">
        <f>sim.tbl[[#This Row],[Temp.Roll]]*sim.tbl[[#This Row],[C5]]</f>
        <v>0</v>
      </c>
      <c r="BC122" s="5">
        <f>sim.tbl[[#This Row],[Temp.Roll]]*sim.tbl[[#This Row],[Light_LSB]]</f>
        <v>0</v>
      </c>
      <c r="BD122" s="5">
        <f>sim.tbl[[#This Row],[Temp.Roll]]*sim.tbl[[#This Row],[Light_SW]]</f>
        <v>0</v>
      </c>
      <c r="BE122" s="5">
        <f>sim.tbl[[#This Row],[Temp.Roll]]*sim.tbl[[#This Row],[Medium_LSB]]</f>
        <v>-14.1</v>
      </c>
      <c r="BF122" s="5">
        <f>sim.tbl[[#This Row],[Temp.Roll]]*sim.tbl[[#This Row],[Medium_SW]]</f>
        <v>0</v>
      </c>
      <c r="BG122" s="5">
        <f>sim.tbl[[#This Row],[Temp.Roll]]*sim.tbl[[#This Row],[Midale]]</f>
        <v>0</v>
      </c>
      <c r="BH122" s="5">
        <f>sim.tbl[[#This Row],[Temp.Roll]]*sim.tbl[[#This Row],[Heavy_Sour]]</f>
        <v>0</v>
      </c>
      <c r="BI122" s="5">
        <f>sim.tbl[[#This Row],[Temp.Roll]]*sim.tbl[[#This Row],[Heavy_SW]]</f>
        <v>0</v>
      </c>
    </row>
    <row r="123" spans="4:61" x14ac:dyDescent="0.25">
      <c r="D123" s="5">
        <f ca="1">SUMPRODUCT($F$1:$BI$1,sim.tbl[[#This Row],[Intercept]:[Temp.Roll:Heavy_SW]])</f>
        <v>76.151672856511226</v>
      </c>
      <c r="E123" s="14">
        <f ca="1">DATE(YEAR(TODAY()),INDEX(mthLkUp.tbl[Num],MATCH(mth.input,mthLkUp.tbl[Month],0)),1)</f>
        <v>42795</v>
      </c>
      <c r="F123" s="6">
        <f>1</f>
        <v>1</v>
      </c>
      <c r="G123" s="5">
        <v>1.43</v>
      </c>
      <c r="H123" s="5">
        <v>854</v>
      </c>
      <c r="I123" s="5">
        <v>-5.35</v>
      </c>
      <c r="J123" s="5">
        <v>-4.0999999999999996</v>
      </c>
      <c r="K123" s="5">
        <v>-5.3</v>
      </c>
      <c r="L123" s="5">
        <v>-4.0999999999999996</v>
      </c>
      <c r="M123" s="5">
        <v>-6.3</v>
      </c>
      <c r="N123" s="5">
        <v>-2.9</v>
      </c>
      <c r="O123" s="5">
        <v>-6</v>
      </c>
      <c r="P123" s="5">
        <v>-7.5</v>
      </c>
      <c r="Q123" s="6">
        <f>IF(sim.tbl[[#This Row],[Dens]]&lt;=770,1,0)</f>
        <v>0</v>
      </c>
      <c r="R123" s="6">
        <f>IF(AND(sim.tbl[[#This Row],[Sulf]]&gt;0.5,sim.tbl[[#This Row],[Dens]]&gt;770,sim.tbl[[#This Row],[Dens]]&lt;=825),1,0)</f>
        <v>0</v>
      </c>
      <c r="S123" s="6">
        <f>IF(AND(sim.tbl[[#This Row],[Sulf]]&lt;=0.5,sim.tbl[[#This Row],[Dens]]&gt;770,sim.tbl[[#This Row],[Dens]]&lt;=825),1,0)</f>
        <v>0</v>
      </c>
      <c r="T123" s="6">
        <f>IF(AND(sim.tbl[[#This Row],[Sulf]]&gt;0.5,sim.tbl[[#This Row],[Dens]]&gt;825,sim.tbl[[#This Row],[Dens]]&lt;=870),1,0)</f>
        <v>1</v>
      </c>
      <c r="U123" s="6">
        <f>IF(AND(sim.tbl[[#This Row],[Sulf]]&lt;0.5,sim.tbl[[#This Row],[Dens]]&gt;825,sim.tbl[[#This Row],[Dens]]&lt;=900),1,0)</f>
        <v>0</v>
      </c>
      <c r="V123" s="6">
        <f>IF(AND(sim.tbl[[#This Row],[Sulf]]&gt;0.5,sim.tbl[[#This Row],[Dens]]&gt;870,sim.tbl[[#This Row],[Dens]]&lt;=900),1,0)</f>
        <v>0</v>
      </c>
      <c r="W123" s="6">
        <f>IF(AND(sim.tbl[[#This Row],[Sulf]]&gt;0.5,sim.tbl[[#This Row],[Dens]]&gt;900),1,0)</f>
        <v>0</v>
      </c>
      <c r="X123" s="6">
        <f>IF(AND(sim.tbl[[#This Row],[Sulf]]&lt;=0.5,sim.tbl[[#This Row],[Dens]]&gt;900),1,0)</f>
        <v>0</v>
      </c>
      <c r="Y123" s="6">
        <f ca="1">IF(MONTH(sim.tbl[[#This Row],[SDate]])=INDEX(mthLkUp.tbl[Num],MATCH(Y$3,mthLkUp.tbl[Month],0)),1,0)</f>
        <v>0</v>
      </c>
      <c r="Z123" s="6">
        <f ca="1">IF(MONTH(sim.tbl[[#This Row],[SDate]])=INDEX(mthLkUp.tbl[Num],MATCH(Z$3,mthLkUp.tbl[Month],0)),1,0)</f>
        <v>0</v>
      </c>
      <c r="AA123" s="6">
        <f ca="1">IF(MONTH(sim.tbl[[#This Row],[SDate]])=INDEX(mthLkUp.tbl[Num],MATCH(AA$3,mthLkUp.tbl[Month],0)),1,0)</f>
        <v>1</v>
      </c>
      <c r="AB123" s="6">
        <f ca="1">IF(MONTH(sim.tbl[[#This Row],[SDate]])=INDEX(mthLkUp.tbl[Num],MATCH(AB$3,mthLkUp.tbl[Month],0)),1,0)</f>
        <v>0</v>
      </c>
      <c r="AC123" s="6">
        <f ca="1">IF(MONTH(sim.tbl[[#This Row],[SDate]])=INDEX(mthLkUp.tbl[Num],MATCH(AC$3,mthLkUp.tbl[Month],0)),1,0)</f>
        <v>0</v>
      </c>
      <c r="AD123" s="6">
        <f ca="1">IF(MONTH(sim.tbl[[#This Row],[SDate]])=INDEX(mthLkUp.tbl[Num],MATCH(AD$3,mthLkUp.tbl[Month],0)),1,0)</f>
        <v>0</v>
      </c>
      <c r="AE123" s="6">
        <f ca="1">IF(MONTH(sim.tbl[[#This Row],[SDate]])=INDEX(mthLkUp.tbl[Num],MATCH(AE$3,mthLkUp.tbl[Month],0)),1,0)</f>
        <v>0</v>
      </c>
      <c r="AF123" s="6">
        <f ca="1">IF(MONTH(sim.tbl[[#This Row],[SDate]])=INDEX(mthLkUp.tbl[Num],MATCH(AF$3,mthLkUp.tbl[Month],0)),1,0)</f>
        <v>0</v>
      </c>
      <c r="AG123" s="6">
        <f ca="1">IF(MONTH(sim.tbl[[#This Row],[SDate]])=INDEX(mthLkUp.tbl[Num],MATCH(AG$3,mthLkUp.tbl[Month],0)),1,0)</f>
        <v>0</v>
      </c>
      <c r="AH123" s="6">
        <f ca="1">IF(MONTH(sim.tbl[[#This Row],[SDate]])=INDEX(mthLkUp.tbl[Num],MATCH(AH$3,mthLkUp.tbl[Month],0)),1,0)</f>
        <v>0</v>
      </c>
      <c r="AI123" s="6">
        <f ca="1">IF(MONTH(sim.tbl[[#This Row],[SDate]])=INDEX(mthLkUp.tbl[Num],MATCH(AI$3,mthLkUp.tbl[Month],0)),1,0)</f>
        <v>0</v>
      </c>
      <c r="AJ123" s="6">
        <f ca="1">IF(MONTH(sim.tbl[[#This Row],[SDate]])=INDEX(mthLkUp.tbl[Num],MATCH(AJ$3,mthLkUp.tbl[Month],0)),1,0)</f>
        <v>0</v>
      </c>
      <c r="AK123" s="6">
        <v>1</v>
      </c>
      <c r="AL123" s="5">
        <f>sim.tbl[[#This Row],[Sulf]]*sim.tbl[[#This Row],[C5]]</f>
        <v>0</v>
      </c>
      <c r="AM123" s="5">
        <f>sim.tbl[[#This Row],[Sulf]]*sim.tbl[[#This Row],[Light_LSB]]</f>
        <v>0</v>
      </c>
      <c r="AN123" s="5">
        <f>sim.tbl[[#This Row],[Sulf]]*sim.tbl[[#This Row],[Light_SW]]</f>
        <v>0</v>
      </c>
      <c r="AO123" s="5">
        <f>sim.tbl[[#This Row],[Sulf]]*sim.tbl[[#This Row],[Medium_LSB]]</f>
        <v>1.43</v>
      </c>
      <c r="AP123" s="5">
        <f>sim.tbl[[#This Row],[Sulf]]*sim.tbl[[#This Row],[Medium_SW]]</f>
        <v>0</v>
      </c>
      <c r="AQ123" s="5">
        <f>sim.tbl[[#This Row],[Sulf]]*sim.tbl[[#This Row],[Midale]]</f>
        <v>0</v>
      </c>
      <c r="AR123" s="5">
        <f>sim.tbl[[#This Row],[Sulf]]*sim.tbl[[#This Row],[Heavy_Sour]]</f>
        <v>0</v>
      </c>
      <c r="AS123" s="5">
        <f>sim.tbl[[#This Row],[Sulf]]*sim.tbl[[#This Row],[Heavy_SW]]</f>
        <v>0</v>
      </c>
      <c r="AT123" s="5">
        <f>sim.tbl[[#This Row],[Dens]]*sim.tbl[[#This Row],[C5]]</f>
        <v>0</v>
      </c>
      <c r="AU123" s="5">
        <f>sim.tbl[[#This Row],[Dens]]*sim.tbl[[#This Row],[Light_LSB]]</f>
        <v>0</v>
      </c>
      <c r="AV123" s="5">
        <f>sim.tbl[[#This Row],[Dens]]*sim.tbl[[#This Row],[Light_SW]]</f>
        <v>0</v>
      </c>
      <c r="AW123" s="5">
        <f>sim.tbl[[#This Row],[Dens]]*sim.tbl[[#This Row],[Medium_LSB]]</f>
        <v>854</v>
      </c>
      <c r="AX123" s="5">
        <f>sim.tbl[[#This Row],[Dens]]*sim.tbl[[#This Row],[Medium_SW]]</f>
        <v>0</v>
      </c>
      <c r="AY123" s="5">
        <f>sim.tbl[[#This Row],[Dens]]*sim.tbl[[#This Row],[Midale]]</f>
        <v>0</v>
      </c>
      <c r="AZ123" s="5">
        <f>sim.tbl[[#This Row],[Dens]]*sim.tbl[[#This Row],[Heavy_Sour]]</f>
        <v>0</v>
      </c>
      <c r="BA123" s="5">
        <f>sim.tbl[[#This Row],[Dens]]*sim.tbl[[#This Row],[Heavy_SW]]</f>
        <v>0</v>
      </c>
      <c r="BB123" s="5">
        <f>sim.tbl[[#This Row],[Temp.Roll]]*sim.tbl[[#This Row],[C5]]</f>
        <v>0</v>
      </c>
      <c r="BC123" s="5">
        <f>sim.tbl[[#This Row],[Temp.Roll]]*sim.tbl[[#This Row],[Light_LSB]]</f>
        <v>0</v>
      </c>
      <c r="BD123" s="5">
        <f>sim.tbl[[#This Row],[Temp.Roll]]*sim.tbl[[#This Row],[Light_SW]]</f>
        <v>0</v>
      </c>
      <c r="BE123" s="5">
        <f>sim.tbl[[#This Row],[Temp.Roll]]*sim.tbl[[#This Row],[Medium_LSB]]</f>
        <v>-4.0999999999999996</v>
      </c>
      <c r="BF123" s="5">
        <f>sim.tbl[[#This Row],[Temp.Roll]]*sim.tbl[[#This Row],[Medium_SW]]</f>
        <v>0</v>
      </c>
      <c r="BG123" s="5">
        <f>sim.tbl[[#This Row],[Temp.Roll]]*sim.tbl[[#This Row],[Midale]]</f>
        <v>0</v>
      </c>
      <c r="BH123" s="5">
        <f>sim.tbl[[#This Row],[Temp.Roll]]*sim.tbl[[#This Row],[Heavy_Sour]]</f>
        <v>0</v>
      </c>
      <c r="BI123" s="5">
        <f>sim.tbl[[#This Row],[Temp.Roll]]*sim.tbl[[#This Row],[Heavy_SW]]</f>
        <v>0</v>
      </c>
    </row>
    <row r="124" spans="4:61" x14ac:dyDescent="0.25">
      <c r="D124" s="5">
        <f ca="1">SUMPRODUCT($F$1:$BI$1,sim.tbl[[#This Row],[Intercept]:[Temp.Roll:Heavy_SW]])</f>
        <v>71.583861870411027</v>
      </c>
      <c r="E124" s="14">
        <f ca="1">DATE(YEAR(TODAY()),INDEX(mthLkUp.tbl[Num],MATCH(mth.input,mthLkUp.tbl[Month],0)),1)</f>
        <v>42795</v>
      </c>
      <c r="F124" s="6">
        <f>1</f>
        <v>1</v>
      </c>
      <c r="G124" s="5">
        <v>1.56</v>
      </c>
      <c r="H124" s="5">
        <v>855.2</v>
      </c>
      <c r="I124" s="5">
        <v>7.18</v>
      </c>
      <c r="J124" s="5">
        <v>7.6</v>
      </c>
      <c r="K124" s="5">
        <v>8.6999999999999993</v>
      </c>
      <c r="L124" s="5">
        <v>7.6</v>
      </c>
      <c r="M124" s="5">
        <v>-1.3</v>
      </c>
      <c r="N124" s="5">
        <v>8.8000000000000007</v>
      </c>
      <c r="O124" s="5">
        <v>5.8</v>
      </c>
      <c r="P124" s="5">
        <v>5</v>
      </c>
      <c r="Q124" s="6">
        <f>IF(sim.tbl[[#This Row],[Dens]]&lt;=770,1,0)</f>
        <v>0</v>
      </c>
      <c r="R124" s="6">
        <f>IF(AND(sim.tbl[[#This Row],[Sulf]]&gt;0.5,sim.tbl[[#This Row],[Dens]]&gt;770,sim.tbl[[#This Row],[Dens]]&lt;=825),1,0)</f>
        <v>0</v>
      </c>
      <c r="S124" s="6">
        <f>IF(AND(sim.tbl[[#This Row],[Sulf]]&lt;=0.5,sim.tbl[[#This Row],[Dens]]&gt;770,sim.tbl[[#This Row],[Dens]]&lt;=825),1,0)</f>
        <v>0</v>
      </c>
      <c r="T124" s="6">
        <f>IF(AND(sim.tbl[[#This Row],[Sulf]]&gt;0.5,sim.tbl[[#This Row],[Dens]]&gt;825,sim.tbl[[#This Row],[Dens]]&lt;=870),1,0)</f>
        <v>1</v>
      </c>
      <c r="U124" s="6">
        <f>IF(AND(sim.tbl[[#This Row],[Sulf]]&lt;0.5,sim.tbl[[#This Row],[Dens]]&gt;825,sim.tbl[[#This Row],[Dens]]&lt;=900),1,0)</f>
        <v>0</v>
      </c>
      <c r="V124" s="6">
        <f>IF(AND(sim.tbl[[#This Row],[Sulf]]&gt;0.5,sim.tbl[[#This Row],[Dens]]&gt;870,sim.tbl[[#This Row],[Dens]]&lt;=900),1,0)</f>
        <v>0</v>
      </c>
      <c r="W124" s="6">
        <f>IF(AND(sim.tbl[[#This Row],[Sulf]]&gt;0.5,sim.tbl[[#This Row],[Dens]]&gt;900),1,0)</f>
        <v>0</v>
      </c>
      <c r="X124" s="6">
        <f>IF(AND(sim.tbl[[#This Row],[Sulf]]&lt;=0.5,sim.tbl[[#This Row],[Dens]]&gt;900),1,0)</f>
        <v>0</v>
      </c>
      <c r="Y124" s="6">
        <f ca="1">IF(MONTH(sim.tbl[[#This Row],[SDate]])=INDEX(mthLkUp.tbl[Num],MATCH(Y$3,mthLkUp.tbl[Month],0)),1,0)</f>
        <v>0</v>
      </c>
      <c r="Z124" s="6">
        <f ca="1">IF(MONTH(sim.tbl[[#This Row],[SDate]])=INDEX(mthLkUp.tbl[Num],MATCH(Z$3,mthLkUp.tbl[Month],0)),1,0)</f>
        <v>0</v>
      </c>
      <c r="AA124" s="6">
        <f ca="1">IF(MONTH(sim.tbl[[#This Row],[SDate]])=INDEX(mthLkUp.tbl[Num],MATCH(AA$3,mthLkUp.tbl[Month],0)),1,0)</f>
        <v>1</v>
      </c>
      <c r="AB124" s="6">
        <f ca="1">IF(MONTH(sim.tbl[[#This Row],[SDate]])=INDEX(mthLkUp.tbl[Num],MATCH(AB$3,mthLkUp.tbl[Month],0)),1,0)</f>
        <v>0</v>
      </c>
      <c r="AC124" s="6">
        <f ca="1">IF(MONTH(sim.tbl[[#This Row],[SDate]])=INDEX(mthLkUp.tbl[Num],MATCH(AC$3,mthLkUp.tbl[Month],0)),1,0)</f>
        <v>0</v>
      </c>
      <c r="AD124" s="6">
        <f ca="1">IF(MONTH(sim.tbl[[#This Row],[SDate]])=INDEX(mthLkUp.tbl[Num],MATCH(AD$3,mthLkUp.tbl[Month],0)),1,0)</f>
        <v>0</v>
      </c>
      <c r="AE124" s="6">
        <f ca="1">IF(MONTH(sim.tbl[[#This Row],[SDate]])=INDEX(mthLkUp.tbl[Num],MATCH(AE$3,mthLkUp.tbl[Month],0)),1,0)</f>
        <v>0</v>
      </c>
      <c r="AF124" s="6">
        <f ca="1">IF(MONTH(sim.tbl[[#This Row],[SDate]])=INDEX(mthLkUp.tbl[Num],MATCH(AF$3,mthLkUp.tbl[Month],0)),1,0)</f>
        <v>0</v>
      </c>
      <c r="AG124" s="6">
        <f ca="1">IF(MONTH(sim.tbl[[#This Row],[SDate]])=INDEX(mthLkUp.tbl[Num],MATCH(AG$3,mthLkUp.tbl[Month],0)),1,0)</f>
        <v>0</v>
      </c>
      <c r="AH124" s="6">
        <f ca="1">IF(MONTH(sim.tbl[[#This Row],[SDate]])=INDEX(mthLkUp.tbl[Num],MATCH(AH$3,mthLkUp.tbl[Month],0)),1,0)</f>
        <v>0</v>
      </c>
      <c r="AI124" s="6">
        <f ca="1">IF(MONTH(sim.tbl[[#This Row],[SDate]])=INDEX(mthLkUp.tbl[Num],MATCH(AI$3,mthLkUp.tbl[Month],0)),1,0)</f>
        <v>0</v>
      </c>
      <c r="AJ124" s="6">
        <f ca="1">IF(MONTH(sim.tbl[[#This Row],[SDate]])=INDEX(mthLkUp.tbl[Num],MATCH(AJ$3,mthLkUp.tbl[Month],0)),1,0)</f>
        <v>0</v>
      </c>
      <c r="AK124" s="6">
        <v>1</v>
      </c>
      <c r="AL124" s="5">
        <f>sim.tbl[[#This Row],[Sulf]]*sim.tbl[[#This Row],[C5]]</f>
        <v>0</v>
      </c>
      <c r="AM124" s="5">
        <f>sim.tbl[[#This Row],[Sulf]]*sim.tbl[[#This Row],[Light_LSB]]</f>
        <v>0</v>
      </c>
      <c r="AN124" s="5">
        <f>sim.tbl[[#This Row],[Sulf]]*sim.tbl[[#This Row],[Light_SW]]</f>
        <v>0</v>
      </c>
      <c r="AO124" s="5">
        <f>sim.tbl[[#This Row],[Sulf]]*sim.tbl[[#This Row],[Medium_LSB]]</f>
        <v>1.56</v>
      </c>
      <c r="AP124" s="5">
        <f>sim.tbl[[#This Row],[Sulf]]*sim.tbl[[#This Row],[Medium_SW]]</f>
        <v>0</v>
      </c>
      <c r="AQ124" s="5">
        <f>sim.tbl[[#This Row],[Sulf]]*sim.tbl[[#This Row],[Midale]]</f>
        <v>0</v>
      </c>
      <c r="AR124" s="5">
        <f>sim.tbl[[#This Row],[Sulf]]*sim.tbl[[#This Row],[Heavy_Sour]]</f>
        <v>0</v>
      </c>
      <c r="AS124" s="5">
        <f>sim.tbl[[#This Row],[Sulf]]*sim.tbl[[#This Row],[Heavy_SW]]</f>
        <v>0</v>
      </c>
      <c r="AT124" s="5">
        <f>sim.tbl[[#This Row],[Dens]]*sim.tbl[[#This Row],[C5]]</f>
        <v>0</v>
      </c>
      <c r="AU124" s="5">
        <f>sim.tbl[[#This Row],[Dens]]*sim.tbl[[#This Row],[Light_LSB]]</f>
        <v>0</v>
      </c>
      <c r="AV124" s="5">
        <f>sim.tbl[[#This Row],[Dens]]*sim.tbl[[#This Row],[Light_SW]]</f>
        <v>0</v>
      </c>
      <c r="AW124" s="5">
        <f>sim.tbl[[#This Row],[Dens]]*sim.tbl[[#This Row],[Medium_LSB]]</f>
        <v>855.2</v>
      </c>
      <c r="AX124" s="5">
        <f>sim.tbl[[#This Row],[Dens]]*sim.tbl[[#This Row],[Medium_SW]]</f>
        <v>0</v>
      </c>
      <c r="AY124" s="5">
        <f>sim.tbl[[#This Row],[Dens]]*sim.tbl[[#This Row],[Midale]]</f>
        <v>0</v>
      </c>
      <c r="AZ124" s="5">
        <f>sim.tbl[[#This Row],[Dens]]*sim.tbl[[#This Row],[Heavy_Sour]]</f>
        <v>0</v>
      </c>
      <c r="BA124" s="5">
        <f>sim.tbl[[#This Row],[Dens]]*sim.tbl[[#This Row],[Heavy_SW]]</f>
        <v>0</v>
      </c>
      <c r="BB124" s="5">
        <f>sim.tbl[[#This Row],[Temp.Roll]]*sim.tbl[[#This Row],[C5]]</f>
        <v>0</v>
      </c>
      <c r="BC124" s="5">
        <f>sim.tbl[[#This Row],[Temp.Roll]]*sim.tbl[[#This Row],[Light_LSB]]</f>
        <v>0</v>
      </c>
      <c r="BD124" s="5">
        <f>sim.tbl[[#This Row],[Temp.Roll]]*sim.tbl[[#This Row],[Light_SW]]</f>
        <v>0</v>
      </c>
      <c r="BE124" s="5">
        <f>sim.tbl[[#This Row],[Temp.Roll]]*sim.tbl[[#This Row],[Medium_LSB]]</f>
        <v>7.6</v>
      </c>
      <c r="BF124" s="5">
        <f>sim.tbl[[#This Row],[Temp.Roll]]*sim.tbl[[#This Row],[Medium_SW]]</f>
        <v>0</v>
      </c>
      <c r="BG124" s="5">
        <f>sim.tbl[[#This Row],[Temp.Roll]]*sim.tbl[[#This Row],[Midale]]</f>
        <v>0</v>
      </c>
      <c r="BH124" s="5">
        <f>sim.tbl[[#This Row],[Temp.Roll]]*sim.tbl[[#This Row],[Heavy_Sour]]</f>
        <v>0</v>
      </c>
      <c r="BI124" s="5">
        <f>sim.tbl[[#This Row],[Temp.Roll]]*sim.tbl[[#This Row],[Heavy_SW]]</f>
        <v>0</v>
      </c>
    </row>
    <row r="125" spans="4:61" x14ac:dyDescent="0.25">
      <c r="D125" s="5">
        <f ca="1">SUMPRODUCT($F$1:$BI$1,sim.tbl[[#This Row],[Intercept]:[Temp.Roll:Heavy_SW]])</f>
        <v>77.284506507474759</v>
      </c>
      <c r="E125" s="14">
        <f ca="1">DATE(YEAR(TODAY()),INDEX(mthLkUp.tbl[Num],MATCH(mth.input,mthLkUp.tbl[Month],0)),1)</f>
        <v>42795</v>
      </c>
      <c r="F125" s="6">
        <f>1</f>
        <v>1</v>
      </c>
      <c r="G125" s="5">
        <v>1.74</v>
      </c>
      <c r="H125" s="5">
        <v>848.3</v>
      </c>
      <c r="I125" s="5">
        <v>-2.5833333330000001</v>
      </c>
      <c r="J125" s="5">
        <v>-2.5</v>
      </c>
      <c r="K125" s="5">
        <v>-2.6</v>
      </c>
      <c r="L125" s="5">
        <v>-2.5</v>
      </c>
      <c r="M125" s="5">
        <v>-2.8</v>
      </c>
      <c r="N125" s="5">
        <v>-2.5</v>
      </c>
      <c r="O125" s="5">
        <v>-1.6</v>
      </c>
      <c r="P125" s="5">
        <v>-3.5</v>
      </c>
      <c r="Q125" s="6">
        <f>IF(sim.tbl[[#This Row],[Dens]]&lt;=770,1,0)</f>
        <v>0</v>
      </c>
      <c r="R125" s="6">
        <f>IF(AND(sim.tbl[[#This Row],[Sulf]]&gt;0.5,sim.tbl[[#This Row],[Dens]]&gt;770,sim.tbl[[#This Row],[Dens]]&lt;=825),1,0)</f>
        <v>0</v>
      </c>
      <c r="S125" s="6">
        <f>IF(AND(sim.tbl[[#This Row],[Sulf]]&lt;=0.5,sim.tbl[[#This Row],[Dens]]&gt;770,sim.tbl[[#This Row],[Dens]]&lt;=825),1,0)</f>
        <v>0</v>
      </c>
      <c r="T125" s="6">
        <f>IF(AND(sim.tbl[[#This Row],[Sulf]]&gt;0.5,sim.tbl[[#This Row],[Dens]]&gt;825,sim.tbl[[#This Row],[Dens]]&lt;=870),1,0)</f>
        <v>1</v>
      </c>
      <c r="U125" s="6">
        <f>IF(AND(sim.tbl[[#This Row],[Sulf]]&lt;0.5,sim.tbl[[#This Row],[Dens]]&gt;825,sim.tbl[[#This Row],[Dens]]&lt;=900),1,0)</f>
        <v>0</v>
      </c>
      <c r="V125" s="6">
        <f>IF(AND(sim.tbl[[#This Row],[Sulf]]&gt;0.5,sim.tbl[[#This Row],[Dens]]&gt;870,sim.tbl[[#This Row],[Dens]]&lt;=900),1,0)</f>
        <v>0</v>
      </c>
      <c r="W125" s="6">
        <f>IF(AND(sim.tbl[[#This Row],[Sulf]]&gt;0.5,sim.tbl[[#This Row],[Dens]]&gt;900),1,0)</f>
        <v>0</v>
      </c>
      <c r="X125" s="6">
        <f>IF(AND(sim.tbl[[#This Row],[Sulf]]&lt;=0.5,sim.tbl[[#This Row],[Dens]]&gt;900),1,0)</f>
        <v>0</v>
      </c>
      <c r="Y125" s="6">
        <f ca="1">IF(MONTH(sim.tbl[[#This Row],[SDate]])=INDEX(mthLkUp.tbl[Num],MATCH(Y$3,mthLkUp.tbl[Month],0)),1,0)</f>
        <v>0</v>
      </c>
      <c r="Z125" s="6">
        <f ca="1">IF(MONTH(sim.tbl[[#This Row],[SDate]])=INDEX(mthLkUp.tbl[Num],MATCH(Z$3,mthLkUp.tbl[Month],0)),1,0)</f>
        <v>0</v>
      </c>
      <c r="AA125" s="6">
        <f ca="1">IF(MONTH(sim.tbl[[#This Row],[SDate]])=INDEX(mthLkUp.tbl[Num],MATCH(AA$3,mthLkUp.tbl[Month],0)),1,0)</f>
        <v>1</v>
      </c>
      <c r="AB125" s="6">
        <f ca="1">IF(MONTH(sim.tbl[[#This Row],[SDate]])=INDEX(mthLkUp.tbl[Num],MATCH(AB$3,mthLkUp.tbl[Month],0)),1,0)</f>
        <v>0</v>
      </c>
      <c r="AC125" s="6">
        <f ca="1">IF(MONTH(sim.tbl[[#This Row],[SDate]])=INDEX(mthLkUp.tbl[Num],MATCH(AC$3,mthLkUp.tbl[Month],0)),1,0)</f>
        <v>0</v>
      </c>
      <c r="AD125" s="6">
        <f ca="1">IF(MONTH(sim.tbl[[#This Row],[SDate]])=INDEX(mthLkUp.tbl[Num],MATCH(AD$3,mthLkUp.tbl[Month],0)),1,0)</f>
        <v>0</v>
      </c>
      <c r="AE125" s="6">
        <f ca="1">IF(MONTH(sim.tbl[[#This Row],[SDate]])=INDEX(mthLkUp.tbl[Num],MATCH(AE$3,mthLkUp.tbl[Month],0)),1,0)</f>
        <v>0</v>
      </c>
      <c r="AF125" s="6">
        <f ca="1">IF(MONTH(sim.tbl[[#This Row],[SDate]])=INDEX(mthLkUp.tbl[Num],MATCH(AF$3,mthLkUp.tbl[Month],0)),1,0)</f>
        <v>0</v>
      </c>
      <c r="AG125" s="6">
        <f ca="1">IF(MONTH(sim.tbl[[#This Row],[SDate]])=INDEX(mthLkUp.tbl[Num],MATCH(AG$3,mthLkUp.tbl[Month],0)),1,0)</f>
        <v>0</v>
      </c>
      <c r="AH125" s="6">
        <f ca="1">IF(MONTH(sim.tbl[[#This Row],[SDate]])=INDEX(mthLkUp.tbl[Num],MATCH(AH$3,mthLkUp.tbl[Month],0)),1,0)</f>
        <v>0</v>
      </c>
      <c r="AI125" s="6">
        <f ca="1">IF(MONTH(sim.tbl[[#This Row],[SDate]])=INDEX(mthLkUp.tbl[Num],MATCH(AI$3,mthLkUp.tbl[Month],0)),1,0)</f>
        <v>0</v>
      </c>
      <c r="AJ125" s="6">
        <f ca="1">IF(MONTH(sim.tbl[[#This Row],[SDate]])=INDEX(mthLkUp.tbl[Num],MATCH(AJ$3,mthLkUp.tbl[Month],0)),1,0)</f>
        <v>0</v>
      </c>
      <c r="AK125" s="6">
        <v>1</v>
      </c>
      <c r="AL125" s="5">
        <f>sim.tbl[[#This Row],[Sulf]]*sim.tbl[[#This Row],[C5]]</f>
        <v>0</v>
      </c>
      <c r="AM125" s="5">
        <f>sim.tbl[[#This Row],[Sulf]]*sim.tbl[[#This Row],[Light_LSB]]</f>
        <v>0</v>
      </c>
      <c r="AN125" s="5">
        <f>sim.tbl[[#This Row],[Sulf]]*sim.tbl[[#This Row],[Light_SW]]</f>
        <v>0</v>
      </c>
      <c r="AO125" s="5">
        <f>sim.tbl[[#This Row],[Sulf]]*sim.tbl[[#This Row],[Medium_LSB]]</f>
        <v>1.74</v>
      </c>
      <c r="AP125" s="5">
        <f>sim.tbl[[#This Row],[Sulf]]*sim.tbl[[#This Row],[Medium_SW]]</f>
        <v>0</v>
      </c>
      <c r="AQ125" s="5">
        <f>sim.tbl[[#This Row],[Sulf]]*sim.tbl[[#This Row],[Midale]]</f>
        <v>0</v>
      </c>
      <c r="AR125" s="5">
        <f>sim.tbl[[#This Row],[Sulf]]*sim.tbl[[#This Row],[Heavy_Sour]]</f>
        <v>0</v>
      </c>
      <c r="AS125" s="5">
        <f>sim.tbl[[#This Row],[Sulf]]*sim.tbl[[#This Row],[Heavy_SW]]</f>
        <v>0</v>
      </c>
      <c r="AT125" s="5">
        <f>sim.tbl[[#This Row],[Dens]]*sim.tbl[[#This Row],[C5]]</f>
        <v>0</v>
      </c>
      <c r="AU125" s="5">
        <f>sim.tbl[[#This Row],[Dens]]*sim.tbl[[#This Row],[Light_LSB]]</f>
        <v>0</v>
      </c>
      <c r="AV125" s="5">
        <f>sim.tbl[[#This Row],[Dens]]*sim.tbl[[#This Row],[Light_SW]]</f>
        <v>0</v>
      </c>
      <c r="AW125" s="5">
        <f>sim.tbl[[#This Row],[Dens]]*sim.tbl[[#This Row],[Medium_LSB]]</f>
        <v>848.3</v>
      </c>
      <c r="AX125" s="5">
        <f>sim.tbl[[#This Row],[Dens]]*sim.tbl[[#This Row],[Medium_SW]]</f>
        <v>0</v>
      </c>
      <c r="AY125" s="5">
        <f>sim.tbl[[#This Row],[Dens]]*sim.tbl[[#This Row],[Midale]]</f>
        <v>0</v>
      </c>
      <c r="AZ125" s="5">
        <f>sim.tbl[[#This Row],[Dens]]*sim.tbl[[#This Row],[Heavy_Sour]]</f>
        <v>0</v>
      </c>
      <c r="BA125" s="5">
        <f>sim.tbl[[#This Row],[Dens]]*sim.tbl[[#This Row],[Heavy_SW]]</f>
        <v>0</v>
      </c>
      <c r="BB125" s="5">
        <f>sim.tbl[[#This Row],[Temp.Roll]]*sim.tbl[[#This Row],[C5]]</f>
        <v>0</v>
      </c>
      <c r="BC125" s="5">
        <f>sim.tbl[[#This Row],[Temp.Roll]]*sim.tbl[[#This Row],[Light_LSB]]</f>
        <v>0</v>
      </c>
      <c r="BD125" s="5">
        <f>sim.tbl[[#This Row],[Temp.Roll]]*sim.tbl[[#This Row],[Light_SW]]</f>
        <v>0</v>
      </c>
      <c r="BE125" s="5">
        <f>sim.tbl[[#This Row],[Temp.Roll]]*sim.tbl[[#This Row],[Medium_LSB]]</f>
        <v>-2.5</v>
      </c>
      <c r="BF125" s="5">
        <f>sim.tbl[[#This Row],[Temp.Roll]]*sim.tbl[[#This Row],[Medium_SW]]</f>
        <v>0</v>
      </c>
      <c r="BG125" s="5">
        <f>sim.tbl[[#This Row],[Temp.Roll]]*sim.tbl[[#This Row],[Midale]]</f>
        <v>0</v>
      </c>
      <c r="BH125" s="5">
        <f>sim.tbl[[#This Row],[Temp.Roll]]*sim.tbl[[#This Row],[Heavy_Sour]]</f>
        <v>0</v>
      </c>
      <c r="BI125" s="5">
        <f>sim.tbl[[#This Row],[Temp.Roll]]*sim.tbl[[#This Row],[Heavy_SW]]</f>
        <v>0</v>
      </c>
    </row>
    <row r="126" spans="4:61" x14ac:dyDescent="0.25">
      <c r="D126" s="5">
        <f ca="1">SUMPRODUCT($F$1:$BI$1,sim.tbl[[#This Row],[Intercept]:[Temp.Roll:Heavy_SW]])</f>
        <v>88.521134159626712</v>
      </c>
      <c r="E126" s="14">
        <f ca="1">DATE(YEAR(TODAY()),INDEX(mthLkUp.tbl[Num],MATCH(mth.input,mthLkUp.tbl[Month],0)),1)</f>
        <v>42795</v>
      </c>
      <c r="F126" s="6">
        <f>1</f>
        <v>1</v>
      </c>
      <c r="G126" s="5">
        <v>0.34100000000000003</v>
      </c>
      <c r="H126" s="5">
        <v>810.3</v>
      </c>
      <c r="I126" s="5">
        <v>-2.14</v>
      </c>
      <c r="J126" s="5">
        <v>-1.7</v>
      </c>
      <c r="K126" s="5">
        <v>-1.7</v>
      </c>
      <c r="L126" s="5">
        <v>-1.7</v>
      </c>
      <c r="M126" s="5">
        <v>2.8</v>
      </c>
      <c r="N126" s="5">
        <v>-1.8</v>
      </c>
      <c r="O126" s="5">
        <v>-2.2999999999999998</v>
      </c>
      <c r="P126" s="5">
        <v>-3.2</v>
      </c>
      <c r="Q126" s="6">
        <f>IF(sim.tbl[[#This Row],[Dens]]&lt;=770,1,0)</f>
        <v>0</v>
      </c>
      <c r="R126" s="6">
        <f>IF(AND(sim.tbl[[#This Row],[Sulf]]&gt;0.5,sim.tbl[[#This Row],[Dens]]&gt;770,sim.tbl[[#This Row],[Dens]]&lt;=825),1,0)</f>
        <v>0</v>
      </c>
      <c r="S126" s="6">
        <f>IF(AND(sim.tbl[[#This Row],[Sulf]]&lt;=0.5,sim.tbl[[#This Row],[Dens]]&gt;770,sim.tbl[[#This Row],[Dens]]&lt;=825),1,0)</f>
        <v>1</v>
      </c>
      <c r="T126" s="6">
        <f>IF(AND(sim.tbl[[#This Row],[Sulf]]&gt;0.5,sim.tbl[[#This Row],[Dens]]&gt;825,sim.tbl[[#This Row],[Dens]]&lt;=870),1,0)</f>
        <v>0</v>
      </c>
      <c r="U126" s="6">
        <f>IF(AND(sim.tbl[[#This Row],[Sulf]]&lt;0.5,sim.tbl[[#This Row],[Dens]]&gt;825,sim.tbl[[#This Row],[Dens]]&lt;=900),1,0)</f>
        <v>0</v>
      </c>
      <c r="V126" s="6">
        <f>IF(AND(sim.tbl[[#This Row],[Sulf]]&gt;0.5,sim.tbl[[#This Row],[Dens]]&gt;870,sim.tbl[[#This Row],[Dens]]&lt;=900),1,0)</f>
        <v>0</v>
      </c>
      <c r="W126" s="6">
        <f>IF(AND(sim.tbl[[#This Row],[Sulf]]&gt;0.5,sim.tbl[[#This Row],[Dens]]&gt;900),1,0)</f>
        <v>0</v>
      </c>
      <c r="X126" s="6">
        <f>IF(AND(sim.tbl[[#This Row],[Sulf]]&lt;=0.5,sim.tbl[[#This Row],[Dens]]&gt;900),1,0)</f>
        <v>0</v>
      </c>
      <c r="Y126" s="6">
        <f ca="1">IF(MONTH(sim.tbl[[#This Row],[SDate]])=INDEX(mthLkUp.tbl[Num],MATCH(Y$3,mthLkUp.tbl[Month],0)),1,0)</f>
        <v>0</v>
      </c>
      <c r="Z126" s="6">
        <f ca="1">IF(MONTH(sim.tbl[[#This Row],[SDate]])=INDEX(mthLkUp.tbl[Num],MATCH(Z$3,mthLkUp.tbl[Month],0)),1,0)</f>
        <v>0</v>
      </c>
      <c r="AA126" s="6">
        <f ca="1">IF(MONTH(sim.tbl[[#This Row],[SDate]])=INDEX(mthLkUp.tbl[Num],MATCH(AA$3,mthLkUp.tbl[Month],0)),1,0)</f>
        <v>1</v>
      </c>
      <c r="AB126" s="6">
        <f ca="1">IF(MONTH(sim.tbl[[#This Row],[SDate]])=INDEX(mthLkUp.tbl[Num],MATCH(AB$3,mthLkUp.tbl[Month],0)),1,0)</f>
        <v>0</v>
      </c>
      <c r="AC126" s="6">
        <f ca="1">IF(MONTH(sim.tbl[[#This Row],[SDate]])=INDEX(mthLkUp.tbl[Num],MATCH(AC$3,mthLkUp.tbl[Month],0)),1,0)</f>
        <v>0</v>
      </c>
      <c r="AD126" s="6">
        <f ca="1">IF(MONTH(sim.tbl[[#This Row],[SDate]])=INDEX(mthLkUp.tbl[Num],MATCH(AD$3,mthLkUp.tbl[Month],0)),1,0)</f>
        <v>0</v>
      </c>
      <c r="AE126" s="6">
        <f ca="1">IF(MONTH(sim.tbl[[#This Row],[SDate]])=INDEX(mthLkUp.tbl[Num],MATCH(AE$3,mthLkUp.tbl[Month],0)),1,0)</f>
        <v>0</v>
      </c>
      <c r="AF126" s="6">
        <f ca="1">IF(MONTH(sim.tbl[[#This Row],[SDate]])=INDEX(mthLkUp.tbl[Num],MATCH(AF$3,mthLkUp.tbl[Month],0)),1,0)</f>
        <v>0</v>
      </c>
      <c r="AG126" s="6">
        <f ca="1">IF(MONTH(sim.tbl[[#This Row],[SDate]])=INDEX(mthLkUp.tbl[Num],MATCH(AG$3,mthLkUp.tbl[Month],0)),1,0)</f>
        <v>0</v>
      </c>
      <c r="AH126" s="6">
        <f ca="1">IF(MONTH(sim.tbl[[#This Row],[SDate]])=INDEX(mthLkUp.tbl[Num],MATCH(AH$3,mthLkUp.tbl[Month],0)),1,0)</f>
        <v>0</v>
      </c>
      <c r="AI126" s="6">
        <f ca="1">IF(MONTH(sim.tbl[[#This Row],[SDate]])=INDEX(mthLkUp.tbl[Num],MATCH(AI$3,mthLkUp.tbl[Month],0)),1,0)</f>
        <v>0</v>
      </c>
      <c r="AJ126" s="6">
        <f ca="1">IF(MONTH(sim.tbl[[#This Row],[SDate]])=INDEX(mthLkUp.tbl[Num],MATCH(AJ$3,mthLkUp.tbl[Month],0)),1,0)</f>
        <v>0</v>
      </c>
      <c r="AK126" s="6">
        <v>1</v>
      </c>
      <c r="AL126" s="5">
        <f>sim.tbl[[#This Row],[Sulf]]*sim.tbl[[#This Row],[C5]]</f>
        <v>0</v>
      </c>
      <c r="AM126" s="5">
        <f>sim.tbl[[#This Row],[Sulf]]*sim.tbl[[#This Row],[Light_LSB]]</f>
        <v>0</v>
      </c>
      <c r="AN126" s="5">
        <f>sim.tbl[[#This Row],[Sulf]]*sim.tbl[[#This Row],[Light_SW]]</f>
        <v>0.34100000000000003</v>
      </c>
      <c r="AO126" s="5">
        <f>sim.tbl[[#This Row],[Sulf]]*sim.tbl[[#This Row],[Medium_LSB]]</f>
        <v>0</v>
      </c>
      <c r="AP126" s="5">
        <f>sim.tbl[[#This Row],[Sulf]]*sim.tbl[[#This Row],[Medium_SW]]</f>
        <v>0</v>
      </c>
      <c r="AQ126" s="5">
        <f>sim.tbl[[#This Row],[Sulf]]*sim.tbl[[#This Row],[Midale]]</f>
        <v>0</v>
      </c>
      <c r="AR126" s="5">
        <f>sim.tbl[[#This Row],[Sulf]]*sim.tbl[[#This Row],[Heavy_Sour]]</f>
        <v>0</v>
      </c>
      <c r="AS126" s="5">
        <f>sim.tbl[[#This Row],[Sulf]]*sim.tbl[[#This Row],[Heavy_SW]]</f>
        <v>0</v>
      </c>
      <c r="AT126" s="5">
        <f>sim.tbl[[#This Row],[Dens]]*sim.tbl[[#This Row],[C5]]</f>
        <v>0</v>
      </c>
      <c r="AU126" s="5">
        <f>sim.tbl[[#This Row],[Dens]]*sim.tbl[[#This Row],[Light_LSB]]</f>
        <v>0</v>
      </c>
      <c r="AV126" s="5">
        <f>sim.tbl[[#This Row],[Dens]]*sim.tbl[[#This Row],[Light_SW]]</f>
        <v>810.3</v>
      </c>
      <c r="AW126" s="5">
        <f>sim.tbl[[#This Row],[Dens]]*sim.tbl[[#This Row],[Medium_LSB]]</f>
        <v>0</v>
      </c>
      <c r="AX126" s="5">
        <f>sim.tbl[[#This Row],[Dens]]*sim.tbl[[#This Row],[Medium_SW]]</f>
        <v>0</v>
      </c>
      <c r="AY126" s="5">
        <f>sim.tbl[[#This Row],[Dens]]*sim.tbl[[#This Row],[Midale]]</f>
        <v>0</v>
      </c>
      <c r="AZ126" s="5">
        <f>sim.tbl[[#This Row],[Dens]]*sim.tbl[[#This Row],[Heavy_Sour]]</f>
        <v>0</v>
      </c>
      <c r="BA126" s="5">
        <f>sim.tbl[[#This Row],[Dens]]*sim.tbl[[#This Row],[Heavy_SW]]</f>
        <v>0</v>
      </c>
      <c r="BB126" s="5">
        <f>sim.tbl[[#This Row],[Temp.Roll]]*sim.tbl[[#This Row],[C5]]</f>
        <v>0</v>
      </c>
      <c r="BC126" s="5">
        <f>sim.tbl[[#This Row],[Temp.Roll]]*sim.tbl[[#This Row],[Light_LSB]]</f>
        <v>0</v>
      </c>
      <c r="BD126" s="5">
        <f>sim.tbl[[#This Row],[Temp.Roll]]*sim.tbl[[#This Row],[Light_SW]]</f>
        <v>-1.7</v>
      </c>
      <c r="BE126" s="5">
        <f>sim.tbl[[#This Row],[Temp.Roll]]*sim.tbl[[#This Row],[Medium_LSB]]</f>
        <v>0</v>
      </c>
      <c r="BF126" s="5">
        <f>sim.tbl[[#This Row],[Temp.Roll]]*sim.tbl[[#This Row],[Medium_SW]]</f>
        <v>0</v>
      </c>
      <c r="BG126" s="5">
        <f>sim.tbl[[#This Row],[Temp.Roll]]*sim.tbl[[#This Row],[Midale]]</f>
        <v>0</v>
      </c>
      <c r="BH126" s="5">
        <f>sim.tbl[[#This Row],[Temp.Roll]]*sim.tbl[[#This Row],[Heavy_Sour]]</f>
        <v>0</v>
      </c>
      <c r="BI126" s="5">
        <f>sim.tbl[[#This Row],[Temp.Roll]]*sim.tbl[[#This Row],[Heavy_SW]]</f>
        <v>0</v>
      </c>
    </row>
    <row r="127" spans="4:61" x14ac:dyDescent="0.25">
      <c r="D127" s="5">
        <f ca="1">SUMPRODUCT($F$1:$BI$1,sim.tbl[[#This Row],[Intercept]:[Temp.Roll:Heavy_SW]])</f>
        <v>83.058793837839502</v>
      </c>
      <c r="E127" s="14">
        <f ca="1">DATE(YEAR(TODAY()),INDEX(mthLkUp.tbl[Num],MATCH(mth.input,mthLkUp.tbl[Month],0)),1)</f>
        <v>42795</v>
      </c>
      <c r="F127" s="6">
        <f>1</f>
        <v>1</v>
      </c>
      <c r="G127" s="5">
        <v>0.41160000000000002</v>
      </c>
      <c r="H127" s="5">
        <v>812.4</v>
      </c>
      <c r="I127" s="5">
        <v>10.83333333</v>
      </c>
      <c r="J127" s="5">
        <v>9.3000000000000007</v>
      </c>
      <c r="K127" s="5">
        <v>9.3000000000000007</v>
      </c>
      <c r="L127" s="5">
        <v>9.3000000000000007</v>
      </c>
      <c r="M127" s="5">
        <v>11.5</v>
      </c>
      <c r="N127" s="5">
        <v>12</v>
      </c>
      <c r="O127" s="5">
        <v>12.2</v>
      </c>
      <c r="P127" s="5">
        <v>10.7</v>
      </c>
      <c r="Q127" s="6">
        <f>IF(sim.tbl[[#This Row],[Dens]]&lt;=770,1,0)</f>
        <v>0</v>
      </c>
      <c r="R127" s="6">
        <f>IF(AND(sim.tbl[[#This Row],[Sulf]]&gt;0.5,sim.tbl[[#This Row],[Dens]]&gt;770,sim.tbl[[#This Row],[Dens]]&lt;=825),1,0)</f>
        <v>0</v>
      </c>
      <c r="S127" s="6">
        <f>IF(AND(sim.tbl[[#This Row],[Sulf]]&lt;=0.5,sim.tbl[[#This Row],[Dens]]&gt;770,sim.tbl[[#This Row],[Dens]]&lt;=825),1,0)</f>
        <v>1</v>
      </c>
      <c r="T127" s="6">
        <f>IF(AND(sim.tbl[[#This Row],[Sulf]]&gt;0.5,sim.tbl[[#This Row],[Dens]]&gt;825,sim.tbl[[#This Row],[Dens]]&lt;=870),1,0)</f>
        <v>0</v>
      </c>
      <c r="U127" s="6">
        <f>IF(AND(sim.tbl[[#This Row],[Sulf]]&lt;0.5,sim.tbl[[#This Row],[Dens]]&gt;825,sim.tbl[[#This Row],[Dens]]&lt;=900),1,0)</f>
        <v>0</v>
      </c>
      <c r="V127" s="6">
        <f>IF(AND(sim.tbl[[#This Row],[Sulf]]&gt;0.5,sim.tbl[[#This Row],[Dens]]&gt;870,sim.tbl[[#This Row],[Dens]]&lt;=900),1,0)</f>
        <v>0</v>
      </c>
      <c r="W127" s="6">
        <f>IF(AND(sim.tbl[[#This Row],[Sulf]]&gt;0.5,sim.tbl[[#This Row],[Dens]]&gt;900),1,0)</f>
        <v>0</v>
      </c>
      <c r="X127" s="6">
        <f>IF(AND(sim.tbl[[#This Row],[Sulf]]&lt;=0.5,sim.tbl[[#This Row],[Dens]]&gt;900),1,0)</f>
        <v>0</v>
      </c>
      <c r="Y127" s="6">
        <f ca="1">IF(MONTH(sim.tbl[[#This Row],[SDate]])=INDEX(mthLkUp.tbl[Num],MATCH(Y$3,mthLkUp.tbl[Month],0)),1,0)</f>
        <v>0</v>
      </c>
      <c r="Z127" s="6">
        <f ca="1">IF(MONTH(sim.tbl[[#This Row],[SDate]])=INDEX(mthLkUp.tbl[Num],MATCH(Z$3,mthLkUp.tbl[Month],0)),1,0)</f>
        <v>0</v>
      </c>
      <c r="AA127" s="6">
        <f ca="1">IF(MONTH(sim.tbl[[#This Row],[SDate]])=INDEX(mthLkUp.tbl[Num],MATCH(AA$3,mthLkUp.tbl[Month],0)),1,0)</f>
        <v>1</v>
      </c>
      <c r="AB127" s="6">
        <f ca="1">IF(MONTH(sim.tbl[[#This Row],[SDate]])=INDEX(mthLkUp.tbl[Num],MATCH(AB$3,mthLkUp.tbl[Month],0)),1,0)</f>
        <v>0</v>
      </c>
      <c r="AC127" s="6">
        <f ca="1">IF(MONTH(sim.tbl[[#This Row],[SDate]])=INDEX(mthLkUp.tbl[Num],MATCH(AC$3,mthLkUp.tbl[Month],0)),1,0)</f>
        <v>0</v>
      </c>
      <c r="AD127" s="6">
        <f ca="1">IF(MONTH(sim.tbl[[#This Row],[SDate]])=INDEX(mthLkUp.tbl[Num],MATCH(AD$3,mthLkUp.tbl[Month],0)),1,0)</f>
        <v>0</v>
      </c>
      <c r="AE127" s="6">
        <f ca="1">IF(MONTH(sim.tbl[[#This Row],[SDate]])=INDEX(mthLkUp.tbl[Num],MATCH(AE$3,mthLkUp.tbl[Month],0)),1,0)</f>
        <v>0</v>
      </c>
      <c r="AF127" s="6">
        <f ca="1">IF(MONTH(sim.tbl[[#This Row],[SDate]])=INDEX(mthLkUp.tbl[Num],MATCH(AF$3,mthLkUp.tbl[Month],0)),1,0)</f>
        <v>0</v>
      </c>
      <c r="AG127" s="6">
        <f ca="1">IF(MONTH(sim.tbl[[#This Row],[SDate]])=INDEX(mthLkUp.tbl[Num],MATCH(AG$3,mthLkUp.tbl[Month],0)),1,0)</f>
        <v>0</v>
      </c>
      <c r="AH127" s="6">
        <f ca="1">IF(MONTH(sim.tbl[[#This Row],[SDate]])=INDEX(mthLkUp.tbl[Num],MATCH(AH$3,mthLkUp.tbl[Month],0)),1,0)</f>
        <v>0</v>
      </c>
      <c r="AI127" s="6">
        <f ca="1">IF(MONTH(sim.tbl[[#This Row],[SDate]])=INDEX(mthLkUp.tbl[Num],MATCH(AI$3,mthLkUp.tbl[Month],0)),1,0)</f>
        <v>0</v>
      </c>
      <c r="AJ127" s="6">
        <f ca="1">IF(MONTH(sim.tbl[[#This Row],[SDate]])=INDEX(mthLkUp.tbl[Num],MATCH(AJ$3,mthLkUp.tbl[Month],0)),1,0)</f>
        <v>0</v>
      </c>
      <c r="AK127" s="6">
        <v>1</v>
      </c>
      <c r="AL127" s="5">
        <f>sim.tbl[[#This Row],[Sulf]]*sim.tbl[[#This Row],[C5]]</f>
        <v>0</v>
      </c>
      <c r="AM127" s="5">
        <f>sim.tbl[[#This Row],[Sulf]]*sim.tbl[[#This Row],[Light_LSB]]</f>
        <v>0</v>
      </c>
      <c r="AN127" s="5">
        <f>sim.tbl[[#This Row],[Sulf]]*sim.tbl[[#This Row],[Light_SW]]</f>
        <v>0.41160000000000002</v>
      </c>
      <c r="AO127" s="5">
        <f>sim.tbl[[#This Row],[Sulf]]*sim.tbl[[#This Row],[Medium_LSB]]</f>
        <v>0</v>
      </c>
      <c r="AP127" s="5">
        <f>sim.tbl[[#This Row],[Sulf]]*sim.tbl[[#This Row],[Medium_SW]]</f>
        <v>0</v>
      </c>
      <c r="AQ127" s="5">
        <f>sim.tbl[[#This Row],[Sulf]]*sim.tbl[[#This Row],[Midale]]</f>
        <v>0</v>
      </c>
      <c r="AR127" s="5">
        <f>sim.tbl[[#This Row],[Sulf]]*sim.tbl[[#This Row],[Heavy_Sour]]</f>
        <v>0</v>
      </c>
      <c r="AS127" s="5">
        <f>sim.tbl[[#This Row],[Sulf]]*sim.tbl[[#This Row],[Heavy_SW]]</f>
        <v>0</v>
      </c>
      <c r="AT127" s="5">
        <f>sim.tbl[[#This Row],[Dens]]*sim.tbl[[#This Row],[C5]]</f>
        <v>0</v>
      </c>
      <c r="AU127" s="5">
        <f>sim.tbl[[#This Row],[Dens]]*sim.tbl[[#This Row],[Light_LSB]]</f>
        <v>0</v>
      </c>
      <c r="AV127" s="5">
        <f>sim.tbl[[#This Row],[Dens]]*sim.tbl[[#This Row],[Light_SW]]</f>
        <v>812.4</v>
      </c>
      <c r="AW127" s="5">
        <f>sim.tbl[[#This Row],[Dens]]*sim.tbl[[#This Row],[Medium_LSB]]</f>
        <v>0</v>
      </c>
      <c r="AX127" s="5">
        <f>sim.tbl[[#This Row],[Dens]]*sim.tbl[[#This Row],[Medium_SW]]</f>
        <v>0</v>
      </c>
      <c r="AY127" s="5">
        <f>sim.tbl[[#This Row],[Dens]]*sim.tbl[[#This Row],[Midale]]</f>
        <v>0</v>
      </c>
      <c r="AZ127" s="5">
        <f>sim.tbl[[#This Row],[Dens]]*sim.tbl[[#This Row],[Heavy_Sour]]</f>
        <v>0</v>
      </c>
      <c r="BA127" s="5">
        <f>sim.tbl[[#This Row],[Dens]]*sim.tbl[[#This Row],[Heavy_SW]]</f>
        <v>0</v>
      </c>
      <c r="BB127" s="5">
        <f>sim.tbl[[#This Row],[Temp.Roll]]*sim.tbl[[#This Row],[C5]]</f>
        <v>0</v>
      </c>
      <c r="BC127" s="5">
        <f>sim.tbl[[#This Row],[Temp.Roll]]*sim.tbl[[#This Row],[Light_LSB]]</f>
        <v>0</v>
      </c>
      <c r="BD127" s="5">
        <f>sim.tbl[[#This Row],[Temp.Roll]]*sim.tbl[[#This Row],[Light_SW]]</f>
        <v>9.3000000000000007</v>
      </c>
      <c r="BE127" s="5">
        <f>sim.tbl[[#This Row],[Temp.Roll]]*sim.tbl[[#This Row],[Medium_LSB]]</f>
        <v>0</v>
      </c>
      <c r="BF127" s="5">
        <f>sim.tbl[[#This Row],[Temp.Roll]]*sim.tbl[[#This Row],[Medium_SW]]</f>
        <v>0</v>
      </c>
      <c r="BG127" s="5">
        <f>sim.tbl[[#This Row],[Temp.Roll]]*sim.tbl[[#This Row],[Midale]]</f>
        <v>0</v>
      </c>
      <c r="BH127" s="5">
        <f>sim.tbl[[#This Row],[Temp.Roll]]*sim.tbl[[#This Row],[Heavy_Sour]]</f>
        <v>0</v>
      </c>
      <c r="BI127" s="5">
        <f>sim.tbl[[#This Row],[Temp.Roll]]*sim.tbl[[#This Row],[Heavy_SW]]</f>
        <v>0</v>
      </c>
    </row>
    <row r="128" spans="4:61" x14ac:dyDescent="0.25">
      <c r="D128" s="5">
        <f ca="1">SUMPRODUCT($F$1:$BI$1,sim.tbl[[#This Row],[Intercept]:[Temp.Roll:Heavy_SW]])</f>
        <v>95.603325789609997</v>
      </c>
      <c r="E128" s="14">
        <f ca="1">DATE(YEAR(TODAY()),INDEX(mthLkUp.tbl[Num],MATCH(mth.input,mthLkUp.tbl[Month],0)),1)</f>
        <v>42795</v>
      </c>
      <c r="F128" s="6">
        <f>1</f>
        <v>1</v>
      </c>
      <c r="G128" s="5">
        <v>0.56399999999999995</v>
      </c>
      <c r="H128" s="5">
        <v>817.6</v>
      </c>
      <c r="I128" s="5">
        <v>-16.166666670000001</v>
      </c>
      <c r="J128" s="5">
        <v>-16.899999999999999</v>
      </c>
      <c r="K128" s="5">
        <v>-16</v>
      </c>
      <c r="L128" s="5">
        <v>-16.899999999999999</v>
      </c>
      <c r="M128" s="5">
        <v>-15.8</v>
      </c>
      <c r="N128" s="5">
        <v>-17</v>
      </c>
      <c r="O128" s="5">
        <v>-13.5</v>
      </c>
      <c r="P128" s="5">
        <v>-17.8</v>
      </c>
      <c r="Q128" s="6">
        <f>IF(sim.tbl[[#This Row],[Dens]]&lt;=770,1,0)</f>
        <v>0</v>
      </c>
      <c r="R128" s="6">
        <f>IF(AND(sim.tbl[[#This Row],[Sulf]]&gt;0.5,sim.tbl[[#This Row],[Dens]]&gt;770,sim.tbl[[#This Row],[Dens]]&lt;=825),1,0)</f>
        <v>1</v>
      </c>
      <c r="S128" s="6">
        <f>IF(AND(sim.tbl[[#This Row],[Sulf]]&lt;=0.5,sim.tbl[[#This Row],[Dens]]&gt;770,sim.tbl[[#This Row],[Dens]]&lt;=825),1,0)</f>
        <v>0</v>
      </c>
      <c r="T128" s="6">
        <f>IF(AND(sim.tbl[[#This Row],[Sulf]]&gt;0.5,sim.tbl[[#This Row],[Dens]]&gt;825,sim.tbl[[#This Row],[Dens]]&lt;=870),1,0)</f>
        <v>0</v>
      </c>
      <c r="U128" s="6">
        <f>IF(AND(sim.tbl[[#This Row],[Sulf]]&lt;0.5,sim.tbl[[#This Row],[Dens]]&gt;825,sim.tbl[[#This Row],[Dens]]&lt;=900),1,0)</f>
        <v>0</v>
      </c>
      <c r="V128" s="6">
        <f>IF(AND(sim.tbl[[#This Row],[Sulf]]&gt;0.5,sim.tbl[[#This Row],[Dens]]&gt;870,sim.tbl[[#This Row],[Dens]]&lt;=900),1,0)</f>
        <v>0</v>
      </c>
      <c r="W128" s="6">
        <f>IF(AND(sim.tbl[[#This Row],[Sulf]]&gt;0.5,sim.tbl[[#This Row],[Dens]]&gt;900),1,0)</f>
        <v>0</v>
      </c>
      <c r="X128" s="6">
        <f>IF(AND(sim.tbl[[#This Row],[Sulf]]&lt;=0.5,sim.tbl[[#This Row],[Dens]]&gt;900),1,0)</f>
        <v>0</v>
      </c>
      <c r="Y128" s="6">
        <f ca="1">IF(MONTH(sim.tbl[[#This Row],[SDate]])=INDEX(mthLkUp.tbl[Num],MATCH(Y$3,mthLkUp.tbl[Month],0)),1,0)</f>
        <v>0</v>
      </c>
      <c r="Z128" s="6">
        <f ca="1">IF(MONTH(sim.tbl[[#This Row],[SDate]])=INDEX(mthLkUp.tbl[Num],MATCH(Z$3,mthLkUp.tbl[Month],0)),1,0)</f>
        <v>0</v>
      </c>
      <c r="AA128" s="6">
        <f ca="1">IF(MONTH(sim.tbl[[#This Row],[SDate]])=INDEX(mthLkUp.tbl[Num],MATCH(AA$3,mthLkUp.tbl[Month],0)),1,0)</f>
        <v>1</v>
      </c>
      <c r="AB128" s="6">
        <f ca="1">IF(MONTH(sim.tbl[[#This Row],[SDate]])=INDEX(mthLkUp.tbl[Num],MATCH(AB$3,mthLkUp.tbl[Month],0)),1,0)</f>
        <v>0</v>
      </c>
      <c r="AC128" s="6">
        <f ca="1">IF(MONTH(sim.tbl[[#This Row],[SDate]])=INDEX(mthLkUp.tbl[Num],MATCH(AC$3,mthLkUp.tbl[Month],0)),1,0)</f>
        <v>0</v>
      </c>
      <c r="AD128" s="6">
        <f ca="1">IF(MONTH(sim.tbl[[#This Row],[SDate]])=INDEX(mthLkUp.tbl[Num],MATCH(AD$3,mthLkUp.tbl[Month],0)),1,0)</f>
        <v>0</v>
      </c>
      <c r="AE128" s="6">
        <f ca="1">IF(MONTH(sim.tbl[[#This Row],[SDate]])=INDEX(mthLkUp.tbl[Num],MATCH(AE$3,mthLkUp.tbl[Month],0)),1,0)</f>
        <v>0</v>
      </c>
      <c r="AF128" s="6">
        <f ca="1">IF(MONTH(sim.tbl[[#This Row],[SDate]])=INDEX(mthLkUp.tbl[Num],MATCH(AF$3,mthLkUp.tbl[Month],0)),1,0)</f>
        <v>0</v>
      </c>
      <c r="AG128" s="6">
        <f ca="1">IF(MONTH(sim.tbl[[#This Row],[SDate]])=INDEX(mthLkUp.tbl[Num],MATCH(AG$3,mthLkUp.tbl[Month],0)),1,0)</f>
        <v>0</v>
      </c>
      <c r="AH128" s="6">
        <f ca="1">IF(MONTH(sim.tbl[[#This Row],[SDate]])=INDEX(mthLkUp.tbl[Num],MATCH(AH$3,mthLkUp.tbl[Month],0)),1,0)</f>
        <v>0</v>
      </c>
      <c r="AI128" s="6">
        <f ca="1">IF(MONTH(sim.tbl[[#This Row],[SDate]])=INDEX(mthLkUp.tbl[Num],MATCH(AI$3,mthLkUp.tbl[Month],0)),1,0)</f>
        <v>0</v>
      </c>
      <c r="AJ128" s="6">
        <f ca="1">IF(MONTH(sim.tbl[[#This Row],[SDate]])=INDEX(mthLkUp.tbl[Num],MATCH(AJ$3,mthLkUp.tbl[Month],0)),1,0)</f>
        <v>0</v>
      </c>
      <c r="AK128" s="6">
        <v>1</v>
      </c>
      <c r="AL128" s="5">
        <f>sim.tbl[[#This Row],[Sulf]]*sim.tbl[[#This Row],[C5]]</f>
        <v>0</v>
      </c>
      <c r="AM128" s="5">
        <f>sim.tbl[[#This Row],[Sulf]]*sim.tbl[[#This Row],[Light_LSB]]</f>
        <v>0.56399999999999995</v>
      </c>
      <c r="AN128" s="5">
        <f>sim.tbl[[#This Row],[Sulf]]*sim.tbl[[#This Row],[Light_SW]]</f>
        <v>0</v>
      </c>
      <c r="AO128" s="5">
        <f>sim.tbl[[#This Row],[Sulf]]*sim.tbl[[#This Row],[Medium_LSB]]</f>
        <v>0</v>
      </c>
      <c r="AP128" s="5">
        <f>sim.tbl[[#This Row],[Sulf]]*sim.tbl[[#This Row],[Medium_SW]]</f>
        <v>0</v>
      </c>
      <c r="AQ128" s="5">
        <f>sim.tbl[[#This Row],[Sulf]]*sim.tbl[[#This Row],[Midale]]</f>
        <v>0</v>
      </c>
      <c r="AR128" s="5">
        <f>sim.tbl[[#This Row],[Sulf]]*sim.tbl[[#This Row],[Heavy_Sour]]</f>
        <v>0</v>
      </c>
      <c r="AS128" s="5">
        <f>sim.tbl[[#This Row],[Sulf]]*sim.tbl[[#This Row],[Heavy_SW]]</f>
        <v>0</v>
      </c>
      <c r="AT128" s="5">
        <f>sim.tbl[[#This Row],[Dens]]*sim.tbl[[#This Row],[C5]]</f>
        <v>0</v>
      </c>
      <c r="AU128" s="5">
        <f>sim.tbl[[#This Row],[Dens]]*sim.tbl[[#This Row],[Light_LSB]]</f>
        <v>817.6</v>
      </c>
      <c r="AV128" s="5">
        <f>sim.tbl[[#This Row],[Dens]]*sim.tbl[[#This Row],[Light_SW]]</f>
        <v>0</v>
      </c>
      <c r="AW128" s="5">
        <f>sim.tbl[[#This Row],[Dens]]*sim.tbl[[#This Row],[Medium_LSB]]</f>
        <v>0</v>
      </c>
      <c r="AX128" s="5">
        <f>sim.tbl[[#This Row],[Dens]]*sim.tbl[[#This Row],[Medium_SW]]</f>
        <v>0</v>
      </c>
      <c r="AY128" s="5">
        <f>sim.tbl[[#This Row],[Dens]]*sim.tbl[[#This Row],[Midale]]</f>
        <v>0</v>
      </c>
      <c r="AZ128" s="5">
        <f>sim.tbl[[#This Row],[Dens]]*sim.tbl[[#This Row],[Heavy_Sour]]</f>
        <v>0</v>
      </c>
      <c r="BA128" s="5">
        <f>sim.tbl[[#This Row],[Dens]]*sim.tbl[[#This Row],[Heavy_SW]]</f>
        <v>0</v>
      </c>
      <c r="BB128" s="5">
        <f>sim.tbl[[#This Row],[Temp.Roll]]*sim.tbl[[#This Row],[C5]]</f>
        <v>0</v>
      </c>
      <c r="BC128" s="5">
        <f>sim.tbl[[#This Row],[Temp.Roll]]*sim.tbl[[#This Row],[Light_LSB]]</f>
        <v>-16.899999999999999</v>
      </c>
      <c r="BD128" s="5">
        <f>sim.tbl[[#This Row],[Temp.Roll]]*sim.tbl[[#This Row],[Light_SW]]</f>
        <v>0</v>
      </c>
      <c r="BE128" s="5">
        <f>sim.tbl[[#This Row],[Temp.Roll]]*sim.tbl[[#This Row],[Medium_LSB]]</f>
        <v>0</v>
      </c>
      <c r="BF128" s="5">
        <f>sim.tbl[[#This Row],[Temp.Roll]]*sim.tbl[[#This Row],[Medium_SW]]</f>
        <v>0</v>
      </c>
      <c r="BG128" s="5">
        <f>sim.tbl[[#This Row],[Temp.Roll]]*sim.tbl[[#This Row],[Midale]]</f>
        <v>0</v>
      </c>
      <c r="BH128" s="5">
        <f>sim.tbl[[#This Row],[Temp.Roll]]*sim.tbl[[#This Row],[Heavy_Sour]]</f>
        <v>0</v>
      </c>
      <c r="BI128" s="5">
        <f>sim.tbl[[#This Row],[Temp.Roll]]*sim.tbl[[#This Row],[Heavy_SW]]</f>
        <v>0</v>
      </c>
    </row>
    <row r="129" spans="4:61" x14ac:dyDescent="0.25">
      <c r="D129" s="5">
        <f ca="1">SUMPRODUCT($F$1:$BI$1,sim.tbl[[#This Row],[Intercept]:[Temp.Roll:Heavy_SW]])</f>
        <v>90.614876773366149</v>
      </c>
      <c r="E129" s="14">
        <f ca="1">DATE(YEAR(TODAY()),INDEX(mthLkUp.tbl[Num],MATCH(mth.input,mthLkUp.tbl[Month],0)),1)</f>
        <v>42795</v>
      </c>
      <c r="F129" s="6">
        <f>1</f>
        <v>1</v>
      </c>
      <c r="G129" s="5">
        <v>0.63400000000000001</v>
      </c>
      <c r="H129" s="5">
        <v>815.5</v>
      </c>
      <c r="I129" s="5">
        <v>-7.4666666670000001</v>
      </c>
      <c r="J129" s="5">
        <v>-4.7</v>
      </c>
      <c r="K129" s="5">
        <v>-5.0999999999999996</v>
      </c>
      <c r="L129" s="5">
        <v>-4.7</v>
      </c>
      <c r="M129" s="5">
        <v>-8.3000000000000007</v>
      </c>
      <c r="N129" s="5">
        <v>-4</v>
      </c>
      <c r="O129" s="5">
        <v>-13</v>
      </c>
      <c r="P129" s="5">
        <v>-9.6999999999999993</v>
      </c>
      <c r="Q129" s="6">
        <f>IF(sim.tbl[[#This Row],[Dens]]&lt;=770,1,0)</f>
        <v>0</v>
      </c>
      <c r="R129" s="6">
        <f>IF(AND(sim.tbl[[#This Row],[Sulf]]&gt;0.5,sim.tbl[[#This Row],[Dens]]&gt;770,sim.tbl[[#This Row],[Dens]]&lt;=825),1,0)</f>
        <v>1</v>
      </c>
      <c r="S129" s="6">
        <f>IF(AND(sim.tbl[[#This Row],[Sulf]]&lt;=0.5,sim.tbl[[#This Row],[Dens]]&gt;770,sim.tbl[[#This Row],[Dens]]&lt;=825),1,0)</f>
        <v>0</v>
      </c>
      <c r="T129" s="6">
        <f>IF(AND(sim.tbl[[#This Row],[Sulf]]&gt;0.5,sim.tbl[[#This Row],[Dens]]&gt;825,sim.tbl[[#This Row],[Dens]]&lt;=870),1,0)</f>
        <v>0</v>
      </c>
      <c r="U129" s="6">
        <f>IF(AND(sim.tbl[[#This Row],[Sulf]]&lt;0.5,sim.tbl[[#This Row],[Dens]]&gt;825,sim.tbl[[#This Row],[Dens]]&lt;=900),1,0)</f>
        <v>0</v>
      </c>
      <c r="V129" s="6">
        <f>IF(AND(sim.tbl[[#This Row],[Sulf]]&gt;0.5,sim.tbl[[#This Row],[Dens]]&gt;870,sim.tbl[[#This Row],[Dens]]&lt;=900),1,0)</f>
        <v>0</v>
      </c>
      <c r="W129" s="6">
        <f>IF(AND(sim.tbl[[#This Row],[Sulf]]&gt;0.5,sim.tbl[[#This Row],[Dens]]&gt;900),1,0)</f>
        <v>0</v>
      </c>
      <c r="X129" s="6">
        <f>IF(AND(sim.tbl[[#This Row],[Sulf]]&lt;=0.5,sim.tbl[[#This Row],[Dens]]&gt;900),1,0)</f>
        <v>0</v>
      </c>
      <c r="Y129" s="6">
        <f ca="1">IF(MONTH(sim.tbl[[#This Row],[SDate]])=INDEX(mthLkUp.tbl[Num],MATCH(Y$3,mthLkUp.tbl[Month],0)),1,0)</f>
        <v>0</v>
      </c>
      <c r="Z129" s="6">
        <f ca="1">IF(MONTH(sim.tbl[[#This Row],[SDate]])=INDEX(mthLkUp.tbl[Num],MATCH(Z$3,mthLkUp.tbl[Month],0)),1,0)</f>
        <v>0</v>
      </c>
      <c r="AA129" s="6">
        <f ca="1">IF(MONTH(sim.tbl[[#This Row],[SDate]])=INDEX(mthLkUp.tbl[Num],MATCH(AA$3,mthLkUp.tbl[Month],0)),1,0)</f>
        <v>1</v>
      </c>
      <c r="AB129" s="6">
        <f ca="1">IF(MONTH(sim.tbl[[#This Row],[SDate]])=INDEX(mthLkUp.tbl[Num],MATCH(AB$3,mthLkUp.tbl[Month],0)),1,0)</f>
        <v>0</v>
      </c>
      <c r="AC129" s="6">
        <f ca="1">IF(MONTH(sim.tbl[[#This Row],[SDate]])=INDEX(mthLkUp.tbl[Num],MATCH(AC$3,mthLkUp.tbl[Month],0)),1,0)</f>
        <v>0</v>
      </c>
      <c r="AD129" s="6">
        <f ca="1">IF(MONTH(sim.tbl[[#This Row],[SDate]])=INDEX(mthLkUp.tbl[Num],MATCH(AD$3,mthLkUp.tbl[Month],0)),1,0)</f>
        <v>0</v>
      </c>
      <c r="AE129" s="6">
        <f ca="1">IF(MONTH(sim.tbl[[#This Row],[SDate]])=INDEX(mthLkUp.tbl[Num],MATCH(AE$3,mthLkUp.tbl[Month],0)),1,0)</f>
        <v>0</v>
      </c>
      <c r="AF129" s="6">
        <f ca="1">IF(MONTH(sim.tbl[[#This Row],[SDate]])=INDEX(mthLkUp.tbl[Num],MATCH(AF$3,mthLkUp.tbl[Month],0)),1,0)</f>
        <v>0</v>
      </c>
      <c r="AG129" s="6">
        <f ca="1">IF(MONTH(sim.tbl[[#This Row],[SDate]])=INDEX(mthLkUp.tbl[Num],MATCH(AG$3,mthLkUp.tbl[Month],0)),1,0)</f>
        <v>0</v>
      </c>
      <c r="AH129" s="6">
        <f ca="1">IF(MONTH(sim.tbl[[#This Row],[SDate]])=INDEX(mthLkUp.tbl[Num],MATCH(AH$3,mthLkUp.tbl[Month],0)),1,0)</f>
        <v>0</v>
      </c>
      <c r="AI129" s="6">
        <f ca="1">IF(MONTH(sim.tbl[[#This Row],[SDate]])=INDEX(mthLkUp.tbl[Num],MATCH(AI$3,mthLkUp.tbl[Month],0)),1,0)</f>
        <v>0</v>
      </c>
      <c r="AJ129" s="6">
        <f ca="1">IF(MONTH(sim.tbl[[#This Row],[SDate]])=INDEX(mthLkUp.tbl[Num],MATCH(AJ$3,mthLkUp.tbl[Month],0)),1,0)</f>
        <v>0</v>
      </c>
      <c r="AK129" s="6">
        <v>1</v>
      </c>
      <c r="AL129" s="5">
        <f>sim.tbl[[#This Row],[Sulf]]*sim.tbl[[#This Row],[C5]]</f>
        <v>0</v>
      </c>
      <c r="AM129" s="5">
        <f>sim.tbl[[#This Row],[Sulf]]*sim.tbl[[#This Row],[Light_LSB]]</f>
        <v>0.63400000000000001</v>
      </c>
      <c r="AN129" s="5">
        <f>sim.tbl[[#This Row],[Sulf]]*sim.tbl[[#This Row],[Light_SW]]</f>
        <v>0</v>
      </c>
      <c r="AO129" s="5">
        <f>sim.tbl[[#This Row],[Sulf]]*sim.tbl[[#This Row],[Medium_LSB]]</f>
        <v>0</v>
      </c>
      <c r="AP129" s="5">
        <f>sim.tbl[[#This Row],[Sulf]]*sim.tbl[[#This Row],[Medium_SW]]</f>
        <v>0</v>
      </c>
      <c r="AQ129" s="5">
        <f>sim.tbl[[#This Row],[Sulf]]*sim.tbl[[#This Row],[Midale]]</f>
        <v>0</v>
      </c>
      <c r="AR129" s="5">
        <f>sim.tbl[[#This Row],[Sulf]]*sim.tbl[[#This Row],[Heavy_Sour]]</f>
        <v>0</v>
      </c>
      <c r="AS129" s="5">
        <f>sim.tbl[[#This Row],[Sulf]]*sim.tbl[[#This Row],[Heavy_SW]]</f>
        <v>0</v>
      </c>
      <c r="AT129" s="5">
        <f>sim.tbl[[#This Row],[Dens]]*sim.tbl[[#This Row],[C5]]</f>
        <v>0</v>
      </c>
      <c r="AU129" s="5">
        <f>sim.tbl[[#This Row],[Dens]]*sim.tbl[[#This Row],[Light_LSB]]</f>
        <v>815.5</v>
      </c>
      <c r="AV129" s="5">
        <f>sim.tbl[[#This Row],[Dens]]*sim.tbl[[#This Row],[Light_SW]]</f>
        <v>0</v>
      </c>
      <c r="AW129" s="5">
        <f>sim.tbl[[#This Row],[Dens]]*sim.tbl[[#This Row],[Medium_LSB]]</f>
        <v>0</v>
      </c>
      <c r="AX129" s="5">
        <f>sim.tbl[[#This Row],[Dens]]*sim.tbl[[#This Row],[Medium_SW]]</f>
        <v>0</v>
      </c>
      <c r="AY129" s="5">
        <f>sim.tbl[[#This Row],[Dens]]*sim.tbl[[#This Row],[Midale]]</f>
        <v>0</v>
      </c>
      <c r="AZ129" s="5">
        <f>sim.tbl[[#This Row],[Dens]]*sim.tbl[[#This Row],[Heavy_Sour]]</f>
        <v>0</v>
      </c>
      <c r="BA129" s="5">
        <f>sim.tbl[[#This Row],[Dens]]*sim.tbl[[#This Row],[Heavy_SW]]</f>
        <v>0</v>
      </c>
      <c r="BB129" s="5">
        <f>sim.tbl[[#This Row],[Temp.Roll]]*sim.tbl[[#This Row],[C5]]</f>
        <v>0</v>
      </c>
      <c r="BC129" s="5">
        <f>sim.tbl[[#This Row],[Temp.Roll]]*sim.tbl[[#This Row],[Light_LSB]]</f>
        <v>-4.7</v>
      </c>
      <c r="BD129" s="5">
        <f>sim.tbl[[#This Row],[Temp.Roll]]*sim.tbl[[#This Row],[Light_SW]]</f>
        <v>0</v>
      </c>
      <c r="BE129" s="5">
        <f>sim.tbl[[#This Row],[Temp.Roll]]*sim.tbl[[#This Row],[Medium_LSB]]</f>
        <v>0</v>
      </c>
      <c r="BF129" s="5">
        <f>sim.tbl[[#This Row],[Temp.Roll]]*sim.tbl[[#This Row],[Medium_SW]]</f>
        <v>0</v>
      </c>
      <c r="BG129" s="5">
        <f>sim.tbl[[#This Row],[Temp.Roll]]*sim.tbl[[#This Row],[Midale]]</f>
        <v>0</v>
      </c>
      <c r="BH129" s="5">
        <f>sim.tbl[[#This Row],[Temp.Roll]]*sim.tbl[[#This Row],[Heavy_Sour]]</f>
        <v>0</v>
      </c>
      <c r="BI129" s="5">
        <f>sim.tbl[[#This Row],[Temp.Roll]]*sim.tbl[[#This Row],[Heavy_SW]]</f>
        <v>0</v>
      </c>
    </row>
    <row r="130" spans="4:61" x14ac:dyDescent="0.25">
      <c r="D130" s="5">
        <f ca="1">SUMPRODUCT($F$1:$BI$1,sim.tbl[[#This Row],[Intercept]:[Temp.Roll:Heavy_SW]])</f>
        <v>74.827843973988053</v>
      </c>
      <c r="E130" s="14">
        <f ca="1">DATE(YEAR(TODAY()),INDEX(mthLkUp.tbl[Num],MATCH(mth.input,mthLkUp.tbl[Month],0)),1)</f>
        <v>42795</v>
      </c>
      <c r="F130" s="6">
        <f>1</f>
        <v>1</v>
      </c>
      <c r="G130" s="5">
        <v>1.323</v>
      </c>
      <c r="H130" s="5">
        <v>846.2</v>
      </c>
      <c r="I130" s="5">
        <v>3.5</v>
      </c>
      <c r="J130" s="5">
        <v>9.6019047620000002</v>
      </c>
      <c r="K130" s="5">
        <v>3.4</v>
      </c>
      <c r="L130" s="5">
        <v>1.9</v>
      </c>
      <c r="M130" s="5">
        <v>3</v>
      </c>
      <c r="N130" s="5">
        <v>3.8</v>
      </c>
      <c r="O130" s="5">
        <v>4</v>
      </c>
      <c r="P130" s="5">
        <v>2.8</v>
      </c>
      <c r="Q130" s="6">
        <f>IF(sim.tbl[[#This Row],[Dens]]&lt;=770,1,0)</f>
        <v>0</v>
      </c>
      <c r="R130" s="6">
        <f>IF(AND(sim.tbl[[#This Row],[Sulf]]&gt;0.5,sim.tbl[[#This Row],[Dens]]&gt;770,sim.tbl[[#This Row],[Dens]]&lt;=825),1,0)</f>
        <v>0</v>
      </c>
      <c r="S130" s="6">
        <f>IF(AND(sim.tbl[[#This Row],[Sulf]]&lt;=0.5,sim.tbl[[#This Row],[Dens]]&gt;770,sim.tbl[[#This Row],[Dens]]&lt;=825),1,0)</f>
        <v>0</v>
      </c>
      <c r="T130" s="6">
        <f>IF(AND(sim.tbl[[#This Row],[Sulf]]&gt;0.5,sim.tbl[[#This Row],[Dens]]&gt;825,sim.tbl[[#This Row],[Dens]]&lt;=870),1,0)</f>
        <v>1</v>
      </c>
      <c r="U130" s="6">
        <f>IF(AND(sim.tbl[[#This Row],[Sulf]]&lt;0.5,sim.tbl[[#This Row],[Dens]]&gt;825,sim.tbl[[#This Row],[Dens]]&lt;=900),1,0)</f>
        <v>0</v>
      </c>
      <c r="V130" s="6">
        <f>IF(AND(sim.tbl[[#This Row],[Sulf]]&gt;0.5,sim.tbl[[#This Row],[Dens]]&gt;870,sim.tbl[[#This Row],[Dens]]&lt;=900),1,0)</f>
        <v>0</v>
      </c>
      <c r="W130" s="6">
        <f>IF(AND(sim.tbl[[#This Row],[Sulf]]&gt;0.5,sim.tbl[[#This Row],[Dens]]&gt;900),1,0)</f>
        <v>0</v>
      </c>
      <c r="X130" s="6">
        <f>IF(AND(sim.tbl[[#This Row],[Sulf]]&lt;=0.5,sim.tbl[[#This Row],[Dens]]&gt;900),1,0)</f>
        <v>0</v>
      </c>
      <c r="Y130" s="6">
        <f ca="1">IF(MONTH(sim.tbl[[#This Row],[SDate]])=INDEX(mthLkUp.tbl[Num],MATCH(Y$3,mthLkUp.tbl[Month],0)),1,0)</f>
        <v>0</v>
      </c>
      <c r="Z130" s="6">
        <f ca="1">IF(MONTH(sim.tbl[[#This Row],[SDate]])=INDEX(mthLkUp.tbl[Num],MATCH(Z$3,mthLkUp.tbl[Month],0)),1,0)</f>
        <v>0</v>
      </c>
      <c r="AA130" s="6">
        <f ca="1">IF(MONTH(sim.tbl[[#This Row],[SDate]])=INDEX(mthLkUp.tbl[Num],MATCH(AA$3,mthLkUp.tbl[Month],0)),1,0)</f>
        <v>1</v>
      </c>
      <c r="AB130" s="6">
        <f ca="1">IF(MONTH(sim.tbl[[#This Row],[SDate]])=INDEX(mthLkUp.tbl[Num],MATCH(AB$3,mthLkUp.tbl[Month],0)),1,0)</f>
        <v>0</v>
      </c>
      <c r="AC130" s="6">
        <f ca="1">IF(MONTH(sim.tbl[[#This Row],[SDate]])=INDEX(mthLkUp.tbl[Num],MATCH(AC$3,mthLkUp.tbl[Month],0)),1,0)</f>
        <v>0</v>
      </c>
      <c r="AD130" s="6">
        <f ca="1">IF(MONTH(sim.tbl[[#This Row],[SDate]])=INDEX(mthLkUp.tbl[Num],MATCH(AD$3,mthLkUp.tbl[Month],0)),1,0)</f>
        <v>0</v>
      </c>
      <c r="AE130" s="6">
        <f ca="1">IF(MONTH(sim.tbl[[#This Row],[SDate]])=INDEX(mthLkUp.tbl[Num],MATCH(AE$3,mthLkUp.tbl[Month],0)),1,0)</f>
        <v>0</v>
      </c>
      <c r="AF130" s="6">
        <f ca="1">IF(MONTH(sim.tbl[[#This Row],[SDate]])=INDEX(mthLkUp.tbl[Num],MATCH(AF$3,mthLkUp.tbl[Month],0)),1,0)</f>
        <v>0</v>
      </c>
      <c r="AG130" s="6">
        <f ca="1">IF(MONTH(sim.tbl[[#This Row],[SDate]])=INDEX(mthLkUp.tbl[Num],MATCH(AG$3,mthLkUp.tbl[Month],0)),1,0)</f>
        <v>0</v>
      </c>
      <c r="AH130" s="6">
        <f ca="1">IF(MONTH(sim.tbl[[#This Row],[SDate]])=INDEX(mthLkUp.tbl[Num],MATCH(AH$3,mthLkUp.tbl[Month],0)),1,0)</f>
        <v>0</v>
      </c>
      <c r="AI130" s="6">
        <f ca="1">IF(MONTH(sim.tbl[[#This Row],[SDate]])=INDEX(mthLkUp.tbl[Num],MATCH(AI$3,mthLkUp.tbl[Month],0)),1,0)</f>
        <v>0</v>
      </c>
      <c r="AJ130" s="6">
        <f ca="1">IF(MONTH(sim.tbl[[#This Row],[SDate]])=INDEX(mthLkUp.tbl[Num],MATCH(AJ$3,mthLkUp.tbl[Month],0)),1,0)</f>
        <v>0</v>
      </c>
      <c r="AK130" s="6">
        <v>1</v>
      </c>
      <c r="AL130" s="5">
        <f>sim.tbl[[#This Row],[Sulf]]*sim.tbl[[#This Row],[C5]]</f>
        <v>0</v>
      </c>
      <c r="AM130" s="5">
        <f>sim.tbl[[#This Row],[Sulf]]*sim.tbl[[#This Row],[Light_LSB]]</f>
        <v>0</v>
      </c>
      <c r="AN130" s="5">
        <f>sim.tbl[[#This Row],[Sulf]]*sim.tbl[[#This Row],[Light_SW]]</f>
        <v>0</v>
      </c>
      <c r="AO130" s="5">
        <f>sim.tbl[[#This Row],[Sulf]]*sim.tbl[[#This Row],[Medium_LSB]]</f>
        <v>1.323</v>
      </c>
      <c r="AP130" s="5">
        <f>sim.tbl[[#This Row],[Sulf]]*sim.tbl[[#This Row],[Medium_SW]]</f>
        <v>0</v>
      </c>
      <c r="AQ130" s="5">
        <f>sim.tbl[[#This Row],[Sulf]]*sim.tbl[[#This Row],[Midale]]</f>
        <v>0</v>
      </c>
      <c r="AR130" s="5">
        <f>sim.tbl[[#This Row],[Sulf]]*sim.tbl[[#This Row],[Heavy_Sour]]</f>
        <v>0</v>
      </c>
      <c r="AS130" s="5">
        <f>sim.tbl[[#This Row],[Sulf]]*sim.tbl[[#This Row],[Heavy_SW]]</f>
        <v>0</v>
      </c>
      <c r="AT130" s="5">
        <f>sim.tbl[[#This Row],[Dens]]*sim.tbl[[#This Row],[C5]]</f>
        <v>0</v>
      </c>
      <c r="AU130" s="5">
        <f>sim.tbl[[#This Row],[Dens]]*sim.tbl[[#This Row],[Light_LSB]]</f>
        <v>0</v>
      </c>
      <c r="AV130" s="5">
        <f>sim.tbl[[#This Row],[Dens]]*sim.tbl[[#This Row],[Light_SW]]</f>
        <v>0</v>
      </c>
      <c r="AW130" s="5">
        <f>sim.tbl[[#This Row],[Dens]]*sim.tbl[[#This Row],[Medium_LSB]]</f>
        <v>846.2</v>
      </c>
      <c r="AX130" s="5">
        <f>sim.tbl[[#This Row],[Dens]]*sim.tbl[[#This Row],[Medium_SW]]</f>
        <v>0</v>
      </c>
      <c r="AY130" s="5">
        <f>sim.tbl[[#This Row],[Dens]]*sim.tbl[[#This Row],[Midale]]</f>
        <v>0</v>
      </c>
      <c r="AZ130" s="5">
        <f>sim.tbl[[#This Row],[Dens]]*sim.tbl[[#This Row],[Heavy_Sour]]</f>
        <v>0</v>
      </c>
      <c r="BA130" s="5">
        <f>sim.tbl[[#This Row],[Dens]]*sim.tbl[[#This Row],[Heavy_SW]]</f>
        <v>0</v>
      </c>
      <c r="BB130" s="5">
        <f>sim.tbl[[#This Row],[Temp.Roll]]*sim.tbl[[#This Row],[C5]]</f>
        <v>0</v>
      </c>
      <c r="BC130" s="5">
        <f>sim.tbl[[#This Row],[Temp.Roll]]*sim.tbl[[#This Row],[Light_LSB]]</f>
        <v>0</v>
      </c>
      <c r="BD130" s="5">
        <f>sim.tbl[[#This Row],[Temp.Roll]]*sim.tbl[[#This Row],[Light_SW]]</f>
        <v>0</v>
      </c>
      <c r="BE130" s="5">
        <f>sim.tbl[[#This Row],[Temp.Roll]]*sim.tbl[[#This Row],[Medium_LSB]]</f>
        <v>9.6019047620000002</v>
      </c>
      <c r="BF130" s="5">
        <f>sim.tbl[[#This Row],[Temp.Roll]]*sim.tbl[[#This Row],[Medium_SW]]</f>
        <v>0</v>
      </c>
      <c r="BG130" s="5">
        <f>sim.tbl[[#This Row],[Temp.Roll]]*sim.tbl[[#This Row],[Midale]]</f>
        <v>0</v>
      </c>
      <c r="BH130" s="5">
        <f>sim.tbl[[#This Row],[Temp.Roll]]*sim.tbl[[#This Row],[Heavy_Sour]]</f>
        <v>0</v>
      </c>
      <c r="BI130" s="5">
        <f>sim.tbl[[#This Row],[Temp.Roll]]*sim.tbl[[#This Row],[Heavy_SW]]</f>
        <v>0</v>
      </c>
    </row>
    <row r="131" spans="4:61" x14ac:dyDescent="0.25">
      <c r="D131" s="5">
        <f ca="1">SUMPRODUCT($F$1:$BI$1,sim.tbl[[#This Row],[Intercept]:[Temp.Roll:Heavy_SW]])</f>
        <v>88.215999710766525</v>
      </c>
      <c r="E131" s="14">
        <f ca="1">DATE(YEAR(TODAY()),INDEX(mthLkUp.tbl[Num],MATCH(mth.input,mthLkUp.tbl[Month],0)),1)</f>
        <v>42795</v>
      </c>
      <c r="F131" s="6">
        <f>1</f>
        <v>1</v>
      </c>
      <c r="G131" s="5">
        <v>0.3</v>
      </c>
      <c r="H131" s="5">
        <v>807.8</v>
      </c>
      <c r="I131" s="5">
        <v>0.88333333300000005</v>
      </c>
      <c r="J131" s="5">
        <v>0.7</v>
      </c>
      <c r="K131" s="5">
        <v>1.3</v>
      </c>
      <c r="L131" s="5">
        <v>0.7</v>
      </c>
      <c r="M131" s="5">
        <v>0.8</v>
      </c>
      <c r="N131" s="5">
        <v>1.8</v>
      </c>
      <c r="O131" s="5">
        <v>0.4</v>
      </c>
      <c r="P131" s="5">
        <v>0.3</v>
      </c>
      <c r="Q131" s="6">
        <f>IF(sim.tbl[[#This Row],[Dens]]&lt;=770,1,0)</f>
        <v>0</v>
      </c>
      <c r="R131" s="6">
        <f>IF(AND(sim.tbl[[#This Row],[Sulf]]&gt;0.5,sim.tbl[[#This Row],[Dens]]&gt;770,sim.tbl[[#This Row],[Dens]]&lt;=825),1,0)</f>
        <v>0</v>
      </c>
      <c r="S131" s="6">
        <f>IF(AND(sim.tbl[[#This Row],[Sulf]]&lt;=0.5,sim.tbl[[#This Row],[Dens]]&gt;770,sim.tbl[[#This Row],[Dens]]&lt;=825),1,0)</f>
        <v>1</v>
      </c>
      <c r="T131" s="6">
        <f>IF(AND(sim.tbl[[#This Row],[Sulf]]&gt;0.5,sim.tbl[[#This Row],[Dens]]&gt;825,sim.tbl[[#This Row],[Dens]]&lt;=870),1,0)</f>
        <v>0</v>
      </c>
      <c r="U131" s="6">
        <f>IF(AND(sim.tbl[[#This Row],[Sulf]]&lt;0.5,sim.tbl[[#This Row],[Dens]]&gt;825,sim.tbl[[#This Row],[Dens]]&lt;=900),1,0)</f>
        <v>0</v>
      </c>
      <c r="V131" s="6">
        <f>IF(AND(sim.tbl[[#This Row],[Sulf]]&gt;0.5,sim.tbl[[#This Row],[Dens]]&gt;870,sim.tbl[[#This Row],[Dens]]&lt;=900),1,0)</f>
        <v>0</v>
      </c>
      <c r="W131" s="6">
        <f>IF(AND(sim.tbl[[#This Row],[Sulf]]&gt;0.5,sim.tbl[[#This Row],[Dens]]&gt;900),1,0)</f>
        <v>0</v>
      </c>
      <c r="X131" s="6">
        <f>IF(AND(sim.tbl[[#This Row],[Sulf]]&lt;=0.5,sim.tbl[[#This Row],[Dens]]&gt;900),1,0)</f>
        <v>0</v>
      </c>
      <c r="Y131" s="6">
        <f ca="1">IF(MONTH(sim.tbl[[#This Row],[SDate]])=INDEX(mthLkUp.tbl[Num],MATCH(Y$3,mthLkUp.tbl[Month],0)),1,0)</f>
        <v>0</v>
      </c>
      <c r="Z131" s="6">
        <f ca="1">IF(MONTH(sim.tbl[[#This Row],[SDate]])=INDEX(mthLkUp.tbl[Num],MATCH(Z$3,mthLkUp.tbl[Month],0)),1,0)</f>
        <v>0</v>
      </c>
      <c r="AA131" s="6">
        <f ca="1">IF(MONTH(sim.tbl[[#This Row],[SDate]])=INDEX(mthLkUp.tbl[Num],MATCH(AA$3,mthLkUp.tbl[Month],0)),1,0)</f>
        <v>1</v>
      </c>
      <c r="AB131" s="6">
        <f ca="1">IF(MONTH(sim.tbl[[#This Row],[SDate]])=INDEX(mthLkUp.tbl[Num],MATCH(AB$3,mthLkUp.tbl[Month],0)),1,0)</f>
        <v>0</v>
      </c>
      <c r="AC131" s="6">
        <f ca="1">IF(MONTH(sim.tbl[[#This Row],[SDate]])=INDEX(mthLkUp.tbl[Num],MATCH(AC$3,mthLkUp.tbl[Month],0)),1,0)</f>
        <v>0</v>
      </c>
      <c r="AD131" s="6">
        <f ca="1">IF(MONTH(sim.tbl[[#This Row],[SDate]])=INDEX(mthLkUp.tbl[Num],MATCH(AD$3,mthLkUp.tbl[Month],0)),1,0)</f>
        <v>0</v>
      </c>
      <c r="AE131" s="6">
        <f ca="1">IF(MONTH(sim.tbl[[#This Row],[SDate]])=INDEX(mthLkUp.tbl[Num],MATCH(AE$3,mthLkUp.tbl[Month],0)),1,0)</f>
        <v>0</v>
      </c>
      <c r="AF131" s="6">
        <f ca="1">IF(MONTH(sim.tbl[[#This Row],[SDate]])=INDEX(mthLkUp.tbl[Num],MATCH(AF$3,mthLkUp.tbl[Month],0)),1,0)</f>
        <v>0</v>
      </c>
      <c r="AG131" s="6">
        <f ca="1">IF(MONTH(sim.tbl[[#This Row],[SDate]])=INDEX(mthLkUp.tbl[Num],MATCH(AG$3,mthLkUp.tbl[Month],0)),1,0)</f>
        <v>0</v>
      </c>
      <c r="AH131" s="6">
        <f ca="1">IF(MONTH(sim.tbl[[#This Row],[SDate]])=INDEX(mthLkUp.tbl[Num],MATCH(AH$3,mthLkUp.tbl[Month],0)),1,0)</f>
        <v>0</v>
      </c>
      <c r="AI131" s="6">
        <f ca="1">IF(MONTH(sim.tbl[[#This Row],[SDate]])=INDEX(mthLkUp.tbl[Num],MATCH(AI$3,mthLkUp.tbl[Month],0)),1,0)</f>
        <v>0</v>
      </c>
      <c r="AJ131" s="6">
        <f ca="1">IF(MONTH(sim.tbl[[#This Row],[SDate]])=INDEX(mthLkUp.tbl[Num],MATCH(AJ$3,mthLkUp.tbl[Month],0)),1,0)</f>
        <v>0</v>
      </c>
      <c r="AK131" s="6">
        <v>1</v>
      </c>
      <c r="AL131" s="5">
        <f>sim.tbl[[#This Row],[Sulf]]*sim.tbl[[#This Row],[C5]]</f>
        <v>0</v>
      </c>
      <c r="AM131" s="5">
        <f>sim.tbl[[#This Row],[Sulf]]*sim.tbl[[#This Row],[Light_LSB]]</f>
        <v>0</v>
      </c>
      <c r="AN131" s="5">
        <f>sim.tbl[[#This Row],[Sulf]]*sim.tbl[[#This Row],[Light_SW]]</f>
        <v>0.3</v>
      </c>
      <c r="AO131" s="5">
        <f>sim.tbl[[#This Row],[Sulf]]*sim.tbl[[#This Row],[Medium_LSB]]</f>
        <v>0</v>
      </c>
      <c r="AP131" s="5">
        <f>sim.tbl[[#This Row],[Sulf]]*sim.tbl[[#This Row],[Medium_SW]]</f>
        <v>0</v>
      </c>
      <c r="AQ131" s="5">
        <f>sim.tbl[[#This Row],[Sulf]]*sim.tbl[[#This Row],[Midale]]</f>
        <v>0</v>
      </c>
      <c r="AR131" s="5">
        <f>sim.tbl[[#This Row],[Sulf]]*sim.tbl[[#This Row],[Heavy_Sour]]</f>
        <v>0</v>
      </c>
      <c r="AS131" s="5">
        <f>sim.tbl[[#This Row],[Sulf]]*sim.tbl[[#This Row],[Heavy_SW]]</f>
        <v>0</v>
      </c>
      <c r="AT131" s="5">
        <f>sim.tbl[[#This Row],[Dens]]*sim.tbl[[#This Row],[C5]]</f>
        <v>0</v>
      </c>
      <c r="AU131" s="5">
        <f>sim.tbl[[#This Row],[Dens]]*sim.tbl[[#This Row],[Light_LSB]]</f>
        <v>0</v>
      </c>
      <c r="AV131" s="5">
        <f>sim.tbl[[#This Row],[Dens]]*sim.tbl[[#This Row],[Light_SW]]</f>
        <v>807.8</v>
      </c>
      <c r="AW131" s="5">
        <f>sim.tbl[[#This Row],[Dens]]*sim.tbl[[#This Row],[Medium_LSB]]</f>
        <v>0</v>
      </c>
      <c r="AX131" s="5">
        <f>sim.tbl[[#This Row],[Dens]]*sim.tbl[[#This Row],[Medium_SW]]</f>
        <v>0</v>
      </c>
      <c r="AY131" s="5">
        <f>sim.tbl[[#This Row],[Dens]]*sim.tbl[[#This Row],[Midale]]</f>
        <v>0</v>
      </c>
      <c r="AZ131" s="5">
        <f>sim.tbl[[#This Row],[Dens]]*sim.tbl[[#This Row],[Heavy_Sour]]</f>
        <v>0</v>
      </c>
      <c r="BA131" s="5">
        <f>sim.tbl[[#This Row],[Dens]]*sim.tbl[[#This Row],[Heavy_SW]]</f>
        <v>0</v>
      </c>
      <c r="BB131" s="5">
        <f>sim.tbl[[#This Row],[Temp.Roll]]*sim.tbl[[#This Row],[C5]]</f>
        <v>0</v>
      </c>
      <c r="BC131" s="5">
        <f>sim.tbl[[#This Row],[Temp.Roll]]*sim.tbl[[#This Row],[Light_LSB]]</f>
        <v>0</v>
      </c>
      <c r="BD131" s="5">
        <f>sim.tbl[[#This Row],[Temp.Roll]]*sim.tbl[[#This Row],[Light_SW]]</f>
        <v>0.7</v>
      </c>
      <c r="BE131" s="5">
        <f>sim.tbl[[#This Row],[Temp.Roll]]*sim.tbl[[#This Row],[Medium_LSB]]</f>
        <v>0</v>
      </c>
      <c r="BF131" s="5">
        <f>sim.tbl[[#This Row],[Temp.Roll]]*sim.tbl[[#This Row],[Medium_SW]]</f>
        <v>0</v>
      </c>
      <c r="BG131" s="5">
        <f>sim.tbl[[#This Row],[Temp.Roll]]*sim.tbl[[#This Row],[Midale]]</f>
        <v>0</v>
      </c>
      <c r="BH131" s="5">
        <f>sim.tbl[[#This Row],[Temp.Roll]]*sim.tbl[[#This Row],[Heavy_Sour]]</f>
        <v>0</v>
      </c>
      <c r="BI131" s="5">
        <f>sim.tbl[[#This Row],[Temp.Roll]]*sim.tbl[[#This Row],[Heavy_SW]]</f>
        <v>0</v>
      </c>
    </row>
    <row r="132" spans="4:61" x14ac:dyDescent="0.25">
      <c r="D132" s="5">
        <f ca="1">SUMPRODUCT($F$1:$BI$1,sim.tbl[[#This Row],[Intercept]:[Temp.Roll:Heavy_SW]])</f>
        <v>85.922781397378927</v>
      </c>
      <c r="E132" s="14">
        <f ca="1">DATE(YEAR(TODAY()),INDEX(mthLkUp.tbl[Num],MATCH(mth.input,mthLkUp.tbl[Month],0)),1)</f>
        <v>42795</v>
      </c>
      <c r="F132" s="6">
        <f>1</f>
        <v>1</v>
      </c>
      <c r="G132" s="5">
        <v>0.17</v>
      </c>
      <c r="H132" s="5">
        <v>811.2</v>
      </c>
      <c r="I132" s="5">
        <v>3.54</v>
      </c>
      <c r="J132" s="5">
        <v>3.6</v>
      </c>
      <c r="K132" s="5">
        <v>3.5</v>
      </c>
      <c r="L132" s="5">
        <v>3.6</v>
      </c>
      <c r="M132" s="5">
        <v>7.8</v>
      </c>
      <c r="N132" s="5">
        <v>5</v>
      </c>
      <c r="O132" s="5">
        <v>4.5999999999999996</v>
      </c>
      <c r="P132" s="5">
        <v>1</v>
      </c>
      <c r="Q132" s="6">
        <f>IF(sim.tbl[[#This Row],[Dens]]&lt;=770,1,0)</f>
        <v>0</v>
      </c>
      <c r="R132" s="6">
        <f>IF(AND(sim.tbl[[#This Row],[Sulf]]&gt;0.5,sim.tbl[[#This Row],[Dens]]&gt;770,sim.tbl[[#This Row],[Dens]]&lt;=825),1,0)</f>
        <v>0</v>
      </c>
      <c r="S132" s="6">
        <f>IF(AND(sim.tbl[[#This Row],[Sulf]]&lt;=0.5,sim.tbl[[#This Row],[Dens]]&gt;770,sim.tbl[[#This Row],[Dens]]&lt;=825),1,0)</f>
        <v>1</v>
      </c>
      <c r="T132" s="6">
        <f>IF(AND(sim.tbl[[#This Row],[Sulf]]&gt;0.5,sim.tbl[[#This Row],[Dens]]&gt;825,sim.tbl[[#This Row],[Dens]]&lt;=870),1,0)</f>
        <v>0</v>
      </c>
      <c r="U132" s="6">
        <f>IF(AND(sim.tbl[[#This Row],[Sulf]]&lt;0.5,sim.tbl[[#This Row],[Dens]]&gt;825,sim.tbl[[#This Row],[Dens]]&lt;=900),1,0)</f>
        <v>0</v>
      </c>
      <c r="V132" s="6">
        <f>IF(AND(sim.tbl[[#This Row],[Sulf]]&gt;0.5,sim.tbl[[#This Row],[Dens]]&gt;870,sim.tbl[[#This Row],[Dens]]&lt;=900),1,0)</f>
        <v>0</v>
      </c>
      <c r="W132" s="6">
        <f>IF(AND(sim.tbl[[#This Row],[Sulf]]&gt;0.5,sim.tbl[[#This Row],[Dens]]&gt;900),1,0)</f>
        <v>0</v>
      </c>
      <c r="X132" s="6">
        <f>IF(AND(sim.tbl[[#This Row],[Sulf]]&lt;=0.5,sim.tbl[[#This Row],[Dens]]&gt;900),1,0)</f>
        <v>0</v>
      </c>
      <c r="Y132" s="6">
        <f ca="1">IF(MONTH(sim.tbl[[#This Row],[SDate]])=INDEX(mthLkUp.tbl[Num],MATCH(Y$3,mthLkUp.tbl[Month],0)),1,0)</f>
        <v>0</v>
      </c>
      <c r="Z132" s="6">
        <f ca="1">IF(MONTH(sim.tbl[[#This Row],[SDate]])=INDEX(mthLkUp.tbl[Num],MATCH(Z$3,mthLkUp.tbl[Month],0)),1,0)</f>
        <v>0</v>
      </c>
      <c r="AA132" s="6">
        <f ca="1">IF(MONTH(sim.tbl[[#This Row],[SDate]])=INDEX(mthLkUp.tbl[Num],MATCH(AA$3,mthLkUp.tbl[Month],0)),1,0)</f>
        <v>1</v>
      </c>
      <c r="AB132" s="6">
        <f ca="1">IF(MONTH(sim.tbl[[#This Row],[SDate]])=INDEX(mthLkUp.tbl[Num],MATCH(AB$3,mthLkUp.tbl[Month],0)),1,0)</f>
        <v>0</v>
      </c>
      <c r="AC132" s="6">
        <f ca="1">IF(MONTH(sim.tbl[[#This Row],[SDate]])=INDEX(mthLkUp.tbl[Num],MATCH(AC$3,mthLkUp.tbl[Month],0)),1,0)</f>
        <v>0</v>
      </c>
      <c r="AD132" s="6">
        <f ca="1">IF(MONTH(sim.tbl[[#This Row],[SDate]])=INDEX(mthLkUp.tbl[Num],MATCH(AD$3,mthLkUp.tbl[Month],0)),1,0)</f>
        <v>0</v>
      </c>
      <c r="AE132" s="6">
        <f ca="1">IF(MONTH(sim.tbl[[#This Row],[SDate]])=INDEX(mthLkUp.tbl[Num],MATCH(AE$3,mthLkUp.tbl[Month],0)),1,0)</f>
        <v>0</v>
      </c>
      <c r="AF132" s="6">
        <f ca="1">IF(MONTH(sim.tbl[[#This Row],[SDate]])=INDEX(mthLkUp.tbl[Num],MATCH(AF$3,mthLkUp.tbl[Month],0)),1,0)</f>
        <v>0</v>
      </c>
      <c r="AG132" s="6">
        <f ca="1">IF(MONTH(sim.tbl[[#This Row],[SDate]])=INDEX(mthLkUp.tbl[Num],MATCH(AG$3,mthLkUp.tbl[Month],0)),1,0)</f>
        <v>0</v>
      </c>
      <c r="AH132" s="6">
        <f ca="1">IF(MONTH(sim.tbl[[#This Row],[SDate]])=INDEX(mthLkUp.tbl[Num],MATCH(AH$3,mthLkUp.tbl[Month],0)),1,0)</f>
        <v>0</v>
      </c>
      <c r="AI132" s="6">
        <f ca="1">IF(MONTH(sim.tbl[[#This Row],[SDate]])=INDEX(mthLkUp.tbl[Num],MATCH(AI$3,mthLkUp.tbl[Month],0)),1,0)</f>
        <v>0</v>
      </c>
      <c r="AJ132" s="6">
        <f ca="1">IF(MONTH(sim.tbl[[#This Row],[SDate]])=INDEX(mthLkUp.tbl[Num],MATCH(AJ$3,mthLkUp.tbl[Month],0)),1,0)</f>
        <v>0</v>
      </c>
      <c r="AK132" s="6">
        <v>1</v>
      </c>
      <c r="AL132" s="5">
        <f>sim.tbl[[#This Row],[Sulf]]*sim.tbl[[#This Row],[C5]]</f>
        <v>0</v>
      </c>
      <c r="AM132" s="5">
        <f>sim.tbl[[#This Row],[Sulf]]*sim.tbl[[#This Row],[Light_LSB]]</f>
        <v>0</v>
      </c>
      <c r="AN132" s="5">
        <f>sim.tbl[[#This Row],[Sulf]]*sim.tbl[[#This Row],[Light_SW]]</f>
        <v>0.17</v>
      </c>
      <c r="AO132" s="5">
        <f>sim.tbl[[#This Row],[Sulf]]*sim.tbl[[#This Row],[Medium_LSB]]</f>
        <v>0</v>
      </c>
      <c r="AP132" s="5">
        <f>sim.tbl[[#This Row],[Sulf]]*sim.tbl[[#This Row],[Medium_SW]]</f>
        <v>0</v>
      </c>
      <c r="AQ132" s="5">
        <f>sim.tbl[[#This Row],[Sulf]]*sim.tbl[[#This Row],[Midale]]</f>
        <v>0</v>
      </c>
      <c r="AR132" s="5">
        <f>sim.tbl[[#This Row],[Sulf]]*sim.tbl[[#This Row],[Heavy_Sour]]</f>
        <v>0</v>
      </c>
      <c r="AS132" s="5">
        <f>sim.tbl[[#This Row],[Sulf]]*sim.tbl[[#This Row],[Heavy_SW]]</f>
        <v>0</v>
      </c>
      <c r="AT132" s="5">
        <f>sim.tbl[[#This Row],[Dens]]*sim.tbl[[#This Row],[C5]]</f>
        <v>0</v>
      </c>
      <c r="AU132" s="5">
        <f>sim.tbl[[#This Row],[Dens]]*sim.tbl[[#This Row],[Light_LSB]]</f>
        <v>0</v>
      </c>
      <c r="AV132" s="5">
        <f>sim.tbl[[#This Row],[Dens]]*sim.tbl[[#This Row],[Light_SW]]</f>
        <v>811.2</v>
      </c>
      <c r="AW132" s="5">
        <f>sim.tbl[[#This Row],[Dens]]*sim.tbl[[#This Row],[Medium_LSB]]</f>
        <v>0</v>
      </c>
      <c r="AX132" s="5">
        <f>sim.tbl[[#This Row],[Dens]]*sim.tbl[[#This Row],[Medium_SW]]</f>
        <v>0</v>
      </c>
      <c r="AY132" s="5">
        <f>sim.tbl[[#This Row],[Dens]]*sim.tbl[[#This Row],[Midale]]</f>
        <v>0</v>
      </c>
      <c r="AZ132" s="5">
        <f>sim.tbl[[#This Row],[Dens]]*sim.tbl[[#This Row],[Heavy_Sour]]</f>
        <v>0</v>
      </c>
      <c r="BA132" s="5">
        <f>sim.tbl[[#This Row],[Dens]]*sim.tbl[[#This Row],[Heavy_SW]]</f>
        <v>0</v>
      </c>
      <c r="BB132" s="5">
        <f>sim.tbl[[#This Row],[Temp.Roll]]*sim.tbl[[#This Row],[C5]]</f>
        <v>0</v>
      </c>
      <c r="BC132" s="5">
        <f>sim.tbl[[#This Row],[Temp.Roll]]*sim.tbl[[#This Row],[Light_LSB]]</f>
        <v>0</v>
      </c>
      <c r="BD132" s="5">
        <f>sim.tbl[[#This Row],[Temp.Roll]]*sim.tbl[[#This Row],[Light_SW]]</f>
        <v>3.6</v>
      </c>
      <c r="BE132" s="5">
        <f>sim.tbl[[#This Row],[Temp.Roll]]*sim.tbl[[#This Row],[Medium_LSB]]</f>
        <v>0</v>
      </c>
      <c r="BF132" s="5">
        <f>sim.tbl[[#This Row],[Temp.Roll]]*sim.tbl[[#This Row],[Medium_SW]]</f>
        <v>0</v>
      </c>
      <c r="BG132" s="5">
        <f>sim.tbl[[#This Row],[Temp.Roll]]*sim.tbl[[#This Row],[Midale]]</f>
        <v>0</v>
      </c>
      <c r="BH132" s="5">
        <f>sim.tbl[[#This Row],[Temp.Roll]]*sim.tbl[[#This Row],[Heavy_Sour]]</f>
        <v>0</v>
      </c>
      <c r="BI132" s="5">
        <f>sim.tbl[[#This Row],[Temp.Roll]]*sim.tbl[[#This Row],[Heavy_SW]]</f>
        <v>0</v>
      </c>
    </row>
    <row r="133" spans="4:61" x14ac:dyDescent="0.25">
      <c r="D133" s="5">
        <f ca="1">SUMPRODUCT($F$1:$BI$1,sim.tbl[[#This Row],[Intercept]:[Temp.Roll:Heavy_SW]])</f>
        <v>80.047901412742988</v>
      </c>
      <c r="E133" s="14">
        <f ca="1">DATE(YEAR(TODAY()),INDEX(mthLkUp.tbl[Num],MATCH(mth.input,mthLkUp.tbl[Month],0)),1)</f>
        <v>42795</v>
      </c>
      <c r="F133" s="6">
        <f>1</f>
        <v>1</v>
      </c>
      <c r="G133" s="5">
        <v>1.2</v>
      </c>
      <c r="H133" s="5">
        <v>841</v>
      </c>
      <c r="I133" s="5">
        <v>-5.35</v>
      </c>
      <c r="J133" s="5">
        <v>-4.0999999999999996</v>
      </c>
      <c r="K133" s="5">
        <v>-5.3</v>
      </c>
      <c r="L133" s="5">
        <v>-4.0999999999999996</v>
      </c>
      <c r="M133" s="5">
        <v>-6.3</v>
      </c>
      <c r="N133" s="5">
        <v>-2.9</v>
      </c>
      <c r="O133" s="5">
        <v>-6</v>
      </c>
      <c r="P133" s="5">
        <v>-7.5</v>
      </c>
      <c r="Q133" s="6">
        <f>IF(sim.tbl[[#This Row],[Dens]]&lt;=770,1,0)</f>
        <v>0</v>
      </c>
      <c r="R133" s="6">
        <f>IF(AND(sim.tbl[[#This Row],[Sulf]]&gt;0.5,sim.tbl[[#This Row],[Dens]]&gt;770,sim.tbl[[#This Row],[Dens]]&lt;=825),1,0)</f>
        <v>0</v>
      </c>
      <c r="S133" s="6">
        <f>IF(AND(sim.tbl[[#This Row],[Sulf]]&lt;=0.5,sim.tbl[[#This Row],[Dens]]&gt;770,sim.tbl[[#This Row],[Dens]]&lt;=825),1,0)</f>
        <v>0</v>
      </c>
      <c r="T133" s="6">
        <f>IF(AND(sim.tbl[[#This Row],[Sulf]]&gt;0.5,sim.tbl[[#This Row],[Dens]]&gt;825,sim.tbl[[#This Row],[Dens]]&lt;=870),1,0)</f>
        <v>1</v>
      </c>
      <c r="U133" s="6">
        <f>IF(AND(sim.tbl[[#This Row],[Sulf]]&lt;0.5,sim.tbl[[#This Row],[Dens]]&gt;825,sim.tbl[[#This Row],[Dens]]&lt;=900),1,0)</f>
        <v>0</v>
      </c>
      <c r="V133" s="6">
        <f>IF(AND(sim.tbl[[#This Row],[Sulf]]&gt;0.5,sim.tbl[[#This Row],[Dens]]&gt;870,sim.tbl[[#This Row],[Dens]]&lt;=900),1,0)</f>
        <v>0</v>
      </c>
      <c r="W133" s="6">
        <f>IF(AND(sim.tbl[[#This Row],[Sulf]]&gt;0.5,sim.tbl[[#This Row],[Dens]]&gt;900),1,0)</f>
        <v>0</v>
      </c>
      <c r="X133" s="6">
        <f>IF(AND(sim.tbl[[#This Row],[Sulf]]&lt;=0.5,sim.tbl[[#This Row],[Dens]]&gt;900),1,0)</f>
        <v>0</v>
      </c>
      <c r="Y133" s="6">
        <f ca="1">IF(MONTH(sim.tbl[[#This Row],[SDate]])=INDEX(mthLkUp.tbl[Num],MATCH(Y$3,mthLkUp.tbl[Month],0)),1,0)</f>
        <v>0</v>
      </c>
      <c r="Z133" s="6">
        <f ca="1">IF(MONTH(sim.tbl[[#This Row],[SDate]])=INDEX(mthLkUp.tbl[Num],MATCH(Z$3,mthLkUp.tbl[Month],0)),1,0)</f>
        <v>0</v>
      </c>
      <c r="AA133" s="6">
        <f ca="1">IF(MONTH(sim.tbl[[#This Row],[SDate]])=INDEX(mthLkUp.tbl[Num],MATCH(AA$3,mthLkUp.tbl[Month],0)),1,0)</f>
        <v>1</v>
      </c>
      <c r="AB133" s="6">
        <f ca="1">IF(MONTH(sim.tbl[[#This Row],[SDate]])=INDEX(mthLkUp.tbl[Num],MATCH(AB$3,mthLkUp.tbl[Month],0)),1,0)</f>
        <v>0</v>
      </c>
      <c r="AC133" s="6">
        <f ca="1">IF(MONTH(sim.tbl[[#This Row],[SDate]])=INDEX(mthLkUp.tbl[Num],MATCH(AC$3,mthLkUp.tbl[Month],0)),1,0)</f>
        <v>0</v>
      </c>
      <c r="AD133" s="6">
        <f ca="1">IF(MONTH(sim.tbl[[#This Row],[SDate]])=INDEX(mthLkUp.tbl[Num],MATCH(AD$3,mthLkUp.tbl[Month],0)),1,0)</f>
        <v>0</v>
      </c>
      <c r="AE133" s="6">
        <f ca="1">IF(MONTH(sim.tbl[[#This Row],[SDate]])=INDEX(mthLkUp.tbl[Num],MATCH(AE$3,mthLkUp.tbl[Month],0)),1,0)</f>
        <v>0</v>
      </c>
      <c r="AF133" s="6">
        <f ca="1">IF(MONTH(sim.tbl[[#This Row],[SDate]])=INDEX(mthLkUp.tbl[Num],MATCH(AF$3,mthLkUp.tbl[Month],0)),1,0)</f>
        <v>0</v>
      </c>
      <c r="AG133" s="6">
        <f ca="1">IF(MONTH(sim.tbl[[#This Row],[SDate]])=INDEX(mthLkUp.tbl[Num],MATCH(AG$3,mthLkUp.tbl[Month],0)),1,0)</f>
        <v>0</v>
      </c>
      <c r="AH133" s="6">
        <f ca="1">IF(MONTH(sim.tbl[[#This Row],[SDate]])=INDEX(mthLkUp.tbl[Num],MATCH(AH$3,mthLkUp.tbl[Month],0)),1,0)</f>
        <v>0</v>
      </c>
      <c r="AI133" s="6">
        <f ca="1">IF(MONTH(sim.tbl[[#This Row],[SDate]])=INDEX(mthLkUp.tbl[Num],MATCH(AI$3,mthLkUp.tbl[Month],0)),1,0)</f>
        <v>0</v>
      </c>
      <c r="AJ133" s="6">
        <f ca="1">IF(MONTH(sim.tbl[[#This Row],[SDate]])=INDEX(mthLkUp.tbl[Num],MATCH(AJ$3,mthLkUp.tbl[Month],0)),1,0)</f>
        <v>0</v>
      </c>
      <c r="AK133" s="6">
        <v>1</v>
      </c>
      <c r="AL133" s="5">
        <f>sim.tbl[[#This Row],[Sulf]]*sim.tbl[[#This Row],[C5]]</f>
        <v>0</v>
      </c>
      <c r="AM133" s="5">
        <f>sim.tbl[[#This Row],[Sulf]]*sim.tbl[[#This Row],[Light_LSB]]</f>
        <v>0</v>
      </c>
      <c r="AN133" s="5">
        <f>sim.tbl[[#This Row],[Sulf]]*sim.tbl[[#This Row],[Light_SW]]</f>
        <v>0</v>
      </c>
      <c r="AO133" s="5">
        <f>sim.tbl[[#This Row],[Sulf]]*sim.tbl[[#This Row],[Medium_LSB]]</f>
        <v>1.2</v>
      </c>
      <c r="AP133" s="5">
        <f>sim.tbl[[#This Row],[Sulf]]*sim.tbl[[#This Row],[Medium_SW]]</f>
        <v>0</v>
      </c>
      <c r="AQ133" s="5">
        <f>sim.tbl[[#This Row],[Sulf]]*sim.tbl[[#This Row],[Midale]]</f>
        <v>0</v>
      </c>
      <c r="AR133" s="5">
        <f>sim.tbl[[#This Row],[Sulf]]*sim.tbl[[#This Row],[Heavy_Sour]]</f>
        <v>0</v>
      </c>
      <c r="AS133" s="5">
        <f>sim.tbl[[#This Row],[Sulf]]*sim.tbl[[#This Row],[Heavy_SW]]</f>
        <v>0</v>
      </c>
      <c r="AT133" s="5">
        <f>sim.tbl[[#This Row],[Dens]]*sim.tbl[[#This Row],[C5]]</f>
        <v>0</v>
      </c>
      <c r="AU133" s="5">
        <f>sim.tbl[[#This Row],[Dens]]*sim.tbl[[#This Row],[Light_LSB]]</f>
        <v>0</v>
      </c>
      <c r="AV133" s="5">
        <f>sim.tbl[[#This Row],[Dens]]*sim.tbl[[#This Row],[Light_SW]]</f>
        <v>0</v>
      </c>
      <c r="AW133" s="5">
        <f>sim.tbl[[#This Row],[Dens]]*sim.tbl[[#This Row],[Medium_LSB]]</f>
        <v>841</v>
      </c>
      <c r="AX133" s="5">
        <f>sim.tbl[[#This Row],[Dens]]*sim.tbl[[#This Row],[Medium_SW]]</f>
        <v>0</v>
      </c>
      <c r="AY133" s="5">
        <f>sim.tbl[[#This Row],[Dens]]*sim.tbl[[#This Row],[Midale]]</f>
        <v>0</v>
      </c>
      <c r="AZ133" s="5">
        <f>sim.tbl[[#This Row],[Dens]]*sim.tbl[[#This Row],[Heavy_Sour]]</f>
        <v>0</v>
      </c>
      <c r="BA133" s="5">
        <f>sim.tbl[[#This Row],[Dens]]*sim.tbl[[#This Row],[Heavy_SW]]</f>
        <v>0</v>
      </c>
      <c r="BB133" s="5">
        <f>sim.tbl[[#This Row],[Temp.Roll]]*sim.tbl[[#This Row],[C5]]</f>
        <v>0</v>
      </c>
      <c r="BC133" s="5">
        <f>sim.tbl[[#This Row],[Temp.Roll]]*sim.tbl[[#This Row],[Light_LSB]]</f>
        <v>0</v>
      </c>
      <c r="BD133" s="5">
        <f>sim.tbl[[#This Row],[Temp.Roll]]*sim.tbl[[#This Row],[Light_SW]]</f>
        <v>0</v>
      </c>
      <c r="BE133" s="5">
        <f>sim.tbl[[#This Row],[Temp.Roll]]*sim.tbl[[#This Row],[Medium_LSB]]</f>
        <v>-4.0999999999999996</v>
      </c>
      <c r="BF133" s="5">
        <f>sim.tbl[[#This Row],[Temp.Roll]]*sim.tbl[[#This Row],[Medium_SW]]</f>
        <v>0</v>
      </c>
      <c r="BG133" s="5">
        <f>sim.tbl[[#This Row],[Temp.Roll]]*sim.tbl[[#This Row],[Midale]]</f>
        <v>0</v>
      </c>
      <c r="BH133" s="5">
        <f>sim.tbl[[#This Row],[Temp.Roll]]*sim.tbl[[#This Row],[Heavy_Sour]]</f>
        <v>0</v>
      </c>
      <c r="BI133" s="5">
        <f>sim.tbl[[#This Row],[Temp.Roll]]*sim.tbl[[#This Row],[Heavy_SW]]</f>
        <v>0</v>
      </c>
    </row>
    <row r="134" spans="4:61" x14ac:dyDescent="0.25">
      <c r="D134" s="5">
        <f ca="1">SUMPRODUCT($F$1:$BI$1,sim.tbl[[#This Row],[Intercept]:[Temp.Roll:Heavy_SW]])</f>
        <v>81.840489575279605</v>
      </c>
      <c r="E134" s="14">
        <f ca="1">DATE(YEAR(TODAY()),INDEX(mthLkUp.tbl[Num],MATCH(mth.input,mthLkUp.tbl[Month],0)),1)</f>
        <v>42795</v>
      </c>
      <c r="F134" s="6">
        <f>1</f>
        <v>1</v>
      </c>
      <c r="G134" s="5">
        <v>1.74</v>
      </c>
      <c r="H134" s="5">
        <v>849.9</v>
      </c>
      <c r="I134" s="5">
        <v>-16.883333329999999</v>
      </c>
      <c r="J134" s="5">
        <v>-16.5</v>
      </c>
      <c r="K134" s="5">
        <v>-16.8</v>
      </c>
      <c r="L134" s="5">
        <v>-16.5</v>
      </c>
      <c r="M134" s="5">
        <v>-17.3</v>
      </c>
      <c r="N134" s="5">
        <v>-16.8</v>
      </c>
      <c r="O134" s="5">
        <v>-16.899999999999999</v>
      </c>
      <c r="P134" s="5">
        <v>-17</v>
      </c>
      <c r="Q134" s="6">
        <f>IF(sim.tbl[[#This Row],[Dens]]&lt;=770,1,0)</f>
        <v>0</v>
      </c>
      <c r="R134" s="6">
        <f>IF(AND(sim.tbl[[#This Row],[Sulf]]&gt;0.5,sim.tbl[[#This Row],[Dens]]&gt;770,sim.tbl[[#This Row],[Dens]]&lt;=825),1,0)</f>
        <v>0</v>
      </c>
      <c r="S134" s="6">
        <f>IF(AND(sim.tbl[[#This Row],[Sulf]]&lt;=0.5,sim.tbl[[#This Row],[Dens]]&gt;770,sim.tbl[[#This Row],[Dens]]&lt;=825),1,0)</f>
        <v>0</v>
      </c>
      <c r="T134" s="6">
        <f>IF(AND(sim.tbl[[#This Row],[Sulf]]&gt;0.5,sim.tbl[[#This Row],[Dens]]&gt;825,sim.tbl[[#This Row],[Dens]]&lt;=870),1,0)</f>
        <v>1</v>
      </c>
      <c r="U134" s="6">
        <f>IF(AND(sim.tbl[[#This Row],[Sulf]]&lt;0.5,sim.tbl[[#This Row],[Dens]]&gt;825,sim.tbl[[#This Row],[Dens]]&lt;=900),1,0)</f>
        <v>0</v>
      </c>
      <c r="V134" s="6">
        <f>IF(AND(sim.tbl[[#This Row],[Sulf]]&gt;0.5,sim.tbl[[#This Row],[Dens]]&gt;870,sim.tbl[[#This Row],[Dens]]&lt;=900),1,0)</f>
        <v>0</v>
      </c>
      <c r="W134" s="6">
        <f>IF(AND(sim.tbl[[#This Row],[Sulf]]&gt;0.5,sim.tbl[[#This Row],[Dens]]&gt;900),1,0)</f>
        <v>0</v>
      </c>
      <c r="X134" s="6">
        <f>IF(AND(sim.tbl[[#This Row],[Sulf]]&lt;=0.5,sim.tbl[[#This Row],[Dens]]&gt;900),1,0)</f>
        <v>0</v>
      </c>
      <c r="Y134" s="6">
        <f ca="1">IF(MONTH(sim.tbl[[#This Row],[SDate]])=INDEX(mthLkUp.tbl[Num],MATCH(Y$3,mthLkUp.tbl[Month],0)),1,0)</f>
        <v>0</v>
      </c>
      <c r="Z134" s="6">
        <f ca="1">IF(MONTH(sim.tbl[[#This Row],[SDate]])=INDEX(mthLkUp.tbl[Num],MATCH(Z$3,mthLkUp.tbl[Month],0)),1,0)</f>
        <v>0</v>
      </c>
      <c r="AA134" s="6">
        <f ca="1">IF(MONTH(sim.tbl[[#This Row],[SDate]])=INDEX(mthLkUp.tbl[Num],MATCH(AA$3,mthLkUp.tbl[Month],0)),1,0)</f>
        <v>1</v>
      </c>
      <c r="AB134" s="6">
        <f ca="1">IF(MONTH(sim.tbl[[#This Row],[SDate]])=INDEX(mthLkUp.tbl[Num],MATCH(AB$3,mthLkUp.tbl[Month],0)),1,0)</f>
        <v>0</v>
      </c>
      <c r="AC134" s="6">
        <f ca="1">IF(MONTH(sim.tbl[[#This Row],[SDate]])=INDEX(mthLkUp.tbl[Num],MATCH(AC$3,mthLkUp.tbl[Month],0)),1,0)</f>
        <v>0</v>
      </c>
      <c r="AD134" s="6">
        <f ca="1">IF(MONTH(sim.tbl[[#This Row],[SDate]])=INDEX(mthLkUp.tbl[Num],MATCH(AD$3,mthLkUp.tbl[Month],0)),1,0)</f>
        <v>0</v>
      </c>
      <c r="AE134" s="6">
        <f ca="1">IF(MONTH(sim.tbl[[#This Row],[SDate]])=INDEX(mthLkUp.tbl[Num],MATCH(AE$3,mthLkUp.tbl[Month],0)),1,0)</f>
        <v>0</v>
      </c>
      <c r="AF134" s="6">
        <f ca="1">IF(MONTH(sim.tbl[[#This Row],[SDate]])=INDEX(mthLkUp.tbl[Num],MATCH(AF$3,mthLkUp.tbl[Month],0)),1,0)</f>
        <v>0</v>
      </c>
      <c r="AG134" s="6">
        <f ca="1">IF(MONTH(sim.tbl[[#This Row],[SDate]])=INDEX(mthLkUp.tbl[Num],MATCH(AG$3,mthLkUp.tbl[Month],0)),1,0)</f>
        <v>0</v>
      </c>
      <c r="AH134" s="6">
        <f ca="1">IF(MONTH(sim.tbl[[#This Row],[SDate]])=INDEX(mthLkUp.tbl[Num],MATCH(AH$3,mthLkUp.tbl[Month],0)),1,0)</f>
        <v>0</v>
      </c>
      <c r="AI134" s="6">
        <f ca="1">IF(MONTH(sim.tbl[[#This Row],[SDate]])=INDEX(mthLkUp.tbl[Num],MATCH(AI$3,mthLkUp.tbl[Month],0)),1,0)</f>
        <v>0</v>
      </c>
      <c r="AJ134" s="6">
        <f ca="1">IF(MONTH(sim.tbl[[#This Row],[SDate]])=INDEX(mthLkUp.tbl[Num],MATCH(AJ$3,mthLkUp.tbl[Month],0)),1,0)</f>
        <v>0</v>
      </c>
      <c r="AK134" s="6">
        <v>1</v>
      </c>
      <c r="AL134" s="5">
        <f>sim.tbl[[#This Row],[Sulf]]*sim.tbl[[#This Row],[C5]]</f>
        <v>0</v>
      </c>
      <c r="AM134" s="5">
        <f>sim.tbl[[#This Row],[Sulf]]*sim.tbl[[#This Row],[Light_LSB]]</f>
        <v>0</v>
      </c>
      <c r="AN134" s="5">
        <f>sim.tbl[[#This Row],[Sulf]]*sim.tbl[[#This Row],[Light_SW]]</f>
        <v>0</v>
      </c>
      <c r="AO134" s="5">
        <f>sim.tbl[[#This Row],[Sulf]]*sim.tbl[[#This Row],[Medium_LSB]]</f>
        <v>1.74</v>
      </c>
      <c r="AP134" s="5">
        <f>sim.tbl[[#This Row],[Sulf]]*sim.tbl[[#This Row],[Medium_SW]]</f>
        <v>0</v>
      </c>
      <c r="AQ134" s="5">
        <f>sim.tbl[[#This Row],[Sulf]]*sim.tbl[[#This Row],[Midale]]</f>
        <v>0</v>
      </c>
      <c r="AR134" s="5">
        <f>sim.tbl[[#This Row],[Sulf]]*sim.tbl[[#This Row],[Heavy_Sour]]</f>
        <v>0</v>
      </c>
      <c r="AS134" s="5">
        <f>sim.tbl[[#This Row],[Sulf]]*sim.tbl[[#This Row],[Heavy_SW]]</f>
        <v>0</v>
      </c>
      <c r="AT134" s="5">
        <f>sim.tbl[[#This Row],[Dens]]*sim.tbl[[#This Row],[C5]]</f>
        <v>0</v>
      </c>
      <c r="AU134" s="5">
        <f>sim.tbl[[#This Row],[Dens]]*sim.tbl[[#This Row],[Light_LSB]]</f>
        <v>0</v>
      </c>
      <c r="AV134" s="5">
        <f>sim.tbl[[#This Row],[Dens]]*sim.tbl[[#This Row],[Light_SW]]</f>
        <v>0</v>
      </c>
      <c r="AW134" s="5">
        <f>sim.tbl[[#This Row],[Dens]]*sim.tbl[[#This Row],[Medium_LSB]]</f>
        <v>849.9</v>
      </c>
      <c r="AX134" s="5">
        <f>sim.tbl[[#This Row],[Dens]]*sim.tbl[[#This Row],[Medium_SW]]</f>
        <v>0</v>
      </c>
      <c r="AY134" s="5">
        <f>sim.tbl[[#This Row],[Dens]]*sim.tbl[[#This Row],[Midale]]</f>
        <v>0</v>
      </c>
      <c r="AZ134" s="5">
        <f>sim.tbl[[#This Row],[Dens]]*sim.tbl[[#This Row],[Heavy_Sour]]</f>
        <v>0</v>
      </c>
      <c r="BA134" s="5">
        <f>sim.tbl[[#This Row],[Dens]]*sim.tbl[[#This Row],[Heavy_SW]]</f>
        <v>0</v>
      </c>
      <c r="BB134" s="5">
        <f>sim.tbl[[#This Row],[Temp.Roll]]*sim.tbl[[#This Row],[C5]]</f>
        <v>0</v>
      </c>
      <c r="BC134" s="5">
        <f>sim.tbl[[#This Row],[Temp.Roll]]*sim.tbl[[#This Row],[Light_LSB]]</f>
        <v>0</v>
      </c>
      <c r="BD134" s="5">
        <f>sim.tbl[[#This Row],[Temp.Roll]]*sim.tbl[[#This Row],[Light_SW]]</f>
        <v>0</v>
      </c>
      <c r="BE134" s="5">
        <f>sim.tbl[[#This Row],[Temp.Roll]]*sim.tbl[[#This Row],[Medium_LSB]]</f>
        <v>-16.5</v>
      </c>
      <c r="BF134" s="5">
        <f>sim.tbl[[#This Row],[Temp.Roll]]*sim.tbl[[#This Row],[Medium_SW]]</f>
        <v>0</v>
      </c>
      <c r="BG134" s="5">
        <f>sim.tbl[[#This Row],[Temp.Roll]]*sim.tbl[[#This Row],[Midale]]</f>
        <v>0</v>
      </c>
      <c r="BH134" s="5">
        <f>sim.tbl[[#This Row],[Temp.Roll]]*sim.tbl[[#This Row],[Heavy_Sour]]</f>
        <v>0</v>
      </c>
      <c r="BI134" s="5">
        <f>sim.tbl[[#This Row],[Temp.Roll]]*sim.tbl[[#This Row],[Heavy_SW]]</f>
        <v>0</v>
      </c>
    </row>
    <row r="135" spans="4:61" x14ac:dyDescent="0.25">
      <c r="D135" s="5">
        <f ca="1">SUMPRODUCT($F$1:$BI$1,sim.tbl[[#This Row],[Intercept]:[Temp.Roll:Heavy_SW]])</f>
        <v>75.833706730448739</v>
      </c>
      <c r="E135" s="14">
        <f ca="1">DATE(YEAR(TODAY()),INDEX(mthLkUp.tbl[Num],MATCH(mth.input,mthLkUp.tbl[Month],0)),1)</f>
        <v>42795</v>
      </c>
      <c r="F135" s="6">
        <f>1</f>
        <v>1</v>
      </c>
      <c r="G135" s="5">
        <v>1.1220000000000001</v>
      </c>
      <c r="H135" s="5">
        <v>844.5</v>
      </c>
      <c r="I135" s="5">
        <v>4.7833333329999999</v>
      </c>
      <c r="J135" s="5">
        <v>4.7</v>
      </c>
      <c r="K135" s="5">
        <v>4.5</v>
      </c>
      <c r="L135" s="5">
        <v>4.7</v>
      </c>
      <c r="M135" s="5">
        <v>4.8</v>
      </c>
      <c r="N135" s="5">
        <v>5.8</v>
      </c>
      <c r="O135" s="5">
        <v>4.9000000000000004</v>
      </c>
      <c r="P135" s="5">
        <v>4</v>
      </c>
      <c r="Q135" s="6">
        <f>IF(sim.tbl[[#This Row],[Dens]]&lt;=770,1,0)</f>
        <v>0</v>
      </c>
      <c r="R135" s="6">
        <f>IF(AND(sim.tbl[[#This Row],[Sulf]]&gt;0.5,sim.tbl[[#This Row],[Dens]]&gt;770,sim.tbl[[#This Row],[Dens]]&lt;=825),1,0)</f>
        <v>0</v>
      </c>
      <c r="S135" s="6">
        <f>IF(AND(sim.tbl[[#This Row],[Sulf]]&lt;=0.5,sim.tbl[[#This Row],[Dens]]&gt;770,sim.tbl[[#This Row],[Dens]]&lt;=825),1,0)</f>
        <v>0</v>
      </c>
      <c r="T135" s="6">
        <f>IF(AND(sim.tbl[[#This Row],[Sulf]]&gt;0.5,sim.tbl[[#This Row],[Dens]]&gt;825,sim.tbl[[#This Row],[Dens]]&lt;=870),1,0)</f>
        <v>1</v>
      </c>
      <c r="U135" s="6">
        <f>IF(AND(sim.tbl[[#This Row],[Sulf]]&lt;0.5,sim.tbl[[#This Row],[Dens]]&gt;825,sim.tbl[[#This Row],[Dens]]&lt;=900),1,0)</f>
        <v>0</v>
      </c>
      <c r="V135" s="6">
        <f>IF(AND(sim.tbl[[#This Row],[Sulf]]&gt;0.5,sim.tbl[[#This Row],[Dens]]&gt;870,sim.tbl[[#This Row],[Dens]]&lt;=900),1,0)</f>
        <v>0</v>
      </c>
      <c r="W135" s="6">
        <f>IF(AND(sim.tbl[[#This Row],[Sulf]]&gt;0.5,sim.tbl[[#This Row],[Dens]]&gt;900),1,0)</f>
        <v>0</v>
      </c>
      <c r="X135" s="6">
        <f>IF(AND(sim.tbl[[#This Row],[Sulf]]&lt;=0.5,sim.tbl[[#This Row],[Dens]]&gt;900),1,0)</f>
        <v>0</v>
      </c>
      <c r="Y135" s="6">
        <f ca="1">IF(MONTH(sim.tbl[[#This Row],[SDate]])=INDEX(mthLkUp.tbl[Num],MATCH(Y$3,mthLkUp.tbl[Month],0)),1,0)</f>
        <v>0</v>
      </c>
      <c r="Z135" s="6">
        <f ca="1">IF(MONTH(sim.tbl[[#This Row],[SDate]])=INDEX(mthLkUp.tbl[Num],MATCH(Z$3,mthLkUp.tbl[Month],0)),1,0)</f>
        <v>0</v>
      </c>
      <c r="AA135" s="6">
        <f ca="1">IF(MONTH(sim.tbl[[#This Row],[SDate]])=INDEX(mthLkUp.tbl[Num],MATCH(AA$3,mthLkUp.tbl[Month],0)),1,0)</f>
        <v>1</v>
      </c>
      <c r="AB135" s="6">
        <f ca="1">IF(MONTH(sim.tbl[[#This Row],[SDate]])=INDEX(mthLkUp.tbl[Num],MATCH(AB$3,mthLkUp.tbl[Month],0)),1,0)</f>
        <v>0</v>
      </c>
      <c r="AC135" s="6">
        <f ca="1">IF(MONTH(sim.tbl[[#This Row],[SDate]])=INDEX(mthLkUp.tbl[Num],MATCH(AC$3,mthLkUp.tbl[Month],0)),1,0)</f>
        <v>0</v>
      </c>
      <c r="AD135" s="6">
        <f ca="1">IF(MONTH(sim.tbl[[#This Row],[SDate]])=INDEX(mthLkUp.tbl[Num],MATCH(AD$3,mthLkUp.tbl[Month],0)),1,0)</f>
        <v>0</v>
      </c>
      <c r="AE135" s="6">
        <f ca="1">IF(MONTH(sim.tbl[[#This Row],[SDate]])=INDEX(mthLkUp.tbl[Num],MATCH(AE$3,mthLkUp.tbl[Month],0)),1,0)</f>
        <v>0</v>
      </c>
      <c r="AF135" s="6">
        <f ca="1">IF(MONTH(sim.tbl[[#This Row],[SDate]])=INDEX(mthLkUp.tbl[Num],MATCH(AF$3,mthLkUp.tbl[Month],0)),1,0)</f>
        <v>0</v>
      </c>
      <c r="AG135" s="6">
        <f ca="1">IF(MONTH(sim.tbl[[#This Row],[SDate]])=INDEX(mthLkUp.tbl[Num],MATCH(AG$3,mthLkUp.tbl[Month],0)),1,0)</f>
        <v>0</v>
      </c>
      <c r="AH135" s="6">
        <f ca="1">IF(MONTH(sim.tbl[[#This Row],[SDate]])=INDEX(mthLkUp.tbl[Num],MATCH(AH$3,mthLkUp.tbl[Month],0)),1,0)</f>
        <v>0</v>
      </c>
      <c r="AI135" s="6">
        <f ca="1">IF(MONTH(sim.tbl[[#This Row],[SDate]])=INDEX(mthLkUp.tbl[Num],MATCH(AI$3,mthLkUp.tbl[Month],0)),1,0)</f>
        <v>0</v>
      </c>
      <c r="AJ135" s="6">
        <f ca="1">IF(MONTH(sim.tbl[[#This Row],[SDate]])=INDEX(mthLkUp.tbl[Num],MATCH(AJ$3,mthLkUp.tbl[Month],0)),1,0)</f>
        <v>0</v>
      </c>
      <c r="AK135" s="6">
        <v>1</v>
      </c>
      <c r="AL135" s="5">
        <f>sim.tbl[[#This Row],[Sulf]]*sim.tbl[[#This Row],[C5]]</f>
        <v>0</v>
      </c>
      <c r="AM135" s="5">
        <f>sim.tbl[[#This Row],[Sulf]]*sim.tbl[[#This Row],[Light_LSB]]</f>
        <v>0</v>
      </c>
      <c r="AN135" s="5">
        <f>sim.tbl[[#This Row],[Sulf]]*sim.tbl[[#This Row],[Light_SW]]</f>
        <v>0</v>
      </c>
      <c r="AO135" s="5">
        <f>sim.tbl[[#This Row],[Sulf]]*sim.tbl[[#This Row],[Medium_LSB]]</f>
        <v>1.1220000000000001</v>
      </c>
      <c r="AP135" s="5">
        <f>sim.tbl[[#This Row],[Sulf]]*sim.tbl[[#This Row],[Medium_SW]]</f>
        <v>0</v>
      </c>
      <c r="AQ135" s="5">
        <f>sim.tbl[[#This Row],[Sulf]]*sim.tbl[[#This Row],[Midale]]</f>
        <v>0</v>
      </c>
      <c r="AR135" s="5">
        <f>sim.tbl[[#This Row],[Sulf]]*sim.tbl[[#This Row],[Heavy_Sour]]</f>
        <v>0</v>
      </c>
      <c r="AS135" s="5">
        <f>sim.tbl[[#This Row],[Sulf]]*sim.tbl[[#This Row],[Heavy_SW]]</f>
        <v>0</v>
      </c>
      <c r="AT135" s="5">
        <f>sim.tbl[[#This Row],[Dens]]*sim.tbl[[#This Row],[C5]]</f>
        <v>0</v>
      </c>
      <c r="AU135" s="5">
        <f>sim.tbl[[#This Row],[Dens]]*sim.tbl[[#This Row],[Light_LSB]]</f>
        <v>0</v>
      </c>
      <c r="AV135" s="5">
        <f>sim.tbl[[#This Row],[Dens]]*sim.tbl[[#This Row],[Light_SW]]</f>
        <v>0</v>
      </c>
      <c r="AW135" s="5">
        <f>sim.tbl[[#This Row],[Dens]]*sim.tbl[[#This Row],[Medium_LSB]]</f>
        <v>844.5</v>
      </c>
      <c r="AX135" s="5">
        <f>sim.tbl[[#This Row],[Dens]]*sim.tbl[[#This Row],[Medium_SW]]</f>
        <v>0</v>
      </c>
      <c r="AY135" s="5">
        <f>sim.tbl[[#This Row],[Dens]]*sim.tbl[[#This Row],[Midale]]</f>
        <v>0</v>
      </c>
      <c r="AZ135" s="5">
        <f>sim.tbl[[#This Row],[Dens]]*sim.tbl[[#This Row],[Heavy_Sour]]</f>
        <v>0</v>
      </c>
      <c r="BA135" s="5">
        <f>sim.tbl[[#This Row],[Dens]]*sim.tbl[[#This Row],[Heavy_SW]]</f>
        <v>0</v>
      </c>
      <c r="BB135" s="5">
        <f>sim.tbl[[#This Row],[Temp.Roll]]*sim.tbl[[#This Row],[C5]]</f>
        <v>0</v>
      </c>
      <c r="BC135" s="5">
        <f>sim.tbl[[#This Row],[Temp.Roll]]*sim.tbl[[#This Row],[Light_LSB]]</f>
        <v>0</v>
      </c>
      <c r="BD135" s="5">
        <f>sim.tbl[[#This Row],[Temp.Roll]]*sim.tbl[[#This Row],[Light_SW]]</f>
        <v>0</v>
      </c>
      <c r="BE135" s="5">
        <f>sim.tbl[[#This Row],[Temp.Roll]]*sim.tbl[[#This Row],[Medium_LSB]]</f>
        <v>4.7</v>
      </c>
      <c r="BF135" s="5">
        <f>sim.tbl[[#This Row],[Temp.Roll]]*sim.tbl[[#This Row],[Medium_SW]]</f>
        <v>0</v>
      </c>
      <c r="BG135" s="5">
        <f>sim.tbl[[#This Row],[Temp.Roll]]*sim.tbl[[#This Row],[Midale]]</f>
        <v>0</v>
      </c>
      <c r="BH135" s="5">
        <f>sim.tbl[[#This Row],[Temp.Roll]]*sim.tbl[[#This Row],[Heavy_Sour]]</f>
        <v>0</v>
      </c>
      <c r="BI135" s="5">
        <f>sim.tbl[[#This Row],[Temp.Roll]]*sim.tbl[[#This Row],[Heavy_SW]]</f>
        <v>0</v>
      </c>
    </row>
    <row r="136" spans="4:61" x14ac:dyDescent="0.25">
      <c r="D136" s="5">
        <f ca="1">SUMPRODUCT($F$1:$BI$1,sim.tbl[[#This Row],[Intercept]:[Temp.Roll:Heavy_SW]])</f>
        <v>78.95654180201916</v>
      </c>
      <c r="E136" s="14">
        <f ca="1">DATE(YEAR(TODAY()),INDEX(mthLkUp.tbl[Num],MATCH(mth.input,mthLkUp.tbl[Month],0)),1)</f>
        <v>42795</v>
      </c>
      <c r="F136" s="6">
        <f>1</f>
        <v>1</v>
      </c>
      <c r="G136" s="5">
        <v>0.997</v>
      </c>
      <c r="H136" s="5">
        <v>830.6</v>
      </c>
      <c r="I136" s="5">
        <v>7.54</v>
      </c>
      <c r="J136" s="5">
        <v>7.6</v>
      </c>
      <c r="K136" s="5">
        <v>8.1999999999999993</v>
      </c>
      <c r="L136" s="5">
        <v>7.6</v>
      </c>
      <c r="M136" s="5">
        <v>12.3</v>
      </c>
      <c r="N136" s="5">
        <v>8</v>
      </c>
      <c r="O136" s="5">
        <v>7.7</v>
      </c>
      <c r="P136" s="5">
        <v>6.2</v>
      </c>
      <c r="Q136" s="6">
        <f>IF(sim.tbl[[#This Row],[Dens]]&lt;=770,1,0)</f>
        <v>0</v>
      </c>
      <c r="R136" s="6">
        <f>IF(AND(sim.tbl[[#This Row],[Sulf]]&gt;0.5,sim.tbl[[#This Row],[Dens]]&gt;770,sim.tbl[[#This Row],[Dens]]&lt;=825),1,0)</f>
        <v>0</v>
      </c>
      <c r="S136" s="6">
        <f>IF(AND(sim.tbl[[#This Row],[Sulf]]&lt;=0.5,sim.tbl[[#This Row],[Dens]]&gt;770,sim.tbl[[#This Row],[Dens]]&lt;=825),1,0)</f>
        <v>0</v>
      </c>
      <c r="T136" s="6">
        <f>IF(AND(sim.tbl[[#This Row],[Sulf]]&gt;0.5,sim.tbl[[#This Row],[Dens]]&gt;825,sim.tbl[[#This Row],[Dens]]&lt;=870),1,0)</f>
        <v>1</v>
      </c>
      <c r="U136" s="6">
        <f>IF(AND(sim.tbl[[#This Row],[Sulf]]&lt;0.5,sim.tbl[[#This Row],[Dens]]&gt;825,sim.tbl[[#This Row],[Dens]]&lt;=900),1,0)</f>
        <v>0</v>
      </c>
      <c r="V136" s="6">
        <f>IF(AND(sim.tbl[[#This Row],[Sulf]]&gt;0.5,sim.tbl[[#This Row],[Dens]]&gt;870,sim.tbl[[#This Row],[Dens]]&lt;=900),1,0)</f>
        <v>0</v>
      </c>
      <c r="W136" s="6">
        <f>IF(AND(sim.tbl[[#This Row],[Sulf]]&gt;0.5,sim.tbl[[#This Row],[Dens]]&gt;900),1,0)</f>
        <v>0</v>
      </c>
      <c r="X136" s="6">
        <f>IF(AND(sim.tbl[[#This Row],[Sulf]]&lt;=0.5,sim.tbl[[#This Row],[Dens]]&gt;900),1,0)</f>
        <v>0</v>
      </c>
      <c r="Y136" s="6">
        <f ca="1">IF(MONTH(sim.tbl[[#This Row],[SDate]])=INDEX(mthLkUp.tbl[Num],MATCH(Y$3,mthLkUp.tbl[Month],0)),1,0)</f>
        <v>0</v>
      </c>
      <c r="Z136" s="6">
        <f ca="1">IF(MONTH(sim.tbl[[#This Row],[SDate]])=INDEX(mthLkUp.tbl[Num],MATCH(Z$3,mthLkUp.tbl[Month],0)),1,0)</f>
        <v>0</v>
      </c>
      <c r="AA136" s="6">
        <f ca="1">IF(MONTH(sim.tbl[[#This Row],[SDate]])=INDEX(mthLkUp.tbl[Num],MATCH(AA$3,mthLkUp.tbl[Month],0)),1,0)</f>
        <v>1</v>
      </c>
      <c r="AB136" s="6">
        <f ca="1">IF(MONTH(sim.tbl[[#This Row],[SDate]])=INDEX(mthLkUp.tbl[Num],MATCH(AB$3,mthLkUp.tbl[Month],0)),1,0)</f>
        <v>0</v>
      </c>
      <c r="AC136" s="6">
        <f ca="1">IF(MONTH(sim.tbl[[#This Row],[SDate]])=INDEX(mthLkUp.tbl[Num],MATCH(AC$3,mthLkUp.tbl[Month],0)),1,0)</f>
        <v>0</v>
      </c>
      <c r="AD136" s="6">
        <f ca="1">IF(MONTH(sim.tbl[[#This Row],[SDate]])=INDEX(mthLkUp.tbl[Num],MATCH(AD$3,mthLkUp.tbl[Month],0)),1,0)</f>
        <v>0</v>
      </c>
      <c r="AE136" s="6">
        <f ca="1">IF(MONTH(sim.tbl[[#This Row],[SDate]])=INDEX(mthLkUp.tbl[Num],MATCH(AE$3,mthLkUp.tbl[Month],0)),1,0)</f>
        <v>0</v>
      </c>
      <c r="AF136" s="6">
        <f ca="1">IF(MONTH(sim.tbl[[#This Row],[SDate]])=INDEX(mthLkUp.tbl[Num],MATCH(AF$3,mthLkUp.tbl[Month],0)),1,0)</f>
        <v>0</v>
      </c>
      <c r="AG136" s="6">
        <f ca="1">IF(MONTH(sim.tbl[[#This Row],[SDate]])=INDEX(mthLkUp.tbl[Num],MATCH(AG$3,mthLkUp.tbl[Month],0)),1,0)</f>
        <v>0</v>
      </c>
      <c r="AH136" s="6">
        <f ca="1">IF(MONTH(sim.tbl[[#This Row],[SDate]])=INDEX(mthLkUp.tbl[Num],MATCH(AH$3,mthLkUp.tbl[Month],0)),1,0)</f>
        <v>0</v>
      </c>
      <c r="AI136" s="6">
        <f ca="1">IF(MONTH(sim.tbl[[#This Row],[SDate]])=INDEX(mthLkUp.tbl[Num],MATCH(AI$3,mthLkUp.tbl[Month],0)),1,0)</f>
        <v>0</v>
      </c>
      <c r="AJ136" s="6">
        <f ca="1">IF(MONTH(sim.tbl[[#This Row],[SDate]])=INDEX(mthLkUp.tbl[Num],MATCH(AJ$3,mthLkUp.tbl[Month],0)),1,0)</f>
        <v>0</v>
      </c>
      <c r="AK136" s="6">
        <v>1</v>
      </c>
      <c r="AL136" s="5">
        <f>sim.tbl[[#This Row],[Sulf]]*sim.tbl[[#This Row],[C5]]</f>
        <v>0</v>
      </c>
      <c r="AM136" s="5">
        <f>sim.tbl[[#This Row],[Sulf]]*sim.tbl[[#This Row],[Light_LSB]]</f>
        <v>0</v>
      </c>
      <c r="AN136" s="5">
        <f>sim.tbl[[#This Row],[Sulf]]*sim.tbl[[#This Row],[Light_SW]]</f>
        <v>0</v>
      </c>
      <c r="AO136" s="5">
        <f>sim.tbl[[#This Row],[Sulf]]*sim.tbl[[#This Row],[Medium_LSB]]</f>
        <v>0.997</v>
      </c>
      <c r="AP136" s="5">
        <f>sim.tbl[[#This Row],[Sulf]]*sim.tbl[[#This Row],[Medium_SW]]</f>
        <v>0</v>
      </c>
      <c r="AQ136" s="5">
        <f>sim.tbl[[#This Row],[Sulf]]*sim.tbl[[#This Row],[Midale]]</f>
        <v>0</v>
      </c>
      <c r="AR136" s="5">
        <f>sim.tbl[[#This Row],[Sulf]]*sim.tbl[[#This Row],[Heavy_Sour]]</f>
        <v>0</v>
      </c>
      <c r="AS136" s="5">
        <f>sim.tbl[[#This Row],[Sulf]]*sim.tbl[[#This Row],[Heavy_SW]]</f>
        <v>0</v>
      </c>
      <c r="AT136" s="5">
        <f>sim.tbl[[#This Row],[Dens]]*sim.tbl[[#This Row],[C5]]</f>
        <v>0</v>
      </c>
      <c r="AU136" s="5">
        <f>sim.tbl[[#This Row],[Dens]]*sim.tbl[[#This Row],[Light_LSB]]</f>
        <v>0</v>
      </c>
      <c r="AV136" s="5">
        <f>sim.tbl[[#This Row],[Dens]]*sim.tbl[[#This Row],[Light_SW]]</f>
        <v>0</v>
      </c>
      <c r="AW136" s="5">
        <f>sim.tbl[[#This Row],[Dens]]*sim.tbl[[#This Row],[Medium_LSB]]</f>
        <v>830.6</v>
      </c>
      <c r="AX136" s="5">
        <f>sim.tbl[[#This Row],[Dens]]*sim.tbl[[#This Row],[Medium_SW]]</f>
        <v>0</v>
      </c>
      <c r="AY136" s="5">
        <f>sim.tbl[[#This Row],[Dens]]*sim.tbl[[#This Row],[Midale]]</f>
        <v>0</v>
      </c>
      <c r="AZ136" s="5">
        <f>sim.tbl[[#This Row],[Dens]]*sim.tbl[[#This Row],[Heavy_Sour]]</f>
        <v>0</v>
      </c>
      <c r="BA136" s="5">
        <f>sim.tbl[[#This Row],[Dens]]*sim.tbl[[#This Row],[Heavy_SW]]</f>
        <v>0</v>
      </c>
      <c r="BB136" s="5">
        <f>sim.tbl[[#This Row],[Temp.Roll]]*sim.tbl[[#This Row],[C5]]</f>
        <v>0</v>
      </c>
      <c r="BC136" s="5">
        <f>sim.tbl[[#This Row],[Temp.Roll]]*sim.tbl[[#This Row],[Light_LSB]]</f>
        <v>0</v>
      </c>
      <c r="BD136" s="5">
        <f>sim.tbl[[#This Row],[Temp.Roll]]*sim.tbl[[#This Row],[Light_SW]]</f>
        <v>0</v>
      </c>
      <c r="BE136" s="5">
        <f>sim.tbl[[#This Row],[Temp.Roll]]*sim.tbl[[#This Row],[Medium_LSB]]</f>
        <v>7.6</v>
      </c>
      <c r="BF136" s="5">
        <f>sim.tbl[[#This Row],[Temp.Roll]]*sim.tbl[[#This Row],[Medium_SW]]</f>
        <v>0</v>
      </c>
      <c r="BG136" s="5">
        <f>sim.tbl[[#This Row],[Temp.Roll]]*sim.tbl[[#This Row],[Midale]]</f>
        <v>0</v>
      </c>
      <c r="BH136" s="5">
        <f>sim.tbl[[#This Row],[Temp.Roll]]*sim.tbl[[#This Row],[Heavy_Sour]]</f>
        <v>0</v>
      </c>
      <c r="BI136" s="5">
        <f>sim.tbl[[#This Row],[Temp.Roll]]*sim.tbl[[#This Row],[Heavy_SW]]</f>
        <v>0</v>
      </c>
    </row>
    <row r="137" spans="4:61" x14ac:dyDescent="0.25">
      <c r="D137" s="5">
        <f ca="1">SUMPRODUCT($F$1:$BI$1,sim.tbl[[#This Row],[Intercept]:[Temp.Roll:Heavy_SW]])</f>
        <v>78.417045991240599</v>
      </c>
      <c r="E137" s="14">
        <f ca="1">DATE(YEAR(TODAY()),INDEX(mthLkUp.tbl[Num],MATCH(mth.input,mthLkUp.tbl[Month],0)),1)</f>
        <v>42795</v>
      </c>
      <c r="F137" s="6">
        <f>1</f>
        <v>1</v>
      </c>
      <c r="G137" s="5">
        <v>1.32</v>
      </c>
      <c r="H137" s="5">
        <v>828.8</v>
      </c>
      <c r="I137" s="5">
        <v>10.78</v>
      </c>
      <c r="J137" s="5">
        <v>10.6</v>
      </c>
      <c r="K137" s="5">
        <v>10.1</v>
      </c>
      <c r="L137" s="5">
        <v>10.6</v>
      </c>
      <c r="M137" s="5">
        <v>10.5</v>
      </c>
      <c r="N137" s="5">
        <v>11</v>
      </c>
      <c r="O137" s="5">
        <v>12</v>
      </c>
      <c r="P137" s="5">
        <v>10.199999999999999</v>
      </c>
      <c r="Q137" s="6">
        <f>IF(sim.tbl[[#This Row],[Dens]]&lt;=770,1,0)</f>
        <v>0</v>
      </c>
      <c r="R137" s="6">
        <f>IF(AND(sim.tbl[[#This Row],[Sulf]]&gt;0.5,sim.tbl[[#This Row],[Dens]]&gt;770,sim.tbl[[#This Row],[Dens]]&lt;=825),1,0)</f>
        <v>0</v>
      </c>
      <c r="S137" s="6">
        <f>IF(AND(sim.tbl[[#This Row],[Sulf]]&lt;=0.5,sim.tbl[[#This Row],[Dens]]&gt;770,sim.tbl[[#This Row],[Dens]]&lt;=825),1,0)</f>
        <v>0</v>
      </c>
      <c r="T137" s="6">
        <f>IF(AND(sim.tbl[[#This Row],[Sulf]]&gt;0.5,sim.tbl[[#This Row],[Dens]]&gt;825,sim.tbl[[#This Row],[Dens]]&lt;=870),1,0)</f>
        <v>1</v>
      </c>
      <c r="U137" s="6">
        <f>IF(AND(sim.tbl[[#This Row],[Sulf]]&lt;0.5,sim.tbl[[#This Row],[Dens]]&gt;825,sim.tbl[[#This Row],[Dens]]&lt;=900),1,0)</f>
        <v>0</v>
      </c>
      <c r="V137" s="6">
        <f>IF(AND(sim.tbl[[#This Row],[Sulf]]&gt;0.5,sim.tbl[[#This Row],[Dens]]&gt;870,sim.tbl[[#This Row],[Dens]]&lt;=900),1,0)</f>
        <v>0</v>
      </c>
      <c r="W137" s="6">
        <f>IF(AND(sim.tbl[[#This Row],[Sulf]]&gt;0.5,sim.tbl[[#This Row],[Dens]]&gt;900),1,0)</f>
        <v>0</v>
      </c>
      <c r="X137" s="6">
        <f>IF(AND(sim.tbl[[#This Row],[Sulf]]&lt;=0.5,sim.tbl[[#This Row],[Dens]]&gt;900),1,0)</f>
        <v>0</v>
      </c>
      <c r="Y137" s="6">
        <f ca="1">IF(MONTH(sim.tbl[[#This Row],[SDate]])=INDEX(mthLkUp.tbl[Num],MATCH(Y$3,mthLkUp.tbl[Month],0)),1,0)</f>
        <v>0</v>
      </c>
      <c r="Z137" s="6">
        <f ca="1">IF(MONTH(sim.tbl[[#This Row],[SDate]])=INDEX(mthLkUp.tbl[Num],MATCH(Z$3,mthLkUp.tbl[Month],0)),1,0)</f>
        <v>0</v>
      </c>
      <c r="AA137" s="6">
        <f ca="1">IF(MONTH(sim.tbl[[#This Row],[SDate]])=INDEX(mthLkUp.tbl[Num],MATCH(AA$3,mthLkUp.tbl[Month],0)),1,0)</f>
        <v>1</v>
      </c>
      <c r="AB137" s="6">
        <f ca="1">IF(MONTH(sim.tbl[[#This Row],[SDate]])=INDEX(mthLkUp.tbl[Num],MATCH(AB$3,mthLkUp.tbl[Month],0)),1,0)</f>
        <v>0</v>
      </c>
      <c r="AC137" s="6">
        <f ca="1">IF(MONTH(sim.tbl[[#This Row],[SDate]])=INDEX(mthLkUp.tbl[Num],MATCH(AC$3,mthLkUp.tbl[Month],0)),1,0)</f>
        <v>0</v>
      </c>
      <c r="AD137" s="6">
        <f ca="1">IF(MONTH(sim.tbl[[#This Row],[SDate]])=INDEX(mthLkUp.tbl[Num],MATCH(AD$3,mthLkUp.tbl[Month],0)),1,0)</f>
        <v>0</v>
      </c>
      <c r="AE137" s="6">
        <f ca="1">IF(MONTH(sim.tbl[[#This Row],[SDate]])=INDEX(mthLkUp.tbl[Num],MATCH(AE$3,mthLkUp.tbl[Month],0)),1,0)</f>
        <v>0</v>
      </c>
      <c r="AF137" s="6">
        <f ca="1">IF(MONTH(sim.tbl[[#This Row],[SDate]])=INDEX(mthLkUp.tbl[Num],MATCH(AF$3,mthLkUp.tbl[Month],0)),1,0)</f>
        <v>0</v>
      </c>
      <c r="AG137" s="6">
        <f ca="1">IF(MONTH(sim.tbl[[#This Row],[SDate]])=INDEX(mthLkUp.tbl[Num],MATCH(AG$3,mthLkUp.tbl[Month],0)),1,0)</f>
        <v>0</v>
      </c>
      <c r="AH137" s="6">
        <f ca="1">IF(MONTH(sim.tbl[[#This Row],[SDate]])=INDEX(mthLkUp.tbl[Num],MATCH(AH$3,mthLkUp.tbl[Month],0)),1,0)</f>
        <v>0</v>
      </c>
      <c r="AI137" s="6">
        <f ca="1">IF(MONTH(sim.tbl[[#This Row],[SDate]])=INDEX(mthLkUp.tbl[Num],MATCH(AI$3,mthLkUp.tbl[Month],0)),1,0)</f>
        <v>0</v>
      </c>
      <c r="AJ137" s="6">
        <f ca="1">IF(MONTH(sim.tbl[[#This Row],[SDate]])=INDEX(mthLkUp.tbl[Num],MATCH(AJ$3,mthLkUp.tbl[Month],0)),1,0)</f>
        <v>0</v>
      </c>
      <c r="AK137" s="6">
        <v>1</v>
      </c>
      <c r="AL137" s="5">
        <f>sim.tbl[[#This Row],[Sulf]]*sim.tbl[[#This Row],[C5]]</f>
        <v>0</v>
      </c>
      <c r="AM137" s="5">
        <f>sim.tbl[[#This Row],[Sulf]]*sim.tbl[[#This Row],[Light_LSB]]</f>
        <v>0</v>
      </c>
      <c r="AN137" s="5">
        <f>sim.tbl[[#This Row],[Sulf]]*sim.tbl[[#This Row],[Light_SW]]</f>
        <v>0</v>
      </c>
      <c r="AO137" s="5">
        <f>sim.tbl[[#This Row],[Sulf]]*sim.tbl[[#This Row],[Medium_LSB]]</f>
        <v>1.32</v>
      </c>
      <c r="AP137" s="5">
        <f>sim.tbl[[#This Row],[Sulf]]*sim.tbl[[#This Row],[Medium_SW]]</f>
        <v>0</v>
      </c>
      <c r="AQ137" s="5">
        <f>sim.tbl[[#This Row],[Sulf]]*sim.tbl[[#This Row],[Midale]]</f>
        <v>0</v>
      </c>
      <c r="AR137" s="5">
        <f>sim.tbl[[#This Row],[Sulf]]*sim.tbl[[#This Row],[Heavy_Sour]]</f>
        <v>0</v>
      </c>
      <c r="AS137" s="5">
        <f>sim.tbl[[#This Row],[Sulf]]*sim.tbl[[#This Row],[Heavy_SW]]</f>
        <v>0</v>
      </c>
      <c r="AT137" s="5">
        <f>sim.tbl[[#This Row],[Dens]]*sim.tbl[[#This Row],[C5]]</f>
        <v>0</v>
      </c>
      <c r="AU137" s="5">
        <f>sim.tbl[[#This Row],[Dens]]*sim.tbl[[#This Row],[Light_LSB]]</f>
        <v>0</v>
      </c>
      <c r="AV137" s="5">
        <f>sim.tbl[[#This Row],[Dens]]*sim.tbl[[#This Row],[Light_SW]]</f>
        <v>0</v>
      </c>
      <c r="AW137" s="5">
        <f>sim.tbl[[#This Row],[Dens]]*sim.tbl[[#This Row],[Medium_LSB]]</f>
        <v>828.8</v>
      </c>
      <c r="AX137" s="5">
        <f>sim.tbl[[#This Row],[Dens]]*sim.tbl[[#This Row],[Medium_SW]]</f>
        <v>0</v>
      </c>
      <c r="AY137" s="5">
        <f>sim.tbl[[#This Row],[Dens]]*sim.tbl[[#This Row],[Midale]]</f>
        <v>0</v>
      </c>
      <c r="AZ137" s="5">
        <f>sim.tbl[[#This Row],[Dens]]*sim.tbl[[#This Row],[Heavy_Sour]]</f>
        <v>0</v>
      </c>
      <c r="BA137" s="5">
        <f>sim.tbl[[#This Row],[Dens]]*sim.tbl[[#This Row],[Heavy_SW]]</f>
        <v>0</v>
      </c>
      <c r="BB137" s="5">
        <f>sim.tbl[[#This Row],[Temp.Roll]]*sim.tbl[[#This Row],[C5]]</f>
        <v>0</v>
      </c>
      <c r="BC137" s="5">
        <f>sim.tbl[[#This Row],[Temp.Roll]]*sim.tbl[[#This Row],[Light_LSB]]</f>
        <v>0</v>
      </c>
      <c r="BD137" s="5">
        <f>sim.tbl[[#This Row],[Temp.Roll]]*sim.tbl[[#This Row],[Light_SW]]</f>
        <v>0</v>
      </c>
      <c r="BE137" s="5">
        <f>sim.tbl[[#This Row],[Temp.Roll]]*sim.tbl[[#This Row],[Medium_LSB]]</f>
        <v>10.6</v>
      </c>
      <c r="BF137" s="5">
        <f>sim.tbl[[#This Row],[Temp.Roll]]*sim.tbl[[#This Row],[Medium_SW]]</f>
        <v>0</v>
      </c>
      <c r="BG137" s="5">
        <f>sim.tbl[[#This Row],[Temp.Roll]]*sim.tbl[[#This Row],[Midale]]</f>
        <v>0</v>
      </c>
      <c r="BH137" s="5">
        <f>sim.tbl[[#This Row],[Temp.Roll]]*sim.tbl[[#This Row],[Heavy_Sour]]</f>
        <v>0</v>
      </c>
      <c r="BI137" s="5">
        <f>sim.tbl[[#This Row],[Temp.Roll]]*sim.tbl[[#This Row],[Heavy_SW]]</f>
        <v>0</v>
      </c>
    </row>
    <row r="138" spans="4:61" x14ac:dyDescent="0.25">
      <c r="D138" s="5">
        <f ca="1">SUMPRODUCT($F$1:$BI$1,sim.tbl[[#This Row],[Intercept]:[Temp.Roll:Heavy_SW]])</f>
        <v>83.593730566435809</v>
      </c>
      <c r="E138" s="14">
        <f ca="1">DATE(YEAR(TODAY()),INDEX(mthLkUp.tbl[Num],MATCH(mth.input,mthLkUp.tbl[Month],0)),1)</f>
        <v>42795</v>
      </c>
      <c r="F138" s="6">
        <f>1</f>
        <v>1</v>
      </c>
      <c r="G138" s="5">
        <v>0.56699999999999995</v>
      </c>
      <c r="H138" s="5">
        <v>823.6</v>
      </c>
      <c r="I138" s="5">
        <v>3.5</v>
      </c>
      <c r="J138" s="5">
        <v>4.4000000000000004</v>
      </c>
      <c r="K138" s="5">
        <v>4.0999999999999996</v>
      </c>
      <c r="L138" s="5">
        <v>4.4000000000000004</v>
      </c>
      <c r="M138" s="5">
        <v>2.8</v>
      </c>
      <c r="N138" s="5">
        <v>5</v>
      </c>
      <c r="O138" s="5">
        <v>3.1</v>
      </c>
      <c r="P138" s="5">
        <v>1.6</v>
      </c>
      <c r="Q138" s="6">
        <f>IF(sim.tbl[[#This Row],[Dens]]&lt;=770,1,0)</f>
        <v>0</v>
      </c>
      <c r="R138" s="6">
        <f>IF(AND(sim.tbl[[#This Row],[Sulf]]&gt;0.5,sim.tbl[[#This Row],[Dens]]&gt;770,sim.tbl[[#This Row],[Dens]]&lt;=825),1,0)</f>
        <v>1</v>
      </c>
      <c r="S138" s="6">
        <f>IF(AND(sim.tbl[[#This Row],[Sulf]]&lt;=0.5,sim.tbl[[#This Row],[Dens]]&gt;770,sim.tbl[[#This Row],[Dens]]&lt;=825),1,0)</f>
        <v>0</v>
      </c>
      <c r="T138" s="6">
        <f>IF(AND(sim.tbl[[#This Row],[Sulf]]&gt;0.5,sim.tbl[[#This Row],[Dens]]&gt;825,sim.tbl[[#This Row],[Dens]]&lt;=870),1,0)</f>
        <v>0</v>
      </c>
      <c r="U138" s="6">
        <f>IF(AND(sim.tbl[[#This Row],[Sulf]]&lt;0.5,sim.tbl[[#This Row],[Dens]]&gt;825,sim.tbl[[#This Row],[Dens]]&lt;=900),1,0)</f>
        <v>0</v>
      </c>
      <c r="V138" s="6">
        <f>IF(AND(sim.tbl[[#This Row],[Sulf]]&gt;0.5,sim.tbl[[#This Row],[Dens]]&gt;870,sim.tbl[[#This Row],[Dens]]&lt;=900),1,0)</f>
        <v>0</v>
      </c>
      <c r="W138" s="6">
        <f>IF(AND(sim.tbl[[#This Row],[Sulf]]&gt;0.5,sim.tbl[[#This Row],[Dens]]&gt;900),1,0)</f>
        <v>0</v>
      </c>
      <c r="X138" s="6">
        <f>IF(AND(sim.tbl[[#This Row],[Sulf]]&lt;=0.5,sim.tbl[[#This Row],[Dens]]&gt;900),1,0)</f>
        <v>0</v>
      </c>
      <c r="Y138" s="6">
        <f ca="1">IF(MONTH(sim.tbl[[#This Row],[SDate]])=INDEX(mthLkUp.tbl[Num],MATCH(Y$3,mthLkUp.tbl[Month],0)),1,0)</f>
        <v>0</v>
      </c>
      <c r="Z138" s="6">
        <f ca="1">IF(MONTH(sim.tbl[[#This Row],[SDate]])=INDEX(mthLkUp.tbl[Num],MATCH(Z$3,mthLkUp.tbl[Month],0)),1,0)</f>
        <v>0</v>
      </c>
      <c r="AA138" s="6">
        <f ca="1">IF(MONTH(sim.tbl[[#This Row],[SDate]])=INDEX(mthLkUp.tbl[Num],MATCH(AA$3,mthLkUp.tbl[Month],0)),1,0)</f>
        <v>1</v>
      </c>
      <c r="AB138" s="6">
        <f ca="1">IF(MONTH(sim.tbl[[#This Row],[SDate]])=INDEX(mthLkUp.tbl[Num],MATCH(AB$3,mthLkUp.tbl[Month],0)),1,0)</f>
        <v>0</v>
      </c>
      <c r="AC138" s="6">
        <f ca="1">IF(MONTH(sim.tbl[[#This Row],[SDate]])=INDEX(mthLkUp.tbl[Num],MATCH(AC$3,mthLkUp.tbl[Month],0)),1,0)</f>
        <v>0</v>
      </c>
      <c r="AD138" s="6">
        <f ca="1">IF(MONTH(sim.tbl[[#This Row],[SDate]])=INDEX(mthLkUp.tbl[Num],MATCH(AD$3,mthLkUp.tbl[Month],0)),1,0)</f>
        <v>0</v>
      </c>
      <c r="AE138" s="6">
        <f ca="1">IF(MONTH(sim.tbl[[#This Row],[SDate]])=INDEX(mthLkUp.tbl[Num],MATCH(AE$3,mthLkUp.tbl[Month],0)),1,0)</f>
        <v>0</v>
      </c>
      <c r="AF138" s="6">
        <f ca="1">IF(MONTH(sim.tbl[[#This Row],[SDate]])=INDEX(mthLkUp.tbl[Num],MATCH(AF$3,mthLkUp.tbl[Month],0)),1,0)</f>
        <v>0</v>
      </c>
      <c r="AG138" s="6">
        <f ca="1">IF(MONTH(sim.tbl[[#This Row],[SDate]])=INDEX(mthLkUp.tbl[Num],MATCH(AG$3,mthLkUp.tbl[Month],0)),1,0)</f>
        <v>0</v>
      </c>
      <c r="AH138" s="6">
        <f ca="1">IF(MONTH(sim.tbl[[#This Row],[SDate]])=INDEX(mthLkUp.tbl[Num],MATCH(AH$3,mthLkUp.tbl[Month],0)),1,0)</f>
        <v>0</v>
      </c>
      <c r="AI138" s="6">
        <f ca="1">IF(MONTH(sim.tbl[[#This Row],[SDate]])=INDEX(mthLkUp.tbl[Num],MATCH(AI$3,mthLkUp.tbl[Month],0)),1,0)</f>
        <v>0</v>
      </c>
      <c r="AJ138" s="6">
        <f ca="1">IF(MONTH(sim.tbl[[#This Row],[SDate]])=INDEX(mthLkUp.tbl[Num],MATCH(AJ$3,mthLkUp.tbl[Month],0)),1,0)</f>
        <v>0</v>
      </c>
      <c r="AK138" s="6">
        <v>1</v>
      </c>
      <c r="AL138" s="5">
        <f>sim.tbl[[#This Row],[Sulf]]*sim.tbl[[#This Row],[C5]]</f>
        <v>0</v>
      </c>
      <c r="AM138" s="5">
        <f>sim.tbl[[#This Row],[Sulf]]*sim.tbl[[#This Row],[Light_LSB]]</f>
        <v>0.56699999999999995</v>
      </c>
      <c r="AN138" s="5">
        <f>sim.tbl[[#This Row],[Sulf]]*sim.tbl[[#This Row],[Light_SW]]</f>
        <v>0</v>
      </c>
      <c r="AO138" s="5">
        <f>sim.tbl[[#This Row],[Sulf]]*sim.tbl[[#This Row],[Medium_LSB]]</f>
        <v>0</v>
      </c>
      <c r="AP138" s="5">
        <f>sim.tbl[[#This Row],[Sulf]]*sim.tbl[[#This Row],[Medium_SW]]</f>
        <v>0</v>
      </c>
      <c r="AQ138" s="5">
        <f>sim.tbl[[#This Row],[Sulf]]*sim.tbl[[#This Row],[Midale]]</f>
        <v>0</v>
      </c>
      <c r="AR138" s="5">
        <f>sim.tbl[[#This Row],[Sulf]]*sim.tbl[[#This Row],[Heavy_Sour]]</f>
        <v>0</v>
      </c>
      <c r="AS138" s="5">
        <f>sim.tbl[[#This Row],[Sulf]]*sim.tbl[[#This Row],[Heavy_SW]]</f>
        <v>0</v>
      </c>
      <c r="AT138" s="5">
        <f>sim.tbl[[#This Row],[Dens]]*sim.tbl[[#This Row],[C5]]</f>
        <v>0</v>
      </c>
      <c r="AU138" s="5">
        <f>sim.tbl[[#This Row],[Dens]]*sim.tbl[[#This Row],[Light_LSB]]</f>
        <v>823.6</v>
      </c>
      <c r="AV138" s="5">
        <f>sim.tbl[[#This Row],[Dens]]*sim.tbl[[#This Row],[Light_SW]]</f>
        <v>0</v>
      </c>
      <c r="AW138" s="5">
        <f>sim.tbl[[#This Row],[Dens]]*sim.tbl[[#This Row],[Medium_LSB]]</f>
        <v>0</v>
      </c>
      <c r="AX138" s="5">
        <f>sim.tbl[[#This Row],[Dens]]*sim.tbl[[#This Row],[Medium_SW]]</f>
        <v>0</v>
      </c>
      <c r="AY138" s="5">
        <f>sim.tbl[[#This Row],[Dens]]*sim.tbl[[#This Row],[Midale]]</f>
        <v>0</v>
      </c>
      <c r="AZ138" s="5">
        <f>sim.tbl[[#This Row],[Dens]]*sim.tbl[[#This Row],[Heavy_Sour]]</f>
        <v>0</v>
      </c>
      <c r="BA138" s="5">
        <f>sim.tbl[[#This Row],[Dens]]*sim.tbl[[#This Row],[Heavy_SW]]</f>
        <v>0</v>
      </c>
      <c r="BB138" s="5">
        <f>sim.tbl[[#This Row],[Temp.Roll]]*sim.tbl[[#This Row],[C5]]</f>
        <v>0</v>
      </c>
      <c r="BC138" s="5">
        <f>sim.tbl[[#This Row],[Temp.Roll]]*sim.tbl[[#This Row],[Light_LSB]]</f>
        <v>4.4000000000000004</v>
      </c>
      <c r="BD138" s="5">
        <f>sim.tbl[[#This Row],[Temp.Roll]]*sim.tbl[[#This Row],[Light_SW]]</f>
        <v>0</v>
      </c>
      <c r="BE138" s="5">
        <f>sim.tbl[[#This Row],[Temp.Roll]]*sim.tbl[[#This Row],[Medium_LSB]]</f>
        <v>0</v>
      </c>
      <c r="BF138" s="5">
        <f>sim.tbl[[#This Row],[Temp.Roll]]*sim.tbl[[#This Row],[Medium_SW]]</f>
        <v>0</v>
      </c>
      <c r="BG138" s="5">
        <f>sim.tbl[[#This Row],[Temp.Roll]]*sim.tbl[[#This Row],[Midale]]</f>
        <v>0</v>
      </c>
      <c r="BH138" s="5">
        <f>sim.tbl[[#This Row],[Temp.Roll]]*sim.tbl[[#This Row],[Heavy_Sour]]</f>
        <v>0</v>
      </c>
      <c r="BI138" s="5">
        <f>sim.tbl[[#This Row],[Temp.Roll]]*sim.tbl[[#This Row],[Heavy_SW]]</f>
        <v>0</v>
      </c>
    </row>
    <row r="139" spans="4:61" x14ac:dyDescent="0.25">
      <c r="D139" s="5">
        <f ca="1">SUMPRODUCT($F$1:$BI$1,sim.tbl[[#This Row],[Intercept]:[Temp.Roll:Heavy_SW]])</f>
        <v>85.351273919013906</v>
      </c>
      <c r="E139" s="14">
        <f ca="1">DATE(YEAR(TODAY()),INDEX(mthLkUp.tbl[Num],MATCH(mth.input,mthLkUp.tbl[Month],0)),1)</f>
        <v>42795</v>
      </c>
      <c r="F139" s="6">
        <f>1</f>
        <v>1</v>
      </c>
      <c r="G139" s="5">
        <v>0.90400000000000003</v>
      </c>
      <c r="H139" s="5">
        <v>824.9</v>
      </c>
      <c r="I139" s="5">
        <v>1.46</v>
      </c>
      <c r="J139" s="5">
        <v>2.2999999999999998</v>
      </c>
      <c r="K139" s="5">
        <v>1.4</v>
      </c>
      <c r="L139" s="5">
        <v>2.2999999999999998</v>
      </c>
      <c r="M139" s="5">
        <v>1</v>
      </c>
      <c r="N139" s="5">
        <v>0.8</v>
      </c>
      <c r="O139" s="5">
        <v>1.2</v>
      </c>
      <c r="P139" s="5">
        <v>1.4</v>
      </c>
      <c r="Q139" s="6">
        <f>IF(sim.tbl[[#This Row],[Dens]]&lt;=770,1,0)</f>
        <v>0</v>
      </c>
      <c r="R139" s="6">
        <f>IF(AND(sim.tbl[[#This Row],[Sulf]]&gt;0.5,sim.tbl[[#This Row],[Dens]]&gt;770,sim.tbl[[#This Row],[Dens]]&lt;=825),1,0)</f>
        <v>1</v>
      </c>
      <c r="S139" s="6">
        <f>IF(AND(sim.tbl[[#This Row],[Sulf]]&lt;=0.5,sim.tbl[[#This Row],[Dens]]&gt;770,sim.tbl[[#This Row],[Dens]]&lt;=825),1,0)</f>
        <v>0</v>
      </c>
      <c r="T139" s="6">
        <f>IF(AND(sim.tbl[[#This Row],[Sulf]]&gt;0.5,sim.tbl[[#This Row],[Dens]]&gt;825,sim.tbl[[#This Row],[Dens]]&lt;=870),1,0)</f>
        <v>0</v>
      </c>
      <c r="U139" s="6">
        <f>IF(AND(sim.tbl[[#This Row],[Sulf]]&lt;0.5,sim.tbl[[#This Row],[Dens]]&gt;825,sim.tbl[[#This Row],[Dens]]&lt;=900),1,0)</f>
        <v>0</v>
      </c>
      <c r="V139" s="6">
        <f>IF(AND(sim.tbl[[#This Row],[Sulf]]&gt;0.5,sim.tbl[[#This Row],[Dens]]&gt;870,sim.tbl[[#This Row],[Dens]]&lt;=900),1,0)</f>
        <v>0</v>
      </c>
      <c r="W139" s="6">
        <f>IF(AND(sim.tbl[[#This Row],[Sulf]]&gt;0.5,sim.tbl[[#This Row],[Dens]]&gt;900),1,0)</f>
        <v>0</v>
      </c>
      <c r="X139" s="6">
        <f>IF(AND(sim.tbl[[#This Row],[Sulf]]&lt;=0.5,sim.tbl[[#This Row],[Dens]]&gt;900),1,0)</f>
        <v>0</v>
      </c>
      <c r="Y139" s="6">
        <f ca="1">IF(MONTH(sim.tbl[[#This Row],[SDate]])=INDEX(mthLkUp.tbl[Num],MATCH(Y$3,mthLkUp.tbl[Month],0)),1,0)</f>
        <v>0</v>
      </c>
      <c r="Z139" s="6">
        <f ca="1">IF(MONTH(sim.tbl[[#This Row],[SDate]])=INDEX(mthLkUp.tbl[Num],MATCH(Z$3,mthLkUp.tbl[Month],0)),1,0)</f>
        <v>0</v>
      </c>
      <c r="AA139" s="6">
        <f ca="1">IF(MONTH(sim.tbl[[#This Row],[SDate]])=INDEX(mthLkUp.tbl[Num],MATCH(AA$3,mthLkUp.tbl[Month],0)),1,0)</f>
        <v>1</v>
      </c>
      <c r="AB139" s="6">
        <f ca="1">IF(MONTH(sim.tbl[[#This Row],[SDate]])=INDEX(mthLkUp.tbl[Num],MATCH(AB$3,mthLkUp.tbl[Month],0)),1,0)</f>
        <v>0</v>
      </c>
      <c r="AC139" s="6">
        <f ca="1">IF(MONTH(sim.tbl[[#This Row],[SDate]])=INDEX(mthLkUp.tbl[Num],MATCH(AC$3,mthLkUp.tbl[Month],0)),1,0)</f>
        <v>0</v>
      </c>
      <c r="AD139" s="6">
        <f ca="1">IF(MONTH(sim.tbl[[#This Row],[SDate]])=INDEX(mthLkUp.tbl[Num],MATCH(AD$3,mthLkUp.tbl[Month],0)),1,0)</f>
        <v>0</v>
      </c>
      <c r="AE139" s="6">
        <f ca="1">IF(MONTH(sim.tbl[[#This Row],[SDate]])=INDEX(mthLkUp.tbl[Num],MATCH(AE$3,mthLkUp.tbl[Month],0)),1,0)</f>
        <v>0</v>
      </c>
      <c r="AF139" s="6">
        <f ca="1">IF(MONTH(sim.tbl[[#This Row],[SDate]])=INDEX(mthLkUp.tbl[Num],MATCH(AF$3,mthLkUp.tbl[Month],0)),1,0)</f>
        <v>0</v>
      </c>
      <c r="AG139" s="6">
        <f ca="1">IF(MONTH(sim.tbl[[#This Row],[SDate]])=INDEX(mthLkUp.tbl[Num],MATCH(AG$3,mthLkUp.tbl[Month],0)),1,0)</f>
        <v>0</v>
      </c>
      <c r="AH139" s="6">
        <f ca="1">IF(MONTH(sim.tbl[[#This Row],[SDate]])=INDEX(mthLkUp.tbl[Num],MATCH(AH$3,mthLkUp.tbl[Month],0)),1,0)</f>
        <v>0</v>
      </c>
      <c r="AI139" s="6">
        <f ca="1">IF(MONTH(sim.tbl[[#This Row],[SDate]])=INDEX(mthLkUp.tbl[Num],MATCH(AI$3,mthLkUp.tbl[Month],0)),1,0)</f>
        <v>0</v>
      </c>
      <c r="AJ139" s="6">
        <f ca="1">IF(MONTH(sim.tbl[[#This Row],[SDate]])=INDEX(mthLkUp.tbl[Num],MATCH(AJ$3,mthLkUp.tbl[Month],0)),1,0)</f>
        <v>0</v>
      </c>
      <c r="AK139" s="6">
        <v>1</v>
      </c>
      <c r="AL139" s="5">
        <f>sim.tbl[[#This Row],[Sulf]]*sim.tbl[[#This Row],[C5]]</f>
        <v>0</v>
      </c>
      <c r="AM139" s="5">
        <f>sim.tbl[[#This Row],[Sulf]]*sim.tbl[[#This Row],[Light_LSB]]</f>
        <v>0.90400000000000003</v>
      </c>
      <c r="AN139" s="5">
        <f>sim.tbl[[#This Row],[Sulf]]*sim.tbl[[#This Row],[Light_SW]]</f>
        <v>0</v>
      </c>
      <c r="AO139" s="5">
        <f>sim.tbl[[#This Row],[Sulf]]*sim.tbl[[#This Row],[Medium_LSB]]</f>
        <v>0</v>
      </c>
      <c r="AP139" s="5">
        <f>sim.tbl[[#This Row],[Sulf]]*sim.tbl[[#This Row],[Medium_SW]]</f>
        <v>0</v>
      </c>
      <c r="AQ139" s="5">
        <f>sim.tbl[[#This Row],[Sulf]]*sim.tbl[[#This Row],[Midale]]</f>
        <v>0</v>
      </c>
      <c r="AR139" s="5">
        <f>sim.tbl[[#This Row],[Sulf]]*sim.tbl[[#This Row],[Heavy_Sour]]</f>
        <v>0</v>
      </c>
      <c r="AS139" s="5">
        <f>sim.tbl[[#This Row],[Sulf]]*sim.tbl[[#This Row],[Heavy_SW]]</f>
        <v>0</v>
      </c>
      <c r="AT139" s="5">
        <f>sim.tbl[[#This Row],[Dens]]*sim.tbl[[#This Row],[C5]]</f>
        <v>0</v>
      </c>
      <c r="AU139" s="5">
        <f>sim.tbl[[#This Row],[Dens]]*sim.tbl[[#This Row],[Light_LSB]]</f>
        <v>824.9</v>
      </c>
      <c r="AV139" s="5">
        <f>sim.tbl[[#This Row],[Dens]]*sim.tbl[[#This Row],[Light_SW]]</f>
        <v>0</v>
      </c>
      <c r="AW139" s="5">
        <f>sim.tbl[[#This Row],[Dens]]*sim.tbl[[#This Row],[Medium_LSB]]</f>
        <v>0</v>
      </c>
      <c r="AX139" s="5">
        <f>sim.tbl[[#This Row],[Dens]]*sim.tbl[[#This Row],[Medium_SW]]</f>
        <v>0</v>
      </c>
      <c r="AY139" s="5">
        <f>sim.tbl[[#This Row],[Dens]]*sim.tbl[[#This Row],[Midale]]</f>
        <v>0</v>
      </c>
      <c r="AZ139" s="5">
        <f>sim.tbl[[#This Row],[Dens]]*sim.tbl[[#This Row],[Heavy_Sour]]</f>
        <v>0</v>
      </c>
      <c r="BA139" s="5">
        <f>sim.tbl[[#This Row],[Dens]]*sim.tbl[[#This Row],[Heavy_SW]]</f>
        <v>0</v>
      </c>
      <c r="BB139" s="5">
        <f>sim.tbl[[#This Row],[Temp.Roll]]*sim.tbl[[#This Row],[C5]]</f>
        <v>0</v>
      </c>
      <c r="BC139" s="5">
        <f>sim.tbl[[#This Row],[Temp.Roll]]*sim.tbl[[#This Row],[Light_LSB]]</f>
        <v>2.2999999999999998</v>
      </c>
      <c r="BD139" s="5">
        <f>sim.tbl[[#This Row],[Temp.Roll]]*sim.tbl[[#This Row],[Light_SW]]</f>
        <v>0</v>
      </c>
      <c r="BE139" s="5">
        <f>sim.tbl[[#This Row],[Temp.Roll]]*sim.tbl[[#This Row],[Medium_LSB]]</f>
        <v>0</v>
      </c>
      <c r="BF139" s="5">
        <f>sim.tbl[[#This Row],[Temp.Roll]]*sim.tbl[[#This Row],[Medium_SW]]</f>
        <v>0</v>
      </c>
      <c r="BG139" s="5">
        <f>sim.tbl[[#This Row],[Temp.Roll]]*sim.tbl[[#This Row],[Midale]]</f>
        <v>0</v>
      </c>
      <c r="BH139" s="5">
        <f>sim.tbl[[#This Row],[Temp.Roll]]*sim.tbl[[#This Row],[Heavy_Sour]]</f>
        <v>0</v>
      </c>
      <c r="BI139" s="5">
        <f>sim.tbl[[#This Row],[Temp.Roll]]*sim.tbl[[#This Row],[Heavy_SW]]</f>
        <v>0</v>
      </c>
    </row>
    <row r="140" spans="4:61" x14ac:dyDescent="0.25">
      <c r="D140" s="5">
        <f ca="1">SUMPRODUCT($F$1:$BI$1,sim.tbl[[#This Row],[Intercept]:[Temp.Roll:Heavy_SW]])</f>
        <v>81.734207039790434</v>
      </c>
      <c r="E140" s="14">
        <f ca="1">DATE(YEAR(TODAY()),INDEX(mthLkUp.tbl[Num],MATCH(mth.input,mthLkUp.tbl[Month],0)),1)</f>
        <v>42795</v>
      </c>
      <c r="F140" s="6">
        <f>1</f>
        <v>1</v>
      </c>
      <c r="G140" s="5">
        <v>0.53</v>
      </c>
      <c r="H140" s="5">
        <v>819.78</v>
      </c>
      <c r="I140" s="5">
        <v>10.53333333</v>
      </c>
      <c r="J140" s="5">
        <v>10.4</v>
      </c>
      <c r="K140" s="5">
        <v>10.8</v>
      </c>
      <c r="L140" s="5">
        <v>10.4</v>
      </c>
      <c r="M140" s="5">
        <v>10</v>
      </c>
      <c r="N140" s="5">
        <v>11.3</v>
      </c>
      <c r="O140" s="5">
        <v>10.3</v>
      </c>
      <c r="P140" s="5">
        <v>10.4</v>
      </c>
      <c r="Q140" s="6">
        <f>IF(sim.tbl[[#This Row],[Dens]]&lt;=770,1,0)</f>
        <v>0</v>
      </c>
      <c r="R140" s="6">
        <f>IF(AND(sim.tbl[[#This Row],[Sulf]]&gt;0.5,sim.tbl[[#This Row],[Dens]]&gt;770,sim.tbl[[#This Row],[Dens]]&lt;=825),1,0)</f>
        <v>1</v>
      </c>
      <c r="S140" s="6">
        <f>IF(AND(sim.tbl[[#This Row],[Sulf]]&lt;=0.5,sim.tbl[[#This Row],[Dens]]&gt;770,sim.tbl[[#This Row],[Dens]]&lt;=825),1,0)</f>
        <v>0</v>
      </c>
      <c r="T140" s="6">
        <f>IF(AND(sim.tbl[[#This Row],[Sulf]]&gt;0.5,sim.tbl[[#This Row],[Dens]]&gt;825,sim.tbl[[#This Row],[Dens]]&lt;=870),1,0)</f>
        <v>0</v>
      </c>
      <c r="U140" s="6">
        <f>IF(AND(sim.tbl[[#This Row],[Sulf]]&lt;0.5,sim.tbl[[#This Row],[Dens]]&gt;825,sim.tbl[[#This Row],[Dens]]&lt;=900),1,0)</f>
        <v>0</v>
      </c>
      <c r="V140" s="6">
        <f>IF(AND(sim.tbl[[#This Row],[Sulf]]&gt;0.5,sim.tbl[[#This Row],[Dens]]&gt;870,sim.tbl[[#This Row],[Dens]]&lt;=900),1,0)</f>
        <v>0</v>
      </c>
      <c r="W140" s="6">
        <f>IF(AND(sim.tbl[[#This Row],[Sulf]]&gt;0.5,sim.tbl[[#This Row],[Dens]]&gt;900),1,0)</f>
        <v>0</v>
      </c>
      <c r="X140" s="6">
        <f>IF(AND(sim.tbl[[#This Row],[Sulf]]&lt;=0.5,sim.tbl[[#This Row],[Dens]]&gt;900),1,0)</f>
        <v>0</v>
      </c>
      <c r="Y140" s="6">
        <f ca="1">IF(MONTH(sim.tbl[[#This Row],[SDate]])=INDEX(mthLkUp.tbl[Num],MATCH(Y$3,mthLkUp.tbl[Month],0)),1,0)</f>
        <v>0</v>
      </c>
      <c r="Z140" s="6">
        <f ca="1">IF(MONTH(sim.tbl[[#This Row],[SDate]])=INDEX(mthLkUp.tbl[Num],MATCH(Z$3,mthLkUp.tbl[Month],0)),1,0)</f>
        <v>0</v>
      </c>
      <c r="AA140" s="6">
        <f ca="1">IF(MONTH(sim.tbl[[#This Row],[SDate]])=INDEX(mthLkUp.tbl[Num],MATCH(AA$3,mthLkUp.tbl[Month],0)),1,0)</f>
        <v>1</v>
      </c>
      <c r="AB140" s="6">
        <f ca="1">IF(MONTH(sim.tbl[[#This Row],[SDate]])=INDEX(mthLkUp.tbl[Num],MATCH(AB$3,mthLkUp.tbl[Month],0)),1,0)</f>
        <v>0</v>
      </c>
      <c r="AC140" s="6">
        <f ca="1">IF(MONTH(sim.tbl[[#This Row],[SDate]])=INDEX(mthLkUp.tbl[Num],MATCH(AC$3,mthLkUp.tbl[Month],0)),1,0)</f>
        <v>0</v>
      </c>
      <c r="AD140" s="6">
        <f ca="1">IF(MONTH(sim.tbl[[#This Row],[SDate]])=INDEX(mthLkUp.tbl[Num],MATCH(AD$3,mthLkUp.tbl[Month],0)),1,0)</f>
        <v>0</v>
      </c>
      <c r="AE140" s="6">
        <f ca="1">IF(MONTH(sim.tbl[[#This Row],[SDate]])=INDEX(mthLkUp.tbl[Num],MATCH(AE$3,mthLkUp.tbl[Month],0)),1,0)</f>
        <v>0</v>
      </c>
      <c r="AF140" s="6">
        <f ca="1">IF(MONTH(sim.tbl[[#This Row],[SDate]])=INDEX(mthLkUp.tbl[Num],MATCH(AF$3,mthLkUp.tbl[Month],0)),1,0)</f>
        <v>0</v>
      </c>
      <c r="AG140" s="6">
        <f ca="1">IF(MONTH(sim.tbl[[#This Row],[SDate]])=INDEX(mthLkUp.tbl[Num],MATCH(AG$3,mthLkUp.tbl[Month],0)),1,0)</f>
        <v>0</v>
      </c>
      <c r="AH140" s="6">
        <f ca="1">IF(MONTH(sim.tbl[[#This Row],[SDate]])=INDEX(mthLkUp.tbl[Num],MATCH(AH$3,mthLkUp.tbl[Month],0)),1,0)</f>
        <v>0</v>
      </c>
      <c r="AI140" s="6">
        <f ca="1">IF(MONTH(sim.tbl[[#This Row],[SDate]])=INDEX(mthLkUp.tbl[Num],MATCH(AI$3,mthLkUp.tbl[Month],0)),1,0)</f>
        <v>0</v>
      </c>
      <c r="AJ140" s="6">
        <f ca="1">IF(MONTH(sim.tbl[[#This Row],[SDate]])=INDEX(mthLkUp.tbl[Num],MATCH(AJ$3,mthLkUp.tbl[Month],0)),1,0)</f>
        <v>0</v>
      </c>
      <c r="AK140" s="6">
        <v>1</v>
      </c>
      <c r="AL140" s="5">
        <f>sim.tbl[[#This Row],[Sulf]]*sim.tbl[[#This Row],[C5]]</f>
        <v>0</v>
      </c>
      <c r="AM140" s="5">
        <f>sim.tbl[[#This Row],[Sulf]]*sim.tbl[[#This Row],[Light_LSB]]</f>
        <v>0.53</v>
      </c>
      <c r="AN140" s="5">
        <f>sim.tbl[[#This Row],[Sulf]]*sim.tbl[[#This Row],[Light_SW]]</f>
        <v>0</v>
      </c>
      <c r="AO140" s="5">
        <f>sim.tbl[[#This Row],[Sulf]]*sim.tbl[[#This Row],[Medium_LSB]]</f>
        <v>0</v>
      </c>
      <c r="AP140" s="5">
        <f>sim.tbl[[#This Row],[Sulf]]*sim.tbl[[#This Row],[Medium_SW]]</f>
        <v>0</v>
      </c>
      <c r="AQ140" s="5">
        <f>sim.tbl[[#This Row],[Sulf]]*sim.tbl[[#This Row],[Midale]]</f>
        <v>0</v>
      </c>
      <c r="AR140" s="5">
        <f>sim.tbl[[#This Row],[Sulf]]*sim.tbl[[#This Row],[Heavy_Sour]]</f>
        <v>0</v>
      </c>
      <c r="AS140" s="5">
        <f>sim.tbl[[#This Row],[Sulf]]*sim.tbl[[#This Row],[Heavy_SW]]</f>
        <v>0</v>
      </c>
      <c r="AT140" s="5">
        <f>sim.tbl[[#This Row],[Dens]]*sim.tbl[[#This Row],[C5]]</f>
        <v>0</v>
      </c>
      <c r="AU140" s="5">
        <f>sim.tbl[[#This Row],[Dens]]*sim.tbl[[#This Row],[Light_LSB]]</f>
        <v>819.78</v>
      </c>
      <c r="AV140" s="5">
        <f>sim.tbl[[#This Row],[Dens]]*sim.tbl[[#This Row],[Light_SW]]</f>
        <v>0</v>
      </c>
      <c r="AW140" s="5">
        <f>sim.tbl[[#This Row],[Dens]]*sim.tbl[[#This Row],[Medium_LSB]]</f>
        <v>0</v>
      </c>
      <c r="AX140" s="5">
        <f>sim.tbl[[#This Row],[Dens]]*sim.tbl[[#This Row],[Medium_SW]]</f>
        <v>0</v>
      </c>
      <c r="AY140" s="5">
        <f>sim.tbl[[#This Row],[Dens]]*sim.tbl[[#This Row],[Midale]]</f>
        <v>0</v>
      </c>
      <c r="AZ140" s="5">
        <f>sim.tbl[[#This Row],[Dens]]*sim.tbl[[#This Row],[Heavy_Sour]]</f>
        <v>0</v>
      </c>
      <c r="BA140" s="5">
        <f>sim.tbl[[#This Row],[Dens]]*sim.tbl[[#This Row],[Heavy_SW]]</f>
        <v>0</v>
      </c>
      <c r="BB140" s="5">
        <f>sim.tbl[[#This Row],[Temp.Roll]]*sim.tbl[[#This Row],[C5]]</f>
        <v>0</v>
      </c>
      <c r="BC140" s="5">
        <f>sim.tbl[[#This Row],[Temp.Roll]]*sim.tbl[[#This Row],[Light_LSB]]</f>
        <v>10.4</v>
      </c>
      <c r="BD140" s="5">
        <f>sim.tbl[[#This Row],[Temp.Roll]]*sim.tbl[[#This Row],[Light_SW]]</f>
        <v>0</v>
      </c>
      <c r="BE140" s="5">
        <f>sim.tbl[[#This Row],[Temp.Roll]]*sim.tbl[[#This Row],[Medium_LSB]]</f>
        <v>0</v>
      </c>
      <c r="BF140" s="5">
        <f>sim.tbl[[#This Row],[Temp.Roll]]*sim.tbl[[#This Row],[Medium_SW]]</f>
        <v>0</v>
      </c>
      <c r="BG140" s="5">
        <f>sim.tbl[[#This Row],[Temp.Roll]]*sim.tbl[[#This Row],[Midale]]</f>
        <v>0</v>
      </c>
      <c r="BH140" s="5">
        <f>sim.tbl[[#This Row],[Temp.Roll]]*sim.tbl[[#This Row],[Heavy_Sour]]</f>
        <v>0</v>
      </c>
      <c r="BI140" s="5">
        <f>sim.tbl[[#This Row],[Temp.Roll]]*sim.tbl[[#This Row],[Heavy_SW]]</f>
        <v>0</v>
      </c>
    </row>
    <row r="141" spans="4:61" x14ac:dyDescent="0.25">
      <c r="D141" s="5">
        <f ca="1">SUMPRODUCT($F$1:$BI$1,sim.tbl[[#This Row],[Intercept]:[Temp.Roll:Heavy_SW]])</f>
        <v>87.306904140734673</v>
      </c>
      <c r="E141" s="14">
        <f ca="1">DATE(YEAR(TODAY()),INDEX(mthLkUp.tbl[Num],MATCH(mth.input,mthLkUp.tbl[Month],0)),1)</f>
        <v>42795</v>
      </c>
      <c r="F141" s="6">
        <f>1</f>
        <v>1</v>
      </c>
      <c r="G141" s="5">
        <v>1.36</v>
      </c>
      <c r="H141" s="5">
        <v>824.8</v>
      </c>
      <c r="I141" s="5">
        <v>1.3833333329999999</v>
      </c>
      <c r="J141" s="5">
        <v>1.5</v>
      </c>
      <c r="K141" s="5">
        <v>1.7</v>
      </c>
      <c r="L141" s="5">
        <v>1.5</v>
      </c>
      <c r="M141" s="5">
        <v>0.8</v>
      </c>
      <c r="N141" s="5">
        <v>1.3</v>
      </c>
      <c r="O141" s="5">
        <v>2.2000000000000002</v>
      </c>
      <c r="P141" s="5">
        <v>0.8</v>
      </c>
      <c r="Q141" s="6">
        <f>IF(sim.tbl[[#This Row],[Dens]]&lt;=770,1,0)</f>
        <v>0</v>
      </c>
      <c r="R141" s="6">
        <f>IF(AND(sim.tbl[[#This Row],[Sulf]]&gt;0.5,sim.tbl[[#This Row],[Dens]]&gt;770,sim.tbl[[#This Row],[Dens]]&lt;=825),1,0)</f>
        <v>1</v>
      </c>
      <c r="S141" s="6">
        <f>IF(AND(sim.tbl[[#This Row],[Sulf]]&lt;=0.5,sim.tbl[[#This Row],[Dens]]&gt;770,sim.tbl[[#This Row],[Dens]]&lt;=825),1,0)</f>
        <v>0</v>
      </c>
      <c r="T141" s="6">
        <f>IF(AND(sim.tbl[[#This Row],[Sulf]]&gt;0.5,sim.tbl[[#This Row],[Dens]]&gt;825,sim.tbl[[#This Row],[Dens]]&lt;=870),1,0)</f>
        <v>0</v>
      </c>
      <c r="U141" s="6">
        <f>IF(AND(sim.tbl[[#This Row],[Sulf]]&lt;0.5,sim.tbl[[#This Row],[Dens]]&gt;825,sim.tbl[[#This Row],[Dens]]&lt;=900),1,0)</f>
        <v>0</v>
      </c>
      <c r="V141" s="6">
        <f>IF(AND(sim.tbl[[#This Row],[Sulf]]&gt;0.5,sim.tbl[[#This Row],[Dens]]&gt;870,sim.tbl[[#This Row],[Dens]]&lt;=900),1,0)</f>
        <v>0</v>
      </c>
      <c r="W141" s="6">
        <f>IF(AND(sim.tbl[[#This Row],[Sulf]]&gt;0.5,sim.tbl[[#This Row],[Dens]]&gt;900),1,0)</f>
        <v>0</v>
      </c>
      <c r="X141" s="6">
        <f>IF(AND(sim.tbl[[#This Row],[Sulf]]&lt;=0.5,sim.tbl[[#This Row],[Dens]]&gt;900),1,0)</f>
        <v>0</v>
      </c>
      <c r="Y141" s="6">
        <f ca="1">IF(MONTH(sim.tbl[[#This Row],[SDate]])=INDEX(mthLkUp.tbl[Num],MATCH(Y$3,mthLkUp.tbl[Month],0)),1,0)</f>
        <v>0</v>
      </c>
      <c r="Z141" s="6">
        <f ca="1">IF(MONTH(sim.tbl[[#This Row],[SDate]])=INDEX(mthLkUp.tbl[Num],MATCH(Z$3,mthLkUp.tbl[Month],0)),1,0)</f>
        <v>0</v>
      </c>
      <c r="AA141" s="6">
        <f ca="1">IF(MONTH(sim.tbl[[#This Row],[SDate]])=INDEX(mthLkUp.tbl[Num],MATCH(AA$3,mthLkUp.tbl[Month],0)),1,0)</f>
        <v>1</v>
      </c>
      <c r="AB141" s="6">
        <f ca="1">IF(MONTH(sim.tbl[[#This Row],[SDate]])=INDEX(mthLkUp.tbl[Num],MATCH(AB$3,mthLkUp.tbl[Month],0)),1,0)</f>
        <v>0</v>
      </c>
      <c r="AC141" s="6">
        <f ca="1">IF(MONTH(sim.tbl[[#This Row],[SDate]])=INDEX(mthLkUp.tbl[Num],MATCH(AC$3,mthLkUp.tbl[Month],0)),1,0)</f>
        <v>0</v>
      </c>
      <c r="AD141" s="6">
        <f ca="1">IF(MONTH(sim.tbl[[#This Row],[SDate]])=INDEX(mthLkUp.tbl[Num],MATCH(AD$3,mthLkUp.tbl[Month],0)),1,0)</f>
        <v>0</v>
      </c>
      <c r="AE141" s="6">
        <f ca="1">IF(MONTH(sim.tbl[[#This Row],[SDate]])=INDEX(mthLkUp.tbl[Num],MATCH(AE$3,mthLkUp.tbl[Month],0)),1,0)</f>
        <v>0</v>
      </c>
      <c r="AF141" s="6">
        <f ca="1">IF(MONTH(sim.tbl[[#This Row],[SDate]])=INDEX(mthLkUp.tbl[Num],MATCH(AF$3,mthLkUp.tbl[Month],0)),1,0)</f>
        <v>0</v>
      </c>
      <c r="AG141" s="6">
        <f ca="1">IF(MONTH(sim.tbl[[#This Row],[SDate]])=INDEX(mthLkUp.tbl[Num],MATCH(AG$3,mthLkUp.tbl[Month],0)),1,0)</f>
        <v>0</v>
      </c>
      <c r="AH141" s="6">
        <f ca="1">IF(MONTH(sim.tbl[[#This Row],[SDate]])=INDEX(mthLkUp.tbl[Num],MATCH(AH$3,mthLkUp.tbl[Month],0)),1,0)</f>
        <v>0</v>
      </c>
      <c r="AI141" s="6">
        <f ca="1">IF(MONTH(sim.tbl[[#This Row],[SDate]])=INDEX(mthLkUp.tbl[Num],MATCH(AI$3,mthLkUp.tbl[Month],0)),1,0)</f>
        <v>0</v>
      </c>
      <c r="AJ141" s="6">
        <f ca="1">IF(MONTH(sim.tbl[[#This Row],[SDate]])=INDEX(mthLkUp.tbl[Num],MATCH(AJ$3,mthLkUp.tbl[Month],0)),1,0)</f>
        <v>0</v>
      </c>
      <c r="AK141" s="6">
        <v>1</v>
      </c>
      <c r="AL141" s="5">
        <f>sim.tbl[[#This Row],[Sulf]]*sim.tbl[[#This Row],[C5]]</f>
        <v>0</v>
      </c>
      <c r="AM141" s="5">
        <f>sim.tbl[[#This Row],[Sulf]]*sim.tbl[[#This Row],[Light_LSB]]</f>
        <v>1.36</v>
      </c>
      <c r="AN141" s="5">
        <f>sim.tbl[[#This Row],[Sulf]]*sim.tbl[[#This Row],[Light_SW]]</f>
        <v>0</v>
      </c>
      <c r="AO141" s="5">
        <f>sim.tbl[[#This Row],[Sulf]]*sim.tbl[[#This Row],[Medium_LSB]]</f>
        <v>0</v>
      </c>
      <c r="AP141" s="5">
        <f>sim.tbl[[#This Row],[Sulf]]*sim.tbl[[#This Row],[Medium_SW]]</f>
        <v>0</v>
      </c>
      <c r="AQ141" s="5">
        <f>sim.tbl[[#This Row],[Sulf]]*sim.tbl[[#This Row],[Midale]]</f>
        <v>0</v>
      </c>
      <c r="AR141" s="5">
        <f>sim.tbl[[#This Row],[Sulf]]*sim.tbl[[#This Row],[Heavy_Sour]]</f>
        <v>0</v>
      </c>
      <c r="AS141" s="5">
        <f>sim.tbl[[#This Row],[Sulf]]*sim.tbl[[#This Row],[Heavy_SW]]</f>
        <v>0</v>
      </c>
      <c r="AT141" s="5">
        <f>sim.tbl[[#This Row],[Dens]]*sim.tbl[[#This Row],[C5]]</f>
        <v>0</v>
      </c>
      <c r="AU141" s="5">
        <f>sim.tbl[[#This Row],[Dens]]*sim.tbl[[#This Row],[Light_LSB]]</f>
        <v>824.8</v>
      </c>
      <c r="AV141" s="5">
        <f>sim.tbl[[#This Row],[Dens]]*sim.tbl[[#This Row],[Light_SW]]</f>
        <v>0</v>
      </c>
      <c r="AW141" s="5">
        <f>sim.tbl[[#This Row],[Dens]]*sim.tbl[[#This Row],[Medium_LSB]]</f>
        <v>0</v>
      </c>
      <c r="AX141" s="5">
        <f>sim.tbl[[#This Row],[Dens]]*sim.tbl[[#This Row],[Medium_SW]]</f>
        <v>0</v>
      </c>
      <c r="AY141" s="5">
        <f>sim.tbl[[#This Row],[Dens]]*sim.tbl[[#This Row],[Midale]]</f>
        <v>0</v>
      </c>
      <c r="AZ141" s="5">
        <f>sim.tbl[[#This Row],[Dens]]*sim.tbl[[#This Row],[Heavy_Sour]]</f>
        <v>0</v>
      </c>
      <c r="BA141" s="5">
        <f>sim.tbl[[#This Row],[Dens]]*sim.tbl[[#This Row],[Heavy_SW]]</f>
        <v>0</v>
      </c>
      <c r="BB141" s="5">
        <f>sim.tbl[[#This Row],[Temp.Roll]]*sim.tbl[[#This Row],[C5]]</f>
        <v>0</v>
      </c>
      <c r="BC141" s="5">
        <f>sim.tbl[[#This Row],[Temp.Roll]]*sim.tbl[[#This Row],[Light_LSB]]</f>
        <v>1.5</v>
      </c>
      <c r="BD141" s="5">
        <f>sim.tbl[[#This Row],[Temp.Roll]]*sim.tbl[[#This Row],[Light_SW]]</f>
        <v>0</v>
      </c>
      <c r="BE141" s="5">
        <f>sim.tbl[[#This Row],[Temp.Roll]]*sim.tbl[[#This Row],[Medium_LSB]]</f>
        <v>0</v>
      </c>
      <c r="BF141" s="5">
        <f>sim.tbl[[#This Row],[Temp.Roll]]*sim.tbl[[#This Row],[Medium_SW]]</f>
        <v>0</v>
      </c>
      <c r="BG141" s="5">
        <f>sim.tbl[[#This Row],[Temp.Roll]]*sim.tbl[[#This Row],[Midale]]</f>
        <v>0</v>
      </c>
      <c r="BH141" s="5">
        <f>sim.tbl[[#This Row],[Temp.Roll]]*sim.tbl[[#This Row],[Heavy_Sour]]</f>
        <v>0</v>
      </c>
      <c r="BI141" s="5">
        <f>sim.tbl[[#This Row],[Temp.Roll]]*sim.tbl[[#This Row],[Heavy_SW]]</f>
        <v>0</v>
      </c>
    </row>
    <row r="142" spans="4:61" x14ac:dyDescent="0.25">
      <c r="D142" s="5">
        <f ca="1">SUMPRODUCT($F$1:$BI$1,sim.tbl[[#This Row],[Intercept]:[Temp.Roll:Heavy_SW]])</f>
        <v>87.073444640502402</v>
      </c>
      <c r="E142" s="14">
        <f ca="1">DATE(YEAR(TODAY()),INDEX(mthLkUp.tbl[Num],MATCH(mth.input,mthLkUp.tbl[Month],0)),1)</f>
        <v>42795</v>
      </c>
      <c r="F142" s="6">
        <f>1</f>
        <v>1</v>
      </c>
      <c r="G142" s="5">
        <v>1.08</v>
      </c>
      <c r="H142" s="5">
        <v>832.8</v>
      </c>
      <c r="I142" s="5">
        <v>-17.8</v>
      </c>
      <c r="J142" s="5">
        <v>-16.8</v>
      </c>
      <c r="K142" s="5">
        <v>-18.2</v>
      </c>
      <c r="L142" s="5">
        <v>-16.8</v>
      </c>
      <c r="M142" s="5">
        <v>-18.5</v>
      </c>
      <c r="N142" s="5">
        <v>-16.8</v>
      </c>
      <c r="O142" s="5">
        <v>-19</v>
      </c>
      <c r="P142" s="5">
        <v>-17.5</v>
      </c>
      <c r="Q142" s="6">
        <f>IF(sim.tbl[[#This Row],[Dens]]&lt;=770,1,0)</f>
        <v>0</v>
      </c>
      <c r="R142" s="6">
        <f>IF(AND(sim.tbl[[#This Row],[Sulf]]&gt;0.5,sim.tbl[[#This Row],[Dens]]&gt;770,sim.tbl[[#This Row],[Dens]]&lt;=825),1,0)</f>
        <v>0</v>
      </c>
      <c r="S142" s="6">
        <f>IF(AND(sim.tbl[[#This Row],[Sulf]]&lt;=0.5,sim.tbl[[#This Row],[Dens]]&gt;770,sim.tbl[[#This Row],[Dens]]&lt;=825),1,0)</f>
        <v>0</v>
      </c>
      <c r="T142" s="6">
        <f>IF(AND(sim.tbl[[#This Row],[Sulf]]&gt;0.5,sim.tbl[[#This Row],[Dens]]&gt;825,sim.tbl[[#This Row],[Dens]]&lt;=870),1,0)</f>
        <v>1</v>
      </c>
      <c r="U142" s="6">
        <f>IF(AND(sim.tbl[[#This Row],[Sulf]]&lt;0.5,sim.tbl[[#This Row],[Dens]]&gt;825,sim.tbl[[#This Row],[Dens]]&lt;=900),1,0)</f>
        <v>0</v>
      </c>
      <c r="V142" s="6">
        <f>IF(AND(sim.tbl[[#This Row],[Sulf]]&gt;0.5,sim.tbl[[#This Row],[Dens]]&gt;870,sim.tbl[[#This Row],[Dens]]&lt;=900),1,0)</f>
        <v>0</v>
      </c>
      <c r="W142" s="6">
        <f>IF(AND(sim.tbl[[#This Row],[Sulf]]&gt;0.5,sim.tbl[[#This Row],[Dens]]&gt;900),1,0)</f>
        <v>0</v>
      </c>
      <c r="X142" s="6">
        <f>IF(AND(sim.tbl[[#This Row],[Sulf]]&lt;=0.5,sim.tbl[[#This Row],[Dens]]&gt;900),1,0)</f>
        <v>0</v>
      </c>
      <c r="Y142" s="6">
        <f ca="1">IF(MONTH(sim.tbl[[#This Row],[SDate]])=INDEX(mthLkUp.tbl[Num],MATCH(Y$3,mthLkUp.tbl[Month],0)),1,0)</f>
        <v>0</v>
      </c>
      <c r="Z142" s="6">
        <f ca="1">IF(MONTH(sim.tbl[[#This Row],[SDate]])=INDEX(mthLkUp.tbl[Num],MATCH(Z$3,mthLkUp.tbl[Month],0)),1,0)</f>
        <v>0</v>
      </c>
      <c r="AA142" s="6">
        <f ca="1">IF(MONTH(sim.tbl[[#This Row],[SDate]])=INDEX(mthLkUp.tbl[Num],MATCH(AA$3,mthLkUp.tbl[Month],0)),1,0)</f>
        <v>1</v>
      </c>
      <c r="AB142" s="6">
        <f ca="1">IF(MONTH(sim.tbl[[#This Row],[SDate]])=INDEX(mthLkUp.tbl[Num],MATCH(AB$3,mthLkUp.tbl[Month],0)),1,0)</f>
        <v>0</v>
      </c>
      <c r="AC142" s="6">
        <f ca="1">IF(MONTH(sim.tbl[[#This Row],[SDate]])=INDEX(mthLkUp.tbl[Num],MATCH(AC$3,mthLkUp.tbl[Month],0)),1,0)</f>
        <v>0</v>
      </c>
      <c r="AD142" s="6">
        <f ca="1">IF(MONTH(sim.tbl[[#This Row],[SDate]])=INDEX(mthLkUp.tbl[Num],MATCH(AD$3,mthLkUp.tbl[Month],0)),1,0)</f>
        <v>0</v>
      </c>
      <c r="AE142" s="6">
        <f ca="1">IF(MONTH(sim.tbl[[#This Row],[SDate]])=INDEX(mthLkUp.tbl[Num],MATCH(AE$3,mthLkUp.tbl[Month],0)),1,0)</f>
        <v>0</v>
      </c>
      <c r="AF142" s="6">
        <f ca="1">IF(MONTH(sim.tbl[[#This Row],[SDate]])=INDEX(mthLkUp.tbl[Num],MATCH(AF$3,mthLkUp.tbl[Month],0)),1,0)</f>
        <v>0</v>
      </c>
      <c r="AG142" s="6">
        <f ca="1">IF(MONTH(sim.tbl[[#This Row],[SDate]])=INDEX(mthLkUp.tbl[Num],MATCH(AG$3,mthLkUp.tbl[Month],0)),1,0)</f>
        <v>0</v>
      </c>
      <c r="AH142" s="6">
        <f ca="1">IF(MONTH(sim.tbl[[#This Row],[SDate]])=INDEX(mthLkUp.tbl[Num],MATCH(AH$3,mthLkUp.tbl[Month],0)),1,0)</f>
        <v>0</v>
      </c>
      <c r="AI142" s="6">
        <f ca="1">IF(MONTH(sim.tbl[[#This Row],[SDate]])=INDEX(mthLkUp.tbl[Num],MATCH(AI$3,mthLkUp.tbl[Month],0)),1,0)</f>
        <v>0</v>
      </c>
      <c r="AJ142" s="6">
        <f ca="1">IF(MONTH(sim.tbl[[#This Row],[SDate]])=INDEX(mthLkUp.tbl[Num],MATCH(AJ$3,mthLkUp.tbl[Month],0)),1,0)</f>
        <v>0</v>
      </c>
      <c r="AK142" s="6">
        <v>1</v>
      </c>
      <c r="AL142" s="5">
        <f>sim.tbl[[#This Row],[Sulf]]*sim.tbl[[#This Row],[C5]]</f>
        <v>0</v>
      </c>
      <c r="AM142" s="5">
        <f>sim.tbl[[#This Row],[Sulf]]*sim.tbl[[#This Row],[Light_LSB]]</f>
        <v>0</v>
      </c>
      <c r="AN142" s="5">
        <f>sim.tbl[[#This Row],[Sulf]]*sim.tbl[[#This Row],[Light_SW]]</f>
        <v>0</v>
      </c>
      <c r="AO142" s="5">
        <f>sim.tbl[[#This Row],[Sulf]]*sim.tbl[[#This Row],[Medium_LSB]]</f>
        <v>1.08</v>
      </c>
      <c r="AP142" s="5">
        <f>sim.tbl[[#This Row],[Sulf]]*sim.tbl[[#This Row],[Medium_SW]]</f>
        <v>0</v>
      </c>
      <c r="AQ142" s="5">
        <f>sim.tbl[[#This Row],[Sulf]]*sim.tbl[[#This Row],[Midale]]</f>
        <v>0</v>
      </c>
      <c r="AR142" s="5">
        <f>sim.tbl[[#This Row],[Sulf]]*sim.tbl[[#This Row],[Heavy_Sour]]</f>
        <v>0</v>
      </c>
      <c r="AS142" s="5">
        <f>sim.tbl[[#This Row],[Sulf]]*sim.tbl[[#This Row],[Heavy_SW]]</f>
        <v>0</v>
      </c>
      <c r="AT142" s="5">
        <f>sim.tbl[[#This Row],[Dens]]*sim.tbl[[#This Row],[C5]]</f>
        <v>0</v>
      </c>
      <c r="AU142" s="5">
        <f>sim.tbl[[#This Row],[Dens]]*sim.tbl[[#This Row],[Light_LSB]]</f>
        <v>0</v>
      </c>
      <c r="AV142" s="5">
        <f>sim.tbl[[#This Row],[Dens]]*sim.tbl[[#This Row],[Light_SW]]</f>
        <v>0</v>
      </c>
      <c r="AW142" s="5">
        <f>sim.tbl[[#This Row],[Dens]]*sim.tbl[[#This Row],[Medium_LSB]]</f>
        <v>832.8</v>
      </c>
      <c r="AX142" s="5">
        <f>sim.tbl[[#This Row],[Dens]]*sim.tbl[[#This Row],[Medium_SW]]</f>
        <v>0</v>
      </c>
      <c r="AY142" s="5">
        <f>sim.tbl[[#This Row],[Dens]]*sim.tbl[[#This Row],[Midale]]</f>
        <v>0</v>
      </c>
      <c r="AZ142" s="5">
        <f>sim.tbl[[#This Row],[Dens]]*sim.tbl[[#This Row],[Heavy_Sour]]</f>
        <v>0</v>
      </c>
      <c r="BA142" s="5">
        <f>sim.tbl[[#This Row],[Dens]]*sim.tbl[[#This Row],[Heavy_SW]]</f>
        <v>0</v>
      </c>
      <c r="BB142" s="5">
        <f>sim.tbl[[#This Row],[Temp.Roll]]*sim.tbl[[#This Row],[C5]]</f>
        <v>0</v>
      </c>
      <c r="BC142" s="5">
        <f>sim.tbl[[#This Row],[Temp.Roll]]*sim.tbl[[#This Row],[Light_LSB]]</f>
        <v>0</v>
      </c>
      <c r="BD142" s="5">
        <f>sim.tbl[[#This Row],[Temp.Roll]]*sim.tbl[[#This Row],[Light_SW]]</f>
        <v>0</v>
      </c>
      <c r="BE142" s="5">
        <f>sim.tbl[[#This Row],[Temp.Roll]]*sim.tbl[[#This Row],[Medium_LSB]]</f>
        <v>-16.8</v>
      </c>
      <c r="BF142" s="5">
        <f>sim.tbl[[#This Row],[Temp.Roll]]*sim.tbl[[#This Row],[Medium_SW]]</f>
        <v>0</v>
      </c>
      <c r="BG142" s="5">
        <f>sim.tbl[[#This Row],[Temp.Roll]]*sim.tbl[[#This Row],[Midale]]</f>
        <v>0</v>
      </c>
      <c r="BH142" s="5">
        <f>sim.tbl[[#This Row],[Temp.Roll]]*sim.tbl[[#This Row],[Heavy_Sour]]</f>
        <v>0</v>
      </c>
      <c r="BI142" s="5">
        <f>sim.tbl[[#This Row],[Temp.Roll]]*sim.tbl[[#This Row],[Heavy_SW]]</f>
        <v>0</v>
      </c>
    </row>
    <row r="143" spans="4:61" x14ac:dyDescent="0.25">
      <c r="D143" s="5">
        <f ca="1">SUMPRODUCT($F$1:$BI$1,sim.tbl[[#This Row],[Intercept]:[Temp.Roll:Heavy_SW]])</f>
        <v>86.414012479986098</v>
      </c>
      <c r="E143" s="14">
        <f ca="1">DATE(YEAR(TODAY()),INDEX(mthLkUp.tbl[Num],MATCH(mth.input,mthLkUp.tbl[Month],0)),1)</f>
        <v>42795</v>
      </c>
      <c r="F143" s="6">
        <f>1</f>
        <v>1</v>
      </c>
      <c r="G143" s="5">
        <v>0.79</v>
      </c>
      <c r="H143" s="5">
        <v>834.4</v>
      </c>
      <c r="I143" s="5">
        <v>-14.93333333</v>
      </c>
      <c r="J143" s="5">
        <v>-16.3</v>
      </c>
      <c r="K143" s="5">
        <v>-17.100000000000001</v>
      </c>
      <c r="L143" s="5">
        <v>-16.3</v>
      </c>
      <c r="M143" s="5">
        <v>-13.8</v>
      </c>
      <c r="N143" s="5">
        <v>-14.3</v>
      </c>
      <c r="O143" s="5">
        <v>-13.3</v>
      </c>
      <c r="P143" s="5">
        <v>-14.8</v>
      </c>
      <c r="Q143" s="6">
        <f>IF(sim.tbl[[#This Row],[Dens]]&lt;=770,1,0)</f>
        <v>0</v>
      </c>
      <c r="R143" s="6">
        <f>IF(AND(sim.tbl[[#This Row],[Sulf]]&gt;0.5,sim.tbl[[#This Row],[Dens]]&gt;770,sim.tbl[[#This Row],[Dens]]&lt;=825),1,0)</f>
        <v>0</v>
      </c>
      <c r="S143" s="6">
        <f>IF(AND(sim.tbl[[#This Row],[Sulf]]&lt;=0.5,sim.tbl[[#This Row],[Dens]]&gt;770,sim.tbl[[#This Row],[Dens]]&lt;=825),1,0)</f>
        <v>0</v>
      </c>
      <c r="T143" s="6">
        <f>IF(AND(sim.tbl[[#This Row],[Sulf]]&gt;0.5,sim.tbl[[#This Row],[Dens]]&gt;825,sim.tbl[[#This Row],[Dens]]&lt;=870),1,0)</f>
        <v>1</v>
      </c>
      <c r="U143" s="6">
        <f>IF(AND(sim.tbl[[#This Row],[Sulf]]&lt;0.5,sim.tbl[[#This Row],[Dens]]&gt;825,sim.tbl[[#This Row],[Dens]]&lt;=900),1,0)</f>
        <v>0</v>
      </c>
      <c r="V143" s="6">
        <f>IF(AND(sim.tbl[[#This Row],[Sulf]]&gt;0.5,sim.tbl[[#This Row],[Dens]]&gt;870,sim.tbl[[#This Row],[Dens]]&lt;=900),1,0)</f>
        <v>0</v>
      </c>
      <c r="W143" s="6">
        <f>IF(AND(sim.tbl[[#This Row],[Sulf]]&gt;0.5,sim.tbl[[#This Row],[Dens]]&gt;900),1,0)</f>
        <v>0</v>
      </c>
      <c r="X143" s="6">
        <f>IF(AND(sim.tbl[[#This Row],[Sulf]]&lt;=0.5,sim.tbl[[#This Row],[Dens]]&gt;900),1,0)</f>
        <v>0</v>
      </c>
      <c r="Y143" s="6">
        <f ca="1">IF(MONTH(sim.tbl[[#This Row],[SDate]])=INDEX(mthLkUp.tbl[Num],MATCH(Y$3,mthLkUp.tbl[Month],0)),1,0)</f>
        <v>0</v>
      </c>
      <c r="Z143" s="6">
        <f ca="1">IF(MONTH(sim.tbl[[#This Row],[SDate]])=INDEX(mthLkUp.tbl[Num],MATCH(Z$3,mthLkUp.tbl[Month],0)),1,0)</f>
        <v>0</v>
      </c>
      <c r="AA143" s="6">
        <f ca="1">IF(MONTH(sim.tbl[[#This Row],[SDate]])=INDEX(mthLkUp.tbl[Num],MATCH(AA$3,mthLkUp.tbl[Month],0)),1,0)</f>
        <v>1</v>
      </c>
      <c r="AB143" s="6">
        <f ca="1">IF(MONTH(sim.tbl[[#This Row],[SDate]])=INDEX(mthLkUp.tbl[Num],MATCH(AB$3,mthLkUp.tbl[Month],0)),1,0)</f>
        <v>0</v>
      </c>
      <c r="AC143" s="6">
        <f ca="1">IF(MONTH(sim.tbl[[#This Row],[SDate]])=INDEX(mthLkUp.tbl[Num],MATCH(AC$3,mthLkUp.tbl[Month],0)),1,0)</f>
        <v>0</v>
      </c>
      <c r="AD143" s="6">
        <f ca="1">IF(MONTH(sim.tbl[[#This Row],[SDate]])=INDEX(mthLkUp.tbl[Num],MATCH(AD$3,mthLkUp.tbl[Month],0)),1,0)</f>
        <v>0</v>
      </c>
      <c r="AE143" s="6">
        <f ca="1">IF(MONTH(sim.tbl[[#This Row],[SDate]])=INDEX(mthLkUp.tbl[Num],MATCH(AE$3,mthLkUp.tbl[Month],0)),1,0)</f>
        <v>0</v>
      </c>
      <c r="AF143" s="6">
        <f ca="1">IF(MONTH(sim.tbl[[#This Row],[SDate]])=INDEX(mthLkUp.tbl[Num],MATCH(AF$3,mthLkUp.tbl[Month],0)),1,0)</f>
        <v>0</v>
      </c>
      <c r="AG143" s="6">
        <f ca="1">IF(MONTH(sim.tbl[[#This Row],[SDate]])=INDEX(mthLkUp.tbl[Num],MATCH(AG$3,mthLkUp.tbl[Month],0)),1,0)</f>
        <v>0</v>
      </c>
      <c r="AH143" s="6">
        <f ca="1">IF(MONTH(sim.tbl[[#This Row],[SDate]])=INDEX(mthLkUp.tbl[Num],MATCH(AH$3,mthLkUp.tbl[Month],0)),1,0)</f>
        <v>0</v>
      </c>
      <c r="AI143" s="6">
        <f ca="1">IF(MONTH(sim.tbl[[#This Row],[SDate]])=INDEX(mthLkUp.tbl[Num],MATCH(AI$3,mthLkUp.tbl[Month],0)),1,0)</f>
        <v>0</v>
      </c>
      <c r="AJ143" s="6">
        <f ca="1">IF(MONTH(sim.tbl[[#This Row],[SDate]])=INDEX(mthLkUp.tbl[Num],MATCH(AJ$3,mthLkUp.tbl[Month],0)),1,0)</f>
        <v>0</v>
      </c>
      <c r="AK143" s="6">
        <v>1</v>
      </c>
      <c r="AL143" s="5">
        <f>sim.tbl[[#This Row],[Sulf]]*sim.tbl[[#This Row],[C5]]</f>
        <v>0</v>
      </c>
      <c r="AM143" s="5">
        <f>sim.tbl[[#This Row],[Sulf]]*sim.tbl[[#This Row],[Light_LSB]]</f>
        <v>0</v>
      </c>
      <c r="AN143" s="5">
        <f>sim.tbl[[#This Row],[Sulf]]*sim.tbl[[#This Row],[Light_SW]]</f>
        <v>0</v>
      </c>
      <c r="AO143" s="5">
        <f>sim.tbl[[#This Row],[Sulf]]*sim.tbl[[#This Row],[Medium_LSB]]</f>
        <v>0.79</v>
      </c>
      <c r="AP143" s="5">
        <f>sim.tbl[[#This Row],[Sulf]]*sim.tbl[[#This Row],[Medium_SW]]</f>
        <v>0</v>
      </c>
      <c r="AQ143" s="5">
        <f>sim.tbl[[#This Row],[Sulf]]*sim.tbl[[#This Row],[Midale]]</f>
        <v>0</v>
      </c>
      <c r="AR143" s="5">
        <f>sim.tbl[[#This Row],[Sulf]]*sim.tbl[[#This Row],[Heavy_Sour]]</f>
        <v>0</v>
      </c>
      <c r="AS143" s="5">
        <f>sim.tbl[[#This Row],[Sulf]]*sim.tbl[[#This Row],[Heavy_SW]]</f>
        <v>0</v>
      </c>
      <c r="AT143" s="5">
        <f>sim.tbl[[#This Row],[Dens]]*sim.tbl[[#This Row],[C5]]</f>
        <v>0</v>
      </c>
      <c r="AU143" s="5">
        <f>sim.tbl[[#This Row],[Dens]]*sim.tbl[[#This Row],[Light_LSB]]</f>
        <v>0</v>
      </c>
      <c r="AV143" s="5">
        <f>sim.tbl[[#This Row],[Dens]]*sim.tbl[[#This Row],[Light_SW]]</f>
        <v>0</v>
      </c>
      <c r="AW143" s="5">
        <f>sim.tbl[[#This Row],[Dens]]*sim.tbl[[#This Row],[Medium_LSB]]</f>
        <v>834.4</v>
      </c>
      <c r="AX143" s="5">
        <f>sim.tbl[[#This Row],[Dens]]*sim.tbl[[#This Row],[Medium_SW]]</f>
        <v>0</v>
      </c>
      <c r="AY143" s="5">
        <f>sim.tbl[[#This Row],[Dens]]*sim.tbl[[#This Row],[Midale]]</f>
        <v>0</v>
      </c>
      <c r="AZ143" s="5">
        <f>sim.tbl[[#This Row],[Dens]]*sim.tbl[[#This Row],[Heavy_Sour]]</f>
        <v>0</v>
      </c>
      <c r="BA143" s="5">
        <f>sim.tbl[[#This Row],[Dens]]*sim.tbl[[#This Row],[Heavy_SW]]</f>
        <v>0</v>
      </c>
      <c r="BB143" s="5">
        <f>sim.tbl[[#This Row],[Temp.Roll]]*sim.tbl[[#This Row],[C5]]</f>
        <v>0</v>
      </c>
      <c r="BC143" s="5">
        <f>sim.tbl[[#This Row],[Temp.Roll]]*sim.tbl[[#This Row],[Light_LSB]]</f>
        <v>0</v>
      </c>
      <c r="BD143" s="5">
        <f>sim.tbl[[#This Row],[Temp.Roll]]*sim.tbl[[#This Row],[Light_SW]]</f>
        <v>0</v>
      </c>
      <c r="BE143" s="5">
        <f>sim.tbl[[#This Row],[Temp.Roll]]*sim.tbl[[#This Row],[Medium_LSB]]</f>
        <v>-16.3</v>
      </c>
      <c r="BF143" s="5">
        <f>sim.tbl[[#This Row],[Temp.Roll]]*sim.tbl[[#This Row],[Medium_SW]]</f>
        <v>0</v>
      </c>
      <c r="BG143" s="5">
        <f>sim.tbl[[#This Row],[Temp.Roll]]*sim.tbl[[#This Row],[Midale]]</f>
        <v>0</v>
      </c>
      <c r="BH143" s="5">
        <f>sim.tbl[[#This Row],[Temp.Roll]]*sim.tbl[[#This Row],[Heavy_Sour]]</f>
        <v>0</v>
      </c>
      <c r="BI143" s="5">
        <f>sim.tbl[[#This Row],[Temp.Roll]]*sim.tbl[[#This Row],[Heavy_SW]]</f>
        <v>0</v>
      </c>
    </row>
    <row r="144" spans="4:61" x14ac:dyDescent="0.25">
      <c r="D144" s="5">
        <f ca="1">SUMPRODUCT($F$1:$BI$1,sim.tbl[[#This Row],[Intercept]:[Temp.Roll:Heavy_SW]])</f>
        <v>78.621121809320726</v>
      </c>
      <c r="E144" s="14">
        <f ca="1">DATE(YEAR(TODAY()),INDEX(mthLkUp.tbl[Num],MATCH(mth.input,mthLkUp.tbl[Month],0)),1)</f>
        <v>42795</v>
      </c>
      <c r="F144" s="6">
        <f>1</f>
        <v>1</v>
      </c>
      <c r="G144" s="5">
        <v>1.74</v>
      </c>
      <c r="H144" s="5">
        <v>837.6</v>
      </c>
      <c r="I144" s="5">
        <v>0.35</v>
      </c>
      <c r="J144" s="5">
        <v>2.7</v>
      </c>
      <c r="K144" s="5">
        <v>2</v>
      </c>
      <c r="L144" s="5">
        <v>2.7</v>
      </c>
      <c r="M144" s="5">
        <v>-1.5</v>
      </c>
      <c r="N144" s="5">
        <v>0.8</v>
      </c>
      <c r="O144" s="5">
        <v>-0.6</v>
      </c>
      <c r="P144" s="5">
        <v>-1.3</v>
      </c>
      <c r="Q144" s="6">
        <f>IF(sim.tbl[[#This Row],[Dens]]&lt;=770,1,0)</f>
        <v>0</v>
      </c>
      <c r="R144" s="6">
        <f>IF(AND(sim.tbl[[#This Row],[Sulf]]&gt;0.5,sim.tbl[[#This Row],[Dens]]&gt;770,sim.tbl[[#This Row],[Dens]]&lt;=825),1,0)</f>
        <v>0</v>
      </c>
      <c r="S144" s="6">
        <f>IF(AND(sim.tbl[[#This Row],[Sulf]]&lt;=0.5,sim.tbl[[#This Row],[Dens]]&gt;770,sim.tbl[[#This Row],[Dens]]&lt;=825),1,0)</f>
        <v>0</v>
      </c>
      <c r="T144" s="6">
        <f>IF(AND(sim.tbl[[#This Row],[Sulf]]&gt;0.5,sim.tbl[[#This Row],[Dens]]&gt;825,sim.tbl[[#This Row],[Dens]]&lt;=870),1,0)</f>
        <v>1</v>
      </c>
      <c r="U144" s="6">
        <f>IF(AND(sim.tbl[[#This Row],[Sulf]]&lt;0.5,sim.tbl[[#This Row],[Dens]]&gt;825,sim.tbl[[#This Row],[Dens]]&lt;=900),1,0)</f>
        <v>0</v>
      </c>
      <c r="V144" s="6">
        <f>IF(AND(sim.tbl[[#This Row],[Sulf]]&gt;0.5,sim.tbl[[#This Row],[Dens]]&gt;870,sim.tbl[[#This Row],[Dens]]&lt;=900),1,0)</f>
        <v>0</v>
      </c>
      <c r="W144" s="6">
        <f>IF(AND(sim.tbl[[#This Row],[Sulf]]&gt;0.5,sim.tbl[[#This Row],[Dens]]&gt;900),1,0)</f>
        <v>0</v>
      </c>
      <c r="X144" s="6">
        <f>IF(AND(sim.tbl[[#This Row],[Sulf]]&lt;=0.5,sim.tbl[[#This Row],[Dens]]&gt;900),1,0)</f>
        <v>0</v>
      </c>
      <c r="Y144" s="6">
        <f ca="1">IF(MONTH(sim.tbl[[#This Row],[SDate]])=INDEX(mthLkUp.tbl[Num],MATCH(Y$3,mthLkUp.tbl[Month],0)),1,0)</f>
        <v>0</v>
      </c>
      <c r="Z144" s="6">
        <f ca="1">IF(MONTH(sim.tbl[[#This Row],[SDate]])=INDEX(mthLkUp.tbl[Num],MATCH(Z$3,mthLkUp.tbl[Month],0)),1,0)</f>
        <v>0</v>
      </c>
      <c r="AA144" s="6">
        <f ca="1">IF(MONTH(sim.tbl[[#This Row],[SDate]])=INDEX(mthLkUp.tbl[Num],MATCH(AA$3,mthLkUp.tbl[Month],0)),1,0)</f>
        <v>1</v>
      </c>
      <c r="AB144" s="6">
        <f ca="1">IF(MONTH(sim.tbl[[#This Row],[SDate]])=INDEX(mthLkUp.tbl[Num],MATCH(AB$3,mthLkUp.tbl[Month],0)),1,0)</f>
        <v>0</v>
      </c>
      <c r="AC144" s="6">
        <f ca="1">IF(MONTH(sim.tbl[[#This Row],[SDate]])=INDEX(mthLkUp.tbl[Num],MATCH(AC$3,mthLkUp.tbl[Month],0)),1,0)</f>
        <v>0</v>
      </c>
      <c r="AD144" s="6">
        <f ca="1">IF(MONTH(sim.tbl[[#This Row],[SDate]])=INDEX(mthLkUp.tbl[Num],MATCH(AD$3,mthLkUp.tbl[Month],0)),1,0)</f>
        <v>0</v>
      </c>
      <c r="AE144" s="6">
        <f ca="1">IF(MONTH(sim.tbl[[#This Row],[SDate]])=INDEX(mthLkUp.tbl[Num],MATCH(AE$3,mthLkUp.tbl[Month],0)),1,0)</f>
        <v>0</v>
      </c>
      <c r="AF144" s="6">
        <f ca="1">IF(MONTH(sim.tbl[[#This Row],[SDate]])=INDEX(mthLkUp.tbl[Num],MATCH(AF$3,mthLkUp.tbl[Month],0)),1,0)</f>
        <v>0</v>
      </c>
      <c r="AG144" s="6">
        <f ca="1">IF(MONTH(sim.tbl[[#This Row],[SDate]])=INDEX(mthLkUp.tbl[Num],MATCH(AG$3,mthLkUp.tbl[Month],0)),1,0)</f>
        <v>0</v>
      </c>
      <c r="AH144" s="6">
        <f ca="1">IF(MONTH(sim.tbl[[#This Row],[SDate]])=INDEX(mthLkUp.tbl[Num],MATCH(AH$3,mthLkUp.tbl[Month],0)),1,0)</f>
        <v>0</v>
      </c>
      <c r="AI144" s="6">
        <f ca="1">IF(MONTH(sim.tbl[[#This Row],[SDate]])=INDEX(mthLkUp.tbl[Num],MATCH(AI$3,mthLkUp.tbl[Month],0)),1,0)</f>
        <v>0</v>
      </c>
      <c r="AJ144" s="6">
        <f ca="1">IF(MONTH(sim.tbl[[#This Row],[SDate]])=INDEX(mthLkUp.tbl[Num],MATCH(AJ$3,mthLkUp.tbl[Month],0)),1,0)</f>
        <v>0</v>
      </c>
      <c r="AK144" s="6">
        <v>1</v>
      </c>
      <c r="AL144" s="5">
        <f>sim.tbl[[#This Row],[Sulf]]*sim.tbl[[#This Row],[C5]]</f>
        <v>0</v>
      </c>
      <c r="AM144" s="5">
        <f>sim.tbl[[#This Row],[Sulf]]*sim.tbl[[#This Row],[Light_LSB]]</f>
        <v>0</v>
      </c>
      <c r="AN144" s="5">
        <f>sim.tbl[[#This Row],[Sulf]]*sim.tbl[[#This Row],[Light_SW]]</f>
        <v>0</v>
      </c>
      <c r="AO144" s="5">
        <f>sim.tbl[[#This Row],[Sulf]]*sim.tbl[[#This Row],[Medium_LSB]]</f>
        <v>1.74</v>
      </c>
      <c r="AP144" s="5">
        <f>sim.tbl[[#This Row],[Sulf]]*sim.tbl[[#This Row],[Medium_SW]]</f>
        <v>0</v>
      </c>
      <c r="AQ144" s="5">
        <f>sim.tbl[[#This Row],[Sulf]]*sim.tbl[[#This Row],[Midale]]</f>
        <v>0</v>
      </c>
      <c r="AR144" s="5">
        <f>sim.tbl[[#This Row],[Sulf]]*sim.tbl[[#This Row],[Heavy_Sour]]</f>
        <v>0</v>
      </c>
      <c r="AS144" s="5">
        <f>sim.tbl[[#This Row],[Sulf]]*sim.tbl[[#This Row],[Heavy_SW]]</f>
        <v>0</v>
      </c>
      <c r="AT144" s="5">
        <f>sim.tbl[[#This Row],[Dens]]*sim.tbl[[#This Row],[C5]]</f>
        <v>0</v>
      </c>
      <c r="AU144" s="5">
        <f>sim.tbl[[#This Row],[Dens]]*sim.tbl[[#This Row],[Light_LSB]]</f>
        <v>0</v>
      </c>
      <c r="AV144" s="5">
        <f>sim.tbl[[#This Row],[Dens]]*sim.tbl[[#This Row],[Light_SW]]</f>
        <v>0</v>
      </c>
      <c r="AW144" s="5">
        <f>sim.tbl[[#This Row],[Dens]]*sim.tbl[[#This Row],[Medium_LSB]]</f>
        <v>837.6</v>
      </c>
      <c r="AX144" s="5">
        <f>sim.tbl[[#This Row],[Dens]]*sim.tbl[[#This Row],[Medium_SW]]</f>
        <v>0</v>
      </c>
      <c r="AY144" s="5">
        <f>sim.tbl[[#This Row],[Dens]]*sim.tbl[[#This Row],[Midale]]</f>
        <v>0</v>
      </c>
      <c r="AZ144" s="5">
        <f>sim.tbl[[#This Row],[Dens]]*sim.tbl[[#This Row],[Heavy_Sour]]</f>
        <v>0</v>
      </c>
      <c r="BA144" s="5">
        <f>sim.tbl[[#This Row],[Dens]]*sim.tbl[[#This Row],[Heavy_SW]]</f>
        <v>0</v>
      </c>
      <c r="BB144" s="5">
        <f>sim.tbl[[#This Row],[Temp.Roll]]*sim.tbl[[#This Row],[C5]]</f>
        <v>0</v>
      </c>
      <c r="BC144" s="5">
        <f>sim.tbl[[#This Row],[Temp.Roll]]*sim.tbl[[#This Row],[Light_LSB]]</f>
        <v>0</v>
      </c>
      <c r="BD144" s="5">
        <f>sim.tbl[[#This Row],[Temp.Roll]]*sim.tbl[[#This Row],[Light_SW]]</f>
        <v>0</v>
      </c>
      <c r="BE144" s="5">
        <f>sim.tbl[[#This Row],[Temp.Roll]]*sim.tbl[[#This Row],[Medium_LSB]]</f>
        <v>2.7</v>
      </c>
      <c r="BF144" s="5">
        <f>sim.tbl[[#This Row],[Temp.Roll]]*sim.tbl[[#This Row],[Medium_SW]]</f>
        <v>0</v>
      </c>
      <c r="BG144" s="5">
        <f>sim.tbl[[#This Row],[Temp.Roll]]*sim.tbl[[#This Row],[Midale]]</f>
        <v>0</v>
      </c>
      <c r="BH144" s="5">
        <f>sim.tbl[[#This Row],[Temp.Roll]]*sim.tbl[[#This Row],[Heavy_Sour]]</f>
        <v>0</v>
      </c>
      <c r="BI144" s="5">
        <f>sim.tbl[[#This Row],[Temp.Roll]]*sim.tbl[[#This Row],[Heavy_SW]]</f>
        <v>0</v>
      </c>
    </row>
    <row r="145" spans="4:61" x14ac:dyDescent="0.25">
      <c r="D145" s="5">
        <f ca="1">SUMPRODUCT($F$1:$BI$1,sim.tbl[[#This Row],[Intercept]:[Temp.Roll:Heavy_SW]])</f>
        <v>71.859446131307806</v>
      </c>
      <c r="E145" s="14">
        <f ca="1">DATE(YEAR(TODAY()),INDEX(mthLkUp.tbl[Num],MATCH(mth.input,mthLkUp.tbl[Month],0)),1)</f>
        <v>42795</v>
      </c>
      <c r="F145" s="6">
        <f>1</f>
        <v>1</v>
      </c>
      <c r="G145" s="5">
        <v>1.21</v>
      </c>
      <c r="H145" s="5">
        <v>853.2</v>
      </c>
      <c r="I145" s="5">
        <v>9.2166666670000001</v>
      </c>
      <c r="J145" s="5">
        <v>8.5</v>
      </c>
      <c r="K145" s="5">
        <v>9</v>
      </c>
      <c r="L145" s="5">
        <v>8.5</v>
      </c>
      <c r="M145" s="5">
        <v>8.8000000000000007</v>
      </c>
      <c r="N145" s="5">
        <v>8</v>
      </c>
      <c r="O145" s="5">
        <v>10.8</v>
      </c>
      <c r="P145" s="5">
        <v>10.199999999999999</v>
      </c>
      <c r="Q145" s="6">
        <f>IF(sim.tbl[[#This Row],[Dens]]&lt;=770,1,0)</f>
        <v>0</v>
      </c>
      <c r="R145" s="6">
        <f>IF(AND(sim.tbl[[#This Row],[Sulf]]&gt;0.5,sim.tbl[[#This Row],[Dens]]&gt;770,sim.tbl[[#This Row],[Dens]]&lt;=825),1,0)</f>
        <v>0</v>
      </c>
      <c r="S145" s="6">
        <f>IF(AND(sim.tbl[[#This Row],[Sulf]]&lt;=0.5,sim.tbl[[#This Row],[Dens]]&gt;770,sim.tbl[[#This Row],[Dens]]&lt;=825),1,0)</f>
        <v>0</v>
      </c>
      <c r="T145" s="6">
        <f>IF(AND(sim.tbl[[#This Row],[Sulf]]&gt;0.5,sim.tbl[[#This Row],[Dens]]&gt;825,sim.tbl[[#This Row],[Dens]]&lt;=870),1,0)</f>
        <v>1</v>
      </c>
      <c r="U145" s="6">
        <f>IF(AND(sim.tbl[[#This Row],[Sulf]]&lt;0.5,sim.tbl[[#This Row],[Dens]]&gt;825,sim.tbl[[#This Row],[Dens]]&lt;=900),1,0)</f>
        <v>0</v>
      </c>
      <c r="V145" s="6">
        <f>IF(AND(sim.tbl[[#This Row],[Sulf]]&gt;0.5,sim.tbl[[#This Row],[Dens]]&gt;870,sim.tbl[[#This Row],[Dens]]&lt;=900),1,0)</f>
        <v>0</v>
      </c>
      <c r="W145" s="6">
        <f>IF(AND(sim.tbl[[#This Row],[Sulf]]&gt;0.5,sim.tbl[[#This Row],[Dens]]&gt;900),1,0)</f>
        <v>0</v>
      </c>
      <c r="X145" s="6">
        <f>IF(AND(sim.tbl[[#This Row],[Sulf]]&lt;=0.5,sim.tbl[[#This Row],[Dens]]&gt;900),1,0)</f>
        <v>0</v>
      </c>
      <c r="Y145" s="6">
        <f ca="1">IF(MONTH(sim.tbl[[#This Row],[SDate]])=INDEX(mthLkUp.tbl[Num],MATCH(Y$3,mthLkUp.tbl[Month],0)),1,0)</f>
        <v>0</v>
      </c>
      <c r="Z145" s="6">
        <f ca="1">IF(MONTH(sim.tbl[[#This Row],[SDate]])=INDEX(mthLkUp.tbl[Num],MATCH(Z$3,mthLkUp.tbl[Month],0)),1,0)</f>
        <v>0</v>
      </c>
      <c r="AA145" s="6">
        <f ca="1">IF(MONTH(sim.tbl[[#This Row],[SDate]])=INDEX(mthLkUp.tbl[Num],MATCH(AA$3,mthLkUp.tbl[Month],0)),1,0)</f>
        <v>1</v>
      </c>
      <c r="AB145" s="6">
        <f ca="1">IF(MONTH(sim.tbl[[#This Row],[SDate]])=INDEX(mthLkUp.tbl[Num],MATCH(AB$3,mthLkUp.tbl[Month],0)),1,0)</f>
        <v>0</v>
      </c>
      <c r="AC145" s="6">
        <f ca="1">IF(MONTH(sim.tbl[[#This Row],[SDate]])=INDEX(mthLkUp.tbl[Num],MATCH(AC$3,mthLkUp.tbl[Month],0)),1,0)</f>
        <v>0</v>
      </c>
      <c r="AD145" s="6">
        <f ca="1">IF(MONTH(sim.tbl[[#This Row],[SDate]])=INDEX(mthLkUp.tbl[Num],MATCH(AD$3,mthLkUp.tbl[Month],0)),1,0)</f>
        <v>0</v>
      </c>
      <c r="AE145" s="6">
        <f ca="1">IF(MONTH(sim.tbl[[#This Row],[SDate]])=INDEX(mthLkUp.tbl[Num],MATCH(AE$3,mthLkUp.tbl[Month],0)),1,0)</f>
        <v>0</v>
      </c>
      <c r="AF145" s="6">
        <f ca="1">IF(MONTH(sim.tbl[[#This Row],[SDate]])=INDEX(mthLkUp.tbl[Num],MATCH(AF$3,mthLkUp.tbl[Month],0)),1,0)</f>
        <v>0</v>
      </c>
      <c r="AG145" s="6">
        <f ca="1">IF(MONTH(sim.tbl[[#This Row],[SDate]])=INDEX(mthLkUp.tbl[Num],MATCH(AG$3,mthLkUp.tbl[Month],0)),1,0)</f>
        <v>0</v>
      </c>
      <c r="AH145" s="6">
        <f ca="1">IF(MONTH(sim.tbl[[#This Row],[SDate]])=INDEX(mthLkUp.tbl[Num],MATCH(AH$3,mthLkUp.tbl[Month],0)),1,0)</f>
        <v>0</v>
      </c>
      <c r="AI145" s="6">
        <f ca="1">IF(MONTH(sim.tbl[[#This Row],[SDate]])=INDEX(mthLkUp.tbl[Num],MATCH(AI$3,mthLkUp.tbl[Month],0)),1,0)</f>
        <v>0</v>
      </c>
      <c r="AJ145" s="6">
        <f ca="1">IF(MONTH(sim.tbl[[#This Row],[SDate]])=INDEX(mthLkUp.tbl[Num],MATCH(AJ$3,mthLkUp.tbl[Month],0)),1,0)</f>
        <v>0</v>
      </c>
      <c r="AK145" s="6">
        <v>1</v>
      </c>
      <c r="AL145" s="5">
        <f>sim.tbl[[#This Row],[Sulf]]*sim.tbl[[#This Row],[C5]]</f>
        <v>0</v>
      </c>
      <c r="AM145" s="5">
        <f>sim.tbl[[#This Row],[Sulf]]*sim.tbl[[#This Row],[Light_LSB]]</f>
        <v>0</v>
      </c>
      <c r="AN145" s="5">
        <f>sim.tbl[[#This Row],[Sulf]]*sim.tbl[[#This Row],[Light_SW]]</f>
        <v>0</v>
      </c>
      <c r="AO145" s="5">
        <f>sim.tbl[[#This Row],[Sulf]]*sim.tbl[[#This Row],[Medium_LSB]]</f>
        <v>1.21</v>
      </c>
      <c r="AP145" s="5">
        <f>sim.tbl[[#This Row],[Sulf]]*sim.tbl[[#This Row],[Medium_SW]]</f>
        <v>0</v>
      </c>
      <c r="AQ145" s="5">
        <f>sim.tbl[[#This Row],[Sulf]]*sim.tbl[[#This Row],[Midale]]</f>
        <v>0</v>
      </c>
      <c r="AR145" s="5">
        <f>sim.tbl[[#This Row],[Sulf]]*sim.tbl[[#This Row],[Heavy_Sour]]</f>
        <v>0</v>
      </c>
      <c r="AS145" s="5">
        <f>sim.tbl[[#This Row],[Sulf]]*sim.tbl[[#This Row],[Heavy_SW]]</f>
        <v>0</v>
      </c>
      <c r="AT145" s="5">
        <f>sim.tbl[[#This Row],[Dens]]*sim.tbl[[#This Row],[C5]]</f>
        <v>0</v>
      </c>
      <c r="AU145" s="5">
        <f>sim.tbl[[#This Row],[Dens]]*sim.tbl[[#This Row],[Light_LSB]]</f>
        <v>0</v>
      </c>
      <c r="AV145" s="5">
        <f>sim.tbl[[#This Row],[Dens]]*sim.tbl[[#This Row],[Light_SW]]</f>
        <v>0</v>
      </c>
      <c r="AW145" s="5">
        <f>sim.tbl[[#This Row],[Dens]]*sim.tbl[[#This Row],[Medium_LSB]]</f>
        <v>853.2</v>
      </c>
      <c r="AX145" s="5">
        <f>sim.tbl[[#This Row],[Dens]]*sim.tbl[[#This Row],[Medium_SW]]</f>
        <v>0</v>
      </c>
      <c r="AY145" s="5">
        <f>sim.tbl[[#This Row],[Dens]]*sim.tbl[[#This Row],[Midale]]</f>
        <v>0</v>
      </c>
      <c r="AZ145" s="5">
        <f>sim.tbl[[#This Row],[Dens]]*sim.tbl[[#This Row],[Heavy_Sour]]</f>
        <v>0</v>
      </c>
      <c r="BA145" s="5">
        <f>sim.tbl[[#This Row],[Dens]]*sim.tbl[[#This Row],[Heavy_SW]]</f>
        <v>0</v>
      </c>
      <c r="BB145" s="5">
        <f>sim.tbl[[#This Row],[Temp.Roll]]*sim.tbl[[#This Row],[C5]]</f>
        <v>0</v>
      </c>
      <c r="BC145" s="5">
        <f>sim.tbl[[#This Row],[Temp.Roll]]*sim.tbl[[#This Row],[Light_LSB]]</f>
        <v>0</v>
      </c>
      <c r="BD145" s="5">
        <f>sim.tbl[[#This Row],[Temp.Roll]]*sim.tbl[[#This Row],[Light_SW]]</f>
        <v>0</v>
      </c>
      <c r="BE145" s="5">
        <f>sim.tbl[[#This Row],[Temp.Roll]]*sim.tbl[[#This Row],[Medium_LSB]]</f>
        <v>8.5</v>
      </c>
      <c r="BF145" s="5">
        <f>sim.tbl[[#This Row],[Temp.Roll]]*sim.tbl[[#This Row],[Medium_SW]]</f>
        <v>0</v>
      </c>
      <c r="BG145" s="5">
        <f>sim.tbl[[#This Row],[Temp.Roll]]*sim.tbl[[#This Row],[Midale]]</f>
        <v>0</v>
      </c>
      <c r="BH145" s="5">
        <f>sim.tbl[[#This Row],[Temp.Roll]]*sim.tbl[[#This Row],[Heavy_Sour]]</f>
        <v>0</v>
      </c>
      <c r="BI145" s="5">
        <f>sim.tbl[[#This Row],[Temp.Roll]]*sim.tbl[[#This Row],[Heavy_SW]]</f>
        <v>0</v>
      </c>
    </row>
    <row r="146" spans="4:61" x14ac:dyDescent="0.25">
      <c r="D146" s="5">
        <f ca="1">SUMPRODUCT($F$1:$BI$1,sim.tbl[[#This Row],[Intercept]:[Temp.Roll:Heavy_SW]])</f>
        <v>79.454721350532509</v>
      </c>
      <c r="E146" s="14">
        <f ca="1">DATE(YEAR(TODAY()),INDEX(mthLkUp.tbl[Num],MATCH(mth.input,mthLkUp.tbl[Month],0)),1)</f>
        <v>42795</v>
      </c>
      <c r="F146" s="6">
        <f>1</f>
        <v>1</v>
      </c>
      <c r="G146" s="5">
        <v>1.41</v>
      </c>
      <c r="H146" s="5">
        <v>853.9</v>
      </c>
      <c r="I146" s="5">
        <v>-14.616666670000001</v>
      </c>
      <c r="J146" s="5">
        <v>-13.2</v>
      </c>
      <c r="K146" s="5">
        <v>-12.6</v>
      </c>
      <c r="L146" s="5">
        <v>-13.2</v>
      </c>
      <c r="M146" s="5">
        <v>-15</v>
      </c>
      <c r="N146" s="5">
        <v>-13.3</v>
      </c>
      <c r="O146" s="5">
        <v>-15.4</v>
      </c>
      <c r="P146" s="5">
        <v>-18.2</v>
      </c>
      <c r="Q146" s="6">
        <f>IF(sim.tbl[[#This Row],[Dens]]&lt;=770,1,0)</f>
        <v>0</v>
      </c>
      <c r="R146" s="6">
        <f>IF(AND(sim.tbl[[#This Row],[Sulf]]&gt;0.5,sim.tbl[[#This Row],[Dens]]&gt;770,sim.tbl[[#This Row],[Dens]]&lt;=825),1,0)</f>
        <v>0</v>
      </c>
      <c r="S146" s="6">
        <f>IF(AND(sim.tbl[[#This Row],[Sulf]]&lt;=0.5,sim.tbl[[#This Row],[Dens]]&gt;770,sim.tbl[[#This Row],[Dens]]&lt;=825),1,0)</f>
        <v>0</v>
      </c>
      <c r="T146" s="6">
        <f>IF(AND(sim.tbl[[#This Row],[Sulf]]&gt;0.5,sim.tbl[[#This Row],[Dens]]&gt;825,sim.tbl[[#This Row],[Dens]]&lt;=870),1,0)</f>
        <v>1</v>
      </c>
      <c r="U146" s="6">
        <f>IF(AND(sim.tbl[[#This Row],[Sulf]]&lt;0.5,sim.tbl[[#This Row],[Dens]]&gt;825,sim.tbl[[#This Row],[Dens]]&lt;=900),1,0)</f>
        <v>0</v>
      </c>
      <c r="V146" s="6">
        <f>IF(AND(sim.tbl[[#This Row],[Sulf]]&gt;0.5,sim.tbl[[#This Row],[Dens]]&gt;870,sim.tbl[[#This Row],[Dens]]&lt;=900),1,0)</f>
        <v>0</v>
      </c>
      <c r="W146" s="6">
        <f>IF(AND(sim.tbl[[#This Row],[Sulf]]&gt;0.5,sim.tbl[[#This Row],[Dens]]&gt;900),1,0)</f>
        <v>0</v>
      </c>
      <c r="X146" s="6">
        <f>IF(AND(sim.tbl[[#This Row],[Sulf]]&lt;=0.5,sim.tbl[[#This Row],[Dens]]&gt;900),1,0)</f>
        <v>0</v>
      </c>
      <c r="Y146" s="6">
        <f ca="1">IF(MONTH(sim.tbl[[#This Row],[SDate]])=INDEX(mthLkUp.tbl[Num],MATCH(Y$3,mthLkUp.tbl[Month],0)),1,0)</f>
        <v>0</v>
      </c>
      <c r="Z146" s="6">
        <f ca="1">IF(MONTH(sim.tbl[[#This Row],[SDate]])=INDEX(mthLkUp.tbl[Num],MATCH(Z$3,mthLkUp.tbl[Month],0)),1,0)</f>
        <v>0</v>
      </c>
      <c r="AA146" s="6">
        <f ca="1">IF(MONTH(sim.tbl[[#This Row],[SDate]])=INDEX(mthLkUp.tbl[Num],MATCH(AA$3,mthLkUp.tbl[Month],0)),1,0)</f>
        <v>1</v>
      </c>
      <c r="AB146" s="6">
        <f ca="1">IF(MONTH(sim.tbl[[#This Row],[SDate]])=INDEX(mthLkUp.tbl[Num],MATCH(AB$3,mthLkUp.tbl[Month],0)),1,0)</f>
        <v>0</v>
      </c>
      <c r="AC146" s="6">
        <f ca="1">IF(MONTH(sim.tbl[[#This Row],[SDate]])=INDEX(mthLkUp.tbl[Num],MATCH(AC$3,mthLkUp.tbl[Month],0)),1,0)</f>
        <v>0</v>
      </c>
      <c r="AD146" s="6">
        <f ca="1">IF(MONTH(sim.tbl[[#This Row],[SDate]])=INDEX(mthLkUp.tbl[Num],MATCH(AD$3,mthLkUp.tbl[Month],0)),1,0)</f>
        <v>0</v>
      </c>
      <c r="AE146" s="6">
        <f ca="1">IF(MONTH(sim.tbl[[#This Row],[SDate]])=INDEX(mthLkUp.tbl[Num],MATCH(AE$3,mthLkUp.tbl[Month],0)),1,0)</f>
        <v>0</v>
      </c>
      <c r="AF146" s="6">
        <f ca="1">IF(MONTH(sim.tbl[[#This Row],[SDate]])=INDEX(mthLkUp.tbl[Num],MATCH(AF$3,mthLkUp.tbl[Month],0)),1,0)</f>
        <v>0</v>
      </c>
      <c r="AG146" s="6">
        <f ca="1">IF(MONTH(sim.tbl[[#This Row],[SDate]])=INDEX(mthLkUp.tbl[Num],MATCH(AG$3,mthLkUp.tbl[Month],0)),1,0)</f>
        <v>0</v>
      </c>
      <c r="AH146" s="6">
        <f ca="1">IF(MONTH(sim.tbl[[#This Row],[SDate]])=INDEX(mthLkUp.tbl[Num],MATCH(AH$3,mthLkUp.tbl[Month],0)),1,0)</f>
        <v>0</v>
      </c>
      <c r="AI146" s="6">
        <f ca="1">IF(MONTH(sim.tbl[[#This Row],[SDate]])=INDEX(mthLkUp.tbl[Num],MATCH(AI$3,mthLkUp.tbl[Month],0)),1,0)</f>
        <v>0</v>
      </c>
      <c r="AJ146" s="6">
        <f ca="1">IF(MONTH(sim.tbl[[#This Row],[SDate]])=INDEX(mthLkUp.tbl[Num],MATCH(AJ$3,mthLkUp.tbl[Month],0)),1,0)</f>
        <v>0</v>
      </c>
      <c r="AK146" s="6">
        <v>1</v>
      </c>
      <c r="AL146" s="5">
        <f>sim.tbl[[#This Row],[Sulf]]*sim.tbl[[#This Row],[C5]]</f>
        <v>0</v>
      </c>
      <c r="AM146" s="5">
        <f>sim.tbl[[#This Row],[Sulf]]*sim.tbl[[#This Row],[Light_LSB]]</f>
        <v>0</v>
      </c>
      <c r="AN146" s="5">
        <f>sim.tbl[[#This Row],[Sulf]]*sim.tbl[[#This Row],[Light_SW]]</f>
        <v>0</v>
      </c>
      <c r="AO146" s="5">
        <f>sim.tbl[[#This Row],[Sulf]]*sim.tbl[[#This Row],[Medium_LSB]]</f>
        <v>1.41</v>
      </c>
      <c r="AP146" s="5">
        <f>sim.tbl[[#This Row],[Sulf]]*sim.tbl[[#This Row],[Medium_SW]]</f>
        <v>0</v>
      </c>
      <c r="AQ146" s="5">
        <f>sim.tbl[[#This Row],[Sulf]]*sim.tbl[[#This Row],[Midale]]</f>
        <v>0</v>
      </c>
      <c r="AR146" s="5">
        <f>sim.tbl[[#This Row],[Sulf]]*sim.tbl[[#This Row],[Heavy_Sour]]</f>
        <v>0</v>
      </c>
      <c r="AS146" s="5">
        <f>sim.tbl[[#This Row],[Sulf]]*sim.tbl[[#This Row],[Heavy_SW]]</f>
        <v>0</v>
      </c>
      <c r="AT146" s="5">
        <f>sim.tbl[[#This Row],[Dens]]*sim.tbl[[#This Row],[C5]]</f>
        <v>0</v>
      </c>
      <c r="AU146" s="5">
        <f>sim.tbl[[#This Row],[Dens]]*sim.tbl[[#This Row],[Light_LSB]]</f>
        <v>0</v>
      </c>
      <c r="AV146" s="5">
        <f>sim.tbl[[#This Row],[Dens]]*sim.tbl[[#This Row],[Light_SW]]</f>
        <v>0</v>
      </c>
      <c r="AW146" s="5">
        <f>sim.tbl[[#This Row],[Dens]]*sim.tbl[[#This Row],[Medium_LSB]]</f>
        <v>853.9</v>
      </c>
      <c r="AX146" s="5">
        <f>sim.tbl[[#This Row],[Dens]]*sim.tbl[[#This Row],[Medium_SW]]</f>
        <v>0</v>
      </c>
      <c r="AY146" s="5">
        <f>sim.tbl[[#This Row],[Dens]]*sim.tbl[[#This Row],[Midale]]</f>
        <v>0</v>
      </c>
      <c r="AZ146" s="5">
        <f>sim.tbl[[#This Row],[Dens]]*sim.tbl[[#This Row],[Heavy_Sour]]</f>
        <v>0</v>
      </c>
      <c r="BA146" s="5">
        <f>sim.tbl[[#This Row],[Dens]]*sim.tbl[[#This Row],[Heavy_SW]]</f>
        <v>0</v>
      </c>
      <c r="BB146" s="5">
        <f>sim.tbl[[#This Row],[Temp.Roll]]*sim.tbl[[#This Row],[C5]]</f>
        <v>0</v>
      </c>
      <c r="BC146" s="5">
        <f>sim.tbl[[#This Row],[Temp.Roll]]*sim.tbl[[#This Row],[Light_LSB]]</f>
        <v>0</v>
      </c>
      <c r="BD146" s="5">
        <f>sim.tbl[[#This Row],[Temp.Roll]]*sim.tbl[[#This Row],[Light_SW]]</f>
        <v>0</v>
      </c>
      <c r="BE146" s="5">
        <f>sim.tbl[[#This Row],[Temp.Roll]]*sim.tbl[[#This Row],[Medium_LSB]]</f>
        <v>-13.2</v>
      </c>
      <c r="BF146" s="5">
        <f>sim.tbl[[#This Row],[Temp.Roll]]*sim.tbl[[#This Row],[Medium_SW]]</f>
        <v>0</v>
      </c>
      <c r="BG146" s="5">
        <f>sim.tbl[[#This Row],[Temp.Roll]]*sim.tbl[[#This Row],[Midale]]</f>
        <v>0</v>
      </c>
      <c r="BH146" s="5">
        <f>sim.tbl[[#This Row],[Temp.Roll]]*sim.tbl[[#This Row],[Heavy_Sour]]</f>
        <v>0</v>
      </c>
      <c r="BI146" s="5">
        <f>sim.tbl[[#This Row],[Temp.Roll]]*sim.tbl[[#This Row],[Heavy_SW]]</f>
        <v>0</v>
      </c>
    </row>
    <row r="147" spans="4:61" x14ac:dyDescent="0.25">
      <c r="D147" s="5">
        <f ca="1">SUMPRODUCT($F$1:$BI$1,sim.tbl[[#This Row],[Intercept]:[Temp.Roll:Heavy_SW]])</f>
        <v>83.113901812082872</v>
      </c>
      <c r="E147" s="14">
        <f ca="1">DATE(YEAR(TODAY()),INDEX(mthLkUp.tbl[Num],MATCH(mth.input,mthLkUp.tbl[Month],0)),1)</f>
        <v>42795</v>
      </c>
      <c r="F147" s="6">
        <f>1</f>
        <v>1</v>
      </c>
      <c r="G147" s="5">
        <v>0.59899999999999998</v>
      </c>
      <c r="H147" s="5">
        <v>823</v>
      </c>
      <c r="I147" s="5">
        <v>7.66</v>
      </c>
      <c r="J147" s="5">
        <v>6</v>
      </c>
      <c r="K147" s="5">
        <v>7.7</v>
      </c>
      <c r="L147" s="5">
        <v>6</v>
      </c>
      <c r="M147" s="5">
        <v>7</v>
      </c>
      <c r="N147" s="5">
        <v>7.5</v>
      </c>
      <c r="O147" s="5">
        <v>9.3000000000000007</v>
      </c>
      <c r="P147" s="5">
        <v>7.8</v>
      </c>
      <c r="Q147" s="6">
        <f>IF(sim.tbl[[#This Row],[Dens]]&lt;=770,1,0)</f>
        <v>0</v>
      </c>
      <c r="R147" s="6">
        <f>IF(AND(sim.tbl[[#This Row],[Sulf]]&gt;0.5,sim.tbl[[#This Row],[Dens]]&gt;770,sim.tbl[[#This Row],[Dens]]&lt;=825),1,0)</f>
        <v>1</v>
      </c>
      <c r="S147" s="6">
        <f>IF(AND(sim.tbl[[#This Row],[Sulf]]&lt;=0.5,sim.tbl[[#This Row],[Dens]]&gt;770,sim.tbl[[#This Row],[Dens]]&lt;=825),1,0)</f>
        <v>0</v>
      </c>
      <c r="T147" s="6">
        <f>IF(AND(sim.tbl[[#This Row],[Sulf]]&gt;0.5,sim.tbl[[#This Row],[Dens]]&gt;825,sim.tbl[[#This Row],[Dens]]&lt;=870),1,0)</f>
        <v>0</v>
      </c>
      <c r="U147" s="6">
        <f>IF(AND(sim.tbl[[#This Row],[Sulf]]&lt;0.5,sim.tbl[[#This Row],[Dens]]&gt;825,sim.tbl[[#This Row],[Dens]]&lt;=900),1,0)</f>
        <v>0</v>
      </c>
      <c r="V147" s="6">
        <f>IF(AND(sim.tbl[[#This Row],[Sulf]]&gt;0.5,sim.tbl[[#This Row],[Dens]]&gt;870,sim.tbl[[#This Row],[Dens]]&lt;=900),1,0)</f>
        <v>0</v>
      </c>
      <c r="W147" s="6">
        <f>IF(AND(sim.tbl[[#This Row],[Sulf]]&gt;0.5,sim.tbl[[#This Row],[Dens]]&gt;900),1,0)</f>
        <v>0</v>
      </c>
      <c r="X147" s="6">
        <f>IF(AND(sim.tbl[[#This Row],[Sulf]]&lt;=0.5,sim.tbl[[#This Row],[Dens]]&gt;900),1,0)</f>
        <v>0</v>
      </c>
      <c r="Y147" s="6">
        <f ca="1">IF(MONTH(sim.tbl[[#This Row],[SDate]])=INDEX(mthLkUp.tbl[Num],MATCH(Y$3,mthLkUp.tbl[Month],0)),1,0)</f>
        <v>0</v>
      </c>
      <c r="Z147" s="6">
        <f ca="1">IF(MONTH(sim.tbl[[#This Row],[SDate]])=INDEX(mthLkUp.tbl[Num],MATCH(Z$3,mthLkUp.tbl[Month],0)),1,0)</f>
        <v>0</v>
      </c>
      <c r="AA147" s="6">
        <f ca="1">IF(MONTH(sim.tbl[[#This Row],[SDate]])=INDEX(mthLkUp.tbl[Num],MATCH(AA$3,mthLkUp.tbl[Month],0)),1,0)</f>
        <v>1</v>
      </c>
      <c r="AB147" s="6">
        <f ca="1">IF(MONTH(sim.tbl[[#This Row],[SDate]])=INDEX(mthLkUp.tbl[Num],MATCH(AB$3,mthLkUp.tbl[Month],0)),1,0)</f>
        <v>0</v>
      </c>
      <c r="AC147" s="6">
        <f ca="1">IF(MONTH(sim.tbl[[#This Row],[SDate]])=INDEX(mthLkUp.tbl[Num],MATCH(AC$3,mthLkUp.tbl[Month],0)),1,0)</f>
        <v>0</v>
      </c>
      <c r="AD147" s="6">
        <f ca="1">IF(MONTH(sim.tbl[[#This Row],[SDate]])=INDEX(mthLkUp.tbl[Num],MATCH(AD$3,mthLkUp.tbl[Month],0)),1,0)</f>
        <v>0</v>
      </c>
      <c r="AE147" s="6">
        <f ca="1">IF(MONTH(sim.tbl[[#This Row],[SDate]])=INDEX(mthLkUp.tbl[Num],MATCH(AE$3,mthLkUp.tbl[Month],0)),1,0)</f>
        <v>0</v>
      </c>
      <c r="AF147" s="6">
        <f ca="1">IF(MONTH(sim.tbl[[#This Row],[SDate]])=INDEX(mthLkUp.tbl[Num],MATCH(AF$3,mthLkUp.tbl[Month],0)),1,0)</f>
        <v>0</v>
      </c>
      <c r="AG147" s="6">
        <f ca="1">IF(MONTH(sim.tbl[[#This Row],[SDate]])=INDEX(mthLkUp.tbl[Num],MATCH(AG$3,mthLkUp.tbl[Month],0)),1,0)</f>
        <v>0</v>
      </c>
      <c r="AH147" s="6">
        <f ca="1">IF(MONTH(sim.tbl[[#This Row],[SDate]])=INDEX(mthLkUp.tbl[Num],MATCH(AH$3,mthLkUp.tbl[Month],0)),1,0)</f>
        <v>0</v>
      </c>
      <c r="AI147" s="6">
        <f ca="1">IF(MONTH(sim.tbl[[#This Row],[SDate]])=INDEX(mthLkUp.tbl[Num],MATCH(AI$3,mthLkUp.tbl[Month],0)),1,0)</f>
        <v>0</v>
      </c>
      <c r="AJ147" s="6">
        <f ca="1">IF(MONTH(sim.tbl[[#This Row],[SDate]])=INDEX(mthLkUp.tbl[Num],MATCH(AJ$3,mthLkUp.tbl[Month],0)),1,0)</f>
        <v>0</v>
      </c>
      <c r="AK147" s="6">
        <v>1</v>
      </c>
      <c r="AL147" s="5">
        <f>sim.tbl[[#This Row],[Sulf]]*sim.tbl[[#This Row],[C5]]</f>
        <v>0</v>
      </c>
      <c r="AM147" s="5">
        <f>sim.tbl[[#This Row],[Sulf]]*sim.tbl[[#This Row],[Light_LSB]]</f>
        <v>0.59899999999999998</v>
      </c>
      <c r="AN147" s="5">
        <f>sim.tbl[[#This Row],[Sulf]]*sim.tbl[[#This Row],[Light_SW]]</f>
        <v>0</v>
      </c>
      <c r="AO147" s="5">
        <f>sim.tbl[[#This Row],[Sulf]]*sim.tbl[[#This Row],[Medium_LSB]]</f>
        <v>0</v>
      </c>
      <c r="AP147" s="5">
        <f>sim.tbl[[#This Row],[Sulf]]*sim.tbl[[#This Row],[Medium_SW]]</f>
        <v>0</v>
      </c>
      <c r="AQ147" s="5">
        <f>sim.tbl[[#This Row],[Sulf]]*sim.tbl[[#This Row],[Midale]]</f>
        <v>0</v>
      </c>
      <c r="AR147" s="5">
        <f>sim.tbl[[#This Row],[Sulf]]*sim.tbl[[#This Row],[Heavy_Sour]]</f>
        <v>0</v>
      </c>
      <c r="AS147" s="5">
        <f>sim.tbl[[#This Row],[Sulf]]*sim.tbl[[#This Row],[Heavy_SW]]</f>
        <v>0</v>
      </c>
      <c r="AT147" s="5">
        <f>sim.tbl[[#This Row],[Dens]]*sim.tbl[[#This Row],[C5]]</f>
        <v>0</v>
      </c>
      <c r="AU147" s="5">
        <f>sim.tbl[[#This Row],[Dens]]*sim.tbl[[#This Row],[Light_LSB]]</f>
        <v>823</v>
      </c>
      <c r="AV147" s="5">
        <f>sim.tbl[[#This Row],[Dens]]*sim.tbl[[#This Row],[Light_SW]]</f>
        <v>0</v>
      </c>
      <c r="AW147" s="5">
        <f>sim.tbl[[#This Row],[Dens]]*sim.tbl[[#This Row],[Medium_LSB]]</f>
        <v>0</v>
      </c>
      <c r="AX147" s="5">
        <f>sim.tbl[[#This Row],[Dens]]*sim.tbl[[#This Row],[Medium_SW]]</f>
        <v>0</v>
      </c>
      <c r="AY147" s="5">
        <f>sim.tbl[[#This Row],[Dens]]*sim.tbl[[#This Row],[Midale]]</f>
        <v>0</v>
      </c>
      <c r="AZ147" s="5">
        <f>sim.tbl[[#This Row],[Dens]]*sim.tbl[[#This Row],[Heavy_Sour]]</f>
        <v>0</v>
      </c>
      <c r="BA147" s="5">
        <f>sim.tbl[[#This Row],[Dens]]*sim.tbl[[#This Row],[Heavy_SW]]</f>
        <v>0</v>
      </c>
      <c r="BB147" s="5">
        <f>sim.tbl[[#This Row],[Temp.Roll]]*sim.tbl[[#This Row],[C5]]</f>
        <v>0</v>
      </c>
      <c r="BC147" s="5">
        <f>sim.tbl[[#This Row],[Temp.Roll]]*sim.tbl[[#This Row],[Light_LSB]]</f>
        <v>6</v>
      </c>
      <c r="BD147" s="5">
        <f>sim.tbl[[#This Row],[Temp.Roll]]*sim.tbl[[#This Row],[Light_SW]]</f>
        <v>0</v>
      </c>
      <c r="BE147" s="5">
        <f>sim.tbl[[#This Row],[Temp.Roll]]*sim.tbl[[#This Row],[Medium_LSB]]</f>
        <v>0</v>
      </c>
      <c r="BF147" s="5">
        <f>sim.tbl[[#This Row],[Temp.Roll]]*sim.tbl[[#This Row],[Medium_SW]]</f>
        <v>0</v>
      </c>
      <c r="BG147" s="5">
        <f>sim.tbl[[#This Row],[Temp.Roll]]*sim.tbl[[#This Row],[Midale]]</f>
        <v>0</v>
      </c>
      <c r="BH147" s="5">
        <f>sim.tbl[[#This Row],[Temp.Roll]]*sim.tbl[[#This Row],[Heavy_Sour]]</f>
        <v>0</v>
      </c>
      <c r="BI147" s="5">
        <f>sim.tbl[[#This Row],[Temp.Roll]]*sim.tbl[[#This Row],[Heavy_SW]]</f>
        <v>0</v>
      </c>
    </row>
    <row r="148" spans="4:61" x14ac:dyDescent="0.25">
      <c r="D148" s="5">
        <f ca="1">SUMPRODUCT($F$1:$BI$1,sim.tbl[[#This Row],[Intercept]:[Temp.Roll:Heavy_SW]])</f>
        <v>87.121701836821146</v>
      </c>
      <c r="E148" s="14">
        <f ca="1">DATE(YEAR(TODAY()),INDEX(mthLkUp.tbl[Num],MATCH(mth.input,mthLkUp.tbl[Month],0)),1)</f>
        <v>42795</v>
      </c>
      <c r="F148" s="6">
        <f>1</f>
        <v>1</v>
      </c>
      <c r="G148" s="5">
        <v>0.19</v>
      </c>
      <c r="H148" s="5">
        <v>807.2</v>
      </c>
      <c r="I148" s="5">
        <v>2.6333333329999999</v>
      </c>
      <c r="J148" s="5">
        <v>3.6</v>
      </c>
      <c r="K148" s="5">
        <v>2.9</v>
      </c>
      <c r="L148" s="5">
        <v>3.6</v>
      </c>
      <c r="M148" s="5">
        <v>1.8</v>
      </c>
      <c r="N148" s="5">
        <v>4</v>
      </c>
      <c r="O148" s="5">
        <v>2.2000000000000002</v>
      </c>
      <c r="P148" s="5">
        <v>1.3</v>
      </c>
      <c r="Q148" s="6">
        <f>IF(sim.tbl[[#This Row],[Dens]]&lt;=770,1,0)</f>
        <v>0</v>
      </c>
      <c r="R148" s="6">
        <f>IF(AND(sim.tbl[[#This Row],[Sulf]]&gt;0.5,sim.tbl[[#This Row],[Dens]]&gt;770,sim.tbl[[#This Row],[Dens]]&lt;=825),1,0)</f>
        <v>0</v>
      </c>
      <c r="S148" s="6">
        <f>IF(AND(sim.tbl[[#This Row],[Sulf]]&lt;=0.5,sim.tbl[[#This Row],[Dens]]&gt;770,sim.tbl[[#This Row],[Dens]]&lt;=825),1,0)</f>
        <v>1</v>
      </c>
      <c r="T148" s="6">
        <f>IF(AND(sim.tbl[[#This Row],[Sulf]]&gt;0.5,sim.tbl[[#This Row],[Dens]]&gt;825,sim.tbl[[#This Row],[Dens]]&lt;=870),1,0)</f>
        <v>0</v>
      </c>
      <c r="U148" s="6">
        <f>IF(AND(sim.tbl[[#This Row],[Sulf]]&lt;0.5,sim.tbl[[#This Row],[Dens]]&gt;825,sim.tbl[[#This Row],[Dens]]&lt;=900),1,0)</f>
        <v>0</v>
      </c>
      <c r="V148" s="6">
        <f>IF(AND(sim.tbl[[#This Row],[Sulf]]&gt;0.5,sim.tbl[[#This Row],[Dens]]&gt;870,sim.tbl[[#This Row],[Dens]]&lt;=900),1,0)</f>
        <v>0</v>
      </c>
      <c r="W148" s="6">
        <f>IF(AND(sim.tbl[[#This Row],[Sulf]]&gt;0.5,sim.tbl[[#This Row],[Dens]]&gt;900),1,0)</f>
        <v>0</v>
      </c>
      <c r="X148" s="6">
        <f>IF(AND(sim.tbl[[#This Row],[Sulf]]&lt;=0.5,sim.tbl[[#This Row],[Dens]]&gt;900),1,0)</f>
        <v>0</v>
      </c>
      <c r="Y148" s="6">
        <f ca="1">IF(MONTH(sim.tbl[[#This Row],[SDate]])=INDEX(mthLkUp.tbl[Num],MATCH(Y$3,mthLkUp.tbl[Month],0)),1,0)</f>
        <v>0</v>
      </c>
      <c r="Z148" s="6">
        <f ca="1">IF(MONTH(sim.tbl[[#This Row],[SDate]])=INDEX(mthLkUp.tbl[Num],MATCH(Z$3,mthLkUp.tbl[Month],0)),1,0)</f>
        <v>0</v>
      </c>
      <c r="AA148" s="6">
        <f ca="1">IF(MONTH(sim.tbl[[#This Row],[SDate]])=INDEX(mthLkUp.tbl[Num],MATCH(AA$3,mthLkUp.tbl[Month],0)),1,0)</f>
        <v>1</v>
      </c>
      <c r="AB148" s="6">
        <f ca="1">IF(MONTH(sim.tbl[[#This Row],[SDate]])=INDEX(mthLkUp.tbl[Num],MATCH(AB$3,mthLkUp.tbl[Month],0)),1,0)</f>
        <v>0</v>
      </c>
      <c r="AC148" s="6">
        <f ca="1">IF(MONTH(sim.tbl[[#This Row],[SDate]])=INDEX(mthLkUp.tbl[Num],MATCH(AC$3,mthLkUp.tbl[Month],0)),1,0)</f>
        <v>0</v>
      </c>
      <c r="AD148" s="6">
        <f ca="1">IF(MONTH(sim.tbl[[#This Row],[SDate]])=INDEX(mthLkUp.tbl[Num],MATCH(AD$3,mthLkUp.tbl[Month],0)),1,0)</f>
        <v>0</v>
      </c>
      <c r="AE148" s="6">
        <f ca="1">IF(MONTH(sim.tbl[[#This Row],[SDate]])=INDEX(mthLkUp.tbl[Num],MATCH(AE$3,mthLkUp.tbl[Month],0)),1,0)</f>
        <v>0</v>
      </c>
      <c r="AF148" s="6">
        <f ca="1">IF(MONTH(sim.tbl[[#This Row],[SDate]])=INDEX(mthLkUp.tbl[Num],MATCH(AF$3,mthLkUp.tbl[Month],0)),1,0)</f>
        <v>0</v>
      </c>
      <c r="AG148" s="6">
        <f ca="1">IF(MONTH(sim.tbl[[#This Row],[SDate]])=INDEX(mthLkUp.tbl[Num],MATCH(AG$3,mthLkUp.tbl[Month],0)),1,0)</f>
        <v>0</v>
      </c>
      <c r="AH148" s="6">
        <f ca="1">IF(MONTH(sim.tbl[[#This Row],[SDate]])=INDEX(mthLkUp.tbl[Num],MATCH(AH$3,mthLkUp.tbl[Month],0)),1,0)</f>
        <v>0</v>
      </c>
      <c r="AI148" s="6">
        <f ca="1">IF(MONTH(sim.tbl[[#This Row],[SDate]])=INDEX(mthLkUp.tbl[Num],MATCH(AI$3,mthLkUp.tbl[Month],0)),1,0)</f>
        <v>0</v>
      </c>
      <c r="AJ148" s="6">
        <f ca="1">IF(MONTH(sim.tbl[[#This Row],[SDate]])=INDEX(mthLkUp.tbl[Num],MATCH(AJ$3,mthLkUp.tbl[Month],0)),1,0)</f>
        <v>0</v>
      </c>
      <c r="AK148" s="6">
        <v>1</v>
      </c>
      <c r="AL148" s="5">
        <f>sim.tbl[[#This Row],[Sulf]]*sim.tbl[[#This Row],[C5]]</f>
        <v>0</v>
      </c>
      <c r="AM148" s="5">
        <f>sim.tbl[[#This Row],[Sulf]]*sim.tbl[[#This Row],[Light_LSB]]</f>
        <v>0</v>
      </c>
      <c r="AN148" s="5">
        <f>sim.tbl[[#This Row],[Sulf]]*sim.tbl[[#This Row],[Light_SW]]</f>
        <v>0.19</v>
      </c>
      <c r="AO148" s="5">
        <f>sim.tbl[[#This Row],[Sulf]]*sim.tbl[[#This Row],[Medium_LSB]]</f>
        <v>0</v>
      </c>
      <c r="AP148" s="5">
        <f>sim.tbl[[#This Row],[Sulf]]*sim.tbl[[#This Row],[Medium_SW]]</f>
        <v>0</v>
      </c>
      <c r="AQ148" s="5">
        <f>sim.tbl[[#This Row],[Sulf]]*sim.tbl[[#This Row],[Midale]]</f>
        <v>0</v>
      </c>
      <c r="AR148" s="5">
        <f>sim.tbl[[#This Row],[Sulf]]*sim.tbl[[#This Row],[Heavy_Sour]]</f>
        <v>0</v>
      </c>
      <c r="AS148" s="5">
        <f>sim.tbl[[#This Row],[Sulf]]*sim.tbl[[#This Row],[Heavy_SW]]</f>
        <v>0</v>
      </c>
      <c r="AT148" s="5">
        <f>sim.tbl[[#This Row],[Dens]]*sim.tbl[[#This Row],[C5]]</f>
        <v>0</v>
      </c>
      <c r="AU148" s="5">
        <f>sim.tbl[[#This Row],[Dens]]*sim.tbl[[#This Row],[Light_LSB]]</f>
        <v>0</v>
      </c>
      <c r="AV148" s="5">
        <f>sim.tbl[[#This Row],[Dens]]*sim.tbl[[#This Row],[Light_SW]]</f>
        <v>807.2</v>
      </c>
      <c r="AW148" s="5">
        <f>sim.tbl[[#This Row],[Dens]]*sim.tbl[[#This Row],[Medium_LSB]]</f>
        <v>0</v>
      </c>
      <c r="AX148" s="5">
        <f>sim.tbl[[#This Row],[Dens]]*sim.tbl[[#This Row],[Medium_SW]]</f>
        <v>0</v>
      </c>
      <c r="AY148" s="5">
        <f>sim.tbl[[#This Row],[Dens]]*sim.tbl[[#This Row],[Midale]]</f>
        <v>0</v>
      </c>
      <c r="AZ148" s="5">
        <f>sim.tbl[[#This Row],[Dens]]*sim.tbl[[#This Row],[Heavy_Sour]]</f>
        <v>0</v>
      </c>
      <c r="BA148" s="5">
        <f>sim.tbl[[#This Row],[Dens]]*sim.tbl[[#This Row],[Heavy_SW]]</f>
        <v>0</v>
      </c>
      <c r="BB148" s="5">
        <f>sim.tbl[[#This Row],[Temp.Roll]]*sim.tbl[[#This Row],[C5]]</f>
        <v>0</v>
      </c>
      <c r="BC148" s="5">
        <f>sim.tbl[[#This Row],[Temp.Roll]]*sim.tbl[[#This Row],[Light_LSB]]</f>
        <v>0</v>
      </c>
      <c r="BD148" s="5">
        <f>sim.tbl[[#This Row],[Temp.Roll]]*sim.tbl[[#This Row],[Light_SW]]</f>
        <v>3.6</v>
      </c>
      <c r="BE148" s="5">
        <f>sim.tbl[[#This Row],[Temp.Roll]]*sim.tbl[[#This Row],[Medium_LSB]]</f>
        <v>0</v>
      </c>
      <c r="BF148" s="5">
        <f>sim.tbl[[#This Row],[Temp.Roll]]*sim.tbl[[#This Row],[Medium_SW]]</f>
        <v>0</v>
      </c>
      <c r="BG148" s="5">
        <f>sim.tbl[[#This Row],[Temp.Roll]]*sim.tbl[[#This Row],[Midale]]</f>
        <v>0</v>
      </c>
      <c r="BH148" s="5">
        <f>sim.tbl[[#This Row],[Temp.Roll]]*sim.tbl[[#This Row],[Heavy_Sour]]</f>
        <v>0</v>
      </c>
      <c r="BI148" s="5">
        <f>sim.tbl[[#This Row],[Temp.Roll]]*sim.tbl[[#This Row],[Heavy_SW]]</f>
        <v>0</v>
      </c>
    </row>
    <row r="149" spans="4:61" x14ac:dyDescent="0.25">
      <c r="D149" s="5">
        <f ca="1">SUMPRODUCT($F$1:$BI$1,sim.tbl[[#This Row],[Intercept]:[Temp.Roll:Heavy_SW]])</f>
        <v>96.094835082034677</v>
      </c>
      <c r="E149" s="14">
        <f ca="1">DATE(YEAR(TODAY()),INDEX(mthLkUp.tbl[Num],MATCH(mth.input,mthLkUp.tbl[Month],0)),1)</f>
        <v>42795</v>
      </c>
      <c r="F149" s="6">
        <f>1</f>
        <v>1</v>
      </c>
      <c r="G149" s="5">
        <v>1.62</v>
      </c>
      <c r="H149" s="5">
        <v>810.1</v>
      </c>
      <c r="I149" s="5">
        <v>-5.1166666669999996</v>
      </c>
      <c r="J149" s="5">
        <v>-5.8</v>
      </c>
      <c r="K149" s="5">
        <v>-4.8</v>
      </c>
      <c r="L149" s="5">
        <v>-5.8</v>
      </c>
      <c r="M149" s="5">
        <v>-4.5</v>
      </c>
      <c r="N149" s="5">
        <v>-4.3</v>
      </c>
      <c r="O149" s="5">
        <v>-5.3</v>
      </c>
      <c r="P149" s="5">
        <v>-6</v>
      </c>
      <c r="Q149" s="6">
        <f>IF(sim.tbl[[#This Row],[Dens]]&lt;=770,1,0)</f>
        <v>0</v>
      </c>
      <c r="R149" s="6">
        <f>IF(AND(sim.tbl[[#This Row],[Sulf]]&gt;0.5,sim.tbl[[#This Row],[Dens]]&gt;770,sim.tbl[[#This Row],[Dens]]&lt;=825),1,0)</f>
        <v>1</v>
      </c>
      <c r="S149" s="6">
        <f>IF(AND(sim.tbl[[#This Row],[Sulf]]&lt;=0.5,sim.tbl[[#This Row],[Dens]]&gt;770,sim.tbl[[#This Row],[Dens]]&lt;=825),1,0)</f>
        <v>0</v>
      </c>
      <c r="T149" s="6">
        <f>IF(AND(sim.tbl[[#This Row],[Sulf]]&gt;0.5,sim.tbl[[#This Row],[Dens]]&gt;825,sim.tbl[[#This Row],[Dens]]&lt;=870),1,0)</f>
        <v>0</v>
      </c>
      <c r="U149" s="6">
        <f>IF(AND(sim.tbl[[#This Row],[Sulf]]&lt;0.5,sim.tbl[[#This Row],[Dens]]&gt;825,sim.tbl[[#This Row],[Dens]]&lt;=900),1,0)</f>
        <v>0</v>
      </c>
      <c r="V149" s="6">
        <f>IF(AND(sim.tbl[[#This Row],[Sulf]]&gt;0.5,sim.tbl[[#This Row],[Dens]]&gt;870,sim.tbl[[#This Row],[Dens]]&lt;=900),1,0)</f>
        <v>0</v>
      </c>
      <c r="W149" s="6">
        <f>IF(AND(sim.tbl[[#This Row],[Sulf]]&gt;0.5,sim.tbl[[#This Row],[Dens]]&gt;900),1,0)</f>
        <v>0</v>
      </c>
      <c r="X149" s="6">
        <f>IF(AND(sim.tbl[[#This Row],[Sulf]]&lt;=0.5,sim.tbl[[#This Row],[Dens]]&gt;900),1,0)</f>
        <v>0</v>
      </c>
      <c r="Y149" s="6">
        <f ca="1">IF(MONTH(sim.tbl[[#This Row],[SDate]])=INDEX(mthLkUp.tbl[Num],MATCH(Y$3,mthLkUp.tbl[Month],0)),1,0)</f>
        <v>0</v>
      </c>
      <c r="Z149" s="6">
        <f ca="1">IF(MONTH(sim.tbl[[#This Row],[SDate]])=INDEX(mthLkUp.tbl[Num],MATCH(Z$3,mthLkUp.tbl[Month],0)),1,0)</f>
        <v>0</v>
      </c>
      <c r="AA149" s="6">
        <f ca="1">IF(MONTH(sim.tbl[[#This Row],[SDate]])=INDEX(mthLkUp.tbl[Num],MATCH(AA$3,mthLkUp.tbl[Month],0)),1,0)</f>
        <v>1</v>
      </c>
      <c r="AB149" s="6">
        <f ca="1">IF(MONTH(sim.tbl[[#This Row],[SDate]])=INDEX(mthLkUp.tbl[Num],MATCH(AB$3,mthLkUp.tbl[Month],0)),1,0)</f>
        <v>0</v>
      </c>
      <c r="AC149" s="6">
        <f ca="1">IF(MONTH(sim.tbl[[#This Row],[SDate]])=INDEX(mthLkUp.tbl[Num],MATCH(AC$3,mthLkUp.tbl[Month],0)),1,0)</f>
        <v>0</v>
      </c>
      <c r="AD149" s="6">
        <f ca="1">IF(MONTH(sim.tbl[[#This Row],[SDate]])=INDEX(mthLkUp.tbl[Num],MATCH(AD$3,mthLkUp.tbl[Month],0)),1,0)</f>
        <v>0</v>
      </c>
      <c r="AE149" s="6">
        <f ca="1">IF(MONTH(sim.tbl[[#This Row],[SDate]])=INDEX(mthLkUp.tbl[Num],MATCH(AE$3,mthLkUp.tbl[Month],0)),1,0)</f>
        <v>0</v>
      </c>
      <c r="AF149" s="6">
        <f ca="1">IF(MONTH(sim.tbl[[#This Row],[SDate]])=INDEX(mthLkUp.tbl[Num],MATCH(AF$3,mthLkUp.tbl[Month],0)),1,0)</f>
        <v>0</v>
      </c>
      <c r="AG149" s="6">
        <f ca="1">IF(MONTH(sim.tbl[[#This Row],[SDate]])=INDEX(mthLkUp.tbl[Num],MATCH(AG$3,mthLkUp.tbl[Month],0)),1,0)</f>
        <v>0</v>
      </c>
      <c r="AH149" s="6">
        <f ca="1">IF(MONTH(sim.tbl[[#This Row],[SDate]])=INDEX(mthLkUp.tbl[Num],MATCH(AH$3,mthLkUp.tbl[Month],0)),1,0)</f>
        <v>0</v>
      </c>
      <c r="AI149" s="6">
        <f ca="1">IF(MONTH(sim.tbl[[#This Row],[SDate]])=INDEX(mthLkUp.tbl[Num],MATCH(AI$3,mthLkUp.tbl[Month],0)),1,0)</f>
        <v>0</v>
      </c>
      <c r="AJ149" s="6">
        <f ca="1">IF(MONTH(sim.tbl[[#This Row],[SDate]])=INDEX(mthLkUp.tbl[Num],MATCH(AJ$3,mthLkUp.tbl[Month],0)),1,0)</f>
        <v>0</v>
      </c>
      <c r="AK149" s="6">
        <v>1</v>
      </c>
      <c r="AL149" s="5">
        <f>sim.tbl[[#This Row],[Sulf]]*sim.tbl[[#This Row],[C5]]</f>
        <v>0</v>
      </c>
      <c r="AM149" s="5">
        <f>sim.tbl[[#This Row],[Sulf]]*sim.tbl[[#This Row],[Light_LSB]]</f>
        <v>1.62</v>
      </c>
      <c r="AN149" s="5">
        <f>sim.tbl[[#This Row],[Sulf]]*sim.tbl[[#This Row],[Light_SW]]</f>
        <v>0</v>
      </c>
      <c r="AO149" s="5">
        <f>sim.tbl[[#This Row],[Sulf]]*sim.tbl[[#This Row],[Medium_LSB]]</f>
        <v>0</v>
      </c>
      <c r="AP149" s="5">
        <f>sim.tbl[[#This Row],[Sulf]]*sim.tbl[[#This Row],[Medium_SW]]</f>
        <v>0</v>
      </c>
      <c r="AQ149" s="5">
        <f>sim.tbl[[#This Row],[Sulf]]*sim.tbl[[#This Row],[Midale]]</f>
        <v>0</v>
      </c>
      <c r="AR149" s="5">
        <f>sim.tbl[[#This Row],[Sulf]]*sim.tbl[[#This Row],[Heavy_Sour]]</f>
        <v>0</v>
      </c>
      <c r="AS149" s="5">
        <f>sim.tbl[[#This Row],[Sulf]]*sim.tbl[[#This Row],[Heavy_SW]]</f>
        <v>0</v>
      </c>
      <c r="AT149" s="5">
        <f>sim.tbl[[#This Row],[Dens]]*sim.tbl[[#This Row],[C5]]</f>
        <v>0</v>
      </c>
      <c r="AU149" s="5">
        <f>sim.tbl[[#This Row],[Dens]]*sim.tbl[[#This Row],[Light_LSB]]</f>
        <v>810.1</v>
      </c>
      <c r="AV149" s="5">
        <f>sim.tbl[[#This Row],[Dens]]*sim.tbl[[#This Row],[Light_SW]]</f>
        <v>0</v>
      </c>
      <c r="AW149" s="5">
        <f>sim.tbl[[#This Row],[Dens]]*sim.tbl[[#This Row],[Medium_LSB]]</f>
        <v>0</v>
      </c>
      <c r="AX149" s="5">
        <f>sim.tbl[[#This Row],[Dens]]*sim.tbl[[#This Row],[Medium_SW]]</f>
        <v>0</v>
      </c>
      <c r="AY149" s="5">
        <f>sim.tbl[[#This Row],[Dens]]*sim.tbl[[#This Row],[Midale]]</f>
        <v>0</v>
      </c>
      <c r="AZ149" s="5">
        <f>sim.tbl[[#This Row],[Dens]]*sim.tbl[[#This Row],[Heavy_Sour]]</f>
        <v>0</v>
      </c>
      <c r="BA149" s="5">
        <f>sim.tbl[[#This Row],[Dens]]*sim.tbl[[#This Row],[Heavy_SW]]</f>
        <v>0</v>
      </c>
      <c r="BB149" s="5">
        <f>sim.tbl[[#This Row],[Temp.Roll]]*sim.tbl[[#This Row],[C5]]</f>
        <v>0</v>
      </c>
      <c r="BC149" s="5">
        <f>sim.tbl[[#This Row],[Temp.Roll]]*sim.tbl[[#This Row],[Light_LSB]]</f>
        <v>-5.8</v>
      </c>
      <c r="BD149" s="5">
        <f>sim.tbl[[#This Row],[Temp.Roll]]*sim.tbl[[#This Row],[Light_SW]]</f>
        <v>0</v>
      </c>
      <c r="BE149" s="5">
        <f>sim.tbl[[#This Row],[Temp.Roll]]*sim.tbl[[#This Row],[Medium_LSB]]</f>
        <v>0</v>
      </c>
      <c r="BF149" s="5">
        <f>sim.tbl[[#This Row],[Temp.Roll]]*sim.tbl[[#This Row],[Medium_SW]]</f>
        <v>0</v>
      </c>
      <c r="BG149" s="5">
        <f>sim.tbl[[#This Row],[Temp.Roll]]*sim.tbl[[#This Row],[Midale]]</f>
        <v>0</v>
      </c>
      <c r="BH149" s="5">
        <f>sim.tbl[[#This Row],[Temp.Roll]]*sim.tbl[[#This Row],[Heavy_Sour]]</f>
        <v>0</v>
      </c>
      <c r="BI149" s="5">
        <f>sim.tbl[[#This Row],[Temp.Roll]]*sim.tbl[[#This Row],[Heavy_SW]]</f>
        <v>0</v>
      </c>
    </row>
    <row r="150" spans="4:61" x14ac:dyDescent="0.25">
      <c r="D150" s="5">
        <f ca="1">SUMPRODUCT($F$1:$BI$1,sim.tbl[[#This Row],[Intercept]:[Temp.Roll:Heavy_SW]])</f>
        <v>84.873150226900862</v>
      </c>
      <c r="E150" s="14">
        <f ca="1">DATE(YEAR(TODAY()),INDEX(mthLkUp.tbl[Num],MATCH(mth.input,mthLkUp.tbl[Month],0)),1)</f>
        <v>42795</v>
      </c>
      <c r="F150" s="6">
        <f>1</f>
        <v>1</v>
      </c>
      <c r="G150" s="5">
        <v>1.31</v>
      </c>
      <c r="H150" s="5">
        <v>828.5</v>
      </c>
      <c r="I150" s="5">
        <v>-8.76</v>
      </c>
      <c r="J150" s="5">
        <v>-7.1</v>
      </c>
      <c r="K150" s="5">
        <v>-7.9</v>
      </c>
      <c r="L150" s="5">
        <v>-7.1</v>
      </c>
      <c r="M150" s="5">
        <v>2.8</v>
      </c>
      <c r="N150" s="5">
        <v>-6.5</v>
      </c>
      <c r="O150" s="5">
        <v>-13.6</v>
      </c>
      <c r="P150" s="5">
        <v>-8.6999999999999993</v>
      </c>
      <c r="Q150" s="6">
        <f>IF(sim.tbl[[#This Row],[Dens]]&lt;=770,1,0)</f>
        <v>0</v>
      </c>
      <c r="R150" s="6">
        <f>IF(AND(sim.tbl[[#This Row],[Sulf]]&gt;0.5,sim.tbl[[#This Row],[Dens]]&gt;770,sim.tbl[[#This Row],[Dens]]&lt;=825),1,0)</f>
        <v>0</v>
      </c>
      <c r="S150" s="6">
        <f>IF(AND(sim.tbl[[#This Row],[Sulf]]&lt;=0.5,sim.tbl[[#This Row],[Dens]]&gt;770,sim.tbl[[#This Row],[Dens]]&lt;=825),1,0)</f>
        <v>0</v>
      </c>
      <c r="T150" s="6">
        <f>IF(AND(sim.tbl[[#This Row],[Sulf]]&gt;0.5,sim.tbl[[#This Row],[Dens]]&gt;825,sim.tbl[[#This Row],[Dens]]&lt;=870),1,0)</f>
        <v>1</v>
      </c>
      <c r="U150" s="6">
        <f>IF(AND(sim.tbl[[#This Row],[Sulf]]&lt;0.5,sim.tbl[[#This Row],[Dens]]&gt;825,sim.tbl[[#This Row],[Dens]]&lt;=900),1,0)</f>
        <v>0</v>
      </c>
      <c r="V150" s="6">
        <f>IF(AND(sim.tbl[[#This Row],[Sulf]]&gt;0.5,sim.tbl[[#This Row],[Dens]]&gt;870,sim.tbl[[#This Row],[Dens]]&lt;=900),1,0)</f>
        <v>0</v>
      </c>
      <c r="W150" s="6">
        <f>IF(AND(sim.tbl[[#This Row],[Sulf]]&gt;0.5,sim.tbl[[#This Row],[Dens]]&gt;900),1,0)</f>
        <v>0</v>
      </c>
      <c r="X150" s="6">
        <f>IF(AND(sim.tbl[[#This Row],[Sulf]]&lt;=0.5,sim.tbl[[#This Row],[Dens]]&gt;900),1,0)</f>
        <v>0</v>
      </c>
      <c r="Y150" s="6">
        <f ca="1">IF(MONTH(sim.tbl[[#This Row],[SDate]])=INDEX(mthLkUp.tbl[Num],MATCH(Y$3,mthLkUp.tbl[Month],0)),1,0)</f>
        <v>0</v>
      </c>
      <c r="Z150" s="6">
        <f ca="1">IF(MONTH(sim.tbl[[#This Row],[SDate]])=INDEX(mthLkUp.tbl[Num],MATCH(Z$3,mthLkUp.tbl[Month],0)),1,0)</f>
        <v>0</v>
      </c>
      <c r="AA150" s="6">
        <f ca="1">IF(MONTH(sim.tbl[[#This Row],[SDate]])=INDEX(mthLkUp.tbl[Num],MATCH(AA$3,mthLkUp.tbl[Month],0)),1,0)</f>
        <v>1</v>
      </c>
      <c r="AB150" s="6">
        <f ca="1">IF(MONTH(sim.tbl[[#This Row],[SDate]])=INDEX(mthLkUp.tbl[Num],MATCH(AB$3,mthLkUp.tbl[Month],0)),1,0)</f>
        <v>0</v>
      </c>
      <c r="AC150" s="6">
        <f ca="1">IF(MONTH(sim.tbl[[#This Row],[SDate]])=INDEX(mthLkUp.tbl[Num],MATCH(AC$3,mthLkUp.tbl[Month],0)),1,0)</f>
        <v>0</v>
      </c>
      <c r="AD150" s="6">
        <f ca="1">IF(MONTH(sim.tbl[[#This Row],[SDate]])=INDEX(mthLkUp.tbl[Num],MATCH(AD$3,mthLkUp.tbl[Month],0)),1,0)</f>
        <v>0</v>
      </c>
      <c r="AE150" s="6">
        <f ca="1">IF(MONTH(sim.tbl[[#This Row],[SDate]])=INDEX(mthLkUp.tbl[Num],MATCH(AE$3,mthLkUp.tbl[Month],0)),1,0)</f>
        <v>0</v>
      </c>
      <c r="AF150" s="6">
        <f ca="1">IF(MONTH(sim.tbl[[#This Row],[SDate]])=INDEX(mthLkUp.tbl[Num],MATCH(AF$3,mthLkUp.tbl[Month],0)),1,0)</f>
        <v>0</v>
      </c>
      <c r="AG150" s="6">
        <f ca="1">IF(MONTH(sim.tbl[[#This Row],[SDate]])=INDEX(mthLkUp.tbl[Num],MATCH(AG$3,mthLkUp.tbl[Month],0)),1,0)</f>
        <v>0</v>
      </c>
      <c r="AH150" s="6">
        <f ca="1">IF(MONTH(sim.tbl[[#This Row],[SDate]])=INDEX(mthLkUp.tbl[Num],MATCH(AH$3,mthLkUp.tbl[Month],0)),1,0)</f>
        <v>0</v>
      </c>
      <c r="AI150" s="6">
        <f ca="1">IF(MONTH(sim.tbl[[#This Row],[SDate]])=INDEX(mthLkUp.tbl[Num],MATCH(AI$3,mthLkUp.tbl[Month],0)),1,0)</f>
        <v>0</v>
      </c>
      <c r="AJ150" s="6">
        <f ca="1">IF(MONTH(sim.tbl[[#This Row],[SDate]])=INDEX(mthLkUp.tbl[Num],MATCH(AJ$3,mthLkUp.tbl[Month],0)),1,0)</f>
        <v>0</v>
      </c>
      <c r="AK150" s="6">
        <v>1</v>
      </c>
      <c r="AL150" s="5">
        <f>sim.tbl[[#This Row],[Sulf]]*sim.tbl[[#This Row],[C5]]</f>
        <v>0</v>
      </c>
      <c r="AM150" s="5">
        <f>sim.tbl[[#This Row],[Sulf]]*sim.tbl[[#This Row],[Light_LSB]]</f>
        <v>0</v>
      </c>
      <c r="AN150" s="5">
        <f>sim.tbl[[#This Row],[Sulf]]*sim.tbl[[#This Row],[Light_SW]]</f>
        <v>0</v>
      </c>
      <c r="AO150" s="5">
        <f>sim.tbl[[#This Row],[Sulf]]*sim.tbl[[#This Row],[Medium_LSB]]</f>
        <v>1.31</v>
      </c>
      <c r="AP150" s="5">
        <f>sim.tbl[[#This Row],[Sulf]]*sim.tbl[[#This Row],[Medium_SW]]</f>
        <v>0</v>
      </c>
      <c r="AQ150" s="5">
        <f>sim.tbl[[#This Row],[Sulf]]*sim.tbl[[#This Row],[Midale]]</f>
        <v>0</v>
      </c>
      <c r="AR150" s="5">
        <f>sim.tbl[[#This Row],[Sulf]]*sim.tbl[[#This Row],[Heavy_Sour]]</f>
        <v>0</v>
      </c>
      <c r="AS150" s="5">
        <f>sim.tbl[[#This Row],[Sulf]]*sim.tbl[[#This Row],[Heavy_SW]]</f>
        <v>0</v>
      </c>
      <c r="AT150" s="5">
        <f>sim.tbl[[#This Row],[Dens]]*sim.tbl[[#This Row],[C5]]</f>
        <v>0</v>
      </c>
      <c r="AU150" s="5">
        <f>sim.tbl[[#This Row],[Dens]]*sim.tbl[[#This Row],[Light_LSB]]</f>
        <v>0</v>
      </c>
      <c r="AV150" s="5">
        <f>sim.tbl[[#This Row],[Dens]]*sim.tbl[[#This Row],[Light_SW]]</f>
        <v>0</v>
      </c>
      <c r="AW150" s="5">
        <f>sim.tbl[[#This Row],[Dens]]*sim.tbl[[#This Row],[Medium_LSB]]</f>
        <v>828.5</v>
      </c>
      <c r="AX150" s="5">
        <f>sim.tbl[[#This Row],[Dens]]*sim.tbl[[#This Row],[Medium_SW]]</f>
        <v>0</v>
      </c>
      <c r="AY150" s="5">
        <f>sim.tbl[[#This Row],[Dens]]*sim.tbl[[#This Row],[Midale]]</f>
        <v>0</v>
      </c>
      <c r="AZ150" s="5">
        <f>sim.tbl[[#This Row],[Dens]]*sim.tbl[[#This Row],[Heavy_Sour]]</f>
        <v>0</v>
      </c>
      <c r="BA150" s="5">
        <f>sim.tbl[[#This Row],[Dens]]*sim.tbl[[#This Row],[Heavy_SW]]</f>
        <v>0</v>
      </c>
      <c r="BB150" s="5">
        <f>sim.tbl[[#This Row],[Temp.Roll]]*sim.tbl[[#This Row],[C5]]</f>
        <v>0</v>
      </c>
      <c r="BC150" s="5">
        <f>sim.tbl[[#This Row],[Temp.Roll]]*sim.tbl[[#This Row],[Light_LSB]]</f>
        <v>0</v>
      </c>
      <c r="BD150" s="5">
        <f>sim.tbl[[#This Row],[Temp.Roll]]*sim.tbl[[#This Row],[Light_SW]]</f>
        <v>0</v>
      </c>
      <c r="BE150" s="5">
        <f>sim.tbl[[#This Row],[Temp.Roll]]*sim.tbl[[#This Row],[Medium_LSB]]</f>
        <v>-7.1</v>
      </c>
      <c r="BF150" s="5">
        <f>sim.tbl[[#This Row],[Temp.Roll]]*sim.tbl[[#This Row],[Medium_SW]]</f>
        <v>0</v>
      </c>
      <c r="BG150" s="5">
        <f>sim.tbl[[#This Row],[Temp.Roll]]*sim.tbl[[#This Row],[Midale]]</f>
        <v>0</v>
      </c>
      <c r="BH150" s="5">
        <f>sim.tbl[[#This Row],[Temp.Roll]]*sim.tbl[[#This Row],[Heavy_Sour]]</f>
        <v>0</v>
      </c>
      <c r="BI150" s="5">
        <f>sim.tbl[[#This Row],[Temp.Roll]]*sim.tbl[[#This Row],[Heavy_SW]]</f>
        <v>0</v>
      </c>
    </row>
    <row r="151" spans="4:61" x14ac:dyDescent="0.25">
      <c r="D151" s="5">
        <f ca="1">SUMPRODUCT($F$1:$BI$1,sim.tbl[[#This Row],[Intercept]:[Temp.Roll:Heavy_SW]])</f>
        <v>79.880014479390326</v>
      </c>
      <c r="E151" s="14">
        <f ca="1">DATE(YEAR(TODAY()),INDEX(mthLkUp.tbl[Num],MATCH(mth.input,mthLkUp.tbl[Month],0)),1)</f>
        <v>42795</v>
      </c>
      <c r="F151" s="6">
        <f>1</f>
        <v>1</v>
      </c>
      <c r="G151" s="5">
        <v>1.63</v>
      </c>
      <c r="H151" s="5">
        <v>847.8</v>
      </c>
      <c r="I151" s="5">
        <v>-10.16</v>
      </c>
      <c r="J151" s="5">
        <v>-9.3000000000000007</v>
      </c>
      <c r="K151" s="5">
        <v>-9.9</v>
      </c>
      <c r="L151" s="5">
        <v>-9.3000000000000007</v>
      </c>
      <c r="M151" s="5">
        <v>2.8</v>
      </c>
      <c r="N151" s="5">
        <v>-8.3000000000000007</v>
      </c>
      <c r="O151" s="5">
        <v>-10.9</v>
      </c>
      <c r="P151" s="5">
        <v>-12.4</v>
      </c>
      <c r="Q151" s="6">
        <f>IF(sim.tbl[[#This Row],[Dens]]&lt;=770,1,0)</f>
        <v>0</v>
      </c>
      <c r="R151" s="6">
        <f>IF(AND(sim.tbl[[#This Row],[Sulf]]&gt;0.5,sim.tbl[[#This Row],[Dens]]&gt;770,sim.tbl[[#This Row],[Dens]]&lt;=825),1,0)</f>
        <v>0</v>
      </c>
      <c r="S151" s="6">
        <f>IF(AND(sim.tbl[[#This Row],[Sulf]]&lt;=0.5,sim.tbl[[#This Row],[Dens]]&gt;770,sim.tbl[[#This Row],[Dens]]&lt;=825),1,0)</f>
        <v>0</v>
      </c>
      <c r="T151" s="6">
        <f>IF(AND(sim.tbl[[#This Row],[Sulf]]&gt;0.5,sim.tbl[[#This Row],[Dens]]&gt;825,sim.tbl[[#This Row],[Dens]]&lt;=870),1,0)</f>
        <v>1</v>
      </c>
      <c r="U151" s="6">
        <f>IF(AND(sim.tbl[[#This Row],[Sulf]]&lt;0.5,sim.tbl[[#This Row],[Dens]]&gt;825,sim.tbl[[#This Row],[Dens]]&lt;=900),1,0)</f>
        <v>0</v>
      </c>
      <c r="V151" s="6">
        <f>IF(AND(sim.tbl[[#This Row],[Sulf]]&gt;0.5,sim.tbl[[#This Row],[Dens]]&gt;870,sim.tbl[[#This Row],[Dens]]&lt;=900),1,0)</f>
        <v>0</v>
      </c>
      <c r="W151" s="6">
        <f>IF(AND(sim.tbl[[#This Row],[Sulf]]&gt;0.5,sim.tbl[[#This Row],[Dens]]&gt;900),1,0)</f>
        <v>0</v>
      </c>
      <c r="X151" s="6">
        <f>IF(AND(sim.tbl[[#This Row],[Sulf]]&lt;=0.5,sim.tbl[[#This Row],[Dens]]&gt;900),1,0)</f>
        <v>0</v>
      </c>
      <c r="Y151" s="6">
        <f ca="1">IF(MONTH(sim.tbl[[#This Row],[SDate]])=INDEX(mthLkUp.tbl[Num],MATCH(Y$3,mthLkUp.tbl[Month],0)),1,0)</f>
        <v>0</v>
      </c>
      <c r="Z151" s="6">
        <f ca="1">IF(MONTH(sim.tbl[[#This Row],[SDate]])=INDEX(mthLkUp.tbl[Num],MATCH(Z$3,mthLkUp.tbl[Month],0)),1,0)</f>
        <v>0</v>
      </c>
      <c r="AA151" s="6">
        <f ca="1">IF(MONTH(sim.tbl[[#This Row],[SDate]])=INDEX(mthLkUp.tbl[Num],MATCH(AA$3,mthLkUp.tbl[Month],0)),1,0)</f>
        <v>1</v>
      </c>
      <c r="AB151" s="6">
        <f ca="1">IF(MONTH(sim.tbl[[#This Row],[SDate]])=INDEX(mthLkUp.tbl[Num],MATCH(AB$3,mthLkUp.tbl[Month],0)),1,0)</f>
        <v>0</v>
      </c>
      <c r="AC151" s="6">
        <f ca="1">IF(MONTH(sim.tbl[[#This Row],[SDate]])=INDEX(mthLkUp.tbl[Num],MATCH(AC$3,mthLkUp.tbl[Month],0)),1,0)</f>
        <v>0</v>
      </c>
      <c r="AD151" s="6">
        <f ca="1">IF(MONTH(sim.tbl[[#This Row],[SDate]])=INDEX(mthLkUp.tbl[Num],MATCH(AD$3,mthLkUp.tbl[Month],0)),1,0)</f>
        <v>0</v>
      </c>
      <c r="AE151" s="6">
        <f ca="1">IF(MONTH(sim.tbl[[#This Row],[SDate]])=INDEX(mthLkUp.tbl[Num],MATCH(AE$3,mthLkUp.tbl[Month],0)),1,0)</f>
        <v>0</v>
      </c>
      <c r="AF151" s="6">
        <f ca="1">IF(MONTH(sim.tbl[[#This Row],[SDate]])=INDEX(mthLkUp.tbl[Num],MATCH(AF$3,mthLkUp.tbl[Month],0)),1,0)</f>
        <v>0</v>
      </c>
      <c r="AG151" s="6">
        <f ca="1">IF(MONTH(sim.tbl[[#This Row],[SDate]])=INDEX(mthLkUp.tbl[Num],MATCH(AG$3,mthLkUp.tbl[Month],0)),1,0)</f>
        <v>0</v>
      </c>
      <c r="AH151" s="6">
        <f ca="1">IF(MONTH(sim.tbl[[#This Row],[SDate]])=INDEX(mthLkUp.tbl[Num],MATCH(AH$3,mthLkUp.tbl[Month],0)),1,0)</f>
        <v>0</v>
      </c>
      <c r="AI151" s="6">
        <f ca="1">IF(MONTH(sim.tbl[[#This Row],[SDate]])=INDEX(mthLkUp.tbl[Num],MATCH(AI$3,mthLkUp.tbl[Month],0)),1,0)</f>
        <v>0</v>
      </c>
      <c r="AJ151" s="6">
        <f ca="1">IF(MONTH(sim.tbl[[#This Row],[SDate]])=INDEX(mthLkUp.tbl[Num],MATCH(AJ$3,mthLkUp.tbl[Month],0)),1,0)</f>
        <v>0</v>
      </c>
      <c r="AK151" s="6">
        <v>1</v>
      </c>
      <c r="AL151" s="5">
        <f>sim.tbl[[#This Row],[Sulf]]*sim.tbl[[#This Row],[C5]]</f>
        <v>0</v>
      </c>
      <c r="AM151" s="5">
        <f>sim.tbl[[#This Row],[Sulf]]*sim.tbl[[#This Row],[Light_LSB]]</f>
        <v>0</v>
      </c>
      <c r="AN151" s="5">
        <f>sim.tbl[[#This Row],[Sulf]]*sim.tbl[[#This Row],[Light_SW]]</f>
        <v>0</v>
      </c>
      <c r="AO151" s="5">
        <f>sim.tbl[[#This Row],[Sulf]]*sim.tbl[[#This Row],[Medium_LSB]]</f>
        <v>1.63</v>
      </c>
      <c r="AP151" s="5">
        <f>sim.tbl[[#This Row],[Sulf]]*sim.tbl[[#This Row],[Medium_SW]]</f>
        <v>0</v>
      </c>
      <c r="AQ151" s="5">
        <f>sim.tbl[[#This Row],[Sulf]]*sim.tbl[[#This Row],[Midale]]</f>
        <v>0</v>
      </c>
      <c r="AR151" s="5">
        <f>sim.tbl[[#This Row],[Sulf]]*sim.tbl[[#This Row],[Heavy_Sour]]</f>
        <v>0</v>
      </c>
      <c r="AS151" s="5">
        <f>sim.tbl[[#This Row],[Sulf]]*sim.tbl[[#This Row],[Heavy_SW]]</f>
        <v>0</v>
      </c>
      <c r="AT151" s="5">
        <f>sim.tbl[[#This Row],[Dens]]*sim.tbl[[#This Row],[C5]]</f>
        <v>0</v>
      </c>
      <c r="AU151" s="5">
        <f>sim.tbl[[#This Row],[Dens]]*sim.tbl[[#This Row],[Light_LSB]]</f>
        <v>0</v>
      </c>
      <c r="AV151" s="5">
        <f>sim.tbl[[#This Row],[Dens]]*sim.tbl[[#This Row],[Light_SW]]</f>
        <v>0</v>
      </c>
      <c r="AW151" s="5">
        <f>sim.tbl[[#This Row],[Dens]]*sim.tbl[[#This Row],[Medium_LSB]]</f>
        <v>847.8</v>
      </c>
      <c r="AX151" s="5">
        <f>sim.tbl[[#This Row],[Dens]]*sim.tbl[[#This Row],[Medium_SW]]</f>
        <v>0</v>
      </c>
      <c r="AY151" s="5">
        <f>sim.tbl[[#This Row],[Dens]]*sim.tbl[[#This Row],[Midale]]</f>
        <v>0</v>
      </c>
      <c r="AZ151" s="5">
        <f>sim.tbl[[#This Row],[Dens]]*sim.tbl[[#This Row],[Heavy_Sour]]</f>
        <v>0</v>
      </c>
      <c r="BA151" s="5">
        <f>sim.tbl[[#This Row],[Dens]]*sim.tbl[[#This Row],[Heavy_SW]]</f>
        <v>0</v>
      </c>
      <c r="BB151" s="5">
        <f>sim.tbl[[#This Row],[Temp.Roll]]*sim.tbl[[#This Row],[C5]]</f>
        <v>0</v>
      </c>
      <c r="BC151" s="5">
        <f>sim.tbl[[#This Row],[Temp.Roll]]*sim.tbl[[#This Row],[Light_LSB]]</f>
        <v>0</v>
      </c>
      <c r="BD151" s="5">
        <f>sim.tbl[[#This Row],[Temp.Roll]]*sim.tbl[[#This Row],[Light_SW]]</f>
        <v>0</v>
      </c>
      <c r="BE151" s="5">
        <f>sim.tbl[[#This Row],[Temp.Roll]]*sim.tbl[[#This Row],[Medium_LSB]]</f>
        <v>-9.3000000000000007</v>
      </c>
      <c r="BF151" s="5">
        <f>sim.tbl[[#This Row],[Temp.Roll]]*sim.tbl[[#This Row],[Medium_SW]]</f>
        <v>0</v>
      </c>
      <c r="BG151" s="5">
        <f>sim.tbl[[#This Row],[Temp.Roll]]*sim.tbl[[#This Row],[Midale]]</f>
        <v>0</v>
      </c>
      <c r="BH151" s="5">
        <f>sim.tbl[[#This Row],[Temp.Roll]]*sim.tbl[[#This Row],[Heavy_Sour]]</f>
        <v>0</v>
      </c>
      <c r="BI151" s="5">
        <f>sim.tbl[[#This Row],[Temp.Roll]]*sim.tbl[[#This Row],[Heavy_SW]]</f>
        <v>0</v>
      </c>
    </row>
    <row r="152" spans="4:61" x14ac:dyDescent="0.25">
      <c r="D152" s="5">
        <f ca="1">SUMPRODUCT($F$1:$BI$1,sim.tbl[[#This Row],[Intercept]:[Temp.Roll:Heavy_SW]])</f>
        <v>74.664632286484277</v>
      </c>
      <c r="E152" s="14">
        <f ca="1">DATE(YEAR(TODAY()),INDEX(mthLkUp.tbl[Num],MATCH(mth.input,mthLkUp.tbl[Month],0)),1)</f>
        <v>42795</v>
      </c>
      <c r="F152" s="6">
        <f>1</f>
        <v>1</v>
      </c>
      <c r="G152" s="5">
        <v>1.234</v>
      </c>
      <c r="H152" s="5">
        <v>841.2</v>
      </c>
      <c r="I152" s="5">
        <v>11.6</v>
      </c>
      <c r="J152" s="5">
        <v>10.7</v>
      </c>
      <c r="K152" s="5">
        <v>12.7</v>
      </c>
      <c r="L152" s="5">
        <v>10.7</v>
      </c>
      <c r="M152" s="5">
        <v>13.8</v>
      </c>
      <c r="N152" s="5">
        <v>8.5</v>
      </c>
      <c r="O152" s="5">
        <v>13.4</v>
      </c>
      <c r="P152" s="5">
        <v>10.5</v>
      </c>
      <c r="Q152" s="6">
        <f>IF(sim.tbl[[#This Row],[Dens]]&lt;=770,1,0)</f>
        <v>0</v>
      </c>
      <c r="R152" s="6">
        <f>IF(AND(sim.tbl[[#This Row],[Sulf]]&gt;0.5,sim.tbl[[#This Row],[Dens]]&gt;770,sim.tbl[[#This Row],[Dens]]&lt;=825),1,0)</f>
        <v>0</v>
      </c>
      <c r="S152" s="6">
        <f>IF(AND(sim.tbl[[#This Row],[Sulf]]&lt;=0.5,sim.tbl[[#This Row],[Dens]]&gt;770,sim.tbl[[#This Row],[Dens]]&lt;=825),1,0)</f>
        <v>0</v>
      </c>
      <c r="T152" s="6">
        <f>IF(AND(sim.tbl[[#This Row],[Sulf]]&gt;0.5,sim.tbl[[#This Row],[Dens]]&gt;825,sim.tbl[[#This Row],[Dens]]&lt;=870),1,0)</f>
        <v>1</v>
      </c>
      <c r="U152" s="6">
        <f>IF(AND(sim.tbl[[#This Row],[Sulf]]&lt;0.5,sim.tbl[[#This Row],[Dens]]&gt;825,sim.tbl[[#This Row],[Dens]]&lt;=900),1,0)</f>
        <v>0</v>
      </c>
      <c r="V152" s="6">
        <f>IF(AND(sim.tbl[[#This Row],[Sulf]]&gt;0.5,sim.tbl[[#This Row],[Dens]]&gt;870,sim.tbl[[#This Row],[Dens]]&lt;=900),1,0)</f>
        <v>0</v>
      </c>
      <c r="W152" s="6">
        <f>IF(AND(sim.tbl[[#This Row],[Sulf]]&gt;0.5,sim.tbl[[#This Row],[Dens]]&gt;900),1,0)</f>
        <v>0</v>
      </c>
      <c r="X152" s="6">
        <f>IF(AND(sim.tbl[[#This Row],[Sulf]]&lt;=0.5,sim.tbl[[#This Row],[Dens]]&gt;900),1,0)</f>
        <v>0</v>
      </c>
      <c r="Y152" s="6">
        <f ca="1">IF(MONTH(sim.tbl[[#This Row],[SDate]])=INDEX(mthLkUp.tbl[Num],MATCH(Y$3,mthLkUp.tbl[Month],0)),1,0)</f>
        <v>0</v>
      </c>
      <c r="Z152" s="6">
        <f ca="1">IF(MONTH(sim.tbl[[#This Row],[SDate]])=INDEX(mthLkUp.tbl[Num],MATCH(Z$3,mthLkUp.tbl[Month],0)),1,0)</f>
        <v>0</v>
      </c>
      <c r="AA152" s="6">
        <f ca="1">IF(MONTH(sim.tbl[[#This Row],[SDate]])=INDEX(mthLkUp.tbl[Num],MATCH(AA$3,mthLkUp.tbl[Month],0)),1,0)</f>
        <v>1</v>
      </c>
      <c r="AB152" s="6">
        <f ca="1">IF(MONTH(sim.tbl[[#This Row],[SDate]])=INDEX(mthLkUp.tbl[Num],MATCH(AB$3,mthLkUp.tbl[Month],0)),1,0)</f>
        <v>0</v>
      </c>
      <c r="AC152" s="6">
        <f ca="1">IF(MONTH(sim.tbl[[#This Row],[SDate]])=INDEX(mthLkUp.tbl[Num],MATCH(AC$3,mthLkUp.tbl[Month],0)),1,0)</f>
        <v>0</v>
      </c>
      <c r="AD152" s="6">
        <f ca="1">IF(MONTH(sim.tbl[[#This Row],[SDate]])=INDEX(mthLkUp.tbl[Num],MATCH(AD$3,mthLkUp.tbl[Month],0)),1,0)</f>
        <v>0</v>
      </c>
      <c r="AE152" s="6">
        <f ca="1">IF(MONTH(sim.tbl[[#This Row],[SDate]])=INDEX(mthLkUp.tbl[Num],MATCH(AE$3,mthLkUp.tbl[Month],0)),1,0)</f>
        <v>0</v>
      </c>
      <c r="AF152" s="6">
        <f ca="1">IF(MONTH(sim.tbl[[#This Row],[SDate]])=INDEX(mthLkUp.tbl[Num],MATCH(AF$3,mthLkUp.tbl[Month],0)),1,0)</f>
        <v>0</v>
      </c>
      <c r="AG152" s="6">
        <f ca="1">IF(MONTH(sim.tbl[[#This Row],[SDate]])=INDEX(mthLkUp.tbl[Num],MATCH(AG$3,mthLkUp.tbl[Month],0)),1,0)</f>
        <v>0</v>
      </c>
      <c r="AH152" s="6">
        <f ca="1">IF(MONTH(sim.tbl[[#This Row],[SDate]])=INDEX(mthLkUp.tbl[Num],MATCH(AH$3,mthLkUp.tbl[Month],0)),1,0)</f>
        <v>0</v>
      </c>
      <c r="AI152" s="6">
        <f ca="1">IF(MONTH(sim.tbl[[#This Row],[SDate]])=INDEX(mthLkUp.tbl[Num],MATCH(AI$3,mthLkUp.tbl[Month],0)),1,0)</f>
        <v>0</v>
      </c>
      <c r="AJ152" s="6">
        <f ca="1">IF(MONTH(sim.tbl[[#This Row],[SDate]])=INDEX(mthLkUp.tbl[Num],MATCH(AJ$3,mthLkUp.tbl[Month],0)),1,0)</f>
        <v>0</v>
      </c>
      <c r="AK152" s="6">
        <v>1</v>
      </c>
      <c r="AL152" s="5">
        <f>sim.tbl[[#This Row],[Sulf]]*sim.tbl[[#This Row],[C5]]</f>
        <v>0</v>
      </c>
      <c r="AM152" s="5">
        <f>sim.tbl[[#This Row],[Sulf]]*sim.tbl[[#This Row],[Light_LSB]]</f>
        <v>0</v>
      </c>
      <c r="AN152" s="5">
        <f>sim.tbl[[#This Row],[Sulf]]*sim.tbl[[#This Row],[Light_SW]]</f>
        <v>0</v>
      </c>
      <c r="AO152" s="5">
        <f>sim.tbl[[#This Row],[Sulf]]*sim.tbl[[#This Row],[Medium_LSB]]</f>
        <v>1.234</v>
      </c>
      <c r="AP152" s="5">
        <f>sim.tbl[[#This Row],[Sulf]]*sim.tbl[[#This Row],[Medium_SW]]</f>
        <v>0</v>
      </c>
      <c r="AQ152" s="5">
        <f>sim.tbl[[#This Row],[Sulf]]*sim.tbl[[#This Row],[Midale]]</f>
        <v>0</v>
      </c>
      <c r="AR152" s="5">
        <f>sim.tbl[[#This Row],[Sulf]]*sim.tbl[[#This Row],[Heavy_Sour]]</f>
        <v>0</v>
      </c>
      <c r="AS152" s="5">
        <f>sim.tbl[[#This Row],[Sulf]]*sim.tbl[[#This Row],[Heavy_SW]]</f>
        <v>0</v>
      </c>
      <c r="AT152" s="5">
        <f>sim.tbl[[#This Row],[Dens]]*sim.tbl[[#This Row],[C5]]</f>
        <v>0</v>
      </c>
      <c r="AU152" s="5">
        <f>sim.tbl[[#This Row],[Dens]]*sim.tbl[[#This Row],[Light_LSB]]</f>
        <v>0</v>
      </c>
      <c r="AV152" s="5">
        <f>sim.tbl[[#This Row],[Dens]]*sim.tbl[[#This Row],[Light_SW]]</f>
        <v>0</v>
      </c>
      <c r="AW152" s="5">
        <f>sim.tbl[[#This Row],[Dens]]*sim.tbl[[#This Row],[Medium_LSB]]</f>
        <v>841.2</v>
      </c>
      <c r="AX152" s="5">
        <f>sim.tbl[[#This Row],[Dens]]*sim.tbl[[#This Row],[Medium_SW]]</f>
        <v>0</v>
      </c>
      <c r="AY152" s="5">
        <f>sim.tbl[[#This Row],[Dens]]*sim.tbl[[#This Row],[Midale]]</f>
        <v>0</v>
      </c>
      <c r="AZ152" s="5">
        <f>sim.tbl[[#This Row],[Dens]]*sim.tbl[[#This Row],[Heavy_Sour]]</f>
        <v>0</v>
      </c>
      <c r="BA152" s="5">
        <f>sim.tbl[[#This Row],[Dens]]*sim.tbl[[#This Row],[Heavy_SW]]</f>
        <v>0</v>
      </c>
      <c r="BB152" s="5">
        <f>sim.tbl[[#This Row],[Temp.Roll]]*sim.tbl[[#This Row],[C5]]</f>
        <v>0</v>
      </c>
      <c r="BC152" s="5">
        <f>sim.tbl[[#This Row],[Temp.Roll]]*sim.tbl[[#This Row],[Light_LSB]]</f>
        <v>0</v>
      </c>
      <c r="BD152" s="5">
        <f>sim.tbl[[#This Row],[Temp.Roll]]*sim.tbl[[#This Row],[Light_SW]]</f>
        <v>0</v>
      </c>
      <c r="BE152" s="5">
        <f>sim.tbl[[#This Row],[Temp.Roll]]*sim.tbl[[#This Row],[Medium_LSB]]</f>
        <v>10.7</v>
      </c>
      <c r="BF152" s="5">
        <f>sim.tbl[[#This Row],[Temp.Roll]]*sim.tbl[[#This Row],[Medium_SW]]</f>
        <v>0</v>
      </c>
      <c r="BG152" s="5">
        <f>sim.tbl[[#This Row],[Temp.Roll]]*sim.tbl[[#This Row],[Midale]]</f>
        <v>0</v>
      </c>
      <c r="BH152" s="5">
        <f>sim.tbl[[#This Row],[Temp.Roll]]*sim.tbl[[#This Row],[Heavy_Sour]]</f>
        <v>0</v>
      </c>
      <c r="BI152" s="5">
        <f>sim.tbl[[#This Row],[Temp.Roll]]*sim.tbl[[#This Row],[Heavy_SW]]</f>
        <v>0</v>
      </c>
    </row>
    <row r="153" spans="4:61" x14ac:dyDescent="0.25">
      <c r="D153" s="5">
        <f ca="1">SUMPRODUCT($F$1:$BI$1,sim.tbl[[#This Row],[Intercept]:[Temp.Roll:Heavy_SW]])</f>
        <v>77.890059449383216</v>
      </c>
      <c r="E153" s="14">
        <f ca="1">DATE(YEAR(TODAY()),INDEX(mthLkUp.tbl[Num],MATCH(mth.input,mthLkUp.tbl[Month],0)),1)</f>
        <v>42795</v>
      </c>
      <c r="F153" s="6">
        <f>1</f>
        <v>1</v>
      </c>
      <c r="G153" s="5">
        <v>1.8</v>
      </c>
      <c r="H153" s="5">
        <v>851.8</v>
      </c>
      <c r="I153" s="5">
        <v>-7.2166666670000001</v>
      </c>
      <c r="J153" s="5">
        <v>-7.1</v>
      </c>
      <c r="K153" s="5">
        <v>-6.1</v>
      </c>
      <c r="L153" s="5">
        <v>-7.1</v>
      </c>
      <c r="M153" s="5">
        <v>-8.3000000000000007</v>
      </c>
      <c r="N153" s="5">
        <v>-8</v>
      </c>
      <c r="O153" s="5">
        <v>-6.8</v>
      </c>
      <c r="P153" s="5">
        <v>-7</v>
      </c>
      <c r="Q153" s="6">
        <f>IF(sim.tbl[[#This Row],[Dens]]&lt;=770,1,0)</f>
        <v>0</v>
      </c>
      <c r="R153" s="6">
        <f>IF(AND(sim.tbl[[#This Row],[Sulf]]&gt;0.5,sim.tbl[[#This Row],[Dens]]&gt;770,sim.tbl[[#This Row],[Dens]]&lt;=825),1,0)</f>
        <v>0</v>
      </c>
      <c r="S153" s="6">
        <f>IF(AND(sim.tbl[[#This Row],[Sulf]]&lt;=0.5,sim.tbl[[#This Row],[Dens]]&gt;770,sim.tbl[[#This Row],[Dens]]&lt;=825),1,0)</f>
        <v>0</v>
      </c>
      <c r="T153" s="6">
        <f>IF(AND(sim.tbl[[#This Row],[Sulf]]&gt;0.5,sim.tbl[[#This Row],[Dens]]&gt;825,sim.tbl[[#This Row],[Dens]]&lt;=870),1,0)</f>
        <v>1</v>
      </c>
      <c r="U153" s="6">
        <f>IF(AND(sim.tbl[[#This Row],[Sulf]]&lt;0.5,sim.tbl[[#This Row],[Dens]]&gt;825,sim.tbl[[#This Row],[Dens]]&lt;=900),1,0)</f>
        <v>0</v>
      </c>
      <c r="V153" s="6">
        <f>IF(AND(sim.tbl[[#This Row],[Sulf]]&gt;0.5,sim.tbl[[#This Row],[Dens]]&gt;870,sim.tbl[[#This Row],[Dens]]&lt;=900),1,0)</f>
        <v>0</v>
      </c>
      <c r="W153" s="6">
        <f>IF(AND(sim.tbl[[#This Row],[Sulf]]&gt;0.5,sim.tbl[[#This Row],[Dens]]&gt;900),1,0)</f>
        <v>0</v>
      </c>
      <c r="X153" s="6">
        <f>IF(AND(sim.tbl[[#This Row],[Sulf]]&lt;=0.5,sim.tbl[[#This Row],[Dens]]&gt;900),1,0)</f>
        <v>0</v>
      </c>
      <c r="Y153" s="6">
        <f ca="1">IF(MONTH(sim.tbl[[#This Row],[SDate]])=INDEX(mthLkUp.tbl[Num],MATCH(Y$3,mthLkUp.tbl[Month],0)),1,0)</f>
        <v>0</v>
      </c>
      <c r="Z153" s="6">
        <f ca="1">IF(MONTH(sim.tbl[[#This Row],[SDate]])=INDEX(mthLkUp.tbl[Num],MATCH(Z$3,mthLkUp.tbl[Month],0)),1,0)</f>
        <v>0</v>
      </c>
      <c r="AA153" s="6">
        <f ca="1">IF(MONTH(sim.tbl[[#This Row],[SDate]])=INDEX(mthLkUp.tbl[Num],MATCH(AA$3,mthLkUp.tbl[Month],0)),1,0)</f>
        <v>1</v>
      </c>
      <c r="AB153" s="6">
        <f ca="1">IF(MONTH(sim.tbl[[#This Row],[SDate]])=INDEX(mthLkUp.tbl[Num],MATCH(AB$3,mthLkUp.tbl[Month],0)),1,0)</f>
        <v>0</v>
      </c>
      <c r="AC153" s="6">
        <f ca="1">IF(MONTH(sim.tbl[[#This Row],[SDate]])=INDEX(mthLkUp.tbl[Num],MATCH(AC$3,mthLkUp.tbl[Month],0)),1,0)</f>
        <v>0</v>
      </c>
      <c r="AD153" s="6">
        <f ca="1">IF(MONTH(sim.tbl[[#This Row],[SDate]])=INDEX(mthLkUp.tbl[Num],MATCH(AD$3,mthLkUp.tbl[Month],0)),1,0)</f>
        <v>0</v>
      </c>
      <c r="AE153" s="6">
        <f ca="1">IF(MONTH(sim.tbl[[#This Row],[SDate]])=INDEX(mthLkUp.tbl[Num],MATCH(AE$3,mthLkUp.tbl[Month],0)),1,0)</f>
        <v>0</v>
      </c>
      <c r="AF153" s="6">
        <f ca="1">IF(MONTH(sim.tbl[[#This Row],[SDate]])=INDEX(mthLkUp.tbl[Num],MATCH(AF$3,mthLkUp.tbl[Month],0)),1,0)</f>
        <v>0</v>
      </c>
      <c r="AG153" s="6">
        <f ca="1">IF(MONTH(sim.tbl[[#This Row],[SDate]])=INDEX(mthLkUp.tbl[Num],MATCH(AG$3,mthLkUp.tbl[Month],0)),1,0)</f>
        <v>0</v>
      </c>
      <c r="AH153" s="6">
        <f ca="1">IF(MONTH(sim.tbl[[#This Row],[SDate]])=INDEX(mthLkUp.tbl[Num],MATCH(AH$3,mthLkUp.tbl[Month],0)),1,0)</f>
        <v>0</v>
      </c>
      <c r="AI153" s="6">
        <f ca="1">IF(MONTH(sim.tbl[[#This Row],[SDate]])=INDEX(mthLkUp.tbl[Num],MATCH(AI$3,mthLkUp.tbl[Month],0)),1,0)</f>
        <v>0</v>
      </c>
      <c r="AJ153" s="6">
        <f ca="1">IF(MONTH(sim.tbl[[#This Row],[SDate]])=INDEX(mthLkUp.tbl[Num],MATCH(AJ$3,mthLkUp.tbl[Month],0)),1,0)</f>
        <v>0</v>
      </c>
      <c r="AK153" s="6">
        <v>1</v>
      </c>
      <c r="AL153" s="5">
        <f>sim.tbl[[#This Row],[Sulf]]*sim.tbl[[#This Row],[C5]]</f>
        <v>0</v>
      </c>
      <c r="AM153" s="5">
        <f>sim.tbl[[#This Row],[Sulf]]*sim.tbl[[#This Row],[Light_LSB]]</f>
        <v>0</v>
      </c>
      <c r="AN153" s="5">
        <f>sim.tbl[[#This Row],[Sulf]]*sim.tbl[[#This Row],[Light_SW]]</f>
        <v>0</v>
      </c>
      <c r="AO153" s="5">
        <f>sim.tbl[[#This Row],[Sulf]]*sim.tbl[[#This Row],[Medium_LSB]]</f>
        <v>1.8</v>
      </c>
      <c r="AP153" s="5">
        <f>sim.tbl[[#This Row],[Sulf]]*sim.tbl[[#This Row],[Medium_SW]]</f>
        <v>0</v>
      </c>
      <c r="AQ153" s="5">
        <f>sim.tbl[[#This Row],[Sulf]]*sim.tbl[[#This Row],[Midale]]</f>
        <v>0</v>
      </c>
      <c r="AR153" s="5">
        <f>sim.tbl[[#This Row],[Sulf]]*sim.tbl[[#This Row],[Heavy_Sour]]</f>
        <v>0</v>
      </c>
      <c r="AS153" s="5">
        <f>sim.tbl[[#This Row],[Sulf]]*sim.tbl[[#This Row],[Heavy_SW]]</f>
        <v>0</v>
      </c>
      <c r="AT153" s="5">
        <f>sim.tbl[[#This Row],[Dens]]*sim.tbl[[#This Row],[C5]]</f>
        <v>0</v>
      </c>
      <c r="AU153" s="5">
        <f>sim.tbl[[#This Row],[Dens]]*sim.tbl[[#This Row],[Light_LSB]]</f>
        <v>0</v>
      </c>
      <c r="AV153" s="5">
        <f>sim.tbl[[#This Row],[Dens]]*sim.tbl[[#This Row],[Light_SW]]</f>
        <v>0</v>
      </c>
      <c r="AW153" s="5">
        <f>sim.tbl[[#This Row],[Dens]]*sim.tbl[[#This Row],[Medium_LSB]]</f>
        <v>851.8</v>
      </c>
      <c r="AX153" s="5">
        <f>sim.tbl[[#This Row],[Dens]]*sim.tbl[[#This Row],[Medium_SW]]</f>
        <v>0</v>
      </c>
      <c r="AY153" s="5">
        <f>sim.tbl[[#This Row],[Dens]]*sim.tbl[[#This Row],[Midale]]</f>
        <v>0</v>
      </c>
      <c r="AZ153" s="5">
        <f>sim.tbl[[#This Row],[Dens]]*sim.tbl[[#This Row],[Heavy_Sour]]</f>
        <v>0</v>
      </c>
      <c r="BA153" s="5">
        <f>sim.tbl[[#This Row],[Dens]]*sim.tbl[[#This Row],[Heavy_SW]]</f>
        <v>0</v>
      </c>
      <c r="BB153" s="5">
        <f>sim.tbl[[#This Row],[Temp.Roll]]*sim.tbl[[#This Row],[C5]]</f>
        <v>0</v>
      </c>
      <c r="BC153" s="5">
        <f>sim.tbl[[#This Row],[Temp.Roll]]*sim.tbl[[#This Row],[Light_LSB]]</f>
        <v>0</v>
      </c>
      <c r="BD153" s="5">
        <f>sim.tbl[[#This Row],[Temp.Roll]]*sim.tbl[[#This Row],[Light_SW]]</f>
        <v>0</v>
      </c>
      <c r="BE153" s="5">
        <f>sim.tbl[[#This Row],[Temp.Roll]]*sim.tbl[[#This Row],[Medium_LSB]]</f>
        <v>-7.1</v>
      </c>
      <c r="BF153" s="5">
        <f>sim.tbl[[#This Row],[Temp.Roll]]*sim.tbl[[#This Row],[Medium_SW]]</f>
        <v>0</v>
      </c>
      <c r="BG153" s="5">
        <f>sim.tbl[[#This Row],[Temp.Roll]]*sim.tbl[[#This Row],[Midale]]</f>
        <v>0</v>
      </c>
      <c r="BH153" s="5">
        <f>sim.tbl[[#This Row],[Temp.Roll]]*sim.tbl[[#This Row],[Heavy_Sour]]</f>
        <v>0</v>
      </c>
      <c r="BI153" s="5">
        <f>sim.tbl[[#This Row],[Temp.Roll]]*sim.tbl[[#This Row],[Heavy_SW]]</f>
        <v>0</v>
      </c>
    </row>
    <row r="154" spans="4:61" x14ac:dyDescent="0.25">
      <c r="D154" s="5">
        <f ca="1">SUMPRODUCT($F$1:$BI$1,sim.tbl[[#This Row],[Intercept]:[Temp.Roll:Heavy_SW]])</f>
        <v>81.132568806108026</v>
      </c>
      <c r="E154" s="14">
        <f ca="1">DATE(YEAR(TODAY()),INDEX(mthLkUp.tbl[Num],MATCH(mth.input,mthLkUp.tbl[Month],0)),1)</f>
        <v>42795</v>
      </c>
      <c r="F154" s="6">
        <f>1</f>
        <v>1</v>
      </c>
      <c r="G154" s="5">
        <v>1.08</v>
      </c>
      <c r="H154" s="5">
        <v>825.5</v>
      </c>
      <c r="I154" s="5">
        <v>5.35</v>
      </c>
      <c r="J154" s="5">
        <v>5.8</v>
      </c>
      <c r="K154" s="5">
        <v>5.7</v>
      </c>
      <c r="L154" s="5">
        <v>5.8</v>
      </c>
      <c r="M154" s="5">
        <v>4.3</v>
      </c>
      <c r="N154" s="5">
        <v>5.5</v>
      </c>
      <c r="O154" s="5">
        <v>5</v>
      </c>
      <c r="P154" s="5">
        <v>5.8</v>
      </c>
      <c r="Q154" s="6">
        <f>IF(sim.tbl[[#This Row],[Dens]]&lt;=770,1,0)</f>
        <v>0</v>
      </c>
      <c r="R154" s="6">
        <f>IF(AND(sim.tbl[[#This Row],[Sulf]]&gt;0.5,sim.tbl[[#This Row],[Dens]]&gt;770,sim.tbl[[#This Row],[Dens]]&lt;=825),1,0)</f>
        <v>0</v>
      </c>
      <c r="S154" s="6">
        <f>IF(AND(sim.tbl[[#This Row],[Sulf]]&lt;=0.5,sim.tbl[[#This Row],[Dens]]&gt;770,sim.tbl[[#This Row],[Dens]]&lt;=825),1,0)</f>
        <v>0</v>
      </c>
      <c r="T154" s="6">
        <f>IF(AND(sim.tbl[[#This Row],[Sulf]]&gt;0.5,sim.tbl[[#This Row],[Dens]]&gt;825,sim.tbl[[#This Row],[Dens]]&lt;=870),1,0)</f>
        <v>1</v>
      </c>
      <c r="U154" s="6">
        <f>IF(AND(sim.tbl[[#This Row],[Sulf]]&lt;0.5,sim.tbl[[#This Row],[Dens]]&gt;825,sim.tbl[[#This Row],[Dens]]&lt;=900),1,0)</f>
        <v>0</v>
      </c>
      <c r="V154" s="6">
        <f>IF(AND(sim.tbl[[#This Row],[Sulf]]&gt;0.5,sim.tbl[[#This Row],[Dens]]&gt;870,sim.tbl[[#This Row],[Dens]]&lt;=900),1,0)</f>
        <v>0</v>
      </c>
      <c r="W154" s="6">
        <f>IF(AND(sim.tbl[[#This Row],[Sulf]]&gt;0.5,sim.tbl[[#This Row],[Dens]]&gt;900),1,0)</f>
        <v>0</v>
      </c>
      <c r="X154" s="6">
        <f>IF(AND(sim.tbl[[#This Row],[Sulf]]&lt;=0.5,sim.tbl[[#This Row],[Dens]]&gt;900),1,0)</f>
        <v>0</v>
      </c>
      <c r="Y154" s="6">
        <f ca="1">IF(MONTH(sim.tbl[[#This Row],[SDate]])=INDEX(mthLkUp.tbl[Num],MATCH(Y$3,mthLkUp.tbl[Month],0)),1,0)</f>
        <v>0</v>
      </c>
      <c r="Z154" s="6">
        <f ca="1">IF(MONTH(sim.tbl[[#This Row],[SDate]])=INDEX(mthLkUp.tbl[Num],MATCH(Z$3,mthLkUp.tbl[Month],0)),1,0)</f>
        <v>0</v>
      </c>
      <c r="AA154" s="6">
        <f ca="1">IF(MONTH(sim.tbl[[#This Row],[SDate]])=INDEX(mthLkUp.tbl[Num],MATCH(AA$3,mthLkUp.tbl[Month],0)),1,0)</f>
        <v>1</v>
      </c>
      <c r="AB154" s="6">
        <f ca="1">IF(MONTH(sim.tbl[[#This Row],[SDate]])=INDEX(mthLkUp.tbl[Num],MATCH(AB$3,mthLkUp.tbl[Month],0)),1,0)</f>
        <v>0</v>
      </c>
      <c r="AC154" s="6">
        <f ca="1">IF(MONTH(sim.tbl[[#This Row],[SDate]])=INDEX(mthLkUp.tbl[Num],MATCH(AC$3,mthLkUp.tbl[Month],0)),1,0)</f>
        <v>0</v>
      </c>
      <c r="AD154" s="6">
        <f ca="1">IF(MONTH(sim.tbl[[#This Row],[SDate]])=INDEX(mthLkUp.tbl[Num],MATCH(AD$3,mthLkUp.tbl[Month],0)),1,0)</f>
        <v>0</v>
      </c>
      <c r="AE154" s="6">
        <f ca="1">IF(MONTH(sim.tbl[[#This Row],[SDate]])=INDEX(mthLkUp.tbl[Num],MATCH(AE$3,mthLkUp.tbl[Month],0)),1,0)</f>
        <v>0</v>
      </c>
      <c r="AF154" s="6">
        <f ca="1">IF(MONTH(sim.tbl[[#This Row],[SDate]])=INDEX(mthLkUp.tbl[Num],MATCH(AF$3,mthLkUp.tbl[Month],0)),1,0)</f>
        <v>0</v>
      </c>
      <c r="AG154" s="6">
        <f ca="1">IF(MONTH(sim.tbl[[#This Row],[SDate]])=INDEX(mthLkUp.tbl[Num],MATCH(AG$3,mthLkUp.tbl[Month],0)),1,0)</f>
        <v>0</v>
      </c>
      <c r="AH154" s="6">
        <f ca="1">IF(MONTH(sim.tbl[[#This Row],[SDate]])=INDEX(mthLkUp.tbl[Num],MATCH(AH$3,mthLkUp.tbl[Month],0)),1,0)</f>
        <v>0</v>
      </c>
      <c r="AI154" s="6">
        <f ca="1">IF(MONTH(sim.tbl[[#This Row],[SDate]])=INDEX(mthLkUp.tbl[Num],MATCH(AI$3,mthLkUp.tbl[Month],0)),1,0)</f>
        <v>0</v>
      </c>
      <c r="AJ154" s="6">
        <f ca="1">IF(MONTH(sim.tbl[[#This Row],[SDate]])=INDEX(mthLkUp.tbl[Num],MATCH(AJ$3,mthLkUp.tbl[Month],0)),1,0)</f>
        <v>0</v>
      </c>
      <c r="AK154" s="6">
        <v>1</v>
      </c>
      <c r="AL154" s="5">
        <f>sim.tbl[[#This Row],[Sulf]]*sim.tbl[[#This Row],[C5]]</f>
        <v>0</v>
      </c>
      <c r="AM154" s="5">
        <f>sim.tbl[[#This Row],[Sulf]]*sim.tbl[[#This Row],[Light_LSB]]</f>
        <v>0</v>
      </c>
      <c r="AN154" s="5">
        <f>sim.tbl[[#This Row],[Sulf]]*sim.tbl[[#This Row],[Light_SW]]</f>
        <v>0</v>
      </c>
      <c r="AO154" s="5">
        <f>sim.tbl[[#This Row],[Sulf]]*sim.tbl[[#This Row],[Medium_LSB]]</f>
        <v>1.08</v>
      </c>
      <c r="AP154" s="5">
        <f>sim.tbl[[#This Row],[Sulf]]*sim.tbl[[#This Row],[Medium_SW]]</f>
        <v>0</v>
      </c>
      <c r="AQ154" s="5">
        <f>sim.tbl[[#This Row],[Sulf]]*sim.tbl[[#This Row],[Midale]]</f>
        <v>0</v>
      </c>
      <c r="AR154" s="5">
        <f>sim.tbl[[#This Row],[Sulf]]*sim.tbl[[#This Row],[Heavy_Sour]]</f>
        <v>0</v>
      </c>
      <c r="AS154" s="5">
        <f>sim.tbl[[#This Row],[Sulf]]*sim.tbl[[#This Row],[Heavy_SW]]</f>
        <v>0</v>
      </c>
      <c r="AT154" s="5">
        <f>sim.tbl[[#This Row],[Dens]]*sim.tbl[[#This Row],[C5]]</f>
        <v>0</v>
      </c>
      <c r="AU154" s="5">
        <f>sim.tbl[[#This Row],[Dens]]*sim.tbl[[#This Row],[Light_LSB]]</f>
        <v>0</v>
      </c>
      <c r="AV154" s="5">
        <f>sim.tbl[[#This Row],[Dens]]*sim.tbl[[#This Row],[Light_SW]]</f>
        <v>0</v>
      </c>
      <c r="AW154" s="5">
        <f>sim.tbl[[#This Row],[Dens]]*sim.tbl[[#This Row],[Medium_LSB]]</f>
        <v>825.5</v>
      </c>
      <c r="AX154" s="5">
        <f>sim.tbl[[#This Row],[Dens]]*sim.tbl[[#This Row],[Medium_SW]]</f>
        <v>0</v>
      </c>
      <c r="AY154" s="5">
        <f>sim.tbl[[#This Row],[Dens]]*sim.tbl[[#This Row],[Midale]]</f>
        <v>0</v>
      </c>
      <c r="AZ154" s="5">
        <f>sim.tbl[[#This Row],[Dens]]*sim.tbl[[#This Row],[Heavy_Sour]]</f>
        <v>0</v>
      </c>
      <c r="BA154" s="5">
        <f>sim.tbl[[#This Row],[Dens]]*sim.tbl[[#This Row],[Heavy_SW]]</f>
        <v>0</v>
      </c>
      <c r="BB154" s="5">
        <f>sim.tbl[[#This Row],[Temp.Roll]]*sim.tbl[[#This Row],[C5]]</f>
        <v>0</v>
      </c>
      <c r="BC154" s="5">
        <f>sim.tbl[[#This Row],[Temp.Roll]]*sim.tbl[[#This Row],[Light_LSB]]</f>
        <v>0</v>
      </c>
      <c r="BD154" s="5">
        <f>sim.tbl[[#This Row],[Temp.Roll]]*sim.tbl[[#This Row],[Light_SW]]</f>
        <v>0</v>
      </c>
      <c r="BE154" s="5">
        <f>sim.tbl[[#This Row],[Temp.Roll]]*sim.tbl[[#This Row],[Medium_LSB]]</f>
        <v>5.8</v>
      </c>
      <c r="BF154" s="5">
        <f>sim.tbl[[#This Row],[Temp.Roll]]*sim.tbl[[#This Row],[Medium_SW]]</f>
        <v>0</v>
      </c>
      <c r="BG154" s="5">
        <f>sim.tbl[[#This Row],[Temp.Roll]]*sim.tbl[[#This Row],[Midale]]</f>
        <v>0</v>
      </c>
      <c r="BH154" s="5">
        <f>sim.tbl[[#This Row],[Temp.Roll]]*sim.tbl[[#This Row],[Heavy_Sour]]</f>
        <v>0</v>
      </c>
      <c r="BI154" s="5">
        <f>sim.tbl[[#This Row],[Temp.Roll]]*sim.tbl[[#This Row],[Heavy_SW]]</f>
        <v>0</v>
      </c>
    </row>
    <row r="155" spans="4:61" x14ac:dyDescent="0.25">
      <c r="D155" s="5">
        <f ca="1">SUMPRODUCT($F$1:$BI$1,sim.tbl[[#This Row],[Intercept]:[Temp.Roll:Heavy_SW]])</f>
        <v>80.557159945630531</v>
      </c>
      <c r="E155" s="14">
        <f ca="1">DATE(YEAR(TODAY()),INDEX(mthLkUp.tbl[Num],MATCH(mth.input,mthLkUp.tbl[Month],0)),1)</f>
        <v>42795</v>
      </c>
      <c r="F155" s="6">
        <f>1</f>
        <v>1</v>
      </c>
      <c r="G155" s="5">
        <v>1.74</v>
      </c>
      <c r="H155" s="5">
        <v>830.9</v>
      </c>
      <c r="I155" s="5">
        <v>3.75</v>
      </c>
      <c r="J155" s="5">
        <v>2.9</v>
      </c>
      <c r="K155" s="5">
        <v>4.5</v>
      </c>
      <c r="L155" s="5">
        <v>2.9</v>
      </c>
      <c r="M155" s="5">
        <v>4.8</v>
      </c>
      <c r="N155" s="5">
        <v>4.5</v>
      </c>
      <c r="O155" s="5">
        <v>3.7</v>
      </c>
      <c r="P155" s="5">
        <v>2.1</v>
      </c>
      <c r="Q155" s="6">
        <f>IF(sim.tbl[[#This Row],[Dens]]&lt;=770,1,0)</f>
        <v>0</v>
      </c>
      <c r="R155" s="6">
        <f>IF(AND(sim.tbl[[#This Row],[Sulf]]&gt;0.5,sim.tbl[[#This Row],[Dens]]&gt;770,sim.tbl[[#This Row],[Dens]]&lt;=825),1,0)</f>
        <v>0</v>
      </c>
      <c r="S155" s="6">
        <f>IF(AND(sim.tbl[[#This Row],[Sulf]]&lt;=0.5,sim.tbl[[#This Row],[Dens]]&gt;770,sim.tbl[[#This Row],[Dens]]&lt;=825),1,0)</f>
        <v>0</v>
      </c>
      <c r="T155" s="6">
        <f>IF(AND(sim.tbl[[#This Row],[Sulf]]&gt;0.5,sim.tbl[[#This Row],[Dens]]&gt;825,sim.tbl[[#This Row],[Dens]]&lt;=870),1,0)</f>
        <v>1</v>
      </c>
      <c r="U155" s="6">
        <f>IF(AND(sim.tbl[[#This Row],[Sulf]]&lt;0.5,sim.tbl[[#This Row],[Dens]]&gt;825,sim.tbl[[#This Row],[Dens]]&lt;=900),1,0)</f>
        <v>0</v>
      </c>
      <c r="V155" s="6">
        <f>IF(AND(sim.tbl[[#This Row],[Sulf]]&gt;0.5,sim.tbl[[#This Row],[Dens]]&gt;870,sim.tbl[[#This Row],[Dens]]&lt;=900),1,0)</f>
        <v>0</v>
      </c>
      <c r="W155" s="6">
        <f>IF(AND(sim.tbl[[#This Row],[Sulf]]&gt;0.5,sim.tbl[[#This Row],[Dens]]&gt;900),1,0)</f>
        <v>0</v>
      </c>
      <c r="X155" s="6">
        <f>IF(AND(sim.tbl[[#This Row],[Sulf]]&lt;=0.5,sim.tbl[[#This Row],[Dens]]&gt;900),1,0)</f>
        <v>0</v>
      </c>
      <c r="Y155" s="6">
        <f ca="1">IF(MONTH(sim.tbl[[#This Row],[SDate]])=INDEX(mthLkUp.tbl[Num],MATCH(Y$3,mthLkUp.tbl[Month],0)),1,0)</f>
        <v>0</v>
      </c>
      <c r="Z155" s="6">
        <f ca="1">IF(MONTH(sim.tbl[[#This Row],[SDate]])=INDEX(mthLkUp.tbl[Num],MATCH(Z$3,mthLkUp.tbl[Month],0)),1,0)</f>
        <v>0</v>
      </c>
      <c r="AA155" s="6">
        <f ca="1">IF(MONTH(sim.tbl[[#This Row],[SDate]])=INDEX(mthLkUp.tbl[Num],MATCH(AA$3,mthLkUp.tbl[Month],0)),1,0)</f>
        <v>1</v>
      </c>
      <c r="AB155" s="6">
        <f ca="1">IF(MONTH(sim.tbl[[#This Row],[SDate]])=INDEX(mthLkUp.tbl[Num],MATCH(AB$3,mthLkUp.tbl[Month],0)),1,0)</f>
        <v>0</v>
      </c>
      <c r="AC155" s="6">
        <f ca="1">IF(MONTH(sim.tbl[[#This Row],[SDate]])=INDEX(mthLkUp.tbl[Num],MATCH(AC$3,mthLkUp.tbl[Month],0)),1,0)</f>
        <v>0</v>
      </c>
      <c r="AD155" s="6">
        <f ca="1">IF(MONTH(sim.tbl[[#This Row],[SDate]])=INDEX(mthLkUp.tbl[Num],MATCH(AD$3,mthLkUp.tbl[Month],0)),1,0)</f>
        <v>0</v>
      </c>
      <c r="AE155" s="6">
        <f ca="1">IF(MONTH(sim.tbl[[#This Row],[SDate]])=INDEX(mthLkUp.tbl[Num],MATCH(AE$3,mthLkUp.tbl[Month],0)),1,0)</f>
        <v>0</v>
      </c>
      <c r="AF155" s="6">
        <f ca="1">IF(MONTH(sim.tbl[[#This Row],[SDate]])=INDEX(mthLkUp.tbl[Num],MATCH(AF$3,mthLkUp.tbl[Month],0)),1,0)</f>
        <v>0</v>
      </c>
      <c r="AG155" s="6">
        <f ca="1">IF(MONTH(sim.tbl[[#This Row],[SDate]])=INDEX(mthLkUp.tbl[Num],MATCH(AG$3,mthLkUp.tbl[Month],0)),1,0)</f>
        <v>0</v>
      </c>
      <c r="AH155" s="6">
        <f ca="1">IF(MONTH(sim.tbl[[#This Row],[SDate]])=INDEX(mthLkUp.tbl[Num],MATCH(AH$3,mthLkUp.tbl[Month],0)),1,0)</f>
        <v>0</v>
      </c>
      <c r="AI155" s="6">
        <f ca="1">IF(MONTH(sim.tbl[[#This Row],[SDate]])=INDEX(mthLkUp.tbl[Num],MATCH(AI$3,mthLkUp.tbl[Month],0)),1,0)</f>
        <v>0</v>
      </c>
      <c r="AJ155" s="6">
        <f ca="1">IF(MONTH(sim.tbl[[#This Row],[SDate]])=INDEX(mthLkUp.tbl[Num],MATCH(AJ$3,mthLkUp.tbl[Month],0)),1,0)</f>
        <v>0</v>
      </c>
      <c r="AK155" s="6">
        <v>1</v>
      </c>
      <c r="AL155" s="5">
        <f>sim.tbl[[#This Row],[Sulf]]*sim.tbl[[#This Row],[C5]]</f>
        <v>0</v>
      </c>
      <c r="AM155" s="5">
        <f>sim.tbl[[#This Row],[Sulf]]*sim.tbl[[#This Row],[Light_LSB]]</f>
        <v>0</v>
      </c>
      <c r="AN155" s="5">
        <f>sim.tbl[[#This Row],[Sulf]]*sim.tbl[[#This Row],[Light_SW]]</f>
        <v>0</v>
      </c>
      <c r="AO155" s="5">
        <f>sim.tbl[[#This Row],[Sulf]]*sim.tbl[[#This Row],[Medium_LSB]]</f>
        <v>1.74</v>
      </c>
      <c r="AP155" s="5">
        <f>sim.tbl[[#This Row],[Sulf]]*sim.tbl[[#This Row],[Medium_SW]]</f>
        <v>0</v>
      </c>
      <c r="AQ155" s="5">
        <f>sim.tbl[[#This Row],[Sulf]]*sim.tbl[[#This Row],[Midale]]</f>
        <v>0</v>
      </c>
      <c r="AR155" s="5">
        <f>sim.tbl[[#This Row],[Sulf]]*sim.tbl[[#This Row],[Heavy_Sour]]</f>
        <v>0</v>
      </c>
      <c r="AS155" s="5">
        <f>sim.tbl[[#This Row],[Sulf]]*sim.tbl[[#This Row],[Heavy_SW]]</f>
        <v>0</v>
      </c>
      <c r="AT155" s="5">
        <f>sim.tbl[[#This Row],[Dens]]*sim.tbl[[#This Row],[C5]]</f>
        <v>0</v>
      </c>
      <c r="AU155" s="5">
        <f>sim.tbl[[#This Row],[Dens]]*sim.tbl[[#This Row],[Light_LSB]]</f>
        <v>0</v>
      </c>
      <c r="AV155" s="5">
        <f>sim.tbl[[#This Row],[Dens]]*sim.tbl[[#This Row],[Light_SW]]</f>
        <v>0</v>
      </c>
      <c r="AW155" s="5">
        <f>sim.tbl[[#This Row],[Dens]]*sim.tbl[[#This Row],[Medium_LSB]]</f>
        <v>830.9</v>
      </c>
      <c r="AX155" s="5">
        <f>sim.tbl[[#This Row],[Dens]]*sim.tbl[[#This Row],[Medium_SW]]</f>
        <v>0</v>
      </c>
      <c r="AY155" s="5">
        <f>sim.tbl[[#This Row],[Dens]]*sim.tbl[[#This Row],[Midale]]</f>
        <v>0</v>
      </c>
      <c r="AZ155" s="5">
        <f>sim.tbl[[#This Row],[Dens]]*sim.tbl[[#This Row],[Heavy_Sour]]</f>
        <v>0</v>
      </c>
      <c r="BA155" s="5">
        <f>sim.tbl[[#This Row],[Dens]]*sim.tbl[[#This Row],[Heavy_SW]]</f>
        <v>0</v>
      </c>
      <c r="BB155" s="5">
        <f>sim.tbl[[#This Row],[Temp.Roll]]*sim.tbl[[#This Row],[C5]]</f>
        <v>0</v>
      </c>
      <c r="BC155" s="5">
        <f>sim.tbl[[#This Row],[Temp.Roll]]*sim.tbl[[#This Row],[Light_LSB]]</f>
        <v>0</v>
      </c>
      <c r="BD155" s="5">
        <f>sim.tbl[[#This Row],[Temp.Roll]]*sim.tbl[[#This Row],[Light_SW]]</f>
        <v>0</v>
      </c>
      <c r="BE155" s="5">
        <f>sim.tbl[[#This Row],[Temp.Roll]]*sim.tbl[[#This Row],[Medium_LSB]]</f>
        <v>2.9</v>
      </c>
      <c r="BF155" s="5">
        <f>sim.tbl[[#This Row],[Temp.Roll]]*sim.tbl[[#This Row],[Medium_SW]]</f>
        <v>0</v>
      </c>
      <c r="BG155" s="5">
        <f>sim.tbl[[#This Row],[Temp.Roll]]*sim.tbl[[#This Row],[Midale]]</f>
        <v>0</v>
      </c>
      <c r="BH155" s="5">
        <f>sim.tbl[[#This Row],[Temp.Roll]]*sim.tbl[[#This Row],[Heavy_Sour]]</f>
        <v>0</v>
      </c>
      <c r="BI155" s="5">
        <f>sim.tbl[[#This Row],[Temp.Roll]]*sim.tbl[[#This Row],[Heavy_SW]]</f>
        <v>0</v>
      </c>
    </row>
    <row r="156" spans="4:61" x14ac:dyDescent="0.25">
      <c r="D156" s="5">
        <f ca="1">SUMPRODUCT($F$1:$BI$1,sim.tbl[[#This Row],[Intercept]:[Temp.Roll:Heavy_SW]])</f>
        <v>85.023347813975022</v>
      </c>
      <c r="E156" s="14">
        <f ca="1">DATE(YEAR(TODAY()),INDEX(mthLkUp.tbl[Num],MATCH(mth.input,mthLkUp.tbl[Month],0)),1)</f>
        <v>42795</v>
      </c>
      <c r="F156" s="6">
        <f>1</f>
        <v>1</v>
      </c>
      <c r="G156" s="5">
        <v>1.08</v>
      </c>
      <c r="H156" s="5">
        <v>836.4</v>
      </c>
      <c r="I156" s="5">
        <v>-14.76</v>
      </c>
      <c r="J156" s="5">
        <v>-14.1</v>
      </c>
      <c r="K156" s="5">
        <v>-14.1</v>
      </c>
      <c r="L156" s="5">
        <v>-14.1</v>
      </c>
      <c r="M156" s="5">
        <v>-15.3</v>
      </c>
      <c r="N156" s="5">
        <v>-13.5</v>
      </c>
      <c r="O156" s="5">
        <v>-16.100000000000001</v>
      </c>
      <c r="P156" s="5">
        <v>-16</v>
      </c>
      <c r="Q156" s="6">
        <f>IF(sim.tbl[[#This Row],[Dens]]&lt;=770,1,0)</f>
        <v>0</v>
      </c>
      <c r="R156" s="6">
        <f>IF(AND(sim.tbl[[#This Row],[Sulf]]&gt;0.5,sim.tbl[[#This Row],[Dens]]&gt;770,sim.tbl[[#This Row],[Dens]]&lt;=825),1,0)</f>
        <v>0</v>
      </c>
      <c r="S156" s="6">
        <f>IF(AND(sim.tbl[[#This Row],[Sulf]]&lt;=0.5,sim.tbl[[#This Row],[Dens]]&gt;770,sim.tbl[[#This Row],[Dens]]&lt;=825),1,0)</f>
        <v>0</v>
      </c>
      <c r="T156" s="6">
        <f>IF(AND(sim.tbl[[#This Row],[Sulf]]&gt;0.5,sim.tbl[[#This Row],[Dens]]&gt;825,sim.tbl[[#This Row],[Dens]]&lt;=870),1,0)</f>
        <v>1</v>
      </c>
      <c r="U156" s="6">
        <f>IF(AND(sim.tbl[[#This Row],[Sulf]]&lt;0.5,sim.tbl[[#This Row],[Dens]]&gt;825,sim.tbl[[#This Row],[Dens]]&lt;=900),1,0)</f>
        <v>0</v>
      </c>
      <c r="V156" s="6">
        <f>IF(AND(sim.tbl[[#This Row],[Sulf]]&gt;0.5,sim.tbl[[#This Row],[Dens]]&gt;870,sim.tbl[[#This Row],[Dens]]&lt;=900),1,0)</f>
        <v>0</v>
      </c>
      <c r="W156" s="6">
        <f>IF(AND(sim.tbl[[#This Row],[Sulf]]&gt;0.5,sim.tbl[[#This Row],[Dens]]&gt;900),1,0)</f>
        <v>0</v>
      </c>
      <c r="X156" s="6">
        <f>IF(AND(sim.tbl[[#This Row],[Sulf]]&lt;=0.5,sim.tbl[[#This Row],[Dens]]&gt;900),1,0)</f>
        <v>0</v>
      </c>
      <c r="Y156" s="6">
        <f ca="1">IF(MONTH(sim.tbl[[#This Row],[SDate]])=INDEX(mthLkUp.tbl[Num],MATCH(Y$3,mthLkUp.tbl[Month],0)),1,0)</f>
        <v>0</v>
      </c>
      <c r="Z156" s="6">
        <f ca="1">IF(MONTH(sim.tbl[[#This Row],[SDate]])=INDEX(mthLkUp.tbl[Num],MATCH(Z$3,mthLkUp.tbl[Month],0)),1,0)</f>
        <v>0</v>
      </c>
      <c r="AA156" s="6">
        <f ca="1">IF(MONTH(sim.tbl[[#This Row],[SDate]])=INDEX(mthLkUp.tbl[Num],MATCH(AA$3,mthLkUp.tbl[Month],0)),1,0)</f>
        <v>1</v>
      </c>
      <c r="AB156" s="6">
        <f ca="1">IF(MONTH(sim.tbl[[#This Row],[SDate]])=INDEX(mthLkUp.tbl[Num],MATCH(AB$3,mthLkUp.tbl[Month],0)),1,0)</f>
        <v>0</v>
      </c>
      <c r="AC156" s="6">
        <f ca="1">IF(MONTH(sim.tbl[[#This Row],[SDate]])=INDEX(mthLkUp.tbl[Num],MATCH(AC$3,mthLkUp.tbl[Month],0)),1,0)</f>
        <v>0</v>
      </c>
      <c r="AD156" s="6">
        <f ca="1">IF(MONTH(sim.tbl[[#This Row],[SDate]])=INDEX(mthLkUp.tbl[Num],MATCH(AD$3,mthLkUp.tbl[Month],0)),1,0)</f>
        <v>0</v>
      </c>
      <c r="AE156" s="6">
        <f ca="1">IF(MONTH(sim.tbl[[#This Row],[SDate]])=INDEX(mthLkUp.tbl[Num],MATCH(AE$3,mthLkUp.tbl[Month],0)),1,0)</f>
        <v>0</v>
      </c>
      <c r="AF156" s="6">
        <f ca="1">IF(MONTH(sim.tbl[[#This Row],[SDate]])=INDEX(mthLkUp.tbl[Num],MATCH(AF$3,mthLkUp.tbl[Month],0)),1,0)</f>
        <v>0</v>
      </c>
      <c r="AG156" s="6">
        <f ca="1">IF(MONTH(sim.tbl[[#This Row],[SDate]])=INDEX(mthLkUp.tbl[Num],MATCH(AG$3,mthLkUp.tbl[Month],0)),1,0)</f>
        <v>0</v>
      </c>
      <c r="AH156" s="6">
        <f ca="1">IF(MONTH(sim.tbl[[#This Row],[SDate]])=INDEX(mthLkUp.tbl[Num],MATCH(AH$3,mthLkUp.tbl[Month],0)),1,0)</f>
        <v>0</v>
      </c>
      <c r="AI156" s="6">
        <f ca="1">IF(MONTH(sim.tbl[[#This Row],[SDate]])=INDEX(mthLkUp.tbl[Num],MATCH(AI$3,mthLkUp.tbl[Month],0)),1,0)</f>
        <v>0</v>
      </c>
      <c r="AJ156" s="6">
        <f ca="1">IF(MONTH(sim.tbl[[#This Row],[SDate]])=INDEX(mthLkUp.tbl[Num],MATCH(AJ$3,mthLkUp.tbl[Month],0)),1,0)</f>
        <v>0</v>
      </c>
      <c r="AK156" s="6">
        <v>1</v>
      </c>
      <c r="AL156" s="5">
        <f>sim.tbl[[#This Row],[Sulf]]*sim.tbl[[#This Row],[C5]]</f>
        <v>0</v>
      </c>
      <c r="AM156" s="5">
        <f>sim.tbl[[#This Row],[Sulf]]*sim.tbl[[#This Row],[Light_LSB]]</f>
        <v>0</v>
      </c>
      <c r="AN156" s="5">
        <f>sim.tbl[[#This Row],[Sulf]]*sim.tbl[[#This Row],[Light_SW]]</f>
        <v>0</v>
      </c>
      <c r="AO156" s="5">
        <f>sim.tbl[[#This Row],[Sulf]]*sim.tbl[[#This Row],[Medium_LSB]]</f>
        <v>1.08</v>
      </c>
      <c r="AP156" s="5">
        <f>sim.tbl[[#This Row],[Sulf]]*sim.tbl[[#This Row],[Medium_SW]]</f>
        <v>0</v>
      </c>
      <c r="AQ156" s="5">
        <f>sim.tbl[[#This Row],[Sulf]]*sim.tbl[[#This Row],[Midale]]</f>
        <v>0</v>
      </c>
      <c r="AR156" s="5">
        <f>sim.tbl[[#This Row],[Sulf]]*sim.tbl[[#This Row],[Heavy_Sour]]</f>
        <v>0</v>
      </c>
      <c r="AS156" s="5">
        <f>sim.tbl[[#This Row],[Sulf]]*sim.tbl[[#This Row],[Heavy_SW]]</f>
        <v>0</v>
      </c>
      <c r="AT156" s="5">
        <f>sim.tbl[[#This Row],[Dens]]*sim.tbl[[#This Row],[C5]]</f>
        <v>0</v>
      </c>
      <c r="AU156" s="5">
        <f>sim.tbl[[#This Row],[Dens]]*sim.tbl[[#This Row],[Light_LSB]]</f>
        <v>0</v>
      </c>
      <c r="AV156" s="5">
        <f>sim.tbl[[#This Row],[Dens]]*sim.tbl[[#This Row],[Light_SW]]</f>
        <v>0</v>
      </c>
      <c r="AW156" s="5">
        <f>sim.tbl[[#This Row],[Dens]]*sim.tbl[[#This Row],[Medium_LSB]]</f>
        <v>836.4</v>
      </c>
      <c r="AX156" s="5">
        <f>sim.tbl[[#This Row],[Dens]]*sim.tbl[[#This Row],[Medium_SW]]</f>
        <v>0</v>
      </c>
      <c r="AY156" s="5">
        <f>sim.tbl[[#This Row],[Dens]]*sim.tbl[[#This Row],[Midale]]</f>
        <v>0</v>
      </c>
      <c r="AZ156" s="5">
        <f>sim.tbl[[#This Row],[Dens]]*sim.tbl[[#This Row],[Heavy_Sour]]</f>
        <v>0</v>
      </c>
      <c r="BA156" s="5">
        <f>sim.tbl[[#This Row],[Dens]]*sim.tbl[[#This Row],[Heavy_SW]]</f>
        <v>0</v>
      </c>
      <c r="BB156" s="5">
        <f>sim.tbl[[#This Row],[Temp.Roll]]*sim.tbl[[#This Row],[C5]]</f>
        <v>0</v>
      </c>
      <c r="BC156" s="5">
        <f>sim.tbl[[#This Row],[Temp.Roll]]*sim.tbl[[#This Row],[Light_LSB]]</f>
        <v>0</v>
      </c>
      <c r="BD156" s="5">
        <f>sim.tbl[[#This Row],[Temp.Roll]]*sim.tbl[[#This Row],[Light_SW]]</f>
        <v>0</v>
      </c>
      <c r="BE156" s="5">
        <f>sim.tbl[[#This Row],[Temp.Roll]]*sim.tbl[[#This Row],[Medium_LSB]]</f>
        <v>-14.1</v>
      </c>
      <c r="BF156" s="5">
        <f>sim.tbl[[#This Row],[Temp.Roll]]*sim.tbl[[#This Row],[Medium_SW]]</f>
        <v>0</v>
      </c>
      <c r="BG156" s="5">
        <f>sim.tbl[[#This Row],[Temp.Roll]]*sim.tbl[[#This Row],[Midale]]</f>
        <v>0</v>
      </c>
      <c r="BH156" s="5">
        <f>sim.tbl[[#This Row],[Temp.Roll]]*sim.tbl[[#This Row],[Heavy_Sour]]</f>
        <v>0</v>
      </c>
      <c r="BI156" s="5">
        <f>sim.tbl[[#This Row],[Temp.Roll]]*sim.tbl[[#This Row],[Heavy_SW]]</f>
        <v>0</v>
      </c>
    </row>
    <row r="157" spans="4:61" x14ac:dyDescent="0.25">
      <c r="D157" s="5">
        <f ca="1">SUMPRODUCT($F$1:$BI$1,sim.tbl[[#This Row],[Intercept]:[Temp.Roll:Heavy_SW]])</f>
        <v>82.433909090689298</v>
      </c>
      <c r="E157" s="14">
        <f ca="1">DATE(YEAR(TODAY()),INDEX(mthLkUp.tbl[Num],MATCH(mth.input,mthLkUp.tbl[Month],0)),1)</f>
        <v>42795</v>
      </c>
      <c r="F157" s="6">
        <f>1</f>
        <v>1</v>
      </c>
      <c r="G157" s="5">
        <v>1.26</v>
      </c>
      <c r="H157" s="5">
        <v>846.6</v>
      </c>
      <c r="I157" s="5">
        <v>-16.600000000000001</v>
      </c>
      <c r="J157" s="5">
        <v>-15.4</v>
      </c>
      <c r="K157" s="5">
        <v>-14.1</v>
      </c>
      <c r="L157" s="5">
        <v>-15.4</v>
      </c>
      <c r="M157" s="5">
        <v>-18</v>
      </c>
      <c r="N157" s="5">
        <v>-16.3</v>
      </c>
      <c r="O157" s="5">
        <v>-15.4</v>
      </c>
      <c r="P157" s="5">
        <v>-20.399999999999999</v>
      </c>
      <c r="Q157" s="6">
        <f>IF(sim.tbl[[#This Row],[Dens]]&lt;=770,1,0)</f>
        <v>0</v>
      </c>
      <c r="R157" s="6">
        <f>IF(AND(sim.tbl[[#This Row],[Sulf]]&gt;0.5,sim.tbl[[#This Row],[Dens]]&gt;770,sim.tbl[[#This Row],[Dens]]&lt;=825),1,0)</f>
        <v>0</v>
      </c>
      <c r="S157" s="6">
        <f>IF(AND(sim.tbl[[#This Row],[Sulf]]&lt;=0.5,sim.tbl[[#This Row],[Dens]]&gt;770,sim.tbl[[#This Row],[Dens]]&lt;=825),1,0)</f>
        <v>0</v>
      </c>
      <c r="T157" s="6">
        <f>IF(AND(sim.tbl[[#This Row],[Sulf]]&gt;0.5,sim.tbl[[#This Row],[Dens]]&gt;825,sim.tbl[[#This Row],[Dens]]&lt;=870),1,0)</f>
        <v>1</v>
      </c>
      <c r="U157" s="6">
        <f>IF(AND(sim.tbl[[#This Row],[Sulf]]&lt;0.5,sim.tbl[[#This Row],[Dens]]&gt;825,sim.tbl[[#This Row],[Dens]]&lt;=900),1,0)</f>
        <v>0</v>
      </c>
      <c r="V157" s="6">
        <f>IF(AND(sim.tbl[[#This Row],[Sulf]]&gt;0.5,sim.tbl[[#This Row],[Dens]]&gt;870,sim.tbl[[#This Row],[Dens]]&lt;=900),1,0)</f>
        <v>0</v>
      </c>
      <c r="W157" s="6">
        <f>IF(AND(sim.tbl[[#This Row],[Sulf]]&gt;0.5,sim.tbl[[#This Row],[Dens]]&gt;900),1,0)</f>
        <v>0</v>
      </c>
      <c r="X157" s="6">
        <f>IF(AND(sim.tbl[[#This Row],[Sulf]]&lt;=0.5,sim.tbl[[#This Row],[Dens]]&gt;900),1,0)</f>
        <v>0</v>
      </c>
      <c r="Y157" s="6">
        <f ca="1">IF(MONTH(sim.tbl[[#This Row],[SDate]])=INDEX(mthLkUp.tbl[Num],MATCH(Y$3,mthLkUp.tbl[Month],0)),1,0)</f>
        <v>0</v>
      </c>
      <c r="Z157" s="6">
        <f ca="1">IF(MONTH(sim.tbl[[#This Row],[SDate]])=INDEX(mthLkUp.tbl[Num],MATCH(Z$3,mthLkUp.tbl[Month],0)),1,0)</f>
        <v>0</v>
      </c>
      <c r="AA157" s="6">
        <f ca="1">IF(MONTH(sim.tbl[[#This Row],[SDate]])=INDEX(mthLkUp.tbl[Num],MATCH(AA$3,mthLkUp.tbl[Month],0)),1,0)</f>
        <v>1</v>
      </c>
      <c r="AB157" s="6">
        <f ca="1">IF(MONTH(sim.tbl[[#This Row],[SDate]])=INDEX(mthLkUp.tbl[Num],MATCH(AB$3,mthLkUp.tbl[Month],0)),1,0)</f>
        <v>0</v>
      </c>
      <c r="AC157" s="6">
        <f ca="1">IF(MONTH(sim.tbl[[#This Row],[SDate]])=INDEX(mthLkUp.tbl[Num],MATCH(AC$3,mthLkUp.tbl[Month],0)),1,0)</f>
        <v>0</v>
      </c>
      <c r="AD157" s="6">
        <f ca="1">IF(MONTH(sim.tbl[[#This Row],[SDate]])=INDEX(mthLkUp.tbl[Num],MATCH(AD$3,mthLkUp.tbl[Month],0)),1,0)</f>
        <v>0</v>
      </c>
      <c r="AE157" s="6">
        <f ca="1">IF(MONTH(sim.tbl[[#This Row],[SDate]])=INDEX(mthLkUp.tbl[Num],MATCH(AE$3,mthLkUp.tbl[Month],0)),1,0)</f>
        <v>0</v>
      </c>
      <c r="AF157" s="6">
        <f ca="1">IF(MONTH(sim.tbl[[#This Row],[SDate]])=INDEX(mthLkUp.tbl[Num],MATCH(AF$3,mthLkUp.tbl[Month],0)),1,0)</f>
        <v>0</v>
      </c>
      <c r="AG157" s="6">
        <f ca="1">IF(MONTH(sim.tbl[[#This Row],[SDate]])=INDEX(mthLkUp.tbl[Num],MATCH(AG$3,mthLkUp.tbl[Month],0)),1,0)</f>
        <v>0</v>
      </c>
      <c r="AH157" s="6">
        <f ca="1">IF(MONTH(sim.tbl[[#This Row],[SDate]])=INDEX(mthLkUp.tbl[Num],MATCH(AH$3,mthLkUp.tbl[Month],0)),1,0)</f>
        <v>0</v>
      </c>
      <c r="AI157" s="6">
        <f ca="1">IF(MONTH(sim.tbl[[#This Row],[SDate]])=INDEX(mthLkUp.tbl[Num],MATCH(AI$3,mthLkUp.tbl[Month],0)),1,0)</f>
        <v>0</v>
      </c>
      <c r="AJ157" s="6">
        <f ca="1">IF(MONTH(sim.tbl[[#This Row],[SDate]])=INDEX(mthLkUp.tbl[Num],MATCH(AJ$3,mthLkUp.tbl[Month],0)),1,0)</f>
        <v>0</v>
      </c>
      <c r="AK157" s="6">
        <v>1</v>
      </c>
      <c r="AL157" s="5">
        <f>sim.tbl[[#This Row],[Sulf]]*sim.tbl[[#This Row],[C5]]</f>
        <v>0</v>
      </c>
      <c r="AM157" s="5">
        <f>sim.tbl[[#This Row],[Sulf]]*sim.tbl[[#This Row],[Light_LSB]]</f>
        <v>0</v>
      </c>
      <c r="AN157" s="5">
        <f>sim.tbl[[#This Row],[Sulf]]*sim.tbl[[#This Row],[Light_SW]]</f>
        <v>0</v>
      </c>
      <c r="AO157" s="5">
        <f>sim.tbl[[#This Row],[Sulf]]*sim.tbl[[#This Row],[Medium_LSB]]</f>
        <v>1.26</v>
      </c>
      <c r="AP157" s="5">
        <f>sim.tbl[[#This Row],[Sulf]]*sim.tbl[[#This Row],[Medium_SW]]</f>
        <v>0</v>
      </c>
      <c r="AQ157" s="5">
        <f>sim.tbl[[#This Row],[Sulf]]*sim.tbl[[#This Row],[Midale]]</f>
        <v>0</v>
      </c>
      <c r="AR157" s="5">
        <f>sim.tbl[[#This Row],[Sulf]]*sim.tbl[[#This Row],[Heavy_Sour]]</f>
        <v>0</v>
      </c>
      <c r="AS157" s="5">
        <f>sim.tbl[[#This Row],[Sulf]]*sim.tbl[[#This Row],[Heavy_SW]]</f>
        <v>0</v>
      </c>
      <c r="AT157" s="5">
        <f>sim.tbl[[#This Row],[Dens]]*sim.tbl[[#This Row],[C5]]</f>
        <v>0</v>
      </c>
      <c r="AU157" s="5">
        <f>sim.tbl[[#This Row],[Dens]]*sim.tbl[[#This Row],[Light_LSB]]</f>
        <v>0</v>
      </c>
      <c r="AV157" s="5">
        <f>sim.tbl[[#This Row],[Dens]]*sim.tbl[[#This Row],[Light_SW]]</f>
        <v>0</v>
      </c>
      <c r="AW157" s="5">
        <f>sim.tbl[[#This Row],[Dens]]*sim.tbl[[#This Row],[Medium_LSB]]</f>
        <v>846.6</v>
      </c>
      <c r="AX157" s="5">
        <f>sim.tbl[[#This Row],[Dens]]*sim.tbl[[#This Row],[Medium_SW]]</f>
        <v>0</v>
      </c>
      <c r="AY157" s="5">
        <f>sim.tbl[[#This Row],[Dens]]*sim.tbl[[#This Row],[Midale]]</f>
        <v>0</v>
      </c>
      <c r="AZ157" s="5">
        <f>sim.tbl[[#This Row],[Dens]]*sim.tbl[[#This Row],[Heavy_Sour]]</f>
        <v>0</v>
      </c>
      <c r="BA157" s="5">
        <f>sim.tbl[[#This Row],[Dens]]*sim.tbl[[#This Row],[Heavy_SW]]</f>
        <v>0</v>
      </c>
      <c r="BB157" s="5">
        <f>sim.tbl[[#This Row],[Temp.Roll]]*sim.tbl[[#This Row],[C5]]</f>
        <v>0</v>
      </c>
      <c r="BC157" s="5">
        <f>sim.tbl[[#This Row],[Temp.Roll]]*sim.tbl[[#This Row],[Light_LSB]]</f>
        <v>0</v>
      </c>
      <c r="BD157" s="5">
        <f>sim.tbl[[#This Row],[Temp.Roll]]*sim.tbl[[#This Row],[Light_SW]]</f>
        <v>0</v>
      </c>
      <c r="BE157" s="5">
        <f>sim.tbl[[#This Row],[Temp.Roll]]*sim.tbl[[#This Row],[Medium_LSB]]</f>
        <v>-15.4</v>
      </c>
      <c r="BF157" s="5">
        <f>sim.tbl[[#This Row],[Temp.Roll]]*sim.tbl[[#This Row],[Medium_SW]]</f>
        <v>0</v>
      </c>
      <c r="BG157" s="5">
        <f>sim.tbl[[#This Row],[Temp.Roll]]*sim.tbl[[#This Row],[Midale]]</f>
        <v>0</v>
      </c>
      <c r="BH157" s="5">
        <f>sim.tbl[[#This Row],[Temp.Roll]]*sim.tbl[[#This Row],[Heavy_Sour]]</f>
        <v>0</v>
      </c>
      <c r="BI157" s="5">
        <f>sim.tbl[[#This Row],[Temp.Roll]]*sim.tbl[[#This Row],[Heavy_SW]]</f>
        <v>0</v>
      </c>
    </row>
    <row r="158" spans="4:61" x14ac:dyDescent="0.25">
      <c r="D158" s="5">
        <f ca="1">SUMPRODUCT($F$1:$BI$1,sim.tbl[[#This Row],[Intercept]:[Temp.Roll:Heavy_SW]])</f>
        <v>77.320380823855146</v>
      </c>
      <c r="E158" s="14">
        <f ca="1">DATE(YEAR(TODAY()),INDEX(mthLkUp.tbl[Num],MATCH(mth.input,mthLkUp.tbl[Month],0)),1)</f>
        <v>42795</v>
      </c>
      <c r="F158" s="6">
        <f>1</f>
        <v>1</v>
      </c>
      <c r="G158" s="5">
        <v>1.34</v>
      </c>
      <c r="H158" s="5">
        <v>847.1</v>
      </c>
      <c r="I158" s="5">
        <v>-0.5</v>
      </c>
      <c r="J158" s="5">
        <v>-1.6</v>
      </c>
      <c r="K158" s="5">
        <v>-0.3</v>
      </c>
      <c r="L158" s="5">
        <v>-1.6</v>
      </c>
      <c r="M158" s="5">
        <v>3</v>
      </c>
      <c r="N158" s="5">
        <v>-0.3</v>
      </c>
      <c r="O158" s="5">
        <v>0.3</v>
      </c>
      <c r="P158" s="5">
        <v>-0.6</v>
      </c>
      <c r="Q158" s="6">
        <f>IF(sim.tbl[[#This Row],[Dens]]&lt;=770,1,0)</f>
        <v>0</v>
      </c>
      <c r="R158" s="6">
        <f>IF(AND(sim.tbl[[#This Row],[Sulf]]&gt;0.5,sim.tbl[[#This Row],[Dens]]&gt;770,sim.tbl[[#This Row],[Dens]]&lt;=825),1,0)</f>
        <v>0</v>
      </c>
      <c r="S158" s="6">
        <f>IF(AND(sim.tbl[[#This Row],[Sulf]]&lt;=0.5,sim.tbl[[#This Row],[Dens]]&gt;770,sim.tbl[[#This Row],[Dens]]&lt;=825),1,0)</f>
        <v>0</v>
      </c>
      <c r="T158" s="6">
        <f>IF(AND(sim.tbl[[#This Row],[Sulf]]&gt;0.5,sim.tbl[[#This Row],[Dens]]&gt;825,sim.tbl[[#This Row],[Dens]]&lt;=870),1,0)</f>
        <v>1</v>
      </c>
      <c r="U158" s="6">
        <f>IF(AND(sim.tbl[[#This Row],[Sulf]]&lt;0.5,sim.tbl[[#This Row],[Dens]]&gt;825,sim.tbl[[#This Row],[Dens]]&lt;=900),1,0)</f>
        <v>0</v>
      </c>
      <c r="V158" s="6">
        <f>IF(AND(sim.tbl[[#This Row],[Sulf]]&gt;0.5,sim.tbl[[#This Row],[Dens]]&gt;870,sim.tbl[[#This Row],[Dens]]&lt;=900),1,0)</f>
        <v>0</v>
      </c>
      <c r="W158" s="6">
        <f>IF(AND(sim.tbl[[#This Row],[Sulf]]&gt;0.5,sim.tbl[[#This Row],[Dens]]&gt;900),1,0)</f>
        <v>0</v>
      </c>
      <c r="X158" s="6">
        <f>IF(AND(sim.tbl[[#This Row],[Sulf]]&lt;=0.5,sim.tbl[[#This Row],[Dens]]&gt;900),1,0)</f>
        <v>0</v>
      </c>
      <c r="Y158" s="6">
        <f ca="1">IF(MONTH(sim.tbl[[#This Row],[SDate]])=INDEX(mthLkUp.tbl[Num],MATCH(Y$3,mthLkUp.tbl[Month],0)),1,0)</f>
        <v>0</v>
      </c>
      <c r="Z158" s="6">
        <f ca="1">IF(MONTH(sim.tbl[[#This Row],[SDate]])=INDEX(mthLkUp.tbl[Num],MATCH(Z$3,mthLkUp.tbl[Month],0)),1,0)</f>
        <v>0</v>
      </c>
      <c r="AA158" s="6">
        <f ca="1">IF(MONTH(sim.tbl[[#This Row],[SDate]])=INDEX(mthLkUp.tbl[Num],MATCH(AA$3,mthLkUp.tbl[Month],0)),1,0)</f>
        <v>1</v>
      </c>
      <c r="AB158" s="6">
        <f ca="1">IF(MONTH(sim.tbl[[#This Row],[SDate]])=INDEX(mthLkUp.tbl[Num],MATCH(AB$3,mthLkUp.tbl[Month],0)),1,0)</f>
        <v>0</v>
      </c>
      <c r="AC158" s="6">
        <f ca="1">IF(MONTH(sim.tbl[[#This Row],[SDate]])=INDEX(mthLkUp.tbl[Num],MATCH(AC$3,mthLkUp.tbl[Month],0)),1,0)</f>
        <v>0</v>
      </c>
      <c r="AD158" s="6">
        <f ca="1">IF(MONTH(sim.tbl[[#This Row],[SDate]])=INDEX(mthLkUp.tbl[Num],MATCH(AD$3,mthLkUp.tbl[Month],0)),1,0)</f>
        <v>0</v>
      </c>
      <c r="AE158" s="6">
        <f ca="1">IF(MONTH(sim.tbl[[#This Row],[SDate]])=INDEX(mthLkUp.tbl[Num],MATCH(AE$3,mthLkUp.tbl[Month],0)),1,0)</f>
        <v>0</v>
      </c>
      <c r="AF158" s="6">
        <f ca="1">IF(MONTH(sim.tbl[[#This Row],[SDate]])=INDEX(mthLkUp.tbl[Num],MATCH(AF$3,mthLkUp.tbl[Month],0)),1,0)</f>
        <v>0</v>
      </c>
      <c r="AG158" s="6">
        <f ca="1">IF(MONTH(sim.tbl[[#This Row],[SDate]])=INDEX(mthLkUp.tbl[Num],MATCH(AG$3,mthLkUp.tbl[Month],0)),1,0)</f>
        <v>0</v>
      </c>
      <c r="AH158" s="6">
        <f ca="1">IF(MONTH(sim.tbl[[#This Row],[SDate]])=INDEX(mthLkUp.tbl[Num],MATCH(AH$3,mthLkUp.tbl[Month],0)),1,0)</f>
        <v>0</v>
      </c>
      <c r="AI158" s="6">
        <f ca="1">IF(MONTH(sim.tbl[[#This Row],[SDate]])=INDEX(mthLkUp.tbl[Num],MATCH(AI$3,mthLkUp.tbl[Month],0)),1,0)</f>
        <v>0</v>
      </c>
      <c r="AJ158" s="6">
        <f ca="1">IF(MONTH(sim.tbl[[#This Row],[SDate]])=INDEX(mthLkUp.tbl[Num],MATCH(AJ$3,mthLkUp.tbl[Month],0)),1,0)</f>
        <v>0</v>
      </c>
      <c r="AK158" s="6">
        <v>1</v>
      </c>
      <c r="AL158" s="5">
        <f>sim.tbl[[#This Row],[Sulf]]*sim.tbl[[#This Row],[C5]]</f>
        <v>0</v>
      </c>
      <c r="AM158" s="5">
        <f>sim.tbl[[#This Row],[Sulf]]*sim.tbl[[#This Row],[Light_LSB]]</f>
        <v>0</v>
      </c>
      <c r="AN158" s="5">
        <f>sim.tbl[[#This Row],[Sulf]]*sim.tbl[[#This Row],[Light_SW]]</f>
        <v>0</v>
      </c>
      <c r="AO158" s="5">
        <f>sim.tbl[[#This Row],[Sulf]]*sim.tbl[[#This Row],[Medium_LSB]]</f>
        <v>1.34</v>
      </c>
      <c r="AP158" s="5">
        <f>sim.tbl[[#This Row],[Sulf]]*sim.tbl[[#This Row],[Medium_SW]]</f>
        <v>0</v>
      </c>
      <c r="AQ158" s="5">
        <f>sim.tbl[[#This Row],[Sulf]]*sim.tbl[[#This Row],[Midale]]</f>
        <v>0</v>
      </c>
      <c r="AR158" s="5">
        <f>sim.tbl[[#This Row],[Sulf]]*sim.tbl[[#This Row],[Heavy_Sour]]</f>
        <v>0</v>
      </c>
      <c r="AS158" s="5">
        <f>sim.tbl[[#This Row],[Sulf]]*sim.tbl[[#This Row],[Heavy_SW]]</f>
        <v>0</v>
      </c>
      <c r="AT158" s="5">
        <f>sim.tbl[[#This Row],[Dens]]*sim.tbl[[#This Row],[C5]]</f>
        <v>0</v>
      </c>
      <c r="AU158" s="5">
        <f>sim.tbl[[#This Row],[Dens]]*sim.tbl[[#This Row],[Light_LSB]]</f>
        <v>0</v>
      </c>
      <c r="AV158" s="5">
        <f>sim.tbl[[#This Row],[Dens]]*sim.tbl[[#This Row],[Light_SW]]</f>
        <v>0</v>
      </c>
      <c r="AW158" s="5">
        <f>sim.tbl[[#This Row],[Dens]]*sim.tbl[[#This Row],[Medium_LSB]]</f>
        <v>847.1</v>
      </c>
      <c r="AX158" s="5">
        <f>sim.tbl[[#This Row],[Dens]]*sim.tbl[[#This Row],[Medium_SW]]</f>
        <v>0</v>
      </c>
      <c r="AY158" s="5">
        <f>sim.tbl[[#This Row],[Dens]]*sim.tbl[[#This Row],[Midale]]</f>
        <v>0</v>
      </c>
      <c r="AZ158" s="5">
        <f>sim.tbl[[#This Row],[Dens]]*sim.tbl[[#This Row],[Heavy_Sour]]</f>
        <v>0</v>
      </c>
      <c r="BA158" s="5">
        <f>sim.tbl[[#This Row],[Dens]]*sim.tbl[[#This Row],[Heavy_SW]]</f>
        <v>0</v>
      </c>
      <c r="BB158" s="5">
        <f>sim.tbl[[#This Row],[Temp.Roll]]*sim.tbl[[#This Row],[C5]]</f>
        <v>0</v>
      </c>
      <c r="BC158" s="5">
        <f>sim.tbl[[#This Row],[Temp.Roll]]*sim.tbl[[#This Row],[Light_LSB]]</f>
        <v>0</v>
      </c>
      <c r="BD158" s="5">
        <f>sim.tbl[[#This Row],[Temp.Roll]]*sim.tbl[[#This Row],[Light_SW]]</f>
        <v>0</v>
      </c>
      <c r="BE158" s="5">
        <f>sim.tbl[[#This Row],[Temp.Roll]]*sim.tbl[[#This Row],[Medium_LSB]]</f>
        <v>-1.6</v>
      </c>
      <c r="BF158" s="5">
        <f>sim.tbl[[#This Row],[Temp.Roll]]*sim.tbl[[#This Row],[Medium_SW]]</f>
        <v>0</v>
      </c>
      <c r="BG158" s="5">
        <f>sim.tbl[[#This Row],[Temp.Roll]]*sim.tbl[[#This Row],[Midale]]</f>
        <v>0</v>
      </c>
      <c r="BH158" s="5">
        <f>sim.tbl[[#This Row],[Temp.Roll]]*sim.tbl[[#This Row],[Heavy_Sour]]</f>
        <v>0</v>
      </c>
      <c r="BI158" s="5">
        <f>sim.tbl[[#This Row],[Temp.Roll]]*sim.tbl[[#This Row],[Heavy_SW]]</f>
        <v>0</v>
      </c>
    </row>
    <row r="159" spans="4:61" x14ac:dyDescent="0.25">
      <c r="D159" s="5">
        <f ca="1">SUMPRODUCT($F$1:$BI$1,sim.tbl[[#This Row],[Intercept]:[Temp.Roll:Heavy_SW]])</f>
        <v>76.846892626397363</v>
      </c>
      <c r="E159" s="14">
        <f ca="1">DATE(YEAR(TODAY()),INDEX(mthLkUp.tbl[Num],MATCH(mth.input,mthLkUp.tbl[Month],0)),1)</f>
        <v>42795</v>
      </c>
      <c r="F159" s="6">
        <f>1</f>
        <v>1</v>
      </c>
      <c r="G159" s="5">
        <v>1.74</v>
      </c>
      <c r="H159" s="5">
        <v>853</v>
      </c>
      <c r="I159" s="5">
        <v>-5.26</v>
      </c>
      <c r="J159" s="5">
        <v>-5.2</v>
      </c>
      <c r="K159" s="5">
        <v>-5.3</v>
      </c>
      <c r="L159" s="5">
        <v>-5.2</v>
      </c>
      <c r="M159" s="5">
        <v>2.8</v>
      </c>
      <c r="N159" s="5">
        <v>-4.3</v>
      </c>
      <c r="O159" s="5">
        <v>-5.5</v>
      </c>
      <c r="P159" s="5">
        <v>-6</v>
      </c>
      <c r="Q159" s="6">
        <f>IF(sim.tbl[[#This Row],[Dens]]&lt;=770,1,0)</f>
        <v>0</v>
      </c>
      <c r="R159" s="6">
        <f>IF(AND(sim.tbl[[#This Row],[Sulf]]&gt;0.5,sim.tbl[[#This Row],[Dens]]&gt;770,sim.tbl[[#This Row],[Dens]]&lt;=825),1,0)</f>
        <v>0</v>
      </c>
      <c r="S159" s="6">
        <f>IF(AND(sim.tbl[[#This Row],[Sulf]]&lt;=0.5,sim.tbl[[#This Row],[Dens]]&gt;770,sim.tbl[[#This Row],[Dens]]&lt;=825),1,0)</f>
        <v>0</v>
      </c>
      <c r="T159" s="6">
        <f>IF(AND(sim.tbl[[#This Row],[Sulf]]&gt;0.5,sim.tbl[[#This Row],[Dens]]&gt;825,sim.tbl[[#This Row],[Dens]]&lt;=870),1,0)</f>
        <v>1</v>
      </c>
      <c r="U159" s="6">
        <f>IF(AND(sim.tbl[[#This Row],[Sulf]]&lt;0.5,sim.tbl[[#This Row],[Dens]]&gt;825,sim.tbl[[#This Row],[Dens]]&lt;=900),1,0)</f>
        <v>0</v>
      </c>
      <c r="V159" s="6">
        <f>IF(AND(sim.tbl[[#This Row],[Sulf]]&gt;0.5,sim.tbl[[#This Row],[Dens]]&gt;870,sim.tbl[[#This Row],[Dens]]&lt;=900),1,0)</f>
        <v>0</v>
      </c>
      <c r="W159" s="6">
        <f>IF(AND(sim.tbl[[#This Row],[Sulf]]&gt;0.5,sim.tbl[[#This Row],[Dens]]&gt;900),1,0)</f>
        <v>0</v>
      </c>
      <c r="X159" s="6">
        <f>IF(AND(sim.tbl[[#This Row],[Sulf]]&lt;=0.5,sim.tbl[[#This Row],[Dens]]&gt;900),1,0)</f>
        <v>0</v>
      </c>
      <c r="Y159" s="6">
        <f ca="1">IF(MONTH(sim.tbl[[#This Row],[SDate]])=INDEX(mthLkUp.tbl[Num],MATCH(Y$3,mthLkUp.tbl[Month],0)),1,0)</f>
        <v>0</v>
      </c>
      <c r="Z159" s="6">
        <f ca="1">IF(MONTH(sim.tbl[[#This Row],[SDate]])=INDEX(mthLkUp.tbl[Num],MATCH(Z$3,mthLkUp.tbl[Month],0)),1,0)</f>
        <v>0</v>
      </c>
      <c r="AA159" s="6">
        <f ca="1">IF(MONTH(sim.tbl[[#This Row],[SDate]])=INDEX(mthLkUp.tbl[Num],MATCH(AA$3,mthLkUp.tbl[Month],0)),1,0)</f>
        <v>1</v>
      </c>
      <c r="AB159" s="6">
        <f ca="1">IF(MONTH(sim.tbl[[#This Row],[SDate]])=INDEX(mthLkUp.tbl[Num],MATCH(AB$3,mthLkUp.tbl[Month],0)),1,0)</f>
        <v>0</v>
      </c>
      <c r="AC159" s="6">
        <f ca="1">IF(MONTH(sim.tbl[[#This Row],[SDate]])=INDEX(mthLkUp.tbl[Num],MATCH(AC$3,mthLkUp.tbl[Month],0)),1,0)</f>
        <v>0</v>
      </c>
      <c r="AD159" s="6">
        <f ca="1">IF(MONTH(sim.tbl[[#This Row],[SDate]])=INDEX(mthLkUp.tbl[Num],MATCH(AD$3,mthLkUp.tbl[Month],0)),1,0)</f>
        <v>0</v>
      </c>
      <c r="AE159" s="6">
        <f ca="1">IF(MONTH(sim.tbl[[#This Row],[SDate]])=INDEX(mthLkUp.tbl[Num],MATCH(AE$3,mthLkUp.tbl[Month],0)),1,0)</f>
        <v>0</v>
      </c>
      <c r="AF159" s="6">
        <f ca="1">IF(MONTH(sim.tbl[[#This Row],[SDate]])=INDEX(mthLkUp.tbl[Num],MATCH(AF$3,mthLkUp.tbl[Month],0)),1,0)</f>
        <v>0</v>
      </c>
      <c r="AG159" s="6">
        <f ca="1">IF(MONTH(sim.tbl[[#This Row],[SDate]])=INDEX(mthLkUp.tbl[Num],MATCH(AG$3,mthLkUp.tbl[Month],0)),1,0)</f>
        <v>0</v>
      </c>
      <c r="AH159" s="6">
        <f ca="1">IF(MONTH(sim.tbl[[#This Row],[SDate]])=INDEX(mthLkUp.tbl[Num],MATCH(AH$3,mthLkUp.tbl[Month],0)),1,0)</f>
        <v>0</v>
      </c>
      <c r="AI159" s="6">
        <f ca="1">IF(MONTH(sim.tbl[[#This Row],[SDate]])=INDEX(mthLkUp.tbl[Num],MATCH(AI$3,mthLkUp.tbl[Month],0)),1,0)</f>
        <v>0</v>
      </c>
      <c r="AJ159" s="6">
        <f ca="1">IF(MONTH(sim.tbl[[#This Row],[SDate]])=INDEX(mthLkUp.tbl[Num],MATCH(AJ$3,mthLkUp.tbl[Month],0)),1,0)</f>
        <v>0</v>
      </c>
      <c r="AK159" s="6">
        <v>1</v>
      </c>
      <c r="AL159" s="5">
        <f>sim.tbl[[#This Row],[Sulf]]*sim.tbl[[#This Row],[C5]]</f>
        <v>0</v>
      </c>
      <c r="AM159" s="5">
        <f>sim.tbl[[#This Row],[Sulf]]*sim.tbl[[#This Row],[Light_LSB]]</f>
        <v>0</v>
      </c>
      <c r="AN159" s="5">
        <f>sim.tbl[[#This Row],[Sulf]]*sim.tbl[[#This Row],[Light_SW]]</f>
        <v>0</v>
      </c>
      <c r="AO159" s="5">
        <f>sim.tbl[[#This Row],[Sulf]]*sim.tbl[[#This Row],[Medium_LSB]]</f>
        <v>1.74</v>
      </c>
      <c r="AP159" s="5">
        <f>sim.tbl[[#This Row],[Sulf]]*sim.tbl[[#This Row],[Medium_SW]]</f>
        <v>0</v>
      </c>
      <c r="AQ159" s="5">
        <f>sim.tbl[[#This Row],[Sulf]]*sim.tbl[[#This Row],[Midale]]</f>
        <v>0</v>
      </c>
      <c r="AR159" s="5">
        <f>sim.tbl[[#This Row],[Sulf]]*sim.tbl[[#This Row],[Heavy_Sour]]</f>
        <v>0</v>
      </c>
      <c r="AS159" s="5">
        <f>sim.tbl[[#This Row],[Sulf]]*sim.tbl[[#This Row],[Heavy_SW]]</f>
        <v>0</v>
      </c>
      <c r="AT159" s="5">
        <f>sim.tbl[[#This Row],[Dens]]*sim.tbl[[#This Row],[C5]]</f>
        <v>0</v>
      </c>
      <c r="AU159" s="5">
        <f>sim.tbl[[#This Row],[Dens]]*sim.tbl[[#This Row],[Light_LSB]]</f>
        <v>0</v>
      </c>
      <c r="AV159" s="5">
        <f>sim.tbl[[#This Row],[Dens]]*sim.tbl[[#This Row],[Light_SW]]</f>
        <v>0</v>
      </c>
      <c r="AW159" s="5">
        <f>sim.tbl[[#This Row],[Dens]]*sim.tbl[[#This Row],[Medium_LSB]]</f>
        <v>853</v>
      </c>
      <c r="AX159" s="5">
        <f>sim.tbl[[#This Row],[Dens]]*sim.tbl[[#This Row],[Medium_SW]]</f>
        <v>0</v>
      </c>
      <c r="AY159" s="5">
        <f>sim.tbl[[#This Row],[Dens]]*sim.tbl[[#This Row],[Midale]]</f>
        <v>0</v>
      </c>
      <c r="AZ159" s="5">
        <f>sim.tbl[[#This Row],[Dens]]*sim.tbl[[#This Row],[Heavy_Sour]]</f>
        <v>0</v>
      </c>
      <c r="BA159" s="5">
        <f>sim.tbl[[#This Row],[Dens]]*sim.tbl[[#This Row],[Heavy_SW]]</f>
        <v>0</v>
      </c>
      <c r="BB159" s="5">
        <f>sim.tbl[[#This Row],[Temp.Roll]]*sim.tbl[[#This Row],[C5]]</f>
        <v>0</v>
      </c>
      <c r="BC159" s="5">
        <f>sim.tbl[[#This Row],[Temp.Roll]]*sim.tbl[[#This Row],[Light_LSB]]</f>
        <v>0</v>
      </c>
      <c r="BD159" s="5">
        <f>sim.tbl[[#This Row],[Temp.Roll]]*sim.tbl[[#This Row],[Light_SW]]</f>
        <v>0</v>
      </c>
      <c r="BE159" s="5">
        <f>sim.tbl[[#This Row],[Temp.Roll]]*sim.tbl[[#This Row],[Medium_LSB]]</f>
        <v>-5.2</v>
      </c>
      <c r="BF159" s="5">
        <f>sim.tbl[[#This Row],[Temp.Roll]]*sim.tbl[[#This Row],[Medium_SW]]</f>
        <v>0</v>
      </c>
      <c r="BG159" s="5">
        <f>sim.tbl[[#This Row],[Temp.Roll]]*sim.tbl[[#This Row],[Midale]]</f>
        <v>0</v>
      </c>
      <c r="BH159" s="5">
        <f>sim.tbl[[#This Row],[Temp.Roll]]*sim.tbl[[#This Row],[Heavy_Sour]]</f>
        <v>0</v>
      </c>
      <c r="BI159" s="5">
        <f>sim.tbl[[#This Row],[Temp.Roll]]*sim.tbl[[#This Row],[Heavy_SW]]</f>
        <v>0</v>
      </c>
    </row>
    <row r="160" spans="4:61" x14ac:dyDescent="0.25">
      <c r="D160" s="5">
        <f ca="1">SUMPRODUCT($F$1:$BI$1,sim.tbl[[#This Row],[Intercept]:[Temp.Roll:Heavy_SW]])</f>
        <v>75.881886163002122</v>
      </c>
      <c r="E160" s="14">
        <f ca="1">DATE(YEAR(TODAY()),INDEX(mthLkUp.tbl[Num],MATCH(mth.input,mthLkUp.tbl[Month],0)),1)</f>
        <v>42795</v>
      </c>
      <c r="F160" s="6">
        <f>1</f>
        <v>1</v>
      </c>
      <c r="G160" s="5">
        <v>1.46</v>
      </c>
      <c r="H160" s="5">
        <v>853.7</v>
      </c>
      <c r="I160" s="5">
        <v>-3.233333333</v>
      </c>
      <c r="J160" s="5">
        <v>-3.1</v>
      </c>
      <c r="K160" s="5">
        <v>-3.2</v>
      </c>
      <c r="L160" s="5">
        <v>-3.1</v>
      </c>
      <c r="M160" s="5">
        <v>-3.8</v>
      </c>
      <c r="N160" s="5">
        <v>-1.5</v>
      </c>
      <c r="O160" s="5">
        <v>-2.9</v>
      </c>
      <c r="P160" s="5">
        <v>-4.9000000000000004</v>
      </c>
      <c r="Q160" s="6">
        <f>IF(sim.tbl[[#This Row],[Dens]]&lt;=770,1,0)</f>
        <v>0</v>
      </c>
      <c r="R160" s="6">
        <f>IF(AND(sim.tbl[[#This Row],[Sulf]]&gt;0.5,sim.tbl[[#This Row],[Dens]]&gt;770,sim.tbl[[#This Row],[Dens]]&lt;=825),1,0)</f>
        <v>0</v>
      </c>
      <c r="S160" s="6">
        <f>IF(AND(sim.tbl[[#This Row],[Sulf]]&lt;=0.5,sim.tbl[[#This Row],[Dens]]&gt;770,sim.tbl[[#This Row],[Dens]]&lt;=825),1,0)</f>
        <v>0</v>
      </c>
      <c r="T160" s="6">
        <f>IF(AND(sim.tbl[[#This Row],[Sulf]]&gt;0.5,sim.tbl[[#This Row],[Dens]]&gt;825,sim.tbl[[#This Row],[Dens]]&lt;=870),1,0)</f>
        <v>1</v>
      </c>
      <c r="U160" s="6">
        <f>IF(AND(sim.tbl[[#This Row],[Sulf]]&lt;0.5,sim.tbl[[#This Row],[Dens]]&gt;825,sim.tbl[[#This Row],[Dens]]&lt;=900),1,0)</f>
        <v>0</v>
      </c>
      <c r="V160" s="6">
        <f>IF(AND(sim.tbl[[#This Row],[Sulf]]&gt;0.5,sim.tbl[[#This Row],[Dens]]&gt;870,sim.tbl[[#This Row],[Dens]]&lt;=900),1,0)</f>
        <v>0</v>
      </c>
      <c r="W160" s="6">
        <f>IF(AND(sim.tbl[[#This Row],[Sulf]]&gt;0.5,sim.tbl[[#This Row],[Dens]]&gt;900),1,0)</f>
        <v>0</v>
      </c>
      <c r="X160" s="6">
        <f>IF(AND(sim.tbl[[#This Row],[Sulf]]&lt;=0.5,sim.tbl[[#This Row],[Dens]]&gt;900),1,0)</f>
        <v>0</v>
      </c>
      <c r="Y160" s="6">
        <f ca="1">IF(MONTH(sim.tbl[[#This Row],[SDate]])=INDEX(mthLkUp.tbl[Num],MATCH(Y$3,mthLkUp.tbl[Month],0)),1,0)</f>
        <v>0</v>
      </c>
      <c r="Z160" s="6">
        <f ca="1">IF(MONTH(sim.tbl[[#This Row],[SDate]])=INDEX(mthLkUp.tbl[Num],MATCH(Z$3,mthLkUp.tbl[Month],0)),1,0)</f>
        <v>0</v>
      </c>
      <c r="AA160" s="6">
        <f ca="1">IF(MONTH(sim.tbl[[#This Row],[SDate]])=INDEX(mthLkUp.tbl[Num],MATCH(AA$3,mthLkUp.tbl[Month],0)),1,0)</f>
        <v>1</v>
      </c>
      <c r="AB160" s="6">
        <f ca="1">IF(MONTH(sim.tbl[[#This Row],[SDate]])=INDEX(mthLkUp.tbl[Num],MATCH(AB$3,mthLkUp.tbl[Month],0)),1,0)</f>
        <v>0</v>
      </c>
      <c r="AC160" s="6">
        <f ca="1">IF(MONTH(sim.tbl[[#This Row],[SDate]])=INDEX(mthLkUp.tbl[Num],MATCH(AC$3,mthLkUp.tbl[Month],0)),1,0)</f>
        <v>0</v>
      </c>
      <c r="AD160" s="6">
        <f ca="1">IF(MONTH(sim.tbl[[#This Row],[SDate]])=INDEX(mthLkUp.tbl[Num],MATCH(AD$3,mthLkUp.tbl[Month],0)),1,0)</f>
        <v>0</v>
      </c>
      <c r="AE160" s="6">
        <f ca="1">IF(MONTH(sim.tbl[[#This Row],[SDate]])=INDEX(mthLkUp.tbl[Num],MATCH(AE$3,mthLkUp.tbl[Month],0)),1,0)</f>
        <v>0</v>
      </c>
      <c r="AF160" s="6">
        <f ca="1">IF(MONTH(sim.tbl[[#This Row],[SDate]])=INDEX(mthLkUp.tbl[Num],MATCH(AF$3,mthLkUp.tbl[Month],0)),1,0)</f>
        <v>0</v>
      </c>
      <c r="AG160" s="6">
        <f ca="1">IF(MONTH(sim.tbl[[#This Row],[SDate]])=INDEX(mthLkUp.tbl[Num],MATCH(AG$3,mthLkUp.tbl[Month],0)),1,0)</f>
        <v>0</v>
      </c>
      <c r="AH160" s="6">
        <f ca="1">IF(MONTH(sim.tbl[[#This Row],[SDate]])=INDEX(mthLkUp.tbl[Num],MATCH(AH$3,mthLkUp.tbl[Month],0)),1,0)</f>
        <v>0</v>
      </c>
      <c r="AI160" s="6">
        <f ca="1">IF(MONTH(sim.tbl[[#This Row],[SDate]])=INDEX(mthLkUp.tbl[Num],MATCH(AI$3,mthLkUp.tbl[Month],0)),1,0)</f>
        <v>0</v>
      </c>
      <c r="AJ160" s="6">
        <f ca="1">IF(MONTH(sim.tbl[[#This Row],[SDate]])=INDEX(mthLkUp.tbl[Num],MATCH(AJ$3,mthLkUp.tbl[Month],0)),1,0)</f>
        <v>0</v>
      </c>
      <c r="AK160" s="6">
        <v>1</v>
      </c>
      <c r="AL160" s="5">
        <f>sim.tbl[[#This Row],[Sulf]]*sim.tbl[[#This Row],[C5]]</f>
        <v>0</v>
      </c>
      <c r="AM160" s="5">
        <f>sim.tbl[[#This Row],[Sulf]]*sim.tbl[[#This Row],[Light_LSB]]</f>
        <v>0</v>
      </c>
      <c r="AN160" s="5">
        <f>sim.tbl[[#This Row],[Sulf]]*sim.tbl[[#This Row],[Light_SW]]</f>
        <v>0</v>
      </c>
      <c r="AO160" s="5">
        <f>sim.tbl[[#This Row],[Sulf]]*sim.tbl[[#This Row],[Medium_LSB]]</f>
        <v>1.46</v>
      </c>
      <c r="AP160" s="5">
        <f>sim.tbl[[#This Row],[Sulf]]*sim.tbl[[#This Row],[Medium_SW]]</f>
        <v>0</v>
      </c>
      <c r="AQ160" s="5">
        <f>sim.tbl[[#This Row],[Sulf]]*sim.tbl[[#This Row],[Midale]]</f>
        <v>0</v>
      </c>
      <c r="AR160" s="5">
        <f>sim.tbl[[#This Row],[Sulf]]*sim.tbl[[#This Row],[Heavy_Sour]]</f>
        <v>0</v>
      </c>
      <c r="AS160" s="5">
        <f>sim.tbl[[#This Row],[Sulf]]*sim.tbl[[#This Row],[Heavy_SW]]</f>
        <v>0</v>
      </c>
      <c r="AT160" s="5">
        <f>sim.tbl[[#This Row],[Dens]]*sim.tbl[[#This Row],[C5]]</f>
        <v>0</v>
      </c>
      <c r="AU160" s="5">
        <f>sim.tbl[[#This Row],[Dens]]*sim.tbl[[#This Row],[Light_LSB]]</f>
        <v>0</v>
      </c>
      <c r="AV160" s="5">
        <f>sim.tbl[[#This Row],[Dens]]*sim.tbl[[#This Row],[Light_SW]]</f>
        <v>0</v>
      </c>
      <c r="AW160" s="5">
        <f>sim.tbl[[#This Row],[Dens]]*sim.tbl[[#This Row],[Medium_LSB]]</f>
        <v>853.7</v>
      </c>
      <c r="AX160" s="5">
        <f>sim.tbl[[#This Row],[Dens]]*sim.tbl[[#This Row],[Medium_SW]]</f>
        <v>0</v>
      </c>
      <c r="AY160" s="5">
        <f>sim.tbl[[#This Row],[Dens]]*sim.tbl[[#This Row],[Midale]]</f>
        <v>0</v>
      </c>
      <c r="AZ160" s="5">
        <f>sim.tbl[[#This Row],[Dens]]*sim.tbl[[#This Row],[Heavy_Sour]]</f>
        <v>0</v>
      </c>
      <c r="BA160" s="5">
        <f>sim.tbl[[#This Row],[Dens]]*sim.tbl[[#This Row],[Heavy_SW]]</f>
        <v>0</v>
      </c>
      <c r="BB160" s="5">
        <f>sim.tbl[[#This Row],[Temp.Roll]]*sim.tbl[[#This Row],[C5]]</f>
        <v>0</v>
      </c>
      <c r="BC160" s="5">
        <f>sim.tbl[[#This Row],[Temp.Roll]]*sim.tbl[[#This Row],[Light_LSB]]</f>
        <v>0</v>
      </c>
      <c r="BD160" s="5">
        <f>sim.tbl[[#This Row],[Temp.Roll]]*sim.tbl[[#This Row],[Light_SW]]</f>
        <v>0</v>
      </c>
      <c r="BE160" s="5">
        <f>sim.tbl[[#This Row],[Temp.Roll]]*sim.tbl[[#This Row],[Medium_LSB]]</f>
        <v>-3.1</v>
      </c>
      <c r="BF160" s="5">
        <f>sim.tbl[[#This Row],[Temp.Roll]]*sim.tbl[[#This Row],[Medium_SW]]</f>
        <v>0</v>
      </c>
      <c r="BG160" s="5">
        <f>sim.tbl[[#This Row],[Temp.Roll]]*sim.tbl[[#This Row],[Midale]]</f>
        <v>0</v>
      </c>
      <c r="BH160" s="5">
        <f>sim.tbl[[#This Row],[Temp.Roll]]*sim.tbl[[#This Row],[Heavy_Sour]]</f>
        <v>0</v>
      </c>
      <c r="BI160" s="5">
        <f>sim.tbl[[#This Row],[Temp.Roll]]*sim.tbl[[#This Row],[Heavy_SW]]</f>
        <v>0</v>
      </c>
    </row>
    <row r="161" spans="4:61" x14ac:dyDescent="0.25">
      <c r="D161" s="5">
        <f ca="1">SUMPRODUCT($F$1:$BI$1,sim.tbl[[#This Row],[Intercept]:[Temp.Roll:Heavy_SW]])</f>
        <v>72.674754636660964</v>
      </c>
      <c r="E161" s="14">
        <f ca="1">DATE(YEAR(TODAY()),INDEX(mthLkUp.tbl[Num],MATCH(mth.input,mthLkUp.tbl[Month],0)),1)</f>
        <v>42795</v>
      </c>
      <c r="F161" s="6">
        <f>1</f>
        <v>1</v>
      </c>
      <c r="G161" s="5">
        <v>0.72</v>
      </c>
      <c r="H161" s="5">
        <v>854.2</v>
      </c>
      <c r="I161" s="5">
        <v>5.0666666669999998</v>
      </c>
      <c r="J161" s="5">
        <v>5.4</v>
      </c>
      <c r="K161" s="5">
        <v>5.4</v>
      </c>
      <c r="L161" s="5">
        <v>5.4</v>
      </c>
      <c r="M161" s="5">
        <v>4.8</v>
      </c>
      <c r="N161" s="5">
        <v>5</v>
      </c>
      <c r="O161" s="5">
        <v>4.8</v>
      </c>
      <c r="P161" s="5">
        <v>5</v>
      </c>
      <c r="Q161" s="6">
        <f>IF(sim.tbl[[#This Row],[Dens]]&lt;=770,1,0)</f>
        <v>0</v>
      </c>
      <c r="R161" s="6">
        <f>IF(AND(sim.tbl[[#This Row],[Sulf]]&gt;0.5,sim.tbl[[#This Row],[Dens]]&gt;770,sim.tbl[[#This Row],[Dens]]&lt;=825),1,0)</f>
        <v>0</v>
      </c>
      <c r="S161" s="6">
        <f>IF(AND(sim.tbl[[#This Row],[Sulf]]&lt;=0.5,sim.tbl[[#This Row],[Dens]]&gt;770,sim.tbl[[#This Row],[Dens]]&lt;=825),1,0)</f>
        <v>0</v>
      </c>
      <c r="T161" s="6">
        <f>IF(AND(sim.tbl[[#This Row],[Sulf]]&gt;0.5,sim.tbl[[#This Row],[Dens]]&gt;825,sim.tbl[[#This Row],[Dens]]&lt;=870),1,0)</f>
        <v>1</v>
      </c>
      <c r="U161" s="6">
        <f>IF(AND(sim.tbl[[#This Row],[Sulf]]&lt;0.5,sim.tbl[[#This Row],[Dens]]&gt;825,sim.tbl[[#This Row],[Dens]]&lt;=900),1,0)</f>
        <v>0</v>
      </c>
      <c r="V161" s="6">
        <f>IF(AND(sim.tbl[[#This Row],[Sulf]]&gt;0.5,sim.tbl[[#This Row],[Dens]]&gt;870,sim.tbl[[#This Row],[Dens]]&lt;=900),1,0)</f>
        <v>0</v>
      </c>
      <c r="W161" s="6">
        <f>IF(AND(sim.tbl[[#This Row],[Sulf]]&gt;0.5,sim.tbl[[#This Row],[Dens]]&gt;900),1,0)</f>
        <v>0</v>
      </c>
      <c r="X161" s="6">
        <f>IF(AND(sim.tbl[[#This Row],[Sulf]]&lt;=0.5,sim.tbl[[#This Row],[Dens]]&gt;900),1,0)</f>
        <v>0</v>
      </c>
      <c r="Y161" s="6">
        <f ca="1">IF(MONTH(sim.tbl[[#This Row],[SDate]])=INDEX(mthLkUp.tbl[Num],MATCH(Y$3,mthLkUp.tbl[Month],0)),1,0)</f>
        <v>0</v>
      </c>
      <c r="Z161" s="6">
        <f ca="1">IF(MONTH(sim.tbl[[#This Row],[SDate]])=INDEX(mthLkUp.tbl[Num],MATCH(Z$3,mthLkUp.tbl[Month],0)),1,0)</f>
        <v>0</v>
      </c>
      <c r="AA161" s="6">
        <f ca="1">IF(MONTH(sim.tbl[[#This Row],[SDate]])=INDEX(mthLkUp.tbl[Num],MATCH(AA$3,mthLkUp.tbl[Month],0)),1,0)</f>
        <v>1</v>
      </c>
      <c r="AB161" s="6">
        <f ca="1">IF(MONTH(sim.tbl[[#This Row],[SDate]])=INDEX(mthLkUp.tbl[Num],MATCH(AB$3,mthLkUp.tbl[Month],0)),1,0)</f>
        <v>0</v>
      </c>
      <c r="AC161" s="6">
        <f ca="1">IF(MONTH(sim.tbl[[#This Row],[SDate]])=INDEX(mthLkUp.tbl[Num],MATCH(AC$3,mthLkUp.tbl[Month],0)),1,0)</f>
        <v>0</v>
      </c>
      <c r="AD161" s="6">
        <f ca="1">IF(MONTH(sim.tbl[[#This Row],[SDate]])=INDEX(mthLkUp.tbl[Num],MATCH(AD$3,mthLkUp.tbl[Month],0)),1,0)</f>
        <v>0</v>
      </c>
      <c r="AE161" s="6">
        <f ca="1">IF(MONTH(sim.tbl[[#This Row],[SDate]])=INDEX(mthLkUp.tbl[Num],MATCH(AE$3,mthLkUp.tbl[Month],0)),1,0)</f>
        <v>0</v>
      </c>
      <c r="AF161" s="6">
        <f ca="1">IF(MONTH(sim.tbl[[#This Row],[SDate]])=INDEX(mthLkUp.tbl[Num],MATCH(AF$3,mthLkUp.tbl[Month],0)),1,0)</f>
        <v>0</v>
      </c>
      <c r="AG161" s="6">
        <f ca="1">IF(MONTH(sim.tbl[[#This Row],[SDate]])=INDEX(mthLkUp.tbl[Num],MATCH(AG$3,mthLkUp.tbl[Month],0)),1,0)</f>
        <v>0</v>
      </c>
      <c r="AH161" s="6">
        <f ca="1">IF(MONTH(sim.tbl[[#This Row],[SDate]])=INDEX(mthLkUp.tbl[Num],MATCH(AH$3,mthLkUp.tbl[Month],0)),1,0)</f>
        <v>0</v>
      </c>
      <c r="AI161" s="6">
        <f ca="1">IF(MONTH(sim.tbl[[#This Row],[SDate]])=INDEX(mthLkUp.tbl[Num],MATCH(AI$3,mthLkUp.tbl[Month],0)),1,0)</f>
        <v>0</v>
      </c>
      <c r="AJ161" s="6">
        <f ca="1">IF(MONTH(sim.tbl[[#This Row],[SDate]])=INDEX(mthLkUp.tbl[Num],MATCH(AJ$3,mthLkUp.tbl[Month],0)),1,0)</f>
        <v>0</v>
      </c>
      <c r="AK161" s="6">
        <v>1</v>
      </c>
      <c r="AL161" s="5">
        <f>sim.tbl[[#This Row],[Sulf]]*sim.tbl[[#This Row],[C5]]</f>
        <v>0</v>
      </c>
      <c r="AM161" s="5">
        <f>sim.tbl[[#This Row],[Sulf]]*sim.tbl[[#This Row],[Light_LSB]]</f>
        <v>0</v>
      </c>
      <c r="AN161" s="5">
        <f>sim.tbl[[#This Row],[Sulf]]*sim.tbl[[#This Row],[Light_SW]]</f>
        <v>0</v>
      </c>
      <c r="AO161" s="5">
        <f>sim.tbl[[#This Row],[Sulf]]*sim.tbl[[#This Row],[Medium_LSB]]</f>
        <v>0.72</v>
      </c>
      <c r="AP161" s="5">
        <f>sim.tbl[[#This Row],[Sulf]]*sim.tbl[[#This Row],[Medium_SW]]</f>
        <v>0</v>
      </c>
      <c r="AQ161" s="5">
        <f>sim.tbl[[#This Row],[Sulf]]*sim.tbl[[#This Row],[Midale]]</f>
        <v>0</v>
      </c>
      <c r="AR161" s="5">
        <f>sim.tbl[[#This Row],[Sulf]]*sim.tbl[[#This Row],[Heavy_Sour]]</f>
        <v>0</v>
      </c>
      <c r="AS161" s="5">
        <f>sim.tbl[[#This Row],[Sulf]]*sim.tbl[[#This Row],[Heavy_SW]]</f>
        <v>0</v>
      </c>
      <c r="AT161" s="5">
        <f>sim.tbl[[#This Row],[Dens]]*sim.tbl[[#This Row],[C5]]</f>
        <v>0</v>
      </c>
      <c r="AU161" s="5">
        <f>sim.tbl[[#This Row],[Dens]]*sim.tbl[[#This Row],[Light_LSB]]</f>
        <v>0</v>
      </c>
      <c r="AV161" s="5">
        <f>sim.tbl[[#This Row],[Dens]]*sim.tbl[[#This Row],[Light_SW]]</f>
        <v>0</v>
      </c>
      <c r="AW161" s="5">
        <f>sim.tbl[[#This Row],[Dens]]*sim.tbl[[#This Row],[Medium_LSB]]</f>
        <v>854.2</v>
      </c>
      <c r="AX161" s="5">
        <f>sim.tbl[[#This Row],[Dens]]*sim.tbl[[#This Row],[Medium_SW]]</f>
        <v>0</v>
      </c>
      <c r="AY161" s="5">
        <f>sim.tbl[[#This Row],[Dens]]*sim.tbl[[#This Row],[Midale]]</f>
        <v>0</v>
      </c>
      <c r="AZ161" s="5">
        <f>sim.tbl[[#This Row],[Dens]]*sim.tbl[[#This Row],[Heavy_Sour]]</f>
        <v>0</v>
      </c>
      <c r="BA161" s="5">
        <f>sim.tbl[[#This Row],[Dens]]*sim.tbl[[#This Row],[Heavy_SW]]</f>
        <v>0</v>
      </c>
      <c r="BB161" s="5">
        <f>sim.tbl[[#This Row],[Temp.Roll]]*sim.tbl[[#This Row],[C5]]</f>
        <v>0</v>
      </c>
      <c r="BC161" s="5">
        <f>sim.tbl[[#This Row],[Temp.Roll]]*sim.tbl[[#This Row],[Light_LSB]]</f>
        <v>0</v>
      </c>
      <c r="BD161" s="5">
        <f>sim.tbl[[#This Row],[Temp.Roll]]*sim.tbl[[#This Row],[Light_SW]]</f>
        <v>0</v>
      </c>
      <c r="BE161" s="5">
        <f>sim.tbl[[#This Row],[Temp.Roll]]*sim.tbl[[#This Row],[Medium_LSB]]</f>
        <v>5.4</v>
      </c>
      <c r="BF161" s="5">
        <f>sim.tbl[[#This Row],[Temp.Roll]]*sim.tbl[[#This Row],[Medium_SW]]</f>
        <v>0</v>
      </c>
      <c r="BG161" s="5">
        <f>sim.tbl[[#This Row],[Temp.Roll]]*sim.tbl[[#This Row],[Midale]]</f>
        <v>0</v>
      </c>
      <c r="BH161" s="5">
        <f>sim.tbl[[#This Row],[Temp.Roll]]*sim.tbl[[#This Row],[Heavy_Sour]]</f>
        <v>0</v>
      </c>
      <c r="BI161" s="5">
        <f>sim.tbl[[#This Row],[Temp.Roll]]*sim.tbl[[#This Row],[Heavy_SW]]</f>
        <v>0</v>
      </c>
    </row>
    <row r="162" spans="4:61" x14ac:dyDescent="0.25">
      <c r="D162" s="5">
        <f ca="1">SUMPRODUCT($F$1:$BI$1,sim.tbl[[#This Row],[Intercept]:[Temp.Roll:Heavy_SW]])</f>
        <v>76.235580043047634</v>
      </c>
      <c r="E162" s="14">
        <f ca="1">DATE(YEAR(TODAY()),INDEX(mthLkUp.tbl[Num],MATCH(mth.input,mthLkUp.tbl[Month],0)),1)</f>
        <v>42795</v>
      </c>
      <c r="F162" s="6">
        <f>1</f>
        <v>1</v>
      </c>
      <c r="G162" s="5">
        <v>1.7</v>
      </c>
      <c r="H162" s="5">
        <v>854.8</v>
      </c>
      <c r="I162" s="5">
        <v>-4.3166666669999998</v>
      </c>
      <c r="J162" s="5">
        <v>-5</v>
      </c>
      <c r="K162" s="5">
        <v>-4.2</v>
      </c>
      <c r="L162" s="5">
        <v>-5</v>
      </c>
      <c r="M162" s="5">
        <v>-4.5</v>
      </c>
      <c r="N162" s="5">
        <v>-4.5</v>
      </c>
      <c r="O162" s="5">
        <v>-2.4</v>
      </c>
      <c r="P162" s="5">
        <v>-5.3</v>
      </c>
      <c r="Q162" s="6">
        <f>IF(sim.tbl[[#This Row],[Dens]]&lt;=770,1,0)</f>
        <v>0</v>
      </c>
      <c r="R162" s="6">
        <f>IF(AND(sim.tbl[[#This Row],[Sulf]]&gt;0.5,sim.tbl[[#This Row],[Dens]]&gt;770,sim.tbl[[#This Row],[Dens]]&lt;=825),1,0)</f>
        <v>0</v>
      </c>
      <c r="S162" s="6">
        <f>IF(AND(sim.tbl[[#This Row],[Sulf]]&lt;=0.5,sim.tbl[[#This Row],[Dens]]&gt;770,sim.tbl[[#This Row],[Dens]]&lt;=825),1,0)</f>
        <v>0</v>
      </c>
      <c r="T162" s="6">
        <f>IF(AND(sim.tbl[[#This Row],[Sulf]]&gt;0.5,sim.tbl[[#This Row],[Dens]]&gt;825,sim.tbl[[#This Row],[Dens]]&lt;=870),1,0)</f>
        <v>1</v>
      </c>
      <c r="U162" s="6">
        <f>IF(AND(sim.tbl[[#This Row],[Sulf]]&lt;0.5,sim.tbl[[#This Row],[Dens]]&gt;825,sim.tbl[[#This Row],[Dens]]&lt;=900),1,0)</f>
        <v>0</v>
      </c>
      <c r="V162" s="6">
        <f>IF(AND(sim.tbl[[#This Row],[Sulf]]&gt;0.5,sim.tbl[[#This Row],[Dens]]&gt;870,sim.tbl[[#This Row],[Dens]]&lt;=900),1,0)</f>
        <v>0</v>
      </c>
      <c r="W162" s="6">
        <f>IF(AND(sim.tbl[[#This Row],[Sulf]]&gt;0.5,sim.tbl[[#This Row],[Dens]]&gt;900),1,0)</f>
        <v>0</v>
      </c>
      <c r="X162" s="6">
        <f>IF(AND(sim.tbl[[#This Row],[Sulf]]&lt;=0.5,sim.tbl[[#This Row],[Dens]]&gt;900),1,0)</f>
        <v>0</v>
      </c>
      <c r="Y162" s="6">
        <f ca="1">IF(MONTH(sim.tbl[[#This Row],[SDate]])=INDEX(mthLkUp.tbl[Num],MATCH(Y$3,mthLkUp.tbl[Month],0)),1,0)</f>
        <v>0</v>
      </c>
      <c r="Z162" s="6">
        <f ca="1">IF(MONTH(sim.tbl[[#This Row],[SDate]])=INDEX(mthLkUp.tbl[Num],MATCH(Z$3,mthLkUp.tbl[Month],0)),1,0)</f>
        <v>0</v>
      </c>
      <c r="AA162" s="6">
        <f ca="1">IF(MONTH(sim.tbl[[#This Row],[SDate]])=INDEX(mthLkUp.tbl[Num],MATCH(AA$3,mthLkUp.tbl[Month],0)),1,0)</f>
        <v>1</v>
      </c>
      <c r="AB162" s="6">
        <f ca="1">IF(MONTH(sim.tbl[[#This Row],[SDate]])=INDEX(mthLkUp.tbl[Num],MATCH(AB$3,mthLkUp.tbl[Month],0)),1,0)</f>
        <v>0</v>
      </c>
      <c r="AC162" s="6">
        <f ca="1">IF(MONTH(sim.tbl[[#This Row],[SDate]])=INDEX(mthLkUp.tbl[Num],MATCH(AC$3,mthLkUp.tbl[Month],0)),1,0)</f>
        <v>0</v>
      </c>
      <c r="AD162" s="6">
        <f ca="1">IF(MONTH(sim.tbl[[#This Row],[SDate]])=INDEX(mthLkUp.tbl[Num],MATCH(AD$3,mthLkUp.tbl[Month],0)),1,0)</f>
        <v>0</v>
      </c>
      <c r="AE162" s="6">
        <f ca="1">IF(MONTH(sim.tbl[[#This Row],[SDate]])=INDEX(mthLkUp.tbl[Num],MATCH(AE$3,mthLkUp.tbl[Month],0)),1,0)</f>
        <v>0</v>
      </c>
      <c r="AF162" s="6">
        <f ca="1">IF(MONTH(sim.tbl[[#This Row],[SDate]])=INDEX(mthLkUp.tbl[Num],MATCH(AF$3,mthLkUp.tbl[Month],0)),1,0)</f>
        <v>0</v>
      </c>
      <c r="AG162" s="6">
        <f ca="1">IF(MONTH(sim.tbl[[#This Row],[SDate]])=INDEX(mthLkUp.tbl[Num],MATCH(AG$3,mthLkUp.tbl[Month],0)),1,0)</f>
        <v>0</v>
      </c>
      <c r="AH162" s="6">
        <f ca="1">IF(MONTH(sim.tbl[[#This Row],[SDate]])=INDEX(mthLkUp.tbl[Num],MATCH(AH$3,mthLkUp.tbl[Month],0)),1,0)</f>
        <v>0</v>
      </c>
      <c r="AI162" s="6">
        <f ca="1">IF(MONTH(sim.tbl[[#This Row],[SDate]])=INDEX(mthLkUp.tbl[Num],MATCH(AI$3,mthLkUp.tbl[Month],0)),1,0)</f>
        <v>0</v>
      </c>
      <c r="AJ162" s="6">
        <f ca="1">IF(MONTH(sim.tbl[[#This Row],[SDate]])=INDEX(mthLkUp.tbl[Num],MATCH(AJ$3,mthLkUp.tbl[Month],0)),1,0)</f>
        <v>0</v>
      </c>
      <c r="AK162" s="6">
        <v>1</v>
      </c>
      <c r="AL162" s="5">
        <f>sim.tbl[[#This Row],[Sulf]]*sim.tbl[[#This Row],[C5]]</f>
        <v>0</v>
      </c>
      <c r="AM162" s="5">
        <f>sim.tbl[[#This Row],[Sulf]]*sim.tbl[[#This Row],[Light_LSB]]</f>
        <v>0</v>
      </c>
      <c r="AN162" s="5">
        <f>sim.tbl[[#This Row],[Sulf]]*sim.tbl[[#This Row],[Light_SW]]</f>
        <v>0</v>
      </c>
      <c r="AO162" s="5">
        <f>sim.tbl[[#This Row],[Sulf]]*sim.tbl[[#This Row],[Medium_LSB]]</f>
        <v>1.7</v>
      </c>
      <c r="AP162" s="5">
        <f>sim.tbl[[#This Row],[Sulf]]*sim.tbl[[#This Row],[Medium_SW]]</f>
        <v>0</v>
      </c>
      <c r="AQ162" s="5">
        <f>sim.tbl[[#This Row],[Sulf]]*sim.tbl[[#This Row],[Midale]]</f>
        <v>0</v>
      </c>
      <c r="AR162" s="5">
        <f>sim.tbl[[#This Row],[Sulf]]*sim.tbl[[#This Row],[Heavy_Sour]]</f>
        <v>0</v>
      </c>
      <c r="AS162" s="5">
        <f>sim.tbl[[#This Row],[Sulf]]*sim.tbl[[#This Row],[Heavy_SW]]</f>
        <v>0</v>
      </c>
      <c r="AT162" s="5">
        <f>sim.tbl[[#This Row],[Dens]]*sim.tbl[[#This Row],[C5]]</f>
        <v>0</v>
      </c>
      <c r="AU162" s="5">
        <f>sim.tbl[[#This Row],[Dens]]*sim.tbl[[#This Row],[Light_LSB]]</f>
        <v>0</v>
      </c>
      <c r="AV162" s="5">
        <f>sim.tbl[[#This Row],[Dens]]*sim.tbl[[#This Row],[Light_SW]]</f>
        <v>0</v>
      </c>
      <c r="AW162" s="5">
        <f>sim.tbl[[#This Row],[Dens]]*sim.tbl[[#This Row],[Medium_LSB]]</f>
        <v>854.8</v>
      </c>
      <c r="AX162" s="5">
        <f>sim.tbl[[#This Row],[Dens]]*sim.tbl[[#This Row],[Medium_SW]]</f>
        <v>0</v>
      </c>
      <c r="AY162" s="5">
        <f>sim.tbl[[#This Row],[Dens]]*sim.tbl[[#This Row],[Midale]]</f>
        <v>0</v>
      </c>
      <c r="AZ162" s="5">
        <f>sim.tbl[[#This Row],[Dens]]*sim.tbl[[#This Row],[Heavy_Sour]]</f>
        <v>0</v>
      </c>
      <c r="BA162" s="5">
        <f>sim.tbl[[#This Row],[Dens]]*sim.tbl[[#This Row],[Heavy_SW]]</f>
        <v>0</v>
      </c>
      <c r="BB162" s="5">
        <f>sim.tbl[[#This Row],[Temp.Roll]]*sim.tbl[[#This Row],[C5]]</f>
        <v>0</v>
      </c>
      <c r="BC162" s="5">
        <f>sim.tbl[[#This Row],[Temp.Roll]]*sim.tbl[[#This Row],[Light_LSB]]</f>
        <v>0</v>
      </c>
      <c r="BD162" s="5">
        <f>sim.tbl[[#This Row],[Temp.Roll]]*sim.tbl[[#This Row],[Light_SW]]</f>
        <v>0</v>
      </c>
      <c r="BE162" s="5">
        <f>sim.tbl[[#This Row],[Temp.Roll]]*sim.tbl[[#This Row],[Medium_LSB]]</f>
        <v>-5</v>
      </c>
      <c r="BF162" s="5">
        <f>sim.tbl[[#This Row],[Temp.Roll]]*sim.tbl[[#This Row],[Medium_SW]]</f>
        <v>0</v>
      </c>
      <c r="BG162" s="5">
        <f>sim.tbl[[#This Row],[Temp.Roll]]*sim.tbl[[#This Row],[Midale]]</f>
        <v>0</v>
      </c>
      <c r="BH162" s="5">
        <f>sim.tbl[[#This Row],[Temp.Roll]]*sim.tbl[[#This Row],[Heavy_Sour]]</f>
        <v>0</v>
      </c>
      <c r="BI162" s="5">
        <f>sim.tbl[[#This Row],[Temp.Roll]]*sim.tbl[[#This Row],[Heavy_SW]]</f>
        <v>0</v>
      </c>
    </row>
    <row r="163" spans="4:61" x14ac:dyDescent="0.25">
      <c r="D163" s="5">
        <f ca="1">SUMPRODUCT($F$1:$BI$1,sim.tbl[[#This Row],[Intercept]:[Temp.Roll:Heavy_SW]])</f>
        <v>91.312764170946096</v>
      </c>
      <c r="E163" s="14">
        <f ca="1">DATE(YEAR(TODAY()),INDEX(mthLkUp.tbl[Num],MATCH(mth.input,mthLkUp.tbl[Month],0)),1)</f>
        <v>42795</v>
      </c>
      <c r="F163" s="6">
        <f>1</f>
        <v>1</v>
      </c>
      <c r="G163" s="5">
        <v>0.19800000000000001</v>
      </c>
      <c r="H163" s="5">
        <v>813.3</v>
      </c>
      <c r="I163" s="5">
        <v>-12.2</v>
      </c>
      <c r="J163" s="5">
        <v>-10.1</v>
      </c>
      <c r="K163" s="5">
        <v>-10.3</v>
      </c>
      <c r="L163" s="5">
        <v>-10.1</v>
      </c>
      <c r="M163" s="5">
        <v>-14.5</v>
      </c>
      <c r="N163" s="5">
        <v>-11</v>
      </c>
      <c r="O163" s="5">
        <v>-13.4</v>
      </c>
      <c r="P163" s="5">
        <v>-13.9</v>
      </c>
      <c r="Q163" s="6">
        <f>IF(sim.tbl[[#This Row],[Dens]]&lt;=770,1,0)</f>
        <v>0</v>
      </c>
      <c r="R163" s="6">
        <f>IF(AND(sim.tbl[[#This Row],[Sulf]]&gt;0.5,sim.tbl[[#This Row],[Dens]]&gt;770,sim.tbl[[#This Row],[Dens]]&lt;=825),1,0)</f>
        <v>0</v>
      </c>
      <c r="S163" s="6">
        <f>IF(AND(sim.tbl[[#This Row],[Sulf]]&lt;=0.5,sim.tbl[[#This Row],[Dens]]&gt;770,sim.tbl[[#This Row],[Dens]]&lt;=825),1,0)</f>
        <v>1</v>
      </c>
      <c r="T163" s="6">
        <f>IF(AND(sim.tbl[[#This Row],[Sulf]]&gt;0.5,sim.tbl[[#This Row],[Dens]]&gt;825,sim.tbl[[#This Row],[Dens]]&lt;=870),1,0)</f>
        <v>0</v>
      </c>
      <c r="U163" s="6">
        <f>IF(AND(sim.tbl[[#This Row],[Sulf]]&lt;0.5,sim.tbl[[#This Row],[Dens]]&gt;825,sim.tbl[[#This Row],[Dens]]&lt;=900),1,0)</f>
        <v>0</v>
      </c>
      <c r="V163" s="6">
        <f>IF(AND(sim.tbl[[#This Row],[Sulf]]&gt;0.5,sim.tbl[[#This Row],[Dens]]&gt;870,sim.tbl[[#This Row],[Dens]]&lt;=900),1,0)</f>
        <v>0</v>
      </c>
      <c r="W163" s="6">
        <f>IF(AND(sim.tbl[[#This Row],[Sulf]]&gt;0.5,sim.tbl[[#This Row],[Dens]]&gt;900),1,0)</f>
        <v>0</v>
      </c>
      <c r="X163" s="6">
        <f>IF(AND(sim.tbl[[#This Row],[Sulf]]&lt;=0.5,sim.tbl[[#This Row],[Dens]]&gt;900),1,0)</f>
        <v>0</v>
      </c>
      <c r="Y163" s="6">
        <f ca="1">IF(MONTH(sim.tbl[[#This Row],[SDate]])=INDEX(mthLkUp.tbl[Num],MATCH(Y$3,mthLkUp.tbl[Month],0)),1,0)</f>
        <v>0</v>
      </c>
      <c r="Z163" s="6">
        <f ca="1">IF(MONTH(sim.tbl[[#This Row],[SDate]])=INDEX(mthLkUp.tbl[Num],MATCH(Z$3,mthLkUp.tbl[Month],0)),1,0)</f>
        <v>0</v>
      </c>
      <c r="AA163" s="6">
        <f ca="1">IF(MONTH(sim.tbl[[#This Row],[SDate]])=INDEX(mthLkUp.tbl[Num],MATCH(AA$3,mthLkUp.tbl[Month],0)),1,0)</f>
        <v>1</v>
      </c>
      <c r="AB163" s="6">
        <f ca="1">IF(MONTH(sim.tbl[[#This Row],[SDate]])=INDEX(mthLkUp.tbl[Num],MATCH(AB$3,mthLkUp.tbl[Month],0)),1,0)</f>
        <v>0</v>
      </c>
      <c r="AC163" s="6">
        <f ca="1">IF(MONTH(sim.tbl[[#This Row],[SDate]])=INDEX(mthLkUp.tbl[Num],MATCH(AC$3,mthLkUp.tbl[Month],0)),1,0)</f>
        <v>0</v>
      </c>
      <c r="AD163" s="6">
        <f ca="1">IF(MONTH(sim.tbl[[#This Row],[SDate]])=INDEX(mthLkUp.tbl[Num],MATCH(AD$3,mthLkUp.tbl[Month],0)),1,0)</f>
        <v>0</v>
      </c>
      <c r="AE163" s="6">
        <f ca="1">IF(MONTH(sim.tbl[[#This Row],[SDate]])=INDEX(mthLkUp.tbl[Num],MATCH(AE$3,mthLkUp.tbl[Month],0)),1,0)</f>
        <v>0</v>
      </c>
      <c r="AF163" s="6">
        <f ca="1">IF(MONTH(sim.tbl[[#This Row],[SDate]])=INDEX(mthLkUp.tbl[Num],MATCH(AF$3,mthLkUp.tbl[Month],0)),1,0)</f>
        <v>0</v>
      </c>
      <c r="AG163" s="6">
        <f ca="1">IF(MONTH(sim.tbl[[#This Row],[SDate]])=INDEX(mthLkUp.tbl[Num],MATCH(AG$3,mthLkUp.tbl[Month],0)),1,0)</f>
        <v>0</v>
      </c>
      <c r="AH163" s="6">
        <f ca="1">IF(MONTH(sim.tbl[[#This Row],[SDate]])=INDEX(mthLkUp.tbl[Num],MATCH(AH$3,mthLkUp.tbl[Month],0)),1,0)</f>
        <v>0</v>
      </c>
      <c r="AI163" s="6">
        <f ca="1">IF(MONTH(sim.tbl[[#This Row],[SDate]])=INDEX(mthLkUp.tbl[Num],MATCH(AI$3,mthLkUp.tbl[Month],0)),1,0)</f>
        <v>0</v>
      </c>
      <c r="AJ163" s="6">
        <f ca="1">IF(MONTH(sim.tbl[[#This Row],[SDate]])=INDEX(mthLkUp.tbl[Num],MATCH(AJ$3,mthLkUp.tbl[Month],0)),1,0)</f>
        <v>0</v>
      </c>
      <c r="AK163" s="6">
        <v>1</v>
      </c>
      <c r="AL163" s="5">
        <f>sim.tbl[[#This Row],[Sulf]]*sim.tbl[[#This Row],[C5]]</f>
        <v>0</v>
      </c>
      <c r="AM163" s="5">
        <f>sim.tbl[[#This Row],[Sulf]]*sim.tbl[[#This Row],[Light_LSB]]</f>
        <v>0</v>
      </c>
      <c r="AN163" s="5">
        <f>sim.tbl[[#This Row],[Sulf]]*sim.tbl[[#This Row],[Light_SW]]</f>
        <v>0.19800000000000001</v>
      </c>
      <c r="AO163" s="5">
        <f>sim.tbl[[#This Row],[Sulf]]*sim.tbl[[#This Row],[Medium_LSB]]</f>
        <v>0</v>
      </c>
      <c r="AP163" s="5">
        <f>sim.tbl[[#This Row],[Sulf]]*sim.tbl[[#This Row],[Medium_SW]]</f>
        <v>0</v>
      </c>
      <c r="AQ163" s="5">
        <f>sim.tbl[[#This Row],[Sulf]]*sim.tbl[[#This Row],[Midale]]</f>
        <v>0</v>
      </c>
      <c r="AR163" s="5">
        <f>sim.tbl[[#This Row],[Sulf]]*sim.tbl[[#This Row],[Heavy_Sour]]</f>
        <v>0</v>
      </c>
      <c r="AS163" s="5">
        <f>sim.tbl[[#This Row],[Sulf]]*sim.tbl[[#This Row],[Heavy_SW]]</f>
        <v>0</v>
      </c>
      <c r="AT163" s="5">
        <f>sim.tbl[[#This Row],[Dens]]*sim.tbl[[#This Row],[C5]]</f>
        <v>0</v>
      </c>
      <c r="AU163" s="5">
        <f>sim.tbl[[#This Row],[Dens]]*sim.tbl[[#This Row],[Light_LSB]]</f>
        <v>0</v>
      </c>
      <c r="AV163" s="5">
        <f>sim.tbl[[#This Row],[Dens]]*sim.tbl[[#This Row],[Light_SW]]</f>
        <v>813.3</v>
      </c>
      <c r="AW163" s="5">
        <f>sim.tbl[[#This Row],[Dens]]*sim.tbl[[#This Row],[Medium_LSB]]</f>
        <v>0</v>
      </c>
      <c r="AX163" s="5">
        <f>sim.tbl[[#This Row],[Dens]]*sim.tbl[[#This Row],[Medium_SW]]</f>
        <v>0</v>
      </c>
      <c r="AY163" s="5">
        <f>sim.tbl[[#This Row],[Dens]]*sim.tbl[[#This Row],[Midale]]</f>
        <v>0</v>
      </c>
      <c r="AZ163" s="5">
        <f>sim.tbl[[#This Row],[Dens]]*sim.tbl[[#This Row],[Heavy_Sour]]</f>
        <v>0</v>
      </c>
      <c r="BA163" s="5">
        <f>sim.tbl[[#This Row],[Dens]]*sim.tbl[[#This Row],[Heavy_SW]]</f>
        <v>0</v>
      </c>
      <c r="BB163" s="5">
        <f>sim.tbl[[#This Row],[Temp.Roll]]*sim.tbl[[#This Row],[C5]]</f>
        <v>0</v>
      </c>
      <c r="BC163" s="5">
        <f>sim.tbl[[#This Row],[Temp.Roll]]*sim.tbl[[#This Row],[Light_LSB]]</f>
        <v>0</v>
      </c>
      <c r="BD163" s="5">
        <f>sim.tbl[[#This Row],[Temp.Roll]]*sim.tbl[[#This Row],[Light_SW]]</f>
        <v>-10.1</v>
      </c>
      <c r="BE163" s="5">
        <f>sim.tbl[[#This Row],[Temp.Roll]]*sim.tbl[[#This Row],[Medium_LSB]]</f>
        <v>0</v>
      </c>
      <c r="BF163" s="5">
        <f>sim.tbl[[#This Row],[Temp.Roll]]*sim.tbl[[#This Row],[Medium_SW]]</f>
        <v>0</v>
      </c>
      <c r="BG163" s="5">
        <f>sim.tbl[[#This Row],[Temp.Roll]]*sim.tbl[[#This Row],[Midale]]</f>
        <v>0</v>
      </c>
      <c r="BH163" s="5">
        <f>sim.tbl[[#This Row],[Temp.Roll]]*sim.tbl[[#This Row],[Heavy_Sour]]</f>
        <v>0</v>
      </c>
      <c r="BI163" s="5">
        <f>sim.tbl[[#This Row],[Temp.Roll]]*sim.tbl[[#This Row],[Heavy_SW]]</f>
        <v>0</v>
      </c>
    </row>
    <row r="164" spans="4:61" x14ac:dyDescent="0.25">
      <c r="D164" s="5">
        <f ca="1">SUMPRODUCT($F$1:$BI$1,sim.tbl[[#This Row],[Intercept]:[Temp.Roll:Heavy_SW]])</f>
        <v>87.344814195485824</v>
      </c>
      <c r="E164" s="14">
        <f ca="1">DATE(YEAR(TODAY()),INDEX(mthLkUp.tbl[Num],MATCH(mth.input,mthLkUp.tbl[Month],0)),1)</f>
        <v>42795</v>
      </c>
      <c r="F164" s="6">
        <f>1</f>
        <v>1</v>
      </c>
      <c r="G164" s="5">
        <v>0.63</v>
      </c>
      <c r="H164" s="5">
        <v>819</v>
      </c>
      <c r="I164" s="5">
        <v>-0.2</v>
      </c>
      <c r="J164" s="5">
        <v>-0.1</v>
      </c>
      <c r="K164" s="5">
        <v>-1.2</v>
      </c>
      <c r="L164" s="5">
        <v>-0.1</v>
      </c>
      <c r="M164" s="5">
        <v>3</v>
      </c>
      <c r="N164" s="5">
        <v>1.5</v>
      </c>
      <c r="O164" s="5">
        <v>-0.5</v>
      </c>
      <c r="P164" s="5">
        <v>-0.7</v>
      </c>
      <c r="Q164" s="6">
        <f>IF(sim.tbl[[#This Row],[Dens]]&lt;=770,1,0)</f>
        <v>0</v>
      </c>
      <c r="R164" s="6">
        <f>IF(AND(sim.tbl[[#This Row],[Sulf]]&gt;0.5,sim.tbl[[#This Row],[Dens]]&gt;770,sim.tbl[[#This Row],[Dens]]&lt;=825),1,0)</f>
        <v>1</v>
      </c>
      <c r="S164" s="6">
        <f>IF(AND(sim.tbl[[#This Row],[Sulf]]&lt;=0.5,sim.tbl[[#This Row],[Dens]]&gt;770,sim.tbl[[#This Row],[Dens]]&lt;=825),1,0)</f>
        <v>0</v>
      </c>
      <c r="T164" s="6">
        <f>IF(AND(sim.tbl[[#This Row],[Sulf]]&gt;0.5,sim.tbl[[#This Row],[Dens]]&gt;825,sim.tbl[[#This Row],[Dens]]&lt;=870),1,0)</f>
        <v>0</v>
      </c>
      <c r="U164" s="6">
        <f>IF(AND(sim.tbl[[#This Row],[Sulf]]&lt;0.5,sim.tbl[[#This Row],[Dens]]&gt;825,sim.tbl[[#This Row],[Dens]]&lt;=900),1,0)</f>
        <v>0</v>
      </c>
      <c r="V164" s="6">
        <f>IF(AND(sim.tbl[[#This Row],[Sulf]]&gt;0.5,sim.tbl[[#This Row],[Dens]]&gt;870,sim.tbl[[#This Row],[Dens]]&lt;=900),1,0)</f>
        <v>0</v>
      </c>
      <c r="W164" s="6">
        <f>IF(AND(sim.tbl[[#This Row],[Sulf]]&gt;0.5,sim.tbl[[#This Row],[Dens]]&gt;900),1,0)</f>
        <v>0</v>
      </c>
      <c r="X164" s="6">
        <f>IF(AND(sim.tbl[[#This Row],[Sulf]]&lt;=0.5,sim.tbl[[#This Row],[Dens]]&gt;900),1,0)</f>
        <v>0</v>
      </c>
      <c r="Y164" s="6">
        <f ca="1">IF(MONTH(sim.tbl[[#This Row],[SDate]])=INDEX(mthLkUp.tbl[Num],MATCH(Y$3,mthLkUp.tbl[Month],0)),1,0)</f>
        <v>0</v>
      </c>
      <c r="Z164" s="6">
        <f ca="1">IF(MONTH(sim.tbl[[#This Row],[SDate]])=INDEX(mthLkUp.tbl[Num],MATCH(Z$3,mthLkUp.tbl[Month],0)),1,0)</f>
        <v>0</v>
      </c>
      <c r="AA164" s="6">
        <f ca="1">IF(MONTH(sim.tbl[[#This Row],[SDate]])=INDEX(mthLkUp.tbl[Num],MATCH(AA$3,mthLkUp.tbl[Month],0)),1,0)</f>
        <v>1</v>
      </c>
      <c r="AB164" s="6">
        <f ca="1">IF(MONTH(sim.tbl[[#This Row],[SDate]])=INDEX(mthLkUp.tbl[Num],MATCH(AB$3,mthLkUp.tbl[Month],0)),1,0)</f>
        <v>0</v>
      </c>
      <c r="AC164" s="6">
        <f ca="1">IF(MONTH(sim.tbl[[#This Row],[SDate]])=INDEX(mthLkUp.tbl[Num],MATCH(AC$3,mthLkUp.tbl[Month],0)),1,0)</f>
        <v>0</v>
      </c>
      <c r="AD164" s="6">
        <f ca="1">IF(MONTH(sim.tbl[[#This Row],[SDate]])=INDEX(mthLkUp.tbl[Num],MATCH(AD$3,mthLkUp.tbl[Month],0)),1,0)</f>
        <v>0</v>
      </c>
      <c r="AE164" s="6">
        <f ca="1">IF(MONTH(sim.tbl[[#This Row],[SDate]])=INDEX(mthLkUp.tbl[Num],MATCH(AE$3,mthLkUp.tbl[Month],0)),1,0)</f>
        <v>0</v>
      </c>
      <c r="AF164" s="6">
        <f ca="1">IF(MONTH(sim.tbl[[#This Row],[SDate]])=INDEX(mthLkUp.tbl[Num],MATCH(AF$3,mthLkUp.tbl[Month],0)),1,0)</f>
        <v>0</v>
      </c>
      <c r="AG164" s="6">
        <f ca="1">IF(MONTH(sim.tbl[[#This Row],[SDate]])=INDEX(mthLkUp.tbl[Num],MATCH(AG$3,mthLkUp.tbl[Month],0)),1,0)</f>
        <v>0</v>
      </c>
      <c r="AH164" s="6">
        <f ca="1">IF(MONTH(sim.tbl[[#This Row],[SDate]])=INDEX(mthLkUp.tbl[Num],MATCH(AH$3,mthLkUp.tbl[Month],0)),1,0)</f>
        <v>0</v>
      </c>
      <c r="AI164" s="6">
        <f ca="1">IF(MONTH(sim.tbl[[#This Row],[SDate]])=INDEX(mthLkUp.tbl[Num],MATCH(AI$3,mthLkUp.tbl[Month],0)),1,0)</f>
        <v>0</v>
      </c>
      <c r="AJ164" s="6">
        <f ca="1">IF(MONTH(sim.tbl[[#This Row],[SDate]])=INDEX(mthLkUp.tbl[Num],MATCH(AJ$3,mthLkUp.tbl[Month],0)),1,0)</f>
        <v>0</v>
      </c>
      <c r="AK164" s="6">
        <v>1</v>
      </c>
      <c r="AL164" s="5">
        <f>sim.tbl[[#This Row],[Sulf]]*sim.tbl[[#This Row],[C5]]</f>
        <v>0</v>
      </c>
      <c r="AM164" s="5">
        <f>sim.tbl[[#This Row],[Sulf]]*sim.tbl[[#This Row],[Light_LSB]]</f>
        <v>0.63</v>
      </c>
      <c r="AN164" s="5">
        <f>sim.tbl[[#This Row],[Sulf]]*sim.tbl[[#This Row],[Light_SW]]</f>
        <v>0</v>
      </c>
      <c r="AO164" s="5">
        <f>sim.tbl[[#This Row],[Sulf]]*sim.tbl[[#This Row],[Medium_LSB]]</f>
        <v>0</v>
      </c>
      <c r="AP164" s="5">
        <f>sim.tbl[[#This Row],[Sulf]]*sim.tbl[[#This Row],[Medium_SW]]</f>
        <v>0</v>
      </c>
      <c r="AQ164" s="5">
        <f>sim.tbl[[#This Row],[Sulf]]*sim.tbl[[#This Row],[Midale]]</f>
        <v>0</v>
      </c>
      <c r="AR164" s="5">
        <f>sim.tbl[[#This Row],[Sulf]]*sim.tbl[[#This Row],[Heavy_Sour]]</f>
        <v>0</v>
      </c>
      <c r="AS164" s="5">
        <f>sim.tbl[[#This Row],[Sulf]]*sim.tbl[[#This Row],[Heavy_SW]]</f>
        <v>0</v>
      </c>
      <c r="AT164" s="5">
        <f>sim.tbl[[#This Row],[Dens]]*sim.tbl[[#This Row],[C5]]</f>
        <v>0</v>
      </c>
      <c r="AU164" s="5">
        <f>sim.tbl[[#This Row],[Dens]]*sim.tbl[[#This Row],[Light_LSB]]</f>
        <v>819</v>
      </c>
      <c r="AV164" s="5">
        <f>sim.tbl[[#This Row],[Dens]]*sim.tbl[[#This Row],[Light_SW]]</f>
        <v>0</v>
      </c>
      <c r="AW164" s="5">
        <f>sim.tbl[[#This Row],[Dens]]*sim.tbl[[#This Row],[Medium_LSB]]</f>
        <v>0</v>
      </c>
      <c r="AX164" s="5">
        <f>sim.tbl[[#This Row],[Dens]]*sim.tbl[[#This Row],[Medium_SW]]</f>
        <v>0</v>
      </c>
      <c r="AY164" s="5">
        <f>sim.tbl[[#This Row],[Dens]]*sim.tbl[[#This Row],[Midale]]</f>
        <v>0</v>
      </c>
      <c r="AZ164" s="5">
        <f>sim.tbl[[#This Row],[Dens]]*sim.tbl[[#This Row],[Heavy_Sour]]</f>
        <v>0</v>
      </c>
      <c r="BA164" s="5">
        <f>sim.tbl[[#This Row],[Dens]]*sim.tbl[[#This Row],[Heavy_SW]]</f>
        <v>0</v>
      </c>
      <c r="BB164" s="5">
        <f>sim.tbl[[#This Row],[Temp.Roll]]*sim.tbl[[#This Row],[C5]]</f>
        <v>0</v>
      </c>
      <c r="BC164" s="5">
        <f>sim.tbl[[#This Row],[Temp.Roll]]*sim.tbl[[#This Row],[Light_LSB]]</f>
        <v>-0.1</v>
      </c>
      <c r="BD164" s="5">
        <f>sim.tbl[[#This Row],[Temp.Roll]]*sim.tbl[[#This Row],[Light_SW]]</f>
        <v>0</v>
      </c>
      <c r="BE164" s="5">
        <f>sim.tbl[[#This Row],[Temp.Roll]]*sim.tbl[[#This Row],[Medium_LSB]]</f>
        <v>0</v>
      </c>
      <c r="BF164" s="5">
        <f>sim.tbl[[#This Row],[Temp.Roll]]*sim.tbl[[#This Row],[Medium_SW]]</f>
        <v>0</v>
      </c>
      <c r="BG164" s="5">
        <f>sim.tbl[[#This Row],[Temp.Roll]]*sim.tbl[[#This Row],[Midale]]</f>
        <v>0</v>
      </c>
      <c r="BH164" s="5">
        <f>sim.tbl[[#This Row],[Temp.Roll]]*sim.tbl[[#This Row],[Heavy_Sour]]</f>
        <v>0</v>
      </c>
      <c r="BI164" s="5">
        <f>sim.tbl[[#This Row],[Temp.Roll]]*sim.tbl[[#This Row],[Heavy_SW]]</f>
        <v>0</v>
      </c>
    </row>
    <row r="165" spans="4:61" x14ac:dyDescent="0.25">
      <c r="D165" s="5">
        <f ca="1">SUMPRODUCT($F$1:$BI$1,sim.tbl[[#This Row],[Intercept]:[Temp.Roll:Heavy_SW]])</f>
        <v>85.929650272866652</v>
      </c>
      <c r="E165" s="14">
        <f ca="1">DATE(YEAR(TODAY()),INDEX(mthLkUp.tbl[Num],MATCH(mth.input,mthLkUp.tbl[Month],0)),1)</f>
        <v>42795</v>
      </c>
      <c r="F165" s="6">
        <f>1</f>
        <v>1</v>
      </c>
      <c r="G165" s="5">
        <v>0.22700000000000001</v>
      </c>
      <c r="H165" s="5">
        <v>805.9</v>
      </c>
      <c r="I165" s="5">
        <v>7</v>
      </c>
      <c r="J165" s="5">
        <v>7.2</v>
      </c>
      <c r="K165" s="5">
        <v>7.6</v>
      </c>
      <c r="L165" s="5">
        <v>7.2</v>
      </c>
      <c r="M165" s="5">
        <v>3.3</v>
      </c>
      <c r="N165" s="5">
        <v>8.3000000000000007</v>
      </c>
      <c r="O165" s="5">
        <v>6.8</v>
      </c>
      <c r="P165" s="5">
        <v>5.0999999999999996</v>
      </c>
      <c r="Q165" s="6">
        <f>IF(sim.tbl[[#This Row],[Dens]]&lt;=770,1,0)</f>
        <v>0</v>
      </c>
      <c r="R165" s="6">
        <f>IF(AND(sim.tbl[[#This Row],[Sulf]]&gt;0.5,sim.tbl[[#This Row],[Dens]]&gt;770,sim.tbl[[#This Row],[Dens]]&lt;=825),1,0)</f>
        <v>0</v>
      </c>
      <c r="S165" s="6">
        <f>IF(AND(sim.tbl[[#This Row],[Sulf]]&lt;=0.5,sim.tbl[[#This Row],[Dens]]&gt;770,sim.tbl[[#This Row],[Dens]]&lt;=825),1,0)</f>
        <v>1</v>
      </c>
      <c r="T165" s="6">
        <f>IF(AND(sim.tbl[[#This Row],[Sulf]]&gt;0.5,sim.tbl[[#This Row],[Dens]]&gt;825,sim.tbl[[#This Row],[Dens]]&lt;=870),1,0)</f>
        <v>0</v>
      </c>
      <c r="U165" s="6">
        <f>IF(AND(sim.tbl[[#This Row],[Sulf]]&lt;0.5,sim.tbl[[#This Row],[Dens]]&gt;825,sim.tbl[[#This Row],[Dens]]&lt;=900),1,0)</f>
        <v>0</v>
      </c>
      <c r="V165" s="6">
        <f>IF(AND(sim.tbl[[#This Row],[Sulf]]&gt;0.5,sim.tbl[[#This Row],[Dens]]&gt;870,sim.tbl[[#This Row],[Dens]]&lt;=900),1,0)</f>
        <v>0</v>
      </c>
      <c r="W165" s="6">
        <f>IF(AND(sim.tbl[[#This Row],[Sulf]]&gt;0.5,sim.tbl[[#This Row],[Dens]]&gt;900),1,0)</f>
        <v>0</v>
      </c>
      <c r="X165" s="6">
        <f>IF(AND(sim.tbl[[#This Row],[Sulf]]&lt;=0.5,sim.tbl[[#This Row],[Dens]]&gt;900),1,0)</f>
        <v>0</v>
      </c>
      <c r="Y165" s="6">
        <f ca="1">IF(MONTH(sim.tbl[[#This Row],[SDate]])=INDEX(mthLkUp.tbl[Num],MATCH(Y$3,mthLkUp.tbl[Month],0)),1,0)</f>
        <v>0</v>
      </c>
      <c r="Z165" s="6">
        <f ca="1">IF(MONTH(sim.tbl[[#This Row],[SDate]])=INDEX(mthLkUp.tbl[Num],MATCH(Z$3,mthLkUp.tbl[Month],0)),1,0)</f>
        <v>0</v>
      </c>
      <c r="AA165" s="6">
        <f ca="1">IF(MONTH(sim.tbl[[#This Row],[SDate]])=INDEX(mthLkUp.tbl[Num],MATCH(AA$3,mthLkUp.tbl[Month],0)),1,0)</f>
        <v>1</v>
      </c>
      <c r="AB165" s="6">
        <f ca="1">IF(MONTH(sim.tbl[[#This Row],[SDate]])=INDEX(mthLkUp.tbl[Num],MATCH(AB$3,mthLkUp.tbl[Month],0)),1,0)</f>
        <v>0</v>
      </c>
      <c r="AC165" s="6">
        <f ca="1">IF(MONTH(sim.tbl[[#This Row],[SDate]])=INDEX(mthLkUp.tbl[Num],MATCH(AC$3,mthLkUp.tbl[Month],0)),1,0)</f>
        <v>0</v>
      </c>
      <c r="AD165" s="6">
        <f ca="1">IF(MONTH(sim.tbl[[#This Row],[SDate]])=INDEX(mthLkUp.tbl[Num],MATCH(AD$3,mthLkUp.tbl[Month],0)),1,0)</f>
        <v>0</v>
      </c>
      <c r="AE165" s="6">
        <f ca="1">IF(MONTH(sim.tbl[[#This Row],[SDate]])=INDEX(mthLkUp.tbl[Num],MATCH(AE$3,mthLkUp.tbl[Month],0)),1,0)</f>
        <v>0</v>
      </c>
      <c r="AF165" s="6">
        <f ca="1">IF(MONTH(sim.tbl[[#This Row],[SDate]])=INDEX(mthLkUp.tbl[Num],MATCH(AF$3,mthLkUp.tbl[Month],0)),1,0)</f>
        <v>0</v>
      </c>
      <c r="AG165" s="6">
        <f ca="1">IF(MONTH(sim.tbl[[#This Row],[SDate]])=INDEX(mthLkUp.tbl[Num],MATCH(AG$3,mthLkUp.tbl[Month],0)),1,0)</f>
        <v>0</v>
      </c>
      <c r="AH165" s="6">
        <f ca="1">IF(MONTH(sim.tbl[[#This Row],[SDate]])=INDEX(mthLkUp.tbl[Num],MATCH(AH$3,mthLkUp.tbl[Month],0)),1,0)</f>
        <v>0</v>
      </c>
      <c r="AI165" s="6">
        <f ca="1">IF(MONTH(sim.tbl[[#This Row],[SDate]])=INDEX(mthLkUp.tbl[Num],MATCH(AI$3,mthLkUp.tbl[Month],0)),1,0)</f>
        <v>0</v>
      </c>
      <c r="AJ165" s="6">
        <f ca="1">IF(MONTH(sim.tbl[[#This Row],[SDate]])=INDEX(mthLkUp.tbl[Num],MATCH(AJ$3,mthLkUp.tbl[Month],0)),1,0)</f>
        <v>0</v>
      </c>
      <c r="AK165" s="6">
        <v>1</v>
      </c>
      <c r="AL165" s="5">
        <f>sim.tbl[[#This Row],[Sulf]]*sim.tbl[[#This Row],[C5]]</f>
        <v>0</v>
      </c>
      <c r="AM165" s="5">
        <f>sim.tbl[[#This Row],[Sulf]]*sim.tbl[[#This Row],[Light_LSB]]</f>
        <v>0</v>
      </c>
      <c r="AN165" s="5">
        <f>sim.tbl[[#This Row],[Sulf]]*sim.tbl[[#This Row],[Light_SW]]</f>
        <v>0.22700000000000001</v>
      </c>
      <c r="AO165" s="5">
        <f>sim.tbl[[#This Row],[Sulf]]*sim.tbl[[#This Row],[Medium_LSB]]</f>
        <v>0</v>
      </c>
      <c r="AP165" s="5">
        <f>sim.tbl[[#This Row],[Sulf]]*sim.tbl[[#This Row],[Medium_SW]]</f>
        <v>0</v>
      </c>
      <c r="AQ165" s="5">
        <f>sim.tbl[[#This Row],[Sulf]]*sim.tbl[[#This Row],[Midale]]</f>
        <v>0</v>
      </c>
      <c r="AR165" s="5">
        <f>sim.tbl[[#This Row],[Sulf]]*sim.tbl[[#This Row],[Heavy_Sour]]</f>
        <v>0</v>
      </c>
      <c r="AS165" s="5">
        <f>sim.tbl[[#This Row],[Sulf]]*sim.tbl[[#This Row],[Heavy_SW]]</f>
        <v>0</v>
      </c>
      <c r="AT165" s="5">
        <f>sim.tbl[[#This Row],[Dens]]*sim.tbl[[#This Row],[C5]]</f>
        <v>0</v>
      </c>
      <c r="AU165" s="5">
        <f>sim.tbl[[#This Row],[Dens]]*sim.tbl[[#This Row],[Light_LSB]]</f>
        <v>0</v>
      </c>
      <c r="AV165" s="5">
        <f>sim.tbl[[#This Row],[Dens]]*sim.tbl[[#This Row],[Light_SW]]</f>
        <v>805.9</v>
      </c>
      <c r="AW165" s="5">
        <f>sim.tbl[[#This Row],[Dens]]*sim.tbl[[#This Row],[Medium_LSB]]</f>
        <v>0</v>
      </c>
      <c r="AX165" s="5">
        <f>sim.tbl[[#This Row],[Dens]]*sim.tbl[[#This Row],[Medium_SW]]</f>
        <v>0</v>
      </c>
      <c r="AY165" s="5">
        <f>sim.tbl[[#This Row],[Dens]]*sim.tbl[[#This Row],[Midale]]</f>
        <v>0</v>
      </c>
      <c r="AZ165" s="5">
        <f>sim.tbl[[#This Row],[Dens]]*sim.tbl[[#This Row],[Heavy_Sour]]</f>
        <v>0</v>
      </c>
      <c r="BA165" s="5">
        <f>sim.tbl[[#This Row],[Dens]]*sim.tbl[[#This Row],[Heavy_SW]]</f>
        <v>0</v>
      </c>
      <c r="BB165" s="5">
        <f>sim.tbl[[#This Row],[Temp.Roll]]*sim.tbl[[#This Row],[C5]]</f>
        <v>0</v>
      </c>
      <c r="BC165" s="5">
        <f>sim.tbl[[#This Row],[Temp.Roll]]*sim.tbl[[#This Row],[Light_LSB]]</f>
        <v>0</v>
      </c>
      <c r="BD165" s="5">
        <f>sim.tbl[[#This Row],[Temp.Roll]]*sim.tbl[[#This Row],[Light_SW]]</f>
        <v>7.2</v>
      </c>
      <c r="BE165" s="5">
        <f>sim.tbl[[#This Row],[Temp.Roll]]*sim.tbl[[#This Row],[Medium_LSB]]</f>
        <v>0</v>
      </c>
      <c r="BF165" s="5">
        <f>sim.tbl[[#This Row],[Temp.Roll]]*sim.tbl[[#This Row],[Medium_SW]]</f>
        <v>0</v>
      </c>
      <c r="BG165" s="5">
        <f>sim.tbl[[#This Row],[Temp.Roll]]*sim.tbl[[#This Row],[Midale]]</f>
        <v>0</v>
      </c>
      <c r="BH165" s="5">
        <f>sim.tbl[[#This Row],[Temp.Roll]]*sim.tbl[[#This Row],[Heavy_Sour]]</f>
        <v>0</v>
      </c>
      <c r="BI165" s="5">
        <f>sim.tbl[[#This Row],[Temp.Roll]]*sim.tbl[[#This Row],[Heavy_SW]]</f>
        <v>0</v>
      </c>
    </row>
    <row r="166" spans="4:61" x14ac:dyDescent="0.25">
      <c r="D166" s="5">
        <f ca="1">SUMPRODUCT($F$1:$BI$1,sim.tbl[[#This Row],[Intercept]:[Temp.Roll:Heavy_SW]])</f>
        <v>89.996977445632055</v>
      </c>
      <c r="E166" s="14">
        <f ca="1">DATE(YEAR(TODAY()),INDEX(mthLkUp.tbl[Num],MATCH(mth.input,mthLkUp.tbl[Month],0)),1)</f>
        <v>42795</v>
      </c>
      <c r="F166" s="6">
        <f>1</f>
        <v>1</v>
      </c>
      <c r="G166" s="5">
        <v>0.32400000000000001</v>
      </c>
      <c r="H166" s="5">
        <v>810.8</v>
      </c>
      <c r="I166" s="5">
        <v>-5.9</v>
      </c>
      <c r="J166" s="5">
        <v>-5.4</v>
      </c>
      <c r="K166" s="5">
        <v>-2.2999999999999998</v>
      </c>
      <c r="L166" s="5">
        <v>-5.4</v>
      </c>
      <c r="M166" s="5">
        <v>-5.3</v>
      </c>
      <c r="N166" s="5">
        <v>-3.3</v>
      </c>
      <c r="O166" s="5">
        <v>-9.3000000000000007</v>
      </c>
      <c r="P166" s="5">
        <v>-9.8000000000000007</v>
      </c>
      <c r="Q166" s="6">
        <f>IF(sim.tbl[[#This Row],[Dens]]&lt;=770,1,0)</f>
        <v>0</v>
      </c>
      <c r="R166" s="6">
        <f>IF(AND(sim.tbl[[#This Row],[Sulf]]&gt;0.5,sim.tbl[[#This Row],[Dens]]&gt;770,sim.tbl[[#This Row],[Dens]]&lt;=825),1,0)</f>
        <v>0</v>
      </c>
      <c r="S166" s="6">
        <f>IF(AND(sim.tbl[[#This Row],[Sulf]]&lt;=0.5,sim.tbl[[#This Row],[Dens]]&gt;770,sim.tbl[[#This Row],[Dens]]&lt;=825),1,0)</f>
        <v>1</v>
      </c>
      <c r="T166" s="6">
        <f>IF(AND(sim.tbl[[#This Row],[Sulf]]&gt;0.5,sim.tbl[[#This Row],[Dens]]&gt;825,sim.tbl[[#This Row],[Dens]]&lt;=870),1,0)</f>
        <v>0</v>
      </c>
      <c r="U166" s="6">
        <f>IF(AND(sim.tbl[[#This Row],[Sulf]]&lt;0.5,sim.tbl[[#This Row],[Dens]]&gt;825,sim.tbl[[#This Row],[Dens]]&lt;=900),1,0)</f>
        <v>0</v>
      </c>
      <c r="V166" s="6">
        <f>IF(AND(sim.tbl[[#This Row],[Sulf]]&gt;0.5,sim.tbl[[#This Row],[Dens]]&gt;870,sim.tbl[[#This Row],[Dens]]&lt;=900),1,0)</f>
        <v>0</v>
      </c>
      <c r="W166" s="6">
        <f>IF(AND(sim.tbl[[#This Row],[Sulf]]&gt;0.5,sim.tbl[[#This Row],[Dens]]&gt;900),1,0)</f>
        <v>0</v>
      </c>
      <c r="X166" s="6">
        <f>IF(AND(sim.tbl[[#This Row],[Sulf]]&lt;=0.5,sim.tbl[[#This Row],[Dens]]&gt;900),1,0)</f>
        <v>0</v>
      </c>
      <c r="Y166" s="6">
        <f ca="1">IF(MONTH(sim.tbl[[#This Row],[SDate]])=INDEX(mthLkUp.tbl[Num],MATCH(Y$3,mthLkUp.tbl[Month],0)),1,0)</f>
        <v>0</v>
      </c>
      <c r="Z166" s="6">
        <f ca="1">IF(MONTH(sim.tbl[[#This Row],[SDate]])=INDEX(mthLkUp.tbl[Num],MATCH(Z$3,mthLkUp.tbl[Month],0)),1,0)</f>
        <v>0</v>
      </c>
      <c r="AA166" s="6">
        <f ca="1">IF(MONTH(sim.tbl[[#This Row],[SDate]])=INDEX(mthLkUp.tbl[Num],MATCH(AA$3,mthLkUp.tbl[Month],0)),1,0)</f>
        <v>1</v>
      </c>
      <c r="AB166" s="6">
        <f ca="1">IF(MONTH(sim.tbl[[#This Row],[SDate]])=INDEX(mthLkUp.tbl[Num],MATCH(AB$3,mthLkUp.tbl[Month],0)),1,0)</f>
        <v>0</v>
      </c>
      <c r="AC166" s="6">
        <f ca="1">IF(MONTH(sim.tbl[[#This Row],[SDate]])=INDEX(mthLkUp.tbl[Num],MATCH(AC$3,mthLkUp.tbl[Month],0)),1,0)</f>
        <v>0</v>
      </c>
      <c r="AD166" s="6">
        <f ca="1">IF(MONTH(sim.tbl[[#This Row],[SDate]])=INDEX(mthLkUp.tbl[Num],MATCH(AD$3,mthLkUp.tbl[Month],0)),1,0)</f>
        <v>0</v>
      </c>
      <c r="AE166" s="6">
        <f ca="1">IF(MONTH(sim.tbl[[#This Row],[SDate]])=INDEX(mthLkUp.tbl[Num],MATCH(AE$3,mthLkUp.tbl[Month],0)),1,0)</f>
        <v>0</v>
      </c>
      <c r="AF166" s="6">
        <f ca="1">IF(MONTH(sim.tbl[[#This Row],[SDate]])=INDEX(mthLkUp.tbl[Num],MATCH(AF$3,mthLkUp.tbl[Month],0)),1,0)</f>
        <v>0</v>
      </c>
      <c r="AG166" s="6">
        <f ca="1">IF(MONTH(sim.tbl[[#This Row],[SDate]])=INDEX(mthLkUp.tbl[Num],MATCH(AG$3,mthLkUp.tbl[Month],0)),1,0)</f>
        <v>0</v>
      </c>
      <c r="AH166" s="6">
        <f ca="1">IF(MONTH(sim.tbl[[#This Row],[SDate]])=INDEX(mthLkUp.tbl[Num],MATCH(AH$3,mthLkUp.tbl[Month],0)),1,0)</f>
        <v>0</v>
      </c>
      <c r="AI166" s="6">
        <f ca="1">IF(MONTH(sim.tbl[[#This Row],[SDate]])=INDEX(mthLkUp.tbl[Num],MATCH(AI$3,mthLkUp.tbl[Month],0)),1,0)</f>
        <v>0</v>
      </c>
      <c r="AJ166" s="6">
        <f ca="1">IF(MONTH(sim.tbl[[#This Row],[SDate]])=INDEX(mthLkUp.tbl[Num],MATCH(AJ$3,mthLkUp.tbl[Month],0)),1,0)</f>
        <v>0</v>
      </c>
      <c r="AK166" s="6">
        <v>1</v>
      </c>
      <c r="AL166" s="5">
        <f>sim.tbl[[#This Row],[Sulf]]*sim.tbl[[#This Row],[C5]]</f>
        <v>0</v>
      </c>
      <c r="AM166" s="5">
        <f>sim.tbl[[#This Row],[Sulf]]*sim.tbl[[#This Row],[Light_LSB]]</f>
        <v>0</v>
      </c>
      <c r="AN166" s="5">
        <f>sim.tbl[[#This Row],[Sulf]]*sim.tbl[[#This Row],[Light_SW]]</f>
        <v>0.32400000000000001</v>
      </c>
      <c r="AO166" s="5">
        <f>sim.tbl[[#This Row],[Sulf]]*sim.tbl[[#This Row],[Medium_LSB]]</f>
        <v>0</v>
      </c>
      <c r="AP166" s="5">
        <f>sim.tbl[[#This Row],[Sulf]]*sim.tbl[[#This Row],[Medium_SW]]</f>
        <v>0</v>
      </c>
      <c r="AQ166" s="5">
        <f>sim.tbl[[#This Row],[Sulf]]*sim.tbl[[#This Row],[Midale]]</f>
        <v>0</v>
      </c>
      <c r="AR166" s="5">
        <f>sim.tbl[[#This Row],[Sulf]]*sim.tbl[[#This Row],[Heavy_Sour]]</f>
        <v>0</v>
      </c>
      <c r="AS166" s="5">
        <f>sim.tbl[[#This Row],[Sulf]]*sim.tbl[[#This Row],[Heavy_SW]]</f>
        <v>0</v>
      </c>
      <c r="AT166" s="5">
        <f>sim.tbl[[#This Row],[Dens]]*sim.tbl[[#This Row],[C5]]</f>
        <v>0</v>
      </c>
      <c r="AU166" s="5">
        <f>sim.tbl[[#This Row],[Dens]]*sim.tbl[[#This Row],[Light_LSB]]</f>
        <v>0</v>
      </c>
      <c r="AV166" s="5">
        <f>sim.tbl[[#This Row],[Dens]]*sim.tbl[[#This Row],[Light_SW]]</f>
        <v>810.8</v>
      </c>
      <c r="AW166" s="5">
        <f>sim.tbl[[#This Row],[Dens]]*sim.tbl[[#This Row],[Medium_LSB]]</f>
        <v>0</v>
      </c>
      <c r="AX166" s="5">
        <f>sim.tbl[[#This Row],[Dens]]*sim.tbl[[#This Row],[Medium_SW]]</f>
        <v>0</v>
      </c>
      <c r="AY166" s="5">
        <f>sim.tbl[[#This Row],[Dens]]*sim.tbl[[#This Row],[Midale]]</f>
        <v>0</v>
      </c>
      <c r="AZ166" s="5">
        <f>sim.tbl[[#This Row],[Dens]]*sim.tbl[[#This Row],[Heavy_Sour]]</f>
        <v>0</v>
      </c>
      <c r="BA166" s="5">
        <f>sim.tbl[[#This Row],[Dens]]*sim.tbl[[#This Row],[Heavy_SW]]</f>
        <v>0</v>
      </c>
      <c r="BB166" s="5">
        <f>sim.tbl[[#This Row],[Temp.Roll]]*sim.tbl[[#This Row],[C5]]</f>
        <v>0</v>
      </c>
      <c r="BC166" s="5">
        <f>sim.tbl[[#This Row],[Temp.Roll]]*sim.tbl[[#This Row],[Light_LSB]]</f>
        <v>0</v>
      </c>
      <c r="BD166" s="5">
        <f>sim.tbl[[#This Row],[Temp.Roll]]*sim.tbl[[#This Row],[Light_SW]]</f>
        <v>-5.4</v>
      </c>
      <c r="BE166" s="5">
        <f>sim.tbl[[#This Row],[Temp.Roll]]*sim.tbl[[#This Row],[Medium_LSB]]</f>
        <v>0</v>
      </c>
      <c r="BF166" s="5">
        <f>sim.tbl[[#This Row],[Temp.Roll]]*sim.tbl[[#This Row],[Medium_SW]]</f>
        <v>0</v>
      </c>
      <c r="BG166" s="5">
        <f>sim.tbl[[#This Row],[Temp.Roll]]*sim.tbl[[#This Row],[Midale]]</f>
        <v>0</v>
      </c>
      <c r="BH166" s="5">
        <f>sim.tbl[[#This Row],[Temp.Roll]]*sim.tbl[[#This Row],[Heavy_Sour]]</f>
        <v>0</v>
      </c>
      <c r="BI166" s="5">
        <f>sim.tbl[[#This Row],[Temp.Roll]]*sim.tbl[[#This Row],[Heavy_SW]]</f>
        <v>0</v>
      </c>
    </row>
    <row r="167" spans="4:61" x14ac:dyDescent="0.25">
      <c r="D167" s="5">
        <f ca="1">SUMPRODUCT($F$1:$BI$1,sim.tbl[[#This Row],[Intercept]:[Temp.Roll:Heavy_SW]])</f>
        <v>87.271274326542951</v>
      </c>
      <c r="E167" s="14">
        <f ca="1">DATE(YEAR(TODAY()),INDEX(mthLkUp.tbl[Num],MATCH(mth.input,mthLkUp.tbl[Month],0)),1)</f>
        <v>42795</v>
      </c>
      <c r="F167" s="6">
        <f>1</f>
        <v>1</v>
      </c>
      <c r="G167" s="5">
        <v>0.53400000000000003</v>
      </c>
      <c r="H167" s="5">
        <v>814.8</v>
      </c>
      <c r="I167" s="5">
        <v>3.34</v>
      </c>
      <c r="J167" s="5">
        <v>2</v>
      </c>
      <c r="K167" s="5">
        <v>2.7</v>
      </c>
      <c r="L167" s="5">
        <v>2</v>
      </c>
      <c r="M167" s="5">
        <v>4</v>
      </c>
      <c r="N167" s="5">
        <v>3.5</v>
      </c>
      <c r="O167" s="5">
        <v>4.7</v>
      </c>
      <c r="P167" s="5">
        <v>3.8</v>
      </c>
      <c r="Q167" s="6">
        <f>IF(sim.tbl[[#This Row],[Dens]]&lt;=770,1,0)</f>
        <v>0</v>
      </c>
      <c r="R167" s="6">
        <f>IF(AND(sim.tbl[[#This Row],[Sulf]]&gt;0.5,sim.tbl[[#This Row],[Dens]]&gt;770,sim.tbl[[#This Row],[Dens]]&lt;=825),1,0)</f>
        <v>1</v>
      </c>
      <c r="S167" s="6">
        <f>IF(AND(sim.tbl[[#This Row],[Sulf]]&lt;=0.5,sim.tbl[[#This Row],[Dens]]&gt;770,sim.tbl[[#This Row],[Dens]]&lt;=825),1,0)</f>
        <v>0</v>
      </c>
      <c r="T167" s="6">
        <f>IF(AND(sim.tbl[[#This Row],[Sulf]]&gt;0.5,sim.tbl[[#This Row],[Dens]]&gt;825,sim.tbl[[#This Row],[Dens]]&lt;=870),1,0)</f>
        <v>0</v>
      </c>
      <c r="U167" s="6">
        <f>IF(AND(sim.tbl[[#This Row],[Sulf]]&lt;0.5,sim.tbl[[#This Row],[Dens]]&gt;825,sim.tbl[[#This Row],[Dens]]&lt;=900),1,0)</f>
        <v>0</v>
      </c>
      <c r="V167" s="6">
        <f>IF(AND(sim.tbl[[#This Row],[Sulf]]&gt;0.5,sim.tbl[[#This Row],[Dens]]&gt;870,sim.tbl[[#This Row],[Dens]]&lt;=900),1,0)</f>
        <v>0</v>
      </c>
      <c r="W167" s="6">
        <f>IF(AND(sim.tbl[[#This Row],[Sulf]]&gt;0.5,sim.tbl[[#This Row],[Dens]]&gt;900),1,0)</f>
        <v>0</v>
      </c>
      <c r="X167" s="6">
        <f>IF(AND(sim.tbl[[#This Row],[Sulf]]&lt;=0.5,sim.tbl[[#This Row],[Dens]]&gt;900),1,0)</f>
        <v>0</v>
      </c>
      <c r="Y167" s="6">
        <f ca="1">IF(MONTH(sim.tbl[[#This Row],[SDate]])=INDEX(mthLkUp.tbl[Num],MATCH(Y$3,mthLkUp.tbl[Month],0)),1,0)</f>
        <v>0</v>
      </c>
      <c r="Z167" s="6">
        <f ca="1">IF(MONTH(sim.tbl[[#This Row],[SDate]])=INDEX(mthLkUp.tbl[Num],MATCH(Z$3,mthLkUp.tbl[Month],0)),1,0)</f>
        <v>0</v>
      </c>
      <c r="AA167" s="6">
        <f ca="1">IF(MONTH(sim.tbl[[#This Row],[SDate]])=INDEX(mthLkUp.tbl[Num],MATCH(AA$3,mthLkUp.tbl[Month],0)),1,0)</f>
        <v>1</v>
      </c>
      <c r="AB167" s="6">
        <f ca="1">IF(MONTH(sim.tbl[[#This Row],[SDate]])=INDEX(mthLkUp.tbl[Num],MATCH(AB$3,mthLkUp.tbl[Month],0)),1,0)</f>
        <v>0</v>
      </c>
      <c r="AC167" s="6">
        <f ca="1">IF(MONTH(sim.tbl[[#This Row],[SDate]])=INDEX(mthLkUp.tbl[Num],MATCH(AC$3,mthLkUp.tbl[Month],0)),1,0)</f>
        <v>0</v>
      </c>
      <c r="AD167" s="6">
        <f ca="1">IF(MONTH(sim.tbl[[#This Row],[SDate]])=INDEX(mthLkUp.tbl[Num],MATCH(AD$3,mthLkUp.tbl[Month],0)),1,0)</f>
        <v>0</v>
      </c>
      <c r="AE167" s="6">
        <f ca="1">IF(MONTH(sim.tbl[[#This Row],[SDate]])=INDEX(mthLkUp.tbl[Num],MATCH(AE$3,mthLkUp.tbl[Month],0)),1,0)</f>
        <v>0</v>
      </c>
      <c r="AF167" s="6">
        <f ca="1">IF(MONTH(sim.tbl[[#This Row],[SDate]])=INDEX(mthLkUp.tbl[Num],MATCH(AF$3,mthLkUp.tbl[Month],0)),1,0)</f>
        <v>0</v>
      </c>
      <c r="AG167" s="6">
        <f ca="1">IF(MONTH(sim.tbl[[#This Row],[SDate]])=INDEX(mthLkUp.tbl[Num],MATCH(AG$3,mthLkUp.tbl[Month],0)),1,0)</f>
        <v>0</v>
      </c>
      <c r="AH167" s="6">
        <f ca="1">IF(MONTH(sim.tbl[[#This Row],[SDate]])=INDEX(mthLkUp.tbl[Num],MATCH(AH$3,mthLkUp.tbl[Month],0)),1,0)</f>
        <v>0</v>
      </c>
      <c r="AI167" s="6">
        <f ca="1">IF(MONTH(sim.tbl[[#This Row],[SDate]])=INDEX(mthLkUp.tbl[Num],MATCH(AI$3,mthLkUp.tbl[Month],0)),1,0)</f>
        <v>0</v>
      </c>
      <c r="AJ167" s="6">
        <f ca="1">IF(MONTH(sim.tbl[[#This Row],[SDate]])=INDEX(mthLkUp.tbl[Num],MATCH(AJ$3,mthLkUp.tbl[Month],0)),1,0)</f>
        <v>0</v>
      </c>
      <c r="AK167" s="6">
        <v>1</v>
      </c>
      <c r="AL167" s="5">
        <f>sim.tbl[[#This Row],[Sulf]]*sim.tbl[[#This Row],[C5]]</f>
        <v>0</v>
      </c>
      <c r="AM167" s="5">
        <f>sim.tbl[[#This Row],[Sulf]]*sim.tbl[[#This Row],[Light_LSB]]</f>
        <v>0.53400000000000003</v>
      </c>
      <c r="AN167" s="5">
        <f>sim.tbl[[#This Row],[Sulf]]*sim.tbl[[#This Row],[Light_SW]]</f>
        <v>0</v>
      </c>
      <c r="AO167" s="5">
        <f>sim.tbl[[#This Row],[Sulf]]*sim.tbl[[#This Row],[Medium_LSB]]</f>
        <v>0</v>
      </c>
      <c r="AP167" s="5">
        <f>sim.tbl[[#This Row],[Sulf]]*sim.tbl[[#This Row],[Medium_SW]]</f>
        <v>0</v>
      </c>
      <c r="AQ167" s="5">
        <f>sim.tbl[[#This Row],[Sulf]]*sim.tbl[[#This Row],[Midale]]</f>
        <v>0</v>
      </c>
      <c r="AR167" s="5">
        <f>sim.tbl[[#This Row],[Sulf]]*sim.tbl[[#This Row],[Heavy_Sour]]</f>
        <v>0</v>
      </c>
      <c r="AS167" s="5">
        <f>sim.tbl[[#This Row],[Sulf]]*sim.tbl[[#This Row],[Heavy_SW]]</f>
        <v>0</v>
      </c>
      <c r="AT167" s="5">
        <f>sim.tbl[[#This Row],[Dens]]*sim.tbl[[#This Row],[C5]]</f>
        <v>0</v>
      </c>
      <c r="AU167" s="5">
        <f>sim.tbl[[#This Row],[Dens]]*sim.tbl[[#This Row],[Light_LSB]]</f>
        <v>814.8</v>
      </c>
      <c r="AV167" s="5">
        <f>sim.tbl[[#This Row],[Dens]]*sim.tbl[[#This Row],[Light_SW]]</f>
        <v>0</v>
      </c>
      <c r="AW167" s="5">
        <f>sim.tbl[[#This Row],[Dens]]*sim.tbl[[#This Row],[Medium_LSB]]</f>
        <v>0</v>
      </c>
      <c r="AX167" s="5">
        <f>sim.tbl[[#This Row],[Dens]]*sim.tbl[[#This Row],[Medium_SW]]</f>
        <v>0</v>
      </c>
      <c r="AY167" s="5">
        <f>sim.tbl[[#This Row],[Dens]]*sim.tbl[[#This Row],[Midale]]</f>
        <v>0</v>
      </c>
      <c r="AZ167" s="5">
        <f>sim.tbl[[#This Row],[Dens]]*sim.tbl[[#This Row],[Heavy_Sour]]</f>
        <v>0</v>
      </c>
      <c r="BA167" s="5">
        <f>sim.tbl[[#This Row],[Dens]]*sim.tbl[[#This Row],[Heavy_SW]]</f>
        <v>0</v>
      </c>
      <c r="BB167" s="5">
        <f>sim.tbl[[#This Row],[Temp.Roll]]*sim.tbl[[#This Row],[C5]]</f>
        <v>0</v>
      </c>
      <c r="BC167" s="5">
        <f>sim.tbl[[#This Row],[Temp.Roll]]*sim.tbl[[#This Row],[Light_LSB]]</f>
        <v>2</v>
      </c>
      <c r="BD167" s="5">
        <f>sim.tbl[[#This Row],[Temp.Roll]]*sim.tbl[[#This Row],[Light_SW]]</f>
        <v>0</v>
      </c>
      <c r="BE167" s="5">
        <f>sim.tbl[[#This Row],[Temp.Roll]]*sim.tbl[[#This Row],[Medium_LSB]]</f>
        <v>0</v>
      </c>
      <c r="BF167" s="5">
        <f>sim.tbl[[#This Row],[Temp.Roll]]*sim.tbl[[#This Row],[Medium_SW]]</f>
        <v>0</v>
      </c>
      <c r="BG167" s="5">
        <f>sim.tbl[[#This Row],[Temp.Roll]]*sim.tbl[[#This Row],[Midale]]</f>
        <v>0</v>
      </c>
      <c r="BH167" s="5">
        <f>sim.tbl[[#This Row],[Temp.Roll]]*sim.tbl[[#This Row],[Heavy_Sour]]</f>
        <v>0</v>
      </c>
      <c r="BI167" s="5">
        <f>sim.tbl[[#This Row],[Temp.Roll]]*sim.tbl[[#This Row],[Heavy_SW]]</f>
        <v>0</v>
      </c>
    </row>
    <row r="168" spans="4:61" x14ac:dyDescent="0.25">
      <c r="D168" s="5">
        <f ca="1">SUMPRODUCT($F$1:$BI$1,sim.tbl[[#This Row],[Intercept]:[Temp.Roll:Heavy_SW]])</f>
        <v>87.54593536502118</v>
      </c>
      <c r="E168" s="14">
        <f ca="1">DATE(YEAR(TODAY()),INDEX(mthLkUp.tbl[Num],MATCH(mth.input,mthLkUp.tbl[Month],0)),1)</f>
        <v>42795</v>
      </c>
      <c r="F168" s="6">
        <f>1</f>
        <v>1</v>
      </c>
      <c r="G168" s="5">
        <v>0.56899999999999995</v>
      </c>
      <c r="H168" s="5">
        <v>816.2</v>
      </c>
      <c r="I168" s="5">
        <v>-0.6</v>
      </c>
      <c r="J168" s="5">
        <v>0.8</v>
      </c>
      <c r="K168" s="5">
        <v>1.8</v>
      </c>
      <c r="L168" s="5">
        <v>0.8</v>
      </c>
      <c r="M168" s="5">
        <v>-1.5</v>
      </c>
      <c r="N168" s="5">
        <v>0</v>
      </c>
      <c r="O168" s="5">
        <v>-2</v>
      </c>
      <c r="P168" s="5">
        <v>-2.7</v>
      </c>
      <c r="Q168" s="6">
        <f>IF(sim.tbl[[#This Row],[Dens]]&lt;=770,1,0)</f>
        <v>0</v>
      </c>
      <c r="R168" s="6">
        <f>IF(AND(sim.tbl[[#This Row],[Sulf]]&gt;0.5,sim.tbl[[#This Row],[Dens]]&gt;770,sim.tbl[[#This Row],[Dens]]&lt;=825),1,0)</f>
        <v>1</v>
      </c>
      <c r="S168" s="6">
        <f>IF(AND(sim.tbl[[#This Row],[Sulf]]&lt;=0.5,sim.tbl[[#This Row],[Dens]]&gt;770,sim.tbl[[#This Row],[Dens]]&lt;=825),1,0)</f>
        <v>0</v>
      </c>
      <c r="T168" s="6">
        <f>IF(AND(sim.tbl[[#This Row],[Sulf]]&gt;0.5,sim.tbl[[#This Row],[Dens]]&gt;825,sim.tbl[[#This Row],[Dens]]&lt;=870),1,0)</f>
        <v>0</v>
      </c>
      <c r="U168" s="6">
        <f>IF(AND(sim.tbl[[#This Row],[Sulf]]&lt;0.5,sim.tbl[[#This Row],[Dens]]&gt;825,sim.tbl[[#This Row],[Dens]]&lt;=900),1,0)</f>
        <v>0</v>
      </c>
      <c r="V168" s="6">
        <f>IF(AND(sim.tbl[[#This Row],[Sulf]]&gt;0.5,sim.tbl[[#This Row],[Dens]]&gt;870,sim.tbl[[#This Row],[Dens]]&lt;=900),1,0)</f>
        <v>0</v>
      </c>
      <c r="W168" s="6">
        <f>IF(AND(sim.tbl[[#This Row],[Sulf]]&gt;0.5,sim.tbl[[#This Row],[Dens]]&gt;900),1,0)</f>
        <v>0</v>
      </c>
      <c r="X168" s="6">
        <f>IF(AND(sim.tbl[[#This Row],[Sulf]]&lt;=0.5,sim.tbl[[#This Row],[Dens]]&gt;900),1,0)</f>
        <v>0</v>
      </c>
      <c r="Y168" s="6">
        <f ca="1">IF(MONTH(sim.tbl[[#This Row],[SDate]])=INDEX(mthLkUp.tbl[Num],MATCH(Y$3,mthLkUp.tbl[Month],0)),1,0)</f>
        <v>0</v>
      </c>
      <c r="Z168" s="6">
        <f ca="1">IF(MONTH(sim.tbl[[#This Row],[SDate]])=INDEX(mthLkUp.tbl[Num],MATCH(Z$3,mthLkUp.tbl[Month],0)),1,0)</f>
        <v>0</v>
      </c>
      <c r="AA168" s="6">
        <f ca="1">IF(MONTH(sim.tbl[[#This Row],[SDate]])=INDEX(mthLkUp.tbl[Num],MATCH(AA$3,mthLkUp.tbl[Month],0)),1,0)</f>
        <v>1</v>
      </c>
      <c r="AB168" s="6">
        <f ca="1">IF(MONTH(sim.tbl[[#This Row],[SDate]])=INDEX(mthLkUp.tbl[Num],MATCH(AB$3,mthLkUp.tbl[Month],0)),1,0)</f>
        <v>0</v>
      </c>
      <c r="AC168" s="6">
        <f ca="1">IF(MONTH(sim.tbl[[#This Row],[SDate]])=INDEX(mthLkUp.tbl[Num],MATCH(AC$3,mthLkUp.tbl[Month],0)),1,0)</f>
        <v>0</v>
      </c>
      <c r="AD168" s="6">
        <f ca="1">IF(MONTH(sim.tbl[[#This Row],[SDate]])=INDEX(mthLkUp.tbl[Num],MATCH(AD$3,mthLkUp.tbl[Month],0)),1,0)</f>
        <v>0</v>
      </c>
      <c r="AE168" s="6">
        <f ca="1">IF(MONTH(sim.tbl[[#This Row],[SDate]])=INDEX(mthLkUp.tbl[Num],MATCH(AE$3,mthLkUp.tbl[Month],0)),1,0)</f>
        <v>0</v>
      </c>
      <c r="AF168" s="6">
        <f ca="1">IF(MONTH(sim.tbl[[#This Row],[SDate]])=INDEX(mthLkUp.tbl[Num],MATCH(AF$3,mthLkUp.tbl[Month],0)),1,0)</f>
        <v>0</v>
      </c>
      <c r="AG168" s="6">
        <f ca="1">IF(MONTH(sim.tbl[[#This Row],[SDate]])=INDEX(mthLkUp.tbl[Num],MATCH(AG$3,mthLkUp.tbl[Month],0)),1,0)</f>
        <v>0</v>
      </c>
      <c r="AH168" s="6">
        <f ca="1">IF(MONTH(sim.tbl[[#This Row],[SDate]])=INDEX(mthLkUp.tbl[Num],MATCH(AH$3,mthLkUp.tbl[Month],0)),1,0)</f>
        <v>0</v>
      </c>
      <c r="AI168" s="6">
        <f ca="1">IF(MONTH(sim.tbl[[#This Row],[SDate]])=INDEX(mthLkUp.tbl[Num],MATCH(AI$3,mthLkUp.tbl[Month],0)),1,0)</f>
        <v>0</v>
      </c>
      <c r="AJ168" s="6">
        <f ca="1">IF(MONTH(sim.tbl[[#This Row],[SDate]])=INDEX(mthLkUp.tbl[Num],MATCH(AJ$3,mthLkUp.tbl[Month],0)),1,0)</f>
        <v>0</v>
      </c>
      <c r="AK168" s="6">
        <v>1</v>
      </c>
      <c r="AL168" s="5">
        <f>sim.tbl[[#This Row],[Sulf]]*sim.tbl[[#This Row],[C5]]</f>
        <v>0</v>
      </c>
      <c r="AM168" s="5">
        <f>sim.tbl[[#This Row],[Sulf]]*sim.tbl[[#This Row],[Light_LSB]]</f>
        <v>0.56899999999999995</v>
      </c>
      <c r="AN168" s="5">
        <f>sim.tbl[[#This Row],[Sulf]]*sim.tbl[[#This Row],[Light_SW]]</f>
        <v>0</v>
      </c>
      <c r="AO168" s="5">
        <f>sim.tbl[[#This Row],[Sulf]]*sim.tbl[[#This Row],[Medium_LSB]]</f>
        <v>0</v>
      </c>
      <c r="AP168" s="5">
        <f>sim.tbl[[#This Row],[Sulf]]*sim.tbl[[#This Row],[Medium_SW]]</f>
        <v>0</v>
      </c>
      <c r="AQ168" s="5">
        <f>sim.tbl[[#This Row],[Sulf]]*sim.tbl[[#This Row],[Midale]]</f>
        <v>0</v>
      </c>
      <c r="AR168" s="5">
        <f>sim.tbl[[#This Row],[Sulf]]*sim.tbl[[#This Row],[Heavy_Sour]]</f>
        <v>0</v>
      </c>
      <c r="AS168" s="5">
        <f>sim.tbl[[#This Row],[Sulf]]*sim.tbl[[#This Row],[Heavy_SW]]</f>
        <v>0</v>
      </c>
      <c r="AT168" s="5">
        <f>sim.tbl[[#This Row],[Dens]]*sim.tbl[[#This Row],[C5]]</f>
        <v>0</v>
      </c>
      <c r="AU168" s="5">
        <f>sim.tbl[[#This Row],[Dens]]*sim.tbl[[#This Row],[Light_LSB]]</f>
        <v>816.2</v>
      </c>
      <c r="AV168" s="5">
        <f>sim.tbl[[#This Row],[Dens]]*sim.tbl[[#This Row],[Light_SW]]</f>
        <v>0</v>
      </c>
      <c r="AW168" s="5">
        <f>sim.tbl[[#This Row],[Dens]]*sim.tbl[[#This Row],[Medium_LSB]]</f>
        <v>0</v>
      </c>
      <c r="AX168" s="5">
        <f>sim.tbl[[#This Row],[Dens]]*sim.tbl[[#This Row],[Medium_SW]]</f>
        <v>0</v>
      </c>
      <c r="AY168" s="5">
        <f>sim.tbl[[#This Row],[Dens]]*sim.tbl[[#This Row],[Midale]]</f>
        <v>0</v>
      </c>
      <c r="AZ168" s="5">
        <f>sim.tbl[[#This Row],[Dens]]*sim.tbl[[#This Row],[Heavy_Sour]]</f>
        <v>0</v>
      </c>
      <c r="BA168" s="5">
        <f>sim.tbl[[#This Row],[Dens]]*sim.tbl[[#This Row],[Heavy_SW]]</f>
        <v>0</v>
      </c>
      <c r="BB168" s="5">
        <f>sim.tbl[[#This Row],[Temp.Roll]]*sim.tbl[[#This Row],[C5]]</f>
        <v>0</v>
      </c>
      <c r="BC168" s="5">
        <f>sim.tbl[[#This Row],[Temp.Roll]]*sim.tbl[[#This Row],[Light_LSB]]</f>
        <v>0.8</v>
      </c>
      <c r="BD168" s="5">
        <f>sim.tbl[[#This Row],[Temp.Roll]]*sim.tbl[[#This Row],[Light_SW]]</f>
        <v>0</v>
      </c>
      <c r="BE168" s="5">
        <f>sim.tbl[[#This Row],[Temp.Roll]]*sim.tbl[[#This Row],[Medium_LSB]]</f>
        <v>0</v>
      </c>
      <c r="BF168" s="5">
        <f>sim.tbl[[#This Row],[Temp.Roll]]*sim.tbl[[#This Row],[Medium_SW]]</f>
        <v>0</v>
      </c>
      <c r="BG168" s="5">
        <f>sim.tbl[[#This Row],[Temp.Roll]]*sim.tbl[[#This Row],[Midale]]</f>
        <v>0</v>
      </c>
      <c r="BH168" s="5">
        <f>sim.tbl[[#This Row],[Temp.Roll]]*sim.tbl[[#This Row],[Heavy_Sour]]</f>
        <v>0</v>
      </c>
      <c r="BI168" s="5">
        <f>sim.tbl[[#This Row],[Temp.Roll]]*sim.tbl[[#This Row],[Heavy_SW]]</f>
        <v>0</v>
      </c>
    </row>
    <row r="169" spans="4:61" x14ac:dyDescent="0.25">
      <c r="D169" s="5">
        <f ca="1">SUMPRODUCT($F$1:$BI$1,sim.tbl[[#This Row],[Intercept]:[Temp.Roll:Heavy_SW]])</f>
        <v>81.426329102391435</v>
      </c>
      <c r="E169" s="14">
        <f ca="1">DATE(YEAR(TODAY()),INDEX(mthLkUp.tbl[Num],MATCH(mth.input,mthLkUp.tbl[Month],0)),1)</f>
        <v>42795</v>
      </c>
      <c r="F169" s="6">
        <f>1</f>
        <v>1</v>
      </c>
      <c r="G169" s="5">
        <v>0.98</v>
      </c>
      <c r="H169" s="5">
        <v>827.4</v>
      </c>
      <c r="I169" s="5">
        <v>3.266666667</v>
      </c>
      <c r="J169" s="5">
        <v>3.4</v>
      </c>
      <c r="K169" s="5">
        <v>3.2</v>
      </c>
      <c r="L169" s="5">
        <v>3.4</v>
      </c>
      <c r="M169" s="5">
        <v>3.5</v>
      </c>
      <c r="N169" s="5">
        <v>3</v>
      </c>
      <c r="O169" s="5">
        <v>3.7</v>
      </c>
      <c r="P169" s="5">
        <v>2.8</v>
      </c>
      <c r="Q169" s="6">
        <f>IF(sim.tbl[[#This Row],[Dens]]&lt;=770,1,0)</f>
        <v>0</v>
      </c>
      <c r="R169" s="6">
        <f>IF(AND(sim.tbl[[#This Row],[Sulf]]&gt;0.5,sim.tbl[[#This Row],[Dens]]&gt;770,sim.tbl[[#This Row],[Dens]]&lt;=825),1,0)</f>
        <v>0</v>
      </c>
      <c r="S169" s="6">
        <f>IF(AND(sim.tbl[[#This Row],[Sulf]]&lt;=0.5,sim.tbl[[#This Row],[Dens]]&gt;770,sim.tbl[[#This Row],[Dens]]&lt;=825),1,0)</f>
        <v>0</v>
      </c>
      <c r="T169" s="6">
        <f>IF(AND(sim.tbl[[#This Row],[Sulf]]&gt;0.5,sim.tbl[[#This Row],[Dens]]&gt;825,sim.tbl[[#This Row],[Dens]]&lt;=870),1,0)</f>
        <v>1</v>
      </c>
      <c r="U169" s="6">
        <f>IF(AND(sim.tbl[[#This Row],[Sulf]]&lt;0.5,sim.tbl[[#This Row],[Dens]]&gt;825,sim.tbl[[#This Row],[Dens]]&lt;=900),1,0)</f>
        <v>0</v>
      </c>
      <c r="V169" s="6">
        <f>IF(AND(sim.tbl[[#This Row],[Sulf]]&gt;0.5,sim.tbl[[#This Row],[Dens]]&gt;870,sim.tbl[[#This Row],[Dens]]&lt;=900),1,0)</f>
        <v>0</v>
      </c>
      <c r="W169" s="6">
        <f>IF(AND(sim.tbl[[#This Row],[Sulf]]&gt;0.5,sim.tbl[[#This Row],[Dens]]&gt;900),1,0)</f>
        <v>0</v>
      </c>
      <c r="X169" s="6">
        <f>IF(AND(sim.tbl[[#This Row],[Sulf]]&lt;=0.5,sim.tbl[[#This Row],[Dens]]&gt;900),1,0)</f>
        <v>0</v>
      </c>
      <c r="Y169" s="6">
        <f ca="1">IF(MONTH(sim.tbl[[#This Row],[SDate]])=INDEX(mthLkUp.tbl[Num],MATCH(Y$3,mthLkUp.tbl[Month],0)),1,0)</f>
        <v>0</v>
      </c>
      <c r="Z169" s="6">
        <f ca="1">IF(MONTH(sim.tbl[[#This Row],[SDate]])=INDEX(mthLkUp.tbl[Num],MATCH(Z$3,mthLkUp.tbl[Month],0)),1,0)</f>
        <v>0</v>
      </c>
      <c r="AA169" s="6">
        <f ca="1">IF(MONTH(sim.tbl[[#This Row],[SDate]])=INDEX(mthLkUp.tbl[Num],MATCH(AA$3,mthLkUp.tbl[Month],0)),1,0)</f>
        <v>1</v>
      </c>
      <c r="AB169" s="6">
        <f ca="1">IF(MONTH(sim.tbl[[#This Row],[SDate]])=INDEX(mthLkUp.tbl[Num],MATCH(AB$3,mthLkUp.tbl[Month],0)),1,0)</f>
        <v>0</v>
      </c>
      <c r="AC169" s="6">
        <f ca="1">IF(MONTH(sim.tbl[[#This Row],[SDate]])=INDEX(mthLkUp.tbl[Num],MATCH(AC$3,mthLkUp.tbl[Month],0)),1,0)</f>
        <v>0</v>
      </c>
      <c r="AD169" s="6">
        <f ca="1">IF(MONTH(sim.tbl[[#This Row],[SDate]])=INDEX(mthLkUp.tbl[Num],MATCH(AD$3,mthLkUp.tbl[Month],0)),1,0)</f>
        <v>0</v>
      </c>
      <c r="AE169" s="6">
        <f ca="1">IF(MONTH(sim.tbl[[#This Row],[SDate]])=INDEX(mthLkUp.tbl[Num],MATCH(AE$3,mthLkUp.tbl[Month],0)),1,0)</f>
        <v>0</v>
      </c>
      <c r="AF169" s="6">
        <f ca="1">IF(MONTH(sim.tbl[[#This Row],[SDate]])=INDEX(mthLkUp.tbl[Num],MATCH(AF$3,mthLkUp.tbl[Month],0)),1,0)</f>
        <v>0</v>
      </c>
      <c r="AG169" s="6">
        <f ca="1">IF(MONTH(sim.tbl[[#This Row],[SDate]])=INDEX(mthLkUp.tbl[Num],MATCH(AG$3,mthLkUp.tbl[Month],0)),1,0)</f>
        <v>0</v>
      </c>
      <c r="AH169" s="6">
        <f ca="1">IF(MONTH(sim.tbl[[#This Row],[SDate]])=INDEX(mthLkUp.tbl[Num],MATCH(AH$3,mthLkUp.tbl[Month],0)),1,0)</f>
        <v>0</v>
      </c>
      <c r="AI169" s="6">
        <f ca="1">IF(MONTH(sim.tbl[[#This Row],[SDate]])=INDEX(mthLkUp.tbl[Num],MATCH(AI$3,mthLkUp.tbl[Month],0)),1,0)</f>
        <v>0</v>
      </c>
      <c r="AJ169" s="6">
        <f ca="1">IF(MONTH(sim.tbl[[#This Row],[SDate]])=INDEX(mthLkUp.tbl[Num],MATCH(AJ$3,mthLkUp.tbl[Month],0)),1,0)</f>
        <v>0</v>
      </c>
      <c r="AK169" s="6">
        <v>1</v>
      </c>
      <c r="AL169" s="5">
        <f>sim.tbl[[#This Row],[Sulf]]*sim.tbl[[#This Row],[C5]]</f>
        <v>0</v>
      </c>
      <c r="AM169" s="5">
        <f>sim.tbl[[#This Row],[Sulf]]*sim.tbl[[#This Row],[Light_LSB]]</f>
        <v>0</v>
      </c>
      <c r="AN169" s="5">
        <f>sim.tbl[[#This Row],[Sulf]]*sim.tbl[[#This Row],[Light_SW]]</f>
        <v>0</v>
      </c>
      <c r="AO169" s="5">
        <f>sim.tbl[[#This Row],[Sulf]]*sim.tbl[[#This Row],[Medium_LSB]]</f>
        <v>0.98</v>
      </c>
      <c r="AP169" s="5">
        <f>sim.tbl[[#This Row],[Sulf]]*sim.tbl[[#This Row],[Medium_SW]]</f>
        <v>0</v>
      </c>
      <c r="AQ169" s="5">
        <f>sim.tbl[[#This Row],[Sulf]]*sim.tbl[[#This Row],[Midale]]</f>
        <v>0</v>
      </c>
      <c r="AR169" s="5">
        <f>sim.tbl[[#This Row],[Sulf]]*sim.tbl[[#This Row],[Heavy_Sour]]</f>
        <v>0</v>
      </c>
      <c r="AS169" s="5">
        <f>sim.tbl[[#This Row],[Sulf]]*sim.tbl[[#This Row],[Heavy_SW]]</f>
        <v>0</v>
      </c>
      <c r="AT169" s="5">
        <f>sim.tbl[[#This Row],[Dens]]*sim.tbl[[#This Row],[C5]]</f>
        <v>0</v>
      </c>
      <c r="AU169" s="5">
        <f>sim.tbl[[#This Row],[Dens]]*sim.tbl[[#This Row],[Light_LSB]]</f>
        <v>0</v>
      </c>
      <c r="AV169" s="5">
        <f>sim.tbl[[#This Row],[Dens]]*sim.tbl[[#This Row],[Light_SW]]</f>
        <v>0</v>
      </c>
      <c r="AW169" s="5">
        <f>sim.tbl[[#This Row],[Dens]]*sim.tbl[[#This Row],[Medium_LSB]]</f>
        <v>827.4</v>
      </c>
      <c r="AX169" s="5">
        <f>sim.tbl[[#This Row],[Dens]]*sim.tbl[[#This Row],[Medium_SW]]</f>
        <v>0</v>
      </c>
      <c r="AY169" s="5">
        <f>sim.tbl[[#This Row],[Dens]]*sim.tbl[[#This Row],[Midale]]</f>
        <v>0</v>
      </c>
      <c r="AZ169" s="5">
        <f>sim.tbl[[#This Row],[Dens]]*sim.tbl[[#This Row],[Heavy_Sour]]</f>
        <v>0</v>
      </c>
      <c r="BA169" s="5">
        <f>sim.tbl[[#This Row],[Dens]]*sim.tbl[[#This Row],[Heavy_SW]]</f>
        <v>0</v>
      </c>
      <c r="BB169" s="5">
        <f>sim.tbl[[#This Row],[Temp.Roll]]*sim.tbl[[#This Row],[C5]]</f>
        <v>0</v>
      </c>
      <c r="BC169" s="5">
        <f>sim.tbl[[#This Row],[Temp.Roll]]*sim.tbl[[#This Row],[Light_LSB]]</f>
        <v>0</v>
      </c>
      <c r="BD169" s="5">
        <f>sim.tbl[[#This Row],[Temp.Roll]]*sim.tbl[[#This Row],[Light_SW]]</f>
        <v>0</v>
      </c>
      <c r="BE169" s="5">
        <f>sim.tbl[[#This Row],[Temp.Roll]]*sim.tbl[[#This Row],[Medium_LSB]]</f>
        <v>3.4</v>
      </c>
      <c r="BF169" s="5">
        <f>sim.tbl[[#This Row],[Temp.Roll]]*sim.tbl[[#This Row],[Medium_SW]]</f>
        <v>0</v>
      </c>
      <c r="BG169" s="5">
        <f>sim.tbl[[#This Row],[Temp.Roll]]*sim.tbl[[#This Row],[Midale]]</f>
        <v>0</v>
      </c>
      <c r="BH169" s="5">
        <f>sim.tbl[[#This Row],[Temp.Roll]]*sim.tbl[[#This Row],[Heavy_Sour]]</f>
        <v>0</v>
      </c>
      <c r="BI169" s="5">
        <f>sim.tbl[[#This Row],[Temp.Roll]]*sim.tbl[[#This Row],[Heavy_SW]]</f>
        <v>0</v>
      </c>
    </row>
    <row r="170" spans="4:61" x14ac:dyDescent="0.25">
      <c r="D170" s="5">
        <f ca="1">SUMPRODUCT($F$1:$BI$1,sim.tbl[[#This Row],[Intercept]:[Temp.Roll:Heavy_SW]])</f>
        <v>76.936741262422231</v>
      </c>
      <c r="E170" s="14">
        <f ca="1">DATE(YEAR(TODAY()),INDEX(mthLkUp.tbl[Num],MATCH(mth.input,mthLkUp.tbl[Month],0)),1)</f>
        <v>42795</v>
      </c>
      <c r="F170" s="6">
        <f>1</f>
        <v>1</v>
      </c>
      <c r="G170" s="5">
        <v>1.3029999999999999</v>
      </c>
      <c r="H170" s="5">
        <v>845.5</v>
      </c>
      <c r="I170" s="5">
        <v>1.1333333329999999</v>
      </c>
      <c r="J170" s="5">
        <v>0.8</v>
      </c>
      <c r="K170" s="5">
        <v>1.3</v>
      </c>
      <c r="L170" s="5">
        <v>0.8</v>
      </c>
      <c r="M170" s="5">
        <v>1.3</v>
      </c>
      <c r="N170" s="5">
        <v>1.8</v>
      </c>
      <c r="O170" s="5">
        <v>1.6</v>
      </c>
      <c r="P170" s="5">
        <v>0</v>
      </c>
      <c r="Q170" s="6">
        <f>IF(sim.tbl[[#This Row],[Dens]]&lt;=770,1,0)</f>
        <v>0</v>
      </c>
      <c r="R170" s="6">
        <f>IF(AND(sim.tbl[[#This Row],[Sulf]]&gt;0.5,sim.tbl[[#This Row],[Dens]]&gt;770,sim.tbl[[#This Row],[Dens]]&lt;=825),1,0)</f>
        <v>0</v>
      </c>
      <c r="S170" s="6">
        <f>IF(AND(sim.tbl[[#This Row],[Sulf]]&lt;=0.5,sim.tbl[[#This Row],[Dens]]&gt;770,sim.tbl[[#This Row],[Dens]]&lt;=825),1,0)</f>
        <v>0</v>
      </c>
      <c r="T170" s="6">
        <f>IF(AND(sim.tbl[[#This Row],[Sulf]]&gt;0.5,sim.tbl[[#This Row],[Dens]]&gt;825,sim.tbl[[#This Row],[Dens]]&lt;=870),1,0)</f>
        <v>1</v>
      </c>
      <c r="U170" s="6">
        <f>IF(AND(sim.tbl[[#This Row],[Sulf]]&lt;0.5,sim.tbl[[#This Row],[Dens]]&gt;825,sim.tbl[[#This Row],[Dens]]&lt;=900),1,0)</f>
        <v>0</v>
      </c>
      <c r="V170" s="6">
        <f>IF(AND(sim.tbl[[#This Row],[Sulf]]&gt;0.5,sim.tbl[[#This Row],[Dens]]&gt;870,sim.tbl[[#This Row],[Dens]]&lt;=900),1,0)</f>
        <v>0</v>
      </c>
      <c r="W170" s="6">
        <f>IF(AND(sim.tbl[[#This Row],[Sulf]]&gt;0.5,sim.tbl[[#This Row],[Dens]]&gt;900),1,0)</f>
        <v>0</v>
      </c>
      <c r="X170" s="6">
        <f>IF(AND(sim.tbl[[#This Row],[Sulf]]&lt;=0.5,sim.tbl[[#This Row],[Dens]]&gt;900),1,0)</f>
        <v>0</v>
      </c>
      <c r="Y170" s="6">
        <f ca="1">IF(MONTH(sim.tbl[[#This Row],[SDate]])=INDEX(mthLkUp.tbl[Num],MATCH(Y$3,mthLkUp.tbl[Month],0)),1,0)</f>
        <v>0</v>
      </c>
      <c r="Z170" s="6">
        <f ca="1">IF(MONTH(sim.tbl[[#This Row],[SDate]])=INDEX(mthLkUp.tbl[Num],MATCH(Z$3,mthLkUp.tbl[Month],0)),1,0)</f>
        <v>0</v>
      </c>
      <c r="AA170" s="6">
        <f ca="1">IF(MONTH(sim.tbl[[#This Row],[SDate]])=INDEX(mthLkUp.tbl[Num],MATCH(AA$3,mthLkUp.tbl[Month],0)),1,0)</f>
        <v>1</v>
      </c>
      <c r="AB170" s="6">
        <f ca="1">IF(MONTH(sim.tbl[[#This Row],[SDate]])=INDEX(mthLkUp.tbl[Num],MATCH(AB$3,mthLkUp.tbl[Month],0)),1,0)</f>
        <v>0</v>
      </c>
      <c r="AC170" s="6">
        <f ca="1">IF(MONTH(sim.tbl[[#This Row],[SDate]])=INDEX(mthLkUp.tbl[Num],MATCH(AC$3,mthLkUp.tbl[Month],0)),1,0)</f>
        <v>0</v>
      </c>
      <c r="AD170" s="6">
        <f ca="1">IF(MONTH(sim.tbl[[#This Row],[SDate]])=INDEX(mthLkUp.tbl[Num],MATCH(AD$3,mthLkUp.tbl[Month],0)),1,0)</f>
        <v>0</v>
      </c>
      <c r="AE170" s="6">
        <f ca="1">IF(MONTH(sim.tbl[[#This Row],[SDate]])=INDEX(mthLkUp.tbl[Num],MATCH(AE$3,mthLkUp.tbl[Month],0)),1,0)</f>
        <v>0</v>
      </c>
      <c r="AF170" s="6">
        <f ca="1">IF(MONTH(sim.tbl[[#This Row],[SDate]])=INDEX(mthLkUp.tbl[Num],MATCH(AF$3,mthLkUp.tbl[Month],0)),1,0)</f>
        <v>0</v>
      </c>
      <c r="AG170" s="6">
        <f ca="1">IF(MONTH(sim.tbl[[#This Row],[SDate]])=INDEX(mthLkUp.tbl[Num],MATCH(AG$3,mthLkUp.tbl[Month],0)),1,0)</f>
        <v>0</v>
      </c>
      <c r="AH170" s="6">
        <f ca="1">IF(MONTH(sim.tbl[[#This Row],[SDate]])=INDEX(mthLkUp.tbl[Num],MATCH(AH$3,mthLkUp.tbl[Month],0)),1,0)</f>
        <v>0</v>
      </c>
      <c r="AI170" s="6">
        <f ca="1">IF(MONTH(sim.tbl[[#This Row],[SDate]])=INDEX(mthLkUp.tbl[Num],MATCH(AI$3,mthLkUp.tbl[Month],0)),1,0)</f>
        <v>0</v>
      </c>
      <c r="AJ170" s="6">
        <f ca="1">IF(MONTH(sim.tbl[[#This Row],[SDate]])=INDEX(mthLkUp.tbl[Num],MATCH(AJ$3,mthLkUp.tbl[Month],0)),1,0)</f>
        <v>0</v>
      </c>
      <c r="AK170" s="6">
        <v>1</v>
      </c>
      <c r="AL170" s="5">
        <f>sim.tbl[[#This Row],[Sulf]]*sim.tbl[[#This Row],[C5]]</f>
        <v>0</v>
      </c>
      <c r="AM170" s="5">
        <f>sim.tbl[[#This Row],[Sulf]]*sim.tbl[[#This Row],[Light_LSB]]</f>
        <v>0</v>
      </c>
      <c r="AN170" s="5">
        <f>sim.tbl[[#This Row],[Sulf]]*sim.tbl[[#This Row],[Light_SW]]</f>
        <v>0</v>
      </c>
      <c r="AO170" s="5">
        <f>sim.tbl[[#This Row],[Sulf]]*sim.tbl[[#This Row],[Medium_LSB]]</f>
        <v>1.3029999999999999</v>
      </c>
      <c r="AP170" s="5">
        <f>sim.tbl[[#This Row],[Sulf]]*sim.tbl[[#This Row],[Medium_SW]]</f>
        <v>0</v>
      </c>
      <c r="AQ170" s="5">
        <f>sim.tbl[[#This Row],[Sulf]]*sim.tbl[[#This Row],[Midale]]</f>
        <v>0</v>
      </c>
      <c r="AR170" s="5">
        <f>sim.tbl[[#This Row],[Sulf]]*sim.tbl[[#This Row],[Heavy_Sour]]</f>
        <v>0</v>
      </c>
      <c r="AS170" s="5">
        <f>sim.tbl[[#This Row],[Sulf]]*sim.tbl[[#This Row],[Heavy_SW]]</f>
        <v>0</v>
      </c>
      <c r="AT170" s="5">
        <f>sim.tbl[[#This Row],[Dens]]*sim.tbl[[#This Row],[C5]]</f>
        <v>0</v>
      </c>
      <c r="AU170" s="5">
        <f>sim.tbl[[#This Row],[Dens]]*sim.tbl[[#This Row],[Light_LSB]]</f>
        <v>0</v>
      </c>
      <c r="AV170" s="5">
        <f>sim.tbl[[#This Row],[Dens]]*sim.tbl[[#This Row],[Light_SW]]</f>
        <v>0</v>
      </c>
      <c r="AW170" s="5">
        <f>sim.tbl[[#This Row],[Dens]]*sim.tbl[[#This Row],[Medium_LSB]]</f>
        <v>845.5</v>
      </c>
      <c r="AX170" s="5">
        <f>sim.tbl[[#This Row],[Dens]]*sim.tbl[[#This Row],[Medium_SW]]</f>
        <v>0</v>
      </c>
      <c r="AY170" s="5">
        <f>sim.tbl[[#This Row],[Dens]]*sim.tbl[[#This Row],[Midale]]</f>
        <v>0</v>
      </c>
      <c r="AZ170" s="5">
        <f>sim.tbl[[#This Row],[Dens]]*sim.tbl[[#This Row],[Heavy_Sour]]</f>
        <v>0</v>
      </c>
      <c r="BA170" s="5">
        <f>sim.tbl[[#This Row],[Dens]]*sim.tbl[[#This Row],[Heavy_SW]]</f>
        <v>0</v>
      </c>
      <c r="BB170" s="5">
        <f>sim.tbl[[#This Row],[Temp.Roll]]*sim.tbl[[#This Row],[C5]]</f>
        <v>0</v>
      </c>
      <c r="BC170" s="5">
        <f>sim.tbl[[#This Row],[Temp.Roll]]*sim.tbl[[#This Row],[Light_LSB]]</f>
        <v>0</v>
      </c>
      <c r="BD170" s="5">
        <f>sim.tbl[[#This Row],[Temp.Roll]]*sim.tbl[[#This Row],[Light_SW]]</f>
        <v>0</v>
      </c>
      <c r="BE170" s="5">
        <f>sim.tbl[[#This Row],[Temp.Roll]]*sim.tbl[[#This Row],[Medium_LSB]]</f>
        <v>0.8</v>
      </c>
      <c r="BF170" s="5">
        <f>sim.tbl[[#This Row],[Temp.Roll]]*sim.tbl[[#This Row],[Medium_SW]]</f>
        <v>0</v>
      </c>
      <c r="BG170" s="5">
        <f>sim.tbl[[#This Row],[Temp.Roll]]*sim.tbl[[#This Row],[Midale]]</f>
        <v>0</v>
      </c>
      <c r="BH170" s="5">
        <f>sim.tbl[[#This Row],[Temp.Roll]]*sim.tbl[[#This Row],[Heavy_Sour]]</f>
        <v>0</v>
      </c>
      <c r="BI170" s="5">
        <f>sim.tbl[[#This Row],[Temp.Roll]]*sim.tbl[[#This Row],[Heavy_SW]]</f>
        <v>0</v>
      </c>
    </row>
    <row r="171" spans="4:61" x14ac:dyDescent="0.25">
      <c r="D171" s="5">
        <f ca="1">SUMPRODUCT($F$1:$BI$1,sim.tbl[[#This Row],[Intercept]:[Temp.Roll:Heavy_SW]])</f>
        <v>87.437083735986761</v>
      </c>
      <c r="E171" s="14">
        <f ca="1">DATE(YEAR(TODAY()),INDEX(mthLkUp.tbl[Num],MATCH(mth.input,mthLkUp.tbl[Month],0)),1)</f>
        <v>42795</v>
      </c>
      <c r="F171" s="6">
        <f>1</f>
        <v>1</v>
      </c>
      <c r="G171" s="5">
        <v>0.19</v>
      </c>
      <c r="H171" s="5">
        <v>808.2</v>
      </c>
      <c r="I171" s="5">
        <v>1.85</v>
      </c>
      <c r="J171" s="5">
        <v>2.2000000000000002</v>
      </c>
      <c r="K171" s="5">
        <v>2.4</v>
      </c>
      <c r="L171" s="5">
        <v>2.2000000000000002</v>
      </c>
      <c r="M171" s="5">
        <v>1.5</v>
      </c>
      <c r="N171" s="5">
        <v>4</v>
      </c>
      <c r="O171" s="5">
        <v>-0.7</v>
      </c>
      <c r="P171" s="5">
        <v>1.7</v>
      </c>
      <c r="Q171" s="6">
        <f>IF(sim.tbl[[#This Row],[Dens]]&lt;=770,1,0)</f>
        <v>0</v>
      </c>
      <c r="R171" s="6">
        <f>IF(AND(sim.tbl[[#This Row],[Sulf]]&gt;0.5,sim.tbl[[#This Row],[Dens]]&gt;770,sim.tbl[[#This Row],[Dens]]&lt;=825),1,0)</f>
        <v>0</v>
      </c>
      <c r="S171" s="6">
        <f>IF(AND(sim.tbl[[#This Row],[Sulf]]&lt;=0.5,sim.tbl[[#This Row],[Dens]]&gt;770,sim.tbl[[#This Row],[Dens]]&lt;=825),1,0)</f>
        <v>1</v>
      </c>
      <c r="T171" s="6">
        <f>IF(AND(sim.tbl[[#This Row],[Sulf]]&gt;0.5,sim.tbl[[#This Row],[Dens]]&gt;825,sim.tbl[[#This Row],[Dens]]&lt;=870),1,0)</f>
        <v>0</v>
      </c>
      <c r="U171" s="6">
        <f>IF(AND(sim.tbl[[#This Row],[Sulf]]&lt;0.5,sim.tbl[[#This Row],[Dens]]&gt;825,sim.tbl[[#This Row],[Dens]]&lt;=900),1,0)</f>
        <v>0</v>
      </c>
      <c r="V171" s="6">
        <f>IF(AND(sim.tbl[[#This Row],[Sulf]]&gt;0.5,sim.tbl[[#This Row],[Dens]]&gt;870,sim.tbl[[#This Row],[Dens]]&lt;=900),1,0)</f>
        <v>0</v>
      </c>
      <c r="W171" s="6">
        <f>IF(AND(sim.tbl[[#This Row],[Sulf]]&gt;0.5,sim.tbl[[#This Row],[Dens]]&gt;900),1,0)</f>
        <v>0</v>
      </c>
      <c r="X171" s="6">
        <f>IF(AND(sim.tbl[[#This Row],[Sulf]]&lt;=0.5,sim.tbl[[#This Row],[Dens]]&gt;900),1,0)</f>
        <v>0</v>
      </c>
      <c r="Y171" s="6">
        <f ca="1">IF(MONTH(sim.tbl[[#This Row],[SDate]])=INDEX(mthLkUp.tbl[Num],MATCH(Y$3,mthLkUp.tbl[Month],0)),1,0)</f>
        <v>0</v>
      </c>
      <c r="Z171" s="6">
        <f ca="1">IF(MONTH(sim.tbl[[#This Row],[SDate]])=INDEX(mthLkUp.tbl[Num],MATCH(Z$3,mthLkUp.tbl[Month],0)),1,0)</f>
        <v>0</v>
      </c>
      <c r="AA171" s="6">
        <f ca="1">IF(MONTH(sim.tbl[[#This Row],[SDate]])=INDEX(mthLkUp.tbl[Num],MATCH(AA$3,mthLkUp.tbl[Month],0)),1,0)</f>
        <v>1</v>
      </c>
      <c r="AB171" s="6">
        <f ca="1">IF(MONTH(sim.tbl[[#This Row],[SDate]])=INDEX(mthLkUp.tbl[Num],MATCH(AB$3,mthLkUp.tbl[Month],0)),1,0)</f>
        <v>0</v>
      </c>
      <c r="AC171" s="6">
        <f ca="1">IF(MONTH(sim.tbl[[#This Row],[SDate]])=INDEX(mthLkUp.tbl[Num],MATCH(AC$3,mthLkUp.tbl[Month],0)),1,0)</f>
        <v>0</v>
      </c>
      <c r="AD171" s="6">
        <f ca="1">IF(MONTH(sim.tbl[[#This Row],[SDate]])=INDEX(mthLkUp.tbl[Num],MATCH(AD$3,mthLkUp.tbl[Month],0)),1,0)</f>
        <v>0</v>
      </c>
      <c r="AE171" s="6">
        <f ca="1">IF(MONTH(sim.tbl[[#This Row],[SDate]])=INDEX(mthLkUp.tbl[Num],MATCH(AE$3,mthLkUp.tbl[Month],0)),1,0)</f>
        <v>0</v>
      </c>
      <c r="AF171" s="6">
        <f ca="1">IF(MONTH(sim.tbl[[#This Row],[SDate]])=INDEX(mthLkUp.tbl[Num],MATCH(AF$3,mthLkUp.tbl[Month],0)),1,0)</f>
        <v>0</v>
      </c>
      <c r="AG171" s="6">
        <f ca="1">IF(MONTH(sim.tbl[[#This Row],[SDate]])=INDEX(mthLkUp.tbl[Num],MATCH(AG$3,mthLkUp.tbl[Month],0)),1,0)</f>
        <v>0</v>
      </c>
      <c r="AH171" s="6">
        <f ca="1">IF(MONTH(sim.tbl[[#This Row],[SDate]])=INDEX(mthLkUp.tbl[Num],MATCH(AH$3,mthLkUp.tbl[Month],0)),1,0)</f>
        <v>0</v>
      </c>
      <c r="AI171" s="6">
        <f ca="1">IF(MONTH(sim.tbl[[#This Row],[SDate]])=INDEX(mthLkUp.tbl[Num],MATCH(AI$3,mthLkUp.tbl[Month],0)),1,0)</f>
        <v>0</v>
      </c>
      <c r="AJ171" s="6">
        <f ca="1">IF(MONTH(sim.tbl[[#This Row],[SDate]])=INDEX(mthLkUp.tbl[Num],MATCH(AJ$3,mthLkUp.tbl[Month],0)),1,0)</f>
        <v>0</v>
      </c>
      <c r="AK171" s="6">
        <v>1</v>
      </c>
      <c r="AL171" s="5">
        <f>sim.tbl[[#This Row],[Sulf]]*sim.tbl[[#This Row],[C5]]</f>
        <v>0</v>
      </c>
      <c r="AM171" s="5">
        <f>sim.tbl[[#This Row],[Sulf]]*sim.tbl[[#This Row],[Light_LSB]]</f>
        <v>0</v>
      </c>
      <c r="AN171" s="5">
        <f>sim.tbl[[#This Row],[Sulf]]*sim.tbl[[#This Row],[Light_SW]]</f>
        <v>0.19</v>
      </c>
      <c r="AO171" s="5">
        <f>sim.tbl[[#This Row],[Sulf]]*sim.tbl[[#This Row],[Medium_LSB]]</f>
        <v>0</v>
      </c>
      <c r="AP171" s="5">
        <f>sim.tbl[[#This Row],[Sulf]]*sim.tbl[[#This Row],[Medium_SW]]</f>
        <v>0</v>
      </c>
      <c r="AQ171" s="5">
        <f>sim.tbl[[#This Row],[Sulf]]*sim.tbl[[#This Row],[Midale]]</f>
        <v>0</v>
      </c>
      <c r="AR171" s="5">
        <f>sim.tbl[[#This Row],[Sulf]]*sim.tbl[[#This Row],[Heavy_Sour]]</f>
        <v>0</v>
      </c>
      <c r="AS171" s="5">
        <f>sim.tbl[[#This Row],[Sulf]]*sim.tbl[[#This Row],[Heavy_SW]]</f>
        <v>0</v>
      </c>
      <c r="AT171" s="5">
        <f>sim.tbl[[#This Row],[Dens]]*sim.tbl[[#This Row],[C5]]</f>
        <v>0</v>
      </c>
      <c r="AU171" s="5">
        <f>sim.tbl[[#This Row],[Dens]]*sim.tbl[[#This Row],[Light_LSB]]</f>
        <v>0</v>
      </c>
      <c r="AV171" s="5">
        <f>sim.tbl[[#This Row],[Dens]]*sim.tbl[[#This Row],[Light_SW]]</f>
        <v>808.2</v>
      </c>
      <c r="AW171" s="5">
        <f>sim.tbl[[#This Row],[Dens]]*sim.tbl[[#This Row],[Medium_LSB]]</f>
        <v>0</v>
      </c>
      <c r="AX171" s="5">
        <f>sim.tbl[[#This Row],[Dens]]*sim.tbl[[#This Row],[Medium_SW]]</f>
        <v>0</v>
      </c>
      <c r="AY171" s="5">
        <f>sim.tbl[[#This Row],[Dens]]*sim.tbl[[#This Row],[Midale]]</f>
        <v>0</v>
      </c>
      <c r="AZ171" s="5">
        <f>sim.tbl[[#This Row],[Dens]]*sim.tbl[[#This Row],[Heavy_Sour]]</f>
        <v>0</v>
      </c>
      <c r="BA171" s="5">
        <f>sim.tbl[[#This Row],[Dens]]*sim.tbl[[#This Row],[Heavy_SW]]</f>
        <v>0</v>
      </c>
      <c r="BB171" s="5">
        <f>sim.tbl[[#This Row],[Temp.Roll]]*sim.tbl[[#This Row],[C5]]</f>
        <v>0</v>
      </c>
      <c r="BC171" s="5">
        <f>sim.tbl[[#This Row],[Temp.Roll]]*sim.tbl[[#This Row],[Light_LSB]]</f>
        <v>0</v>
      </c>
      <c r="BD171" s="5">
        <f>sim.tbl[[#This Row],[Temp.Roll]]*sim.tbl[[#This Row],[Light_SW]]</f>
        <v>2.2000000000000002</v>
      </c>
      <c r="BE171" s="5">
        <f>sim.tbl[[#This Row],[Temp.Roll]]*sim.tbl[[#This Row],[Medium_LSB]]</f>
        <v>0</v>
      </c>
      <c r="BF171" s="5">
        <f>sim.tbl[[#This Row],[Temp.Roll]]*sim.tbl[[#This Row],[Medium_SW]]</f>
        <v>0</v>
      </c>
      <c r="BG171" s="5">
        <f>sim.tbl[[#This Row],[Temp.Roll]]*sim.tbl[[#This Row],[Midale]]</f>
        <v>0</v>
      </c>
      <c r="BH171" s="5">
        <f>sim.tbl[[#This Row],[Temp.Roll]]*sim.tbl[[#This Row],[Heavy_Sour]]</f>
        <v>0</v>
      </c>
      <c r="BI171" s="5">
        <f>sim.tbl[[#This Row],[Temp.Roll]]*sim.tbl[[#This Row],[Heavy_SW]]</f>
        <v>0</v>
      </c>
    </row>
    <row r="172" spans="4:61" x14ac:dyDescent="0.25">
      <c r="D172" s="5">
        <f ca="1">SUMPRODUCT($F$1:$BI$1,sim.tbl[[#This Row],[Intercept]:[Temp.Roll:Heavy_SW]])</f>
        <v>89.737488692013187</v>
      </c>
      <c r="E172" s="14">
        <f ca="1">DATE(YEAR(TODAY()),INDEX(mthLkUp.tbl[Num],MATCH(mth.input,mthLkUp.tbl[Month],0)),1)</f>
        <v>42795</v>
      </c>
      <c r="F172" s="6">
        <f>1</f>
        <v>1</v>
      </c>
      <c r="G172" s="5">
        <v>0.3</v>
      </c>
      <c r="H172" s="5">
        <v>810.2</v>
      </c>
      <c r="I172" s="5">
        <v>-5.9666666670000001</v>
      </c>
      <c r="J172" s="5">
        <v>-4.4000000000000004</v>
      </c>
      <c r="K172" s="5">
        <v>-5.3</v>
      </c>
      <c r="L172" s="5">
        <v>-4.4000000000000004</v>
      </c>
      <c r="M172" s="5">
        <v>-7.8</v>
      </c>
      <c r="N172" s="5">
        <v>-3.8</v>
      </c>
      <c r="O172" s="5">
        <v>-6.8</v>
      </c>
      <c r="P172" s="5">
        <v>-7.7</v>
      </c>
      <c r="Q172" s="6">
        <f>IF(sim.tbl[[#This Row],[Dens]]&lt;=770,1,0)</f>
        <v>0</v>
      </c>
      <c r="R172" s="6">
        <f>IF(AND(sim.tbl[[#This Row],[Sulf]]&gt;0.5,sim.tbl[[#This Row],[Dens]]&gt;770,sim.tbl[[#This Row],[Dens]]&lt;=825),1,0)</f>
        <v>0</v>
      </c>
      <c r="S172" s="6">
        <f>IF(AND(sim.tbl[[#This Row],[Sulf]]&lt;=0.5,sim.tbl[[#This Row],[Dens]]&gt;770,sim.tbl[[#This Row],[Dens]]&lt;=825),1,0)</f>
        <v>1</v>
      </c>
      <c r="T172" s="6">
        <f>IF(AND(sim.tbl[[#This Row],[Sulf]]&gt;0.5,sim.tbl[[#This Row],[Dens]]&gt;825,sim.tbl[[#This Row],[Dens]]&lt;=870),1,0)</f>
        <v>0</v>
      </c>
      <c r="U172" s="6">
        <f>IF(AND(sim.tbl[[#This Row],[Sulf]]&lt;0.5,sim.tbl[[#This Row],[Dens]]&gt;825,sim.tbl[[#This Row],[Dens]]&lt;=900),1,0)</f>
        <v>0</v>
      </c>
      <c r="V172" s="6">
        <f>IF(AND(sim.tbl[[#This Row],[Sulf]]&gt;0.5,sim.tbl[[#This Row],[Dens]]&gt;870,sim.tbl[[#This Row],[Dens]]&lt;=900),1,0)</f>
        <v>0</v>
      </c>
      <c r="W172" s="6">
        <f>IF(AND(sim.tbl[[#This Row],[Sulf]]&gt;0.5,sim.tbl[[#This Row],[Dens]]&gt;900),1,0)</f>
        <v>0</v>
      </c>
      <c r="X172" s="6">
        <f>IF(AND(sim.tbl[[#This Row],[Sulf]]&lt;=0.5,sim.tbl[[#This Row],[Dens]]&gt;900),1,0)</f>
        <v>0</v>
      </c>
      <c r="Y172" s="6">
        <f ca="1">IF(MONTH(sim.tbl[[#This Row],[SDate]])=INDEX(mthLkUp.tbl[Num],MATCH(Y$3,mthLkUp.tbl[Month],0)),1,0)</f>
        <v>0</v>
      </c>
      <c r="Z172" s="6">
        <f ca="1">IF(MONTH(sim.tbl[[#This Row],[SDate]])=INDEX(mthLkUp.tbl[Num],MATCH(Z$3,mthLkUp.tbl[Month],0)),1,0)</f>
        <v>0</v>
      </c>
      <c r="AA172" s="6">
        <f ca="1">IF(MONTH(sim.tbl[[#This Row],[SDate]])=INDEX(mthLkUp.tbl[Num],MATCH(AA$3,mthLkUp.tbl[Month],0)),1,0)</f>
        <v>1</v>
      </c>
      <c r="AB172" s="6">
        <f ca="1">IF(MONTH(sim.tbl[[#This Row],[SDate]])=INDEX(mthLkUp.tbl[Num],MATCH(AB$3,mthLkUp.tbl[Month],0)),1,0)</f>
        <v>0</v>
      </c>
      <c r="AC172" s="6">
        <f ca="1">IF(MONTH(sim.tbl[[#This Row],[SDate]])=INDEX(mthLkUp.tbl[Num],MATCH(AC$3,mthLkUp.tbl[Month],0)),1,0)</f>
        <v>0</v>
      </c>
      <c r="AD172" s="6">
        <f ca="1">IF(MONTH(sim.tbl[[#This Row],[SDate]])=INDEX(mthLkUp.tbl[Num],MATCH(AD$3,mthLkUp.tbl[Month],0)),1,0)</f>
        <v>0</v>
      </c>
      <c r="AE172" s="6">
        <f ca="1">IF(MONTH(sim.tbl[[#This Row],[SDate]])=INDEX(mthLkUp.tbl[Num],MATCH(AE$3,mthLkUp.tbl[Month],0)),1,0)</f>
        <v>0</v>
      </c>
      <c r="AF172" s="6">
        <f ca="1">IF(MONTH(sim.tbl[[#This Row],[SDate]])=INDEX(mthLkUp.tbl[Num],MATCH(AF$3,mthLkUp.tbl[Month],0)),1,0)</f>
        <v>0</v>
      </c>
      <c r="AG172" s="6">
        <f ca="1">IF(MONTH(sim.tbl[[#This Row],[SDate]])=INDEX(mthLkUp.tbl[Num],MATCH(AG$3,mthLkUp.tbl[Month],0)),1,0)</f>
        <v>0</v>
      </c>
      <c r="AH172" s="6">
        <f ca="1">IF(MONTH(sim.tbl[[#This Row],[SDate]])=INDEX(mthLkUp.tbl[Num],MATCH(AH$3,mthLkUp.tbl[Month],0)),1,0)</f>
        <v>0</v>
      </c>
      <c r="AI172" s="6">
        <f ca="1">IF(MONTH(sim.tbl[[#This Row],[SDate]])=INDEX(mthLkUp.tbl[Num],MATCH(AI$3,mthLkUp.tbl[Month],0)),1,0)</f>
        <v>0</v>
      </c>
      <c r="AJ172" s="6">
        <f ca="1">IF(MONTH(sim.tbl[[#This Row],[SDate]])=INDEX(mthLkUp.tbl[Num],MATCH(AJ$3,mthLkUp.tbl[Month],0)),1,0)</f>
        <v>0</v>
      </c>
      <c r="AK172" s="6">
        <v>1</v>
      </c>
      <c r="AL172" s="5">
        <f>sim.tbl[[#This Row],[Sulf]]*sim.tbl[[#This Row],[C5]]</f>
        <v>0</v>
      </c>
      <c r="AM172" s="5">
        <f>sim.tbl[[#This Row],[Sulf]]*sim.tbl[[#This Row],[Light_LSB]]</f>
        <v>0</v>
      </c>
      <c r="AN172" s="5">
        <f>sim.tbl[[#This Row],[Sulf]]*sim.tbl[[#This Row],[Light_SW]]</f>
        <v>0.3</v>
      </c>
      <c r="AO172" s="5">
        <f>sim.tbl[[#This Row],[Sulf]]*sim.tbl[[#This Row],[Medium_LSB]]</f>
        <v>0</v>
      </c>
      <c r="AP172" s="5">
        <f>sim.tbl[[#This Row],[Sulf]]*sim.tbl[[#This Row],[Medium_SW]]</f>
        <v>0</v>
      </c>
      <c r="AQ172" s="5">
        <f>sim.tbl[[#This Row],[Sulf]]*sim.tbl[[#This Row],[Midale]]</f>
        <v>0</v>
      </c>
      <c r="AR172" s="5">
        <f>sim.tbl[[#This Row],[Sulf]]*sim.tbl[[#This Row],[Heavy_Sour]]</f>
        <v>0</v>
      </c>
      <c r="AS172" s="5">
        <f>sim.tbl[[#This Row],[Sulf]]*sim.tbl[[#This Row],[Heavy_SW]]</f>
        <v>0</v>
      </c>
      <c r="AT172" s="5">
        <f>sim.tbl[[#This Row],[Dens]]*sim.tbl[[#This Row],[C5]]</f>
        <v>0</v>
      </c>
      <c r="AU172" s="5">
        <f>sim.tbl[[#This Row],[Dens]]*sim.tbl[[#This Row],[Light_LSB]]</f>
        <v>0</v>
      </c>
      <c r="AV172" s="5">
        <f>sim.tbl[[#This Row],[Dens]]*sim.tbl[[#This Row],[Light_SW]]</f>
        <v>810.2</v>
      </c>
      <c r="AW172" s="5">
        <f>sim.tbl[[#This Row],[Dens]]*sim.tbl[[#This Row],[Medium_LSB]]</f>
        <v>0</v>
      </c>
      <c r="AX172" s="5">
        <f>sim.tbl[[#This Row],[Dens]]*sim.tbl[[#This Row],[Medium_SW]]</f>
        <v>0</v>
      </c>
      <c r="AY172" s="5">
        <f>sim.tbl[[#This Row],[Dens]]*sim.tbl[[#This Row],[Midale]]</f>
        <v>0</v>
      </c>
      <c r="AZ172" s="5">
        <f>sim.tbl[[#This Row],[Dens]]*sim.tbl[[#This Row],[Heavy_Sour]]</f>
        <v>0</v>
      </c>
      <c r="BA172" s="5">
        <f>sim.tbl[[#This Row],[Dens]]*sim.tbl[[#This Row],[Heavy_SW]]</f>
        <v>0</v>
      </c>
      <c r="BB172" s="5">
        <f>sim.tbl[[#This Row],[Temp.Roll]]*sim.tbl[[#This Row],[C5]]</f>
        <v>0</v>
      </c>
      <c r="BC172" s="5">
        <f>sim.tbl[[#This Row],[Temp.Roll]]*sim.tbl[[#This Row],[Light_LSB]]</f>
        <v>0</v>
      </c>
      <c r="BD172" s="5">
        <f>sim.tbl[[#This Row],[Temp.Roll]]*sim.tbl[[#This Row],[Light_SW]]</f>
        <v>-4.4000000000000004</v>
      </c>
      <c r="BE172" s="5">
        <f>sim.tbl[[#This Row],[Temp.Roll]]*sim.tbl[[#This Row],[Medium_LSB]]</f>
        <v>0</v>
      </c>
      <c r="BF172" s="5">
        <f>sim.tbl[[#This Row],[Temp.Roll]]*sim.tbl[[#This Row],[Medium_SW]]</f>
        <v>0</v>
      </c>
      <c r="BG172" s="5">
        <f>sim.tbl[[#This Row],[Temp.Roll]]*sim.tbl[[#This Row],[Midale]]</f>
        <v>0</v>
      </c>
      <c r="BH172" s="5">
        <f>sim.tbl[[#This Row],[Temp.Roll]]*sim.tbl[[#This Row],[Heavy_Sour]]</f>
        <v>0</v>
      </c>
      <c r="BI172" s="5">
        <f>sim.tbl[[#This Row],[Temp.Roll]]*sim.tbl[[#This Row],[Heavy_SW]]</f>
        <v>0</v>
      </c>
    </row>
    <row r="173" spans="4:61" x14ac:dyDescent="0.25">
      <c r="D173" s="5">
        <f ca="1">SUMPRODUCT($F$1:$BI$1,sim.tbl[[#This Row],[Intercept]:[Temp.Roll:Heavy_SW]])</f>
        <v>83.63410072393404</v>
      </c>
      <c r="E173" s="14">
        <f ca="1">DATE(YEAR(TODAY()),INDEX(mthLkUp.tbl[Num],MATCH(mth.input,mthLkUp.tbl[Month],0)),1)</f>
        <v>42795</v>
      </c>
      <c r="F173" s="6">
        <f>1</f>
        <v>1</v>
      </c>
      <c r="G173" s="5">
        <v>0.17</v>
      </c>
      <c r="H173" s="5">
        <v>811.8</v>
      </c>
      <c r="I173" s="5">
        <v>7.25</v>
      </c>
      <c r="J173" s="5">
        <v>8.4</v>
      </c>
      <c r="K173" s="5">
        <v>7.7</v>
      </c>
      <c r="L173" s="5">
        <v>8.4</v>
      </c>
      <c r="M173" s="5">
        <v>6.5</v>
      </c>
      <c r="N173" s="5">
        <v>7.5</v>
      </c>
      <c r="O173" s="5">
        <v>5.9</v>
      </c>
      <c r="P173" s="5">
        <v>7.5</v>
      </c>
      <c r="Q173" s="6">
        <f>IF(sim.tbl[[#This Row],[Dens]]&lt;=770,1,0)</f>
        <v>0</v>
      </c>
      <c r="R173" s="6">
        <f>IF(AND(sim.tbl[[#This Row],[Sulf]]&gt;0.5,sim.tbl[[#This Row],[Dens]]&gt;770,sim.tbl[[#This Row],[Dens]]&lt;=825),1,0)</f>
        <v>0</v>
      </c>
      <c r="S173" s="6">
        <f>IF(AND(sim.tbl[[#This Row],[Sulf]]&lt;=0.5,sim.tbl[[#This Row],[Dens]]&gt;770,sim.tbl[[#This Row],[Dens]]&lt;=825),1,0)</f>
        <v>1</v>
      </c>
      <c r="T173" s="6">
        <f>IF(AND(sim.tbl[[#This Row],[Sulf]]&gt;0.5,sim.tbl[[#This Row],[Dens]]&gt;825,sim.tbl[[#This Row],[Dens]]&lt;=870),1,0)</f>
        <v>0</v>
      </c>
      <c r="U173" s="6">
        <f>IF(AND(sim.tbl[[#This Row],[Sulf]]&lt;0.5,sim.tbl[[#This Row],[Dens]]&gt;825,sim.tbl[[#This Row],[Dens]]&lt;=900),1,0)</f>
        <v>0</v>
      </c>
      <c r="V173" s="6">
        <f>IF(AND(sim.tbl[[#This Row],[Sulf]]&gt;0.5,sim.tbl[[#This Row],[Dens]]&gt;870,sim.tbl[[#This Row],[Dens]]&lt;=900),1,0)</f>
        <v>0</v>
      </c>
      <c r="W173" s="6">
        <f>IF(AND(sim.tbl[[#This Row],[Sulf]]&gt;0.5,sim.tbl[[#This Row],[Dens]]&gt;900),1,0)</f>
        <v>0</v>
      </c>
      <c r="X173" s="6">
        <f>IF(AND(sim.tbl[[#This Row],[Sulf]]&lt;=0.5,sim.tbl[[#This Row],[Dens]]&gt;900),1,0)</f>
        <v>0</v>
      </c>
      <c r="Y173" s="6">
        <f ca="1">IF(MONTH(sim.tbl[[#This Row],[SDate]])=INDEX(mthLkUp.tbl[Num],MATCH(Y$3,mthLkUp.tbl[Month],0)),1,0)</f>
        <v>0</v>
      </c>
      <c r="Z173" s="6">
        <f ca="1">IF(MONTH(sim.tbl[[#This Row],[SDate]])=INDEX(mthLkUp.tbl[Num],MATCH(Z$3,mthLkUp.tbl[Month],0)),1,0)</f>
        <v>0</v>
      </c>
      <c r="AA173" s="6">
        <f ca="1">IF(MONTH(sim.tbl[[#This Row],[SDate]])=INDEX(mthLkUp.tbl[Num],MATCH(AA$3,mthLkUp.tbl[Month],0)),1,0)</f>
        <v>1</v>
      </c>
      <c r="AB173" s="6">
        <f ca="1">IF(MONTH(sim.tbl[[#This Row],[SDate]])=INDEX(mthLkUp.tbl[Num],MATCH(AB$3,mthLkUp.tbl[Month],0)),1,0)</f>
        <v>0</v>
      </c>
      <c r="AC173" s="6">
        <f ca="1">IF(MONTH(sim.tbl[[#This Row],[SDate]])=INDEX(mthLkUp.tbl[Num],MATCH(AC$3,mthLkUp.tbl[Month],0)),1,0)</f>
        <v>0</v>
      </c>
      <c r="AD173" s="6">
        <f ca="1">IF(MONTH(sim.tbl[[#This Row],[SDate]])=INDEX(mthLkUp.tbl[Num],MATCH(AD$3,mthLkUp.tbl[Month],0)),1,0)</f>
        <v>0</v>
      </c>
      <c r="AE173" s="6">
        <f ca="1">IF(MONTH(sim.tbl[[#This Row],[SDate]])=INDEX(mthLkUp.tbl[Num],MATCH(AE$3,mthLkUp.tbl[Month],0)),1,0)</f>
        <v>0</v>
      </c>
      <c r="AF173" s="6">
        <f ca="1">IF(MONTH(sim.tbl[[#This Row],[SDate]])=INDEX(mthLkUp.tbl[Num],MATCH(AF$3,mthLkUp.tbl[Month],0)),1,0)</f>
        <v>0</v>
      </c>
      <c r="AG173" s="6">
        <f ca="1">IF(MONTH(sim.tbl[[#This Row],[SDate]])=INDEX(mthLkUp.tbl[Num],MATCH(AG$3,mthLkUp.tbl[Month],0)),1,0)</f>
        <v>0</v>
      </c>
      <c r="AH173" s="6">
        <f ca="1">IF(MONTH(sim.tbl[[#This Row],[SDate]])=INDEX(mthLkUp.tbl[Num],MATCH(AH$3,mthLkUp.tbl[Month],0)),1,0)</f>
        <v>0</v>
      </c>
      <c r="AI173" s="6">
        <f ca="1">IF(MONTH(sim.tbl[[#This Row],[SDate]])=INDEX(mthLkUp.tbl[Num],MATCH(AI$3,mthLkUp.tbl[Month],0)),1,0)</f>
        <v>0</v>
      </c>
      <c r="AJ173" s="6">
        <f ca="1">IF(MONTH(sim.tbl[[#This Row],[SDate]])=INDEX(mthLkUp.tbl[Num],MATCH(AJ$3,mthLkUp.tbl[Month],0)),1,0)</f>
        <v>0</v>
      </c>
      <c r="AK173" s="6">
        <v>1</v>
      </c>
      <c r="AL173" s="5">
        <f>sim.tbl[[#This Row],[Sulf]]*sim.tbl[[#This Row],[C5]]</f>
        <v>0</v>
      </c>
      <c r="AM173" s="5">
        <f>sim.tbl[[#This Row],[Sulf]]*sim.tbl[[#This Row],[Light_LSB]]</f>
        <v>0</v>
      </c>
      <c r="AN173" s="5">
        <f>sim.tbl[[#This Row],[Sulf]]*sim.tbl[[#This Row],[Light_SW]]</f>
        <v>0.17</v>
      </c>
      <c r="AO173" s="5">
        <f>sim.tbl[[#This Row],[Sulf]]*sim.tbl[[#This Row],[Medium_LSB]]</f>
        <v>0</v>
      </c>
      <c r="AP173" s="5">
        <f>sim.tbl[[#This Row],[Sulf]]*sim.tbl[[#This Row],[Medium_SW]]</f>
        <v>0</v>
      </c>
      <c r="AQ173" s="5">
        <f>sim.tbl[[#This Row],[Sulf]]*sim.tbl[[#This Row],[Midale]]</f>
        <v>0</v>
      </c>
      <c r="AR173" s="5">
        <f>sim.tbl[[#This Row],[Sulf]]*sim.tbl[[#This Row],[Heavy_Sour]]</f>
        <v>0</v>
      </c>
      <c r="AS173" s="5">
        <f>sim.tbl[[#This Row],[Sulf]]*sim.tbl[[#This Row],[Heavy_SW]]</f>
        <v>0</v>
      </c>
      <c r="AT173" s="5">
        <f>sim.tbl[[#This Row],[Dens]]*sim.tbl[[#This Row],[C5]]</f>
        <v>0</v>
      </c>
      <c r="AU173" s="5">
        <f>sim.tbl[[#This Row],[Dens]]*sim.tbl[[#This Row],[Light_LSB]]</f>
        <v>0</v>
      </c>
      <c r="AV173" s="5">
        <f>sim.tbl[[#This Row],[Dens]]*sim.tbl[[#This Row],[Light_SW]]</f>
        <v>811.8</v>
      </c>
      <c r="AW173" s="5">
        <f>sim.tbl[[#This Row],[Dens]]*sim.tbl[[#This Row],[Medium_LSB]]</f>
        <v>0</v>
      </c>
      <c r="AX173" s="5">
        <f>sim.tbl[[#This Row],[Dens]]*sim.tbl[[#This Row],[Medium_SW]]</f>
        <v>0</v>
      </c>
      <c r="AY173" s="5">
        <f>sim.tbl[[#This Row],[Dens]]*sim.tbl[[#This Row],[Midale]]</f>
        <v>0</v>
      </c>
      <c r="AZ173" s="5">
        <f>sim.tbl[[#This Row],[Dens]]*sim.tbl[[#This Row],[Heavy_Sour]]</f>
        <v>0</v>
      </c>
      <c r="BA173" s="5">
        <f>sim.tbl[[#This Row],[Dens]]*sim.tbl[[#This Row],[Heavy_SW]]</f>
        <v>0</v>
      </c>
      <c r="BB173" s="5">
        <f>sim.tbl[[#This Row],[Temp.Roll]]*sim.tbl[[#This Row],[C5]]</f>
        <v>0</v>
      </c>
      <c r="BC173" s="5">
        <f>sim.tbl[[#This Row],[Temp.Roll]]*sim.tbl[[#This Row],[Light_LSB]]</f>
        <v>0</v>
      </c>
      <c r="BD173" s="5">
        <f>sim.tbl[[#This Row],[Temp.Roll]]*sim.tbl[[#This Row],[Light_SW]]</f>
        <v>8.4</v>
      </c>
      <c r="BE173" s="5">
        <f>sim.tbl[[#This Row],[Temp.Roll]]*sim.tbl[[#This Row],[Medium_LSB]]</f>
        <v>0</v>
      </c>
      <c r="BF173" s="5">
        <f>sim.tbl[[#This Row],[Temp.Roll]]*sim.tbl[[#This Row],[Medium_SW]]</f>
        <v>0</v>
      </c>
      <c r="BG173" s="5">
        <f>sim.tbl[[#This Row],[Temp.Roll]]*sim.tbl[[#This Row],[Midale]]</f>
        <v>0</v>
      </c>
      <c r="BH173" s="5">
        <f>sim.tbl[[#This Row],[Temp.Roll]]*sim.tbl[[#This Row],[Heavy_Sour]]</f>
        <v>0</v>
      </c>
      <c r="BI173" s="5">
        <f>sim.tbl[[#This Row],[Temp.Roll]]*sim.tbl[[#This Row],[Heavy_SW]]</f>
        <v>0</v>
      </c>
    </row>
    <row r="174" spans="4:61" x14ac:dyDescent="0.25">
      <c r="D174" s="5">
        <f ca="1">SUMPRODUCT($F$1:$BI$1,sim.tbl[[#This Row],[Intercept]:[Temp.Roll:Heavy_SW]])</f>
        <v>80.19746280133208</v>
      </c>
      <c r="E174" s="14">
        <f ca="1">DATE(YEAR(TODAY()),INDEX(mthLkUp.tbl[Num],MATCH(mth.input,mthLkUp.tbl[Month],0)),1)</f>
        <v>42795</v>
      </c>
      <c r="F174" s="6">
        <f>1</f>
        <v>1</v>
      </c>
      <c r="G174" s="5">
        <v>1.74</v>
      </c>
      <c r="H174" s="5">
        <v>827.9</v>
      </c>
      <c r="I174" s="5">
        <v>5.3166666669999998</v>
      </c>
      <c r="J174" s="5">
        <v>6.4</v>
      </c>
      <c r="K174" s="5">
        <v>6</v>
      </c>
      <c r="L174" s="5">
        <v>6.4</v>
      </c>
      <c r="M174" s="5">
        <v>4.5</v>
      </c>
      <c r="N174" s="5">
        <v>5.8</v>
      </c>
      <c r="O174" s="5">
        <v>3.6</v>
      </c>
      <c r="P174" s="5">
        <v>5.6</v>
      </c>
      <c r="Q174" s="6">
        <f>IF(sim.tbl[[#This Row],[Dens]]&lt;=770,1,0)</f>
        <v>0</v>
      </c>
      <c r="R174" s="6">
        <f>IF(AND(sim.tbl[[#This Row],[Sulf]]&gt;0.5,sim.tbl[[#This Row],[Dens]]&gt;770,sim.tbl[[#This Row],[Dens]]&lt;=825),1,0)</f>
        <v>0</v>
      </c>
      <c r="S174" s="6">
        <f>IF(AND(sim.tbl[[#This Row],[Sulf]]&lt;=0.5,sim.tbl[[#This Row],[Dens]]&gt;770,sim.tbl[[#This Row],[Dens]]&lt;=825),1,0)</f>
        <v>0</v>
      </c>
      <c r="T174" s="6">
        <f>IF(AND(sim.tbl[[#This Row],[Sulf]]&gt;0.5,sim.tbl[[#This Row],[Dens]]&gt;825,sim.tbl[[#This Row],[Dens]]&lt;=870),1,0)</f>
        <v>1</v>
      </c>
      <c r="U174" s="6">
        <f>IF(AND(sim.tbl[[#This Row],[Sulf]]&lt;0.5,sim.tbl[[#This Row],[Dens]]&gt;825,sim.tbl[[#This Row],[Dens]]&lt;=900),1,0)</f>
        <v>0</v>
      </c>
      <c r="V174" s="6">
        <f>IF(AND(sim.tbl[[#This Row],[Sulf]]&gt;0.5,sim.tbl[[#This Row],[Dens]]&gt;870,sim.tbl[[#This Row],[Dens]]&lt;=900),1,0)</f>
        <v>0</v>
      </c>
      <c r="W174" s="6">
        <f>IF(AND(sim.tbl[[#This Row],[Sulf]]&gt;0.5,sim.tbl[[#This Row],[Dens]]&gt;900),1,0)</f>
        <v>0</v>
      </c>
      <c r="X174" s="6">
        <f>IF(AND(sim.tbl[[#This Row],[Sulf]]&lt;=0.5,sim.tbl[[#This Row],[Dens]]&gt;900),1,0)</f>
        <v>0</v>
      </c>
      <c r="Y174" s="6">
        <f ca="1">IF(MONTH(sim.tbl[[#This Row],[SDate]])=INDEX(mthLkUp.tbl[Num],MATCH(Y$3,mthLkUp.tbl[Month],0)),1,0)</f>
        <v>0</v>
      </c>
      <c r="Z174" s="6">
        <f ca="1">IF(MONTH(sim.tbl[[#This Row],[SDate]])=INDEX(mthLkUp.tbl[Num],MATCH(Z$3,mthLkUp.tbl[Month],0)),1,0)</f>
        <v>0</v>
      </c>
      <c r="AA174" s="6">
        <f ca="1">IF(MONTH(sim.tbl[[#This Row],[SDate]])=INDEX(mthLkUp.tbl[Num],MATCH(AA$3,mthLkUp.tbl[Month],0)),1,0)</f>
        <v>1</v>
      </c>
      <c r="AB174" s="6">
        <f ca="1">IF(MONTH(sim.tbl[[#This Row],[SDate]])=INDEX(mthLkUp.tbl[Num],MATCH(AB$3,mthLkUp.tbl[Month],0)),1,0)</f>
        <v>0</v>
      </c>
      <c r="AC174" s="6">
        <f ca="1">IF(MONTH(sim.tbl[[#This Row],[SDate]])=INDEX(mthLkUp.tbl[Num],MATCH(AC$3,mthLkUp.tbl[Month],0)),1,0)</f>
        <v>0</v>
      </c>
      <c r="AD174" s="6">
        <f ca="1">IF(MONTH(sim.tbl[[#This Row],[SDate]])=INDEX(mthLkUp.tbl[Num],MATCH(AD$3,mthLkUp.tbl[Month],0)),1,0)</f>
        <v>0</v>
      </c>
      <c r="AE174" s="6">
        <f ca="1">IF(MONTH(sim.tbl[[#This Row],[SDate]])=INDEX(mthLkUp.tbl[Num],MATCH(AE$3,mthLkUp.tbl[Month],0)),1,0)</f>
        <v>0</v>
      </c>
      <c r="AF174" s="6">
        <f ca="1">IF(MONTH(sim.tbl[[#This Row],[SDate]])=INDEX(mthLkUp.tbl[Num],MATCH(AF$3,mthLkUp.tbl[Month],0)),1,0)</f>
        <v>0</v>
      </c>
      <c r="AG174" s="6">
        <f ca="1">IF(MONTH(sim.tbl[[#This Row],[SDate]])=INDEX(mthLkUp.tbl[Num],MATCH(AG$3,mthLkUp.tbl[Month],0)),1,0)</f>
        <v>0</v>
      </c>
      <c r="AH174" s="6">
        <f ca="1">IF(MONTH(sim.tbl[[#This Row],[SDate]])=INDEX(mthLkUp.tbl[Num],MATCH(AH$3,mthLkUp.tbl[Month],0)),1,0)</f>
        <v>0</v>
      </c>
      <c r="AI174" s="6">
        <f ca="1">IF(MONTH(sim.tbl[[#This Row],[SDate]])=INDEX(mthLkUp.tbl[Num],MATCH(AI$3,mthLkUp.tbl[Month],0)),1,0)</f>
        <v>0</v>
      </c>
      <c r="AJ174" s="6">
        <f ca="1">IF(MONTH(sim.tbl[[#This Row],[SDate]])=INDEX(mthLkUp.tbl[Num],MATCH(AJ$3,mthLkUp.tbl[Month],0)),1,0)</f>
        <v>0</v>
      </c>
      <c r="AK174" s="6">
        <v>1</v>
      </c>
      <c r="AL174" s="5">
        <f>sim.tbl[[#This Row],[Sulf]]*sim.tbl[[#This Row],[C5]]</f>
        <v>0</v>
      </c>
      <c r="AM174" s="5">
        <f>sim.tbl[[#This Row],[Sulf]]*sim.tbl[[#This Row],[Light_LSB]]</f>
        <v>0</v>
      </c>
      <c r="AN174" s="5">
        <f>sim.tbl[[#This Row],[Sulf]]*sim.tbl[[#This Row],[Light_SW]]</f>
        <v>0</v>
      </c>
      <c r="AO174" s="5">
        <f>sim.tbl[[#This Row],[Sulf]]*sim.tbl[[#This Row],[Medium_LSB]]</f>
        <v>1.74</v>
      </c>
      <c r="AP174" s="5">
        <f>sim.tbl[[#This Row],[Sulf]]*sim.tbl[[#This Row],[Medium_SW]]</f>
        <v>0</v>
      </c>
      <c r="AQ174" s="5">
        <f>sim.tbl[[#This Row],[Sulf]]*sim.tbl[[#This Row],[Midale]]</f>
        <v>0</v>
      </c>
      <c r="AR174" s="5">
        <f>sim.tbl[[#This Row],[Sulf]]*sim.tbl[[#This Row],[Heavy_Sour]]</f>
        <v>0</v>
      </c>
      <c r="AS174" s="5">
        <f>sim.tbl[[#This Row],[Sulf]]*sim.tbl[[#This Row],[Heavy_SW]]</f>
        <v>0</v>
      </c>
      <c r="AT174" s="5">
        <f>sim.tbl[[#This Row],[Dens]]*sim.tbl[[#This Row],[C5]]</f>
        <v>0</v>
      </c>
      <c r="AU174" s="5">
        <f>sim.tbl[[#This Row],[Dens]]*sim.tbl[[#This Row],[Light_LSB]]</f>
        <v>0</v>
      </c>
      <c r="AV174" s="5">
        <f>sim.tbl[[#This Row],[Dens]]*sim.tbl[[#This Row],[Light_SW]]</f>
        <v>0</v>
      </c>
      <c r="AW174" s="5">
        <f>sim.tbl[[#This Row],[Dens]]*sim.tbl[[#This Row],[Medium_LSB]]</f>
        <v>827.9</v>
      </c>
      <c r="AX174" s="5">
        <f>sim.tbl[[#This Row],[Dens]]*sim.tbl[[#This Row],[Medium_SW]]</f>
        <v>0</v>
      </c>
      <c r="AY174" s="5">
        <f>sim.tbl[[#This Row],[Dens]]*sim.tbl[[#This Row],[Midale]]</f>
        <v>0</v>
      </c>
      <c r="AZ174" s="5">
        <f>sim.tbl[[#This Row],[Dens]]*sim.tbl[[#This Row],[Heavy_Sour]]</f>
        <v>0</v>
      </c>
      <c r="BA174" s="5">
        <f>sim.tbl[[#This Row],[Dens]]*sim.tbl[[#This Row],[Heavy_SW]]</f>
        <v>0</v>
      </c>
      <c r="BB174" s="5">
        <f>sim.tbl[[#This Row],[Temp.Roll]]*sim.tbl[[#This Row],[C5]]</f>
        <v>0</v>
      </c>
      <c r="BC174" s="5">
        <f>sim.tbl[[#This Row],[Temp.Roll]]*sim.tbl[[#This Row],[Light_LSB]]</f>
        <v>0</v>
      </c>
      <c r="BD174" s="5">
        <f>sim.tbl[[#This Row],[Temp.Roll]]*sim.tbl[[#This Row],[Light_SW]]</f>
        <v>0</v>
      </c>
      <c r="BE174" s="5">
        <f>sim.tbl[[#This Row],[Temp.Roll]]*sim.tbl[[#This Row],[Medium_LSB]]</f>
        <v>6.4</v>
      </c>
      <c r="BF174" s="5">
        <f>sim.tbl[[#This Row],[Temp.Roll]]*sim.tbl[[#This Row],[Medium_SW]]</f>
        <v>0</v>
      </c>
      <c r="BG174" s="5">
        <f>sim.tbl[[#This Row],[Temp.Roll]]*sim.tbl[[#This Row],[Midale]]</f>
        <v>0</v>
      </c>
      <c r="BH174" s="5">
        <f>sim.tbl[[#This Row],[Temp.Roll]]*sim.tbl[[#This Row],[Heavy_Sour]]</f>
        <v>0</v>
      </c>
      <c r="BI174" s="5">
        <f>sim.tbl[[#This Row],[Temp.Roll]]*sim.tbl[[#This Row],[Heavy_SW]]</f>
        <v>0</v>
      </c>
    </row>
    <row r="175" spans="4:61" x14ac:dyDescent="0.25">
      <c r="D175" s="5">
        <f ca="1">SUMPRODUCT($F$1:$BI$1,sim.tbl[[#This Row],[Intercept]:[Temp.Roll:Heavy_SW]])</f>
        <v>79.562419556076037</v>
      </c>
      <c r="E175" s="14">
        <f ca="1">DATE(YEAR(TODAY()),INDEX(mthLkUp.tbl[Num],MATCH(mth.input,mthLkUp.tbl[Month],0)),1)</f>
        <v>42795</v>
      </c>
      <c r="F175" s="6">
        <f>1</f>
        <v>1</v>
      </c>
      <c r="G175" s="5">
        <v>1.2</v>
      </c>
      <c r="H175" s="5">
        <v>841.9</v>
      </c>
      <c r="I175" s="5">
        <v>-5.14</v>
      </c>
      <c r="J175" s="5">
        <v>-3.5</v>
      </c>
      <c r="K175" s="5">
        <v>-3.7</v>
      </c>
      <c r="L175" s="5">
        <v>-3.5</v>
      </c>
      <c r="M175" s="5">
        <v>-10.5</v>
      </c>
      <c r="N175" s="5">
        <v>-4</v>
      </c>
      <c r="O175" s="5">
        <v>-6.8</v>
      </c>
      <c r="P175" s="5">
        <v>-7.7</v>
      </c>
      <c r="Q175" s="6">
        <f>IF(sim.tbl[[#This Row],[Dens]]&lt;=770,1,0)</f>
        <v>0</v>
      </c>
      <c r="R175" s="6">
        <f>IF(AND(sim.tbl[[#This Row],[Sulf]]&gt;0.5,sim.tbl[[#This Row],[Dens]]&gt;770,sim.tbl[[#This Row],[Dens]]&lt;=825),1,0)</f>
        <v>0</v>
      </c>
      <c r="S175" s="6">
        <f>IF(AND(sim.tbl[[#This Row],[Sulf]]&lt;=0.5,sim.tbl[[#This Row],[Dens]]&gt;770,sim.tbl[[#This Row],[Dens]]&lt;=825),1,0)</f>
        <v>0</v>
      </c>
      <c r="T175" s="6">
        <f>IF(AND(sim.tbl[[#This Row],[Sulf]]&gt;0.5,sim.tbl[[#This Row],[Dens]]&gt;825,sim.tbl[[#This Row],[Dens]]&lt;=870),1,0)</f>
        <v>1</v>
      </c>
      <c r="U175" s="6">
        <f>IF(AND(sim.tbl[[#This Row],[Sulf]]&lt;0.5,sim.tbl[[#This Row],[Dens]]&gt;825,sim.tbl[[#This Row],[Dens]]&lt;=900),1,0)</f>
        <v>0</v>
      </c>
      <c r="V175" s="6">
        <f>IF(AND(sim.tbl[[#This Row],[Sulf]]&gt;0.5,sim.tbl[[#This Row],[Dens]]&gt;870,sim.tbl[[#This Row],[Dens]]&lt;=900),1,0)</f>
        <v>0</v>
      </c>
      <c r="W175" s="6">
        <f>IF(AND(sim.tbl[[#This Row],[Sulf]]&gt;0.5,sim.tbl[[#This Row],[Dens]]&gt;900),1,0)</f>
        <v>0</v>
      </c>
      <c r="X175" s="6">
        <f>IF(AND(sim.tbl[[#This Row],[Sulf]]&lt;=0.5,sim.tbl[[#This Row],[Dens]]&gt;900),1,0)</f>
        <v>0</v>
      </c>
      <c r="Y175" s="6">
        <f ca="1">IF(MONTH(sim.tbl[[#This Row],[SDate]])=INDEX(mthLkUp.tbl[Num],MATCH(Y$3,mthLkUp.tbl[Month],0)),1,0)</f>
        <v>0</v>
      </c>
      <c r="Z175" s="6">
        <f ca="1">IF(MONTH(sim.tbl[[#This Row],[SDate]])=INDEX(mthLkUp.tbl[Num],MATCH(Z$3,mthLkUp.tbl[Month],0)),1,0)</f>
        <v>0</v>
      </c>
      <c r="AA175" s="6">
        <f ca="1">IF(MONTH(sim.tbl[[#This Row],[SDate]])=INDEX(mthLkUp.tbl[Num],MATCH(AA$3,mthLkUp.tbl[Month],0)),1,0)</f>
        <v>1</v>
      </c>
      <c r="AB175" s="6">
        <f ca="1">IF(MONTH(sim.tbl[[#This Row],[SDate]])=INDEX(mthLkUp.tbl[Num],MATCH(AB$3,mthLkUp.tbl[Month],0)),1,0)</f>
        <v>0</v>
      </c>
      <c r="AC175" s="6">
        <f ca="1">IF(MONTH(sim.tbl[[#This Row],[SDate]])=INDEX(mthLkUp.tbl[Num],MATCH(AC$3,mthLkUp.tbl[Month],0)),1,0)</f>
        <v>0</v>
      </c>
      <c r="AD175" s="6">
        <f ca="1">IF(MONTH(sim.tbl[[#This Row],[SDate]])=INDEX(mthLkUp.tbl[Num],MATCH(AD$3,mthLkUp.tbl[Month],0)),1,0)</f>
        <v>0</v>
      </c>
      <c r="AE175" s="6">
        <f ca="1">IF(MONTH(sim.tbl[[#This Row],[SDate]])=INDEX(mthLkUp.tbl[Num],MATCH(AE$3,mthLkUp.tbl[Month],0)),1,0)</f>
        <v>0</v>
      </c>
      <c r="AF175" s="6">
        <f ca="1">IF(MONTH(sim.tbl[[#This Row],[SDate]])=INDEX(mthLkUp.tbl[Num],MATCH(AF$3,mthLkUp.tbl[Month],0)),1,0)</f>
        <v>0</v>
      </c>
      <c r="AG175" s="6">
        <f ca="1">IF(MONTH(sim.tbl[[#This Row],[SDate]])=INDEX(mthLkUp.tbl[Num],MATCH(AG$3,mthLkUp.tbl[Month],0)),1,0)</f>
        <v>0</v>
      </c>
      <c r="AH175" s="6">
        <f ca="1">IF(MONTH(sim.tbl[[#This Row],[SDate]])=INDEX(mthLkUp.tbl[Num],MATCH(AH$3,mthLkUp.tbl[Month],0)),1,0)</f>
        <v>0</v>
      </c>
      <c r="AI175" s="6">
        <f ca="1">IF(MONTH(sim.tbl[[#This Row],[SDate]])=INDEX(mthLkUp.tbl[Num],MATCH(AI$3,mthLkUp.tbl[Month],0)),1,0)</f>
        <v>0</v>
      </c>
      <c r="AJ175" s="6">
        <f ca="1">IF(MONTH(sim.tbl[[#This Row],[SDate]])=INDEX(mthLkUp.tbl[Num],MATCH(AJ$3,mthLkUp.tbl[Month],0)),1,0)</f>
        <v>0</v>
      </c>
      <c r="AK175" s="6">
        <v>1</v>
      </c>
      <c r="AL175" s="5">
        <f>sim.tbl[[#This Row],[Sulf]]*sim.tbl[[#This Row],[C5]]</f>
        <v>0</v>
      </c>
      <c r="AM175" s="5">
        <f>sim.tbl[[#This Row],[Sulf]]*sim.tbl[[#This Row],[Light_LSB]]</f>
        <v>0</v>
      </c>
      <c r="AN175" s="5">
        <f>sim.tbl[[#This Row],[Sulf]]*sim.tbl[[#This Row],[Light_SW]]</f>
        <v>0</v>
      </c>
      <c r="AO175" s="5">
        <f>sim.tbl[[#This Row],[Sulf]]*sim.tbl[[#This Row],[Medium_LSB]]</f>
        <v>1.2</v>
      </c>
      <c r="AP175" s="5">
        <f>sim.tbl[[#This Row],[Sulf]]*sim.tbl[[#This Row],[Medium_SW]]</f>
        <v>0</v>
      </c>
      <c r="AQ175" s="5">
        <f>sim.tbl[[#This Row],[Sulf]]*sim.tbl[[#This Row],[Midale]]</f>
        <v>0</v>
      </c>
      <c r="AR175" s="5">
        <f>sim.tbl[[#This Row],[Sulf]]*sim.tbl[[#This Row],[Heavy_Sour]]</f>
        <v>0</v>
      </c>
      <c r="AS175" s="5">
        <f>sim.tbl[[#This Row],[Sulf]]*sim.tbl[[#This Row],[Heavy_SW]]</f>
        <v>0</v>
      </c>
      <c r="AT175" s="5">
        <f>sim.tbl[[#This Row],[Dens]]*sim.tbl[[#This Row],[C5]]</f>
        <v>0</v>
      </c>
      <c r="AU175" s="5">
        <f>sim.tbl[[#This Row],[Dens]]*sim.tbl[[#This Row],[Light_LSB]]</f>
        <v>0</v>
      </c>
      <c r="AV175" s="5">
        <f>sim.tbl[[#This Row],[Dens]]*sim.tbl[[#This Row],[Light_SW]]</f>
        <v>0</v>
      </c>
      <c r="AW175" s="5">
        <f>sim.tbl[[#This Row],[Dens]]*sim.tbl[[#This Row],[Medium_LSB]]</f>
        <v>841.9</v>
      </c>
      <c r="AX175" s="5">
        <f>sim.tbl[[#This Row],[Dens]]*sim.tbl[[#This Row],[Medium_SW]]</f>
        <v>0</v>
      </c>
      <c r="AY175" s="5">
        <f>sim.tbl[[#This Row],[Dens]]*sim.tbl[[#This Row],[Midale]]</f>
        <v>0</v>
      </c>
      <c r="AZ175" s="5">
        <f>sim.tbl[[#This Row],[Dens]]*sim.tbl[[#This Row],[Heavy_Sour]]</f>
        <v>0</v>
      </c>
      <c r="BA175" s="5">
        <f>sim.tbl[[#This Row],[Dens]]*sim.tbl[[#This Row],[Heavy_SW]]</f>
        <v>0</v>
      </c>
      <c r="BB175" s="5">
        <f>sim.tbl[[#This Row],[Temp.Roll]]*sim.tbl[[#This Row],[C5]]</f>
        <v>0</v>
      </c>
      <c r="BC175" s="5">
        <f>sim.tbl[[#This Row],[Temp.Roll]]*sim.tbl[[#This Row],[Light_LSB]]</f>
        <v>0</v>
      </c>
      <c r="BD175" s="5">
        <f>sim.tbl[[#This Row],[Temp.Roll]]*sim.tbl[[#This Row],[Light_SW]]</f>
        <v>0</v>
      </c>
      <c r="BE175" s="5">
        <f>sim.tbl[[#This Row],[Temp.Roll]]*sim.tbl[[#This Row],[Medium_LSB]]</f>
        <v>-3.5</v>
      </c>
      <c r="BF175" s="5">
        <f>sim.tbl[[#This Row],[Temp.Roll]]*sim.tbl[[#This Row],[Medium_SW]]</f>
        <v>0</v>
      </c>
      <c r="BG175" s="5">
        <f>sim.tbl[[#This Row],[Temp.Roll]]*sim.tbl[[#This Row],[Midale]]</f>
        <v>0</v>
      </c>
      <c r="BH175" s="5">
        <f>sim.tbl[[#This Row],[Temp.Roll]]*sim.tbl[[#This Row],[Heavy_Sour]]</f>
        <v>0</v>
      </c>
      <c r="BI175" s="5">
        <f>sim.tbl[[#This Row],[Temp.Roll]]*sim.tbl[[#This Row],[Heavy_SW]]</f>
        <v>0</v>
      </c>
    </row>
    <row r="176" spans="4:61" x14ac:dyDescent="0.25">
      <c r="D176" s="5">
        <f ca="1">SUMPRODUCT($F$1:$BI$1,sim.tbl[[#This Row],[Intercept]:[Temp.Roll:Heavy_SW]])</f>
        <v>75.228264078710794</v>
      </c>
      <c r="E176" s="14">
        <f ca="1">DATE(YEAR(TODAY()),INDEX(mthLkUp.tbl[Num],MATCH(mth.input,mthLkUp.tbl[Month],0)),1)</f>
        <v>42795</v>
      </c>
      <c r="F176" s="6">
        <f>1</f>
        <v>1</v>
      </c>
      <c r="G176" s="5">
        <v>0.98899999999999999</v>
      </c>
      <c r="H176" s="5">
        <v>845.8</v>
      </c>
      <c r="I176" s="5">
        <v>5.7</v>
      </c>
      <c r="J176" s="5">
        <v>5.3</v>
      </c>
      <c r="K176" s="5">
        <v>6</v>
      </c>
      <c r="L176" s="5">
        <v>5.3</v>
      </c>
      <c r="M176" s="5">
        <v>6.3</v>
      </c>
      <c r="N176" s="5">
        <v>5</v>
      </c>
      <c r="O176" s="5">
        <v>7</v>
      </c>
      <c r="P176" s="5">
        <v>4.5999999999999996</v>
      </c>
      <c r="Q176" s="6">
        <f>IF(sim.tbl[[#This Row],[Dens]]&lt;=770,1,0)</f>
        <v>0</v>
      </c>
      <c r="R176" s="6">
        <f>IF(AND(sim.tbl[[#This Row],[Sulf]]&gt;0.5,sim.tbl[[#This Row],[Dens]]&gt;770,sim.tbl[[#This Row],[Dens]]&lt;=825),1,0)</f>
        <v>0</v>
      </c>
      <c r="S176" s="6">
        <f>IF(AND(sim.tbl[[#This Row],[Sulf]]&lt;=0.5,sim.tbl[[#This Row],[Dens]]&gt;770,sim.tbl[[#This Row],[Dens]]&lt;=825),1,0)</f>
        <v>0</v>
      </c>
      <c r="T176" s="6">
        <f>IF(AND(sim.tbl[[#This Row],[Sulf]]&gt;0.5,sim.tbl[[#This Row],[Dens]]&gt;825,sim.tbl[[#This Row],[Dens]]&lt;=870),1,0)</f>
        <v>1</v>
      </c>
      <c r="U176" s="6">
        <f>IF(AND(sim.tbl[[#This Row],[Sulf]]&lt;0.5,sim.tbl[[#This Row],[Dens]]&gt;825,sim.tbl[[#This Row],[Dens]]&lt;=900),1,0)</f>
        <v>0</v>
      </c>
      <c r="V176" s="6">
        <f>IF(AND(sim.tbl[[#This Row],[Sulf]]&gt;0.5,sim.tbl[[#This Row],[Dens]]&gt;870,sim.tbl[[#This Row],[Dens]]&lt;=900),1,0)</f>
        <v>0</v>
      </c>
      <c r="W176" s="6">
        <f>IF(AND(sim.tbl[[#This Row],[Sulf]]&gt;0.5,sim.tbl[[#This Row],[Dens]]&gt;900),1,0)</f>
        <v>0</v>
      </c>
      <c r="X176" s="6">
        <f>IF(AND(sim.tbl[[#This Row],[Sulf]]&lt;=0.5,sim.tbl[[#This Row],[Dens]]&gt;900),1,0)</f>
        <v>0</v>
      </c>
      <c r="Y176" s="6">
        <f ca="1">IF(MONTH(sim.tbl[[#This Row],[SDate]])=INDEX(mthLkUp.tbl[Num],MATCH(Y$3,mthLkUp.tbl[Month],0)),1,0)</f>
        <v>0</v>
      </c>
      <c r="Z176" s="6">
        <f ca="1">IF(MONTH(sim.tbl[[#This Row],[SDate]])=INDEX(mthLkUp.tbl[Num],MATCH(Z$3,mthLkUp.tbl[Month],0)),1,0)</f>
        <v>0</v>
      </c>
      <c r="AA176" s="6">
        <f ca="1">IF(MONTH(sim.tbl[[#This Row],[SDate]])=INDEX(mthLkUp.tbl[Num],MATCH(AA$3,mthLkUp.tbl[Month],0)),1,0)</f>
        <v>1</v>
      </c>
      <c r="AB176" s="6">
        <f ca="1">IF(MONTH(sim.tbl[[#This Row],[SDate]])=INDEX(mthLkUp.tbl[Num],MATCH(AB$3,mthLkUp.tbl[Month],0)),1,0)</f>
        <v>0</v>
      </c>
      <c r="AC176" s="6">
        <f ca="1">IF(MONTH(sim.tbl[[#This Row],[SDate]])=INDEX(mthLkUp.tbl[Num],MATCH(AC$3,mthLkUp.tbl[Month],0)),1,0)</f>
        <v>0</v>
      </c>
      <c r="AD176" s="6">
        <f ca="1">IF(MONTH(sim.tbl[[#This Row],[SDate]])=INDEX(mthLkUp.tbl[Num],MATCH(AD$3,mthLkUp.tbl[Month],0)),1,0)</f>
        <v>0</v>
      </c>
      <c r="AE176" s="6">
        <f ca="1">IF(MONTH(sim.tbl[[#This Row],[SDate]])=INDEX(mthLkUp.tbl[Num],MATCH(AE$3,mthLkUp.tbl[Month],0)),1,0)</f>
        <v>0</v>
      </c>
      <c r="AF176" s="6">
        <f ca="1">IF(MONTH(sim.tbl[[#This Row],[SDate]])=INDEX(mthLkUp.tbl[Num],MATCH(AF$3,mthLkUp.tbl[Month],0)),1,0)</f>
        <v>0</v>
      </c>
      <c r="AG176" s="6">
        <f ca="1">IF(MONTH(sim.tbl[[#This Row],[SDate]])=INDEX(mthLkUp.tbl[Num],MATCH(AG$3,mthLkUp.tbl[Month],0)),1,0)</f>
        <v>0</v>
      </c>
      <c r="AH176" s="6">
        <f ca="1">IF(MONTH(sim.tbl[[#This Row],[SDate]])=INDEX(mthLkUp.tbl[Num],MATCH(AH$3,mthLkUp.tbl[Month],0)),1,0)</f>
        <v>0</v>
      </c>
      <c r="AI176" s="6">
        <f ca="1">IF(MONTH(sim.tbl[[#This Row],[SDate]])=INDEX(mthLkUp.tbl[Num],MATCH(AI$3,mthLkUp.tbl[Month],0)),1,0)</f>
        <v>0</v>
      </c>
      <c r="AJ176" s="6">
        <f ca="1">IF(MONTH(sim.tbl[[#This Row],[SDate]])=INDEX(mthLkUp.tbl[Num],MATCH(AJ$3,mthLkUp.tbl[Month],0)),1,0)</f>
        <v>0</v>
      </c>
      <c r="AK176" s="6">
        <v>1</v>
      </c>
      <c r="AL176" s="5">
        <f>sim.tbl[[#This Row],[Sulf]]*sim.tbl[[#This Row],[C5]]</f>
        <v>0</v>
      </c>
      <c r="AM176" s="5">
        <f>sim.tbl[[#This Row],[Sulf]]*sim.tbl[[#This Row],[Light_LSB]]</f>
        <v>0</v>
      </c>
      <c r="AN176" s="5">
        <f>sim.tbl[[#This Row],[Sulf]]*sim.tbl[[#This Row],[Light_SW]]</f>
        <v>0</v>
      </c>
      <c r="AO176" s="5">
        <f>sim.tbl[[#This Row],[Sulf]]*sim.tbl[[#This Row],[Medium_LSB]]</f>
        <v>0.98899999999999999</v>
      </c>
      <c r="AP176" s="5">
        <f>sim.tbl[[#This Row],[Sulf]]*sim.tbl[[#This Row],[Medium_SW]]</f>
        <v>0</v>
      </c>
      <c r="AQ176" s="5">
        <f>sim.tbl[[#This Row],[Sulf]]*sim.tbl[[#This Row],[Midale]]</f>
        <v>0</v>
      </c>
      <c r="AR176" s="5">
        <f>sim.tbl[[#This Row],[Sulf]]*sim.tbl[[#This Row],[Heavy_Sour]]</f>
        <v>0</v>
      </c>
      <c r="AS176" s="5">
        <f>sim.tbl[[#This Row],[Sulf]]*sim.tbl[[#This Row],[Heavy_SW]]</f>
        <v>0</v>
      </c>
      <c r="AT176" s="5">
        <f>sim.tbl[[#This Row],[Dens]]*sim.tbl[[#This Row],[C5]]</f>
        <v>0</v>
      </c>
      <c r="AU176" s="5">
        <f>sim.tbl[[#This Row],[Dens]]*sim.tbl[[#This Row],[Light_LSB]]</f>
        <v>0</v>
      </c>
      <c r="AV176" s="5">
        <f>sim.tbl[[#This Row],[Dens]]*sim.tbl[[#This Row],[Light_SW]]</f>
        <v>0</v>
      </c>
      <c r="AW176" s="5">
        <f>sim.tbl[[#This Row],[Dens]]*sim.tbl[[#This Row],[Medium_LSB]]</f>
        <v>845.8</v>
      </c>
      <c r="AX176" s="5">
        <f>sim.tbl[[#This Row],[Dens]]*sim.tbl[[#This Row],[Medium_SW]]</f>
        <v>0</v>
      </c>
      <c r="AY176" s="5">
        <f>sim.tbl[[#This Row],[Dens]]*sim.tbl[[#This Row],[Midale]]</f>
        <v>0</v>
      </c>
      <c r="AZ176" s="5">
        <f>sim.tbl[[#This Row],[Dens]]*sim.tbl[[#This Row],[Heavy_Sour]]</f>
        <v>0</v>
      </c>
      <c r="BA176" s="5">
        <f>sim.tbl[[#This Row],[Dens]]*sim.tbl[[#This Row],[Heavy_SW]]</f>
        <v>0</v>
      </c>
      <c r="BB176" s="5">
        <f>sim.tbl[[#This Row],[Temp.Roll]]*sim.tbl[[#This Row],[C5]]</f>
        <v>0</v>
      </c>
      <c r="BC176" s="5">
        <f>sim.tbl[[#This Row],[Temp.Roll]]*sim.tbl[[#This Row],[Light_LSB]]</f>
        <v>0</v>
      </c>
      <c r="BD176" s="5">
        <f>sim.tbl[[#This Row],[Temp.Roll]]*sim.tbl[[#This Row],[Light_SW]]</f>
        <v>0</v>
      </c>
      <c r="BE176" s="5">
        <f>sim.tbl[[#This Row],[Temp.Roll]]*sim.tbl[[#This Row],[Medium_LSB]]</f>
        <v>5.3</v>
      </c>
      <c r="BF176" s="5">
        <f>sim.tbl[[#This Row],[Temp.Roll]]*sim.tbl[[#This Row],[Medium_SW]]</f>
        <v>0</v>
      </c>
      <c r="BG176" s="5">
        <f>sim.tbl[[#This Row],[Temp.Roll]]*sim.tbl[[#This Row],[Midale]]</f>
        <v>0</v>
      </c>
      <c r="BH176" s="5">
        <f>sim.tbl[[#This Row],[Temp.Roll]]*sim.tbl[[#This Row],[Heavy_Sour]]</f>
        <v>0</v>
      </c>
      <c r="BI176" s="5">
        <f>sim.tbl[[#This Row],[Temp.Roll]]*sim.tbl[[#This Row],[Heavy_SW]]</f>
        <v>0</v>
      </c>
    </row>
    <row r="177" spans="4:61" x14ac:dyDescent="0.25">
      <c r="D177" s="5">
        <f ca="1">SUMPRODUCT($F$1:$BI$1,sim.tbl[[#This Row],[Intercept]:[Temp.Roll:Heavy_SW]])</f>
        <v>77.038416899767782</v>
      </c>
      <c r="E177" s="14">
        <f ca="1">DATE(YEAR(TODAY()),INDEX(mthLkUp.tbl[Num],MATCH(mth.input,mthLkUp.tbl[Month],0)),1)</f>
        <v>42795</v>
      </c>
      <c r="F177" s="6">
        <f>1</f>
        <v>1</v>
      </c>
      <c r="G177" s="5">
        <v>1.1819999999999999</v>
      </c>
      <c r="H177" s="5">
        <v>833.4</v>
      </c>
      <c r="I177" s="5">
        <v>11.44</v>
      </c>
      <c r="J177" s="5">
        <v>10.6</v>
      </c>
      <c r="K177" s="5">
        <v>11</v>
      </c>
      <c r="L177" s="5">
        <v>10.6</v>
      </c>
      <c r="M177" s="5">
        <v>7.8</v>
      </c>
      <c r="N177" s="5">
        <v>12</v>
      </c>
      <c r="O177" s="5">
        <v>12</v>
      </c>
      <c r="P177" s="5">
        <v>11.6</v>
      </c>
      <c r="Q177" s="6">
        <f>IF(sim.tbl[[#This Row],[Dens]]&lt;=770,1,0)</f>
        <v>0</v>
      </c>
      <c r="R177" s="6">
        <f>IF(AND(sim.tbl[[#This Row],[Sulf]]&gt;0.5,sim.tbl[[#This Row],[Dens]]&gt;770,sim.tbl[[#This Row],[Dens]]&lt;=825),1,0)</f>
        <v>0</v>
      </c>
      <c r="S177" s="6">
        <f>IF(AND(sim.tbl[[#This Row],[Sulf]]&lt;=0.5,sim.tbl[[#This Row],[Dens]]&gt;770,sim.tbl[[#This Row],[Dens]]&lt;=825),1,0)</f>
        <v>0</v>
      </c>
      <c r="T177" s="6">
        <f>IF(AND(sim.tbl[[#This Row],[Sulf]]&gt;0.5,sim.tbl[[#This Row],[Dens]]&gt;825,sim.tbl[[#This Row],[Dens]]&lt;=870),1,0)</f>
        <v>1</v>
      </c>
      <c r="U177" s="6">
        <f>IF(AND(sim.tbl[[#This Row],[Sulf]]&lt;0.5,sim.tbl[[#This Row],[Dens]]&gt;825,sim.tbl[[#This Row],[Dens]]&lt;=900),1,0)</f>
        <v>0</v>
      </c>
      <c r="V177" s="6">
        <f>IF(AND(sim.tbl[[#This Row],[Sulf]]&gt;0.5,sim.tbl[[#This Row],[Dens]]&gt;870,sim.tbl[[#This Row],[Dens]]&lt;=900),1,0)</f>
        <v>0</v>
      </c>
      <c r="W177" s="6">
        <f>IF(AND(sim.tbl[[#This Row],[Sulf]]&gt;0.5,sim.tbl[[#This Row],[Dens]]&gt;900),1,0)</f>
        <v>0</v>
      </c>
      <c r="X177" s="6">
        <f>IF(AND(sim.tbl[[#This Row],[Sulf]]&lt;=0.5,sim.tbl[[#This Row],[Dens]]&gt;900),1,0)</f>
        <v>0</v>
      </c>
      <c r="Y177" s="6">
        <f ca="1">IF(MONTH(sim.tbl[[#This Row],[SDate]])=INDEX(mthLkUp.tbl[Num],MATCH(Y$3,mthLkUp.tbl[Month],0)),1,0)</f>
        <v>0</v>
      </c>
      <c r="Z177" s="6">
        <f ca="1">IF(MONTH(sim.tbl[[#This Row],[SDate]])=INDEX(mthLkUp.tbl[Num],MATCH(Z$3,mthLkUp.tbl[Month],0)),1,0)</f>
        <v>0</v>
      </c>
      <c r="AA177" s="6">
        <f ca="1">IF(MONTH(sim.tbl[[#This Row],[SDate]])=INDEX(mthLkUp.tbl[Num],MATCH(AA$3,mthLkUp.tbl[Month],0)),1,0)</f>
        <v>1</v>
      </c>
      <c r="AB177" s="6">
        <f ca="1">IF(MONTH(sim.tbl[[#This Row],[SDate]])=INDEX(mthLkUp.tbl[Num],MATCH(AB$3,mthLkUp.tbl[Month],0)),1,0)</f>
        <v>0</v>
      </c>
      <c r="AC177" s="6">
        <f ca="1">IF(MONTH(sim.tbl[[#This Row],[SDate]])=INDEX(mthLkUp.tbl[Num],MATCH(AC$3,mthLkUp.tbl[Month],0)),1,0)</f>
        <v>0</v>
      </c>
      <c r="AD177" s="6">
        <f ca="1">IF(MONTH(sim.tbl[[#This Row],[SDate]])=INDEX(mthLkUp.tbl[Num],MATCH(AD$3,mthLkUp.tbl[Month],0)),1,0)</f>
        <v>0</v>
      </c>
      <c r="AE177" s="6">
        <f ca="1">IF(MONTH(sim.tbl[[#This Row],[SDate]])=INDEX(mthLkUp.tbl[Num],MATCH(AE$3,mthLkUp.tbl[Month],0)),1,0)</f>
        <v>0</v>
      </c>
      <c r="AF177" s="6">
        <f ca="1">IF(MONTH(sim.tbl[[#This Row],[SDate]])=INDEX(mthLkUp.tbl[Num],MATCH(AF$3,mthLkUp.tbl[Month],0)),1,0)</f>
        <v>0</v>
      </c>
      <c r="AG177" s="6">
        <f ca="1">IF(MONTH(sim.tbl[[#This Row],[SDate]])=INDEX(mthLkUp.tbl[Num],MATCH(AG$3,mthLkUp.tbl[Month],0)),1,0)</f>
        <v>0</v>
      </c>
      <c r="AH177" s="6">
        <f ca="1">IF(MONTH(sim.tbl[[#This Row],[SDate]])=INDEX(mthLkUp.tbl[Num],MATCH(AH$3,mthLkUp.tbl[Month],0)),1,0)</f>
        <v>0</v>
      </c>
      <c r="AI177" s="6">
        <f ca="1">IF(MONTH(sim.tbl[[#This Row],[SDate]])=INDEX(mthLkUp.tbl[Num],MATCH(AI$3,mthLkUp.tbl[Month],0)),1,0)</f>
        <v>0</v>
      </c>
      <c r="AJ177" s="6">
        <f ca="1">IF(MONTH(sim.tbl[[#This Row],[SDate]])=INDEX(mthLkUp.tbl[Num],MATCH(AJ$3,mthLkUp.tbl[Month],0)),1,0)</f>
        <v>0</v>
      </c>
      <c r="AK177" s="6">
        <v>1</v>
      </c>
      <c r="AL177" s="5">
        <f>sim.tbl[[#This Row],[Sulf]]*sim.tbl[[#This Row],[C5]]</f>
        <v>0</v>
      </c>
      <c r="AM177" s="5">
        <f>sim.tbl[[#This Row],[Sulf]]*sim.tbl[[#This Row],[Light_LSB]]</f>
        <v>0</v>
      </c>
      <c r="AN177" s="5">
        <f>sim.tbl[[#This Row],[Sulf]]*sim.tbl[[#This Row],[Light_SW]]</f>
        <v>0</v>
      </c>
      <c r="AO177" s="5">
        <f>sim.tbl[[#This Row],[Sulf]]*sim.tbl[[#This Row],[Medium_LSB]]</f>
        <v>1.1819999999999999</v>
      </c>
      <c r="AP177" s="5">
        <f>sim.tbl[[#This Row],[Sulf]]*sim.tbl[[#This Row],[Medium_SW]]</f>
        <v>0</v>
      </c>
      <c r="AQ177" s="5">
        <f>sim.tbl[[#This Row],[Sulf]]*sim.tbl[[#This Row],[Midale]]</f>
        <v>0</v>
      </c>
      <c r="AR177" s="5">
        <f>sim.tbl[[#This Row],[Sulf]]*sim.tbl[[#This Row],[Heavy_Sour]]</f>
        <v>0</v>
      </c>
      <c r="AS177" s="5">
        <f>sim.tbl[[#This Row],[Sulf]]*sim.tbl[[#This Row],[Heavy_SW]]</f>
        <v>0</v>
      </c>
      <c r="AT177" s="5">
        <f>sim.tbl[[#This Row],[Dens]]*sim.tbl[[#This Row],[C5]]</f>
        <v>0</v>
      </c>
      <c r="AU177" s="5">
        <f>sim.tbl[[#This Row],[Dens]]*sim.tbl[[#This Row],[Light_LSB]]</f>
        <v>0</v>
      </c>
      <c r="AV177" s="5">
        <f>sim.tbl[[#This Row],[Dens]]*sim.tbl[[#This Row],[Light_SW]]</f>
        <v>0</v>
      </c>
      <c r="AW177" s="5">
        <f>sim.tbl[[#This Row],[Dens]]*sim.tbl[[#This Row],[Medium_LSB]]</f>
        <v>833.4</v>
      </c>
      <c r="AX177" s="5">
        <f>sim.tbl[[#This Row],[Dens]]*sim.tbl[[#This Row],[Medium_SW]]</f>
        <v>0</v>
      </c>
      <c r="AY177" s="5">
        <f>sim.tbl[[#This Row],[Dens]]*sim.tbl[[#This Row],[Midale]]</f>
        <v>0</v>
      </c>
      <c r="AZ177" s="5">
        <f>sim.tbl[[#This Row],[Dens]]*sim.tbl[[#This Row],[Heavy_Sour]]</f>
        <v>0</v>
      </c>
      <c r="BA177" s="5">
        <f>sim.tbl[[#This Row],[Dens]]*sim.tbl[[#This Row],[Heavy_SW]]</f>
        <v>0</v>
      </c>
      <c r="BB177" s="5">
        <f>sim.tbl[[#This Row],[Temp.Roll]]*sim.tbl[[#This Row],[C5]]</f>
        <v>0</v>
      </c>
      <c r="BC177" s="5">
        <f>sim.tbl[[#This Row],[Temp.Roll]]*sim.tbl[[#This Row],[Light_LSB]]</f>
        <v>0</v>
      </c>
      <c r="BD177" s="5">
        <f>sim.tbl[[#This Row],[Temp.Roll]]*sim.tbl[[#This Row],[Light_SW]]</f>
        <v>0</v>
      </c>
      <c r="BE177" s="5">
        <f>sim.tbl[[#This Row],[Temp.Roll]]*sim.tbl[[#This Row],[Medium_LSB]]</f>
        <v>10.6</v>
      </c>
      <c r="BF177" s="5">
        <f>sim.tbl[[#This Row],[Temp.Roll]]*sim.tbl[[#This Row],[Medium_SW]]</f>
        <v>0</v>
      </c>
      <c r="BG177" s="5">
        <f>sim.tbl[[#This Row],[Temp.Roll]]*sim.tbl[[#This Row],[Midale]]</f>
        <v>0</v>
      </c>
      <c r="BH177" s="5">
        <f>sim.tbl[[#This Row],[Temp.Roll]]*sim.tbl[[#This Row],[Heavy_Sour]]</f>
        <v>0</v>
      </c>
      <c r="BI177" s="5">
        <f>sim.tbl[[#This Row],[Temp.Roll]]*sim.tbl[[#This Row],[Heavy_SW]]</f>
        <v>0</v>
      </c>
    </row>
    <row r="178" spans="4:61" x14ac:dyDescent="0.25">
      <c r="D178" s="5">
        <f ca="1">SUMPRODUCT($F$1:$BI$1,sim.tbl[[#This Row],[Intercept]:[Temp.Roll:Heavy_SW]])</f>
        <v>96.265547057521076</v>
      </c>
      <c r="E178" s="14">
        <f ca="1">DATE(YEAR(TODAY()),INDEX(mthLkUp.tbl[Num],MATCH(mth.input,mthLkUp.tbl[Month],0)),1)</f>
        <v>42795</v>
      </c>
      <c r="F178" s="6">
        <f>1</f>
        <v>1</v>
      </c>
      <c r="G178" s="5">
        <v>0.57499999999999996</v>
      </c>
      <c r="H178" s="5">
        <v>823.2</v>
      </c>
      <c r="I178" s="5">
        <v>-18.466666669999999</v>
      </c>
      <c r="J178" s="5">
        <v>-21.7</v>
      </c>
      <c r="K178" s="5">
        <v>-18.5</v>
      </c>
      <c r="L178" s="5">
        <v>-21.7</v>
      </c>
      <c r="M178" s="5">
        <v>-18</v>
      </c>
      <c r="N178" s="5">
        <v>-18</v>
      </c>
      <c r="O178" s="5">
        <v>-17.100000000000001</v>
      </c>
      <c r="P178" s="5">
        <v>-17.5</v>
      </c>
      <c r="Q178" s="6">
        <f>IF(sim.tbl[[#This Row],[Dens]]&lt;=770,1,0)</f>
        <v>0</v>
      </c>
      <c r="R178" s="6">
        <f>IF(AND(sim.tbl[[#This Row],[Sulf]]&gt;0.5,sim.tbl[[#This Row],[Dens]]&gt;770,sim.tbl[[#This Row],[Dens]]&lt;=825),1,0)</f>
        <v>1</v>
      </c>
      <c r="S178" s="6">
        <f>IF(AND(sim.tbl[[#This Row],[Sulf]]&lt;=0.5,sim.tbl[[#This Row],[Dens]]&gt;770,sim.tbl[[#This Row],[Dens]]&lt;=825),1,0)</f>
        <v>0</v>
      </c>
      <c r="T178" s="6">
        <f>IF(AND(sim.tbl[[#This Row],[Sulf]]&gt;0.5,sim.tbl[[#This Row],[Dens]]&gt;825,sim.tbl[[#This Row],[Dens]]&lt;=870),1,0)</f>
        <v>0</v>
      </c>
      <c r="U178" s="6">
        <f>IF(AND(sim.tbl[[#This Row],[Sulf]]&lt;0.5,sim.tbl[[#This Row],[Dens]]&gt;825,sim.tbl[[#This Row],[Dens]]&lt;=900),1,0)</f>
        <v>0</v>
      </c>
      <c r="V178" s="6">
        <f>IF(AND(sim.tbl[[#This Row],[Sulf]]&gt;0.5,sim.tbl[[#This Row],[Dens]]&gt;870,sim.tbl[[#This Row],[Dens]]&lt;=900),1,0)</f>
        <v>0</v>
      </c>
      <c r="W178" s="6">
        <f>IF(AND(sim.tbl[[#This Row],[Sulf]]&gt;0.5,sim.tbl[[#This Row],[Dens]]&gt;900),1,0)</f>
        <v>0</v>
      </c>
      <c r="X178" s="6">
        <f>IF(AND(sim.tbl[[#This Row],[Sulf]]&lt;=0.5,sim.tbl[[#This Row],[Dens]]&gt;900),1,0)</f>
        <v>0</v>
      </c>
      <c r="Y178" s="6">
        <f ca="1">IF(MONTH(sim.tbl[[#This Row],[SDate]])=INDEX(mthLkUp.tbl[Num],MATCH(Y$3,mthLkUp.tbl[Month],0)),1,0)</f>
        <v>0</v>
      </c>
      <c r="Z178" s="6">
        <f ca="1">IF(MONTH(sim.tbl[[#This Row],[SDate]])=INDEX(mthLkUp.tbl[Num],MATCH(Z$3,mthLkUp.tbl[Month],0)),1,0)</f>
        <v>0</v>
      </c>
      <c r="AA178" s="6">
        <f ca="1">IF(MONTH(sim.tbl[[#This Row],[SDate]])=INDEX(mthLkUp.tbl[Num],MATCH(AA$3,mthLkUp.tbl[Month],0)),1,0)</f>
        <v>1</v>
      </c>
      <c r="AB178" s="6">
        <f ca="1">IF(MONTH(sim.tbl[[#This Row],[SDate]])=INDEX(mthLkUp.tbl[Num],MATCH(AB$3,mthLkUp.tbl[Month],0)),1,0)</f>
        <v>0</v>
      </c>
      <c r="AC178" s="6">
        <f ca="1">IF(MONTH(sim.tbl[[#This Row],[SDate]])=INDEX(mthLkUp.tbl[Num],MATCH(AC$3,mthLkUp.tbl[Month],0)),1,0)</f>
        <v>0</v>
      </c>
      <c r="AD178" s="6">
        <f ca="1">IF(MONTH(sim.tbl[[#This Row],[SDate]])=INDEX(mthLkUp.tbl[Num],MATCH(AD$3,mthLkUp.tbl[Month],0)),1,0)</f>
        <v>0</v>
      </c>
      <c r="AE178" s="6">
        <f ca="1">IF(MONTH(sim.tbl[[#This Row],[SDate]])=INDEX(mthLkUp.tbl[Num],MATCH(AE$3,mthLkUp.tbl[Month],0)),1,0)</f>
        <v>0</v>
      </c>
      <c r="AF178" s="6">
        <f ca="1">IF(MONTH(sim.tbl[[#This Row],[SDate]])=INDEX(mthLkUp.tbl[Num],MATCH(AF$3,mthLkUp.tbl[Month],0)),1,0)</f>
        <v>0</v>
      </c>
      <c r="AG178" s="6">
        <f ca="1">IF(MONTH(sim.tbl[[#This Row],[SDate]])=INDEX(mthLkUp.tbl[Num],MATCH(AG$3,mthLkUp.tbl[Month],0)),1,0)</f>
        <v>0</v>
      </c>
      <c r="AH178" s="6">
        <f ca="1">IF(MONTH(sim.tbl[[#This Row],[SDate]])=INDEX(mthLkUp.tbl[Num],MATCH(AH$3,mthLkUp.tbl[Month],0)),1,0)</f>
        <v>0</v>
      </c>
      <c r="AI178" s="6">
        <f ca="1">IF(MONTH(sim.tbl[[#This Row],[SDate]])=INDEX(mthLkUp.tbl[Num],MATCH(AI$3,mthLkUp.tbl[Month],0)),1,0)</f>
        <v>0</v>
      </c>
      <c r="AJ178" s="6">
        <f ca="1">IF(MONTH(sim.tbl[[#This Row],[SDate]])=INDEX(mthLkUp.tbl[Num],MATCH(AJ$3,mthLkUp.tbl[Month],0)),1,0)</f>
        <v>0</v>
      </c>
      <c r="AK178" s="6">
        <v>1</v>
      </c>
      <c r="AL178" s="5">
        <f>sim.tbl[[#This Row],[Sulf]]*sim.tbl[[#This Row],[C5]]</f>
        <v>0</v>
      </c>
      <c r="AM178" s="5">
        <f>sim.tbl[[#This Row],[Sulf]]*sim.tbl[[#This Row],[Light_LSB]]</f>
        <v>0.57499999999999996</v>
      </c>
      <c r="AN178" s="5">
        <f>sim.tbl[[#This Row],[Sulf]]*sim.tbl[[#This Row],[Light_SW]]</f>
        <v>0</v>
      </c>
      <c r="AO178" s="5">
        <f>sim.tbl[[#This Row],[Sulf]]*sim.tbl[[#This Row],[Medium_LSB]]</f>
        <v>0</v>
      </c>
      <c r="AP178" s="5">
        <f>sim.tbl[[#This Row],[Sulf]]*sim.tbl[[#This Row],[Medium_SW]]</f>
        <v>0</v>
      </c>
      <c r="AQ178" s="5">
        <f>sim.tbl[[#This Row],[Sulf]]*sim.tbl[[#This Row],[Midale]]</f>
        <v>0</v>
      </c>
      <c r="AR178" s="5">
        <f>sim.tbl[[#This Row],[Sulf]]*sim.tbl[[#This Row],[Heavy_Sour]]</f>
        <v>0</v>
      </c>
      <c r="AS178" s="5">
        <f>sim.tbl[[#This Row],[Sulf]]*sim.tbl[[#This Row],[Heavy_SW]]</f>
        <v>0</v>
      </c>
      <c r="AT178" s="5">
        <f>sim.tbl[[#This Row],[Dens]]*sim.tbl[[#This Row],[C5]]</f>
        <v>0</v>
      </c>
      <c r="AU178" s="5">
        <f>sim.tbl[[#This Row],[Dens]]*sim.tbl[[#This Row],[Light_LSB]]</f>
        <v>823.2</v>
      </c>
      <c r="AV178" s="5">
        <f>sim.tbl[[#This Row],[Dens]]*sim.tbl[[#This Row],[Light_SW]]</f>
        <v>0</v>
      </c>
      <c r="AW178" s="5">
        <f>sim.tbl[[#This Row],[Dens]]*sim.tbl[[#This Row],[Medium_LSB]]</f>
        <v>0</v>
      </c>
      <c r="AX178" s="5">
        <f>sim.tbl[[#This Row],[Dens]]*sim.tbl[[#This Row],[Medium_SW]]</f>
        <v>0</v>
      </c>
      <c r="AY178" s="5">
        <f>sim.tbl[[#This Row],[Dens]]*sim.tbl[[#This Row],[Midale]]</f>
        <v>0</v>
      </c>
      <c r="AZ178" s="5">
        <f>sim.tbl[[#This Row],[Dens]]*sim.tbl[[#This Row],[Heavy_Sour]]</f>
        <v>0</v>
      </c>
      <c r="BA178" s="5">
        <f>sim.tbl[[#This Row],[Dens]]*sim.tbl[[#This Row],[Heavy_SW]]</f>
        <v>0</v>
      </c>
      <c r="BB178" s="5">
        <f>sim.tbl[[#This Row],[Temp.Roll]]*sim.tbl[[#This Row],[C5]]</f>
        <v>0</v>
      </c>
      <c r="BC178" s="5">
        <f>sim.tbl[[#This Row],[Temp.Roll]]*sim.tbl[[#This Row],[Light_LSB]]</f>
        <v>-21.7</v>
      </c>
      <c r="BD178" s="5">
        <f>sim.tbl[[#This Row],[Temp.Roll]]*sim.tbl[[#This Row],[Light_SW]]</f>
        <v>0</v>
      </c>
      <c r="BE178" s="5">
        <f>sim.tbl[[#This Row],[Temp.Roll]]*sim.tbl[[#This Row],[Medium_LSB]]</f>
        <v>0</v>
      </c>
      <c r="BF178" s="5">
        <f>sim.tbl[[#This Row],[Temp.Roll]]*sim.tbl[[#This Row],[Medium_SW]]</f>
        <v>0</v>
      </c>
      <c r="BG178" s="5">
        <f>sim.tbl[[#This Row],[Temp.Roll]]*sim.tbl[[#This Row],[Midale]]</f>
        <v>0</v>
      </c>
      <c r="BH178" s="5">
        <f>sim.tbl[[#This Row],[Temp.Roll]]*sim.tbl[[#This Row],[Heavy_Sour]]</f>
        <v>0</v>
      </c>
      <c r="BI178" s="5">
        <f>sim.tbl[[#This Row],[Temp.Roll]]*sim.tbl[[#This Row],[Heavy_SW]]</f>
        <v>0</v>
      </c>
    </row>
    <row r="179" spans="4:61" x14ac:dyDescent="0.25">
      <c r="D179" s="5">
        <f ca="1">SUMPRODUCT($F$1:$BI$1,sim.tbl[[#This Row],[Intercept]:[Temp.Roll:Heavy_SW]])</f>
        <v>86.060985136907121</v>
      </c>
      <c r="E179" s="14">
        <f ca="1">DATE(YEAR(TODAY()),INDEX(mthLkUp.tbl[Num],MATCH(mth.input,mthLkUp.tbl[Month],0)),1)</f>
        <v>42795</v>
      </c>
      <c r="F179" s="6">
        <f>1</f>
        <v>1</v>
      </c>
      <c r="G179" s="5">
        <v>0.80700000000000005</v>
      </c>
      <c r="H179" s="5">
        <v>824.8</v>
      </c>
      <c r="I179" s="5">
        <v>0.9</v>
      </c>
      <c r="J179" s="5">
        <v>0.2</v>
      </c>
      <c r="K179" s="5">
        <v>0.7</v>
      </c>
      <c r="L179" s="5">
        <v>0.2</v>
      </c>
      <c r="M179" s="5">
        <v>2.8</v>
      </c>
      <c r="N179" s="5">
        <v>3.5</v>
      </c>
      <c r="O179" s="5">
        <v>0</v>
      </c>
      <c r="P179" s="5">
        <v>0.1</v>
      </c>
      <c r="Q179" s="6">
        <f>IF(sim.tbl[[#This Row],[Dens]]&lt;=770,1,0)</f>
        <v>0</v>
      </c>
      <c r="R179" s="6">
        <f>IF(AND(sim.tbl[[#This Row],[Sulf]]&gt;0.5,sim.tbl[[#This Row],[Dens]]&gt;770,sim.tbl[[#This Row],[Dens]]&lt;=825),1,0)</f>
        <v>1</v>
      </c>
      <c r="S179" s="6">
        <f>IF(AND(sim.tbl[[#This Row],[Sulf]]&lt;=0.5,sim.tbl[[#This Row],[Dens]]&gt;770,sim.tbl[[#This Row],[Dens]]&lt;=825),1,0)</f>
        <v>0</v>
      </c>
      <c r="T179" s="6">
        <f>IF(AND(sim.tbl[[#This Row],[Sulf]]&gt;0.5,sim.tbl[[#This Row],[Dens]]&gt;825,sim.tbl[[#This Row],[Dens]]&lt;=870),1,0)</f>
        <v>0</v>
      </c>
      <c r="U179" s="6">
        <f>IF(AND(sim.tbl[[#This Row],[Sulf]]&lt;0.5,sim.tbl[[#This Row],[Dens]]&gt;825,sim.tbl[[#This Row],[Dens]]&lt;=900),1,0)</f>
        <v>0</v>
      </c>
      <c r="V179" s="6">
        <f>IF(AND(sim.tbl[[#This Row],[Sulf]]&gt;0.5,sim.tbl[[#This Row],[Dens]]&gt;870,sim.tbl[[#This Row],[Dens]]&lt;=900),1,0)</f>
        <v>0</v>
      </c>
      <c r="W179" s="6">
        <f>IF(AND(sim.tbl[[#This Row],[Sulf]]&gt;0.5,sim.tbl[[#This Row],[Dens]]&gt;900),1,0)</f>
        <v>0</v>
      </c>
      <c r="X179" s="6">
        <f>IF(AND(sim.tbl[[#This Row],[Sulf]]&lt;=0.5,sim.tbl[[#This Row],[Dens]]&gt;900),1,0)</f>
        <v>0</v>
      </c>
      <c r="Y179" s="6">
        <f ca="1">IF(MONTH(sim.tbl[[#This Row],[SDate]])=INDEX(mthLkUp.tbl[Num],MATCH(Y$3,mthLkUp.tbl[Month],0)),1,0)</f>
        <v>0</v>
      </c>
      <c r="Z179" s="6">
        <f ca="1">IF(MONTH(sim.tbl[[#This Row],[SDate]])=INDEX(mthLkUp.tbl[Num],MATCH(Z$3,mthLkUp.tbl[Month],0)),1,0)</f>
        <v>0</v>
      </c>
      <c r="AA179" s="6">
        <f ca="1">IF(MONTH(sim.tbl[[#This Row],[SDate]])=INDEX(mthLkUp.tbl[Num],MATCH(AA$3,mthLkUp.tbl[Month],0)),1,0)</f>
        <v>1</v>
      </c>
      <c r="AB179" s="6">
        <f ca="1">IF(MONTH(sim.tbl[[#This Row],[SDate]])=INDEX(mthLkUp.tbl[Num],MATCH(AB$3,mthLkUp.tbl[Month],0)),1,0)</f>
        <v>0</v>
      </c>
      <c r="AC179" s="6">
        <f ca="1">IF(MONTH(sim.tbl[[#This Row],[SDate]])=INDEX(mthLkUp.tbl[Num],MATCH(AC$3,mthLkUp.tbl[Month],0)),1,0)</f>
        <v>0</v>
      </c>
      <c r="AD179" s="6">
        <f ca="1">IF(MONTH(sim.tbl[[#This Row],[SDate]])=INDEX(mthLkUp.tbl[Num],MATCH(AD$3,mthLkUp.tbl[Month],0)),1,0)</f>
        <v>0</v>
      </c>
      <c r="AE179" s="6">
        <f ca="1">IF(MONTH(sim.tbl[[#This Row],[SDate]])=INDEX(mthLkUp.tbl[Num],MATCH(AE$3,mthLkUp.tbl[Month],0)),1,0)</f>
        <v>0</v>
      </c>
      <c r="AF179" s="6">
        <f ca="1">IF(MONTH(sim.tbl[[#This Row],[SDate]])=INDEX(mthLkUp.tbl[Num],MATCH(AF$3,mthLkUp.tbl[Month],0)),1,0)</f>
        <v>0</v>
      </c>
      <c r="AG179" s="6">
        <f ca="1">IF(MONTH(sim.tbl[[#This Row],[SDate]])=INDEX(mthLkUp.tbl[Num],MATCH(AG$3,mthLkUp.tbl[Month],0)),1,0)</f>
        <v>0</v>
      </c>
      <c r="AH179" s="6">
        <f ca="1">IF(MONTH(sim.tbl[[#This Row],[SDate]])=INDEX(mthLkUp.tbl[Num],MATCH(AH$3,mthLkUp.tbl[Month],0)),1,0)</f>
        <v>0</v>
      </c>
      <c r="AI179" s="6">
        <f ca="1">IF(MONTH(sim.tbl[[#This Row],[SDate]])=INDEX(mthLkUp.tbl[Num],MATCH(AI$3,mthLkUp.tbl[Month],0)),1,0)</f>
        <v>0</v>
      </c>
      <c r="AJ179" s="6">
        <f ca="1">IF(MONTH(sim.tbl[[#This Row],[SDate]])=INDEX(mthLkUp.tbl[Num],MATCH(AJ$3,mthLkUp.tbl[Month],0)),1,0)</f>
        <v>0</v>
      </c>
      <c r="AK179" s="6">
        <v>1</v>
      </c>
      <c r="AL179" s="5">
        <f>sim.tbl[[#This Row],[Sulf]]*sim.tbl[[#This Row],[C5]]</f>
        <v>0</v>
      </c>
      <c r="AM179" s="5">
        <f>sim.tbl[[#This Row],[Sulf]]*sim.tbl[[#This Row],[Light_LSB]]</f>
        <v>0.80700000000000005</v>
      </c>
      <c r="AN179" s="5">
        <f>sim.tbl[[#This Row],[Sulf]]*sim.tbl[[#This Row],[Light_SW]]</f>
        <v>0</v>
      </c>
      <c r="AO179" s="5">
        <f>sim.tbl[[#This Row],[Sulf]]*sim.tbl[[#This Row],[Medium_LSB]]</f>
        <v>0</v>
      </c>
      <c r="AP179" s="5">
        <f>sim.tbl[[#This Row],[Sulf]]*sim.tbl[[#This Row],[Medium_SW]]</f>
        <v>0</v>
      </c>
      <c r="AQ179" s="5">
        <f>sim.tbl[[#This Row],[Sulf]]*sim.tbl[[#This Row],[Midale]]</f>
        <v>0</v>
      </c>
      <c r="AR179" s="5">
        <f>sim.tbl[[#This Row],[Sulf]]*sim.tbl[[#This Row],[Heavy_Sour]]</f>
        <v>0</v>
      </c>
      <c r="AS179" s="5">
        <f>sim.tbl[[#This Row],[Sulf]]*sim.tbl[[#This Row],[Heavy_SW]]</f>
        <v>0</v>
      </c>
      <c r="AT179" s="5">
        <f>sim.tbl[[#This Row],[Dens]]*sim.tbl[[#This Row],[C5]]</f>
        <v>0</v>
      </c>
      <c r="AU179" s="5">
        <f>sim.tbl[[#This Row],[Dens]]*sim.tbl[[#This Row],[Light_LSB]]</f>
        <v>824.8</v>
      </c>
      <c r="AV179" s="5">
        <f>sim.tbl[[#This Row],[Dens]]*sim.tbl[[#This Row],[Light_SW]]</f>
        <v>0</v>
      </c>
      <c r="AW179" s="5">
        <f>sim.tbl[[#This Row],[Dens]]*sim.tbl[[#This Row],[Medium_LSB]]</f>
        <v>0</v>
      </c>
      <c r="AX179" s="5">
        <f>sim.tbl[[#This Row],[Dens]]*sim.tbl[[#This Row],[Medium_SW]]</f>
        <v>0</v>
      </c>
      <c r="AY179" s="5">
        <f>sim.tbl[[#This Row],[Dens]]*sim.tbl[[#This Row],[Midale]]</f>
        <v>0</v>
      </c>
      <c r="AZ179" s="5">
        <f>sim.tbl[[#This Row],[Dens]]*sim.tbl[[#This Row],[Heavy_Sour]]</f>
        <v>0</v>
      </c>
      <c r="BA179" s="5">
        <f>sim.tbl[[#This Row],[Dens]]*sim.tbl[[#This Row],[Heavy_SW]]</f>
        <v>0</v>
      </c>
      <c r="BB179" s="5">
        <f>sim.tbl[[#This Row],[Temp.Roll]]*sim.tbl[[#This Row],[C5]]</f>
        <v>0</v>
      </c>
      <c r="BC179" s="5">
        <f>sim.tbl[[#This Row],[Temp.Roll]]*sim.tbl[[#This Row],[Light_LSB]]</f>
        <v>0.2</v>
      </c>
      <c r="BD179" s="5">
        <f>sim.tbl[[#This Row],[Temp.Roll]]*sim.tbl[[#This Row],[Light_SW]]</f>
        <v>0</v>
      </c>
      <c r="BE179" s="5">
        <f>sim.tbl[[#This Row],[Temp.Roll]]*sim.tbl[[#This Row],[Medium_LSB]]</f>
        <v>0</v>
      </c>
      <c r="BF179" s="5">
        <f>sim.tbl[[#This Row],[Temp.Roll]]*sim.tbl[[#This Row],[Medium_SW]]</f>
        <v>0</v>
      </c>
      <c r="BG179" s="5">
        <f>sim.tbl[[#This Row],[Temp.Roll]]*sim.tbl[[#This Row],[Midale]]</f>
        <v>0</v>
      </c>
      <c r="BH179" s="5">
        <f>sim.tbl[[#This Row],[Temp.Roll]]*sim.tbl[[#This Row],[Heavy_Sour]]</f>
        <v>0</v>
      </c>
      <c r="BI179" s="5">
        <f>sim.tbl[[#This Row],[Temp.Roll]]*sim.tbl[[#This Row],[Heavy_SW]]</f>
        <v>0</v>
      </c>
    </row>
    <row r="180" spans="4:61" x14ac:dyDescent="0.25">
      <c r="D180" s="5">
        <f ca="1">SUMPRODUCT($F$1:$BI$1,sim.tbl[[#This Row],[Intercept]:[Temp.Roll:Heavy_SW]])</f>
        <v>76.073434199762147</v>
      </c>
      <c r="E180" s="14">
        <f ca="1">DATE(YEAR(TODAY()),INDEX(mthLkUp.tbl[Num],MATCH(mth.input,mthLkUp.tbl[Month],0)),1)</f>
        <v>42795</v>
      </c>
      <c r="F180" s="6">
        <f>1</f>
        <v>1</v>
      </c>
      <c r="G180" s="5">
        <v>1.115</v>
      </c>
      <c r="H180" s="5">
        <v>843.7</v>
      </c>
      <c r="I180" s="5">
        <v>6.75</v>
      </c>
      <c r="J180" s="5">
        <v>4.7</v>
      </c>
      <c r="K180" s="5">
        <v>6.3</v>
      </c>
      <c r="L180" s="5">
        <v>4.7</v>
      </c>
      <c r="M180" s="5">
        <v>7.8</v>
      </c>
      <c r="N180" s="5">
        <v>6.3</v>
      </c>
      <c r="O180" s="5">
        <v>9</v>
      </c>
      <c r="P180" s="5">
        <v>6.4</v>
      </c>
      <c r="Q180" s="6">
        <f>IF(sim.tbl[[#This Row],[Dens]]&lt;=770,1,0)</f>
        <v>0</v>
      </c>
      <c r="R180" s="6">
        <f>IF(AND(sim.tbl[[#This Row],[Sulf]]&gt;0.5,sim.tbl[[#This Row],[Dens]]&gt;770,sim.tbl[[#This Row],[Dens]]&lt;=825),1,0)</f>
        <v>0</v>
      </c>
      <c r="S180" s="6">
        <f>IF(AND(sim.tbl[[#This Row],[Sulf]]&lt;=0.5,sim.tbl[[#This Row],[Dens]]&gt;770,sim.tbl[[#This Row],[Dens]]&lt;=825),1,0)</f>
        <v>0</v>
      </c>
      <c r="T180" s="6">
        <f>IF(AND(sim.tbl[[#This Row],[Sulf]]&gt;0.5,sim.tbl[[#This Row],[Dens]]&gt;825,sim.tbl[[#This Row],[Dens]]&lt;=870),1,0)</f>
        <v>1</v>
      </c>
      <c r="U180" s="6">
        <f>IF(AND(sim.tbl[[#This Row],[Sulf]]&lt;0.5,sim.tbl[[#This Row],[Dens]]&gt;825,sim.tbl[[#This Row],[Dens]]&lt;=900),1,0)</f>
        <v>0</v>
      </c>
      <c r="V180" s="6">
        <f>IF(AND(sim.tbl[[#This Row],[Sulf]]&gt;0.5,sim.tbl[[#This Row],[Dens]]&gt;870,sim.tbl[[#This Row],[Dens]]&lt;=900),1,0)</f>
        <v>0</v>
      </c>
      <c r="W180" s="6">
        <f>IF(AND(sim.tbl[[#This Row],[Sulf]]&gt;0.5,sim.tbl[[#This Row],[Dens]]&gt;900),1,0)</f>
        <v>0</v>
      </c>
      <c r="X180" s="6">
        <f>IF(AND(sim.tbl[[#This Row],[Sulf]]&lt;=0.5,sim.tbl[[#This Row],[Dens]]&gt;900),1,0)</f>
        <v>0</v>
      </c>
      <c r="Y180" s="6">
        <f ca="1">IF(MONTH(sim.tbl[[#This Row],[SDate]])=INDEX(mthLkUp.tbl[Num],MATCH(Y$3,mthLkUp.tbl[Month],0)),1,0)</f>
        <v>0</v>
      </c>
      <c r="Z180" s="6">
        <f ca="1">IF(MONTH(sim.tbl[[#This Row],[SDate]])=INDEX(mthLkUp.tbl[Num],MATCH(Z$3,mthLkUp.tbl[Month],0)),1,0)</f>
        <v>0</v>
      </c>
      <c r="AA180" s="6">
        <f ca="1">IF(MONTH(sim.tbl[[#This Row],[SDate]])=INDEX(mthLkUp.tbl[Num],MATCH(AA$3,mthLkUp.tbl[Month],0)),1,0)</f>
        <v>1</v>
      </c>
      <c r="AB180" s="6">
        <f ca="1">IF(MONTH(sim.tbl[[#This Row],[SDate]])=INDEX(mthLkUp.tbl[Num],MATCH(AB$3,mthLkUp.tbl[Month],0)),1,0)</f>
        <v>0</v>
      </c>
      <c r="AC180" s="6">
        <f ca="1">IF(MONTH(sim.tbl[[#This Row],[SDate]])=INDEX(mthLkUp.tbl[Num],MATCH(AC$3,mthLkUp.tbl[Month],0)),1,0)</f>
        <v>0</v>
      </c>
      <c r="AD180" s="6">
        <f ca="1">IF(MONTH(sim.tbl[[#This Row],[SDate]])=INDEX(mthLkUp.tbl[Num],MATCH(AD$3,mthLkUp.tbl[Month],0)),1,0)</f>
        <v>0</v>
      </c>
      <c r="AE180" s="6">
        <f ca="1">IF(MONTH(sim.tbl[[#This Row],[SDate]])=INDEX(mthLkUp.tbl[Num],MATCH(AE$3,mthLkUp.tbl[Month],0)),1,0)</f>
        <v>0</v>
      </c>
      <c r="AF180" s="6">
        <f ca="1">IF(MONTH(sim.tbl[[#This Row],[SDate]])=INDEX(mthLkUp.tbl[Num],MATCH(AF$3,mthLkUp.tbl[Month],0)),1,0)</f>
        <v>0</v>
      </c>
      <c r="AG180" s="6">
        <f ca="1">IF(MONTH(sim.tbl[[#This Row],[SDate]])=INDEX(mthLkUp.tbl[Num],MATCH(AG$3,mthLkUp.tbl[Month],0)),1,0)</f>
        <v>0</v>
      </c>
      <c r="AH180" s="6">
        <f ca="1">IF(MONTH(sim.tbl[[#This Row],[SDate]])=INDEX(mthLkUp.tbl[Num],MATCH(AH$3,mthLkUp.tbl[Month],0)),1,0)</f>
        <v>0</v>
      </c>
      <c r="AI180" s="6">
        <f ca="1">IF(MONTH(sim.tbl[[#This Row],[SDate]])=INDEX(mthLkUp.tbl[Num],MATCH(AI$3,mthLkUp.tbl[Month],0)),1,0)</f>
        <v>0</v>
      </c>
      <c r="AJ180" s="6">
        <f ca="1">IF(MONTH(sim.tbl[[#This Row],[SDate]])=INDEX(mthLkUp.tbl[Num],MATCH(AJ$3,mthLkUp.tbl[Month],0)),1,0)</f>
        <v>0</v>
      </c>
      <c r="AK180" s="6">
        <v>1</v>
      </c>
      <c r="AL180" s="5">
        <f>sim.tbl[[#This Row],[Sulf]]*sim.tbl[[#This Row],[C5]]</f>
        <v>0</v>
      </c>
      <c r="AM180" s="5">
        <f>sim.tbl[[#This Row],[Sulf]]*sim.tbl[[#This Row],[Light_LSB]]</f>
        <v>0</v>
      </c>
      <c r="AN180" s="5">
        <f>sim.tbl[[#This Row],[Sulf]]*sim.tbl[[#This Row],[Light_SW]]</f>
        <v>0</v>
      </c>
      <c r="AO180" s="5">
        <f>sim.tbl[[#This Row],[Sulf]]*sim.tbl[[#This Row],[Medium_LSB]]</f>
        <v>1.115</v>
      </c>
      <c r="AP180" s="5">
        <f>sim.tbl[[#This Row],[Sulf]]*sim.tbl[[#This Row],[Medium_SW]]</f>
        <v>0</v>
      </c>
      <c r="AQ180" s="5">
        <f>sim.tbl[[#This Row],[Sulf]]*sim.tbl[[#This Row],[Midale]]</f>
        <v>0</v>
      </c>
      <c r="AR180" s="5">
        <f>sim.tbl[[#This Row],[Sulf]]*sim.tbl[[#This Row],[Heavy_Sour]]</f>
        <v>0</v>
      </c>
      <c r="AS180" s="5">
        <f>sim.tbl[[#This Row],[Sulf]]*sim.tbl[[#This Row],[Heavy_SW]]</f>
        <v>0</v>
      </c>
      <c r="AT180" s="5">
        <f>sim.tbl[[#This Row],[Dens]]*sim.tbl[[#This Row],[C5]]</f>
        <v>0</v>
      </c>
      <c r="AU180" s="5">
        <f>sim.tbl[[#This Row],[Dens]]*sim.tbl[[#This Row],[Light_LSB]]</f>
        <v>0</v>
      </c>
      <c r="AV180" s="5">
        <f>sim.tbl[[#This Row],[Dens]]*sim.tbl[[#This Row],[Light_SW]]</f>
        <v>0</v>
      </c>
      <c r="AW180" s="5">
        <f>sim.tbl[[#This Row],[Dens]]*sim.tbl[[#This Row],[Medium_LSB]]</f>
        <v>843.7</v>
      </c>
      <c r="AX180" s="5">
        <f>sim.tbl[[#This Row],[Dens]]*sim.tbl[[#This Row],[Medium_SW]]</f>
        <v>0</v>
      </c>
      <c r="AY180" s="5">
        <f>sim.tbl[[#This Row],[Dens]]*sim.tbl[[#This Row],[Midale]]</f>
        <v>0</v>
      </c>
      <c r="AZ180" s="5">
        <f>sim.tbl[[#This Row],[Dens]]*sim.tbl[[#This Row],[Heavy_Sour]]</f>
        <v>0</v>
      </c>
      <c r="BA180" s="5">
        <f>sim.tbl[[#This Row],[Dens]]*sim.tbl[[#This Row],[Heavy_SW]]</f>
        <v>0</v>
      </c>
      <c r="BB180" s="5">
        <f>sim.tbl[[#This Row],[Temp.Roll]]*sim.tbl[[#This Row],[C5]]</f>
        <v>0</v>
      </c>
      <c r="BC180" s="5">
        <f>sim.tbl[[#This Row],[Temp.Roll]]*sim.tbl[[#This Row],[Light_LSB]]</f>
        <v>0</v>
      </c>
      <c r="BD180" s="5">
        <f>sim.tbl[[#This Row],[Temp.Roll]]*sim.tbl[[#This Row],[Light_SW]]</f>
        <v>0</v>
      </c>
      <c r="BE180" s="5">
        <f>sim.tbl[[#This Row],[Temp.Roll]]*sim.tbl[[#This Row],[Medium_LSB]]</f>
        <v>4.7</v>
      </c>
      <c r="BF180" s="5">
        <f>sim.tbl[[#This Row],[Temp.Roll]]*sim.tbl[[#This Row],[Medium_SW]]</f>
        <v>0</v>
      </c>
      <c r="BG180" s="5">
        <f>sim.tbl[[#This Row],[Temp.Roll]]*sim.tbl[[#This Row],[Midale]]</f>
        <v>0</v>
      </c>
      <c r="BH180" s="5">
        <f>sim.tbl[[#This Row],[Temp.Roll]]*sim.tbl[[#This Row],[Heavy_Sour]]</f>
        <v>0</v>
      </c>
      <c r="BI180" s="5">
        <f>sim.tbl[[#This Row],[Temp.Roll]]*sim.tbl[[#This Row],[Heavy_SW]]</f>
        <v>0</v>
      </c>
    </row>
    <row r="181" spans="4:61" x14ac:dyDescent="0.25">
      <c r="D181" s="5">
        <f ca="1">SUMPRODUCT($F$1:$BI$1,sim.tbl[[#This Row],[Intercept]:[Temp.Roll:Heavy_SW]])</f>
        <v>96.382641493143268</v>
      </c>
      <c r="E181" s="14">
        <f ca="1">DATE(YEAR(TODAY()),INDEX(mthLkUp.tbl[Num],MATCH(mth.input,mthLkUp.tbl[Month],0)),1)</f>
        <v>42795</v>
      </c>
      <c r="F181" s="6">
        <f>1</f>
        <v>1</v>
      </c>
      <c r="G181" s="5">
        <v>0.53</v>
      </c>
      <c r="H181" s="5">
        <v>819.9</v>
      </c>
      <c r="I181" s="5">
        <v>-18.7</v>
      </c>
      <c r="J181" s="5">
        <v>-20.2</v>
      </c>
      <c r="K181" s="5">
        <v>-18.600000000000001</v>
      </c>
      <c r="L181" s="5">
        <v>-20.2</v>
      </c>
      <c r="M181" s="5">
        <v>-18.3</v>
      </c>
      <c r="N181" s="5">
        <v>-18.5</v>
      </c>
      <c r="O181" s="5">
        <v>-16.3</v>
      </c>
      <c r="P181" s="5">
        <v>-20.3</v>
      </c>
      <c r="Q181" s="6">
        <f>IF(sim.tbl[[#This Row],[Dens]]&lt;=770,1,0)</f>
        <v>0</v>
      </c>
      <c r="R181" s="6">
        <f>IF(AND(sim.tbl[[#This Row],[Sulf]]&gt;0.5,sim.tbl[[#This Row],[Dens]]&gt;770,sim.tbl[[#This Row],[Dens]]&lt;=825),1,0)</f>
        <v>1</v>
      </c>
      <c r="S181" s="6">
        <f>IF(AND(sim.tbl[[#This Row],[Sulf]]&lt;=0.5,sim.tbl[[#This Row],[Dens]]&gt;770,sim.tbl[[#This Row],[Dens]]&lt;=825),1,0)</f>
        <v>0</v>
      </c>
      <c r="T181" s="6">
        <f>IF(AND(sim.tbl[[#This Row],[Sulf]]&gt;0.5,sim.tbl[[#This Row],[Dens]]&gt;825,sim.tbl[[#This Row],[Dens]]&lt;=870),1,0)</f>
        <v>0</v>
      </c>
      <c r="U181" s="6">
        <f>IF(AND(sim.tbl[[#This Row],[Sulf]]&lt;0.5,sim.tbl[[#This Row],[Dens]]&gt;825,sim.tbl[[#This Row],[Dens]]&lt;=900),1,0)</f>
        <v>0</v>
      </c>
      <c r="V181" s="6">
        <f>IF(AND(sim.tbl[[#This Row],[Sulf]]&gt;0.5,sim.tbl[[#This Row],[Dens]]&gt;870,sim.tbl[[#This Row],[Dens]]&lt;=900),1,0)</f>
        <v>0</v>
      </c>
      <c r="W181" s="6">
        <f>IF(AND(sim.tbl[[#This Row],[Sulf]]&gt;0.5,sim.tbl[[#This Row],[Dens]]&gt;900),1,0)</f>
        <v>0</v>
      </c>
      <c r="X181" s="6">
        <f>IF(AND(sim.tbl[[#This Row],[Sulf]]&lt;=0.5,sim.tbl[[#This Row],[Dens]]&gt;900),1,0)</f>
        <v>0</v>
      </c>
      <c r="Y181" s="6">
        <f ca="1">IF(MONTH(sim.tbl[[#This Row],[SDate]])=INDEX(mthLkUp.tbl[Num],MATCH(Y$3,mthLkUp.tbl[Month],0)),1,0)</f>
        <v>0</v>
      </c>
      <c r="Z181" s="6">
        <f ca="1">IF(MONTH(sim.tbl[[#This Row],[SDate]])=INDEX(mthLkUp.tbl[Num],MATCH(Z$3,mthLkUp.tbl[Month],0)),1,0)</f>
        <v>0</v>
      </c>
      <c r="AA181" s="6">
        <f ca="1">IF(MONTH(sim.tbl[[#This Row],[SDate]])=INDEX(mthLkUp.tbl[Num],MATCH(AA$3,mthLkUp.tbl[Month],0)),1,0)</f>
        <v>1</v>
      </c>
      <c r="AB181" s="6">
        <f ca="1">IF(MONTH(sim.tbl[[#This Row],[SDate]])=INDEX(mthLkUp.tbl[Num],MATCH(AB$3,mthLkUp.tbl[Month],0)),1,0)</f>
        <v>0</v>
      </c>
      <c r="AC181" s="6">
        <f ca="1">IF(MONTH(sim.tbl[[#This Row],[SDate]])=INDEX(mthLkUp.tbl[Num],MATCH(AC$3,mthLkUp.tbl[Month],0)),1,0)</f>
        <v>0</v>
      </c>
      <c r="AD181" s="6">
        <f ca="1">IF(MONTH(sim.tbl[[#This Row],[SDate]])=INDEX(mthLkUp.tbl[Num],MATCH(AD$3,mthLkUp.tbl[Month],0)),1,0)</f>
        <v>0</v>
      </c>
      <c r="AE181" s="6">
        <f ca="1">IF(MONTH(sim.tbl[[#This Row],[SDate]])=INDEX(mthLkUp.tbl[Num],MATCH(AE$3,mthLkUp.tbl[Month],0)),1,0)</f>
        <v>0</v>
      </c>
      <c r="AF181" s="6">
        <f ca="1">IF(MONTH(sim.tbl[[#This Row],[SDate]])=INDEX(mthLkUp.tbl[Num],MATCH(AF$3,mthLkUp.tbl[Month],0)),1,0)</f>
        <v>0</v>
      </c>
      <c r="AG181" s="6">
        <f ca="1">IF(MONTH(sim.tbl[[#This Row],[SDate]])=INDEX(mthLkUp.tbl[Num],MATCH(AG$3,mthLkUp.tbl[Month],0)),1,0)</f>
        <v>0</v>
      </c>
      <c r="AH181" s="6">
        <f ca="1">IF(MONTH(sim.tbl[[#This Row],[SDate]])=INDEX(mthLkUp.tbl[Num],MATCH(AH$3,mthLkUp.tbl[Month],0)),1,0)</f>
        <v>0</v>
      </c>
      <c r="AI181" s="6">
        <f ca="1">IF(MONTH(sim.tbl[[#This Row],[SDate]])=INDEX(mthLkUp.tbl[Num],MATCH(AI$3,mthLkUp.tbl[Month],0)),1,0)</f>
        <v>0</v>
      </c>
      <c r="AJ181" s="6">
        <f ca="1">IF(MONTH(sim.tbl[[#This Row],[SDate]])=INDEX(mthLkUp.tbl[Num],MATCH(AJ$3,mthLkUp.tbl[Month],0)),1,0)</f>
        <v>0</v>
      </c>
      <c r="AK181" s="6">
        <v>1</v>
      </c>
      <c r="AL181" s="5">
        <f>sim.tbl[[#This Row],[Sulf]]*sim.tbl[[#This Row],[C5]]</f>
        <v>0</v>
      </c>
      <c r="AM181" s="5">
        <f>sim.tbl[[#This Row],[Sulf]]*sim.tbl[[#This Row],[Light_LSB]]</f>
        <v>0.53</v>
      </c>
      <c r="AN181" s="5">
        <f>sim.tbl[[#This Row],[Sulf]]*sim.tbl[[#This Row],[Light_SW]]</f>
        <v>0</v>
      </c>
      <c r="AO181" s="5">
        <f>sim.tbl[[#This Row],[Sulf]]*sim.tbl[[#This Row],[Medium_LSB]]</f>
        <v>0</v>
      </c>
      <c r="AP181" s="5">
        <f>sim.tbl[[#This Row],[Sulf]]*sim.tbl[[#This Row],[Medium_SW]]</f>
        <v>0</v>
      </c>
      <c r="AQ181" s="5">
        <f>sim.tbl[[#This Row],[Sulf]]*sim.tbl[[#This Row],[Midale]]</f>
        <v>0</v>
      </c>
      <c r="AR181" s="5">
        <f>sim.tbl[[#This Row],[Sulf]]*sim.tbl[[#This Row],[Heavy_Sour]]</f>
        <v>0</v>
      </c>
      <c r="AS181" s="5">
        <f>sim.tbl[[#This Row],[Sulf]]*sim.tbl[[#This Row],[Heavy_SW]]</f>
        <v>0</v>
      </c>
      <c r="AT181" s="5">
        <f>sim.tbl[[#This Row],[Dens]]*sim.tbl[[#This Row],[C5]]</f>
        <v>0</v>
      </c>
      <c r="AU181" s="5">
        <f>sim.tbl[[#This Row],[Dens]]*sim.tbl[[#This Row],[Light_LSB]]</f>
        <v>819.9</v>
      </c>
      <c r="AV181" s="5">
        <f>sim.tbl[[#This Row],[Dens]]*sim.tbl[[#This Row],[Light_SW]]</f>
        <v>0</v>
      </c>
      <c r="AW181" s="5">
        <f>sim.tbl[[#This Row],[Dens]]*sim.tbl[[#This Row],[Medium_LSB]]</f>
        <v>0</v>
      </c>
      <c r="AX181" s="5">
        <f>sim.tbl[[#This Row],[Dens]]*sim.tbl[[#This Row],[Medium_SW]]</f>
        <v>0</v>
      </c>
      <c r="AY181" s="5">
        <f>sim.tbl[[#This Row],[Dens]]*sim.tbl[[#This Row],[Midale]]</f>
        <v>0</v>
      </c>
      <c r="AZ181" s="5">
        <f>sim.tbl[[#This Row],[Dens]]*sim.tbl[[#This Row],[Heavy_Sour]]</f>
        <v>0</v>
      </c>
      <c r="BA181" s="5">
        <f>sim.tbl[[#This Row],[Dens]]*sim.tbl[[#This Row],[Heavy_SW]]</f>
        <v>0</v>
      </c>
      <c r="BB181" s="5">
        <f>sim.tbl[[#This Row],[Temp.Roll]]*sim.tbl[[#This Row],[C5]]</f>
        <v>0</v>
      </c>
      <c r="BC181" s="5">
        <f>sim.tbl[[#This Row],[Temp.Roll]]*sim.tbl[[#This Row],[Light_LSB]]</f>
        <v>-20.2</v>
      </c>
      <c r="BD181" s="5">
        <f>sim.tbl[[#This Row],[Temp.Roll]]*sim.tbl[[#This Row],[Light_SW]]</f>
        <v>0</v>
      </c>
      <c r="BE181" s="5">
        <f>sim.tbl[[#This Row],[Temp.Roll]]*sim.tbl[[#This Row],[Medium_LSB]]</f>
        <v>0</v>
      </c>
      <c r="BF181" s="5">
        <f>sim.tbl[[#This Row],[Temp.Roll]]*sim.tbl[[#This Row],[Medium_SW]]</f>
        <v>0</v>
      </c>
      <c r="BG181" s="5">
        <f>sim.tbl[[#This Row],[Temp.Roll]]*sim.tbl[[#This Row],[Midale]]</f>
        <v>0</v>
      </c>
      <c r="BH181" s="5">
        <f>sim.tbl[[#This Row],[Temp.Roll]]*sim.tbl[[#This Row],[Heavy_Sour]]</f>
        <v>0</v>
      </c>
      <c r="BI181" s="5">
        <f>sim.tbl[[#This Row],[Temp.Roll]]*sim.tbl[[#This Row],[Heavy_SW]]</f>
        <v>0</v>
      </c>
    </row>
    <row r="182" spans="4:61" x14ac:dyDescent="0.25">
      <c r="D182" s="5">
        <f ca="1">SUMPRODUCT($F$1:$BI$1,sim.tbl[[#This Row],[Intercept]:[Temp.Roll:Heavy_SW]])</f>
        <v>83.329616780368667</v>
      </c>
      <c r="E182" s="14">
        <f ca="1">DATE(YEAR(TODAY()),INDEX(mthLkUp.tbl[Num],MATCH(mth.input,mthLkUp.tbl[Month],0)),1)</f>
        <v>42795</v>
      </c>
      <c r="F182" s="6">
        <f>1</f>
        <v>1</v>
      </c>
      <c r="G182" s="5">
        <v>1.36</v>
      </c>
      <c r="H182" s="5">
        <v>823.5</v>
      </c>
      <c r="I182" s="5">
        <v>11.44</v>
      </c>
      <c r="J182" s="5">
        <v>10.6</v>
      </c>
      <c r="K182" s="5">
        <v>11</v>
      </c>
      <c r="L182" s="5">
        <v>10.6</v>
      </c>
      <c r="M182" s="5">
        <v>7.8</v>
      </c>
      <c r="N182" s="5">
        <v>12</v>
      </c>
      <c r="O182" s="5">
        <v>12</v>
      </c>
      <c r="P182" s="5">
        <v>11.6</v>
      </c>
      <c r="Q182" s="6">
        <f>IF(sim.tbl[[#This Row],[Dens]]&lt;=770,1,0)</f>
        <v>0</v>
      </c>
      <c r="R182" s="6">
        <f>IF(AND(sim.tbl[[#This Row],[Sulf]]&gt;0.5,sim.tbl[[#This Row],[Dens]]&gt;770,sim.tbl[[#This Row],[Dens]]&lt;=825),1,0)</f>
        <v>1</v>
      </c>
      <c r="S182" s="6">
        <f>IF(AND(sim.tbl[[#This Row],[Sulf]]&lt;=0.5,sim.tbl[[#This Row],[Dens]]&gt;770,sim.tbl[[#This Row],[Dens]]&lt;=825),1,0)</f>
        <v>0</v>
      </c>
      <c r="T182" s="6">
        <f>IF(AND(sim.tbl[[#This Row],[Sulf]]&gt;0.5,sim.tbl[[#This Row],[Dens]]&gt;825,sim.tbl[[#This Row],[Dens]]&lt;=870),1,0)</f>
        <v>0</v>
      </c>
      <c r="U182" s="6">
        <f>IF(AND(sim.tbl[[#This Row],[Sulf]]&lt;0.5,sim.tbl[[#This Row],[Dens]]&gt;825,sim.tbl[[#This Row],[Dens]]&lt;=900),1,0)</f>
        <v>0</v>
      </c>
      <c r="V182" s="6">
        <f>IF(AND(sim.tbl[[#This Row],[Sulf]]&gt;0.5,sim.tbl[[#This Row],[Dens]]&gt;870,sim.tbl[[#This Row],[Dens]]&lt;=900),1,0)</f>
        <v>0</v>
      </c>
      <c r="W182" s="6">
        <f>IF(AND(sim.tbl[[#This Row],[Sulf]]&gt;0.5,sim.tbl[[#This Row],[Dens]]&gt;900),1,0)</f>
        <v>0</v>
      </c>
      <c r="X182" s="6">
        <f>IF(AND(sim.tbl[[#This Row],[Sulf]]&lt;=0.5,sim.tbl[[#This Row],[Dens]]&gt;900),1,0)</f>
        <v>0</v>
      </c>
      <c r="Y182" s="6">
        <f ca="1">IF(MONTH(sim.tbl[[#This Row],[SDate]])=INDEX(mthLkUp.tbl[Num],MATCH(Y$3,mthLkUp.tbl[Month],0)),1,0)</f>
        <v>0</v>
      </c>
      <c r="Z182" s="6">
        <f ca="1">IF(MONTH(sim.tbl[[#This Row],[SDate]])=INDEX(mthLkUp.tbl[Num],MATCH(Z$3,mthLkUp.tbl[Month],0)),1,0)</f>
        <v>0</v>
      </c>
      <c r="AA182" s="6">
        <f ca="1">IF(MONTH(sim.tbl[[#This Row],[SDate]])=INDEX(mthLkUp.tbl[Num],MATCH(AA$3,mthLkUp.tbl[Month],0)),1,0)</f>
        <v>1</v>
      </c>
      <c r="AB182" s="6">
        <f ca="1">IF(MONTH(sim.tbl[[#This Row],[SDate]])=INDEX(mthLkUp.tbl[Num],MATCH(AB$3,mthLkUp.tbl[Month],0)),1,0)</f>
        <v>0</v>
      </c>
      <c r="AC182" s="6">
        <f ca="1">IF(MONTH(sim.tbl[[#This Row],[SDate]])=INDEX(mthLkUp.tbl[Num],MATCH(AC$3,mthLkUp.tbl[Month],0)),1,0)</f>
        <v>0</v>
      </c>
      <c r="AD182" s="6">
        <f ca="1">IF(MONTH(sim.tbl[[#This Row],[SDate]])=INDEX(mthLkUp.tbl[Num],MATCH(AD$3,mthLkUp.tbl[Month],0)),1,0)</f>
        <v>0</v>
      </c>
      <c r="AE182" s="6">
        <f ca="1">IF(MONTH(sim.tbl[[#This Row],[SDate]])=INDEX(mthLkUp.tbl[Num],MATCH(AE$3,mthLkUp.tbl[Month],0)),1,0)</f>
        <v>0</v>
      </c>
      <c r="AF182" s="6">
        <f ca="1">IF(MONTH(sim.tbl[[#This Row],[SDate]])=INDEX(mthLkUp.tbl[Num],MATCH(AF$3,mthLkUp.tbl[Month],0)),1,0)</f>
        <v>0</v>
      </c>
      <c r="AG182" s="6">
        <f ca="1">IF(MONTH(sim.tbl[[#This Row],[SDate]])=INDEX(mthLkUp.tbl[Num],MATCH(AG$3,mthLkUp.tbl[Month],0)),1,0)</f>
        <v>0</v>
      </c>
      <c r="AH182" s="6">
        <f ca="1">IF(MONTH(sim.tbl[[#This Row],[SDate]])=INDEX(mthLkUp.tbl[Num],MATCH(AH$3,mthLkUp.tbl[Month],0)),1,0)</f>
        <v>0</v>
      </c>
      <c r="AI182" s="6">
        <f ca="1">IF(MONTH(sim.tbl[[#This Row],[SDate]])=INDEX(mthLkUp.tbl[Num],MATCH(AI$3,mthLkUp.tbl[Month],0)),1,0)</f>
        <v>0</v>
      </c>
      <c r="AJ182" s="6">
        <f ca="1">IF(MONTH(sim.tbl[[#This Row],[SDate]])=INDEX(mthLkUp.tbl[Num],MATCH(AJ$3,mthLkUp.tbl[Month],0)),1,0)</f>
        <v>0</v>
      </c>
      <c r="AK182" s="6">
        <v>1</v>
      </c>
      <c r="AL182" s="5">
        <f>sim.tbl[[#This Row],[Sulf]]*sim.tbl[[#This Row],[C5]]</f>
        <v>0</v>
      </c>
      <c r="AM182" s="5">
        <f>sim.tbl[[#This Row],[Sulf]]*sim.tbl[[#This Row],[Light_LSB]]</f>
        <v>1.36</v>
      </c>
      <c r="AN182" s="5">
        <f>sim.tbl[[#This Row],[Sulf]]*sim.tbl[[#This Row],[Light_SW]]</f>
        <v>0</v>
      </c>
      <c r="AO182" s="5">
        <f>sim.tbl[[#This Row],[Sulf]]*sim.tbl[[#This Row],[Medium_LSB]]</f>
        <v>0</v>
      </c>
      <c r="AP182" s="5">
        <f>sim.tbl[[#This Row],[Sulf]]*sim.tbl[[#This Row],[Medium_SW]]</f>
        <v>0</v>
      </c>
      <c r="AQ182" s="5">
        <f>sim.tbl[[#This Row],[Sulf]]*sim.tbl[[#This Row],[Midale]]</f>
        <v>0</v>
      </c>
      <c r="AR182" s="5">
        <f>sim.tbl[[#This Row],[Sulf]]*sim.tbl[[#This Row],[Heavy_Sour]]</f>
        <v>0</v>
      </c>
      <c r="AS182" s="5">
        <f>sim.tbl[[#This Row],[Sulf]]*sim.tbl[[#This Row],[Heavy_SW]]</f>
        <v>0</v>
      </c>
      <c r="AT182" s="5">
        <f>sim.tbl[[#This Row],[Dens]]*sim.tbl[[#This Row],[C5]]</f>
        <v>0</v>
      </c>
      <c r="AU182" s="5">
        <f>sim.tbl[[#This Row],[Dens]]*sim.tbl[[#This Row],[Light_LSB]]</f>
        <v>823.5</v>
      </c>
      <c r="AV182" s="5">
        <f>sim.tbl[[#This Row],[Dens]]*sim.tbl[[#This Row],[Light_SW]]</f>
        <v>0</v>
      </c>
      <c r="AW182" s="5">
        <f>sim.tbl[[#This Row],[Dens]]*sim.tbl[[#This Row],[Medium_LSB]]</f>
        <v>0</v>
      </c>
      <c r="AX182" s="5">
        <f>sim.tbl[[#This Row],[Dens]]*sim.tbl[[#This Row],[Medium_SW]]</f>
        <v>0</v>
      </c>
      <c r="AY182" s="5">
        <f>sim.tbl[[#This Row],[Dens]]*sim.tbl[[#This Row],[Midale]]</f>
        <v>0</v>
      </c>
      <c r="AZ182" s="5">
        <f>sim.tbl[[#This Row],[Dens]]*sim.tbl[[#This Row],[Heavy_Sour]]</f>
        <v>0</v>
      </c>
      <c r="BA182" s="5">
        <f>sim.tbl[[#This Row],[Dens]]*sim.tbl[[#This Row],[Heavy_SW]]</f>
        <v>0</v>
      </c>
      <c r="BB182" s="5">
        <f>sim.tbl[[#This Row],[Temp.Roll]]*sim.tbl[[#This Row],[C5]]</f>
        <v>0</v>
      </c>
      <c r="BC182" s="5">
        <f>sim.tbl[[#This Row],[Temp.Roll]]*sim.tbl[[#This Row],[Light_LSB]]</f>
        <v>10.6</v>
      </c>
      <c r="BD182" s="5">
        <f>sim.tbl[[#This Row],[Temp.Roll]]*sim.tbl[[#This Row],[Light_SW]]</f>
        <v>0</v>
      </c>
      <c r="BE182" s="5">
        <f>sim.tbl[[#This Row],[Temp.Roll]]*sim.tbl[[#This Row],[Medium_LSB]]</f>
        <v>0</v>
      </c>
      <c r="BF182" s="5">
        <f>sim.tbl[[#This Row],[Temp.Roll]]*sim.tbl[[#This Row],[Medium_SW]]</f>
        <v>0</v>
      </c>
      <c r="BG182" s="5">
        <f>sim.tbl[[#This Row],[Temp.Roll]]*sim.tbl[[#This Row],[Midale]]</f>
        <v>0</v>
      </c>
      <c r="BH182" s="5">
        <f>sim.tbl[[#This Row],[Temp.Roll]]*sim.tbl[[#This Row],[Heavy_Sour]]</f>
        <v>0</v>
      </c>
      <c r="BI182" s="5">
        <f>sim.tbl[[#This Row],[Temp.Roll]]*sim.tbl[[#This Row],[Heavy_SW]]</f>
        <v>0</v>
      </c>
    </row>
    <row r="183" spans="4:61" x14ac:dyDescent="0.25">
      <c r="D183" s="5">
        <f ca="1">SUMPRODUCT($F$1:$BI$1,sim.tbl[[#This Row],[Intercept]:[Temp.Roll:Heavy_SW]])</f>
        <v>84.843405767108067</v>
      </c>
      <c r="E183" s="14">
        <f ca="1">DATE(YEAR(TODAY()),INDEX(mthLkUp.tbl[Num],MATCH(mth.input,mthLkUp.tbl[Month],0)),1)</f>
        <v>42795</v>
      </c>
      <c r="F183" s="6">
        <f>1</f>
        <v>1</v>
      </c>
      <c r="G183" s="5">
        <v>1.08</v>
      </c>
      <c r="H183" s="5">
        <v>834</v>
      </c>
      <c r="I183" s="5">
        <v>-10.78333333</v>
      </c>
      <c r="J183" s="5">
        <v>-11.6</v>
      </c>
      <c r="K183" s="5">
        <v>-10.6</v>
      </c>
      <c r="L183" s="5">
        <v>-11.6</v>
      </c>
      <c r="M183" s="5">
        <v>-9.3000000000000007</v>
      </c>
      <c r="N183" s="5">
        <v>-11.2</v>
      </c>
      <c r="O183" s="5">
        <v>-11</v>
      </c>
      <c r="P183" s="5">
        <v>-11</v>
      </c>
      <c r="Q183" s="6">
        <f>IF(sim.tbl[[#This Row],[Dens]]&lt;=770,1,0)</f>
        <v>0</v>
      </c>
      <c r="R183" s="6">
        <f>IF(AND(sim.tbl[[#This Row],[Sulf]]&gt;0.5,sim.tbl[[#This Row],[Dens]]&gt;770,sim.tbl[[#This Row],[Dens]]&lt;=825),1,0)</f>
        <v>0</v>
      </c>
      <c r="S183" s="6">
        <f>IF(AND(sim.tbl[[#This Row],[Sulf]]&lt;=0.5,sim.tbl[[#This Row],[Dens]]&gt;770,sim.tbl[[#This Row],[Dens]]&lt;=825),1,0)</f>
        <v>0</v>
      </c>
      <c r="T183" s="6">
        <f>IF(AND(sim.tbl[[#This Row],[Sulf]]&gt;0.5,sim.tbl[[#This Row],[Dens]]&gt;825,sim.tbl[[#This Row],[Dens]]&lt;=870),1,0)</f>
        <v>1</v>
      </c>
      <c r="U183" s="6">
        <f>IF(AND(sim.tbl[[#This Row],[Sulf]]&lt;0.5,sim.tbl[[#This Row],[Dens]]&gt;825,sim.tbl[[#This Row],[Dens]]&lt;=900),1,0)</f>
        <v>0</v>
      </c>
      <c r="V183" s="6">
        <f>IF(AND(sim.tbl[[#This Row],[Sulf]]&gt;0.5,sim.tbl[[#This Row],[Dens]]&gt;870,sim.tbl[[#This Row],[Dens]]&lt;=900),1,0)</f>
        <v>0</v>
      </c>
      <c r="W183" s="6">
        <f>IF(AND(sim.tbl[[#This Row],[Sulf]]&gt;0.5,sim.tbl[[#This Row],[Dens]]&gt;900),1,0)</f>
        <v>0</v>
      </c>
      <c r="X183" s="6">
        <f>IF(AND(sim.tbl[[#This Row],[Sulf]]&lt;=0.5,sim.tbl[[#This Row],[Dens]]&gt;900),1,0)</f>
        <v>0</v>
      </c>
      <c r="Y183" s="6">
        <f ca="1">IF(MONTH(sim.tbl[[#This Row],[SDate]])=INDEX(mthLkUp.tbl[Num],MATCH(Y$3,mthLkUp.tbl[Month],0)),1,0)</f>
        <v>0</v>
      </c>
      <c r="Z183" s="6">
        <f ca="1">IF(MONTH(sim.tbl[[#This Row],[SDate]])=INDEX(mthLkUp.tbl[Num],MATCH(Z$3,mthLkUp.tbl[Month],0)),1,0)</f>
        <v>0</v>
      </c>
      <c r="AA183" s="6">
        <f ca="1">IF(MONTH(sim.tbl[[#This Row],[SDate]])=INDEX(mthLkUp.tbl[Num],MATCH(AA$3,mthLkUp.tbl[Month],0)),1,0)</f>
        <v>1</v>
      </c>
      <c r="AB183" s="6">
        <f ca="1">IF(MONTH(sim.tbl[[#This Row],[SDate]])=INDEX(mthLkUp.tbl[Num],MATCH(AB$3,mthLkUp.tbl[Month],0)),1,0)</f>
        <v>0</v>
      </c>
      <c r="AC183" s="6">
        <f ca="1">IF(MONTH(sim.tbl[[#This Row],[SDate]])=INDEX(mthLkUp.tbl[Num],MATCH(AC$3,mthLkUp.tbl[Month],0)),1,0)</f>
        <v>0</v>
      </c>
      <c r="AD183" s="6">
        <f ca="1">IF(MONTH(sim.tbl[[#This Row],[SDate]])=INDEX(mthLkUp.tbl[Num],MATCH(AD$3,mthLkUp.tbl[Month],0)),1,0)</f>
        <v>0</v>
      </c>
      <c r="AE183" s="6">
        <f ca="1">IF(MONTH(sim.tbl[[#This Row],[SDate]])=INDEX(mthLkUp.tbl[Num],MATCH(AE$3,mthLkUp.tbl[Month],0)),1,0)</f>
        <v>0</v>
      </c>
      <c r="AF183" s="6">
        <f ca="1">IF(MONTH(sim.tbl[[#This Row],[SDate]])=INDEX(mthLkUp.tbl[Num],MATCH(AF$3,mthLkUp.tbl[Month],0)),1,0)</f>
        <v>0</v>
      </c>
      <c r="AG183" s="6">
        <f ca="1">IF(MONTH(sim.tbl[[#This Row],[SDate]])=INDEX(mthLkUp.tbl[Num],MATCH(AG$3,mthLkUp.tbl[Month],0)),1,0)</f>
        <v>0</v>
      </c>
      <c r="AH183" s="6">
        <f ca="1">IF(MONTH(sim.tbl[[#This Row],[SDate]])=INDEX(mthLkUp.tbl[Num],MATCH(AH$3,mthLkUp.tbl[Month],0)),1,0)</f>
        <v>0</v>
      </c>
      <c r="AI183" s="6">
        <f ca="1">IF(MONTH(sim.tbl[[#This Row],[SDate]])=INDEX(mthLkUp.tbl[Num],MATCH(AI$3,mthLkUp.tbl[Month],0)),1,0)</f>
        <v>0</v>
      </c>
      <c r="AJ183" s="6">
        <f ca="1">IF(MONTH(sim.tbl[[#This Row],[SDate]])=INDEX(mthLkUp.tbl[Num],MATCH(AJ$3,mthLkUp.tbl[Month],0)),1,0)</f>
        <v>0</v>
      </c>
      <c r="AK183" s="6">
        <v>1</v>
      </c>
      <c r="AL183" s="5">
        <f>sim.tbl[[#This Row],[Sulf]]*sim.tbl[[#This Row],[C5]]</f>
        <v>0</v>
      </c>
      <c r="AM183" s="5">
        <f>sim.tbl[[#This Row],[Sulf]]*sim.tbl[[#This Row],[Light_LSB]]</f>
        <v>0</v>
      </c>
      <c r="AN183" s="5">
        <f>sim.tbl[[#This Row],[Sulf]]*sim.tbl[[#This Row],[Light_SW]]</f>
        <v>0</v>
      </c>
      <c r="AO183" s="5">
        <f>sim.tbl[[#This Row],[Sulf]]*sim.tbl[[#This Row],[Medium_LSB]]</f>
        <v>1.08</v>
      </c>
      <c r="AP183" s="5">
        <f>sim.tbl[[#This Row],[Sulf]]*sim.tbl[[#This Row],[Medium_SW]]</f>
        <v>0</v>
      </c>
      <c r="AQ183" s="5">
        <f>sim.tbl[[#This Row],[Sulf]]*sim.tbl[[#This Row],[Midale]]</f>
        <v>0</v>
      </c>
      <c r="AR183" s="5">
        <f>sim.tbl[[#This Row],[Sulf]]*sim.tbl[[#This Row],[Heavy_Sour]]</f>
        <v>0</v>
      </c>
      <c r="AS183" s="5">
        <f>sim.tbl[[#This Row],[Sulf]]*sim.tbl[[#This Row],[Heavy_SW]]</f>
        <v>0</v>
      </c>
      <c r="AT183" s="5">
        <f>sim.tbl[[#This Row],[Dens]]*sim.tbl[[#This Row],[C5]]</f>
        <v>0</v>
      </c>
      <c r="AU183" s="5">
        <f>sim.tbl[[#This Row],[Dens]]*sim.tbl[[#This Row],[Light_LSB]]</f>
        <v>0</v>
      </c>
      <c r="AV183" s="5">
        <f>sim.tbl[[#This Row],[Dens]]*sim.tbl[[#This Row],[Light_SW]]</f>
        <v>0</v>
      </c>
      <c r="AW183" s="5">
        <f>sim.tbl[[#This Row],[Dens]]*sim.tbl[[#This Row],[Medium_LSB]]</f>
        <v>834</v>
      </c>
      <c r="AX183" s="5">
        <f>sim.tbl[[#This Row],[Dens]]*sim.tbl[[#This Row],[Medium_SW]]</f>
        <v>0</v>
      </c>
      <c r="AY183" s="5">
        <f>sim.tbl[[#This Row],[Dens]]*sim.tbl[[#This Row],[Midale]]</f>
        <v>0</v>
      </c>
      <c r="AZ183" s="5">
        <f>sim.tbl[[#This Row],[Dens]]*sim.tbl[[#This Row],[Heavy_Sour]]</f>
        <v>0</v>
      </c>
      <c r="BA183" s="5">
        <f>sim.tbl[[#This Row],[Dens]]*sim.tbl[[#This Row],[Heavy_SW]]</f>
        <v>0</v>
      </c>
      <c r="BB183" s="5">
        <f>sim.tbl[[#This Row],[Temp.Roll]]*sim.tbl[[#This Row],[C5]]</f>
        <v>0</v>
      </c>
      <c r="BC183" s="5">
        <f>sim.tbl[[#This Row],[Temp.Roll]]*sim.tbl[[#This Row],[Light_LSB]]</f>
        <v>0</v>
      </c>
      <c r="BD183" s="5">
        <f>sim.tbl[[#This Row],[Temp.Roll]]*sim.tbl[[#This Row],[Light_SW]]</f>
        <v>0</v>
      </c>
      <c r="BE183" s="5">
        <f>sim.tbl[[#This Row],[Temp.Roll]]*sim.tbl[[#This Row],[Medium_LSB]]</f>
        <v>-11.6</v>
      </c>
      <c r="BF183" s="5">
        <f>sim.tbl[[#This Row],[Temp.Roll]]*sim.tbl[[#This Row],[Medium_SW]]</f>
        <v>0</v>
      </c>
      <c r="BG183" s="5">
        <f>sim.tbl[[#This Row],[Temp.Roll]]*sim.tbl[[#This Row],[Midale]]</f>
        <v>0</v>
      </c>
      <c r="BH183" s="5">
        <f>sim.tbl[[#This Row],[Temp.Roll]]*sim.tbl[[#This Row],[Heavy_Sour]]</f>
        <v>0</v>
      </c>
      <c r="BI183" s="5">
        <f>sim.tbl[[#This Row],[Temp.Roll]]*sim.tbl[[#This Row],[Heavy_SW]]</f>
        <v>0</v>
      </c>
    </row>
    <row r="184" spans="4:61" x14ac:dyDescent="0.25">
      <c r="D184" s="5">
        <f ca="1">SUMPRODUCT($F$1:$BI$1,sim.tbl[[#This Row],[Intercept]:[Temp.Roll:Heavy_SW]])</f>
        <v>79.040627418536445</v>
      </c>
      <c r="E184" s="14">
        <f ca="1">DATE(YEAR(TODAY()),INDEX(mthLkUp.tbl[Num],MATCH(mth.input,mthLkUp.tbl[Month],0)),1)</f>
        <v>42795</v>
      </c>
      <c r="F184" s="6">
        <f>1</f>
        <v>1</v>
      </c>
      <c r="G184" s="5">
        <v>0.79</v>
      </c>
      <c r="H184" s="5">
        <v>835</v>
      </c>
      <c r="I184" s="5">
        <v>4.1333333330000004</v>
      </c>
      <c r="J184" s="5">
        <v>3.7</v>
      </c>
      <c r="K184" s="5">
        <v>4.5999999999999996</v>
      </c>
      <c r="L184" s="5">
        <v>3.7</v>
      </c>
      <c r="M184" s="5">
        <v>4</v>
      </c>
      <c r="N184" s="5">
        <v>4.3</v>
      </c>
      <c r="O184" s="5">
        <v>3.8</v>
      </c>
      <c r="P184" s="5">
        <v>4.4000000000000004</v>
      </c>
      <c r="Q184" s="6">
        <f>IF(sim.tbl[[#This Row],[Dens]]&lt;=770,1,0)</f>
        <v>0</v>
      </c>
      <c r="R184" s="6">
        <f>IF(AND(sim.tbl[[#This Row],[Sulf]]&gt;0.5,sim.tbl[[#This Row],[Dens]]&gt;770,sim.tbl[[#This Row],[Dens]]&lt;=825),1,0)</f>
        <v>0</v>
      </c>
      <c r="S184" s="6">
        <f>IF(AND(sim.tbl[[#This Row],[Sulf]]&lt;=0.5,sim.tbl[[#This Row],[Dens]]&gt;770,sim.tbl[[#This Row],[Dens]]&lt;=825),1,0)</f>
        <v>0</v>
      </c>
      <c r="T184" s="6">
        <f>IF(AND(sim.tbl[[#This Row],[Sulf]]&gt;0.5,sim.tbl[[#This Row],[Dens]]&gt;825,sim.tbl[[#This Row],[Dens]]&lt;=870),1,0)</f>
        <v>1</v>
      </c>
      <c r="U184" s="6">
        <f>IF(AND(sim.tbl[[#This Row],[Sulf]]&lt;0.5,sim.tbl[[#This Row],[Dens]]&gt;825,sim.tbl[[#This Row],[Dens]]&lt;=900),1,0)</f>
        <v>0</v>
      </c>
      <c r="V184" s="6">
        <f>IF(AND(sim.tbl[[#This Row],[Sulf]]&gt;0.5,sim.tbl[[#This Row],[Dens]]&gt;870,sim.tbl[[#This Row],[Dens]]&lt;=900),1,0)</f>
        <v>0</v>
      </c>
      <c r="W184" s="6">
        <f>IF(AND(sim.tbl[[#This Row],[Sulf]]&gt;0.5,sim.tbl[[#This Row],[Dens]]&gt;900),1,0)</f>
        <v>0</v>
      </c>
      <c r="X184" s="6">
        <f>IF(AND(sim.tbl[[#This Row],[Sulf]]&lt;=0.5,sim.tbl[[#This Row],[Dens]]&gt;900),1,0)</f>
        <v>0</v>
      </c>
      <c r="Y184" s="6">
        <f ca="1">IF(MONTH(sim.tbl[[#This Row],[SDate]])=INDEX(mthLkUp.tbl[Num],MATCH(Y$3,mthLkUp.tbl[Month],0)),1,0)</f>
        <v>0</v>
      </c>
      <c r="Z184" s="6">
        <f ca="1">IF(MONTH(sim.tbl[[#This Row],[SDate]])=INDEX(mthLkUp.tbl[Num],MATCH(Z$3,mthLkUp.tbl[Month],0)),1,0)</f>
        <v>0</v>
      </c>
      <c r="AA184" s="6">
        <f ca="1">IF(MONTH(sim.tbl[[#This Row],[SDate]])=INDEX(mthLkUp.tbl[Num],MATCH(AA$3,mthLkUp.tbl[Month],0)),1,0)</f>
        <v>1</v>
      </c>
      <c r="AB184" s="6">
        <f ca="1">IF(MONTH(sim.tbl[[#This Row],[SDate]])=INDEX(mthLkUp.tbl[Num],MATCH(AB$3,mthLkUp.tbl[Month],0)),1,0)</f>
        <v>0</v>
      </c>
      <c r="AC184" s="6">
        <f ca="1">IF(MONTH(sim.tbl[[#This Row],[SDate]])=INDEX(mthLkUp.tbl[Num],MATCH(AC$3,mthLkUp.tbl[Month],0)),1,0)</f>
        <v>0</v>
      </c>
      <c r="AD184" s="6">
        <f ca="1">IF(MONTH(sim.tbl[[#This Row],[SDate]])=INDEX(mthLkUp.tbl[Num],MATCH(AD$3,mthLkUp.tbl[Month],0)),1,0)</f>
        <v>0</v>
      </c>
      <c r="AE184" s="6">
        <f ca="1">IF(MONTH(sim.tbl[[#This Row],[SDate]])=INDEX(mthLkUp.tbl[Num],MATCH(AE$3,mthLkUp.tbl[Month],0)),1,0)</f>
        <v>0</v>
      </c>
      <c r="AF184" s="6">
        <f ca="1">IF(MONTH(sim.tbl[[#This Row],[SDate]])=INDEX(mthLkUp.tbl[Num],MATCH(AF$3,mthLkUp.tbl[Month],0)),1,0)</f>
        <v>0</v>
      </c>
      <c r="AG184" s="6">
        <f ca="1">IF(MONTH(sim.tbl[[#This Row],[SDate]])=INDEX(mthLkUp.tbl[Num],MATCH(AG$3,mthLkUp.tbl[Month],0)),1,0)</f>
        <v>0</v>
      </c>
      <c r="AH184" s="6">
        <f ca="1">IF(MONTH(sim.tbl[[#This Row],[SDate]])=INDEX(mthLkUp.tbl[Num],MATCH(AH$3,mthLkUp.tbl[Month],0)),1,0)</f>
        <v>0</v>
      </c>
      <c r="AI184" s="6">
        <f ca="1">IF(MONTH(sim.tbl[[#This Row],[SDate]])=INDEX(mthLkUp.tbl[Num],MATCH(AI$3,mthLkUp.tbl[Month],0)),1,0)</f>
        <v>0</v>
      </c>
      <c r="AJ184" s="6">
        <f ca="1">IF(MONTH(sim.tbl[[#This Row],[SDate]])=INDEX(mthLkUp.tbl[Num],MATCH(AJ$3,mthLkUp.tbl[Month],0)),1,0)</f>
        <v>0</v>
      </c>
      <c r="AK184" s="6">
        <v>1</v>
      </c>
      <c r="AL184" s="5">
        <f>sim.tbl[[#This Row],[Sulf]]*sim.tbl[[#This Row],[C5]]</f>
        <v>0</v>
      </c>
      <c r="AM184" s="5">
        <f>sim.tbl[[#This Row],[Sulf]]*sim.tbl[[#This Row],[Light_LSB]]</f>
        <v>0</v>
      </c>
      <c r="AN184" s="5">
        <f>sim.tbl[[#This Row],[Sulf]]*sim.tbl[[#This Row],[Light_SW]]</f>
        <v>0</v>
      </c>
      <c r="AO184" s="5">
        <f>sim.tbl[[#This Row],[Sulf]]*sim.tbl[[#This Row],[Medium_LSB]]</f>
        <v>0.79</v>
      </c>
      <c r="AP184" s="5">
        <f>sim.tbl[[#This Row],[Sulf]]*sim.tbl[[#This Row],[Medium_SW]]</f>
        <v>0</v>
      </c>
      <c r="AQ184" s="5">
        <f>sim.tbl[[#This Row],[Sulf]]*sim.tbl[[#This Row],[Midale]]</f>
        <v>0</v>
      </c>
      <c r="AR184" s="5">
        <f>sim.tbl[[#This Row],[Sulf]]*sim.tbl[[#This Row],[Heavy_Sour]]</f>
        <v>0</v>
      </c>
      <c r="AS184" s="5">
        <f>sim.tbl[[#This Row],[Sulf]]*sim.tbl[[#This Row],[Heavy_SW]]</f>
        <v>0</v>
      </c>
      <c r="AT184" s="5">
        <f>sim.tbl[[#This Row],[Dens]]*sim.tbl[[#This Row],[C5]]</f>
        <v>0</v>
      </c>
      <c r="AU184" s="5">
        <f>sim.tbl[[#This Row],[Dens]]*sim.tbl[[#This Row],[Light_LSB]]</f>
        <v>0</v>
      </c>
      <c r="AV184" s="5">
        <f>sim.tbl[[#This Row],[Dens]]*sim.tbl[[#This Row],[Light_SW]]</f>
        <v>0</v>
      </c>
      <c r="AW184" s="5">
        <f>sim.tbl[[#This Row],[Dens]]*sim.tbl[[#This Row],[Medium_LSB]]</f>
        <v>835</v>
      </c>
      <c r="AX184" s="5">
        <f>sim.tbl[[#This Row],[Dens]]*sim.tbl[[#This Row],[Medium_SW]]</f>
        <v>0</v>
      </c>
      <c r="AY184" s="5">
        <f>sim.tbl[[#This Row],[Dens]]*sim.tbl[[#This Row],[Midale]]</f>
        <v>0</v>
      </c>
      <c r="AZ184" s="5">
        <f>sim.tbl[[#This Row],[Dens]]*sim.tbl[[#This Row],[Heavy_Sour]]</f>
        <v>0</v>
      </c>
      <c r="BA184" s="5">
        <f>sim.tbl[[#This Row],[Dens]]*sim.tbl[[#This Row],[Heavy_SW]]</f>
        <v>0</v>
      </c>
      <c r="BB184" s="5">
        <f>sim.tbl[[#This Row],[Temp.Roll]]*sim.tbl[[#This Row],[C5]]</f>
        <v>0</v>
      </c>
      <c r="BC184" s="5">
        <f>sim.tbl[[#This Row],[Temp.Roll]]*sim.tbl[[#This Row],[Light_LSB]]</f>
        <v>0</v>
      </c>
      <c r="BD184" s="5">
        <f>sim.tbl[[#This Row],[Temp.Roll]]*sim.tbl[[#This Row],[Light_SW]]</f>
        <v>0</v>
      </c>
      <c r="BE184" s="5">
        <f>sim.tbl[[#This Row],[Temp.Roll]]*sim.tbl[[#This Row],[Medium_LSB]]</f>
        <v>3.7</v>
      </c>
      <c r="BF184" s="5">
        <f>sim.tbl[[#This Row],[Temp.Roll]]*sim.tbl[[#This Row],[Medium_SW]]</f>
        <v>0</v>
      </c>
      <c r="BG184" s="5">
        <f>sim.tbl[[#This Row],[Temp.Roll]]*sim.tbl[[#This Row],[Midale]]</f>
        <v>0</v>
      </c>
      <c r="BH184" s="5">
        <f>sim.tbl[[#This Row],[Temp.Roll]]*sim.tbl[[#This Row],[Heavy_Sour]]</f>
        <v>0</v>
      </c>
      <c r="BI184" s="5">
        <f>sim.tbl[[#This Row],[Temp.Roll]]*sim.tbl[[#This Row],[Heavy_SW]]</f>
        <v>0</v>
      </c>
    </row>
    <row r="185" spans="4:61" x14ac:dyDescent="0.25">
      <c r="D185" s="5">
        <f ca="1">SUMPRODUCT($F$1:$BI$1,sim.tbl[[#This Row],[Intercept]:[Temp.Roll:Heavy_SW]])</f>
        <v>74.862747727416433</v>
      </c>
      <c r="E185" s="14">
        <f ca="1">DATE(YEAR(TODAY()),INDEX(mthLkUp.tbl[Num],MATCH(mth.input,mthLkUp.tbl[Month],0)),1)</f>
        <v>42795</v>
      </c>
      <c r="F185" s="6">
        <f>1</f>
        <v>1</v>
      </c>
      <c r="G185" s="5">
        <v>1.21</v>
      </c>
      <c r="H185" s="5">
        <v>852.9</v>
      </c>
      <c r="I185" s="5">
        <v>1.3833333329999999</v>
      </c>
      <c r="J185" s="5">
        <v>0.4</v>
      </c>
      <c r="K185" s="5">
        <v>1.2</v>
      </c>
      <c r="L185" s="5">
        <v>0.4</v>
      </c>
      <c r="M185" s="5">
        <v>1.8</v>
      </c>
      <c r="N185" s="5">
        <v>1.8</v>
      </c>
      <c r="O185" s="5">
        <v>2.7</v>
      </c>
      <c r="P185" s="5">
        <v>0.4</v>
      </c>
      <c r="Q185" s="6">
        <f>IF(sim.tbl[[#This Row],[Dens]]&lt;=770,1,0)</f>
        <v>0</v>
      </c>
      <c r="R185" s="6">
        <f>IF(AND(sim.tbl[[#This Row],[Sulf]]&gt;0.5,sim.tbl[[#This Row],[Dens]]&gt;770,sim.tbl[[#This Row],[Dens]]&lt;=825),1,0)</f>
        <v>0</v>
      </c>
      <c r="S185" s="6">
        <f>IF(AND(sim.tbl[[#This Row],[Sulf]]&lt;=0.5,sim.tbl[[#This Row],[Dens]]&gt;770,sim.tbl[[#This Row],[Dens]]&lt;=825),1,0)</f>
        <v>0</v>
      </c>
      <c r="T185" s="6">
        <f>IF(AND(sim.tbl[[#This Row],[Sulf]]&gt;0.5,sim.tbl[[#This Row],[Dens]]&gt;825,sim.tbl[[#This Row],[Dens]]&lt;=870),1,0)</f>
        <v>1</v>
      </c>
      <c r="U185" s="6">
        <f>IF(AND(sim.tbl[[#This Row],[Sulf]]&lt;0.5,sim.tbl[[#This Row],[Dens]]&gt;825,sim.tbl[[#This Row],[Dens]]&lt;=900),1,0)</f>
        <v>0</v>
      </c>
      <c r="V185" s="6">
        <f>IF(AND(sim.tbl[[#This Row],[Sulf]]&gt;0.5,sim.tbl[[#This Row],[Dens]]&gt;870,sim.tbl[[#This Row],[Dens]]&lt;=900),1,0)</f>
        <v>0</v>
      </c>
      <c r="W185" s="6">
        <f>IF(AND(sim.tbl[[#This Row],[Sulf]]&gt;0.5,sim.tbl[[#This Row],[Dens]]&gt;900),1,0)</f>
        <v>0</v>
      </c>
      <c r="X185" s="6">
        <f>IF(AND(sim.tbl[[#This Row],[Sulf]]&lt;=0.5,sim.tbl[[#This Row],[Dens]]&gt;900),1,0)</f>
        <v>0</v>
      </c>
      <c r="Y185" s="6">
        <f ca="1">IF(MONTH(sim.tbl[[#This Row],[SDate]])=INDEX(mthLkUp.tbl[Num],MATCH(Y$3,mthLkUp.tbl[Month],0)),1,0)</f>
        <v>0</v>
      </c>
      <c r="Z185" s="6">
        <f ca="1">IF(MONTH(sim.tbl[[#This Row],[SDate]])=INDEX(mthLkUp.tbl[Num],MATCH(Z$3,mthLkUp.tbl[Month],0)),1,0)</f>
        <v>0</v>
      </c>
      <c r="AA185" s="6">
        <f ca="1">IF(MONTH(sim.tbl[[#This Row],[SDate]])=INDEX(mthLkUp.tbl[Num],MATCH(AA$3,mthLkUp.tbl[Month],0)),1,0)</f>
        <v>1</v>
      </c>
      <c r="AB185" s="6">
        <f ca="1">IF(MONTH(sim.tbl[[#This Row],[SDate]])=INDEX(mthLkUp.tbl[Num],MATCH(AB$3,mthLkUp.tbl[Month],0)),1,0)</f>
        <v>0</v>
      </c>
      <c r="AC185" s="6">
        <f ca="1">IF(MONTH(sim.tbl[[#This Row],[SDate]])=INDEX(mthLkUp.tbl[Num],MATCH(AC$3,mthLkUp.tbl[Month],0)),1,0)</f>
        <v>0</v>
      </c>
      <c r="AD185" s="6">
        <f ca="1">IF(MONTH(sim.tbl[[#This Row],[SDate]])=INDEX(mthLkUp.tbl[Num],MATCH(AD$3,mthLkUp.tbl[Month],0)),1,0)</f>
        <v>0</v>
      </c>
      <c r="AE185" s="6">
        <f ca="1">IF(MONTH(sim.tbl[[#This Row],[SDate]])=INDEX(mthLkUp.tbl[Num],MATCH(AE$3,mthLkUp.tbl[Month],0)),1,0)</f>
        <v>0</v>
      </c>
      <c r="AF185" s="6">
        <f ca="1">IF(MONTH(sim.tbl[[#This Row],[SDate]])=INDEX(mthLkUp.tbl[Num],MATCH(AF$3,mthLkUp.tbl[Month],0)),1,0)</f>
        <v>0</v>
      </c>
      <c r="AG185" s="6">
        <f ca="1">IF(MONTH(sim.tbl[[#This Row],[SDate]])=INDEX(mthLkUp.tbl[Num],MATCH(AG$3,mthLkUp.tbl[Month],0)),1,0)</f>
        <v>0</v>
      </c>
      <c r="AH185" s="6">
        <f ca="1">IF(MONTH(sim.tbl[[#This Row],[SDate]])=INDEX(mthLkUp.tbl[Num],MATCH(AH$3,mthLkUp.tbl[Month],0)),1,0)</f>
        <v>0</v>
      </c>
      <c r="AI185" s="6">
        <f ca="1">IF(MONTH(sim.tbl[[#This Row],[SDate]])=INDEX(mthLkUp.tbl[Num],MATCH(AI$3,mthLkUp.tbl[Month],0)),1,0)</f>
        <v>0</v>
      </c>
      <c r="AJ185" s="6">
        <f ca="1">IF(MONTH(sim.tbl[[#This Row],[SDate]])=INDEX(mthLkUp.tbl[Num],MATCH(AJ$3,mthLkUp.tbl[Month],0)),1,0)</f>
        <v>0</v>
      </c>
      <c r="AK185" s="6">
        <v>1</v>
      </c>
      <c r="AL185" s="5">
        <f>sim.tbl[[#This Row],[Sulf]]*sim.tbl[[#This Row],[C5]]</f>
        <v>0</v>
      </c>
      <c r="AM185" s="5">
        <f>sim.tbl[[#This Row],[Sulf]]*sim.tbl[[#This Row],[Light_LSB]]</f>
        <v>0</v>
      </c>
      <c r="AN185" s="5">
        <f>sim.tbl[[#This Row],[Sulf]]*sim.tbl[[#This Row],[Light_SW]]</f>
        <v>0</v>
      </c>
      <c r="AO185" s="5">
        <f>sim.tbl[[#This Row],[Sulf]]*sim.tbl[[#This Row],[Medium_LSB]]</f>
        <v>1.21</v>
      </c>
      <c r="AP185" s="5">
        <f>sim.tbl[[#This Row],[Sulf]]*sim.tbl[[#This Row],[Medium_SW]]</f>
        <v>0</v>
      </c>
      <c r="AQ185" s="5">
        <f>sim.tbl[[#This Row],[Sulf]]*sim.tbl[[#This Row],[Midale]]</f>
        <v>0</v>
      </c>
      <c r="AR185" s="5">
        <f>sim.tbl[[#This Row],[Sulf]]*sim.tbl[[#This Row],[Heavy_Sour]]</f>
        <v>0</v>
      </c>
      <c r="AS185" s="5">
        <f>sim.tbl[[#This Row],[Sulf]]*sim.tbl[[#This Row],[Heavy_SW]]</f>
        <v>0</v>
      </c>
      <c r="AT185" s="5">
        <f>sim.tbl[[#This Row],[Dens]]*sim.tbl[[#This Row],[C5]]</f>
        <v>0</v>
      </c>
      <c r="AU185" s="5">
        <f>sim.tbl[[#This Row],[Dens]]*sim.tbl[[#This Row],[Light_LSB]]</f>
        <v>0</v>
      </c>
      <c r="AV185" s="5">
        <f>sim.tbl[[#This Row],[Dens]]*sim.tbl[[#This Row],[Light_SW]]</f>
        <v>0</v>
      </c>
      <c r="AW185" s="5">
        <f>sim.tbl[[#This Row],[Dens]]*sim.tbl[[#This Row],[Medium_LSB]]</f>
        <v>852.9</v>
      </c>
      <c r="AX185" s="5">
        <f>sim.tbl[[#This Row],[Dens]]*sim.tbl[[#This Row],[Medium_SW]]</f>
        <v>0</v>
      </c>
      <c r="AY185" s="5">
        <f>sim.tbl[[#This Row],[Dens]]*sim.tbl[[#This Row],[Midale]]</f>
        <v>0</v>
      </c>
      <c r="AZ185" s="5">
        <f>sim.tbl[[#This Row],[Dens]]*sim.tbl[[#This Row],[Heavy_Sour]]</f>
        <v>0</v>
      </c>
      <c r="BA185" s="5">
        <f>sim.tbl[[#This Row],[Dens]]*sim.tbl[[#This Row],[Heavy_SW]]</f>
        <v>0</v>
      </c>
      <c r="BB185" s="5">
        <f>sim.tbl[[#This Row],[Temp.Roll]]*sim.tbl[[#This Row],[C5]]</f>
        <v>0</v>
      </c>
      <c r="BC185" s="5">
        <f>sim.tbl[[#This Row],[Temp.Roll]]*sim.tbl[[#This Row],[Light_LSB]]</f>
        <v>0</v>
      </c>
      <c r="BD185" s="5">
        <f>sim.tbl[[#This Row],[Temp.Roll]]*sim.tbl[[#This Row],[Light_SW]]</f>
        <v>0</v>
      </c>
      <c r="BE185" s="5">
        <f>sim.tbl[[#This Row],[Temp.Roll]]*sim.tbl[[#This Row],[Medium_LSB]]</f>
        <v>0.4</v>
      </c>
      <c r="BF185" s="5">
        <f>sim.tbl[[#This Row],[Temp.Roll]]*sim.tbl[[#This Row],[Medium_SW]]</f>
        <v>0</v>
      </c>
      <c r="BG185" s="5">
        <f>sim.tbl[[#This Row],[Temp.Roll]]*sim.tbl[[#This Row],[Midale]]</f>
        <v>0</v>
      </c>
      <c r="BH185" s="5">
        <f>sim.tbl[[#This Row],[Temp.Roll]]*sim.tbl[[#This Row],[Heavy_Sour]]</f>
        <v>0</v>
      </c>
      <c r="BI185" s="5">
        <f>sim.tbl[[#This Row],[Temp.Roll]]*sim.tbl[[#This Row],[Heavy_SW]]</f>
        <v>0</v>
      </c>
    </row>
    <row r="186" spans="4:61" x14ac:dyDescent="0.25">
      <c r="D186" s="5">
        <f ca="1">SUMPRODUCT($F$1:$BI$1,sim.tbl[[#This Row],[Intercept]:[Temp.Roll:Heavy_SW]])</f>
        <v>71.295924629251772</v>
      </c>
      <c r="E186" s="14">
        <f ca="1">DATE(YEAR(TODAY()),INDEX(mthLkUp.tbl[Num],MATCH(mth.input,mthLkUp.tbl[Month],0)),1)</f>
        <v>42795</v>
      </c>
      <c r="F186" s="6">
        <f>1</f>
        <v>1</v>
      </c>
      <c r="G186" s="5">
        <v>1.41</v>
      </c>
      <c r="H186" s="5">
        <v>853.4</v>
      </c>
      <c r="I186" s="5">
        <v>11.31666667</v>
      </c>
      <c r="J186" s="5">
        <v>9.9</v>
      </c>
      <c r="K186" s="5">
        <v>10.6</v>
      </c>
      <c r="L186" s="5">
        <v>9.9</v>
      </c>
      <c r="M186" s="5">
        <v>12.3</v>
      </c>
      <c r="N186" s="5">
        <v>13</v>
      </c>
      <c r="O186" s="5">
        <v>10.8</v>
      </c>
      <c r="P186" s="5">
        <v>11.3</v>
      </c>
      <c r="Q186" s="6">
        <f>IF(sim.tbl[[#This Row],[Dens]]&lt;=770,1,0)</f>
        <v>0</v>
      </c>
      <c r="R186" s="6">
        <f>IF(AND(sim.tbl[[#This Row],[Sulf]]&gt;0.5,sim.tbl[[#This Row],[Dens]]&gt;770,sim.tbl[[#This Row],[Dens]]&lt;=825),1,0)</f>
        <v>0</v>
      </c>
      <c r="S186" s="6">
        <f>IF(AND(sim.tbl[[#This Row],[Sulf]]&lt;=0.5,sim.tbl[[#This Row],[Dens]]&gt;770,sim.tbl[[#This Row],[Dens]]&lt;=825),1,0)</f>
        <v>0</v>
      </c>
      <c r="T186" s="6">
        <f>IF(AND(sim.tbl[[#This Row],[Sulf]]&gt;0.5,sim.tbl[[#This Row],[Dens]]&gt;825,sim.tbl[[#This Row],[Dens]]&lt;=870),1,0)</f>
        <v>1</v>
      </c>
      <c r="U186" s="6">
        <f>IF(AND(sim.tbl[[#This Row],[Sulf]]&lt;0.5,sim.tbl[[#This Row],[Dens]]&gt;825,sim.tbl[[#This Row],[Dens]]&lt;=900),1,0)</f>
        <v>0</v>
      </c>
      <c r="V186" s="6">
        <f>IF(AND(sim.tbl[[#This Row],[Sulf]]&gt;0.5,sim.tbl[[#This Row],[Dens]]&gt;870,sim.tbl[[#This Row],[Dens]]&lt;=900),1,0)</f>
        <v>0</v>
      </c>
      <c r="W186" s="6">
        <f>IF(AND(sim.tbl[[#This Row],[Sulf]]&gt;0.5,sim.tbl[[#This Row],[Dens]]&gt;900),1,0)</f>
        <v>0</v>
      </c>
      <c r="X186" s="6">
        <f>IF(AND(sim.tbl[[#This Row],[Sulf]]&lt;=0.5,sim.tbl[[#This Row],[Dens]]&gt;900),1,0)</f>
        <v>0</v>
      </c>
      <c r="Y186" s="6">
        <f ca="1">IF(MONTH(sim.tbl[[#This Row],[SDate]])=INDEX(mthLkUp.tbl[Num],MATCH(Y$3,mthLkUp.tbl[Month],0)),1,0)</f>
        <v>0</v>
      </c>
      <c r="Z186" s="6">
        <f ca="1">IF(MONTH(sim.tbl[[#This Row],[SDate]])=INDEX(mthLkUp.tbl[Num],MATCH(Z$3,mthLkUp.tbl[Month],0)),1,0)</f>
        <v>0</v>
      </c>
      <c r="AA186" s="6">
        <f ca="1">IF(MONTH(sim.tbl[[#This Row],[SDate]])=INDEX(mthLkUp.tbl[Num],MATCH(AA$3,mthLkUp.tbl[Month],0)),1,0)</f>
        <v>1</v>
      </c>
      <c r="AB186" s="6">
        <f ca="1">IF(MONTH(sim.tbl[[#This Row],[SDate]])=INDEX(mthLkUp.tbl[Num],MATCH(AB$3,mthLkUp.tbl[Month],0)),1,0)</f>
        <v>0</v>
      </c>
      <c r="AC186" s="6">
        <f ca="1">IF(MONTH(sim.tbl[[#This Row],[SDate]])=INDEX(mthLkUp.tbl[Num],MATCH(AC$3,mthLkUp.tbl[Month],0)),1,0)</f>
        <v>0</v>
      </c>
      <c r="AD186" s="6">
        <f ca="1">IF(MONTH(sim.tbl[[#This Row],[SDate]])=INDEX(mthLkUp.tbl[Num],MATCH(AD$3,mthLkUp.tbl[Month],0)),1,0)</f>
        <v>0</v>
      </c>
      <c r="AE186" s="6">
        <f ca="1">IF(MONTH(sim.tbl[[#This Row],[SDate]])=INDEX(mthLkUp.tbl[Num],MATCH(AE$3,mthLkUp.tbl[Month],0)),1,0)</f>
        <v>0</v>
      </c>
      <c r="AF186" s="6">
        <f ca="1">IF(MONTH(sim.tbl[[#This Row],[SDate]])=INDEX(mthLkUp.tbl[Num],MATCH(AF$3,mthLkUp.tbl[Month],0)),1,0)</f>
        <v>0</v>
      </c>
      <c r="AG186" s="6">
        <f ca="1">IF(MONTH(sim.tbl[[#This Row],[SDate]])=INDEX(mthLkUp.tbl[Num],MATCH(AG$3,mthLkUp.tbl[Month],0)),1,0)</f>
        <v>0</v>
      </c>
      <c r="AH186" s="6">
        <f ca="1">IF(MONTH(sim.tbl[[#This Row],[SDate]])=INDEX(mthLkUp.tbl[Num],MATCH(AH$3,mthLkUp.tbl[Month],0)),1,0)</f>
        <v>0</v>
      </c>
      <c r="AI186" s="6">
        <f ca="1">IF(MONTH(sim.tbl[[#This Row],[SDate]])=INDEX(mthLkUp.tbl[Num],MATCH(AI$3,mthLkUp.tbl[Month],0)),1,0)</f>
        <v>0</v>
      </c>
      <c r="AJ186" s="6">
        <f ca="1">IF(MONTH(sim.tbl[[#This Row],[SDate]])=INDEX(mthLkUp.tbl[Num],MATCH(AJ$3,mthLkUp.tbl[Month],0)),1,0)</f>
        <v>0</v>
      </c>
      <c r="AK186" s="6">
        <v>1</v>
      </c>
      <c r="AL186" s="5">
        <f>sim.tbl[[#This Row],[Sulf]]*sim.tbl[[#This Row],[C5]]</f>
        <v>0</v>
      </c>
      <c r="AM186" s="5">
        <f>sim.tbl[[#This Row],[Sulf]]*sim.tbl[[#This Row],[Light_LSB]]</f>
        <v>0</v>
      </c>
      <c r="AN186" s="5">
        <f>sim.tbl[[#This Row],[Sulf]]*sim.tbl[[#This Row],[Light_SW]]</f>
        <v>0</v>
      </c>
      <c r="AO186" s="5">
        <f>sim.tbl[[#This Row],[Sulf]]*sim.tbl[[#This Row],[Medium_LSB]]</f>
        <v>1.41</v>
      </c>
      <c r="AP186" s="5">
        <f>sim.tbl[[#This Row],[Sulf]]*sim.tbl[[#This Row],[Medium_SW]]</f>
        <v>0</v>
      </c>
      <c r="AQ186" s="5">
        <f>sim.tbl[[#This Row],[Sulf]]*sim.tbl[[#This Row],[Midale]]</f>
        <v>0</v>
      </c>
      <c r="AR186" s="5">
        <f>sim.tbl[[#This Row],[Sulf]]*sim.tbl[[#This Row],[Heavy_Sour]]</f>
        <v>0</v>
      </c>
      <c r="AS186" s="5">
        <f>sim.tbl[[#This Row],[Sulf]]*sim.tbl[[#This Row],[Heavy_SW]]</f>
        <v>0</v>
      </c>
      <c r="AT186" s="5">
        <f>sim.tbl[[#This Row],[Dens]]*sim.tbl[[#This Row],[C5]]</f>
        <v>0</v>
      </c>
      <c r="AU186" s="5">
        <f>sim.tbl[[#This Row],[Dens]]*sim.tbl[[#This Row],[Light_LSB]]</f>
        <v>0</v>
      </c>
      <c r="AV186" s="5">
        <f>sim.tbl[[#This Row],[Dens]]*sim.tbl[[#This Row],[Light_SW]]</f>
        <v>0</v>
      </c>
      <c r="AW186" s="5">
        <f>sim.tbl[[#This Row],[Dens]]*sim.tbl[[#This Row],[Medium_LSB]]</f>
        <v>853.4</v>
      </c>
      <c r="AX186" s="5">
        <f>sim.tbl[[#This Row],[Dens]]*sim.tbl[[#This Row],[Medium_SW]]</f>
        <v>0</v>
      </c>
      <c r="AY186" s="5">
        <f>sim.tbl[[#This Row],[Dens]]*sim.tbl[[#This Row],[Midale]]</f>
        <v>0</v>
      </c>
      <c r="AZ186" s="5">
        <f>sim.tbl[[#This Row],[Dens]]*sim.tbl[[#This Row],[Heavy_Sour]]</f>
        <v>0</v>
      </c>
      <c r="BA186" s="5">
        <f>sim.tbl[[#This Row],[Dens]]*sim.tbl[[#This Row],[Heavy_SW]]</f>
        <v>0</v>
      </c>
      <c r="BB186" s="5">
        <f>sim.tbl[[#This Row],[Temp.Roll]]*sim.tbl[[#This Row],[C5]]</f>
        <v>0</v>
      </c>
      <c r="BC186" s="5">
        <f>sim.tbl[[#This Row],[Temp.Roll]]*sim.tbl[[#This Row],[Light_LSB]]</f>
        <v>0</v>
      </c>
      <c r="BD186" s="5">
        <f>sim.tbl[[#This Row],[Temp.Roll]]*sim.tbl[[#This Row],[Light_SW]]</f>
        <v>0</v>
      </c>
      <c r="BE186" s="5">
        <f>sim.tbl[[#This Row],[Temp.Roll]]*sim.tbl[[#This Row],[Medium_LSB]]</f>
        <v>9.9</v>
      </c>
      <c r="BF186" s="5">
        <f>sim.tbl[[#This Row],[Temp.Roll]]*sim.tbl[[#This Row],[Medium_SW]]</f>
        <v>0</v>
      </c>
      <c r="BG186" s="5">
        <f>sim.tbl[[#This Row],[Temp.Roll]]*sim.tbl[[#This Row],[Midale]]</f>
        <v>0</v>
      </c>
      <c r="BH186" s="5">
        <f>sim.tbl[[#This Row],[Temp.Roll]]*sim.tbl[[#This Row],[Heavy_Sour]]</f>
        <v>0</v>
      </c>
      <c r="BI186" s="5">
        <f>sim.tbl[[#This Row],[Temp.Roll]]*sim.tbl[[#This Row],[Heavy_SW]]</f>
        <v>0</v>
      </c>
    </row>
    <row r="187" spans="4:61" x14ac:dyDescent="0.25">
      <c r="D187" s="5">
        <f ca="1">SUMPRODUCT($F$1:$BI$1,sim.tbl[[#This Row],[Intercept]:[Temp.Roll:Heavy_SW]])</f>
        <v>78.093395338884733</v>
      </c>
      <c r="E187" s="14">
        <f ca="1">DATE(YEAR(TODAY()),INDEX(mthLkUp.tbl[Num],MATCH(mth.input,mthLkUp.tbl[Month],0)),1)</f>
        <v>42795</v>
      </c>
      <c r="F187" s="6">
        <f>1</f>
        <v>1</v>
      </c>
      <c r="G187" s="5">
        <v>1.32</v>
      </c>
      <c r="H187" s="5">
        <v>831.8</v>
      </c>
      <c r="I187" s="5">
        <v>10.03333333</v>
      </c>
      <c r="J187" s="5">
        <v>9</v>
      </c>
      <c r="K187" s="5">
        <v>9.8000000000000007</v>
      </c>
      <c r="L187" s="5">
        <v>9</v>
      </c>
      <c r="M187" s="5">
        <v>9.5</v>
      </c>
      <c r="N187" s="5">
        <v>8</v>
      </c>
      <c r="O187" s="5">
        <v>10.9</v>
      </c>
      <c r="P187" s="5">
        <v>13</v>
      </c>
      <c r="Q187" s="6">
        <f>IF(sim.tbl[[#This Row],[Dens]]&lt;=770,1,0)</f>
        <v>0</v>
      </c>
      <c r="R187" s="6">
        <f>IF(AND(sim.tbl[[#This Row],[Sulf]]&gt;0.5,sim.tbl[[#This Row],[Dens]]&gt;770,sim.tbl[[#This Row],[Dens]]&lt;=825),1,0)</f>
        <v>0</v>
      </c>
      <c r="S187" s="6">
        <f>IF(AND(sim.tbl[[#This Row],[Sulf]]&lt;=0.5,sim.tbl[[#This Row],[Dens]]&gt;770,sim.tbl[[#This Row],[Dens]]&lt;=825),1,0)</f>
        <v>0</v>
      </c>
      <c r="T187" s="6">
        <f>IF(AND(sim.tbl[[#This Row],[Sulf]]&gt;0.5,sim.tbl[[#This Row],[Dens]]&gt;825,sim.tbl[[#This Row],[Dens]]&lt;=870),1,0)</f>
        <v>1</v>
      </c>
      <c r="U187" s="6">
        <f>IF(AND(sim.tbl[[#This Row],[Sulf]]&lt;0.5,sim.tbl[[#This Row],[Dens]]&gt;825,sim.tbl[[#This Row],[Dens]]&lt;=900),1,0)</f>
        <v>0</v>
      </c>
      <c r="V187" s="6">
        <f>IF(AND(sim.tbl[[#This Row],[Sulf]]&gt;0.5,sim.tbl[[#This Row],[Dens]]&gt;870,sim.tbl[[#This Row],[Dens]]&lt;=900),1,0)</f>
        <v>0</v>
      </c>
      <c r="W187" s="6">
        <f>IF(AND(sim.tbl[[#This Row],[Sulf]]&gt;0.5,sim.tbl[[#This Row],[Dens]]&gt;900),1,0)</f>
        <v>0</v>
      </c>
      <c r="X187" s="6">
        <f>IF(AND(sim.tbl[[#This Row],[Sulf]]&lt;=0.5,sim.tbl[[#This Row],[Dens]]&gt;900),1,0)</f>
        <v>0</v>
      </c>
      <c r="Y187" s="6">
        <f ca="1">IF(MONTH(sim.tbl[[#This Row],[SDate]])=INDEX(mthLkUp.tbl[Num],MATCH(Y$3,mthLkUp.tbl[Month],0)),1,0)</f>
        <v>0</v>
      </c>
      <c r="Z187" s="6">
        <f ca="1">IF(MONTH(sim.tbl[[#This Row],[SDate]])=INDEX(mthLkUp.tbl[Num],MATCH(Z$3,mthLkUp.tbl[Month],0)),1,0)</f>
        <v>0</v>
      </c>
      <c r="AA187" s="6">
        <f ca="1">IF(MONTH(sim.tbl[[#This Row],[SDate]])=INDEX(mthLkUp.tbl[Num],MATCH(AA$3,mthLkUp.tbl[Month],0)),1,0)</f>
        <v>1</v>
      </c>
      <c r="AB187" s="6">
        <f ca="1">IF(MONTH(sim.tbl[[#This Row],[SDate]])=INDEX(mthLkUp.tbl[Num],MATCH(AB$3,mthLkUp.tbl[Month],0)),1,0)</f>
        <v>0</v>
      </c>
      <c r="AC187" s="6">
        <f ca="1">IF(MONTH(sim.tbl[[#This Row],[SDate]])=INDEX(mthLkUp.tbl[Num],MATCH(AC$3,mthLkUp.tbl[Month],0)),1,0)</f>
        <v>0</v>
      </c>
      <c r="AD187" s="6">
        <f ca="1">IF(MONTH(sim.tbl[[#This Row],[SDate]])=INDEX(mthLkUp.tbl[Num],MATCH(AD$3,mthLkUp.tbl[Month],0)),1,0)</f>
        <v>0</v>
      </c>
      <c r="AE187" s="6">
        <f ca="1">IF(MONTH(sim.tbl[[#This Row],[SDate]])=INDEX(mthLkUp.tbl[Num],MATCH(AE$3,mthLkUp.tbl[Month],0)),1,0)</f>
        <v>0</v>
      </c>
      <c r="AF187" s="6">
        <f ca="1">IF(MONTH(sim.tbl[[#This Row],[SDate]])=INDEX(mthLkUp.tbl[Num],MATCH(AF$3,mthLkUp.tbl[Month],0)),1,0)</f>
        <v>0</v>
      </c>
      <c r="AG187" s="6">
        <f ca="1">IF(MONTH(sim.tbl[[#This Row],[SDate]])=INDEX(mthLkUp.tbl[Num],MATCH(AG$3,mthLkUp.tbl[Month],0)),1,0)</f>
        <v>0</v>
      </c>
      <c r="AH187" s="6">
        <f ca="1">IF(MONTH(sim.tbl[[#This Row],[SDate]])=INDEX(mthLkUp.tbl[Num],MATCH(AH$3,mthLkUp.tbl[Month],0)),1,0)</f>
        <v>0</v>
      </c>
      <c r="AI187" s="6">
        <f ca="1">IF(MONTH(sim.tbl[[#This Row],[SDate]])=INDEX(mthLkUp.tbl[Num],MATCH(AI$3,mthLkUp.tbl[Month],0)),1,0)</f>
        <v>0</v>
      </c>
      <c r="AJ187" s="6">
        <f ca="1">IF(MONTH(sim.tbl[[#This Row],[SDate]])=INDEX(mthLkUp.tbl[Num],MATCH(AJ$3,mthLkUp.tbl[Month],0)),1,0)</f>
        <v>0</v>
      </c>
      <c r="AK187" s="6">
        <v>1</v>
      </c>
      <c r="AL187" s="5">
        <f>sim.tbl[[#This Row],[Sulf]]*sim.tbl[[#This Row],[C5]]</f>
        <v>0</v>
      </c>
      <c r="AM187" s="5">
        <f>sim.tbl[[#This Row],[Sulf]]*sim.tbl[[#This Row],[Light_LSB]]</f>
        <v>0</v>
      </c>
      <c r="AN187" s="5">
        <f>sim.tbl[[#This Row],[Sulf]]*sim.tbl[[#This Row],[Light_SW]]</f>
        <v>0</v>
      </c>
      <c r="AO187" s="5">
        <f>sim.tbl[[#This Row],[Sulf]]*sim.tbl[[#This Row],[Medium_LSB]]</f>
        <v>1.32</v>
      </c>
      <c r="AP187" s="5">
        <f>sim.tbl[[#This Row],[Sulf]]*sim.tbl[[#This Row],[Medium_SW]]</f>
        <v>0</v>
      </c>
      <c r="AQ187" s="5">
        <f>sim.tbl[[#This Row],[Sulf]]*sim.tbl[[#This Row],[Midale]]</f>
        <v>0</v>
      </c>
      <c r="AR187" s="5">
        <f>sim.tbl[[#This Row],[Sulf]]*sim.tbl[[#This Row],[Heavy_Sour]]</f>
        <v>0</v>
      </c>
      <c r="AS187" s="5">
        <f>sim.tbl[[#This Row],[Sulf]]*sim.tbl[[#This Row],[Heavy_SW]]</f>
        <v>0</v>
      </c>
      <c r="AT187" s="5">
        <f>sim.tbl[[#This Row],[Dens]]*sim.tbl[[#This Row],[C5]]</f>
        <v>0</v>
      </c>
      <c r="AU187" s="5">
        <f>sim.tbl[[#This Row],[Dens]]*sim.tbl[[#This Row],[Light_LSB]]</f>
        <v>0</v>
      </c>
      <c r="AV187" s="5">
        <f>sim.tbl[[#This Row],[Dens]]*sim.tbl[[#This Row],[Light_SW]]</f>
        <v>0</v>
      </c>
      <c r="AW187" s="5">
        <f>sim.tbl[[#This Row],[Dens]]*sim.tbl[[#This Row],[Medium_LSB]]</f>
        <v>831.8</v>
      </c>
      <c r="AX187" s="5">
        <f>sim.tbl[[#This Row],[Dens]]*sim.tbl[[#This Row],[Medium_SW]]</f>
        <v>0</v>
      </c>
      <c r="AY187" s="5">
        <f>sim.tbl[[#This Row],[Dens]]*sim.tbl[[#This Row],[Midale]]</f>
        <v>0</v>
      </c>
      <c r="AZ187" s="5">
        <f>sim.tbl[[#This Row],[Dens]]*sim.tbl[[#This Row],[Heavy_Sour]]</f>
        <v>0</v>
      </c>
      <c r="BA187" s="5">
        <f>sim.tbl[[#This Row],[Dens]]*sim.tbl[[#This Row],[Heavy_SW]]</f>
        <v>0</v>
      </c>
      <c r="BB187" s="5">
        <f>sim.tbl[[#This Row],[Temp.Roll]]*sim.tbl[[#This Row],[C5]]</f>
        <v>0</v>
      </c>
      <c r="BC187" s="5">
        <f>sim.tbl[[#This Row],[Temp.Roll]]*sim.tbl[[#This Row],[Light_LSB]]</f>
        <v>0</v>
      </c>
      <c r="BD187" s="5">
        <f>sim.tbl[[#This Row],[Temp.Roll]]*sim.tbl[[#This Row],[Light_SW]]</f>
        <v>0</v>
      </c>
      <c r="BE187" s="5">
        <f>sim.tbl[[#This Row],[Temp.Roll]]*sim.tbl[[#This Row],[Medium_LSB]]</f>
        <v>9</v>
      </c>
      <c r="BF187" s="5">
        <f>sim.tbl[[#This Row],[Temp.Roll]]*sim.tbl[[#This Row],[Medium_SW]]</f>
        <v>0</v>
      </c>
      <c r="BG187" s="5">
        <f>sim.tbl[[#This Row],[Temp.Roll]]*sim.tbl[[#This Row],[Midale]]</f>
        <v>0</v>
      </c>
      <c r="BH187" s="5">
        <f>sim.tbl[[#This Row],[Temp.Roll]]*sim.tbl[[#This Row],[Heavy_Sour]]</f>
        <v>0</v>
      </c>
      <c r="BI187" s="5">
        <f>sim.tbl[[#This Row],[Temp.Roll]]*sim.tbl[[#This Row],[Heavy_SW]]</f>
        <v>0</v>
      </c>
    </row>
    <row r="188" spans="4:61" x14ac:dyDescent="0.25">
      <c r="D188" s="5">
        <f ca="1">SUMPRODUCT($F$1:$BI$1,sim.tbl[[#This Row],[Intercept]:[Temp.Roll:Heavy_SW]])</f>
        <v>89.546988393373695</v>
      </c>
      <c r="E188" s="14">
        <f ca="1">DATE(YEAR(TODAY()),INDEX(mthLkUp.tbl[Num],MATCH(mth.input,mthLkUp.tbl[Month],0)),1)</f>
        <v>42795</v>
      </c>
      <c r="F188" s="6">
        <f>1</f>
        <v>1</v>
      </c>
      <c r="G188" s="5">
        <v>0.22</v>
      </c>
      <c r="H188" s="5">
        <v>843.7</v>
      </c>
      <c r="I188" s="5">
        <v>10.983333330000001</v>
      </c>
      <c r="J188" s="5">
        <v>10.1</v>
      </c>
      <c r="K188" s="5">
        <v>11.1</v>
      </c>
      <c r="L188" s="5">
        <v>10.1</v>
      </c>
      <c r="M188" s="5">
        <v>11.3</v>
      </c>
      <c r="N188" s="5">
        <v>10</v>
      </c>
      <c r="O188" s="5">
        <v>12.6</v>
      </c>
      <c r="P188" s="5">
        <v>10.8</v>
      </c>
      <c r="Q188" s="6">
        <f>IF(sim.tbl[[#This Row],[Dens]]&lt;=770,1,0)</f>
        <v>0</v>
      </c>
      <c r="R188" s="6">
        <f>IF(AND(sim.tbl[[#This Row],[Sulf]]&gt;0.5,sim.tbl[[#This Row],[Dens]]&gt;770,sim.tbl[[#This Row],[Dens]]&lt;=825),1,0)</f>
        <v>0</v>
      </c>
      <c r="S188" s="6">
        <f>IF(AND(sim.tbl[[#This Row],[Sulf]]&lt;=0.5,sim.tbl[[#This Row],[Dens]]&gt;770,sim.tbl[[#This Row],[Dens]]&lt;=825),1,0)</f>
        <v>0</v>
      </c>
      <c r="T188" s="6">
        <f>IF(AND(sim.tbl[[#This Row],[Sulf]]&gt;0.5,sim.tbl[[#This Row],[Dens]]&gt;825,sim.tbl[[#This Row],[Dens]]&lt;=870),1,0)</f>
        <v>0</v>
      </c>
      <c r="U188" s="6">
        <f>IF(AND(sim.tbl[[#This Row],[Sulf]]&lt;0.5,sim.tbl[[#This Row],[Dens]]&gt;825,sim.tbl[[#This Row],[Dens]]&lt;=900),1,0)</f>
        <v>1</v>
      </c>
      <c r="V188" s="6">
        <f>IF(AND(sim.tbl[[#This Row],[Sulf]]&gt;0.5,sim.tbl[[#This Row],[Dens]]&gt;870,sim.tbl[[#This Row],[Dens]]&lt;=900),1,0)</f>
        <v>0</v>
      </c>
      <c r="W188" s="6">
        <f>IF(AND(sim.tbl[[#This Row],[Sulf]]&gt;0.5,sim.tbl[[#This Row],[Dens]]&gt;900),1,0)</f>
        <v>0</v>
      </c>
      <c r="X188" s="6">
        <f>IF(AND(sim.tbl[[#This Row],[Sulf]]&lt;=0.5,sim.tbl[[#This Row],[Dens]]&gt;900),1,0)</f>
        <v>0</v>
      </c>
      <c r="Y188" s="6">
        <f ca="1">IF(MONTH(sim.tbl[[#This Row],[SDate]])=INDEX(mthLkUp.tbl[Num],MATCH(Y$3,mthLkUp.tbl[Month],0)),1,0)</f>
        <v>0</v>
      </c>
      <c r="Z188" s="6">
        <f ca="1">IF(MONTH(sim.tbl[[#This Row],[SDate]])=INDEX(mthLkUp.tbl[Num],MATCH(Z$3,mthLkUp.tbl[Month],0)),1,0)</f>
        <v>0</v>
      </c>
      <c r="AA188" s="6">
        <f ca="1">IF(MONTH(sim.tbl[[#This Row],[SDate]])=INDEX(mthLkUp.tbl[Num],MATCH(AA$3,mthLkUp.tbl[Month],0)),1,0)</f>
        <v>1</v>
      </c>
      <c r="AB188" s="6">
        <f ca="1">IF(MONTH(sim.tbl[[#This Row],[SDate]])=INDEX(mthLkUp.tbl[Num],MATCH(AB$3,mthLkUp.tbl[Month],0)),1,0)</f>
        <v>0</v>
      </c>
      <c r="AC188" s="6">
        <f ca="1">IF(MONTH(sim.tbl[[#This Row],[SDate]])=INDEX(mthLkUp.tbl[Num],MATCH(AC$3,mthLkUp.tbl[Month],0)),1,0)</f>
        <v>0</v>
      </c>
      <c r="AD188" s="6">
        <f ca="1">IF(MONTH(sim.tbl[[#This Row],[SDate]])=INDEX(mthLkUp.tbl[Num],MATCH(AD$3,mthLkUp.tbl[Month],0)),1,0)</f>
        <v>0</v>
      </c>
      <c r="AE188" s="6">
        <f ca="1">IF(MONTH(sim.tbl[[#This Row],[SDate]])=INDEX(mthLkUp.tbl[Num],MATCH(AE$3,mthLkUp.tbl[Month],0)),1,0)</f>
        <v>0</v>
      </c>
      <c r="AF188" s="6">
        <f ca="1">IF(MONTH(sim.tbl[[#This Row],[SDate]])=INDEX(mthLkUp.tbl[Num],MATCH(AF$3,mthLkUp.tbl[Month],0)),1,0)</f>
        <v>0</v>
      </c>
      <c r="AG188" s="6">
        <f ca="1">IF(MONTH(sim.tbl[[#This Row],[SDate]])=INDEX(mthLkUp.tbl[Num],MATCH(AG$3,mthLkUp.tbl[Month],0)),1,0)</f>
        <v>0</v>
      </c>
      <c r="AH188" s="6">
        <f ca="1">IF(MONTH(sim.tbl[[#This Row],[SDate]])=INDEX(mthLkUp.tbl[Num],MATCH(AH$3,mthLkUp.tbl[Month],0)),1,0)</f>
        <v>0</v>
      </c>
      <c r="AI188" s="6">
        <f ca="1">IF(MONTH(sim.tbl[[#This Row],[SDate]])=INDEX(mthLkUp.tbl[Num],MATCH(AI$3,mthLkUp.tbl[Month],0)),1,0)</f>
        <v>0</v>
      </c>
      <c r="AJ188" s="6">
        <f ca="1">IF(MONTH(sim.tbl[[#This Row],[SDate]])=INDEX(mthLkUp.tbl[Num],MATCH(AJ$3,mthLkUp.tbl[Month],0)),1,0)</f>
        <v>0</v>
      </c>
      <c r="AK188" s="6">
        <v>1</v>
      </c>
      <c r="AL188" s="5">
        <f>sim.tbl[[#This Row],[Sulf]]*sim.tbl[[#This Row],[C5]]</f>
        <v>0</v>
      </c>
      <c r="AM188" s="5">
        <f>sim.tbl[[#This Row],[Sulf]]*sim.tbl[[#This Row],[Light_LSB]]</f>
        <v>0</v>
      </c>
      <c r="AN188" s="5">
        <f>sim.tbl[[#This Row],[Sulf]]*sim.tbl[[#This Row],[Light_SW]]</f>
        <v>0</v>
      </c>
      <c r="AO188" s="5">
        <f>sim.tbl[[#This Row],[Sulf]]*sim.tbl[[#This Row],[Medium_LSB]]</f>
        <v>0</v>
      </c>
      <c r="AP188" s="5">
        <f>sim.tbl[[#This Row],[Sulf]]*sim.tbl[[#This Row],[Medium_SW]]</f>
        <v>0.22</v>
      </c>
      <c r="AQ188" s="5">
        <f>sim.tbl[[#This Row],[Sulf]]*sim.tbl[[#This Row],[Midale]]</f>
        <v>0</v>
      </c>
      <c r="AR188" s="5">
        <f>sim.tbl[[#This Row],[Sulf]]*sim.tbl[[#This Row],[Heavy_Sour]]</f>
        <v>0</v>
      </c>
      <c r="AS188" s="5">
        <f>sim.tbl[[#This Row],[Sulf]]*sim.tbl[[#This Row],[Heavy_SW]]</f>
        <v>0</v>
      </c>
      <c r="AT188" s="5">
        <f>sim.tbl[[#This Row],[Dens]]*sim.tbl[[#This Row],[C5]]</f>
        <v>0</v>
      </c>
      <c r="AU188" s="5">
        <f>sim.tbl[[#This Row],[Dens]]*sim.tbl[[#This Row],[Light_LSB]]</f>
        <v>0</v>
      </c>
      <c r="AV188" s="5">
        <f>sim.tbl[[#This Row],[Dens]]*sim.tbl[[#This Row],[Light_SW]]</f>
        <v>0</v>
      </c>
      <c r="AW188" s="5">
        <f>sim.tbl[[#This Row],[Dens]]*sim.tbl[[#This Row],[Medium_LSB]]</f>
        <v>0</v>
      </c>
      <c r="AX188" s="5">
        <f>sim.tbl[[#This Row],[Dens]]*sim.tbl[[#This Row],[Medium_SW]]</f>
        <v>843.7</v>
      </c>
      <c r="AY188" s="5">
        <f>sim.tbl[[#This Row],[Dens]]*sim.tbl[[#This Row],[Midale]]</f>
        <v>0</v>
      </c>
      <c r="AZ188" s="5">
        <f>sim.tbl[[#This Row],[Dens]]*sim.tbl[[#This Row],[Heavy_Sour]]</f>
        <v>0</v>
      </c>
      <c r="BA188" s="5">
        <f>sim.tbl[[#This Row],[Dens]]*sim.tbl[[#This Row],[Heavy_SW]]</f>
        <v>0</v>
      </c>
      <c r="BB188" s="5">
        <f>sim.tbl[[#This Row],[Temp.Roll]]*sim.tbl[[#This Row],[C5]]</f>
        <v>0</v>
      </c>
      <c r="BC188" s="5">
        <f>sim.tbl[[#This Row],[Temp.Roll]]*sim.tbl[[#This Row],[Light_LSB]]</f>
        <v>0</v>
      </c>
      <c r="BD188" s="5">
        <f>sim.tbl[[#This Row],[Temp.Roll]]*sim.tbl[[#This Row],[Light_SW]]</f>
        <v>0</v>
      </c>
      <c r="BE188" s="5">
        <f>sim.tbl[[#This Row],[Temp.Roll]]*sim.tbl[[#This Row],[Medium_LSB]]</f>
        <v>0</v>
      </c>
      <c r="BF188" s="5">
        <f>sim.tbl[[#This Row],[Temp.Roll]]*sim.tbl[[#This Row],[Medium_SW]]</f>
        <v>10.1</v>
      </c>
      <c r="BG188" s="5">
        <f>sim.tbl[[#This Row],[Temp.Roll]]*sim.tbl[[#This Row],[Midale]]</f>
        <v>0</v>
      </c>
      <c r="BH188" s="5">
        <f>sim.tbl[[#This Row],[Temp.Roll]]*sim.tbl[[#This Row],[Heavy_Sour]]</f>
        <v>0</v>
      </c>
      <c r="BI188" s="5">
        <f>sim.tbl[[#This Row],[Temp.Roll]]*sim.tbl[[#This Row],[Heavy_SW]]</f>
        <v>0</v>
      </c>
    </row>
    <row r="189" spans="4:61" x14ac:dyDescent="0.25">
      <c r="D189" s="5">
        <f ca="1">SUMPRODUCT($F$1:$BI$1,sim.tbl[[#This Row],[Intercept]:[Temp.Roll:Heavy_SW]])</f>
        <v>93.815915185466636</v>
      </c>
      <c r="E189" s="14">
        <f ca="1">DATE(YEAR(TODAY()),INDEX(mthLkUp.tbl[Num],MATCH(mth.input,mthLkUp.tbl[Month],0)),1)</f>
        <v>42795</v>
      </c>
      <c r="F189" s="6">
        <f>1</f>
        <v>1</v>
      </c>
      <c r="G189" s="5">
        <v>0.48199999999999998</v>
      </c>
      <c r="H189" s="5">
        <v>819.9</v>
      </c>
      <c r="I189" s="5">
        <v>-20.04</v>
      </c>
      <c r="J189" s="5">
        <v>-20.3</v>
      </c>
      <c r="K189" s="5">
        <v>-18.399999999999999</v>
      </c>
      <c r="L189" s="5">
        <v>-20.3</v>
      </c>
      <c r="M189" s="5">
        <v>-5.8</v>
      </c>
      <c r="N189" s="5">
        <v>-23</v>
      </c>
      <c r="O189" s="5">
        <v>-17</v>
      </c>
      <c r="P189" s="5">
        <v>-21.5</v>
      </c>
      <c r="Q189" s="6">
        <f>IF(sim.tbl[[#This Row],[Dens]]&lt;=770,1,0)</f>
        <v>0</v>
      </c>
      <c r="R189" s="6">
        <f>IF(AND(sim.tbl[[#This Row],[Sulf]]&gt;0.5,sim.tbl[[#This Row],[Dens]]&gt;770,sim.tbl[[#This Row],[Dens]]&lt;=825),1,0)</f>
        <v>0</v>
      </c>
      <c r="S189" s="6">
        <f>IF(AND(sim.tbl[[#This Row],[Sulf]]&lt;=0.5,sim.tbl[[#This Row],[Dens]]&gt;770,sim.tbl[[#This Row],[Dens]]&lt;=825),1,0)</f>
        <v>1</v>
      </c>
      <c r="T189" s="6">
        <f>IF(AND(sim.tbl[[#This Row],[Sulf]]&gt;0.5,sim.tbl[[#This Row],[Dens]]&gt;825,sim.tbl[[#This Row],[Dens]]&lt;=870),1,0)</f>
        <v>0</v>
      </c>
      <c r="U189" s="6">
        <f>IF(AND(sim.tbl[[#This Row],[Sulf]]&lt;0.5,sim.tbl[[#This Row],[Dens]]&gt;825,sim.tbl[[#This Row],[Dens]]&lt;=900),1,0)</f>
        <v>0</v>
      </c>
      <c r="V189" s="6">
        <f>IF(AND(sim.tbl[[#This Row],[Sulf]]&gt;0.5,sim.tbl[[#This Row],[Dens]]&gt;870,sim.tbl[[#This Row],[Dens]]&lt;=900),1,0)</f>
        <v>0</v>
      </c>
      <c r="W189" s="6">
        <f>IF(AND(sim.tbl[[#This Row],[Sulf]]&gt;0.5,sim.tbl[[#This Row],[Dens]]&gt;900),1,0)</f>
        <v>0</v>
      </c>
      <c r="X189" s="6">
        <f>IF(AND(sim.tbl[[#This Row],[Sulf]]&lt;=0.5,sim.tbl[[#This Row],[Dens]]&gt;900),1,0)</f>
        <v>0</v>
      </c>
      <c r="Y189" s="6">
        <f ca="1">IF(MONTH(sim.tbl[[#This Row],[SDate]])=INDEX(mthLkUp.tbl[Num],MATCH(Y$3,mthLkUp.tbl[Month],0)),1,0)</f>
        <v>0</v>
      </c>
      <c r="Z189" s="6">
        <f ca="1">IF(MONTH(sim.tbl[[#This Row],[SDate]])=INDEX(mthLkUp.tbl[Num],MATCH(Z$3,mthLkUp.tbl[Month],0)),1,0)</f>
        <v>0</v>
      </c>
      <c r="AA189" s="6">
        <f ca="1">IF(MONTH(sim.tbl[[#This Row],[SDate]])=INDEX(mthLkUp.tbl[Num],MATCH(AA$3,mthLkUp.tbl[Month],0)),1,0)</f>
        <v>1</v>
      </c>
      <c r="AB189" s="6">
        <f ca="1">IF(MONTH(sim.tbl[[#This Row],[SDate]])=INDEX(mthLkUp.tbl[Num],MATCH(AB$3,mthLkUp.tbl[Month],0)),1,0)</f>
        <v>0</v>
      </c>
      <c r="AC189" s="6">
        <f ca="1">IF(MONTH(sim.tbl[[#This Row],[SDate]])=INDEX(mthLkUp.tbl[Num],MATCH(AC$3,mthLkUp.tbl[Month],0)),1,0)</f>
        <v>0</v>
      </c>
      <c r="AD189" s="6">
        <f ca="1">IF(MONTH(sim.tbl[[#This Row],[SDate]])=INDEX(mthLkUp.tbl[Num],MATCH(AD$3,mthLkUp.tbl[Month],0)),1,0)</f>
        <v>0</v>
      </c>
      <c r="AE189" s="6">
        <f ca="1">IF(MONTH(sim.tbl[[#This Row],[SDate]])=INDEX(mthLkUp.tbl[Num],MATCH(AE$3,mthLkUp.tbl[Month],0)),1,0)</f>
        <v>0</v>
      </c>
      <c r="AF189" s="6">
        <f ca="1">IF(MONTH(sim.tbl[[#This Row],[SDate]])=INDEX(mthLkUp.tbl[Num],MATCH(AF$3,mthLkUp.tbl[Month],0)),1,0)</f>
        <v>0</v>
      </c>
      <c r="AG189" s="6">
        <f ca="1">IF(MONTH(sim.tbl[[#This Row],[SDate]])=INDEX(mthLkUp.tbl[Num],MATCH(AG$3,mthLkUp.tbl[Month],0)),1,0)</f>
        <v>0</v>
      </c>
      <c r="AH189" s="6">
        <f ca="1">IF(MONTH(sim.tbl[[#This Row],[SDate]])=INDEX(mthLkUp.tbl[Num],MATCH(AH$3,mthLkUp.tbl[Month],0)),1,0)</f>
        <v>0</v>
      </c>
      <c r="AI189" s="6">
        <f ca="1">IF(MONTH(sim.tbl[[#This Row],[SDate]])=INDEX(mthLkUp.tbl[Num],MATCH(AI$3,mthLkUp.tbl[Month],0)),1,0)</f>
        <v>0</v>
      </c>
      <c r="AJ189" s="6">
        <f ca="1">IF(MONTH(sim.tbl[[#This Row],[SDate]])=INDEX(mthLkUp.tbl[Num],MATCH(AJ$3,mthLkUp.tbl[Month],0)),1,0)</f>
        <v>0</v>
      </c>
      <c r="AK189" s="6">
        <v>1</v>
      </c>
      <c r="AL189" s="5">
        <f>sim.tbl[[#This Row],[Sulf]]*sim.tbl[[#This Row],[C5]]</f>
        <v>0</v>
      </c>
      <c r="AM189" s="5">
        <f>sim.tbl[[#This Row],[Sulf]]*sim.tbl[[#This Row],[Light_LSB]]</f>
        <v>0</v>
      </c>
      <c r="AN189" s="5">
        <f>sim.tbl[[#This Row],[Sulf]]*sim.tbl[[#This Row],[Light_SW]]</f>
        <v>0.48199999999999998</v>
      </c>
      <c r="AO189" s="5">
        <f>sim.tbl[[#This Row],[Sulf]]*sim.tbl[[#This Row],[Medium_LSB]]</f>
        <v>0</v>
      </c>
      <c r="AP189" s="5">
        <f>sim.tbl[[#This Row],[Sulf]]*sim.tbl[[#This Row],[Medium_SW]]</f>
        <v>0</v>
      </c>
      <c r="AQ189" s="5">
        <f>sim.tbl[[#This Row],[Sulf]]*sim.tbl[[#This Row],[Midale]]</f>
        <v>0</v>
      </c>
      <c r="AR189" s="5">
        <f>sim.tbl[[#This Row],[Sulf]]*sim.tbl[[#This Row],[Heavy_Sour]]</f>
        <v>0</v>
      </c>
      <c r="AS189" s="5">
        <f>sim.tbl[[#This Row],[Sulf]]*sim.tbl[[#This Row],[Heavy_SW]]</f>
        <v>0</v>
      </c>
      <c r="AT189" s="5">
        <f>sim.tbl[[#This Row],[Dens]]*sim.tbl[[#This Row],[C5]]</f>
        <v>0</v>
      </c>
      <c r="AU189" s="5">
        <f>sim.tbl[[#This Row],[Dens]]*sim.tbl[[#This Row],[Light_LSB]]</f>
        <v>0</v>
      </c>
      <c r="AV189" s="5">
        <f>sim.tbl[[#This Row],[Dens]]*sim.tbl[[#This Row],[Light_SW]]</f>
        <v>819.9</v>
      </c>
      <c r="AW189" s="5">
        <f>sim.tbl[[#This Row],[Dens]]*sim.tbl[[#This Row],[Medium_LSB]]</f>
        <v>0</v>
      </c>
      <c r="AX189" s="5">
        <f>sim.tbl[[#This Row],[Dens]]*sim.tbl[[#This Row],[Medium_SW]]</f>
        <v>0</v>
      </c>
      <c r="AY189" s="5">
        <f>sim.tbl[[#This Row],[Dens]]*sim.tbl[[#This Row],[Midale]]</f>
        <v>0</v>
      </c>
      <c r="AZ189" s="5">
        <f>sim.tbl[[#This Row],[Dens]]*sim.tbl[[#This Row],[Heavy_Sour]]</f>
        <v>0</v>
      </c>
      <c r="BA189" s="5">
        <f>sim.tbl[[#This Row],[Dens]]*sim.tbl[[#This Row],[Heavy_SW]]</f>
        <v>0</v>
      </c>
      <c r="BB189" s="5">
        <f>sim.tbl[[#This Row],[Temp.Roll]]*sim.tbl[[#This Row],[C5]]</f>
        <v>0</v>
      </c>
      <c r="BC189" s="5">
        <f>sim.tbl[[#This Row],[Temp.Roll]]*sim.tbl[[#This Row],[Light_LSB]]</f>
        <v>0</v>
      </c>
      <c r="BD189" s="5">
        <f>sim.tbl[[#This Row],[Temp.Roll]]*sim.tbl[[#This Row],[Light_SW]]</f>
        <v>-20.3</v>
      </c>
      <c r="BE189" s="5">
        <f>sim.tbl[[#This Row],[Temp.Roll]]*sim.tbl[[#This Row],[Medium_LSB]]</f>
        <v>0</v>
      </c>
      <c r="BF189" s="5">
        <f>sim.tbl[[#This Row],[Temp.Roll]]*sim.tbl[[#This Row],[Medium_SW]]</f>
        <v>0</v>
      </c>
      <c r="BG189" s="5">
        <f>sim.tbl[[#This Row],[Temp.Roll]]*sim.tbl[[#This Row],[Midale]]</f>
        <v>0</v>
      </c>
      <c r="BH189" s="5">
        <f>sim.tbl[[#This Row],[Temp.Roll]]*sim.tbl[[#This Row],[Heavy_Sour]]</f>
        <v>0</v>
      </c>
      <c r="BI189" s="5">
        <f>sim.tbl[[#This Row],[Temp.Roll]]*sim.tbl[[#This Row],[Heavy_SW]]</f>
        <v>0</v>
      </c>
    </row>
    <row r="190" spans="4:61" x14ac:dyDescent="0.25">
      <c r="D190" s="5">
        <f ca="1">SUMPRODUCT($F$1:$BI$1,sim.tbl[[#This Row],[Intercept]:[Temp.Roll:Heavy_SW]])</f>
        <v>74.862578679063517</v>
      </c>
      <c r="E190" s="14">
        <f ca="1">DATE(YEAR(TODAY()),INDEX(mthLkUp.tbl[Num],MATCH(mth.input,mthLkUp.tbl[Month],0)),1)</f>
        <v>42795</v>
      </c>
      <c r="F190" s="6">
        <f>1</f>
        <v>1</v>
      </c>
      <c r="G190" s="5">
        <v>1.048</v>
      </c>
      <c r="H190" s="5">
        <v>843.9</v>
      </c>
      <c r="I190" s="5">
        <v>7.016666667</v>
      </c>
      <c r="J190" s="5">
        <v>7.9</v>
      </c>
      <c r="K190" s="5">
        <v>7.5</v>
      </c>
      <c r="L190" s="5">
        <v>7.9</v>
      </c>
      <c r="M190" s="5">
        <v>6.5</v>
      </c>
      <c r="N190" s="5">
        <v>7.8</v>
      </c>
      <c r="O190" s="5">
        <v>6.9</v>
      </c>
      <c r="P190" s="5">
        <v>5.5</v>
      </c>
      <c r="Q190" s="6">
        <f>IF(sim.tbl[[#This Row],[Dens]]&lt;=770,1,0)</f>
        <v>0</v>
      </c>
      <c r="R190" s="6">
        <f>IF(AND(sim.tbl[[#This Row],[Sulf]]&gt;0.5,sim.tbl[[#This Row],[Dens]]&gt;770,sim.tbl[[#This Row],[Dens]]&lt;=825),1,0)</f>
        <v>0</v>
      </c>
      <c r="S190" s="6">
        <f>IF(AND(sim.tbl[[#This Row],[Sulf]]&lt;=0.5,sim.tbl[[#This Row],[Dens]]&gt;770,sim.tbl[[#This Row],[Dens]]&lt;=825),1,0)</f>
        <v>0</v>
      </c>
      <c r="T190" s="6">
        <f>IF(AND(sim.tbl[[#This Row],[Sulf]]&gt;0.5,sim.tbl[[#This Row],[Dens]]&gt;825,sim.tbl[[#This Row],[Dens]]&lt;=870),1,0)</f>
        <v>1</v>
      </c>
      <c r="U190" s="6">
        <f>IF(AND(sim.tbl[[#This Row],[Sulf]]&lt;0.5,sim.tbl[[#This Row],[Dens]]&gt;825,sim.tbl[[#This Row],[Dens]]&lt;=900),1,0)</f>
        <v>0</v>
      </c>
      <c r="V190" s="6">
        <f>IF(AND(sim.tbl[[#This Row],[Sulf]]&gt;0.5,sim.tbl[[#This Row],[Dens]]&gt;870,sim.tbl[[#This Row],[Dens]]&lt;=900),1,0)</f>
        <v>0</v>
      </c>
      <c r="W190" s="6">
        <f>IF(AND(sim.tbl[[#This Row],[Sulf]]&gt;0.5,sim.tbl[[#This Row],[Dens]]&gt;900),1,0)</f>
        <v>0</v>
      </c>
      <c r="X190" s="6">
        <f>IF(AND(sim.tbl[[#This Row],[Sulf]]&lt;=0.5,sim.tbl[[#This Row],[Dens]]&gt;900),1,0)</f>
        <v>0</v>
      </c>
      <c r="Y190" s="6">
        <f ca="1">IF(MONTH(sim.tbl[[#This Row],[SDate]])=INDEX(mthLkUp.tbl[Num],MATCH(Y$3,mthLkUp.tbl[Month],0)),1,0)</f>
        <v>0</v>
      </c>
      <c r="Z190" s="6">
        <f ca="1">IF(MONTH(sim.tbl[[#This Row],[SDate]])=INDEX(mthLkUp.tbl[Num],MATCH(Z$3,mthLkUp.tbl[Month],0)),1,0)</f>
        <v>0</v>
      </c>
      <c r="AA190" s="6">
        <f ca="1">IF(MONTH(sim.tbl[[#This Row],[SDate]])=INDEX(mthLkUp.tbl[Num],MATCH(AA$3,mthLkUp.tbl[Month],0)),1,0)</f>
        <v>1</v>
      </c>
      <c r="AB190" s="6">
        <f ca="1">IF(MONTH(sim.tbl[[#This Row],[SDate]])=INDEX(mthLkUp.tbl[Num],MATCH(AB$3,mthLkUp.tbl[Month],0)),1,0)</f>
        <v>0</v>
      </c>
      <c r="AC190" s="6">
        <f ca="1">IF(MONTH(sim.tbl[[#This Row],[SDate]])=INDEX(mthLkUp.tbl[Num],MATCH(AC$3,mthLkUp.tbl[Month],0)),1,0)</f>
        <v>0</v>
      </c>
      <c r="AD190" s="6">
        <f ca="1">IF(MONTH(sim.tbl[[#This Row],[SDate]])=INDEX(mthLkUp.tbl[Num],MATCH(AD$3,mthLkUp.tbl[Month],0)),1,0)</f>
        <v>0</v>
      </c>
      <c r="AE190" s="6">
        <f ca="1">IF(MONTH(sim.tbl[[#This Row],[SDate]])=INDEX(mthLkUp.tbl[Num],MATCH(AE$3,mthLkUp.tbl[Month],0)),1,0)</f>
        <v>0</v>
      </c>
      <c r="AF190" s="6">
        <f ca="1">IF(MONTH(sim.tbl[[#This Row],[SDate]])=INDEX(mthLkUp.tbl[Num],MATCH(AF$3,mthLkUp.tbl[Month],0)),1,0)</f>
        <v>0</v>
      </c>
      <c r="AG190" s="6">
        <f ca="1">IF(MONTH(sim.tbl[[#This Row],[SDate]])=INDEX(mthLkUp.tbl[Num],MATCH(AG$3,mthLkUp.tbl[Month],0)),1,0)</f>
        <v>0</v>
      </c>
      <c r="AH190" s="6">
        <f ca="1">IF(MONTH(sim.tbl[[#This Row],[SDate]])=INDEX(mthLkUp.tbl[Num],MATCH(AH$3,mthLkUp.tbl[Month],0)),1,0)</f>
        <v>0</v>
      </c>
      <c r="AI190" s="6">
        <f ca="1">IF(MONTH(sim.tbl[[#This Row],[SDate]])=INDEX(mthLkUp.tbl[Num],MATCH(AI$3,mthLkUp.tbl[Month],0)),1,0)</f>
        <v>0</v>
      </c>
      <c r="AJ190" s="6">
        <f ca="1">IF(MONTH(sim.tbl[[#This Row],[SDate]])=INDEX(mthLkUp.tbl[Num],MATCH(AJ$3,mthLkUp.tbl[Month],0)),1,0)</f>
        <v>0</v>
      </c>
      <c r="AK190" s="6">
        <v>1</v>
      </c>
      <c r="AL190" s="5">
        <f>sim.tbl[[#This Row],[Sulf]]*sim.tbl[[#This Row],[C5]]</f>
        <v>0</v>
      </c>
      <c r="AM190" s="5">
        <f>sim.tbl[[#This Row],[Sulf]]*sim.tbl[[#This Row],[Light_LSB]]</f>
        <v>0</v>
      </c>
      <c r="AN190" s="5">
        <f>sim.tbl[[#This Row],[Sulf]]*sim.tbl[[#This Row],[Light_SW]]</f>
        <v>0</v>
      </c>
      <c r="AO190" s="5">
        <f>sim.tbl[[#This Row],[Sulf]]*sim.tbl[[#This Row],[Medium_LSB]]</f>
        <v>1.048</v>
      </c>
      <c r="AP190" s="5">
        <f>sim.tbl[[#This Row],[Sulf]]*sim.tbl[[#This Row],[Medium_SW]]</f>
        <v>0</v>
      </c>
      <c r="AQ190" s="5">
        <f>sim.tbl[[#This Row],[Sulf]]*sim.tbl[[#This Row],[Midale]]</f>
        <v>0</v>
      </c>
      <c r="AR190" s="5">
        <f>sim.tbl[[#This Row],[Sulf]]*sim.tbl[[#This Row],[Heavy_Sour]]</f>
        <v>0</v>
      </c>
      <c r="AS190" s="5">
        <f>sim.tbl[[#This Row],[Sulf]]*sim.tbl[[#This Row],[Heavy_SW]]</f>
        <v>0</v>
      </c>
      <c r="AT190" s="5">
        <f>sim.tbl[[#This Row],[Dens]]*sim.tbl[[#This Row],[C5]]</f>
        <v>0</v>
      </c>
      <c r="AU190" s="5">
        <f>sim.tbl[[#This Row],[Dens]]*sim.tbl[[#This Row],[Light_LSB]]</f>
        <v>0</v>
      </c>
      <c r="AV190" s="5">
        <f>sim.tbl[[#This Row],[Dens]]*sim.tbl[[#This Row],[Light_SW]]</f>
        <v>0</v>
      </c>
      <c r="AW190" s="5">
        <f>sim.tbl[[#This Row],[Dens]]*sim.tbl[[#This Row],[Medium_LSB]]</f>
        <v>843.9</v>
      </c>
      <c r="AX190" s="5">
        <f>sim.tbl[[#This Row],[Dens]]*sim.tbl[[#This Row],[Medium_SW]]</f>
        <v>0</v>
      </c>
      <c r="AY190" s="5">
        <f>sim.tbl[[#This Row],[Dens]]*sim.tbl[[#This Row],[Midale]]</f>
        <v>0</v>
      </c>
      <c r="AZ190" s="5">
        <f>sim.tbl[[#This Row],[Dens]]*sim.tbl[[#This Row],[Heavy_Sour]]</f>
        <v>0</v>
      </c>
      <c r="BA190" s="5">
        <f>sim.tbl[[#This Row],[Dens]]*sim.tbl[[#This Row],[Heavy_SW]]</f>
        <v>0</v>
      </c>
      <c r="BB190" s="5">
        <f>sim.tbl[[#This Row],[Temp.Roll]]*sim.tbl[[#This Row],[C5]]</f>
        <v>0</v>
      </c>
      <c r="BC190" s="5">
        <f>sim.tbl[[#This Row],[Temp.Roll]]*sim.tbl[[#This Row],[Light_LSB]]</f>
        <v>0</v>
      </c>
      <c r="BD190" s="5">
        <f>sim.tbl[[#This Row],[Temp.Roll]]*sim.tbl[[#This Row],[Light_SW]]</f>
        <v>0</v>
      </c>
      <c r="BE190" s="5">
        <f>sim.tbl[[#This Row],[Temp.Roll]]*sim.tbl[[#This Row],[Medium_LSB]]</f>
        <v>7.9</v>
      </c>
      <c r="BF190" s="5">
        <f>sim.tbl[[#This Row],[Temp.Roll]]*sim.tbl[[#This Row],[Medium_SW]]</f>
        <v>0</v>
      </c>
      <c r="BG190" s="5">
        <f>sim.tbl[[#This Row],[Temp.Roll]]*sim.tbl[[#This Row],[Midale]]</f>
        <v>0</v>
      </c>
      <c r="BH190" s="5">
        <f>sim.tbl[[#This Row],[Temp.Roll]]*sim.tbl[[#This Row],[Heavy_Sour]]</f>
        <v>0</v>
      </c>
      <c r="BI190" s="5">
        <f>sim.tbl[[#This Row],[Temp.Roll]]*sim.tbl[[#This Row],[Heavy_SW]]</f>
        <v>0</v>
      </c>
    </row>
    <row r="191" spans="4:61" x14ac:dyDescent="0.25">
      <c r="D191" s="5">
        <f ca="1">SUMPRODUCT($F$1:$BI$1,sim.tbl[[#This Row],[Intercept]:[Temp.Roll:Heavy_SW]])</f>
        <v>87.01257727961557</v>
      </c>
      <c r="E191" s="14">
        <f ca="1">DATE(YEAR(TODAY()),INDEX(mthLkUp.tbl[Num],MATCH(mth.input,mthLkUp.tbl[Month],0)),1)</f>
        <v>42795</v>
      </c>
      <c r="F191" s="6">
        <f>1</f>
        <v>1</v>
      </c>
      <c r="G191" s="5">
        <v>1.74</v>
      </c>
      <c r="H191" s="5">
        <v>817.9</v>
      </c>
      <c r="I191" s="5">
        <v>8.9499999999999993</v>
      </c>
      <c r="J191" s="5">
        <v>9.1</v>
      </c>
      <c r="K191" s="5">
        <v>9.6</v>
      </c>
      <c r="L191" s="5">
        <v>9.1</v>
      </c>
      <c r="M191" s="5">
        <v>9.3000000000000007</v>
      </c>
      <c r="N191" s="5">
        <v>8.8000000000000007</v>
      </c>
      <c r="O191" s="5">
        <v>8.1</v>
      </c>
      <c r="P191" s="5">
        <v>8.8000000000000007</v>
      </c>
      <c r="Q191" s="6">
        <f>IF(sim.tbl[[#This Row],[Dens]]&lt;=770,1,0)</f>
        <v>0</v>
      </c>
      <c r="R191" s="6">
        <f>IF(AND(sim.tbl[[#This Row],[Sulf]]&gt;0.5,sim.tbl[[#This Row],[Dens]]&gt;770,sim.tbl[[#This Row],[Dens]]&lt;=825),1,0)</f>
        <v>1</v>
      </c>
      <c r="S191" s="6">
        <f>IF(AND(sim.tbl[[#This Row],[Sulf]]&lt;=0.5,sim.tbl[[#This Row],[Dens]]&gt;770,sim.tbl[[#This Row],[Dens]]&lt;=825),1,0)</f>
        <v>0</v>
      </c>
      <c r="T191" s="6">
        <f>IF(AND(sim.tbl[[#This Row],[Sulf]]&gt;0.5,sim.tbl[[#This Row],[Dens]]&gt;825,sim.tbl[[#This Row],[Dens]]&lt;=870),1,0)</f>
        <v>0</v>
      </c>
      <c r="U191" s="6">
        <f>IF(AND(sim.tbl[[#This Row],[Sulf]]&lt;0.5,sim.tbl[[#This Row],[Dens]]&gt;825,sim.tbl[[#This Row],[Dens]]&lt;=900),1,0)</f>
        <v>0</v>
      </c>
      <c r="V191" s="6">
        <f>IF(AND(sim.tbl[[#This Row],[Sulf]]&gt;0.5,sim.tbl[[#This Row],[Dens]]&gt;870,sim.tbl[[#This Row],[Dens]]&lt;=900),1,0)</f>
        <v>0</v>
      </c>
      <c r="W191" s="6">
        <f>IF(AND(sim.tbl[[#This Row],[Sulf]]&gt;0.5,sim.tbl[[#This Row],[Dens]]&gt;900),1,0)</f>
        <v>0</v>
      </c>
      <c r="X191" s="6">
        <f>IF(AND(sim.tbl[[#This Row],[Sulf]]&lt;=0.5,sim.tbl[[#This Row],[Dens]]&gt;900),1,0)</f>
        <v>0</v>
      </c>
      <c r="Y191" s="6">
        <f ca="1">IF(MONTH(sim.tbl[[#This Row],[SDate]])=INDEX(mthLkUp.tbl[Num],MATCH(Y$3,mthLkUp.tbl[Month],0)),1,0)</f>
        <v>0</v>
      </c>
      <c r="Z191" s="6">
        <f ca="1">IF(MONTH(sim.tbl[[#This Row],[SDate]])=INDEX(mthLkUp.tbl[Num],MATCH(Z$3,mthLkUp.tbl[Month],0)),1,0)</f>
        <v>0</v>
      </c>
      <c r="AA191" s="6">
        <f ca="1">IF(MONTH(sim.tbl[[#This Row],[SDate]])=INDEX(mthLkUp.tbl[Num],MATCH(AA$3,mthLkUp.tbl[Month],0)),1,0)</f>
        <v>1</v>
      </c>
      <c r="AB191" s="6">
        <f ca="1">IF(MONTH(sim.tbl[[#This Row],[SDate]])=INDEX(mthLkUp.tbl[Num],MATCH(AB$3,mthLkUp.tbl[Month],0)),1,0)</f>
        <v>0</v>
      </c>
      <c r="AC191" s="6">
        <f ca="1">IF(MONTH(sim.tbl[[#This Row],[SDate]])=INDEX(mthLkUp.tbl[Num],MATCH(AC$3,mthLkUp.tbl[Month],0)),1,0)</f>
        <v>0</v>
      </c>
      <c r="AD191" s="6">
        <f ca="1">IF(MONTH(sim.tbl[[#This Row],[SDate]])=INDEX(mthLkUp.tbl[Num],MATCH(AD$3,mthLkUp.tbl[Month],0)),1,0)</f>
        <v>0</v>
      </c>
      <c r="AE191" s="6">
        <f ca="1">IF(MONTH(sim.tbl[[#This Row],[SDate]])=INDEX(mthLkUp.tbl[Num],MATCH(AE$3,mthLkUp.tbl[Month],0)),1,0)</f>
        <v>0</v>
      </c>
      <c r="AF191" s="6">
        <f ca="1">IF(MONTH(sim.tbl[[#This Row],[SDate]])=INDEX(mthLkUp.tbl[Num],MATCH(AF$3,mthLkUp.tbl[Month],0)),1,0)</f>
        <v>0</v>
      </c>
      <c r="AG191" s="6">
        <f ca="1">IF(MONTH(sim.tbl[[#This Row],[SDate]])=INDEX(mthLkUp.tbl[Num],MATCH(AG$3,mthLkUp.tbl[Month],0)),1,0)</f>
        <v>0</v>
      </c>
      <c r="AH191" s="6">
        <f ca="1">IF(MONTH(sim.tbl[[#This Row],[SDate]])=INDEX(mthLkUp.tbl[Num],MATCH(AH$3,mthLkUp.tbl[Month],0)),1,0)</f>
        <v>0</v>
      </c>
      <c r="AI191" s="6">
        <f ca="1">IF(MONTH(sim.tbl[[#This Row],[SDate]])=INDEX(mthLkUp.tbl[Num],MATCH(AI$3,mthLkUp.tbl[Month],0)),1,0)</f>
        <v>0</v>
      </c>
      <c r="AJ191" s="6">
        <f ca="1">IF(MONTH(sim.tbl[[#This Row],[SDate]])=INDEX(mthLkUp.tbl[Num],MATCH(AJ$3,mthLkUp.tbl[Month],0)),1,0)</f>
        <v>0</v>
      </c>
      <c r="AK191" s="6">
        <v>1</v>
      </c>
      <c r="AL191" s="5">
        <f>sim.tbl[[#This Row],[Sulf]]*sim.tbl[[#This Row],[C5]]</f>
        <v>0</v>
      </c>
      <c r="AM191" s="5">
        <f>sim.tbl[[#This Row],[Sulf]]*sim.tbl[[#This Row],[Light_LSB]]</f>
        <v>1.74</v>
      </c>
      <c r="AN191" s="5">
        <f>sim.tbl[[#This Row],[Sulf]]*sim.tbl[[#This Row],[Light_SW]]</f>
        <v>0</v>
      </c>
      <c r="AO191" s="5">
        <f>sim.tbl[[#This Row],[Sulf]]*sim.tbl[[#This Row],[Medium_LSB]]</f>
        <v>0</v>
      </c>
      <c r="AP191" s="5">
        <f>sim.tbl[[#This Row],[Sulf]]*sim.tbl[[#This Row],[Medium_SW]]</f>
        <v>0</v>
      </c>
      <c r="AQ191" s="5">
        <f>sim.tbl[[#This Row],[Sulf]]*sim.tbl[[#This Row],[Midale]]</f>
        <v>0</v>
      </c>
      <c r="AR191" s="5">
        <f>sim.tbl[[#This Row],[Sulf]]*sim.tbl[[#This Row],[Heavy_Sour]]</f>
        <v>0</v>
      </c>
      <c r="AS191" s="5">
        <f>sim.tbl[[#This Row],[Sulf]]*sim.tbl[[#This Row],[Heavy_SW]]</f>
        <v>0</v>
      </c>
      <c r="AT191" s="5">
        <f>sim.tbl[[#This Row],[Dens]]*sim.tbl[[#This Row],[C5]]</f>
        <v>0</v>
      </c>
      <c r="AU191" s="5">
        <f>sim.tbl[[#This Row],[Dens]]*sim.tbl[[#This Row],[Light_LSB]]</f>
        <v>817.9</v>
      </c>
      <c r="AV191" s="5">
        <f>sim.tbl[[#This Row],[Dens]]*sim.tbl[[#This Row],[Light_SW]]</f>
        <v>0</v>
      </c>
      <c r="AW191" s="5">
        <f>sim.tbl[[#This Row],[Dens]]*sim.tbl[[#This Row],[Medium_LSB]]</f>
        <v>0</v>
      </c>
      <c r="AX191" s="5">
        <f>sim.tbl[[#This Row],[Dens]]*sim.tbl[[#This Row],[Medium_SW]]</f>
        <v>0</v>
      </c>
      <c r="AY191" s="5">
        <f>sim.tbl[[#This Row],[Dens]]*sim.tbl[[#This Row],[Midale]]</f>
        <v>0</v>
      </c>
      <c r="AZ191" s="5">
        <f>sim.tbl[[#This Row],[Dens]]*sim.tbl[[#This Row],[Heavy_Sour]]</f>
        <v>0</v>
      </c>
      <c r="BA191" s="5">
        <f>sim.tbl[[#This Row],[Dens]]*sim.tbl[[#This Row],[Heavy_SW]]</f>
        <v>0</v>
      </c>
      <c r="BB191" s="5">
        <f>sim.tbl[[#This Row],[Temp.Roll]]*sim.tbl[[#This Row],[C5]]</f>
        <v>0</v>
      </c>
      <c r="BC191" s="5">
        <f>sim.tbl[[#This Row],[Temp.Roll]]*sim.tbl[[#This Row],[Light_LSB]]</f>
        <v>9.1</v>
      </c>
      <c r="BD191" s="5">
        <f>sim.tbl[[#This Row],[Temp.Roll]]*sim.tbl[[#This Row],[Light_SW]]</f>
        <v>0</v>
      </c>
      <c r="BE191" s="5">
        <f>sim.tbl[[#This Row],[Temp.Roll]]*sim.tbl[[#This Row],[Medium_LSB]]</f>
        <v>0</v>
      </c>
      <c r="BF191" s="5">
        <f>sim.tbl[[#This Row],[Temp.Roll]]*sim.tbl[[#This Row],[Medium_SW]]</f>
        <v>0</v>
      </c>
      <c r="BG191" s="5">
        <f>sim.tbl[[#This Row],[Temp.Roll]]*sim.tbl[[#This Row],[Midale]]</f>
        <v>0</v>
      </c>
      <c r="BH191" s="5">
        <f>sim.tbl[[#This Row],[Temp.Roll]]*sim.tbl[[#This Row],[Heavy_Sour]]</f>
        <v>0</v>
      </c>
      <c r="BI191" s="5">
        <f>sim.tbl[[#This Row],[Temp.Roll]]*sim.tbl[[#This Row],[Heavy_SW]]</f>
        <v>0</v>
      </c>
    </row>
    <row r="192" spans="4:61" x14ac:dyDescent="0.25">
      <c r="D192" s="5">
        <f ca="1">SUMPRODUCT($F$1:$BI$1,sim.tbl[[#This Row],[Intercept]:[Temp.Roll:Heavy_SW]])</f>
        <v>86.723052362110167</v>
      </c>
      <c r="E192" s="14">
        <f ca="1">DATE(YEAR(TODAY()),INDEX(mthLkUp.tbl[Num],MATCH(mth.input,mthLkUp.tbl[Month],0)),1)</f>
        <v>42795</v>
      </c>
      <c r="F192" s="6">
        <f>1</f>
        <v>1</v>
      </c>
      <c r="G192" s="5">
        <v>1.31</v>
      </c>
      <c r="H192" s="5">
        <v>820.9</v>
      </c>
      <c r="I192" s="5">
        <v>4.22</v>
      </c>
      <c r="J192" s="5">
        <v>4.8</v>
      </c>
      <c r="K192" s="5">
        <v>5.2</v>
      </c>
      <c r="L192" s="5">
        <v>4.8</v>
      </c>
      <c r="M192" s="5">
        <v>8</v>
      </c>
      <c r="N192" s="5">
        <v>5</v>
      </c>
      <c r="O192" s="5">
        <v>4.4000000000000004</v>
      </c>
      <c r="P192" s="5">
        <v>1.7</v>
      </c>
      <c r="Q192" s="6">
        <f>IF(sim.tbl[[#This Row],[Dens]]&lt;=770,1,0)</f>
        <v>0</v>
      </c>
      <c r="R192" s="6">
        <f>IF(AND(sim.tbl[[#This Row],[Sulf]]&gt;0.5,sim.tbl[[#This Row],[Dens]]&gt;770,sim.tbl[[#This Row],[Dens]]&lt;=825),1,0)</f>
        <v>1</v>
      </c>
      <c r="S192" s="6">
        <f>IF(AND(sim.tbl[[#This Row],[Sulf]]&lt;=0.5,sim.tbl[[#This Row],[Dens]]&gt;770,sim.tbl[[#This Row],[Dens]]&lt;=825),1,0)</f>
        <v>0</v>
      </c>
      <c r="T192" s="6">
        <f>IF(AND(sim.tbl[[#This Row],[Sulf]]&gt;0.5,sim.tbl[[#This Row],[Dens]]&gt;825,sim.tbl[[#This Row],[Dens]]&lt;=870),1,0)</f>
        <v>0</v>
      </c>
      <c r="U192" s="6">
        <f>IF(AND(sim.tbl[[#This Row],[Sulf]]&lt;0.5,sim.tbl[[#This Row],[Dens]]&gt;825,sim.tbl[[#This Row],[Dens]]&lt;=900),1,0)</f>
        <v>0</v>
      </c>
      <c r="V192" s="6">
        <f>IF(AND(sim.tbl[[#This Row],[Sulf]]&gt;0.5,sim.tbl[[#This Row],[Dens]]&gt;870,sim.tbl[[#This Row],[Dens]]&lt;=900),1,0)</f>
        <v>0</v>
      </c>
      <c r="W192" s="6">
        <f>IF(AND(sim.tbl[[#This Row],[Sulf]]&gt;0.5,sim.tbl[[#This Row],[Dens]]&gt;900),1,0)</f>
        <v>0</v>
      </c>
      <c r="X192" s="6">
        <f>IF(AND(sim.tbl[[#This Row],[Sulf]]&lt;=0.5,sim.tbl[[#This Row],[Dens]]&gt;900),1,0)</f>
        <v>0</v>
      </c>
      <c r="Y192" s="6">
        <f ca="1">IF(MONTH(sim.tbl[[#This Row],[SDate]])=INDEX(mthLkUp.tbl[Num],MATCH(Y$3,mthLkUp.tbl[Month],0)),1,0)</f>
        <v>0</v>
      </c>
      <c r="Z192" s="6">
        <f ca="1">IF(MONTH(sim.tbl[[#This Row],[SDate]])=INDEX(mthLkUp.tbl[Num],MATCH(Z$3,mthLkUp.tbl[Month],0)),1,0)</f>
        <v>0</v>
      </c>
      <c r="AA192" s="6">
        <f ca="1">IF(MONTH(sim.tbl[[#This Row],[SDate]])=INDEX(mthLkUp.tbl[Num],MATCH(AA$3,mthLkUp.tbl[Month],0)),1,0)</f>
        <v>1</v>
      </c>
      <c r="AB192" s="6">
        <f ca="1">IF(MONTH(sim.tbl[[#This Row],[SDate]])=INDEX(mthLkUp.tbl[Num],MATCH(AB$3,mthLkUp.tbl[Month],0)),1,0)</f>
        <v>0</v>
      </c>
      <c r="AC192" s="6">
        <f ca="1">IF(MONTH(sim.tbl[[#This Row],[SDate]])=INDEX(mthLkUp.tbl[Num],MATCH(AC$3,mthLkUp.tbl[Month],0)),1,0)</f>
        <v>0</v>
      </c>
      <c r="AD192" s="6">
        <f ca="1">IF(MONTH(sim.tbl[[#This Row],[SDate]])=INDEX(mthLkUp.tbl[Num],MATCH(AD$3,mthLkUp.tbl[Month],0)),1,0)</f>
        <v>0</v>
      </c>
      <c r="AE192" s="6">
        <f ca="1">IF(MONTH(sim.tbl[[#This Row],[SDate]])=INDEX(mthLkUp.tbl[Num],MATCH(AE$3,mthLkUp.tbl[Month],0)),1,0)</f>
        <v>0</v>
      </c>
      <c r="AF192" s="6">
        <f ca="1">IF(MONTH(sim.tbl[[#This Row],[SDate]])=INDEX(mthLkUp.tbl[Num],MATCH(AF$3,mthLkUp.tbl[Month],0)),1,0)</f>
        <v>0</v>
      </c>
      <c r="AG192" s="6">
        <f ca="1">IF(MONTH(sim.tbl[[#This Row],[SDate]])=INDEX(mthLkUp.tbl[Num],MATCH(AG$3,mthLkUp.tbl[Month],0)),1,0)</f>
        <v>0</v>
      </c>
      <c r="AH192" s="6">
        <f ca="1">IF(MONTH(sim.tbl[[#This Row],[SDate]])=INDEX(mthLkUp.tbl[Num],MATCH(AH$3,mthLkUp.tbl[Month],0)),1,0)</f>
        <v>0</v>
      </c>
      <c r="AI192" s="6">
        <f ca="1">IF(MONTH(sim.tbl[[#This Row],[SDate]])=INDEX(mthLkUp.tbl[Num],MATCH(AI$3,mthLkUp.tbl[Month],0)),1,0)</f>
        <v>0</v>
      </c>
      <c r="AJ192" s="6">
        <f ca="1">IF(MONTH(sim.tbl[[#This Row],[SDate]])=INDEX(mthLkUp.tbl[Num],MATCH(AJ$3,mthLkUp.tbl[Month],0)),1,0)</f>
        <v>0</v>
      </c>
      <c r="AK192" s="6">
        <v>1</v>
      </c>
      <c r="AL192" s="5">
        <f>sim.tbl[[#This Row],[Sulf]]*sim.tbl[[#This Row],[C5]]</f>
        <v>0</v>
      </c>
      <c r="AM192" s="5">
        <f>sim.tbl[[#This Row],[Sulf]]*sim.tbl[[#This Row],[Light_LSB]]</f>
        <v>1.31</v>
      </c>
      <c r="AN192" s="5">
        <f>sim.tbl[[#This Row],[Sulf]]*sim.tbl[[#This Row],[Light_SW]]</f>
        <v>0</v>
      </c>
      <c r="AO192" s="5">
        <f>sim.tbl[[#This Row],[Sulf]]*sim.tbl[[#This Row],[Medium_LSB]]</f>
        <v>0</v>
      </c>
      <c r="AP192" s="5">
        <f>sim.tbl[[#This Row],[Sulf]]*sim.tbl[[#This Row],[Medium_SW]]</f>
        <v>0</v>
      </c>
      <c r="AQ192" s="5">
        <f>sim.tbl[[#This Row],[Sulf]]*sim.tbl[[#This Row],[Midale]]</f>
        <v>0</v>
      </c>
      <c r="AR192" s="5">
        <f>sim.tbl[[#This Row],[Sulf]]*sim.tbl[[#This Row],[Heavy_Sour]]</f>
        <v>0</v>
      </c>
      <c r="AS192" s="5">
        <f>sim.tbl[[#This Row],[Sulf]]*sim.tbl[[#This Row],[Heavy_SW]]</f>
        <v>0</v>
      </c>
      <c r="AT192" s="5">
        <f>sim.tbl[[#This Row],[Dens]]*sim.tbl[[#This Row],[C5]]</f>
        <v>0</v>
      </c>
      <c r="AU192" s="5">
        <f>sim.tbl[[#This Row],[Dens]]*sim.tbl[[#This Row],[Light_LSB]]</f>
        <v>820.9</v>
      </c>
      <c r="AV192" s="5">
        <f>sim.tbl[[#This Row],[Dens]]*sim.tbl[[#This Row],[Light_SW]]</f>
        <v>0</v>
      </c>
      <c r="AW192" s="5">
        <f>sim.tbl[[#This Row],[Dens]]*sim.tbl[[#This Row],[Medium_LSB]]</f>
        <v>0</v>
      </c>
      <c r="AX192" s="5">
        <f>sim.tbl[[#This Row],[Dens]]*sim.tbl[[#This Row],[Medium_SW]]</f>
        <v>0</v>
      </c>
      <c r="AY192" s="5">
        <f>sim.tbl[[#This Row],[Dens]]*sim.tbl[[#This Row],[Midale]]</f>
        <v>0</v>
      </c>
      <c r="AZ192" s="5">
        <f>sim.tbl[[#This Row],[Dens]]*sim.tbl[[#This Row],[Heavy_Sour]]</f>
        <v>0</v>
      </c>
      <c r="BA192" s="5">
        <f>sim.tbl[[#This Row],[Dens]]*sim.tbl[[#This Row],[Heavy_SW]]</f>
        <v>0</v>
      </c>
      <c r="BB192" s="5">
        <f>sim.tbl[[#This Row],[Temp.Roll]]*sim.tbl[[#This Row],[C5]]</f>
        <v>0</v>
      </c>
      <c r="BC192" s="5">
        <f>sim.tbl[[#This Row],[Temp.Roll]]*sim.tbl[[#This Row],[Light_LSB]]</f>
        <v>4.8</v>
      </c>
      <c r="BD192" s="5">
        <f>sim.tbl[[#This Row],[Temp.Roll]]*sim.tbl[[#This Row],[Light_SW]]</f>
        <v>0</v>
      </c>
      <c r="BE192" s="5">
        <f>sim.tbl[[#This Row],[Temp.Roll]]*sim.tbl[[#This Row],[Medium_LSB]]</f>
        <v>0</v>
      </c>
      <c r="BF192" s="5">
        <f>sim.tbl[[#This Row],[Temp.Roll]]*sim.tbl[[#This Row],[Medium_SW]]</f>
        <v>0</v>
      </c>
      <c r="BG192" s="5">
        <f>sim.tbl[[#This Row],[Temp.Roll]]*sim.tbl[[#This Row],[Midale]]</f>
        <v>0</v>
      </c>
      <c r="BH192" s="5">
        <f>sim.tbl[[#This Row],[Temp.Roll]]*sim.tbl[[#This Row],[Heavy_Sour]]</f>
        <v>0</v>
      </c>
      <c r="BI192" s="5">
        <f>sim.tbl[[#This Row],[Temp.Roll]]*sim.tbl[[#This Row],[Heavy_SW]]</f>
        <v>0</v>
      </c>
    </row>
    <row r="193" spans="4:61" x14ac:dyDescent="0.25">
      <c r="D193" s="5">
        <f ca="1">SUMPRODUCT($F$1:$BI$1,sim.tbl[[#This Row],[Intercept]:[Temp.Roll:Heavy_SW]])</f>
        <v>72.812433322328957</v>
      </c>
      <c r="E193" s="14">
        <f ca="1">DATE(YEAR(TODAY()),INDEX(mthLkUp.tbl[Num],MATCH(mth.input,mthLkUp.tbl[Month],0)),1)</f>
        <v>42795</v>
      </c>
      <c r="F193" s="6">
        <f>1</f>
        <v>1</v>
      </c>
      <c r="G193" s="5">
        <v>1.63</v>
      </c>
      <c r="H193" s="5">
        <v>847.5</v>
      </c>
      <c r="I193" s="5">
        <v>12.45</v>
      </c>
      <c r="J193" s="5">
        <v>10.6</v>
      </c>
      <c r="K193" s="5">
        <v>12.6</v>
      </c>
      <c r="L193" s="5">
        <v>10.6</v>
      </c>
      <c r="M193" s="5">
        <v>13.3</v>
      </c>
      <c r="N193" s="5">
        <v>12.5</v>
      </c>
      <c r="O193" s="5">
        <v>14.3</v>
      </c>
      <c r="P193" s="5">
        <v>11.4</v>
      </c>
      <c r="Q193" s="6">
        <f>IF(sim.tbl[[#This Row],[Dens]]&lt;=770,1,0)</f>
        <v>0</v>
      </c>
      <c r="R193" s="6">
        <f>IF(AND(sim.tbl[[#This Row],[Sulf]]&gt;0.5,sim.tbl[[#This Row],[Dens]]&gt;770,sim.tbl[[#This Row],[Dens]]&lt;=825),1,0)</f>
        <v>0</v>
      </c>
      <c r="S193" s="6">
        <f>IF(AND(sim.tbl[[#This Row],[Sulf]]&lt;=0.5,sim.tbl[[#This Row],[Dens]]&gt;770,sim.tbl[[#This Row],[Dens]]&lt;=825),1,0)</f>
        <v>0</v>
      </c>
      <c r="T193" s="6">
        <f>IF(AND(sim.tbl[[#This Row],[Sulf]]&gt;0.5,sim.tbl[[#This Row],[Dens]]&gt;825,sim.tbl[[#This Row],[Dens]]&lt;=870),1,0)</f>
        <v>1</v>
      </c>
      <c r="U193" s="6">
        <f>IF(AND(sim.tbl[[#This Row],[Sulf]]&lt;0.5,sim.tbl[[#This Row],[Dens]]&gt;825,sim.tbl[[#This Row],[Dens]]&lt;=900),1,0)</f>
        <v>0</v>
      </c>
      <c r="V193" s="6">
        <f>IF(AND(sim.tbl[[#This Row],[Sulf]]&gt;0.5,sim.tbl[[#This Row],[Dens]]&gt;870,sim.tbl[[#This Row],[Dens]]&lt;=900),1,0)</f>
        <v>0</v>
      </c>
      <c r="W193" s="6">
        <f>IF(AND(sim.tbl[[#This Row],[Sulf]]&gt;0.5,sim.tbl[[#This Row],[Dens]]&gt;900),1,0)</f>
        <v>0</v>
      </c>
      <c r="X193" s="6">
        <f>IF(AND(sim.tbl[[#This Row],[Sulf]]&lt;=0.5,sim.tbl[[#This Row],[Dens]]&gt;900),1,0)</f>
        <v>0</v>
      </c>
      <c r="Y193" s="6">
        <f ca="1">IF(MONTH(sim.tbl[[#This Row],[SDate]])=INDEX(mthLkUp.tbl[Num],MATCH(Y$3,mthLkUp.tbl[Month],0)),1,0)</f>
        <v>0</v>
      </c>
      <c r="Z193" s="6">
        <f ca="1">IF(MONTH(sim.tbl[[#This Row],[SDate]])=INDEX(mthLkUp.tbl[Num],MATCH(Z$3,mthLkUp.tbl[Month],0)),1,0)</f>
        <v>0</v>
      </c>
      <c r="AA193" s="6">
        <f ca="1">IF(MONTH(sim.tbl[[#This Row],[SDate]])=INDEX(mthLkUp.tbl[Num],MATCH(AA$3,mthLkUp.tbl[Month],0)),1,0)</f>
        <v>1</v>
      </c>
      <c r="AB193" s="6">
        <f ca="1">IF(MONTH(sim.tbl[[#This Row],[SDate]])=INDEX(mthLkUp.tbl[Num],MATCH(AB$3,mthLkUp.tbl[Month],0)),1,0)</f>
        <v>0</v>
      </c>
      <c r="AC193" s="6">
        <f ca="1">IF(MONTH(sim.tbl[[#This Row],[SDate]])=INDEX(mthLkUp.tbl[Num],MATCH(AC$3,mthLkUp.tbl[Month],0)),1,0)</f>
        <v>0</v>
      </c>
      <c r="AD193" s="6">
        <f ca="1">IF(MONTH(sim.tbl[[#This Row],[SDate]])=INDEX(mthLkUp.tbl[Num],MATCH(AD$3,mthLkUp.tbl[Month],0)),1,0)</f>
        <v>0</v>
      </c>
      <c r="AE193" s="6">
        <f ca="1">IF(MONTH(sim.tbl[[#This Row],[SDate]])=INDEX(mthLkUp.tbl[Num],MATCH(AE$3,mthLkUp.tbl[Month],0)),1,0)</f>
        <v>0</v>
      </c>
      <c r="AF193" s="6">
        <f ca="1">IF(MONTH(sim.tbl[[#This Row],[SDate]])=INDEX(mthLkUp.tbl[Num],MATCH(AF$3,mthLkUp.tbl[Month],0)),1,0)</f>
        <v>0</v>
      </c>
      <c r="AG193" s="6">
        <f ca="1">IF(MONTH(sim.tbl[[#This Row],[SDate]])=INDEX(mthLkUp.tbl[Num],MATCH(AG$3,mthLkUp.tbl[Month],0)),1,0)</f>
        <v>0</v>
      </c>
      <c r="AH193" s="6">
        <f ca="1">IF(MONTH(sim.tbl[[#This Row],[SDate]])=INDEX(mthLkUp.tbl[Num],MATCH(AH$3,mthLkUp.tbl[Month],0)),1,0)</f>
        <v>0</v>
      </c>
      <c r="AI193" s="6">
        <f ca="1">IF(MONTH(sim.tbl[[#This Row],[SDate]])=INDEX(mthLkUp.tbl[Num],MATCH(AI$3,mthLkUp.tbl[Month],0)),1,0)</f>
        <v>0</v>
      </c>
      <c r="AJ193" s="6">
        <f ca="1">IF(MONTH(sim.tbl[[#This Row],[SDate]])=INDEX(mthLkUp.tbl[Num],MATCH(AJ$3,mthLkUp.tbl[Month],0)),1,0)</f>
        <v>0</v>
      </c>
      <c r="AK193" s="6">
        <v>1</v>
      </c>
      <c r="AL193" s="5">
        <f>sim.tbl[[#This Row],[Sulf]]*sim.tbl[[#This Row],[C5]]</f>
        <v>0</v>
      </c>
      <c r="AM193" s="5">
        <f>sim.tbl[[#This Row],[Sulf]]*sim.tbl[[#This Row],[Light_LSB]]</f>
        <v>0</v>
      </c>
      <c r="AN193" s="5">
        <f>sim.tbl[[#This Row],[Sulf]]*sim.tbl[[#This Row],[Light_SW]]</f>
        <v>0</v>
      </c>
      <c r="AO193" s="5">
        <f>sim.tbl[[#This Row],[Sulf]]*sim.tbl[[#This Row],[Medium_LSB]]</f>
        <v>1.63</v>
      </c>
      <c r="AP193" s="5">
        <f>sim.tbl[[#This Row],[Sulf]]*sim.tbl[[#This Row],[Medium_SW]]</f>
        <v>0</v>
      </c>
      <c r="AQ193" s="5">
        <f>sim.tbl[[#This Row],[Sulf]]*sim.tbl[[#This Row],[Midale]]</f>
        <v>0</v>
      </c>
      <c r="AR193" s="5">
        <f>sim.tbl[[#This Row],[Sulf]]*sim.tbl[[#This Row],[Heavy_Sour]]</f>
        <v>0</v>
      </c>
      <c r="AS193" s="5">
        <f>sim.tbl[[#This Row],[Sulf]]*sim.tbl[[#This Row],[Heavy_SW]]</f>
        <v>0</v>
      </c>
      <c r="AT193" s="5">
        <f>sim.tbl[[#This Row],[Dens]]*sim.tbl[[#This Row],[C5]]</f>
        <v>0</v>
      </c>
      <c r="AU193" s="5">
        <f>sim.tbl[[#This Row],[Dens]]*sim.tbl[[#This Row],[Light_LSB]]</f>
        <v>0</v>
      </c>
      <c r="AV193" s="5">
        <f>sim.tbl[[#This Row],[Dens]]*sim.tbl[[#This Row],[Light_SW]]</f>
        <v>0</v>
      </c>
      <c r="AW193" s="5">
        <f>sim.tbl[[#This Row],[Dens]]*sim.tbl[[#This Row],[Medium_LSB]]</f>
        <v>847.5</v>
      </c>
      <c r="AX193" s="5">
        <f>sim.tbl[[#This Row],[Dens]]*sim.tbl[[#This Row],[Medium_SW]]</f>
        <v>0</v>
      </c>
      <c r="AY193" s="5">
        <f>sim.tbl[[#This Row],[Dens]]*sim.tbl[[#This Row],[Midale]]</f>
        <v>0</v>
      </c>
      <c r="AZ193" s="5">
        <f>sim.tbl[[#This Row],[Dens]]*sim.tbl[[#This Row],[Heavy_Sour]]</f>
        <v>0</v>
      </c>
      <c r="BA193" s="5">
        <f>sim.tbl[[#This Row],[Dens]]*sim.tbl[[#This Row],[Heavy_SW]]</f>
        <v>0</v>
      </c>
      <c r="BB193" s="5">
        <f>sim.tbl[[#This Row],[Temp.Roll]]*sim.tbl[[#This Row],[C5]]</f>
        <v>0</v>
      </c>
      <c r="BC193" s="5">
        <f>sim.tbl[[#This Row],[Temp.Roll]]*sim.tbl[[#This Row],[Light_LSB]]</f>
        <v>0</v>
      </c>
      <c r="BD193" s="5">
        <f>sim.tbl[[#This Row],[Temp.Roll]]*sim.tbl[[#This Row],[Light_SW]]</f>
        <v>0</v>
      </c>
      <c r="BE193" s="5">
        <f>sim.tbl[[#This Row],[Temp.Roll]]*sim.tbl[[#This Row],[Medium_LSB]]</f>
        <v>10.6</v>
      </c>
      <c r="BF193" s="5">
        <f>sim.tbl[[#This Row],[Temp.Roll]]*sim.tbl[[#This Row],[Medium_SW]]</f>
        <v>0</v>
      </c>
      <c r="BG193" s="5">
        <f>sim.tbl[[#This Row],[Temp.Roll]]*sim.tbl[[#This Row],[Midale]]</f>
        <v>0</v>
      </c>
      <c r="BH193" s="5">
        <f>sim.tbl[[#This Row],[Temp.Roll]]*sim.tbl[[#This Row],[Heavy_Sour]]</f>
        <v>0</v>
      </c>
      <c r="BI193" s="5">
        <f>sim.tbl[[#This Row],[Temp.Roll]]*sim.tbl[[#This Row],[Heavy_SW]]</f>
        <v>0</v>
      </c>
    </row>
    <row r="194" spans="4:61" x14ac:dyDescent="0.25">
      <c r="D194" s="5">
        <f ca="1">SUMPRODUCT($F$1:$BI$1,sim.tbl[[#This Row],[Intercept]:[Temp.Roll:Heavy_SW]])</f>
        <v>75.857665935635367</v>
      </c>
      <c r="E194" s="14">
        <f ca="1">DATE(YEAR(TODAY()),INDEX(mthLkUp.tbl[Num],MATCH(mth.input,mthLkUp.tbl[Month],0)),1)</f>
        <v>42795</v>
      </c>
      <c r="F194" s="6">
        <f>1</f>
        <v>1</v>
      </c>
      <c r="G194" s="5">
        <v>1.32</v>
      </c>
      <c r="H194" s="5">
        <v>844.3</v>
      </c>
      <c r="I194" s="5">
        <v>6.45</v>
      </c>
      <c r="J194" s="5">
        <v>4.8</v>
      </c>
      <c r="K194" s="5">
        <v>6.7</v>
      </c>
      <c r="L194" s="5">
        <v>4.8</v>
      </c>
      <c r="M194" s="5">
        <v>6</v>
      </c>
      <c r="N194" s="5">
        <v>6.4</v>
      </c>
      <c r="O194" s="5">
        <v>8.5</v>
      </c>
      <c r="P194" s="5">
        <v>6.3</v>
      </c>
      <c r="Q194" s="6">
        <f>IF(sim.tbl[[#This Row],[Dens]]&lt;=770,1,0)</f>
        <v>0</v>
      </c>
      <c r="R194" s="6">
        <f>IF(AND(sim.tbl[[#This Row],[Sulf]]&gt;0.5,sim.tbl[[#This Row],[Dens]]&gt;770,sim.tbl[[#This Row],[Dens]]&lt;=825),1,0)</f>
        <v>0</v>
      </c>
      <c r="S194" s="6">
        <f>IF(AND(sim.tbl[[#This Row],[Sulf]]&lt;=0.5,sim.tbl[[#This Row],[Dens]]&gt;770,sim.tbl[[#This Row],[Dens]]&lt;=825),1,0)</f>
        <v>0</v>
      </c>
      <c r="T194" s="6">
        <f>IF(AND(sim.tbl[[#This Row],[Sulf]]&gt;0.5,sim.tbl[[#This Row],[Dens]]&gt;825,sim.tbl[[#This Row],[Dens]]&lt;=870),1,0)</f>
        <v>1</v>
      </c>
      <c r="U194" s="6">
        <f>IF(AND(sim.tbl[[#This Row],[Sulf]]&lt;0.5,sim.tbl[[#This Row],[Dens]]&gt;825,sim.tbl[[#This Row],[Dens]]&lt;=900),1,0)</f>
        <v>0</v>
      </c>
      <c r="V194" s="6">
        <f>IF(AND(sim.tbl[[#This Row],[Sulf]]&gt;0.5,sim.tbl[[#This Row],[Dens]]&gt;870,sim.tbl[[#This Row],[Dens]]&lt;=900),1,0)</f>
        <v>0</v>
      </c>
      <c r="W194" s="6">
        <f>IF(AND(sim.tbl[[#This Row],[Sulf]]&gt;0.5,sim.tbl[[#This Row],[Dens]]&gt;900),1,0)</f>
        <v>0</v>
      </c>
      <c r="X194" s="6">
        <f>IF(AND(sim.tbl[[#This Row],[Sulf]]&lt;=0.5,sim.tbl[[#This Row],[Dens]]&gt;900),1,0)</f>
        <v>0</v>
      </c>
      <c r="Y194" s="6">
        <f ca="1">IF(MONTH(sim.tbl[[#This Row],[SDate]])=INDEX(mthLkUp.tbl[Num],MATCH(Y$3,mthLkUp.tbl[Month],0)),1,0)</f>
        <v>0</v>
      </c>
      <c r="Z194" s="6">
        <f ca="1">IF(MONTH(sim.tbl[[#This Row],[SDate]])=INDEX(mthLkUp.tbl[Num],MATCH(Z$3,mthLkUp.tbl[Month],0)),1,0)</f>
        <v>0</v>
      </c>
      <c r="AA194" s="6">
        <f ca="1">IF(MONTH(sim.tbl[[#This Row],[SDate]])=INDEX(mthLkUp.tbl[Num],MATCH(AA$3,mthLkUp.tbl[Month],0)),1,0)</f>
        <v>1</v>
      </c>
      <c r="AB194" s="6">
        <f ca="1">IF(MONTH(sim.tbl[[#This Row],[SDate]])=INDEX(mthLkUp.tbl[Num],MATCH(AB$3,mthLkUp.tbl[Month],0)),1,0)</f>
        <v>0</v>
      </c>
      <c r="AC194" s="6">
        <f ca="1">IF(MONTH(sim.tbl[[#This Row],[SDate]])=INDEX(mthLkUp.tbl[Num],MATCH(AC$3,mthLkUp.tbl[Month],0)),1,0)</f>
        <v>0</v>
      </c>
      <c r="AD194" s="6">
        <f ca="1">IF(MONTH(sim.tbl[[#This Row],[SDate]])=INDEX(mthLkUp.tbl[Num],MATCH(AD$3,mthLkUp.tbl[Month],0)),1,0)</f>
        <v>0</v>
      </c>
      <c r="AE194" s="6">
        <f ca="1">IF(MONTH(sim.tbl[[#This Row],[SDate]])=INDEX(mthLkUp.tbl[Num],MATCH(AE$3,mthLkUp.tbl[Month],0)),1,0)</f>
        <v>0</v>
      </c>
      <c r="AF194" s="6">
        <f ca="1">IF(MONTH(sim.tbl[[#This Row],[SDate]])=INDEX(mthLkUp.tbl[Num],MATCH(AF$3,mthLkUp.tbl[Month],0)),1,0)</f>
        <v>0</v>
      </c>
      <c r="AG194" s="6">
        <f ca="1">IF(MONTH(sim.tbl[[#This Row],[SDate]])=INDEX(mthLkUp.tbl[Num],MATCH(AG$3,mthLkUp.tbl[Month],0)),1,0)</f>
        <v>0</v>
      </c>
      <c r="AH194" s="6">
        <f ca="1">IF(MONTH(sim.tbl[[#This Row],[SDate]])=INDEX(mthLkUp.tbl[Num],MATCH(AH$3,mthLkUp.tbl[Month],0)),1,0)</f>
        <v>0</v>
      </c>
      <c r="AI194" s="6">
        <f ca="1">IF(MONTH(sim.tbl[[#This Row],[SDate]])=INDEX(mthLkUp.tbl[Num],MATCH(AI$3,mthLkUp.tbl[Month],0)),1,0)</f>
        <v>0</v>
      </c>
      <c r="AJ194" s="6">
        <f ca="1">IF(MONTH(sim.tbl[[#This Row],[SDate]])=INDEX(mthLkUp.tbl[Num],MATCH(AJ$3,mthLkUp.tbl[Month],0)),1,0)</f>
        <v>0</v>
      </c>
      <c r="AK194" s="6">
        <v>1</v>
      </c>
      <c r="AL194" s="5">
        <f>sim.tbl[[#This Row],[Sulf]]*sim.tbl[[#This Row],[C5]]</f>
        <v>0</v>
      </c>
      <c r="AM194" s="5">
        <f>sim.tbl[[#This Row],[Sulf]]*sim.tbl[[#This Row],[Light_LSB]]</f>
        <v>0</v>
      </c>
      <c r="AN194" s="5">
        <f>sim.tbl[[#This Row],[Sulf]]*sim.tbl[[#This Row],[Light_SW]]</f>
        <v>0</v>
      </c>
      <c r="AO194" s="5">
        <f>sim.tbl[[#This Row],[Sulf]]*sim.tbl[[#This Row],[Medium_LSB]]</f>
        <v>1.32</v>
      </c>
      <c r="AP194" s="5">
        <f>sim.tbl[[#This Row],[Sulf]]*sim.tbl[[#This Row],[Medium_SW]]</f>
        <v>0</v>
      </c>
      <c r="AQ194" s="5">
        <f>sim.tbl[[#This Row],[Sulf]]*sim.tbl[[#This Row],[Midale]]</f>
        <v>0</v>
      </c>
      <c r="AR194" s="5">
        <f>sim.tbl[[#This Row],[Sulf]]*sim.tbl[[#This Row],[Heavy_Sour]]</f>
        <v>0</v>
      </c>
      <c r="AS194" s="5">
        <f>sim.tbl[[#This Row],[Sulf]]*sim.tbl[[#This Row],[Heavy_SW]]</f>
        <v>0</v>
      </c>
      <c r="AT194" s="5">
        <f>sim.tbl[[#This Row],[Dens]]*sim.tbl[[#This Row],[C5]]</f>
        <v>0</v>
      </c>
      <c r="AU194" s="5">
        <f>sim.tbl[[#This Row],[Dens]]*sim.tbl[[#This Row],[Light_LSB]]</f>
        <v>0</v>
      </c>
      <c r="AV194" s="5">
        <f>sim.tbl[[#This Row],[Dens]]*sim.tbl[[#This Row],[Light_SW]]</f>
        <v>0</v>
      </c>
      <c r="AW194" s="5">
        <f>sim.tbl[[#This Row],[Dens]]*sim.tbl[[#This Row],[Medium_LSB]]</f>
        <v>844.3</v>
      </c>
      <c r="AX194" s="5">
        <f>sim.tbl[[#This Row],[Dens]]*sim.tbl[[#This Row],[Medium_SW]]</f>
        <v>0</v>
      </c>
      <c r="AY194" s="5">
        <f>sim.tbl[[#This Row],[Dens]]*sim.tbl[[#This Row],[Midale]]</f>
        <v>0</v>
      </c>
      <c r="AZ194" s="5">
        <f>sim.tbl[[#This Row],[Dens]]*sim.tbl[[#This Row],[Heavy_Sour]]</f>
        <v>0</v>
      </c>
      <c r="BA194" s="5">
        <f>sim.tbl[[#This Row],[Dens]]*sim.tbl[[#This Row],[Heavy_SW]]</f>
        <v>0</v>
      </c>
      <c r="BB194" s="5">
        <f>sim.tbl[[#This Row],[Temp.Roll]]*sim.tbl[[#This Row],[C5]]</f>
        <v>0</v>
      </c>
      <c r="BC194" s="5">
        <f>sim.tbl[[#This Row],[Temp.Roll]]*sim.tbl[[#This Row],[Light_LSB]]</f>
        <v>0</v>
      </c>
      <c r="BD194" s="5">
        <f>sim.tbl[[#This Row],[Temp.Roll]]*sim.tbl[[#This Row],[Light_SW]]</f>
        <v>0</v>
      </c>
      <c r="BE194" s="5">
        <f>sim.tbl[[#This Row],[Temp.Roll]]*sim.tbl[[#This Row],[Medium_LSB]]</f>
        <v>4.8</v>
      </c>
      <c r="BF194" s="5">
        <f>sim.tbl[[#This Row],[Temp.Roll]]*sim.tbl[[#This Row],[Medium_SW]]</f>
        <v>0</v>
      </c>
      <c r="BG194" s="5">
        <f>sim.tbl[[#This Row],[Temp.Roll]]*sim.tbl[[#This Row],[Midale]]</f>
        <v>0</v>
      </c>
      <c r="BH194" s="5">
        <f>sim.tbl[[#This Row],[Temp.Roll]]*sim.tbl[[#This Row],[Heavy_Sour]]</f>
        <v>0</v>
      </c>
      <c r="BI194" s="5">
        <f>sim.tbl[[#This Row],[Temp.Roll]]*sim.tbl[[#This Row],[Heavy_SW]]</f>
        <v>0</v>
      </c>
    </row>
    <row r="195" spans="4:61" x14ac:dyDescent="0.25">
      <c r="D195" s="5">
        <f ca="1">SUMPRODUCT($F$1:$BI$1,sim.tbl[[#This Row],[Intercept]:[Temp.Roll:Heavy_SW]])</f>
        <v>76.091407234406205</v>
      </c>
      <c r="E195" s="14">
        <f ca="1">DATE(YEAR(TODAY()),INDEX(mthLkUp.tbl[Num],MATCH(mth.input,mthLkUp.tbl[Month],0)),1)</f>
        <v>42795</v>
      </c>
      <c r="F195" s="6">
        <f>1</f>
        <v>1</v>
      </c>
      <c r="G195" s="5">
        <v>1.0589999999999999</v>
      </c>
      <c r="H195" s="5">
        <v>843.4</v>
      </c>
      <c r="I195" s="5">
        <v>5.04</v>
      </c>
      <c r="J195" s="5">
        <v>4.9000000000000004</v>
      </c>
      <c r="K195" s="5">
        <v>5</v>
      </c>
      <c r="L195" s="5">
        <v>4.9000000000000004</v>
      </c>
      <c r="M195" s="5">
        <v>8.3000000000000007</v>
      </c>
      <c r="N195" s="5">
        <v>4.8</v>
      </c>
      <c r="O195" s="5">
        <v>5.5</v>
      </c>
      <c r="P195" s="5">
        <v>5</v>
      </c>
      <c r="Q195" s="6">
        <f>IF(sim.tbl[[#This Row],[Dens]]&lt;=770,1,0)</f>
        <v>0</v>
      </c>
      <c r="R195" s="6">
        <f>IF(AND(sim.tbl[[#This Row],[Sulf]]&gt;0.5,sim.tbl[[#This Row],[Dens]]&gt;770,sim.tbl[[#This Row],[Dens]]&lt;=825),1,0)</f>
        <v>0</v>
      </c>
      <c r="S195" s="6">
        <f>IF(AND(sim.tbl[[#This Row],[Sulf]]&lt;=0.5,sim.tbl[[#This Row],[Dens]]&gt;770,sim.tbl[[#This Row],[Dens]]&lt;=825),1,0)</f>
        <v>0</v>
      </c>
      <c r="T195" s="6">
        <f>IF(AND(sim.tbl[[#This Row],[Sulf]]&gt;0.5,sim.tbl[[#This Row],[Dens]]&gt;825,sim.tbl[[#This Row],[Dens]]&lt;=870),1,0)</f>
        <v>1</v>
      </c>
      <c r="U195" s="6">
        <f>IF(AND(sim.tbl[[#This Row],[Sulf]]&lt;0.5,sim.tbl[[#This Row],[Dens]]&gt;825,sim.tbl[[#This Row],[Dens]]&lt;=900),1,0)</f>
        <v>0</v>
      </c>
      <c r="V195" s="6">
        <f>IF(AND(sim.tbl[[#This Row],[Sulf]]&gt;0.5,sim.tbl[[#This Row],[Dens]]&gt;870,sim.tbl[[#This Row],[Dens]]&lt;=900),1,0)</f>
        <v>0</v>
      </c>
      <c r="W195" s="6">
        <f>IF(AND(sim.tbl[[#This Row],[Sulf]]&gt;0.5,sim.tbl[[#This Row],[Dens]]&gt;900),1,0)</f>
        <v>0</v>
      </c>
      <c r="X195" s="6">
        <f>IF(AND(sim.tbl[[#This Row],[Sulf]]&lt;=0.5,sim.tbl[[#This Row],[Dens]]&gt;900),1,0)</f>
        <v>0</v>
      </c>
      <c r="Y195" s="6">
        <f ca="1">IF(MONTH(sim.tbl[[#This Row],[SDate]])=INDEX(mthLkUp.tbl[Num],MATCH(Y$3,mthLkUp.tbl[Month],0)),1,0)</f>
        <v>0</v>
      </c>
      <c r="Z195" s="6">
        <f ca="1">IF(MONTH(sim.tbl[[#This Row],[SDate]])=INDEX(mthLkUp.tbl[Num],MATCH(Z$3,mthLkUp.tbl[Month],0)),1,0)</f>
        <v>0</v>
      </c>
      <c r="AA195" s="6">
        <f ca="1">IF(MONTH(sim.tbl[[#This Row],[SDate]])=INDEX(mthLkUp.tbl[Num],MATCH(AA$3,mthLkUp.tbl[Month],0)),1,0)</f>
        <v>1</v>
      </c>
      <c r="AB195" s="6">
        <f ca="1">IF(MONTH(sim.tbl[[#This Row],[SDate]])=INDEX(mthLkUp.tbl[Num],MATCH(AB$3,mthLkUp.tbl[Month],0)),1,0)</f>
        <v>0</v>
      </c>
      <c r="AC195" s="6">
        <f ca="1">IF(MONTH(sim.tbl[[#This Row],[SDate]])=INDEX(mthLkUp.tbl[Num],MATCH(AC$3,mthLkUp.tbl[Month],0)),1,0)</f>
        <v>0</v>
      </c>
      <c r="AD195" s="6">
        <f ca="1">IF(MONTH(sim.tbl[[#This Row],[SDate]])=INDEX(mthLkUp.tbl[Num],MATCH(AD$3,mthLkUp.tbl[Month],0)),1,0)</f>
        <v>0</v>
      </c>
      <c r="AE195" s="6">
        <f ca="1">IF(MONTH(sim.tbl[[#This Row],[SDate]])=INDEX(mthLkUp.tbl[Num],MATCH(AE$3,mthLkUp.tbl[Month],0)),1,0)</f>
        <v>0</v>
      </c>
      <c r="AF195" s="6">
        <f ca="1">IF(MONTH(sim.tbl[[#This Row],[SDate]])=INDEX(mthLkUp.tbl[Num],MATCH(AF$3,mthLkUp.tbl[Month],0)),1,0)</f>
        <v>0</v>
      </c>
      <c r="AG195" s="6">
        <f ca="1">IF(MONTH(sim.tbl[[#This Row],[SDate]])=INDEX(mthLkUp.tbl[Num],MATCH(AG$3,mthLkUp.tbl[Month],0)),1,0)</f>
        <v>0</v>
      </c>
      <c r="AH195" s="6">
        <f ca="1">IF(MONTH(sim.tbl[[#This Row],[SDate]])=INDEX(mthLkUp.tbl[Num],MATCH(AH$3,mthLkUp.tbl[Month],0)),1,0)</f>
        <v>0</v>
      </c>
      <c r="AI195" s="6">
        <f ca="1">IF(MONTH(sim.tbl[[#This Row],[SDate]])=INDEX(mthLkUp.tbl[Num],MATCH(AI$3,mthLkUp.tbl[Month],0)),1,0)</f>
        <v>0</v>
      </c>
      <c r="AJ195" s="6">
        <f ca="1">IF(MONTH(sim.tbl[[#This Row],[SDate]])=INDEX(mthLkUp.tbl[Num],MATCH(AJ$3,mthLkUp.tbl[Month],0)),1,0)</f>
        <v>0</v>
      </c>
      <c r="AK195" s="6">
        <v>1</v>
      </c>
      <c r="AL195" s="5">
        <f>sim.tbl[[#This Row],[Sulf]]*sim.tbl[[#This Row],[C5]]</f>
        <v>0</v>
      </c>
      <c r="AM195" s="5">
        <f>sim.tbl[[#This Row],[Sulf]]*sim.tbl[[#This Row],[Light_LSB]]</f>
        <v>0</v>
      </c>
      <c r="AN195" s="5">
        <f>sim.tbl[[#This Row],[Sulf]]*sim.tbl[[#This Row],[Light_SW]]</f>
        <v>0</v>
      </c>
      <c r="AO195" s="5">
        <f>sim.tbl[[#This Row],[Sulf]]*sim.tbl[[#This Row],[Medium_LSB]]</f>
        <v>1.0589999999999999</v>
      </c>
      <c r="AP195" s="5">
        <f>sim.tbl[[#This Row],[Sulf]]*sim.tbl[[#This Row],[Medium_SW]]</f>
        <v>0</v>
      </c>
      <c r="AQ195" s="5">
        <f>sim.tbl[[#This Row],[Sulf]]*sim.tbl[[#This Row],[Midale]]</f>
        <v>0</v>
      </c>
      <c r="AR195" s="5">
        <f>sim.tbl[[#This Row],[Sulf]]*sim.tbl[[#This Row],[Heavy_Sour]]</f>
        <v>0</v>
      </c>
      <c r="AS195" s="5">
        <f>sim.tbl[[#This Row],[Sulf]]*sim.tbl[[#This Row],[Heavy_SW]]</f>
        <v>0</v>
      </c>
      <c r="AT195" s="5">
        <f>sim.tbl[[#This Row],[Dens]]*sim.tbl[[#This Row],[C5]]</f>
        <v>0</v>
      </c>
      <c r="AU195" s="5">
        <f>sim.tbl[[#This Row],[Dens]]*sim.tbl[[#This Row],[Light_LSB]]</f>
        <v>0</v>
      </c>
      <c r="AV195" s="5">
        <f>sim.tbl[[#This Row],[Dens]]*sim.tbl[[#This Row],[Light_SW]]</f>
        <v>0</v>
      </c>
      <c r="AW195" s="5">
        <f>sim.tbl[[#This Row],[Dens]]*sim.tbl[[#This Row],[Medium_LSB]]</f>
        <v>843.4</v>
      </c>
      <c r="AX195" s="5">
        <f>sim.tbl[[#This Row],[Dens]]*sim.tbl[[#This Row],[Medium_SW]]</f>
        <v>0</v>
      </c>
      <c r="AY195" s="5">
        <f>sim.tbl[[#This Row],[Dens]]*sim.tbl[[#This Row],[Midale]]</f>
        <v>0</v>
      </c>
      <c r="AZ195" s="5">
        <f>sim.tbl[[#This Row],[Dens]]*sim.tbl[[#This Row],[Heavy_Sour]]</f>
        <v>0</v>
      </c>
      <c r="BA195" s="5">
        <f>sim.tbl[[#This Row],[Dens]]*sim.tbl[[#This Row],[Heavy_SW]]</f>
        <v>0</v>
      </c>
      <c r="BB195" s="5">
        <f>sim.tbl[[#This Row],[Temp.Roll]]*sim.tbl[[#This Row],[C5]]</f>
        <v>0</v>
      </c>
      <c r="BC195" s="5">
        <f>sim.tbl[[#This Row],[Temp.Roll]]*sim.tbl[[#This Row],[Light_LSB]]</f>
        <v>0</v>
      </c>
      <c r="BD195" s="5">
        <f>sim.tbl[[#This Row],[Temp.Roll]]*sim.tbl[[#This Row],[Light_SW]]</f>
        <v>0</v>
      </c>
      <c r="BE195" s="5">
        <f>sim.tbl[[#This Row],[Temp.Roll]]*sim.tbl[[#This Row],[Medium_LSB]]</f>
        <v>4.9000000000000004</v>
      </c>
      <c r="BF195" s="5">
        <f>sim.tbl[[#This Row],[Temp.Roll]]*sim.tbl[[#This Row],[Medium_SW]]</f>
        <v>0</v>
      </c>
      <c r="BG195" s="5">
        <f>sim.tbl[[#This Row],[Temp.Roll]]*sim.tbl[[#This Row],[Midale]]</f>
        <v>0</v>
      </c>
      <c r="BH195" s="5">
        <f>sim.tbl[[#This Row],[Temp.Roll]]*sim.tbl[[#This Row],[Heavy_Sour]]</f>
        <v>0</v>
      </c>
      <c r="BI195" s="5">
        <f>sim.tbl[[#This Row],[Temp.Roll]]*sim.tbl[[#This Row],[Heavy_SW]]</f>
        <v>0</v>
      </c>
    </row>
    <row r="196" spans="4:61" x14ac:dyDescent="0.25">
      <c r="D196" s="5">
        <f ca="1">SUMPRODUCT($F$1:$BI$1,sim.tbl[[#This Row],[Intercept]:[Temp.Roll:Heavy_SW]])</f>
        <v>75.809771304477806</v>
      </c>
      <c r="E196" s="14">
        <f ca="1">DATE(YEAR(TODAY()),INDEX(mthLkUp.tbl[Num],MATCH(mth.input,mthLkUp.tbl[Month],0)),1)</f>
        <v>42795</v>
      </c>
      <c r="F196" s="6">
        <f>1</f>
        <v>1</v>
      </c>
      <c r="G196" s="5">
        <v>1.0669999999999999</v>
      </c>
      <c r="H196" s="5">
        <v>841.1</v>
      </c>
      <c r="I196" s="5">
        <v>7.18</v>
      </c>
      <c r="J196" s="5">
        <v>7.6</v>
      </c>
      <c r="K196" s="5">
        <v>8.6999999999999993</v>
      </c>
      <c r="L196" s="5">
        <v>7.6</v>
      </c>
      <c r="M196" s="5">
        <v>-1.3</v>
      </c>
      <c r="N196" s="5">
        <v>8.8000000000000007</v>
      </c>
      <c r="O196" s="5">
        <v>5.8</v>
      </c>
      <c r="P196" s="5">
        <v>5</v>
      </c>
      <c r="Q196" s="6">
        <f>IF(sim.tbl[[#This Row],[Dens]]&lt;=770,1,0)</f>
        <v>0</v>
      </c>
      <c r="R196" s="6">
        <f>IF(AND(sim.tbl[[#This Row],[Sulf]]&gt;0.5,sim.tbl[[#This Row],[Dens]]&gt;770,sim.tbl[[#This Row],[Dens]]&lt;=825),1,0)</f>
        <v>0</v>
      </c>
      <c r="S196" s="6">
        <f>IF(AND(sim.tbl[[#This Row],[Sulf]]&lt;=0.5,sim.tbl[[#This Row],[Dens]]&gt;770,sim.tbl[[#This Row],[Dens]]&lt;=825),1,0)</f>
        <v>0</v>
      </c>
      <c r="T196" s="6">
        <f>IF(AND(sim.tbl[[#This Row],[Sulf]]&gt;0.5,sim.tbl[[#This Row],[Dens]]&gt;825,sim.tbl[[#This Row],[Dens]]&lt;=870),1,0)</f>
        <v>1</v>
      </c>
      <c r="U196" s="6">
        <f>IF(AND(sim.tbl[[#This Row],[Sulf]]&lt;0.5,sim.tbl[[#This Row],[Dens]]&gt;825,sim.tbl[[#This Row],[Dens]]&lt;=900),1,0)</f>
        <v>0</v>
      </c>
      <c r="V196" s="6">
        <f>IF(AND(sim.tbl[[#This Row],[Sulf]]&gt;0.5,sim.tbl[[#This Row],[Dens]]&gt;870,sim.tbl[[#This Row],[Dens]]&lt;=900),1,0)</f>
        <v>0</v>
      </c>
      <c r="W196" s="6">
        <f>IF(AND(sim.tbl[[#This Row],[Sulf]]&gt;0.5,sim.tbl[[#This Row],[Dens]]&gt;900),1,0)</f>
        <v>0</v>
      </c>
      <c r="X196" s="6">
        <f>IF(AND(sim.tbl[[#This Row],[Sulf]]&lt;=0.5,sim.tbl[[#This Row],[Dens]]&gt;900),1,0)</f>
        <v>0</v>
      </c>
      <c r="Y196" s="6">
        <f ca="1">IF(MONTH(sim.tbl[[#This Row],[SDate]])=INDEX(mthLkUp.tbl[Num],MATCH(Y$3,mthLkUp.tbl[Month],0)),1,0)</f>
        <v>0</v>
      </c>
      <c r="Z196" s="6">
        <f ca="1">IF(MONTH(sim.tbl[[#This Row],[SDate]])=INDEX(mthLkUp.tbl[Num],MATCH(Z$3,mthLkUp.tbl[Month],0)),1,0)</f>
        <v>0</v>
      </c>
      <c r="AA196" s="6">
        <f ca="1">IF(MONTH(sim.tbl[[#This Row],[SDate]])=INDEX(mthLkUp.tbl[Num],MATCH(AA$3,mthLkUp.tbl[Month],0)),1,0)</f>
        <v>1</v>
      </c>
      <c r="AB196" s="6">
        <f ca="1">IF(MONTH(sim.tbl[[#This Row],[SDate]])=INDEX(mthLkUp.tbl[Num],MATCH(AB$3,mthLkUp.tbl[Month],0)),1,0)</f>
        <v>0</v>
      </c>
      <c r="AC196" s="6">
        <f ca="1">IF(MONTH(sim.tbl[[#This Row],[SDate]])=INDEX(mthLkUp.tbl[Num],MATCH(AC$3,mthLkUp.tbl[Month],0)),1,0)</f>
        <v>0</v>
      </c>
      <c r="AD196" s="6">
        <f ca="1">IF(MONTH(sim.tbl[[#This Row],[SDate]])=INDEX(mthLkUp.tbl[Num],MATCH(AD$3,mthLkUp.tbl[Month],0)),1,0)</f>
        <v>0</v>
      </c>
      <c r="AE196" s="6">
        <f ca="1">IF(MONTH(sim.tbl[[#This Row],[SDate]])=INDEX(mthLkUp.tbl[Num],MATCH(AE$3,mthLkUp.tbl[Month],0)),1,0)</f>
        <v>0</v>
      </c>
      <c r="AF196" s="6">
        <f ca="1">IF(MONTH(sim.tbl[[#This Row],[SDate]])=INDEX(mthLkUp.tbl[Num],MATCH(AF$3,mthLkUp.tbl[Month],0)),1,0)</f>
        <v>0</v>
      </c>
      <c r="AG196" s="6">
        <f ca="1">IF(MONTH(sim.tbl[[#This Row],[SDate]])=INDEX(mthLkUp.tbl[Num],MATCH(AG$3,mthLkUp.tbl[Month],0)),1,0)</f>
        <v>0</v>
      </c>
      <c r="AH196" s="6">
        <f ca="1">IF(MONTH(sim.tbl[[#This Row],[SDate]])=INDEX(mthLkUp.tbl[Num],MATCH(AH$3,mthLkUp.tbl[Month],0)),1,0)</f>
        <v>0</v>
      </c>
      <c r="AI196" s="6">
        <f ca="1">IF(MONTH(sim.tbl[[#This Row],[SDate]])=INDEX(mthLkUp.tbl[Num],MATCH(AI$3,mthLkUp.tbl[Month],0)),1,0)</f>
        <v>0</v>
      </c>
      <c r="AJ196" s="6">
        <f ca="1">IF(MONTH(sim.tbl[[#This Row],[SDate]])=INDEX(mthLkUp.tbl[Num],MATCH(AJ$3,mthLkUp.tbl[Month],0)),1,0)</f>
        <v>0</v>
      </c>
      <c r="AK196" s="6">
        <v>1</v>
      </c>
      <c r="AL196" s="5">
        <f>sim.tbl[[#This Row],[Sulf]]*sim.tbl[[#This Row],[C5]]</f>
        <v>0</v>
      </c>
      <c r="AM196" s="5">
        <f>sim.tbl[[#This Row],[Sulf]]*sim.tbl[[#This Row],[Light_LSB]]</f>
        <v>0</v>
      </c>
      <c r="AN196" s="5">
        <f>sim.tbl[[#This Row],[Sulf]]*sim.tbl[[#This Row],[Light_SW]]</f>
        <v>0</v>
      </c>
      <c r="AO196" s="5">
        <f>sim.tbl[[#This Row],[Sulf]]*sim.tbl[[#This Row],[Medium_LSB]]</f>
        <v>1.0669999999999999</v>
      </c>
      <c r="AP196" s="5">
        <f>sim.tbl[[#This Row],[Sulf]]*sim.tbl[[#This Row],[Medium_SW]]</f>
        <v>0</v>
      </c>
      <c r="AQ196" s="5">
        <f>sim.tbl[[#This Row],[Sulf]]*sim.tbl[[#This Row],[Midale]]</f>
        <v>0</v>
      </c>
      <c r="AR196" s="5">
        <f>sim.tbl[[#This Row],[Sulf]]*sim.tbl[[#This Row],[Heavy_Sour]]</f>
        <v>0</v>
      </c>
      <c r="AS196" s="5">
        <f>sim.tbl[[#This Row],[Sulf]]*sim.tbl[[#This Row],[Heavy_SW]]</f>
        <v>0</v>
      </c>
      <c r="AT196" s="5">
        <f>sim.tbl[[#This Row],[Dens]]*sim.tbl[[#This Row],[C5]]</f>
        <v>0</v>
      </c>
      <c r="AU196" s="5">
        <f>sim.tbl[[#This Row],[Dens]]*sim.tbl[[#This Row],[Light_LSB]]</f>
        <v>0</v>
      </c>
      <c r="AV196" s="5">
        <f>sim.tbl[[#This Row],[Dens]]*sim.tbl[[#This Row],[Light_SW]]</f>
        <v>0</v>
      </c>
      <c r="AW196" s="5">
        <f>sim.tbl[[#This Row],[Dens]]*sim.tbl[[#This Row],[Medium_LSB]]</f>
        <v>841.1</v>
      </c>
      <c r="AX196" s="5">
        <f>sim.tbl[[#This Row],[Dens]]*sim.tbl[[#This Row],[Medium_SW]]</f>
        <v>0</v>
      </c>
      <c r="AY196" s="5">
        <f>sim.tbl[[#This Row],[Dens]]*sim.tbl[[#This Row],[Midale]]</f>
        <v>0</v>
      </c>
      <c r="AZ196" s="5">
        <f>sim.tbl[[#This Row],[Dens]]*sim.tbl[[#This Row],[Heavy_Sour]]</f>
        <v>0</v>
      </c>
      <c r="BA196" s="5">
        <f>sim.tbl[[#This Row],[Dens]]*sim.tbl[[#This Row],[Heavy_SW]]</f>
        <v>0</v>
      </c>
      <c r="BB196" s="5">
        <f>sim.tbl[[#This Row],[Temp.Roll]]*sim.tbl[[#This Row],[C5]]</f>
        <v>0</v>
      </c>
      <c r="BC196" s="5">
        <f>sim.tbl[[#This Row],[Temp.Roll]]*sim.tbl[[#This Row],[Light_LSB]]</f>
        <v>0</v>
      </c>
      <c r="BD196" s="5">
        <f>sim.tbl[[#This Row],[Temp.Roll]]*sim.tbl[[#This Row],[Light_SW]]</f>
        <v>0</v>
      </c>
      <c r="BE196" s="5">
        <f>sim.tbl[[#This Row],[Temp.Roll]]*sim.tbl[[#This Row],[Medium_LSB]]</f>
        <v>7.6</v>
      </c>
      <c r="BF196" s="5">
        <f>sim.tbl[[#This Row],[Temp.Roll]]*sim.tbl[[#This Row],[Medium_SW]]</f>
        <v>0</v>
      </c>
      <c r="BG196" s="5">
        <f>sim.tbl[[#This Row],[Temp.Roll]]*sim.tbl[[#This Row],[Midale]]</f>
        <v>0</v>
      </c>
      <c r="BH196" s="5">
        <f>sim.tbl[[#This Row],[Temp.Roll]]*sim.tbl[[#This Row],[Heavy_Sour]]</f>
        <v>0</v>
      </c>
      <c r="BI196" s="5">
        <f>sim.tbl[[#This Row],[Temp.Roll]]*sim.tbl[[#This Row],[Heavy_SW]]</f>
        <v>0</v>
      </c>
    </row>
    <row r="197" spans="4:61" x14ac:dyDescent="0.25">
      <c r="D197" s="5">
        <f ca="1">SUMPRODUCT($F$1:$BI$1,sim.tbl[[#This Row],[Intercept]:[Temp.Roll:Heavy_SW]])</f>
        <v>77.290402788996289</v>
      </c>
      <c r="E197" s="14">
        <f ca="1">DATE(YEAR(TODAY()),INDEX(mthLkUp.tbl[Num],MATCH(mth.input,mthLkUp.tbl[Month],0)),1)</f>
        <v>42795</v>
      </c>
      <c r="F197" s="6">
        <f>1</f>
        <v>1</v>
      </c>
      <c r="G197" s="5">
        <v>1.157</v>
      </c>
      <c r="H197" s="5">
        <v>846.6</v>
      </c>
      <c r="I197" s="5">
        <v>-0.2</v>
      </c>
      <c r="J197" s="5">
        <v>-1.1000000000000001</v>
      </c>
      <c r="K197" s="5">
        <v>-0.3</v>
      </c>
      <c r="L197" s="5">
        <v>-1.1000000000000001</v>
      </c>
      <c r="M197" s="5">
        <v>3</v>
      </c>
      <c r="N197" s="5">
        <v>2</v>
      </c>
      <c r="O197" s="5">
        <v>-1.1000000000000001</v>
      </c>
      <c r="P197" s="5">
        <v>-0.5</v>
      </c>
      <c r="Q197" s="6">
        <f>IF(sim.tbl[[#This Row],[Dens]]&lt;=770,1,0)</f>
        <v>0</v>
      </c>
      <c r="R197" s="6">
        <f>IF(AND(sim.tbl[[#This Row],[Sulf]]&gt;0.5,sim.tbl[[#This Row],[Dens]]&gt;770,sim.tbl[[#This Row],[Dens]]&lt;=825),1,0)</f>
        <v>0</v>
      </c>
      <c r="S197" s="6">
        <f>IF(AND(sim.tbl[[#This Row],[Sulf]]&lt;=0.5,sim.tbl[[#This Row],[Dens]]&gt;770,sim.tbl[[#This Row],[Dens]]&lt;=825),1,0)</f>
        <v>0</v>
      </c>
      <c r="T197" s="6">
        <f>IF(AND(sim.tbl[[#This Row],[Sulf]]&gt;0.5,sim.tbl[[#This Row],[Dens]]&gt;825,sim.tbl[[#This Row],[Dens]]&lt;=870),1,0)</f>
        <v>1</v>
      </c>
      <c r="U197" s="6">
        <f>IF(AND(sim.tbl[[#This Row],[Sulf]]&lt;0.5,sim.tbl[[#This Row],[Dens]]&gt;825,sim.tbl[[#This Row],[Dens]]&lt;=900),1,0)</f>
        <v>0</v>
      </c>
      <c r="V197" s="6">
        <f>IF(AND(sim.tbl[[#This Row],[Sulf]]&gt;0.5,sim.tbl[[#This Row],[Dens]]&gt;870,sim.tbl[[#This Row],[Dens]]&lt;=900),1,0)</f>
        <v>0</v>
      </c>
      <c r="W197" s="6">
        <f>IF(AND(sim.tbl[[#This Row],[Sulf]]&gt;0.5,sim.tbl[[#This Row],[Dens]]&gt;900),1,0)</f>
        <v>0</v>
      </c>
      <c r="X197" s="6">
        <f>IF(AND(sim.tbl[[#This Row],[Sulf]]&lt;=0.5,sim.tbl[[#This Row],[Dens]]&gt;900),1,0)</f>
        <v>0</v>
      </c>
      <c r="Y197" s="6">
        <f ca="1">IF(MONTH(sim.tbl[[#This Row],[SDate]])=INDEX(mthLkUp.tbl[Num],MATCH(Y$3,mthLkUp.tbl[Month],0)),1,0)</f>
        <v>0</v>
      </c>
      <c r="Z197" s="6">
        <f ca="1">IF(MONTH(sim.tbl[[#This Row],[SDate]])=INDEX(mthLkUp.tbl[Num],MATCH(Z$3,mthLkUp.tbl[Month],0)),1,0)</f>
        <v>0</v>
      </c>
      <c r="AA197" s="6">
        <f ca="1">IF(MONTH(sim.tbl[[#This Row],[SDate]])=INDEX(mthLkUp.tbl[Num],MATCH(AA$3,mthLkUp.tbl[Month],0)),1,0)</f>
        <v>1</v>
      </c>
      <c r="AB197" s="6">
        <f ca="1">IF(MONTH(sim.tbl[[#This Row],[SDate]])=INDEX(mthLkUp.tbl[Num],MATCH(AB$3,mthLkUp.tbl[Month],0)),1,0)</f>
        <v>0</v>
      </c>
      <c r="AC197" s="6">
        <f ca="1">IF(MONTH(sim.tbl[[#This Row],[SDate]])=INDEX(mthLkUp.tbl[Num],MATCH(AC$3,mthLkUp.tbl[Month],0)),1,0)</f>
        <v>0</v>
      </c>
      <c r="AD197" s="6">
        <f ca="1">IF(MONTH(sim.tbl[[#This Row],[SDate]])=INDEX(mthLkUp.tbl[Num],MATCH(AD$3,mthLkUp.tbl[Month],0)),1,0)</f>
        <v>0</v>
      </c>
      <c r="AE197" s="6">
        <f ca="1">IF(MONTH(sim.tbl[[#This Row],[SDate]])=INDEX(mthLkUp.tbl[Num],MATCH(AE$3,mthLkUp.tbl[Month],0)),1,0)</f>
        <v>0</v>
      </c>
      <c r="AF197" s="6">
        <f ca="1">IF(MONTH(sim.tbl[[#This Row],[SDate]])=INDEX(mthLkUp.tbl[Num],MATCH(AF$3,mthLkUp.tbl[Month],0)),1,0)</f>
        <v>0</v>
      </c>
      <c r="AG197" s="6">
        <f ca="1">IF(MONTH(sim.tbl[[#This Row],[SDate]])=INDEX(mthLkUp.tbl[Num],MATCH(AG$3,mthLkUp.tbl[Month],0)),1,0)</f>
        <v>0</v>
      </c>
      <c r="AH197" s="6">
        <f ca="1">IF(MONTH(sim.tbl[[#This Row],[SDate]])=INDEX(mthLkUp.tbl[Num],MATCH(AH$3,mthLkUp.tbl[Month],0)),1,0)</f>
        <v>0</v>
      </c>
      <c r="AI197" s="6">
        <f ca="1">IF(MONTH(sim.tbl[[#This Row],[SDate]])=INDEX(mthLkUp.tbl[Num],MATCH(AI$3,mthLkUp.tbl[Month],0)),1,0)</f>
        <v>0</v>
      </c>
      <c r="AJ197" s="6">
        <f ca="1">IF(MONTH(sim.tbl[[#This Row],[SDate]])=INDEX(mthLkUp.tbl[Num],MATCH(AJ$3,mthLkUp.tbl[Month],0)),1,0)</f>
        <v>0</v>
      </c>
      <c r="AK197" s="6">
        <v>1</v>
      </c>
      <c r="AL197" s="5">
        <f>sim.tbl[[#This Row],[Sulf]]*sim.tbl[[#This Row],[C5]]</f>
        <v>0</v>
      </c>
      <c r="AM197" s="5">
        <f>sim.tbl[[#This Row],[Sulf]]*sim.tbl[[#This Row],[Light_LSB]]</f>
        <v>0</v>
      </c>
      <c r="AN197" s="5">
        <f>sim.tbl[[#This Row],[Sulf]]*sim.tbl[[#This Row],[Light_SW]]</f>
        <v>0</v>
      </c>
      <c r="AO197" s="5">
        <f>sim.tbl[[#This Row],[Sulf]]*sim.tbl[[#This Row],[Medium_LSB]]</f>
        <v>1.157</v>
      </c>
      <c r="AP197" s="5">
        <f>sim.tbl[[#This Row],[Sulf]]*sim.tbl[[#This Row],[Medium_SW]]</f>
        <v>0</v>
      </c>
      <c r="AQ197" s="5">
        <f>sim.tbl[[#This Row],[Sulf]]*sim.tbl[[#This Row],[Midale]]</f>
        <v>0</v>
      </c>
      <c r="AR197" s="5">
        <f>sim.tbl[[#This Row],[Sulf]]*sim.tbl[[#This Row],[Heavy_Sour]]</f>
        <v>0</v>
      </c>
      <c r="AS197" s="5">
        <f>sim.tbl[[#This Row],[Sulf]]*sim.tbl[[#This Row],[Heavy_SW]]</f>
        <v>0</v>
      </c>
      <c r="AT197" s="5">
        <f>sim.tbl[[#This Row],[Dens]]*sim.tbl[[#This Row],[C5]]</f>
        <v>0</v>
      </c>
      <c r="AU197" s="5">
        <f>sim.tbl[[#This Row],[Dens]]*sim.tbl[[#This Row],[Light_LSB]]</f>
        <v>0</v>
      </c>
      <c r="AV197" s="5">
        <f>sim.tbl[[#This Row],[Dens]]*sim.tbl[[#This Row],[Light_SW]]</f>
        <v>0</v>
      </c>
      <c r="AW197" s="5">
        <f>sim.tbl[[#This Row],[Dens]]*sim.tbl[[#This Row],[Medium_LSB]]</f>
        <v>846.6</v>
      </c>
      <c r="AX197" s="5">
        <f>sim.tbl[[#This Row],[Dens]]*sim.tbl[[#This Row],[Medium_SW]]</f>
        <v>0</v>
      </c>
      <c r="AY197" s="5">
        <f>sim.tbl[[#This Row],[Dens]]*sim.tbl[[#This Row],[Midale]]</f>
        <v>0</v>
      </c>
      <c r="AZ197" s="5">
        <f>sim.tbl[[#This Row],[Dens]]*sim.tbl[[#This Row],[Heavy_Sour]]</f>
        <v>0</v>
      </c>
      <c r="BA197" s="5">
        <f>sim.tbl[[#This Row],[Dens]]*sim.tbl[[#This Row],[Heavy_SW]]</f>
        <v>0</v>
      </c>
      <c r="BB197" s="5">
        <f>sim.tbl[[#This Row],[Temp.Roll]]*sim.tbl[[#This Row],[C5]]</f>
        <v>0</v>
      </c>
      <c r="BC197" s="5">
        <f>sim.tbl[[#This Row],[Temp.Roll]]*sim.tbl[[#This Row],[Light_LSB]]</f>
        <v>0</v>
      </c>
      <c r="BD197" s="5">
        <f>sim.tbl[[#This Row],[Temp.Roll]]*sim.tbl[[#This Row],[Light_SW]]</f>
        <v>0</v>
      </c>
      <c r="BE197" s="5">
        <f>sim.tbl[[#This Row],[Temp.Roll]]*sim.tbl[[#This Row],[Medium_LSB]]</f>
        <v>-1.1000000000000001</v>
      </c>
      <c r="BF197" s="5">
        <f>sim.tbl[[#This Row],[Temp.Roll]]*sim.tbl[[#This Row],[Medium_SW]]</f>
        <v>0</v>
      </c>
      <c r="BG197" s="5">
        <f>sim.tbl[[#This Row],[Temp.Roll]]*sim.tbl[[#This Row],[Midale]]</f>
        <v>0</v>
      </c>
      <c r="BH197" s="5">
        <f>sim.tbl[[#This Row],[Temp.Roll]]*sim.tbl[[#This Row],[Heavy_Sour]]</f>
        <v>0</v>
      </c>
      <c r="BI197" s="5">
        <f>sim.tbl[[#This Row],[Temp.Roll]]*sim.tbl[[#This Row],[Heavy_SW]]</f>
        <v>0</v>
      </c>
    </row>
    <row r="198" spans="4:61" x14ac:dyDescent="0.25">
      <c r="D198" s="5">
        <f ca="1">SUMPRODUCT($F$1:$BI$1,sim.tbl[[#This Row],[Intercept]:[Temp.Roll:Heavy_SW]])</f>
        <v>76.127335598667457</v>
      </c>
      <c r="E198" s="14">
        <f ca="1">DATE(YEAR(TODAY()),INDEX(mthLkUp.tbl[Num],MATCH(mth.input,mthLkUp.tbl[Month],0)),1)</f>
        <v>42795</v>
      </c>
      <c r="F198" s="6">
        <f>1</f>
        <v>1</v>
      </c>
      <c r="G198" s="5">
        <v>1.03</v>
      </c>
      <c r="H198" s="5">
        <v>839.8</v>
      </c>
      <c r="I198" s="5">
        <v>8.6333333329999995</v>
      </c>
      <c r="J198" s="5">
        <v>7.8</v>
      </c>
      <c r="K198" s="5">
        <v>9.1</v>
      </c>
      <c r="L198" s="5">
        <v>7.8</v>
      </c>
      <c r="M198" s="5">
        <v>8</v>
      </c>
      <c r="N198" s="5">
        <v>9.8000000000000007</v>
      </c>
      <c r="O198" s="5">
        <v>8.1999999999999993</v>
      </c>
      <c r="P198" s="5">
        <v>8.9</v>
      </c>
      <c r="Q198" s="6">
        <f>IF(sim.tbl[[#This Row],[Dens]]&lt;=770,1,0)</f>
        <v>0</v>
      </c>
      <c r="R198" s="6">
        <f>IF(AND(sim.tbl[[#This Row],[Sulf]]&gt;0.5,sim.tbl[[#This Row],[Dens]]&gt;770,sim.tbl[[#This Row],[Dens]]&lt;=825),1,0)</f>
        <v>0</v>
      </c>
      <c r="S198" s="6">
        <f>IF(AND(sim.tbl[[#This Row],[Sulf]]&lt;=0.5,sim.tbl[[#This Row],[Dens]]&gt;770,sim.tbl[[#This Row],[Dens]]&lt;=825),1,0)</f>
        <v>0</v>
      </c>
      <c r="T198" s="6">
        <f>IF(AND(sim.tbl[[#This Row],[Sulf]]&gt;0.5,sim.tbl[[#This Row],[Dens]]&gt;825,sim.tbl[[#This Row],[Dens]]&lt;=870),1,0)</f>
        <v>1</v>
      </c>
      <c r="U198" s="6">
        <f>IF(AND(sim.tbl[[#This Row],[Sulf]]&lt;0.5,sim.tbl[[#This Row],[Dens]]&gt;825,sim.tbl[[#This Row],[Dens]]&lt;=900),1,0)</f>
        <v>0</v>
      </c>
      <c r="V198" s="6">
        <f>IF(AND(sim.tbl[[#This Row],[Sulf]]&gt;0.5,sim.tbl[[#This Row],[Dens]]&gt;870,sim.tbl[[#This Row],[Dens]]&lt;=900),1,0)</f>
        <v>0</v>
      </c>
      <c r="W198" s="6">
        <f>IF(AND(sim.tbl[[#This Row],[Sulf]]&gt;0.5,sim.tbl[[#This Row],[Dens]]&gt;900),1,0)</f>
        <v>0</v>
      </c>
      <c r="X198" s="6">
        <f>IF(AND(sim.tbl[[#This Row],[Sulf]]&lt;=0.5,sim.tbl[[#This Row],[Dens]]&gt;900),1,0)</f>
        <v>0</v>
      </c>
      <c r="Y198" s="6">
        <f ca="1">IF(MONTH(sim.tbl[[#This Row],[SDate]])=INDEX(mthLkUp.tbl[Num],MATCH(Y$3,mthLkUp.tbl[Month],0)),1,0)</f>
        <v>0</v>
      </c>
      <c r="Z198" s="6">
        <f ca="1">IF(MONTH(sim.tbl[[#This Row],[SDate]])=INDEX(mthLkUp.tbl[Num],MATCH(Z$3,mthLkUp.tbl[Month],0)),1,0)</f>
        <v>0</v>
      </c>
      <c r="AA198" s="6">
        <f ca="1">IF(MONTH(sim.tbl[[#This Row],[SDate]])=INDEX(mthLkUp.tbl[Num],MATCH(AA$3,mthLkUp.tbl[Month],0)),1,0)</f>
        <v>1</v>
      </c>
      <c r="AB198" s="6">
        <f ca="1">IF(MONTH(sim.tbl[[#This Row],[SDate]])=INDEX(mthLkUp.tbl[Num],MATCH(AB$3,mthLkUp.tbl[Month],0)),1,0)</f>
        <v>0</v>
      </c>
      <c r="AC198" s="6">
        <f ca="1">IF(MONTH(sim.tbl[[#This Row],[SDate]])=INDEX(mthLkUp.tbl[Num],MATCH(AC$3,mthLkUp.tbl[Month],0)),1,0)</f>
        <v>0</v>
      </c>
      <c r="AD198" s="6">
        <f ca="1">IF(MONTH(sim.tbl[[#This Row],[SDate]])=INDEX(mthLkUp.tbl[Num],MATCH(AD$3,mthLkUp.tbl[Month],0)),1,0)</f>
        <v>0</v>
      </c>
      <c r="AE198" s="6">
        <f ca="1">IF(MONTH(sim.tbl[[#This Row],[SDate]])=INDEX(mthLkUp.tbl[Num],MATCH(AE$3,mthLkUp.tbl[Month],0)),1,0)</f>
        <v>0</v>
      </c>
      <c r="AF198" s="6">
        <f ca="1">IF(MONTH(sim.tbl[[#This Row],[SDate]])=INDEX(mthLkUp.tbl[Num],MATCH(AF$3,mthLkUp.tbl[Month],0)),1,0)</f>
        <v>0</v>
      </c>
      <c r="AG198" s="6">
        <f ca="1">IF(MONTH(sim.tbl[[#This Row],[SDate]])=INDEX(mthLkUp.tbl[Num],MATCH(AG$3,mthLkUp.tbl[Month],0)),1,0)</f>
        <v>0</v>
      </c>
      <c r="AH198" s="6">
        <f ca="1">IF(MONTH(sim.tbl[[#This Row],[SDate]])=INDEX(mthLkUp.tbl[Num],MATCH(AH$3,mthLkUp.tbl[Month],0)),1,0)</f>
        <v>0</v>
      </c>
      <c r="AI198" s="6">
        <f ca="1">IF(MONTH(sim.tbl[[#This Row],[SDate]])=INDEX(mthLkUp.tbl[Num],MATCH(AI$3,mthLkUp.tbl[Month],0)),1,0)</f>
        <v>0</v>
      </c>
      <c r="AJ198" s="6">
        <f ca="1">IF(MONTH(sim.tbl[[#This Row],[SDate]])=INDEX(mthLkUp.tbl[Num],MATCH(AJ$3,mthLkUp.tbl[Month],0)),1,0)</f>
        <v>0</v>
      </c>
      <c r="AK198" s="6">
        <v>1</v>
      </c>
      <c r="AL198" s="5">
        <f>sim.tbl[[#This Row],[Sulf]]*sim.tbl[[#This Row],[C5]]</f>
        <v>0</v>
      </c>
      <c r="AM198" s="5">
        <f>sim.tbl[[#This Row],[Sulf]]*sim.tbl[[#This Row],[Light_LSB]]</f>
        <v>0</v>
      </c>
      <c r="AN198" s="5">
        <f>sim.tbl[[#This Row],[Sulf]]*sim.tbl[[#This Row],[Light_SW]]</f>
        <v>0</v>
      </c>
      <c r="AO198" s="5">
        <f>sim.tbl[[#This Row],[Sulf]]*sim.tbl[[#This Row],[Medium_LSB]]</f>
        <v>1.03</v>
      </c>
      <c r="AP198" s="5">
        <f>sim.tbl[[#This Row],[Sulf]]*sim.tbl[[#This Row],[Medium_SW]]</f>
        <v>0</v>
      </c>
      <c r="AQ198" s="5">
        <f>sim.tbl[[#This Row],[Sulf]]*sim.tbl[[#This Row],[Midale]]</f>
        <v>0</v>
      </c>
      <c r="AR198" s="5">
        <f>sim.tbl[[#This Row],[Sulf]]*sim.tbl[[#This Row],[Heavy_Sour]]</f>
        <v>0</v>
      </c>
      <c r="AS198" s="5">
        <f>sim.tbl[[#This Row],[Sulf]]*sim.tbl[[#This Row],[Heavy_SW]]</f>
        <v>0</v>
      </c>
      <c r="AT198" s="5">
        <f>sim.tbl[[#This Row],[Dens]]*sim.tbl[[#This Row],[C5]]</f>
        <v>0</v>
      </c>
      <c r="AU198" s="5">
        <f>sim.tbl[[#This Row],[Dens]]*sim.tbl[[#This Row],[Light_LSB]]</f>
        <v>0</v>
      </c>
      <c r="AV198" s="5">
        <f>sim.tbl[[#This Row],[Dens]]*sim.tbl[[#This Row],[Light_SW]]</f>
        <v>0</v>
      </c>
      <c r="AW198" s="5">
        <f>sim.tbl[[#This Row],[Dens]]*sim.tbl[[#This Row],[Medium_LSB]]</f>
        <v>839.8</v>
      </c>
      <c r="AX198" s="5">
        <f>sim.tbl[[#This Row],[Dens]]*sim.tbl[[#This Row],[Medium_SW]]</f>
        <v>0</v>
      </c>
      <c r="AY198" s="5">
        <f>sim.tbl[[#This Row],[Dens]]*sim.tbl[[#This Row],[Midale]]</f>
        <v>0</v>
      </c>
      <c r="AZ198" s="5">
        <f>sim.tbl[[#This Row],[Dens]]*sim.tbl[[#This Row],[Heavy_Sour]]</f>
        <v>0</v>
      </c>
      <c r="BA198" s="5">
        <f>sim.tbl[[#This Row],[Dens]]*sim.tbl[[#This Row],[Heavy_SW]]</f>
        <v>0</v>
      </c>
      <c r="BB198" s="5">
        <f>sim.tbl[[#This Row],[Temp.Roll]]*sim.tbl[[#This Row],[C5]]</f>
        <v>0</v>
      </c>
      <c r="BC198" s="5">
        <f>sim.tbl[[#This Row],[Temp.Roll]]*sim.tbl[[#This Row],[Light_LSB]]</f>
        <v>0</v>
      </c>
      <c r="BD198" s="5">
        <f>sim.tbl[[#This Row],[Temp.Roll]]*sim.tbl[[#This Row],[Light_SW]]</f>
        <v>0</v>
      </c>
      <c r="BE198" s="5">
        <f>sim.tbl[[#This Row],[Temp.Roll]]*sim.tbl[[#This Row],[Medium_LSB]]</f>
        <v>7.8</v>
      </c>
      <c r="BF198" s="5">
        <f>sim.tbl[[#This Row],[Temp.Roll]]*sim.tbl[[#This Row],[Medium_SW]]</f>
        <v>0</v>
      </c>
      <c r="BG198" s="5">
        <f>sim.tbl[[#This Row],[Temp.Roll]]*sim.tbl[[#This Row],[Midale]]</f>
        <v>0</v>
      </c>
      <c r="BH198" s="5">
        <f>sim.tbl[[#This Row],[Temp.Roll]]*sim.tbl[[#This Row],[Heavy_Sour]]</f>
        <v>0</v>
      </c>
      <c r="BI198" s="5">
        <f>sim.tbl[[#This Row],[Temp.Roll]]*sim.tbl[[#This Row],[Heavy_SW]]</f>
        <v>0</v>
      </c>
    </row>
    <row r="199" spans="4:61" x14ac:dyDescent="0.25">
      <c r="D199" s="5">
        <f ca="1">SUMPRODUCT($F$1:$BI$1,sim.tbl[[#This Row],[Intercept]:[Temp.Roll:Heavy_SW]])</f>
        <v>77.344266442184875</v>
      </c>
      <c r="E199" s="14">
        <f ca="1">DATE(YEAR(TODAY()),INDEX(mthLkUp.tbl[Num],MATCH(mth.input,mthLkUp.tbl[Month],0)),1)</f>
        <v>42795</v>
      </c>
      <c r="F199" s="6">
        <f>1</f>
        <v>1</v>
      </c>
      <c r="G199" s="5">
        <v>1.1299999999999999</v>
      </c>
      <c r="H199" s="5">
        <v>842.7</v>
      </c>
      <c r="I199" s="5">
        <v>3.85</v>
      </c>
      <c r="J199" s="5">
        <v>2</v>
      </c>
      <c r="K199" s="5">
        <v>4.7</v>
      </c>
      <c r="L199" s="5">
        <v>2</v>
      </c>
      <c r="M199" s="5">
        <v>6</v>
      </c>
      <c r="N199" s="5">
        <v>1.8</v>
      </c>
      <c r="O199" s="5">
        <v>4.3</v>
      </c>
      <c r="P199" s="5">
        <v>4.3</v>
      </c>
      <c r="Q199" s="6">
        <f>IF(sim.tbl[[#This Row],[Dens]]&lt;=770,1,0)</f>
        <v>0</v>
      </c>
      <c r="R199" s="6">
        <f>IF(AND(sim.tbl[[#This Row],[Sulf]]&gt;0.5,sim.tbl[[#This Row],[Dens]]&gt;770,sim.tbl[[#This Row],[Dens]]&lt;=825),1,0)</f>
        <v>0</v>
      </c>
      <c r="S199" s="6">
        <f>IF(AND(sim.tbl[[#This Row],[Sulf]]&lt;=0.5,sim.tbl[[#This Row],[Dens]]&gt;770,sim.tbl[[#This Row],[Dens]]&lt;=825),1,0)</f>
        <v>0</v>
      </c>
      <c r="T199" s="6">
        <f>IF(AND(sim.tbl[[#This Row],[Sulf]]&gt;0.5,sim.tbl[[#This Row],[Dens]]&gt;825,sim.tbl[[#This Row],[Dens]]&lt;=870),1,0)</f>
        <v>1</v>
      </c>
      <c r="U199" s="6">
        <f>IF(AND(sim.tbl[[#This Row],[Sulf]]&lt;0.5,sim.tbl[[#This Row],[Dens]]&gt;825,sim.tbl[[#This Row],[Dens]]&lt;=900),1,0)</f>
        <v>0</v>
      </c>
      <c r="V199" s="6">
        <f>IF(AND(sim.tbl[[#This Row],[Sulf]]&gt;0.5,sim.tbl[[#This Row],[Dens]]&gt;870,sim.tbl[[#This Row],[Dens]]&lt;=900),1,0)</f>
        <v>0</v>
      </c>
      <c r="W199" s="6">
        <f>IF(AND(sim.tbl[[#This Row],[Sulf]]&gt;0.5,sim.tbl[[#This Row],[Dens]]&gt;900),1,0)</f>
        <v>0</v>
      </c>
      <c r="X199" s="6">
        <f>IF(AND(sim.tbl[[#This Row],[Sulf]]&lt;=0.5,sim.tbl[[#This Row],[Dens]]&gt;900),1,0)</f>
        <v>0</v>
      </c>
      <c r="Y199" s="6">
        <f ca="1">IF(MONTH(sim.tbl[[#This Row],[SDate]])=INDEX(mthLkUp.tbl[Num],MATCH(Y$3,mthLkUp.tbl[Month],0)),1,0)</f>
        <v>0</v>
      </c>
      <c r="Z199" s="6">
        <f ca="1">IF(MONTH(sim.tbl[[#This Row],[SDate]])=INDEX(mthLkUp.tbl[Num],MATCH(Z$3,mthLkUp.tbl[Month],0)),1,0)</f>
        <v>0</v>
      </c>
      <c r="AA199" s="6">
        <f ca="1">IF(MONTH(sim.tbl[[#This Row],[SDate]])=INDEX(mthLkUp.tbl[Num],MATCH(AA$3,mthLkUp.tbl[Month],0)),1,0)</f>
        <v>1</v>
      </c>
      <c r="AB199" s="6">
        <f ca="1">IF(MONTH(sim.tbl[[#This Row],[SDate]])=INDEX(mthLkUp.tbl[Num],MATCH(AB$3,mthLkUp.tbl[Month],0)),1,0)</f>
        <v>0</v>
      </c>
      <c r="AC199" s="6">
        <f ca="1">IF(MONTH(sim.tbl[[#This Row],[SDate]])=INDEX(mthLkUp.tbl[Num],MATCH(AC$3,mthLkUp.tbl[Month],0)),1,0)</f>
        <v>0</v>
      </c>
      <c r="AD199" s="6">
        <f ca="1">IF(MONTH(sim.tbl[[#This Row],[SDate]])=INDEX(mthLkUp.tbl[Num],MATCH(AD$3,mthLkUp.tbl[Month],0)),1,0)</f>
        <v>0</v>
      </c>
      <c r="AE199" s="6">
        <f ca="1">IF(MONTH(sim.tbl[[#This Row],[SDate]])=INDEX(mthLkUp.tbl[Num],MATCH(AE$3,mthLkUp.tbl[Month],0)),1,0)</f>
        <v>0</v>
      </c>
      <c r="AF199" s="6">
        <f ca="1">IF(MONTH(sim.tbl[[#This Row],[SDate]])=INDEX(mthLkUp.tbl[Num],MATCH(AF$3,mthLkUp.tbl[Month],0)),1,0)</f>
        <v>0</v>
      </c>
      <c r="AG199" s="6">
        <f ca="1">IF(MONTH(sim.tbl[[#This Row],[SDate]])=INDEX(mthLkUp.tbl[Num],MATCH(AG$3,mthLkUp.tbl[Month],0)),1,0)</f>
        <v>0</v>
      </c>
      <c r="AH199" s="6">
        <f ca="1">IF(MONTH(sim.tbl[[#This Row],[SDate]])=INDEX(mthLkUp.tbl[Num],MATCH(AH$3,mthLkUp.tbl[Month],0)),1,0)</f>
        <v>0</v>
      </c>
      <c r="AI199" s="6">
        <f ca="1">IF(MONTH(sim.tbl[[#This Row],[SDate]])=INDEX(mthLkUp.tbl[Num],MATCH(AI$3,mthLkUp.tbl[Month],0)),1,0)</f>
        <v>0</v>
      </c>
      <c r="AJ199" s="6">
        <f ca="1">IF(MONTH(sim.tbl[[#This Row],[SDate]])=INDEX(mthLkUp.tbl[Num],MATCH(AJ$3,mthLkUp.tbl[Month],0)),1,0)</f>
        <v>0</v>
      </c>
      <c r="AK199" s="6">
        <v>1</v>
      </c>
      <c r="AL199" s="5">
        <f>sim.tbl[[#This Row],[Sulf]]*sim.tbl[[#This Row],[C5]]</f>
        <v>0</v>
      </c>
      <c r="AM199" s="5">
        <f>sim.tbl[[#This Row],[Sulf]]*sim.tbl[[#This Row],[Light_LSB]]</f>
        <v>0</v>
      </c>
      <c r="AN199" s="5">
        <f>sim.tbl[[#This Row],[Sulf]]*sim.tbl[[#This Row],[Light_SW]]</f>
        <v>0</v>
      </c>
      <c r="AO199" s="5">
        <f>sim.tbl[[#This Row],[Sulf]]*sim.tbl[[#This Row],[Medium_LSB]]</f>
        <v>1.1299999999999999</v>
      </c>
      <c r="AP199" s="5">
        <f>sim.tbl[[#This Row],[Sulf]]*sim.tbl[[#This Row],[Medium_SW]]</f>
        <v>0</v>
      </c>
      <c r="AQ199" s="5">
        <f>sim.tbl[[#This Row],[Sulf]]*sim.tbl[[#This Row],[Midale]]</f>
        <v>0</v>
      </c>
      <c r="AR199" s="5">
        <f>sim.tbl[[#This Row],[Sulf]]*sim.tbl[[#This Row],[Heavy_Sour]]</f>
        <v>0</v>
      </c>
      <c r="AS199" s="5">
        <f>sim.tbl[[#This Row],[Sulf]]*sim.tbl[[#This Row],[Heavy_SW]]</f>
        <v>0</v>
      </c>
      <c r="AT199" s="5">
        <f>sim.tbl[[#This Row],[Dens]]*sim.tbl[[#This Row],[C5]]</f>
        <v>0</v>
      </c>
      <c r="AU199" s="5">
        <f>sim.tbl[[#This Row],[Dens]]*sim.tbl[[#This Row],[Light_LSB]]</f>
        <v>0</v>
      </c>
      <c r="AV199" s="5">
        <f>sim.tbl[[#This Row],[Dens]]*sim.tbl[[#This Row],[Light_SW]]</f>
        <v>0</v>
      </c>
      <c r="AW199" s="5">
        <f>sim.tbl[[#This Row],[Dens]]*sim.tbl[[#This Row],[Medium_LSB]]</f>
        <v>842.7</v>
      </c>
      <c r="AX199" s="5">
        <f>sim.tbl[[#This Row],[Dens]]*sim.tbl[[#This Row],[Medium_SW]]</f>
        <v>0</v>
      </c>
      <c r="AY199" s="5">
        <f>sim.tbl[[#This Row],[Dens]]*sim.tbl[[#This Row],[Midale]]</f>
        <v>0</v>
      </c>
      <c r="AZ199" s="5">
        <f>sim.tbl[[#This Row],[Dens]]*sim.tbl[[#This Row],[Heavy_Sour]]</f>
        <v>0</v>
      </c>
      <c r="BA199" s="5">
        <f>sim.tbl[[#This Row],[Dens]]*sim.tbl[[#This Row],[Heavy_SW]]</f>
        <v>0</v>
      </c>
      <c r="BB199" s="5">
        <f>sim.tbl[[#This Row],[Temp.Roll]]*sim.tbl[[#This Row],[C5]]</f>
        <v>0</v>
      </c>
      <c r="BC199" s="5">
        <f>sim.tbl[[#This Row],[Temp.Roll]]*sim.tbl[[#This Row],[Light_LSB]]</f>
        <v>0</v>
      </c>
      <c r="BD199" s="5">
        <f>sim.tbl[[#This Row],[Temp.Roll]]*sim.tbl[[#This Row],[Light_SW]]</f>
        <v>0</v>
      </c>
      <c r="BE199" s="5">
        <f>sim.tbl[[#This Row],[Temp.Roll]]*sim.tbl[[#This Row],[Medium_LSB]]</f>
        <v>2</v>
      </c>
      <c r="BF199" s="5">
        <f>sim.tbl[[#This Row],[Temp.Roll]]*sim.tbl[[#This Row],[Medium_SW]]</f>
        <v>0</v>
      </c>
      <c r="BG199" s="5">
        <f>sim.tbl[[#This Row],[Temp.Roll]]*sim.tbl[[#This Row],[Midale]]</f>
        <v>0</v>
      </c>
      <c r="BH199" s="5">
        <f>sim.tbl[[#This Row],[Temp.Roll]]*sim.tbl[[#This Row],[Heavy_Sour]]</f>
        <v>0</v>
      </c>
      <c r="BI199" s="5">
        <f>sim.tbl[[#This Row],[Temp.Roll]]*sim.tbl[[#This Row],[Heavy_SW]]</f>
        <v>0</v>
      </c>
    </row>
    <row r="200" spans="4:61" x14ac:dyDescent="0.25">
      <c r="D200" s="5">
        <f ca="1">SUMPRODUCT($F$1:$BI$1,sim.tbl[[#This Row],[Intercept]:[Temp.Roll:Heavy_SW]])</f>
        <v>80.935133242311991</v>
      </c>
      <c r="E200" s="14">
        <f ca="1">DATE(YEAR(TODAY()),INDEX(mthLkUp.tbl[Num],MATCH(mth.input,mthLkUp.tbl[Month],0)),1)</f>
        <v>42795</v>
      </c>
      <c r="F200" s="6">
        <f>1</f>
        <v>1</v>
      </c>
      <c r="G200" s="5">
        <v>1.1599999999999999</v>
      </c>
      <c r="H200" s="5">
        <v>843.8</v>
      </c>
      <c r="I200" s="5">
        <v>-8.1666666669999994</v>
      </c>
      <c r="J200" s="5">
        <v>-8.9</v>
      </c>
      <c r="K200" s="5">
        <v>-8</v>
      </c>
      <c r="L200" s="5">
        <v>-8.9</v>
      </c>
      <c r="M200" s="5">
        <v>-8</v>
      </c>
      <c r="N200" s="5">
        <v>-8.9</v>
      </c>
      <c r="O200" s="5">
        <v>-6.2</v>
      </c>
      <c r="P200" s="5">
        <v>-9</v>
      </c>
      <c r="Q200" s="6">
        <f>IF(sim.tbl[[#This Row],[Dens]]&lt;=770,1,0)</f>
        <v>0</v>
      </c>
      <c r="R200" s="6">
        <f>IF(AND(sim.tbl[[#This Row],[Sulf]]&gt;0.5,sim.tbl[[#This Row],[Dens]]&gt;770,sim.tbl[[#This Row],[Dens]]&lt;=825),1,0)</f>
        <v>0</v>
      </c>
      <c r="S200" s="6">
        <f>IF(AND(sim.tbl[[#This Row],[Sulf]]&lt;=0.5,sim.tbl[[#This Row],[Dens]]&gt;770,sim.tbl[[#This Row],[Dens]]&lt;=825),1,0)</f>
        <v>0</v>
      </c>
      <c r="T200" s="6">
        <f>IF(AND(sim.tbl[[#This Row],[Sulf]]&gt;0.5,sim.tbl[[#This Row],[Dens]]&gt;825,sim.tbl[[#This Row],[Dens]]&lt;=870),1,0)</f>
        <v>1</v>
      </c>
      <c r="U200" s="6">
        <f>IF(AND(sim.tbl[[#This Row],[Sulf]]&lt;0.5,sim.tbl[[#This Row],[Dens]]&gt;825,sim.tbl[[#This Row],[Dens]]&lt;=900),1,0)</f>
        <v>0</v>
      </c>
      <c r="V200" s="6">
        <f>IF(AND(sim.tbl[[#This Row],[Sulf]]&gt;0.5,sim.tbl[[#This Row],[Dens]]&gt;870,sim.tbl[[#This Row],[Dens]]&lt;=900),1,0)</f>
        <v>0</v>
      </c>
      <c r="W200" s="6">
        <f>IF(AND(sim.tbl[[#This Row],[Sulf]]&gt;0.5,sim.tbl[[#This Row],[Dens]]&gt;900),1,0)</f>
        <v>0</v>
      </c>
      <c r="X200" s="6">
        <f>IF(AND(sim.tbl[[#This Row],[Sulf]]&lt;=0.5,sim.tbl[[#This Row],[Dens]]&gt;900),1,0)</f>
        <v>0</v>
      </c>
      <c r="Y200" s="6">
        <f ca="1">IF(MONTH(sim.tbl[[#This Row],[SDate]])=INDEX(mthLkUp.tbl[Num],MATCH(Y$3,mthLkUp.tbl[Month],0)),1,0)</f>
        <v>0</v>
      </c>
      <c r="Z200" s="6">
        <f ca="1">IF(MONTH(sim.tbl[[#This Row],[SDate]])=INDEX(mthLkUp.tbl[Num],MATCH(Z$3,mthLkUp.tbl[Month],0)),1,0)</f>
        <v>0</v>
      </c>
      <c r="AA200" s="6">
        <f ca="1">IF(MONTH(sim.tbl[[#This Row],[SDate]])=INDEX(mthLkUp.tbl[Num],MATCH(AA$3,mthLkUp.tbl[Month],0)),1,0)</f>
        <v>1</v>
      </c>
      <c r="AB200" s="6">
        <f ca="1">IF(MONTH(sim.tbl[[#This Row],[SDate]])=INDEX(mthLkUp.tbl[Num],MATCH(AB$3,mthLkUp.tbl[Month],0)),1,0)</f>
        <v>0</v>
      </c>
      <c r="AC200" s="6">
        <f ca="1">IF(MONTH(sim.tbl[[#This Row],[SDate]])=INDEX(mthLkUp.tbl[Num],MATCH(AC$3,mthLkUp.tbl[Month],0)),1,0)</f>
        <v>0</v>
      </c>
      <c r="AD200" s="6">
        <f ca="1">IF(MONTH(sim.tbl[[#This Row],[SDate]])=INDEX(mthLkUp.tbl[Num],MATCH(AD$3,mthLkUp.tbl[Month],0)),1,0)</f>
        <v>0</v>
      </c>
      <c r="AE200" s="6">
        <f ca="1">IF(MONTH(sim.tbl[[#This Row],[SDate]])=INDEX(mthLkUp.tbl[Num],MATCH(AE$3,mthLkUp.tbl[Month],0)),1,0)</f>
        <v>0</v>
      </c>
      <c r="AF200" s="6">
        <f ca="1">IF(MONTH(sim.tbl[[#This Row],[SDate]])=INDEX(mthLkUp.tbl[Num],MATCH(AF$3,mthLkUp.tbl[Month],0)),1,0)</f>
        <v>0</v>
      </c>
      <c r="AG200" s="6">
        <f ca="1">IF(MONTH(sim.tbl[[#This Row],[SDate]])=INDEX(mthLkUp.tbl[Num],MATCH(AG$3,mthLkUp.tbl[Month],0)),1,0)</f>
        <v>0</v>
      </c>
      <c r="AH200" s="6">
        <f ca="1">IF(MONTH(sim.tbl[[#This Row],[SDate]])=INDEX(mthLkUp.tbl[Num],MATCH(AH$3,mthLkUp.tbl[Month],0)),1,0)</f>
        <v>0</v>
      </c>
      <c r="AI200" s="6">
        <f ca="1">IF(MONTH(sim.tbl[[#This Row],[SDate]])=INDEX(mthLkUp.tbl[Num],MATCH(AI$3,mthLkUp.tbl[Month],0)),1,0)</f>
        <v>0</v>
      </c>
      <c r="AJ200" s="6">
        <f ca="1">IF(MONTH(sim.tbl[[#This Row],[SDate]])=INDEX(mthLkUp.tbl[Num],MATCH(AJ$3,mthLkUp.tbl[Month],0)),1,0)</f>
        <v>0</v>
      </c>
      <c r="AK200" s="6">
        <v>1</v>
      </c>
      <c r="AL200" s="5">
        <f>sim.tbl[[#This Row],[Sulf]]*sim.tbl[[#This Row],[C5]]</f>
        <v>0</v>
      </c>
      <c r="AM200" s="5">
        <f>sim.tbl[[#This Row],[Sulf]]*sim.tbl[[#This Row],[Light_LSB]]</f>
        <v>0</v>
      </c>
      <c r="AN200" s="5">
        <f>sim.tbl[[#This Row],[Sulf]]*sim.tbl[[#This Row],[Light_SW]]</f>
        <v>0</v>
      </c>
      <c r="AO200" s="5">
        <f>sim.tbl[[#This Row],[Sulf]]*sim.tbl[[#This Row],[Medium_LSB]]</f>
        <v>1.1599999999999999</v>
      </c>
      <c r="AP200" s="5">
        <f>sim.tbl[[#This Row],[Sulf]]*sim.tbl[[#This Row],[Medium_SW]]</f>
        <v>0</v>
      </c>
      <c r="AQ200" s="5">
        <f>sim.tbl[[#This Row],[Sulf]]*sim.tbl[[#This Row],[Midale]]</f>
        <v>0</v>
      </c>
      <c r="AR200" s="5">
        <f>sim.tbl[[#This Row],[Sulf]]*sim.tbl[[#This Row],[Heavy_Sour]]</f>
        <v>0</v>
      </c>
      <c r="AS200" s="5">
        <f>sim.tbl[[#This Row],[Sulf]]*sim.tbl[[#This Row],[Heavy_SW]]</f>
        <v>0</v>
      </c>
      <c r="AT200" s="5">
        <f>sim.tbl[[#This Row],[Dens]]*sim.tbl[[#This Row],[C5]]</f>
        <v>0</v>
      </c>
      <c r="AU200" s="5">
        <f>sim.tbl[[#This Row],[Dens]]*sim.tbl[[#This Row],[Light_LSB]]</f>
        <v>0</v>
      </c>
      <c r="AV200" s="5">
        <f>sim.tbl[[#This Row],[Dens]]*sim.tbl[[#This Row],[Light_SW]]</f>
        <v>0</v>
      </c>
      <c r="AW200" s="5">
        <f>sim.tbl[[#This Row],[Dens]]*sim.tbl[[#This Row],[Medium_LSB]]</f>
        <v>843.8</v>
      </c>
      <c r="AX200" s="5">
        <f>sim.tbl[[#This Row],[Dens]]*sim.tbl[[#This Row],[Medium_SW]]</f>
        <v>0</v>
      </c>
      <c r="AY200" s="5">
        <f>sim.tbl[[#This Row],[Dens]]*sim.tbl[[#This Row],[Midale]]</f>
        <v>0</v>
      </c>
      <c r="AZ200" s="5">
        <f>sim.tbl[[#This Row],[Dens]]*sim.tbl[[#This Row],[Heavy_Sour]]</f>
        <v>0</v>
      </c>
      <c r="BA200" s="5">
        <f>sim.tbl[[#This Row],[Dens]]*sim.tbl[[#This Row],[Heavy_SW]]</f>
        <v>0</v>
      </c>
      <c r="BB200" s="5">
        <f>sim.tbl[[#This Row],[Temp.Roll]]*sim.tbl[[#This Row],[C5]]</f>
        <v>0</v>
      </c>
      <c r="BC200" s="5">
        <f>sim.tbl[[#This Row],[Temp.Roll]]*sim.tbl[[#This Row],[Light_LSB]]</f>
        <v>0</v>
      </c>
      <c r="BD200" s="5">
        <f>sim.tbl[[#This Row],[Temp.Roll]]*sim.tbl[[#This Row],[Light_SW]]</f>
        <v>0</v>
      </c>
      <c r="BE200" s="5">
        <f>sim.tbl[[#This Row],[Temp.Roll]]*sim.tbl[[#This Row],[Medium_LSB]]</f>
        <v>-8.9</v>
      </c>
      <c r="BF200" s="5">
        <f>sim.tbl[[#This Row],[Temp.Roll]]*sim.tbl[[#This Row],[Medium_SW]]</f>
        <v>0</v>
      </c>
      <c r="BG200" s="5">
        <f>sim.tbl[[#This Row],[Temp.Roll]]*sim.tbl[[#This Row],[Midale]]</f>
        <v>0</v>
      </c>
      <c r="BH200" s="5">
        <f>sim.tbl[[#This Row],[Temp.Roll]]*sim.tbl[[#This Row],[Heavy_Sour]]</f>
        <v>0</v>
      </c>
      <c r="BI200" s="5">
        <f>sim.tbl[[#This Row],[Temp.Roll]]*sim.tbl[[#This Row],[Heavy_SW]]</f>
        <v>0</v>
      </c>
    </row>
    <row r="201" spans="4:61" x14ac:dyDescent="0.25">
      <c r="D201" s="5">
        <f ca="1">SUMPRODUCT($F$1:$BI$1,sim.tbl[[#This Row],[Intercept]:[Temp.Roll:Heavy_SW]])</f>
        <v>77.542143472320902</v>
      </c>
      <c r="E201" s="14">
        <f ca="1">DATE(YEAR(TODAY()),INDEX(mthLkUp.tbl[Num],MATCH(mth.input,mthLkUp.tbl[Month],0)),1)</f>
        <v>42795</v>
      </c>
      <c r="F201" s="6">
        <f>1</f>
        <v>1</v>
      </c>
      <c r="G201" s="5">
        <v>1.19</v>
      </c>
      <c r="H201" s="5">
        <v>844.2</v>
      </c>
      <c r="I201" s="5">
        <v>0.9</v>
      </c>
      <c r="J201" s="5">
        <v>0.2</v>
      </c>
      <c r="K201" s="5">
        <v>0.7</v>
      </c>
      <c r="L201" s="5">
        <v>0.2</v>
      </c>
      <c r="M201" s="5">
        <v>2.8</v>
      </c>
      <c r="N201" s="5">
        <v>3.5</v>
      </c>
      <c r="O201" s="5">
        <v>0</v>
      </c>
      <c r="P201" s="5">
        <v>0.1</v>
      </c>
      <c r="Q201" s="6">
        <f>IF(sim.tbl[[#This Row],[Dens]]&lt;=770,1,0)</f>
        <v>0</v>
      </c>
      <c r="R201" s="6">
        <f>IF(AND(sim.tbl[[#This Row],[Sulf]]&gt;0.5,sim.tbl[[#This Row],[Dens]]&gt;770,sim.tbl[[#This Row],[Dens]]&lt;=825),1,0)</f>
        <v>0</v>
      </c>
      <c r="S201" s="6">
        <f>IF(AND(sim.tbl[[#This Row],[Sulf]]&lt;=0.5,sim.tbl[[#This Row],[Dens]]&gt;770,sim.tbl[[#This Row],[Dens]]&lt;=825),1,0)</f>
        <v>0</v>
      </c>
      <c r="T201" s="6">
        <f>IF(AND(sim.tbl[[#This Row],[Sulf]]&gt;0.5,sim.tbl[[#This Row],[Dens]]&gt;825,sim.tbl[[#This Row],[Dens]]&lt;=870),1,0)</f>
        <v>1</v>
      </c>
      <c r="U201" s="6">
        <f>IF(AND(sim.tbl[[#This Row],[Sulf]]&lt;0.5,sim.tbl[[#This Row],[Dens]]&gt;825,sim.tbl[[#This Row],[Dens]]&lt;=900),1,0)</f>
        <v>0</v>
      </c>
      <c r="V201" s="6">
        <f>IF(AND(sim.tbl[[#This Row],[Sulf]]&gt;0.5,sim.tbl[[#This Row],[Dens]]&gt;870,sim.tbl[[#This Row],[Dens]]&lt;=900),1,0)</f>
        <v>0</v>
      </c>
      <c r="W201" s="6">
        <f>IF(AND(sim.tbl[[#This Row],[Sulf]]&gt;0.5,sim.tbl[[#This Row],[Dens]]&gt;900),1,0)</f>
        <v>0</v>
      </c>
      <c r="X201" s="6">
        <f>IF(AND(sim.tbl[[#This Row],[Sulf]]&lt;=0.5,sim.tbl[[#This Row],[Dens]]&gt;900),1,0)</f>
        <v>0</v>
      </c>
      <c r="Y201" s="6">
        <f ca="1">IF(MONTH(sim.tbl[[#This Row],[SDate]])=INDEX(mthLkUp.tbl[Num],MATCH(Y$3,mthLkUp.tbl[Month],0)),1,0)</f>
        <v>0</v>
      </c>
      <c r="Z201" s="6">
        <f ca="1">IF(MONTH(sim.tbl[[#This Row],[SDate]])=INDEX(mthLkUp.tbl[Num],MATCH(Z$3,mthLkUp.tbl[Month],0)),1,0)</f>
        <v>0</v>
      </c>
      <c r="AA201" s="6">
        <f ca="1">IF(MONTH(sim.tbl[[#This Row],[SDate]])=INDEX(mthLkUp.tbl[Num],MATCH(AA$3,mthLkUp.tbl[Month],0)),1,0)</f>
        <v>1</v>
      </c>
      <c r="AB201" s="6">
        <f ca="1">IF(MONTH(sim.tbl[[#This Row],[SDate]])=INDEX(mthLkUp.tbl[Num],MATCH(AB$3,mthLkUp.tbl[Month],0)),1,0)</f>
        <v>0</v>
      </c>
      <c r="AC201" s="6">
        <f ca="1">IF(MONTH(sim.tbl[[#This Row],[SDate]])=INDEX(mthLkUp.tbl[Num],MATCH(AC$3,mthLkUp.tbl[Month],0)),1,0)</f>
        <v>0</v>
      </c>
      <c r="AD201" s="6">
        <f ca="1">IF(MONTH(sim.tbl[[#This Row],[SDate]])=INDEX(mthLkUp.tbl[Num],MATCH(AD$3,mthLkUp.tbl[Month],0)),1,0)</f>
        <v>0</v>
      </c>
      <c r="AE201" s="6">
        <f ca="1">IF(MONTH(sim.tbl[[#This Row],[SDate]])=INDEX(mthLkUp.tbl[Num],MATCH(AE$3,mthLkUp.tbl[Month],0)),1,0)</f>
        <v>0</v>
      </c>
      <c r="AF201" s="6">
        <f ca="1">IF(MONTH(sim.tbl[[#This Row],[SDate]])=INDEX(mthLkUp.tbl[Num],MATCH(AF$3,mthLkUp.tbl[Month],0)),1,0)</f>
        <v>0</v>
      </c>
      <c r="AG201" s="6">
        <f ca="1">IF(MONTH(sim.tbl[[#This Row],[SDate]])=INDEX(mthLkUp.tbl[Num],MATCH(AG$3,mthLkUp.tbl[Month],0)),1,0)</f>
        <v>0</v>
      </c>
      <c r="AH201" s="6">
        <f ca="1">IF(MONTH(sim.tbl[[#This Row],[SDate]])=INDEX(mthLkUp.tbl[Num],MATCH(AH$3,mthLkUp.tbl[Month],0)),1,0)</f>
        <v>0</v>
      </c>
      <c r="AI201" s="6">
        <f ca="1">IF(MONTH(sim.tbl[[#This Row],[SDate]])=INDEX(mthLkUp.tbl[Num],MATCH(AI$3,mthLkUp.tbl[Month],0)),1,0)</f>
        <v>0</v>
      </c>
      <c r="AJ201" s="6">
        <f ca="1">IF(MONTH(sim.tbl[[#This Row],[SDate]])=INDEX(mthLkUp.tbl[Num],MATCH(AJ$3,mthLkUp.tbl[Month],0)),1,0)</f>
        <v>0</v>
      </c>
      <c r="AK201" s="6">
        <v>1</v>
      </c>
      <c r="AL201" s="5">
        <f>sim.tbl[[#This Row],[Sulf]]*sim.tbl[[#This Row],[C5]]</f>
        <v>0</v>
      </c>
      <c r="AM201" s="5">
        <f>sim.tbl[[#This Row],[Sulf]]*sim.tbl[[#This Row],[Light_LSB]]</f>
        <v>0</v>
      </c>
      <c r="AN201" s="5">
        <f>sim.tbl[[#This Row],[Sulf]]*sim.tbl[[#This Row],[Light_SW]]</f>
        <v>0</v>
      </c>
      <c r="AO201" s="5">
        <f>sim.tbl[[#This Row],[Sulf]]*sim.tbl[[#This Row],[Medium_LSB]]</f>
        <v>1.19</v>
      </c>
      <c r="AP201" s="5">
        <f>sim.tbl[[#This Row],[Sulf]]*sim.tbl[[#This Row],[Medium_SW]]</f>
        <v>0</v>
      </c>
      <c r="AQ201" s="5">
        <f>sim.tbl[[#This Row],[Sulf]]*sim.tbl[[#This Row],[Midale]]</f>
        <v>0</v>
      </c>
      <c r="AR201" s="5">
        <f>sim.tbl[[#This Row],[Sulf]]*sim.tbl[[#This Row],[Heavy_Sour]]</f>
        <v>0</v>
      </c>
      <c r="AS201" s="5">
        <f>sim.tbl[[#This Row],[Sulf]]*sim.tbl[[#This Row],[Heavy_SW]]</f>
        <v>0</v>
      </c>
      <c r="AT201" s="5">
        <f>sim.tbl[[#This Row],[Dens]]*sim.tbl[[#This Row],[C5]]</f>
        <v>0</v>
      </c>
      <c r="AU201" s="5">
        <f>sim.tbl[[#This Row],[Dens]]*sim.tbl[[#This Row],[Light_LSB]]</f>
        <v>0</v>
      </c>
      <c r="AV201" s="5">
        <f>sim.tbl[[#This Row],[Dens]]*sim.tbl[[#This Row],[Light_SW]]</f>
        <v>0</v>
      </c>
      <c r="AW201" s="5">
        <f>sim.tbl[[#This Row],[Dens]]*sim.tbl[[#This Row],[Medium_LSB]]</f>
        <v>844.2</v>
      </c>
      <c r="AX201" s="5">
        <f>sim.tbl[[#This Row],[Dens]]*sim.tbl[[#This Row],[Medium_SW]]</f>
        <v>0</v>
      </c>
      <c r="AY201" s="5">
        <f>sim.tbl[[#This Row],[Dens]]*sim.tbl[[#This Row],[Midale]]</f>
        <v>0</v>
      </c>
      <c r="AZ201" s="5">
        <f>sim.tbl[[#This Row],[Dens]]*sim.tbl[[#This Row],[Heavy_Sour]]</f>
        <v>0</v>
      </c>
      <c r="BA201" s="5">
        <f>sim.tbl[[#This Row],[Dens]]*sim.tbl[[#This Row],[Heavy_SW]]</f>
        <v>0</v>
      </c>
      <c r="BB201" s="5">
        <f>sim.tbl[[#This Row],[Temp.Roll]]*sim.tbl[[#This Row],[C5]]</f>
        <v>0</v>
      </c>
      <c r="BC201" s="5">
        <f>sim.tbl[[#This Row],[Temp.Roll]]*sim.tbl[[#This Row],[Light_LSB]]</f>
        <v>0</v>
      </c>
      <c r="BD201" s="5">
        <f>sim.tbl[[#This Row],[Temp.Roll]]*sim.tbl[[#This Row],[Light_SW]]</f>
        <v>0</v>
      </c>
      <c r="BE201" s="5">
        <f>sim.tbl[[#This Row],[Temp.Roll]]*sim.tbl[[#This Row],[Medium_LSB]]</f>
        <v>0.2</v>
      </c>
      <c r="BF201" s="5">
        <f>sim.tbl[[#This Row],[Temp.Roll]]*sim.tbl[[#This Row],[Medium_SW]]</f>
        <v>0</v>
      </c>
      <c r="BG201" s="5">
        <f>sim.tbl[[#This Row],[Temp.Roll]]*sim.tbl[[#This Row],[Midale]]</f>
        <v>0</v>
      </c>
      <c r="BH201" s="5">
        <f>sim.tbl[[#This Row],[Temp.Roll]]*sim.tbl[[#This Row],[Heavy_Sour]]</f>
        <v>0</v>
      </c>
      <c r="BI201" s="5">
        <f>sim.tbl[[#This Row],[Temp.Roll]]*sim.tbl[[#This Row],[Heavy_SW]]</f>
        <v>0</v>
      </c>
    </row>
    <row r="202" spans="4:61" x14ac:dyDescent="0.25">
      <c r="D202" s="5">
        <f ca="1">SUMPRODUCT($F$1:$BI$1,sim.tbl[[#This Row],[Intercept]:[Temp.Roll:Heavy_SW]])</f>
        <v>74.856606600450448</v>
      </c>
      <c r="E202" s="14">
        <f ca="1">DATE(YEAR(TODAY()),INDEX(mthLkUp.tbl[Num],MATCH(mth.input,mthLkUp.tbl[Month],0)),1)</f>
        <v>42795</v>
      </c>
      <c r="F202" s="6">
        <f>1</f>
        <v>1</v>
      </c>
      <c r="G202" s="5">
        <v>1.1499999999999999</v>
      </c>
      <c r="H202" s="5">
        <v>845</v>
      </c>
      <c r="I202" s="5">
        <v>6.25</v>
      </c>
      <c r="J202" s="5">
        <v>7</v>
      </c>
      <c r="K202" s="5">
        <v>6.7</v>
      </c>
      <c r="L202" s="5">
        <v>7</v>
      </c>
      <c r="M202" s="5">
        <v>5.8</v>
      </c>
      <c r="N202" s="5">
        <v>7.3</v>
      </c>
      <c r="O202" s="5">
        <v>4.5999999999999996</v>
      </c>
      <c r="P202" s="5">
        <v>6.1</v>
      </c>
      <c r="Q202" s="6">
        <f>IF(sim.tbl[[#This Row],[Dens]]&lt;=770,1,0)</f>
        <v>0</v>
      </c>
      <c r="R202" s="6">
        <f>IF(AND(sim.tbl[[#This Row],[Sulf]]&gt;0.5,sim.tbl[[#This Row],[Dens]]&gt;770,sim.tbl[[#This Row],[Dens]]&lt;=825),1,0)</f>
        <v>0</v>
      </c>
      <c r="S202" s="6">
        <f>IF(AND(sim.tbl[[#This Row],[Sulf]]&lt;=0.5,sim.tbl[[#This Row],[Dens]]&gt;770,sim.tbl[[#This Row],[Dens]]&lt;=825),1,0)</f>
        <v>0</v>
      </c>
      <c r="T202" s="6">
        <f>IF(AND(sim.tbl[[#This Row],[Sulf]]&gt;0.5,sim.tbl[[#This Row],[Dens]]&gt;825,sim.tbl[[#This Row],[Dens]]&lt;=870),1,0)</f>
        <v>1</v>
      </c>
      <c r="U202" s="6">
        <f>IF(AND(sim.tbl[[#This Row],[Sulf]]&lt;0.5,sim.tbl[[#This Row],[Dens]]&gt;825,sim.tbl[[#This Row],[Dens]]&lt;=900),1,0)</f>
        <v>0</v>
      </c>
      <c r="V202" s="6">
        <f>IF(AND(sim.tbl[[#This Row],[Sulf]]&gt;0.5,sim.tbl[[#This Row],[Dens]]&gt;870,sim.tbl[[#This Row],[Dens]]&lt;=900),1,0)</f>
        <v>0</v>
      </c>
      <c r="W202" s="6">
        <f>IF(AND(sim.tbl[[#This Row],[Sulf]]&gt;0.5,sim.tbl[[#This Row],[Dens]]&gt;900),1,0)</f>
        <v>0</v>
      </c>
      <c r="X202" s="6">
        <f>IF(AND(sim.tbl[[#This Row],[Sulf]]&lt;=0.5,sim.tbl[[#This Row],[Dens]]&gt;900),1,0)</f>
        <v>0</v>
      </c>
      <c r="Y202" s="6">
        <f ca="1">IF(MONTH(sim.tbl[[#This Row],[SDate]])=INDEX(mthLkUp.tbl[Num],MATCH(Y$3,mthLkUp.tbl[Month],0)),1,0)</f>
        <v>0</v>
      </c>
      <c r="Z202" s="6">
        <f ca="1">IF(MONTH(sim.tbl[[#This Row],[SDate]])=INDEX(mthLkUp.tbl[Num],MATCH(Z$3,mthLkUp.tbl[Month],0)),1,0)</f>
        <v>0</v>
      </c>
      <c r="AA202" s="6">
        <f ca="1">IF(MONTH(sim.tbl[[#This Row],[SDate]])=INDEX(mthLkUp.tbl[Num],MATCH(AA$3,mthLkUp.tbl[Month],0)),1,0)</f>
        <v>1</v>
      </c>
      <c r="AB202" s="6">
        <f ca="1">IF(MONTH(sim.tbl[[#This Row],[SDate]])=INDEX(mthLkUp.tbl[Num],MATCH(AB$3,mthLkUp.tbl[Month],0)),1,0)</f>
        <v>0</v>
      </c>
      <c r="AC202" s="6">
        <f ca="1">IF(MONTH(sim.tbl[[#This Row],[SDate]])=INDEX(mthLkUp.tbl[Num],MATCH(AC$3,mthLkUp.tbl[Month],0)),1,0)</f>
        <v>0</v>
      </c>
      <c r="AD202" s="6">
        <f ca="1">IF(MONTH(sim.tbl[[#This Row],[SDate]])=INDEX(mthLkUp.tbl[Num],MATCH(AD$3,mthLkUp.tbl[Month],0)),1,0)</f>
        <v>0</v>
      </c>
      <c r="AE202" s="6">
        <f ca="1">IF(MONTH(sim.tbl[[#This Row],[SDate]])=INDEX(mthLkUp.tbl[Num],MATCH(AE$3,mthLkUp.tbl[Month],0)),1,0)</f>
        <v>0</v>
      </c>
      <c r="AF202" s="6">
        <f ca="1">IF(MONTH(sim.tbl[[#This Row],[SDate]])=INDEX(mthLkUp.tbl[Num],MATCH(AF$3,mthLkUp.tbl[Month],0)),1,0)</f>
        <v>0</v>
      </c>
      <c r="AG202" s="6">
        <f ca="1">IF(MONTH(sim.tbl[[#This Row],[SDate]])=INDEX(mthLkUp.tbl[Num],MATCH(AG$3,mthLkUp.tbl[Month],0)),1,0)</f>
        <v>0</v>
      </c>
      <c r="AH202" s="6">
        <f ca="1">IF(MONTH(sim.tbl[[#This Row],[SDate]])=INDEX(mthLkUp.tbl[Num],MATCH(AH$3,mthLkUp.tbl[Month],0)),1,0)</f>
        <v>0</v>
      </c>
      <c r="AI202" s="6">
        <f ca="1">IF(MONTH(sim.tbl[[#This Row],[SDate]])=INDEX(mthLkUp.tbl[Num],MATCH(AI$3,mthLkUp.tbl[Month],0)),1,0)</f>
        <v>0</v>
      </c>
      <c r="AJ202" s="6">
        <f ca="1">IF(MONTH(sim.tbl[[#This Row],[SDate]])=INDEX(mthLkUp.tbl[Num],MATCH(AJ$3,mthLkUp.tbl[Month],0)),1,0)</f>
        <v>0</v>
      </c>
      <c r="AK202" s="6">
        <v>1</v>
      </c>
      <c r="AL202" s="5">
        <f>sim.tbl[[#This Row],[Sulf]]*sim.tbl[[#This Row],[C5]]</f>
        <v>0</v>
      </c>
      <c r="AM202" s="5">
        <f>sim.tbl[[#This Row],[Sulf]]*sim.tbl[[#This Row],[Light_LSB]]</f>
        <v>0</v>
      </c>
      <c r="AN202" s="5">
        <f>sim.tbl[[#This Row],[Sulf]]*sim.tbl[[#This Row],[Light_SW]]</f>
        <v>0</v>
      </c>
      <c r="AO202" s="5">
        <f>sim.tbl[[#This Row],[Sulf]]*sim.tbl[[#This Row],[Medium_LSB]]</f>
        <v>1.1499999999999999</v>
      </c>
      <c r="AP202" s="5">
        <f>sim.tbl[[#This Row],[Sulf]]*sim.tbl[[#This Row],[Medium_SW]]</f>
        <v>0</v>
      </c>
      <c r="AQ202" s="5">
        <f>sim.tbl[[#This Row],[Sulf]]*sim.tbl[[#This Row],[Midale]]</f>
        <v>0</v>
      </c>
      <c r="AR202" s="5">
        <f>sim.tbl[[#This Row],[Sulf]]*sim.tbl[[#This Row],[Heavy_Sour]]</f>
        <v>0</v>
      </c>
      <c r="AS202" s="5">
        <f>sim.tbl[[#This Row],[Sulf]]*sim.tbl[[#This Row],[Heavy_SW]]</f>
        <v>0</v>
      </c>
      <c r="AT202" s="5">
        <f>sim.tbl[[#This Row],[Dens]]*sim.tbl[[#This Row],[C5]]</f>
        <v>0</v>
      </c>
      <c r="AU202" s="5">
        <f>sim.tbl[[#This Row],[Dens]]*sim.tbl[[#This Row],[Light_LSB]]</f>
        <v>0</v>
      </c>
      <c r="AV202" s="5">
        <f>sim.tbl[[#This Row],[Dens]]*sim.tbl[[#This Row],[Light_SW]]</f>
        <v>0</v>
      </c>
      <c r="AW202" s="5">
        <f>sim.tbl[[#This Row],[Dens]]*sim.tbl[[#This Row],[Medium_LSB]]</f>
        <v>845</v>
      </c>
      <c r="AX202" s="5">
        <f>sim.tbl[[#This Row],[Dens]]*sim.tbl[[#This Row],[Medium_SW]]</f>
        <v>0</v>
      </c>
      <c r="AY202" s="5">
        <f>sim.tbl[[#This Row],[Dens]]*sim.tbl[[#This Row],[Midale]]</f>
        <v>0</v>
      </c>
      <c r="AZ202" s="5">
        <f>sim.tbl[[#This Row],[Dens]]*sim.tbl[[#This Row],[Heavy_Sour]]</f>
        <v>0</v>
      </c>
      <c r="BA202" s="5">
        <f>sim.tbl[[#This Row],[Dens]]*sim.tbl[[#This Row],[Heavy_SW]]</f>
        <v>0</v>
      </c>
      <c r="BB202" s="5">
        <f>sim.tbl[[#This Row],[Temp.Roll]]*sim.tbl[[#This Row],[C5]]</f>
        <v>0</v>
      </c>
      <c r="BC202" s="5">
        <f>sim.tbl[[#This Row],[Temp.Roll]]*sim.tbl[[#This Row],[Light_LSB]]</f>
        <v>0</v>
      </c>
      <c r="BD202" s="5">
        <f>sim.tbl[[#This Row],[Temp.Roll]]*sim.tbl[[#This Row],[Light_SW]]</f>
        <v>0</v>
      </c>
      <c r="BE202" s="5">
        <f>sim.tbl[[#This Row],[Temp.Roll]]*sim.tbl[[#This Row],[Medium_LSB]]</f>
        <v>7</v>
      </c>
      <c r="BF202" s="5">
        <f>sim.tbl[[#This Row],[Temp.Roll]]*sim.tbl[[#This Row],[Medium_SW]]</f>
        <v>0</v>
      </c>
      <c r="BG202" s="5">
        <f>sim.tbl[[#This Row],[Temp.Roll]]*sim.tbl[[#This Row],[Midale]]</f>
        <v>0</v>
      </c>
      <c r="BH202" s="5">
        <f>sim.tbl[[#This Row],[Temp.Roll]]*sim.tbl[[#This Row],[Heavy_Sour]]</f>
        <v>0</v>
      </c>
      <c r="BI202" s="5">
        <f>sim.tbl[[#This Row],[Temp.Roll]]*sim.tbl[[#This Row],[Heavy_SW]]</f>
        <v>0</v>
      </c>
    </row>
    <row r="203" spans="4:61" x14ac:dyDescent="0.25">
      <c r="D203" s="5">
        <f ca="1">SUMPRODUCT($F$1:$BI$1,sim.tbl[[#This Row],[Intercept]:[Temp.Roll:Heavy_SW]])</f>
        <v>82.70364799073613</v>
      </c>
      <c r="E203" s="14">
        <f ca="1">DATE(YEAR(TODAY()),INDEX(mthLkUp.tbl[Num],MATCH(mth.input,mthLkUp.tbl[Month],0)),1)</f>
        <v>42795</v>
      </c>
      <c r="F203" s="6">
        <f>1</f>
        <v>1</v>
      </c>
      <c r="G203" s="5">
        <v>1.27</v>
      </c>
      <c r="H203" s="5">
        <v>845.7</v>
      </c>
      <c r="I203" s="5">
        <v>-16.600000000000001</v>
      </c>
      <c r="J203" s="5">
        <v>-15.4</v>
      </c>
      <c r="K203" s="5">
        <v>-14.1</v>
      </c>
      <c r="L203" s="5">
        <v>-15.4</v>
      </c>
      <c r="M203" s="5">
        <v>-18</v>
      </c>
      <c r="N203" s="5">
        <v>-16.3</v>
      </c>
      <c r="O203" s="5">
        <v>-15.4</v>
      </c>
      <c r="P203" s="5">
        <v>-20.399999999999999</v>
      </c>
      <c r="Q203" s="6">
        <f>IF(sim.tbl[[#This Row],[Dens]]&lt;=770,1,0)</f>
        <v>0</v>
      </c>
      <c r="R203" s="6">
        <f>IF(AND(sim.tbl[[#This Row],[Sulf]]&gt;0.5,sim.tbl[[#This Row],[Dens]]&gt;770,sim.tbl[[#This Row],[Dens]]&lt;=825),1,0)</f>
        <v>0</v>
      </c>
      <c r="S203" s="6">
        <f>IF(AND(sim.tbl[[#This Row],[Sulf]]&lt;=0.5,sim.tbl[[#This Row],[Dens]]&gt;770,sim.tbl[[#This Row],[Dens]]&lt;=825),1,0)</f>
        <v>0</v>
      </c>
      <c r="T203" s="6">
        <f>IF(AND(sim.tbl[[#This Row],[Sulf]]&gt;0.5,sim.tbl[[#This Row],[Dens]]&gt;825,sim.tbl[[#This Row],[Dens]]&lt;=870),1,0)</f>
        <v>1</v>
      </c>
      <c r="U203" s="6">
        <f>IF(AND(sim.tbl[[#This Row],[Sulf]]&lt;0.5,sim.tbl[[#This Row],[Dens]]&gt;825,sim.tbl[[#This Row],[Dens]]&lt;=900),1,0)</f>
        <v>0</v>
      </c>
      <c r="V203" s="6">
        <f>IF(AND(sim.tbl[[#This Row],[Sulf]]&gt;0.5,sim.tbl[[#This Row],[Dens]]&gt;870,sim.tbl[[#This Row],[Dens]]&lt;=900),1,0)</f>
        <v>0</v>
      </c>
      <c r="W203" s="6">
        <f>IF(AND(sim.tbl[[#This Row],[Sulf]]&gt;0.5,sim.tbl[[#This Row],[Dens]]&gt;900),1,0)</f>
        <v>0</v>
      </c>
      <c r="X203" s="6">
        <f>IF(AND(sim.tbl[[#This Row],[Sulf]]&lt;=0.5,sim.tbl[[#This Row],[Dens]]&gt;900),1,0)</f>
        <v>0</v>
      </c>
      <c r="Y203" s="6">
        <f ca="1">IF(MONTH(sim.tbl[[#This Row],[SDate]])=INDEX(mthLkUp.tbl[Num],MATCH(Y$3,mthLkUp.tbl[Month],0)),1,0)</f>
        <v>0</v>
      </c>
      <c r="Z203" s="6">
        <f ca="1">IF(MONTH(sim.tbl[[#This Row],[SDate]])=INDEX(mthLkUp.tbl[Num],MATCH(Z$3,mthLkUp.tbl[Month],0)),1,0)</f>
        <v>0</v>
      </c>
      <c r="AA203" s="6">
        <f ca="1">IF(MONTH(sim.tbl[[#This Row],[SDate]])=INDEX(mthLkUp.tbl[Num],MATCH(AA$3,mthLkUp.tbl[Month],0)),1,0)</f>
        <v>1</v>
      </c>
      <c r="AB203" s="6">
        <f ca="1">IF(MONTH(sim.tbl[[#This Row],[SDate]])=INDEX(mthLkUp.tbl[Num],MATCH(AB$3,mthLkUp.tbl[Month],0)),1,0)</f>
        <v>0</v>
      </c>
      <c r="AC203" s="6">
        <f ca="1">IF(MONTH(sim.tbl[[#This Row],[SDate]])=INDEX(mthLkUp.tbl[Num],MATCH(AC$3,mthLkUp.tbl[Month],0)),1,0)</f>
        <v>0</v>
      </c>
      <c r="AD203" s="6">
        <f ca="1">IF(MONTH(sim.tbl[[#This Row],[SDate]])=INDEX(mthLkUp.tbl[Num],MATCH(AD$3,mthLkUp.tbl[Month],0)),1,0)</f>
        <v>0</v>
      </c>
      <c r="AE203" s="6">
        <f ca="1">IF(MONTH(sim.tbl[[#This Row],[SDate]])=INDEX(mthLkUp.tbl[Num],MATCH(AE$3,mthLkUp.tbl[Month],0)),1,0)</f>
        <v>0</v>
      </c>
      <c r="AF203" s="6">
        <f ca="1">IF(MONTH(sim.tbl[[#This Row],[SDate]])=INDEX(mthLkUp.tbl[Num],MATCH(AF$3,mthLkUp.tbl[Month],0)),1,0)</f>
        <v>0</v>
      </c>
      <c r="AG203" s="6">
        <f ca="1">IF(MONTH(sim.tbl[[#This Row],[SDate]])=INDEX(mthLkUp.tbl[Num],MATCH(AG$3,mthLkUp.tbl[Month],0)),1,0)</f>
        <v>0</v>
      </c>
      <c r="AH203" s="6">
        <f ca="1">IF(MONTH(sim.tbl[[#This Row],[SDate]])=INDEX(mthLkUp.tbl[Num],MATCH(AH$3,mthLkUp.tbl[Month],0)),1,0)</f>
        <v>0</v>
      </c>
      <c r="AI203" s="6">
        <f ca="1">IF(MONTH(sim.tbl[[#This Row],[SDate]])=INDEX(mthLkUp.tbl[Num],MATCH(AI$3,mthLkUp.tbl[Month],0)),1,0)</f>
        <v>0</v>
      </c>
      <c r="AJ203" s="6">
        <f ca="1">IF(MONTH(sim.tbl[[#This Row],[SDate]])=INDEX(mthLkUp.tbl[Num],MATCH(AJ$3,mthLkUp.tbl[Month],0)),1,0)</f>
        <v>0</v>
      </c>
      <c r="AK203" s="6">
        <v>1</v>
      </c>
      <c r="AL203" s="5">
        <f>sim.tbl[[#This Row],[Sulf]]*sim.tbl[[#This Row],[C5]]</f>
        <v>0</v>
      </c>
      <c r="AM203" s="5">
        <f>sim.tbl[[#This Row],[Sulf]]*sim.tbl[[#This Row],[Light_LSB]]</f>
        <v>0</v>
      </c>
      <c r="AN203" s="5">
        <f>sim.tbl[[#This Row],[Sulf]]*sim.tbl[[#This Row],[Light_SW]]</f>
        <v>0</v>
      </c>
      <c r="AO203" s="5">
        <f>sim.tbl[[#This Row],[Sulf]]*sim.tbl[[#This Row],[Medium_LSB]]</f>
        <v>1.27</v>
      </c>
      <c r="AP203" s="5">
        <f>sim.tbl[[#This Row],[Sulf]]*sim.tbl[[#This Row],[Medium_SW]]</f>
        <v>0</v>
      </c>
      <c r="AQ203" s="5">
        <f>sim.tbl[[#This Row],[Sulf]]*sim.tbl[[#This Row],[Midale]]</f>
        <v>0</v>
      </c>
      <c r="AR203" s="5">
        <f>sim.tbl[[#This Row],[Sulf]]*sim.tbl[[#This Row],[Heavy_Sour]]</f>
        <v>0</v>
      </c>
      <c r="AS203" s="5">
        <f>sim.tbl[[#This Row],[Sulf]]*sim.tbl[[#This Row],[Heavy_SW]]</f>
        <v>0</v>
      </c>
      <c r="AT203" s="5">
        <f>sim.tbl[[#This Row],[Dens]]*sim.tbl[[#This Row],[C5]]</f>
        <v>0</v>
      </c>
      <c r="AU203" s="5">
        <f>sim.tbl[[#This Row],[Dens]]*sim.tbl[[#This Row],[Light_LSB]]</f>
        <v>0</v>
      </c>
      <c r="AV203" s="5">
        <f>sim.tbl[[#This Row],[Dens]]*sim.tbl[[#This Row],[Light_SW]]</f>
        <v>0</v>
      </c>
      <c r="AW203" s="5">
        <f>sim.tbl[[#This Row],[Dens]]*sim.tbl[[#This Row],[Medium_LSB]]</f>
        <v>845.7</v>
      </c>
      <c r="AX203" s="5">
        <f>sim.tbl[[#This Row],[Dens]]*sim.tbl[[#This Row],[Medium_SW]]</f>
        <v>0</v>
      </c>
      <c r="AY203" s="5">
        <f>sim.tbl[[#This Row],[Dens]]*sim.tbl[[#This Row],[Midale]]</f>
        <v>0</v>
      </c>
      <c r="AZ203" s="5">
        <f>sim.tbl[[#This Row],[Dens]]*sim.tbl[[#This Row],[Heavy_Sour]]</f>
        <v>0</v>
      </c>
      <c r="BA203" s="5">
        <f>sim.tbl[[#This Row],[Dens]]*sim.tbl[[#This Row],[Heavy_SW]]</f>
        <v>0</v>
      </c>
      <c r="BB203" s="5">
        <f>sim.tbl[[#This Row],[Temp.Roll]]*sim.tbl[[#This Row],[C5]]</f>
        <v>0</v>
      </c>
      <c r="BC203" s="5">
        <f>sim.tbl[[#This Row],[Temp.Roll]]*sim.tbl[[#This Row],[Light_LSB]]</f>
        <v>0</v>
      </c>
      <c r="BD203" s="5">
        <f>sim.tbl[[#This Row],[Temp.Roll]]*sim.tbl[[#This Row],[Light_SW]]</f>
        <v>0</v>
      </c>
      <c r="BE203" s="5">
        <f>sim.tbl[[#This Row],[Temp.Roll]]*sim.tbl[[#This Row],[Medium_LSB]]</f>
        <v>-15.4</v>
      </c>
      <c r="BF203" s="5">
        <f>sim.tbl[[#This Row],[Temp.Roll]]*sim.tbl[[#This Row],[Medium_SW]]</f>
        <v>0</v>
      </c>
      <c r="BG203" s="5">
        <f>sim.tbl[[#This Row],[Temp.Roll]]*sim.tbl[[#This Row],[Midale]]</f>
        <v>0</v>
      </c>
      <c r="BH203" s="5">
        <f>sim.tbl[[#This Row],[Temp.Roll]]*sim.tbl[[#This Row],[Heavy_Sour]]</f>
        <v>0</v>
      </c>
      <c r="BI203" s="5">
        <f>sim.tbl[[#This Row],[Temp.Roll]]*sim.tbl[[#This Row],[Heavy_SW]]</f>
        <v>0</v>
      </c>
    </row>
    <row r="204" spans="4:61" x14ac:dyDescent="0.25">
      <c r="D204" s="5">
        <f ca="1">SUMPRODUCT($F$1:$BI$1,sim.tbl[[#This Row],[Intercept]:[Temp.Roll:Heavy_SW]])</f>
        <v>76.966784615540348</v>
      </c>
      <c r="E204" s="14">
        <f ca="1">DATE(YEAR(TODAY()),INDEX(mthLkUp.tbl[Num],MATCH(mth.input,mthLkUp.tbl[Month],0)),1)</f>
        <v>42795</v>
      </c>
      <c r="F204" s="6">
        <f>1</f>
        <v>1</v>
      </c>
      <c r="G204" s="5">
        <v>1.17</v>
      </c>
      <c r="H204" s="5">
        <v>847.2</v>
      </c>
      <c r="I204" s="5">
        <v>-1.3</v>
      </c>
      <c r="J204" s="5">
        <v>-0.7</v>
      </c>
      <c r="K204" s="5">
        <v>-1.5</v>
      </c>
      <c r="L204" s="5">
        <v>-0.7</v>
      </c>
      <c r="M204" s="5">
        <v>-2.5</v>
      </c>
      <c r="N204" s="5">
        <v>-1.5</v>
      </c>
      <c r="O204" s="5">
        <v>0</v>
      </c>
      <c r="P204" s="5">
        <v>-1.6</v>
      </c>
      <c r="Q204" s="6">
        <f>IF(sim.tbl[[#This Row],[Dens]]&lt;=770,1,0)</f>
        <v>0</v>
      </c>
      <c r="R204" s="6">
        <f>IF(AND(sim.tbl[[#This Row],[Sulf]]&gt;0.5,sim.tbl[[#This Row],[Dens]]&gt;770,sim.tbl[[#This Row],[Dens]]&lt;=825),1,0)</f>
        <v>0</v>
      </c>
      <c r="S204" s="6">
        <f>IF(AND(sim.tbl[[#This Row],[Sulf]]&lt;=0.5,sim.tbl[[#This Row],[Dens]]&gt;770,sim.tbl[[#This Row],[Dens]]&lt;=825),1,0)</f>
        <v>0</v>
      </c>
      <c r="T204" s="6">
        <f>IF(AND(sim.tbl[[#This Row],[Sulf]]&gt;0.5,sim.tbl[[#This Row],[Dens]]&gt;825,sim.tbl[[#This Row],[Dens]]&lt;=870),1,0)</f>
        <v>1</v>
      </c>
      <c r="U204" s="6">
        <f>IF(AND(sim.tbl[[#This Row],[Sulf]]&lt;0.5,sim.tbl[[#This Row],[Dens]]&gt;825,sim.tbl[[#This Row],[Dens]]&lt;=900),1,0)</f>
        <v>0</v>
      </c>
      <c r="V204" s="6">
        <f>IF(AND(sim.tbl[[#This Row],[Sulf]]&gt;0.5,sim.tbl[[#This Row],[Dens]]&gt;870,sim.tbl[[#This Row],[Dens]]&lt;=900),1,0)</f>
        <v>0</v>
      </c>
      <c r="W204" s="6">
        <f>IF(AND(sim.tbl[[#This Row],[Sulf]]&gt;0.5,sim.tbl[[#This Row],[Dens]]&gt;900),1,0)</f>
        <v>0</v>
      </c>
      <c r="X204" s="6">
        <f>IF(AND(sim.tbl[[#This Row],[Sulf]]&lt;=0.5,sim.tbl[[#This Row],[Dens]]&gt;900),1,0)</f>
        <v>0</v>
      </c>
      <c r="Y204" s="6">
        <f ca="1">IF(MONTH(sim.tbl[[#This Row],[SDate]])=INDEX(mthLkUp.tbl[Num],MATCH(Y$3,mthLkUp.tbl[Month],0)),1,0)</f>
        <v>0</v>
      </c>
      <c r="Z204" s="6">
        <f ca="1">IF(MONTH(sim.tbl[[#This Row],[SDate]])=INDEX(mthLkUp.tbl[Num],MATCH(Z$3,mthLkUp.tbl[Month],0)),1,0)</f>
        <v>0</v>
      </c>
      <c r="AA204" s="6">
        <f ca="1">IF(MONTH(sim.tbl[[#This Row],[SDate]])=INDEX(mthLkUp.tbl[Num],MATCH(AA$3,mthLkUp.tbl[Month],0)),1,0)</f>
        <v>1</v>
      </c>
      <c r="AB204" s="6">
        <f ca="1">IF(MONTH(sim.tbl[[#This Row],[SDate]])=INDEX(mthLkUp.tbl[Num],MATCH(AB$3,mthLkUp.tbl[Month],0)),1,0)</f>
        <v>0</v>
      </c>
      <c r="AC204" s="6">
        <f ca="1">IF(MONTH(sim.tbl[[#This Row],[SDate]])=INDEX(mthLkUp.tbl[Num],MATCH(AC$3,mthLkUp.tbl[Month],0)),1,0)</f>
        <v>0</v>
      </c>
      <c r="AD204" s="6">
        <f ca="1">IF(MONTH(sim.tbl[[#This Row],[SDate]])=INDEX(mthLkUp.tbl[Num],MATCH(AD$3,mthLkUp.tbl[Month],0)),1,0)</f>
        <v>0</v>
      </c>
      <c r="AE204" s="6">
        <f ca="1">IF(MONTH(sim.tbl[[#This Row],[SDate]])=INDEX(mthLkUp.tbl[Num],MATCH(AE$3,mthLkUp.tbl[Month],0)),1,0)</f>
        <v>0</v>
      </c>
      <c r="AF204" s="6">
        <f ca="1">IF(MONTH(sim.tbl[[#This Row],[SDate]])=INDEX(mthLkUp.tbl[Num],MATCH(AF$3,mthLkUp.tbl[Month],0)),1,0)</f>
        <v>0</v>
      </c>
      <c r="AG204" s="6">
        <f ca="1">IF(MONTH(sim.tbl[[#This Row],[SDate]])=INDEX(mthLkUp.tbl[Num],MATCH(AG$3,mthLkUp.tbl[Month],0)),1,0)</f>
        <v>0</v>
      </c>
      <c r="AH204" s="6">
        <f ca="1">IF(MONTH(sim.tbl[[#This Row],[SDate]])=INDEX(mthLkUp.tbl[Num],MATCH(AH$3,mthLkUp.tbl[Month],0)),1,0)</f>
        <v>0</v>
      </c>
      <c r="AI204" s="6">
        <f ca="1">IF(MONTH(sim.tbl[[#This Row],[SDate]])=INDEX(mthLkUp.tbl[Num],MATCH(AI$3,mthLkUp.tbl[Month],0)),1,0)</f>
        <v>0</v>
      </c>
      <c r="AJ204" s="6">
        <f ca="1">IF(MONTH(sim.tbl[[#This Row],[SDate]])=INDEX(mthLkUp.tbl[Num],MATCH(AJ$3,mthLkUp.tbl[Month],0)),1,0)</f>
        <v>0</v>
      </c>
      <c r="AK204" s="6">
        <v>1</v>
      </c>
      <c r="AL204" s="5">
        <f>sim.tbl[[#This Row],[Sulf]]*sim.tbl[[#This Row],[C5]]</f>
        <v>0</v>
      </c>
      <c r="AM204" s="5">
        <f>sim.tbl[[#This Row],[Sulf]]*sim.tbl[[#This Row],[Light_LSB]]</f>
        <v>0</v>
      </c>
      <c r="AN204" s="5">
        <f>sim.tbl[[#This Row],[Sulf]]*sim.tbl[[#This Row],[Light_SW]]</f>
        <v>0</v>
      </c>
      <c r="AO204" s="5">
        <f>sim.tbl[[#This Row],[Sulf]]*sim.tbl[[#This Row],[Medium_LSB]]</f>
        <v>1.17</v>
      </c>
      <c r="AP204" s="5">
        <f>sim.tbl[[#This Row],[Sulf]]*sim.tbl[[#This Row],[Medium_SW]]</f>
        <v>0</v>
      </c>
      <c r="AQ204" s="5">
        <f>sim.tbl[[#This Row],[Sulf]]*sim.tbl[[#This Row],[Midale]]</f>
        <v>0</v>
      </c>
      <c r="AR204" s="5">
        <f>sim.tbl[[#This Row],[Sulf]]*sim.tbl[[#This Row],[Heavy_Sour]]</f>
        <v>0</v>
      </c>
      <c r="AS204" s="5">
        <f>sim.tbl[[#This Row],[Sulf]]*sim.tbl[[#This Row],[Heavy_SW]]</f>
        <v>0</v>
      </c>
      <c r="AT204" s="5">
        <f>sim.tbl[[#This Row],[Dens]]*sim.tbl[[#This Row],[C5]]</f>
        <v>0</v>
      </c>
      <c r="AU204" s="5">
        <f>sim.tbl[[#This Row],[Dens]]*sim.tbl[[#This Row],[Light_LSB]]</f>
        <v>0</v>
      </c>
      <c r="AV204" s="5">
        <f>sim.tbl[[#This Row],[Dens]]*sim.tbl[[#This Row],[Light_SW]]</f>
        <v>0</v>
      </c>
      <c r="AW204" s="5">
        <f>sim.tbl[[#This Row],[Dens]]*sim.tbl[[#This Row],[Medium_LSB]]</f>
        <v>847.2</v>
      </c>
      <c r="AX204" s="5">
        <f>sim.tbl[[#This Row],[Dens]]*sim.tbl[[#This Row],[Medium_SW]]</f>
        <v>0</v>
      </c>
      <c r="AY204" s="5">
        <f>sim.tbl[[#This Row],[Dens]]*sim.tbl[[#This Row],[Midale]]</f>
        <v>0</v>
      </c>
      <c r="AZ204" s="5">
        <f>sim.tbl[[#This Row],[Dens]]*sim.tbl[[#This Row],[Heavy_Sour]]</f>
        <v>0</v>
      </c>
      <c r="BA204" s="5">
        <f>sim.tbl[[#This Row],[Dens]]*sim.tbl[[#This Row],[Heavy_SW]]</f>
        <v>0</v>
      </c>
      <c r="BB204" s="5">
        <f>sim.tbl[[#This Row],[Temp.Roll]]*sim.tbl[[#This Row],[C5]]</f>
        <v>0</v>
      </c>
      <c r="BC204" s="5">
        <f>sim.tbl[[#This Row],[Temp.Roll]]*sim.tbl[[#This Row],[Light_LSB]]</f>
        <v>0</v>
      </c>
      <c r="BD204" s="5">
        <f>sim.tbl[[#This Row],[Temp.Roll]]*sim.tbl[[#This Row],[Light_SW]]</f>
        <v>0</v>
      </c>
      <c r="BE204" s="5">
        <f>sim.tbl[[#This Row],[Temp.Roll]]*sim.tbl[[#This Row],[Medium_LSB]]</f>
        <v>-0.7</v>
      </c>
      <c r="BF204" s="5">
        <f>sim.tbl[[#This Row],[Temp.Roll]]*sim.tbl[[#This Row],[Medium_SW]]</f>
        <v>0</v>
      </c>
      <c r="BG204" s="5">
        <f>sim.tbl[[#This Row],[Temp.Roll]]*sim.tbl[[#This Row],[Midale]]</f>
        <v>0</v>
      </c>
      <c r="BH204" s="5">
        <f>sim.tbl[[#This Row],[Temp.Roll]]*sim.tbl[[#This Row],[Heavy_Sour]]</f>
        <v>0</v>
      </c>
      <c r="BI204" s="5">
        <f>sim.tbl[[#This Row],[Temp.Roll]]*sim.tbl[[#This Row],[Heavy_SW]]</f>
        <v>0</v>
      </c>
    </row>
  </sheetData>
  <dataValidations count="1">
    <dataValidation type="list" allowBlank="1" showInputMessage="1" showErrorMessage="1" sqref="B7">
      <formula1>mth_short.list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L22" sqref="L22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10" bestFit="1" customWidth="1"/>
    <col min="4" max="4" width="8.5703125" bestFit="1" customWidth="1"/>
    <col min="5" max="5" width="13.28515625" bestFit="1" customWidth="1"/>
    <col min="6" max="6" width="28.28515625" bestFit="1" customWidth="1"/>
    <col min="7" max="7" width="20.28515625" bestFit="1" customWidth="1"/>
    <col min="8" max="8" width="20.5703125" bestFit="1" customWidth="1"/>
    <col min="9" max="9" width="22.28515625" bestFit="1" customWidth="1"/>
    <col min="10" max="10" width="17.5703125" bestFit="1" customWidth="1"/>
    <col min="11" max="11" width="18.85546875" bestFit="1" customWidth="1"/>
    <col min="12" max="12" width="19.140625" bestFit="1" customWidth="1"/>
    <col min="13" max="13" width="13.28515625" bestFit="1" customWidth="1"/>
  </cols>
  <sheetData>
    <row r="2" spans="1:13" x14ac:dyDescent="0.25">
      <c r="A2" t="s">
        <v>402</v>
      </c>
      <c r="B2" t="s">
        <v>332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396</v>
      </c>
    </row>
    <row r="3" spans="1:13" x14ac:dyDescent="0.25">
      <c r="A3">
        <v>1</v>
      </c>
      <c r="B3" t="s">
        <v>397</v>
      </c>
      <c r="C3">
        <v>840</v>
      </c>
      <c r="D3">
        <v>1.2</v>
      </c>
      <c r="E3" t="s">
        <v>398</v>
      </c>
      <c r="F3">
        <v>-20</v>
      </c>
      <c r="G3">
        <v>87.444000000000003</v>
      </c>
      <c r="H3">
        <v>86.6524</v>
      </c>
      <c r="I3">
        <v>85.884100000000004</v>
      </c>
      <c r="J3">
        <v>6.5400999999999998</v>
      </c>
      <c r="K3">
        <v>74.597899999999996</v>
      </c>
      <c r="L3">
        <v>100.56010000000001</v>
      </c>
      <c r="M3">
        <v>166</v>
      </c>
    </row>
    <row r="4" spans="1:13" x14ac:dyDescent="0.25">
      <c r="A4">
        <v>2</v>
      </c>
      <c r="B4" t="s">
        <v>399</v>
      </c>
      <c r="C4">
        <v>840</v>
      </c>
      <c r="D4">
        <v>1.2</v>
      </c>
      <c r="E4" t="s">
        <v>398</v>
      </c>
      <c r="F4">
        <v>-15</v>
      </c>
      <c r="G4">
        <v>86.402500000000003</v>
      </c>
      <c r="H4">
        <v>84.599900000000005</v>
      </c>
      <c r="I4">
        <v>83.415899999999993</v>
      </c>
      <c r="J4">
        <v>6.2008999999999999</v>
      </c>
      <c r="K4">
        <v>74.145099999999999</v>
      </c>
      <c r="L4">
        <v>100.8659</v>
      </c>
      <c r="M4">
        <v>158</v>
      </c>
    </row>
    <row r="5" spans="1:13" x14ac:dyDescent="0.25">
      <c r="A5">
        <v>3</v>
      </c>
      <c r="B5" t="s">
        <v>400</v>
      </c>
      <c r="C5">
        <v>840</v>
      </c>
      <c r="D5">
        <v>1.2</v>
      </c>
      <c r="E5" t="s">
        <v>398</v>
      </c>
      <c r="F5">
        <v>-5</v>
      </c>
      <c r="G5">
        <v>84.281499999999994</v>
      </c>
      <c r="H5">
        <v>82.957400000000007</v>
      </c>
      <c r="I5">
        <v>82.532899999999998</v>
      </c>
      <c r="J5">
        <v>6.1028000000000002</v>
      </c>
      <c r="K5">
        <v>72.393600000000006</v>
      </c>
      <c r="L5">
        <v>99.373999999999995</v>
      </c>
      <c r="M5">
        <v>189</v>
      </c>
    </row>
    <row r="6" spans="1:13" x14ac:dyDescent="0.25">
      <c r="A6">
        <v>4</v>
      </c>
      <c r="B6" t="s">
        <v>400</v>
      </c>
      <c r="C6">
        <v>870</v>
      </c>
      <c r="D6">
        <v>2.2000000000000002</v>
      </c>
      <c r="E6" t="s">
        <v>398</v>
      </c>
      <c r="F6">
        <v>-5</v>
      </c>
      <c r="G6">
        <v>72.898099999999999</v>
      </c>
      <c r="H6">
        <v>74.365700000000004</v>
      </c>
      <c r="I6">
        <v>74.668700000000001</v>
      </c>
      <c r="J6">
        <v>4.0587</v>
      </c>
      <c r="K6">
        <v>65.760599999999997</v>
      </c>
      <c r="L6">
        <v>83.115099999999998</v>
      </c>
      <c r="M6">
        <v>80</v>
      </c>
    </row>
    <row r="7" spans="1:13" x14ac:dyDescent="0.25">
      <c r="A7">
        <v>5</v>
      </c>
      <c r="B7" t="s">
        <v>400</v>
      </c>
      <c r="C7">
        <v>832</v>
      </c>
      <c r="D7">
        <v>0.9</v>
      </c>
      <c r="E7" t="s">
        <v>398</v>
      </c>
      <c r="F7">
        <v>-7</v>
      </c>
      <c r="G7">
        <v>85.914100000000005</v>
      </c>
      <c r="H7">
        <v>85.320400000000006</v>
      </c>
      <c r="I7">
        <v>85.686000000000007</v>
      </c>
      <c r="J7">
        <v>5.8151000000000002</v>
      </c>
      <c r="K7">
        <v>73.577799999999996</v>
      </c>
      <c r="L7">
        <v>102.2086</v>
      </c>
      <c r="M7">
        <v>200</v>
      </c>
    </row>
    <row r="8" spans="1:13" x14ac:dyDescent="0.25">
      <c r="A8">
        <v>6</v>
      </c>
      <c r="B8" t="s">
        <v>401</v>
      </c>
      <c r="C8">
        <v>832</v>
      </c>
      <c r="D8">
        <v>0.9</v>
      </c>
      <c r="E8" t="s">
        <v>398</v>
      </c>
      <c r="F8">
        <v>0</v>
      </c>
      <c r="G8">
        <v>82.48</v>
      </c>
      <c r="H8">
        <v>85.583100000000002</v>
      </c>
      <c r="I8">
        <v>87.063100000000006</v>
      </c>
      <c r="J8">
        <v>5.5239000000000003</v>
      </c>
      <c r="K8">
        <v>74.530900000000003</v>
      </c>
      <c r="L8">
        <v>98.833799999999997</v>
      </c>
      <c r="M8">
        <v>125</v>
      </c>
    </row>
    <row r="9" spans="1:13" x14ac:dyDescent="0.25">
      <c r="A9">
        <v>7</v>
      </c>
      <c r="B9" t="s">
        <v>401</v>
      </c>
      <c r="C9">
        <v>832</v>
      </c>
      <c r="D9">
        <v>0.9</v>
      </c>
      <c r="E9" t="s">
        <v>398</v>
      </c>
      <c r="F9">
        <v>0</v>
      </c>
      <c r="G9">
        <v>83.834599999999995</v>
      </c>
      <c r="H9">
        <v>85.191000000000003</v>
      </c>
      <c r="I9">
        <v>86.238600000000005</v>
      </c>
      <c r="J9">
        <v>7.2542999999999997</v>
      </c>
      <c r="K9">
        <v>68.290000000000006</v>
      </c>
      <c r="L9">
        <v>103.2642</v>
      </c>
      <c r="M9">
        <v>153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VP Data</vt:lpstr>
      <vt:lpstr>Weather Data</vt:lpstr>
      <vt:lpstr>Lookups</vt:lpstr>
      <vt:lpstr>Simulation</vt:lpstr>
      <vt:lpstr>Results</vt:lpstr>
      <vt:lpstr>dens.input</vt:lpstr>
      <vt:lpstr>mth.input</vt:lpstr>
      <vt:lpstr>mth_num.list</vt:lpstr>
      <vt:lpstr>mth_short.list</vt:lpstr>
      <vt:lpstr>sulf.input</vt:lpstr>
      <vt:lpstr>temp.roll.input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2017-07-14T17:40:05Z</dcterms:modified>
</cp:coreProperties>
</file>